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TATS" sheetId="2" r:id="rId6"/>
    <sheet state="visible" name="ENCOUNTERS" sheetId="3" r:id="rId7"/>
    <sheet state="visible" name="TRAiNERS" sheetId="4" r:id="rId8"/>
    <sheet state="visible" name="LEARNSETS" sheetId="5" r:id="rId9"/>
    <sheet state="visible" name="EVOLUTiONTYPEMOVES" sheetId="6" r:id="rId10"/>
    <sheet state="visible" name="iTEMSTMs" sheetId="7" r:id="rId11"/>
    <sheet state="visible" name="GiFTSEVENTS" sheetId="8" r:id="rId12"/>
    <sheet state="visible" name="NPCTRADES" sheetId="9" r:id="rId13"/>
    <sheet state="hidden" name="WIP Pokedex" sheetId="10" r:id="rId14"/>
  </sheets>
  <definedNames>
    <definedName name="MONDEF">LAMBDA(monname, _xludf.IFNA(INDEX(data!$AQ:$AQ,MATCH(monname,data!$K:$K,0)),""))</definedName>
    <definedName name="MONTYPE">LAMBDA(monname, _xludf.IFNA(INDEX(data!$BV:$BV,MATCH(monname,data!$K:$K,0)),""))</definedName>
    <definedName name="MONTYPEICON1">LAMBDA(monname, _xludf.IFNA(INDEX(data!$BU:$BU,MATCH(monname,data!$K:$K,0)),""))</definedName>
    <definedName name="MOVEPP">LAMBDA(movename, _xludf.IFNA(INDEX(data!$DQ:$DQ,MATCH(movename,data!$DK:$DK,0)),""))</definedName>
    <definedName name="MOVEACC">LAMBDA(movename, _xludf.IFNA(INDEX(data!$DP:$DP,MATCH(movename,data!$DK:$DK,0)),""))</definedName>
    <definedName name="MONTYPEICON2">LAMBDA(monname, _xludf.IFNA(INDEX(data!$BW:$BW,MATCH(monname,data!$K:$K,0)),""))</definedName>
    <definedName name="TYPEICON">LAMBDA(typename, _xludf.IFNA(INDEX(data!$EA:$EA,MATCH(typename,data!$DZ:$DZ,0)),""))</definedName>
    <definedName name="MONABILITY">LAMBDA(monname, _xludf.IFNA(INDEX(data!$CL:$CL,MATCH(monname,data!$K:$K,0)),""))</definedName>
    <definedName name="MONSPD">LAMBDA(monname, _xludf.IFNA(INDEX(data!$AS:$AS,MATCH(monname,data!$K:$K,0)),""))</definedName>
    <definedName name="MONSPRITE">LAMBDA(monname, _xludf.IFNA(INDEX(data!$J:$J,MATCH(monname,data!$K:$K,0)),""))</definedName>
    <definedName name="MONICON21">LAMBDA(monname, _xludf.IFNA(INDEX(STATS!$C:$C,MATCH(monname,STATS!$B:$B,0)),""))</definedName>
    <definedName name="MONSTAT">LAMBDA(monname, column, VLOOKUP(monname, STATS!$B$4:$Y$508, column, 0))</definedName>
    <definedName name="FEMALE">LAMBDA(data!$EI$1)</definedName>
    <definedName name="MONHP">LAMBDA(monname, _xludf.IFNA(INDEX(data!$AO:$AO,MATCH(monname,data!$K:$K,0)),""))</definedName>
    <definedName name="MOVEBP">LAMBDA(movename, _xludf.IFNA(INDEX(data!$DO:$DO,MATCH(movename,data!$DK:$DK,0)),""))</definedName>
    <definedName name="MONSPE">LAMBDA(monname, _xludf.IFNA(INDEX(data!$AT:$AT,MATCH(monname,data!$K:$K,0)),""))</definedName>
    <definedName name="TYPEICON2">LAMBDA(typename, _xludf.IFNA(INDEX(data!$ED:$ED,MATCH(typename,data!$EC:$EC,0)),""))</definedName>
    <definedName name="ASEXUAL">LAMBDA(data!$EI$3)</definedName>
    <definedName name="MONTYPE2">LAMBDA(monname, _xludf.IFNA(INDEX(data!$BX:$BX,MATCH(monname,data!$K:$K,0)),""))</definedName>
    <definedName name="ITEMICON">LAMBDA(itemname, _xludf.IFNA(INDEX(data!$EG:$EG,MATCH(itemname,data!$EF:$EF,0)),""))</definedName>
    <definedName name="MOVEICON">LAMBDA(movename, _xludf.IFNA(INDEX(data!$DM:$DM,MATCH(movename,data!$DK:$DK,0)),""))</definedName>
    <definedName name="MONBST">LAMBDA(monname, _xludf.IFNA(INDEX(data!$AU:$AU,MATCH(monname,data!$K:$K,0)),""))</definedName>
    <definedName name="MONABILITY2">LAMBDA(monname, _xludf.IFNA(INDEX(data!$CO:$CO,MATCH(monname,data!$K:$K,0)),""))</definedName>
    <definedName name="MONSPA">LAMBDA(monname, _xludf.IFNA(INDEX(data!$AR:$AR,MATCH(monname,data!$K:$K,0)),""))</definedName>
    <definedName name="MONATK">LAMBDA(monname, _xludf.IFNA(INDEX(data!$AP:$AP,MATCH(monname,data!$K:$K,0)),""))</definedName>
    <definedName name="MALE">LAMBDA(data!$EI$2)</definedName>
  </definedNames>
  <calcPr/>
</workbook>
</file>

<file path=xl/comments1.xml><?xml version="1.0" encoding="utf-8"?>
<comments xmlns="http://schemas.openxmlformats.org/spreadsheetml/2006/main">
  <authors>
    <author/>
  </authors>
  <commentList>
    <comment authorId="0" ref="E1">
      <text>
        <t xml:space="preserve">검은 배경 셀은 변경된 능력치입니다. 빨간 숫자는 하향, 초록 숫자는 상향입니다.</t>
      </text>
    </comment>
    <comment authorId="0" ref="AA1">
      <text>
        <t xml:space="preserve">검은 배경 셀은 변경된 타입입니다.</t>
      </text>
    </comment>
    <comment authorId="0" ref="AU1">
      <text>
        <t xml:space="preserve">모든 포켓몬의 야생 지닌 도구는 일부 예외를 제외하고 울트라썬/울트라문 기준에 맞춰 업데이트되었습니다.</t>
      </text>
    </comment>
    <comment authorId="0" ref="AZ1">
      <text>
        <t xml:space="preserve">이 포켓몬을 쓰러뜨렸을 때 획득하는 노력치입니다.
</t>
      </text>
    </comment>
    <comment authorId="0" ref="BD1">
      <text>
        <t xml:space="preserve">포켓몬마다 고정된 성장 곡선이 있습니다. 일부는 단순하지만 「불안정」이나 「불규칙」처럼 복잡한 유형도 있습니다. 자세한 내용은 Bulbapedia를 참고하세요.</t>
      </text>
    </comment>
    <comment authorId="0" ref="BE1">
      <text>
        <t xml:space="preserve">이 값은 해당 포켓몬을 쓰러뜨렸을 때 얻는 경험치량을 결정합니다. 여기서는 트로피우스만 변경되었습니다.</t>
      </text>
    </comment>
    <comment authorId="0" ref="BF1">
      <text>
        <t xml:space="preserve">이 값은 255부터 3까지이며 포켓몬 포획을 시도할 때마다 적용됩니다. 값이 낮을수록 포획이 어려워집니다. 메탕 계열과 안농에 변경이 있습니다.
</t>
      </text>
    </comment>
    <comment authorId="0" ref="BG1">
      <text>
        <t xml:space="preserve">포획 시 포켓몬에게 적용되는 초기 친밀도입니다. 일부 베이비 포켓몬에 변경이 있습니다.</t>
      </text>
    </comment>
    <comment authorId="0" ref="BH1">
      <text>
        <t xml:space="preserve">안다리걸기와 풀묶기는 대상의 몸무게에 따라 위력이 달라지는 기술입니다. 각 포켓몬에게 사용할 때의 위력을 확인할 수 있습니다.</t>
      </text>
    </comment>
    <comment authorId="0" ref="BJ1">
      <text>
        <t xml:space="preserve">성비 정보입니다. 파랑, 빨강, 회색이 더 옅게 표시된 경우 해당 포켓몬은 교배할 수 없음을 의미합니다.</t>
      </text>
    </comment>
    <comment authorId="0" ref="BM1">
      <text>
        <t xml:space="preserve">교배 가능 여부를 확인하는 항목입니다. 일부 포켓몬은 교배할 수 없고, 일부는 메타몽과만 교배할 수 있습니다. 그런 경우 연보라색으로 표시됩니다.</t>
      </text>
    </comment>
    <comment authorId="0" ref="E2">
      <text>
        <t xml:space="preserve">기존 플래티넘 기준 정보를 참고용으로 표시했습니다.
</t>
      </text>
    </comment>
    <comment authorId="0" ref="L2">
      <text>
        <t xml:space="preserve">레니게이드 플래티넘 클래식 버전에서는 모든 포켓몬의 능력치가 울트라썬/울트라문 기준으로 업데이트되었습니다.</t>
      </text>
    </comment>
    <comment authorId="0" ref="S2">
      <text>
        <t xml:space="preserve">레니게이드 플래티넘 컴플리트 버전에서는 많은 포켓몬의 능력치가 실전성을 높이는 방향으로 조정되었습니다.
</t>
      </text>
    </comment>
    <comment authorId="0" ref="AA2">
      <text>
        <t xml:space="preserve">기존 플래티넘 기준 타입을 참고용으로 표시했습니다.
</t>
      </text>
    </comment>
    <comment authorId="0" ref="AE2">
      <text>
        <t xml:space="preserve">레니게이드 플래티넘 클래식 버전에서는 모든 포켓몬의 타입이 울트라썬/울트라문 기준으로 업데이트되었습니다. 여기서의 유일한 변경점은 페어리 타입 추가입니다.
</t>
      </text>
    </comment>
    <comment authorId="0" ref="AI2">
      <text>
        <t xml:space="preserve">레니게이드 플래티넘 컴플리트 버전에서는 여러 포켓몬의 타입이 이후 세대의 메가진화 타입을 반영하도록 변경되었습니다. 자주 쓰이는 기술에 자속 보정을 받을 수 있도록 기술폭을 고려해 타입이 바뀐 경우도 있습니다.</t>
      </text>
    </comment>
    <comment authorId="0" ref="AN2">
      <text>
        <t xml:space="preserve">기존 플래티넘 기준 특성을 참고용으로 표시했습니다.
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authorId="0" ref="A1">
      <text>
        <t xml:space="preserve">검은색/흰색 셀은 새로 추가된 요소입니다. 예를 들어 이전에는 해당 포켓몬이 다른 방식으로만 배울 수 있었던 기술이 이제 기술머신과 호환되는 경우입니다. (!!) 표시가 있는 셀은 이전에는 배울 수 없었던 신규 기술입니다.
레벨업 기술 목록은 모두 변경되었습니다.
유전기는 변경되지 않았습니다.
</t>
      </text>
    </comment>
    <comment authorId="0" ref="LJ21">
      <text>
        <t xml:space="preserve">원본 문서에는 50 - 망각술로 잘못 기재되어 있었습니다.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authorId="0" ref="B7">
      <text>
        <t xml:space="preserve">기존 플래티넘 기준 정보를 참고용으로 표시했습니다.
</t>
      </text>
    </comment>
    <comment authorId="0" ref="B8">
      <text>
        <t xml:space="preserve">레니게이드 플래티넘 클래식 버전에서는 모든 포켓몬의 능력치가 울트라썬/울트라문 기준으로 업데이트되었습니다.</t>
      </text>
    </comment>
    <comment authorId="0" ref="B9">
      <text>
        <t xml:space="preserve">레니게이드 플래티넘 컴플리트 버전에서는 많은 포켓몬의 능력치가 실전성을 높이는 방향으로 조정되었습니다.
</t>
      </text>
    </comment>
  </commentList>
</comments>
</file>

<file path=xl/sharedStrings.xml><?xml version="1.0" encoding="utf-8"?>
<sst xmlns="http://schemas.openxmlformats.org/spreadsheetml/2006/main" count="74529" uniqueCount="10763">
  <si>
    <t>이상해씨</t>
  </si>
  <si>
    <t>#001 이상해씨</t>
  </si>
  <si>
    <t>001MS6.png</t>
  </si>
  <si>
    <t>https://archives.bulbagarden.net/media/upload/7/7b/001MS6.png</t>
  </si>
  <si>
    <t>특공 1</t>
  </si>
  <si>
    <t>...</t>
  </si>
  <si>
    <t>풀</t>
  </si>
  <si>
    <t>독</t>
  </si>
  <si>
    <t>풀 - 독</t>
  </si>
  <si>
    <t>심록</t>
  </si>
  <si>
    <t xml:space="preserve">엽록소 </t>
  </si>
  <si>
    <t>엽록소 (!)</t>
  </si>
  <si>
    <t>6.9 kg</t>
  </si>
  <si>
    <t>87.5%</t>
  </si>
  <si>
    <t>괴수</t>
  </si>
  <si>
    <t>중간느림</t>
  </si>
  <si>
    <t>#002 로 진화 가능</t>
  </si>
  <si>
    <t>제비반환</t>
  </si>
  <si>
    <t>비행</t>
  </si>
  <si>
    <t>--</t>
  </si>
  <si>
    <t>PP 20</t>
  </si>
  <si>
    <t>노력 (보정 없음)</t>
  </si>
  <si>
    <t>기적의씨</t>
  </si>
  <si>
    <t>이상해풀</t>
  </si>
  <si>
    <t>#002 이상해풀</t>
  </si>
  <si>
    <t>002MS6.png</t>
  </si>
  <si>
    <t>https://archives.bulbagarden.net/media/upload/a/a0/002MS6.png</t>
  </si>
  <si>
    <t>특방 1</t>
  </si>
  <si>
    <t>13.0 kg</t>
  </si>
  <si>
    <t>1 특공/1 특방</t>
  </si>
  <si>
    <t>#001 레벨 16 - 진화 가능: #003</t>
  </si>
  <si>
    <t>아쿠아제트</t>
  </si>
  <si>
    <t>물</t>
  </si>
  <si>
    <t>외로움 (+공격, -방어)</t>
  </si>
  <si>
    <t>불꽃</t>
  </si>
  <si>
    <t>목탄</t>
  </si>
  <si>
    <t>이상해꽃</t>
  </si>
  <si>
    <t>#003 이상해꽃</t>
  </si>
  <si>
    <t>003MS6.png</t>
  </si>
  <si>
    <t>https://archives.bulbagarden.net/media/upload/0/07/003MS6.png</t>
  </si>
  <si>
    <t>110᠎</t>
  </si>
  <si>
    <t>535᠎</t>
  </si>
  <si>
    <t>특공 2</t>
  </si>
  <si>
    <t>엽록소</t>
  </si>
  <si>
    <t>두꺼운지방 (!)</t>
  </si>
  <si>
    <t>100.0 kg</t>
  </si>
  <si>
    <t>2 특공/1 특방</t>
  </si>
  <si>
    <t>#002 레벨 32</t>
  </si>
  <si>
    <t>아쿠아테일</t>
  </si>
  <si>
    <t>PP 10</t>
  </si>
  <si>
    <t>용감 (+공격, -스피드)</t>
  </si>
  <si>
    <t>신비의물방울</t>
  </si>
  <si>
    <t>파이리</t>
  </si>
  <si>
    <t>#004 파이리</t>
  </si>
  <si>
    <t>004MS6.png</t>
  </si>
  <si>
    <t>https://archives.bulbagarden.net/media/upload/7/7d/004MS6.png</t>
  </si>
  <si>
    <t>스피드 1</t>
  </si>
  <si>
    <t>맹화</t>
  </si>
  <si>
    <t>선파워</t>
  </si>
  <si>
    <t>선파워 (!)</t>
  </si>
  <si>
    <t>8.5 kg</t>
  </si>
  <si>
    <t>드래곤</t>
  </si>
  <si>
    <t>#005 로 진화 가능</t>
  </si>
  <si>
    <t>손바닥치기</t>
  </si>
  <si>
    <t>격투</t>
  </si>
  <si>
    <t>고집 (+공격, -특공)</t>
  </si>
  <si>
    <t>바위</t>
  </si>
  <si>
    <t>딱딱한돌</t>
  </si>
  <si>
    <t>리자드</t>
  </si>
  <si>
    <t>#005 리자드</t>
  </si>
  <si>
    <t>005MS6.png</t>
  </si>
  <si>
    <t>https://archives.bulbagarden.net/media/upload/b/be/005MS6.png</t>
  </si>
  <si>
    <t>19.0 kg</t>
  </si>
  <si>
    <t>1 특공/1 스피드</t>
  </si>
  <si>
    <t>#004 레벨 16 - 진화 가능: #006</t>
  </si>
  <si>
    <t>승부굳히기</t>
  </si>
  <si>
    <t>악</t>
  </si>
  <si>
    <t>60᠎</t>
  </si>
  <si>
    <t>개구쟁이 (+공격, -특방)</t>
  </si>
  <si>
    <t>땅</t>
  </si>
  <si>
    <t>부드러운모래</t>
  </si>
  <si>
    <t>리자몽</t>
  </si>
  <si>
    <t>#006 리자몽</t>
  </si>
  <si>
    <t>006MS6.png</t>
  </si>
  <si>
    <t>https://archives.bulbagarden.net/media/upload/4/41/006MS6.png</t>
  </si>
  <si>
    <t>특공 3</t>
  </si>
  <si>
    <t>드래곤 ឵</t>
  </si>
  <si>
    <t>불꽃 - 드래곤 (!)</t>
  </si>
  <si>
    <t>부유 (!)</t>
  </si>
  <si>
    <t>90.5 kg</t>
  </si>
  <si>
    <t>#005 레벨 36</t>
  </si>
  <si>
    <t>놀래키기</t>
  </si>
  <si>
    <t>고스트</t>
  </si>
  <si>
    <t>PP 15</t>
  </si>
  <si>
    <t>대담 (+방어, -공격)</t>
  </si>
  <si>
    <t>강철</t>
  </si>
  <si>
    <t>금속코트</t>
  </si>
  <si>
    <t>꼬부기</t>
  </si>
  <si>
    <t>#007 꼬부기</t>
  </si>
  <si>
    <t>007MS6.png</t>
  </si>
  <si>
    <t>https://archives.bulbagarden.net/media/upload/9/97/007MS6.png</t>
  </si>
  <si>
    <t>방어 1</t>
  </si>
  <si>
    <t>급류</t>
  </si>
  <si>
    <t>젖은접시</t>
  </si>
  <si>
    <t>젖은접시 (!)</t>
  </si>
  <si>
    <t>9.0 kg</t>
  </si>
  <si>
    <t>수중 1</t>
  </si>
  <si>
    <t>#008 로 진화 가능</t>
  </si>
  <si>
    <t>공격지령</t>
  </si>
  <si>
    <t>벌레</t>
  </si>
  <si>
    <t>온순 (보정 없음)</t>
  </si>
  <si>
    <t>독바늘</t>
  </si>
  <si>
    <t>어니부기</t>
  </si>
  <si>
    <t>#008 어니부기</t>
  </si>
  <si>
    <t>008MS6.png</t>
  </si>
  <si>
    <t>https://archives.bulbagarden.net/media/upload/5/55/008MS6.png</t>
  </si>
  <si>
    <t>22.5 kg</t>
  </si>
  <si>
    <t>1 방어/1 특방</t>
  </si>
  <si>
    <t>#007 레벨 16 - 진화 가능: #009</t>
  </si>
  <si>
    <t>눈사태</t>
  </si>
  <si>
    <t>얼음</t>
  </si>
  <si>
    <t>무사태평 (+방어, -스피드)</t>
  </si>
  <si>
    <t>에스퍼</t>
  </si>
  <si>
    <t>휘어진스푼</t>
  </si>
  <si>
    <t>거북왕</t>
  </si>
  <si>
    <t>#009 거북왕</t>
  </si>
  <si>
    <t>009MS6.png</t>
  </si>
  <si>
    <t>https://archives.bulbagarden.net/media/upload/1/12/009MS6.png</t>
  </si>
  <si>
    <t>90᠎</t>
  </si>
  <si>
    <t>특방 3</t>
  </si>
  <si>
    <t>잔비 (!)</t>
  </si>
  <si>
    <t>85.5 kg</t>
  </si>
  <si>
    <t>#008 레벨 36</t>
  </si>
  <si>
    <t>구슬던지기᠋</t>
  </si>
  <si>
    <t>노말᠋</t>
  </si>
  <si>
    <t>15᠋</t>
  </si>
  <si>
    <t>85%᠋</t>
  </si>
  <si>
    <t>20PP᠋</t>
  </si>
  <si>
    <t>장난꾸러기 (+방어, -특공)</t>
  </si>
  <si>
    <t>검은안경</t>
  </si>
  <si>
    <t>캐터피</t>
  </si>
  <si>
    <t>#010 캐터피</t>
  </si>
  <si>
    <t>010MS6.png</t>
  </si>
  <si>
    <t>https://archives.bulbagarden.net/media/upload/c/ca/010MS6.png</t>
  </si>
  <si>
    <t>HP 1</t>
  </si>
  <si>
    <t>인분</t>
  </si>
  <si>
    <t>도주</t>
  </si>
  <si>
    <t>도주 (!)</t>
  </si>
  <si>
    <t>2.9 kg</t>
  </si>
  <si>
    <t>50,00 %</t>
  </si>
  <si>
    <t>중간빠름</t>
  </si>
  <si>
    <t>#011 로 진화 가능</t>
  </si>
  <si>
    <t>드레인키스 (!)</t>
  </si>
  <si>
    <t>페어리</t>
  </si>
  <si>
    <t>75᠎</t>
  </si>
  <si>
    <t>촐랑 (+방어, -특방)</t>
  </si>
  <si>
    <t>노말</t>
  </si>
  <si>
    <t>실크스카프</t>
  </si>
  <si>
    <t>단데기</t>
  </si>
  <si>
    <t>#011 단데기</t>
  </si>
  <si>
    <t>011MS6.png</t>
  </si>
  <si>
    <t>https://archives.bulbagarden.net/media/upload/f/ff/011MS6.png</t>
  </si>
  <si>
    <t>방어 2</t>
  </si>
  <si>
    <t>탈피</t>
  </si>
  <si>
    <t>9.9 kg</t>
  </si>
  <si>
    <t>#010 레벨 7 - 진화 가능: #012</t>
  </si>
  <si>
    <t>집단구타</t>
  </si>
  <si>
    <t>--᠋</t>
  </si>
  <si>
    <t>겁쟁이 (+스피드, -공격)</t>
  </si>
  <si>
    <t>검은띠</t>
  </si>
  <si>
    <t>버터플</t>
  </si>
  <si>
    <t>#012 버터플</t>
  </si>
  <si>
    <t>012MS6.png</t>
  </si>
  <si>
    <t>https://archives.bulbagarden.net/media/upload/5/58/012MS6.png</t>
  </si>
  <si>
    <t>45᠋</t>
  </si>
  <si>
    <t>100᠎</t>
  </si>
  <si>
    <t>450᠎</t>
  </si>
  <si>
    <t>벌레 - 비행</t>
  </si>
  <si>
    <t>복안</t>
  </si>
  <si>
    <t>색안경</t>
  </si>
  <si>
    <t>색안경 (!)</t>
  </si>
  <si>
    <t>32.0 kg</t>
  </si>
  <si>
    <t>#011 레벨 10</t>
  </si>
  <si>
    <t>은빛가루 - 5%</t>
  </si>
  <si>
    <t>참기</t>
  </si>
  <si>
    <t>성급 (+스피드, -방어)</t>
  </si>
  <si>
    <t>예리한부리</t>
  </si>
  <si>
    <t>뿔충이</t>
  </si>
  <si>
    <t>#013 뿔충이</t>
  </si>
  <si>
    <t>013MS6.png</t>
  </si>
  <si>
    <t>https://archives.bulbagarden.net/media/upload/d/d4/013MS6.png</t>
  </si>
  <si>
    <t>벌레 - 독</t>
  </si>
  <si>
    <t>3.2 kg</t>
  </si>
  <si>
    <t>#014 로 진화 가능</t>
  </si>
  <si>
    <t>조이기</t>
  </si>
  <si>
    <t>85%᠎</t>
  </si>
  <si>
    <t>성실 (보정 없음)</t>
  </si>
  <si>
    <t>전기</t>
  </si>
  <si>
    <t>자석</t>
  </si>
  <si>
    <t>딱충이</t>
  </si>
  <si>
    <t>#014 딱충이</t>
  </si>
  <si>
    <t>014MS6.png</t>
  </si>
  <si>
    <t>https://archives.bulbagarden.net/media/upload/d/d4/014MS6.png</t>
  </si>
  <si>
    <t>10.0 kg</t>
  </si>
  <si>
    <t>#013 레벨 7 - 진화 가능: #015</t>
  </si>
  <si>
    <t>물기</t>
  </si>
  <si>
    <t>PP 25</t>
  </si>
  <si>
    <t>명랑 (+스피드, -특공)</t>
  </si>
  <si>
    <t>은빛가루</t>
  </si>
  <si>
    <t>독침붕</t>
  </si>
  <si>
    <t>#015 독침붕</t>
  </si>
  <si>
    <t>015MS6.png</t>
  </si>
  <si>
    <t>https://archives.bulbagarden.net/media/upload/e/e4/015MS6.png</t>
  </si>
  <si>
    <t>115᠎</t>
  </si>
  <si>
    <t>40᠋</t>
  </si>
  <si>
    <t>95᠎</t>
  </si>
  <si>
    <t>공격 2</t>
  </si>
  <si>
    <t>벌레의알림</t>
  </si>
  <si>
    <t xml:space="preserve">스나이퍼 </t>
  </si>
  <si>
    <t>적응력 (!)</t>
  </si>
  <si>
    <t>29.5 kg</t>
  </si>
  <si>
    <t>2 공격/1 특방</t>
  </si>
  <si>
    <t>#014 레벨 10</t>
  </si>
  <si>
    <t>독바늘 - 5%</t>
  </si>
  <si>
    <t>브레이즈킥</t>
  </si>
  <si>
    <t>100%᠎</t>
  </si>
  <si>
    <t>천진난만 (+스피드, -특방)</t>
  </si>
  <si>
    <t>녹지않는얼음</t>
  </si>
  <si>
    <t>구구</t>
  </si>
  <si>
    <t>#016 구구</t>
  </si>
  <si>
    <t>016MS6.png</t>
  </si>
  <si>
    <t>https://archives.bulbagarden.net/media/upload/2/26/016MS6.png</t>
  </si>
  <si>
    <t>35᠋</t>
  </si>
  <si>
    <t>50᠎</t>
  </si>
  <si>
    <t>노말 - 비행</t>
  </si>
  <si>
    <t>날카로운눈</t>
  </si>
  <si>
    <t>갈지자걸음</t>
  </si>
  <si>
    <t>1.8 kg</t>
  </si>
  <si>
    <t>#017 로 진화 가능</t>
  </si>
  <si>
    <t>누르기</t>
  </si>
  <si>
    <t>조심 (+특공, -공격)</t>
  </si>
  <si>
    <t>저주의부적</t>
  </si>
  <si>
    <t>피죤</t>
  </si>
  <si>
    <t>#017 피죤</t>
  </si>
  <si>
    <t>017MS6.png</t>
  </si>
  <si>
    <t>https://archives.bulbagarden.net/media/upload/c/c3/017MS6.png</t>
  </si>
  <si>
    <t>50᠋</t>
  </si>
  <si>
    <t>65᠎</t>
  </si>
  <si>
    <t>스피드 2</t>
  </si>
  <si>
    <t>30.0 kg</t>
  </si>
  <si>
    <t>#016 레벨 18 - 진화 가능: #018</t>
  </si>
  <si>
    <t>뼈다귀치기</t>
  </si>
  <si>
    <t>의젓 (+특공, -방어)</t>
  </si>
  <si>
    <t>피죤투</t>
  </si>
  <si>
    <t>#018 피죤투</t>
  </si>
  <si>
    <t>018MS6.png</t>
  </si>
  <si>
    <t>https://archives.bulbagarden.net/media/upload/e/e3/018MS6.png</t>
  </si>
  <si>
    <t>60᠋</t>
  </si>
  <si>
    <t>70᠋</t>
  </si>
  <si>
    <t>101᠎</t>
  </si>
  <si>
    <t>499᠎</t>
  </si>
  <si>
    <t>스피드 3</t>
  </si>
  <si>
    <t>노가드 (!)</t>
  </si>
  <si>
    <t>39.5 kg</t>
  </si>
  <si>
    <t>#017 레벨 36</t>
  </si>
  <si>
    <t>본러쉬</t>
  </si>
  <si>
    <t>90%᠎</t>
  </si>
  <si>
    <t>냉정 (+특공, -스피드)</t>
  </si>
  <si>
    <t>용의이빨</t>
  </si>
  <si>
    <t>꼬렛</t>
  </si>
  <si>
    <t>#019 꼬렛</t>
  </si>
  <si>
    <t>019MS6.png</t>
  </si>
  <si>
    <t>https://archives.bulbagarden.net/media/upload/d/d9/019MS6.png</t>
  </si>
  <si>
    <t>근성</t>
  </si>
  <si>
    <t xml:space="preserve">의욕 </t>
  </si>
  <si>
    <t>의욕 (!)</t>
  </si>
  <si>
    <t>3.5 kg</t>
  </si>
  <si>
    <t>육상</t>
  </si>
  <si>
    <t>#020 로 진화 가능</t>
  </si>
  <si>
    <t>복슝열매 - 5%</t>
  </si>
  <si>
    <t>뼈다귀부메랑</t>
  </si>
  <si>
    <t>수줍음 (보정 없음)</t>
  </si>
  <si>
    <t>풀឵ ឵</t>
  </si>
  <si>
    <t>레트라</t>
  </si>
  <si>
    <t>#020 레트라</t>
  </si>
  <si>
    <t>020MS6.png</t>
  </si>
  <si>
    <t>https://archives.bulbagarden.net/media/upload/5/57/020MS6.png</t>
  </si>
  <si>
    <t>97᠎</t>
  </si>
  <si>
    <t>70᠎</t>
  </si>
  <si>
    <t>113᠎</t>
  </si>
  <si>
    <t>18.5 kg</t>
  </si>
  <si>
    <t>#019 레벨 20</t>
  </si>
  <si>
    <t>뛰어오르다</t>
  </si>
  <si>
    <t>PP 5</t>
  </si>
  <si>
    <t>덜렁 (+특공, -특방)</t>
  </si>
  <si>
    <t>불꽃឵ ឵</t>
  </si>
  <si>
    <t>연막탄</t>
  </si>
  <si>
    <t>깨비참</t>
  </si>
  <si>
    <t>#021 깨비참</t>
  </si>
  <si>
    <t>021MS6.png</t>
  </si>
  <si>
    <t>https://archives.bulbagarden.net/media/upload/5/50/021MS6.png</t>
  </si>
  <si>
    <t>스나이퍼</t>
  </si>
  <si>
    <t>스나이퍼 (!)</t>
  </si>
  <si>
    <t>2.0 kg</t>
  </si>
  <si>
    <t>#022 로 진화 가능</t>
  </si>
  <si>
    <t>예리한부리 - 5%</t>
  </si>
  <si>
    <t>브레이브버드</t>
  </si>
  <si>
    <t>차분 (+특방, -공격)</t>
  </si>
  <si>
    <t>물឵ ឵</t>
  </si>
  <si>
    <t>검은철구</t>
  </si>
  <si>
    <t>깨비드릴조</t>
  </si>
  <si>
    <t>#022 깨비드릴조</t>
  </si>
  <si>
    <t>022MS6.png</t>
  </si>
  <si>
    <t>https://archives.bulbagarden.net/media/upload/0/0b/022MS6.png</t>
  </si>
  <si>
    <t>462᠎</t>
  </si>
  <si>
    <t>38.0 kg</t>
  </si>
  <si>
    <t>#021 레벨 20</t>
  </si>
  <si>
    <t>깨트리다</t>
  </si>
  <si>
    <t>얌전 (+특방, -방어)</t>
  </si>
  <si>
    <t>바위឵ ឵</t>
  </si>
  <si>
    <t>전기구슬</t>
  </si>
  <si>
    <t>아보</t>
  </si>
  <si>
    <t>#023 아보</t>
  </si>
  <si>
    <t>023MS6.png</t>
  </si>
  <si>
    <t>https://archives.bulbagarden.net/media/upload/d/de/023MS6.png</t>
  </si>
  <si>
    <t>공격 1</t>
  </si>
  <si>
    <t>위협</t>
  </si>
  <si>
    <t>#024 로 진화 가능</t>
  </si>
  <si>
    <t>벌레먹음</t>
  </si>
  <si>
    <t>건방 (+특방, -스피드)</t>
  </si>
  <si>
    <t>땅឵ ឵</t>
  </si>
  <si>
    <t>화염구슬</t>
  </si>
  <si>
    <t>아보크</t>
  </si>
  <si>
    <t>#024 아보크</t>
  </si>
  <si>
    <t>024MS6.png</t>
  </si>
  <si>
    <t>https://archives.bulbagarden.net/media/upload/d/d5/024MS6.png</t>
  </si>
  <si>
    <t>55᠋</t>
  </si>
  <si>
    <t>80᠎</t>
  </si>
  <si>
    <t>455᠎</t>
  </si>
  <si>
    <t>65.0 kg</t>
  </si>
  <si>
    <t>#023 레벨 22</t>
  </si>
  <si>
    <t>불릿펀치</t>
  </si>
  <si>
    <t>PP 30</t>
  </si>
  <si>
    <t>신중 (+특방, -특공)</t>
  </si>
  <si>
    <t>강철឵ ឵</t>
  </si>
  <si>
    <t>맹독구슬</t>
  </si>
  <si>
    <t>피카츄</t>
  </si>
  <si>
    <t>#025 피카츄</t>
  </si>
  <si>
    <t>025MS6.png</t>
  </si>
  <si>
    <t>https://archives.bulbagarden.net/media/upload/d/de/025MS6.png</t>
  </si>
  <si>
    <t>40᠎</t>
  </si>
  <si>
    <t>320᠎</t>
  </si>
  <si>
    <t>정전기</t>
  </si>
  <si>
    <t>피뢰침</t>
  </si>
  <si>
    <t>피뢰침 (!)</t>
  </si>
  <si>
    <t>6.0 kg</t>
  </si>
  <si>
    <t>#172 친밀도가 높을 때 레벨업</t>
  </si>
  <si>
    <t>전기구슬 - 5%</t>
  </si>
  <si>
    <t>기관총</t>
  </si>
  <si>
    <t>25᠎</t>
  </si>
  <si>
    <t>변덕 (보정 없음)</t>
  </si>
  <si>
    <t>독឵ ឵</t>
  </si>
  <si>
    <t>생명의구슬</t>
  </si>
  <si>
    <t>라이츄</t>
  </si>
  <si>
    <t>#026 라이츄</t>
  </si>
  <si>
    <t>026MS6.png</t>
  </si>
  <si>
    <t>https://archives.bulbagarden.net/media/upload/1/14/026MS6.png</t>
  </si>
  <si>
    <t>495᠎</t>
  </si>
  <si>
    <t>#025 사용 천둥의돌</t>
  </si>
  <si>
    <t>껍질끼우기</t>
  </si>
  <si>
    <t>에스퍼឵ ឵</t>
  </si>
  <si>
    <t>금강옥</t>
  </si>
  <si>
    <t>모래두지</t>
  </si>
  <si>
    <t>#027 모래두지</t>
  </si>
  <si>
    <t>027MS6.png</t>
  </si>
  <si>
    <t>https://archives.bulbagarden.net/media/upload/9/9d/027MS6.png</t>
  </si>
  <si>
    <t>모래숨기</t>
  </si>
  <si>
    <t>12.0 kg</t>
  </si>
  <si>
    <t>#028 로 진화 가능</t>
  </si>
  <si>
    <t>인파이트</t>
  </si>
  <si>
    <t>악឵ ឵</t>
  </si>
  <si>
    <t>백옥</t>
  </si>
  <si>
    <t>고지</t>
  </si>
  <si>
    <t>#028 고지</t>
  </si>
  <si>
    <t>028MS6.png</t>
  </si>
  <si>
    <t>https://archives.bulbagarden.net/media/upload/5/56/028MS6.png</t>
  </si>
  <si>
    <t>#027 레벨 22</t>
  </si>
  <si>
    <t>연속펀치</t>
  </si>
  <si>
    <t>노말឵ ឵</t>
  </si>
  <si>
    <t>백금옥</t>
  </si>
  <si>
    <t>니드런♀</t>
  </si>
  <si>
    <t>#029 니드런♀</t>
  </si>
  <si>
    <t>029MS6.png</t>
  </si>
  <si>
    <t>https://archives.bulbagarden.net/media/upload/4/4e/029MS6.png</t>
  </si>
  <si>
    <t>독가시</t>
  </si>
  <si>
    <t>투쟁심</t>
  </si>
  <si>
    <t>7.0 kg</t>
  </si>
  <si>
    <t>100,00 %</t>
  </si>
  <si>
    <t>#030 로 진화 가능</t>
  </si>
  <si>
    <t>휘감기᠋</t>
  </si>
  <si>
    <t>10᠋</t>
  </si>
  <si>
    <t>100%᠋</t>
  </si>
  <si>
    <t>35PP᠋</t>
  </si>
  <si>
    <t>격투឵ ឵</t>
  </si>
  <si>
    <t>마음의물방울</t>
  </si>
  <si>
    <t>니드리나</t>
  </si>
  <si>
    <t>#030 니드리나</t>
  </si>
  <si>
    <t>030MS6.png</t>
  </si>
  <si>
    <t>https://archives.bulbagarden.net/media/upload/c/cb/030MS6.png</t>
  </si>
  <si>
    <t>HP 2</t>
  </si>
  <si>
    <t>20.0 kg</t>
  </si>
  <si>
    <t>-</t>
  </si>
  <si>
    <t>#029 레벨 16 - 진화 가능: #031</t>
  </si>
  <si>
    <t>고드름떨구기 (!)</t>
  </si>
  <si>
    <t>비행឵ ឵</t>
  </si>
  <si>
    <t>끈적끈적바늘</t>
  </si>
  <si>
    <t>니드퀸</t>
  </si>
  <si>
    <t>#031 니드퀸</t>
  </si>
  <si>
    <t>031MS6.png</t>
  </si>
  <si>
    <t>https://archives.bulbagarden.net/media/upload/7/7c/031MS6.png</t>
  </si>
  <si>
    <t>92᠎</t>
  </si>
  <si>
    <t>505᠎</t>
  </si>
  <si>
    <t>HP 3</t>
  </si>
  <si>
    <t>독 - 땅</t>
  </si>
  <si>
    <t>60.0 kg</t>
  </si>
  <si>
    <t>#030 사용 달의돌</t>
  </si>
  <si>
    <t>카운터</t>
  </si>
  <si>
    <t>전기឵ ឵</t>
  </si>
  <si>
    <t>니드런♂</t>
  </si>
  <si>
    <t>#032 니드런♂</t>
  </si>
  <si>
    <t>032MS6.png</t>
  </si>
  <si>
    <t>https://archives.bulbagarden.net/media/upload/6/6a/032MS6.png</t>
  </si>
  <si>
    <t>#033 로 진화 가능</t>
  </si>
  <si>
    <t>탐내다</t>
  </si>
  <si>
    <t>25PP᠋</t>
  </si>
  <si>
    <t>벌레឵ ឵</t>
  </si>
  <si>
    <t>구애스카프</t>
  </si>
  <si>
    <t>니드리노</t>
  </si>
  <si>
    <t>#033 니드리노</t>
  </si>
  <si>
    <t>033MS6.png</t>
  </si>
  <si>
    <t>https://archives.bulbagarden.net/media/upload/4/4a/033MS6.png</t>
  </si>
  <si>
    <t>19.5 kg</t>
  </si>
  <si>
    <t>#032 레벨 16 - 진화 가능: #034</t>
  </si>
  <si>
    <t>찝게햄머</t>
  </si>
  <si>
    <t>얼음឵ ឵</t>
  </si>
  <si>
    <t>구애안경</t>
  </si>
  <si>
    <t>니드킹</t>
  </si>
  <si>
    <t>#034 니드킹</t>
  </si>
  <si>
    <t>034MS6.png</t>
  </si>
  <si>
    <t>https://archives.bulbagarden.net/media/upload/e/ec/034MS6.png</t>
  </si>
  <si>
    <t>102᠎</t>
  </si>
  <si>
    <t>공격 3</t>
  </si>
  <si>
    <t>62.0 kg</t>
  </si>
  <si>
    <t>#033 사용 달의돌</t>
  </si>
  <si>
    <t>크로스촙</t>
  </si>
  <si>
    <t>고스트឵ ឵</t>
  </si>
  <si>
    <t>구애머리띠</t>
  </si>
  <si>
    <t>삐삐</t>
  </si>
  <si>
    <t>#035 삐삐</t>
  </si>
  <si>
    <t>035MS6.png</t>
  </si>
  <si>
    <t>https://archives.bulbagarden.net/media/upload/6/67/035MS6.png</t>
  </si>
  <si>
    <t>페어리឵ ឵</t>
  </si>
  <si>
    <t>페어리 (!)</t>
  </si>
  <si>
    <t>헤롱헤롱바디</t>
  </si>
  <si>
    <t>매직가드</t>
  </si>
  <si>
    <t>7.5 kg</t>
  </si>
  <si>
    <t>25,00 %</t>
  </si>
  <si>
    <t>75,00 %</t>
  </si>
  <si>
    <t>빠름</t>
  </si>
  <si>
    <t>#0173 친밀도가 높을 때 레벨업 - 진화 가능: #036</t>
  </si>
  <si>
    <t>달의돌 - 5%</t>
  </si>
  <si>
    <t>크로스포이즌</t>
  </si>
  <si>
    <t>15PP᠋</t>
  </si>
  <si>
    <t>픽시</t>
  </si>
  <si>
    <t>#036 픽시</t>
  </si>
  <si>
    <t>036MS6.png</t>
  </si>
  <si>
    <t>https://archives.bulbagarden.net/media/upload/a/a5/036MS6.png</t>
  </si>
  <si>
    <t>483᠎</t>
  </si>
  <si>
    <t>40.0 kg</t>
  </si>
  <si>
    <t>#035 사용 달의돌</t>
  </si>
  <si>
    <t>깨물어부수기</t>
  </si>
  <si>
    <t>기합의머리띠</t>
  </si>
  <si>
    <t>식스테일</t>
  </si>
  <si>
    <t>#037 식스테일</t>
  </si>
  <si>
    <t>037MS6.png</t>
  </si>
  <si>
    <t>https://archives.bulbagarden.net/media/upload/0/09/037MS6.png</t>
  </si>
  <si>
    <t>타오르는불꽃</t>
  </si>
  <si>
    <t xml:space="preserve">가뭄 </t>
  </si>
  <si>
    <t>가뭄 (!)</t>
  </si>
  <si>
    <t>#038 로 진화 가능</t>
  </si>
  <si>
    <t>브레이크크루</t>
  </si>
  <si>
    <t>기합의띠</t>
  </si>
  <si>
    <t>나인테일</t>
  </si>
  <si>
    <t>#038 나인테일</t>
  </si>
  <si>
    <t>038MS6.png</t>
  </si>
  <si>
    <t>https://archives.bulbagarden.net/media/upload/1/1f/038MS6.png</t>
  </si>
  <si>
    <t>67᠋</t>
  </si>
  <si>
    <t>109᠎</t>
  </si>
  <si>
    <t>불꽃 - 페어리 (!)</t>
  </si>
  <si>
    <t>19.9 kg</t>
  </si>
  <si>
    <t>1 특방/1 스피드</t>
  </si>
  <si>
    <t>#038 사용 불꽃의돌</t>
  </si>
  <si>
    <t>묵사발</t>
  </si>
  <si>
    <t>푸린</t>
  </si>
  <si>
    <t>#039 푸린</t>
  </si>
  <si>
    <t>039MS6.png</t>
  </si>
  <si>
    <t>https://archives.bulbagarden.net/media/upload/8/8b/039MS6.png</t>
  </si>
  <si>
    <t>55᠎</t>
  </si>
  <si>
    <t>30᠎</t>
  </si>
  <si>
    <t>35᠎</t>
  </si>
  <si>
    <t>노말 - 페어리 (!)</t>
  </si>
  <si>
    <t>매직가드 (!)</t>
  </si>
  <si>
    <t>5.5 kg</t>
  </si>
  <si>
    <t>#174 친밀도가 높을 때 레벨업 - 진화 가능: #040</t>
  </si>
  <si>
    <t>풀베기</t>
  </si>
  <si>
    <t>풀 ឵</t>
  </si>
  <si>
    <t>달인의띠</t>
  </si>
  <si>
    <t>푸크린</t>
  </si>
  <si>
    <t>#040 푸크린</t>
  </si>
  <si>
    <t>040MS6.png</t>
  </si>
  <si>
    <t>https://archives.bulbagarden.net/media/upload/d/d2/040MS6.png</t>
  </si>
  <si>
    <t>485᠎</t>
  </si>
  <si>
    <t>#039 사용 달의돌</t>
  </si>
  <si>
    <t>구멍파기</t>
  </si>
  <si>
    <t>메트로놈</t>
  </si>
  <si>
    <t>주뱃</t>
  </si>
  <si>
    <t>#041 주뱃</t>
  </si>
  <si>
    <t>041MS6.png</t>
  </si>
  <si>
    <t>https://archives.bulbagarden.net/media/upload/0/0c/041MS6.png</t>
  </si>
  <si>
    <t>독 - 비행</t>
  </si>
  <si>
    <t>정신력</t>
  </si>
  <si>
    <t>#042 로 진화 가능</t>
  </si>
  <si>
    <t>다이빙</t>
  </si>
  <si>
    <t>힘의머리띠</t>
  </si>
  <si>
    <t>골뱃</t>
  </si>
  <si>
    <t>#042 골뱃</t>
  </si>
  <si>
    <t>042MS6.png</t>
  </si>
  <si>
    <t>https://archives.bulbagarden.net/media/upload/b/b7/042MS6.png</t>
  </si>
  <si>
    <t>55.0 kg</t>
  </si>
  <si>
    <t>#041 레벨 22 - 진화 가능: #169</t>
  </si>
  <si>
    <t>잼잼펀치</t>
  </si>
  <si>
    <t>박식안경</t>
  </si>
  <si>
    <t>뚜벅쵸</t>
  </si>
  <si>
    <t>#043 뚜벅쵸</t>
  </si>
  <si>
    <t>043MS6.png</t>
  </si>
  <si>
    <t>https://archives.bulbagarden.net/media/upload/2/22/043MS6.png</t>
  </si>
  <si>
    <t>5.4 kg</t>
  </si>
  <si>
    <t>#044 로 진화 가능</t>
  </si>
  <si>
    <t>더블어택</t>
  </si>
  <si>
    <t>냄새꼬</t>
  </si>
  <si>
    <t>#044 냄새꼬</t>
  </si>
  <si>
    <t>044MS6.png</t>
  </si>
  <si>
    <t>https://archives.bulbagarden.net/media/upload/e/e2/044MS6.png</t>
  </si>
  <si>
    <t>악취</t>
  </si>
  <si>
    <t>악취 (!)</t>
  </si>
  <si>
    <t>8.6 kg</t>
  </si>
  <si>
    <t>#043 레벨 22 - 진화 가능: #045, #182</t>
  </si>
  <si>
    <t>두번치기</t>
  </si>
  <si>
    <t>라플레시아</t>
  </si>
  <si>
    <t>#045 라플레시아</t>
  </si>
  <si>
    <t>045MS6.png</t>
  </si>
  <si>
    <t>https://archives.bulbagarden.net/media/upload/1/19/045MS6.png</t>
  </si>
  <si>
    <t>490᠎</t>
  </si>
  <si>
    <t>포자</t>
  </si>
  <si>
    <t>포자 (!)</t>
  </si>
  <si>
    <t>18.6 kg</t>
  </si>
  <si>
    <t>#044 사용 리프의돌</t>
  </si>
  <si>
    <t>이판사판태클</t>
  </si>
  <si>
    <t>포커스렌즈</t>
  </si>
  <si>
    <t>파라스</t>
  </si>
  <si>
    <t>#046 파라스</t>
  </si>
  <si>
    <t>046MS6.png</t>
  </si>
  <si>
    <t>https://archives.bulbagarden.net/media/upload/2/28/046MS6.png</t>
  </si>
  <si>
    <t>벌레 - 풀</t>
  </si>
  <si>
    <t>건조피부</t>
  </si>
  <si>
    <t>#047 로 진화 가능</t>
  </si>
  <si>
    <t>작은버섯 - 50%</t>
  </si>
  <si>
    <t>큰버섯 - 5%</t>
  </si>
  <si>
    <t>연속뺨치기</t>
  </si>
  <si>
    <t>초점렌즈</t>
  </si>
  <si>
    <t>파라섹트</t>
  </si>
  <si>
    <t>#047 파라섹트</t>
  </si>
  <si>
    <t>047MS6.png</t>
  </si>
  <si>
    <t>https://archives.bulbagarden.net/media/upload/a/a3/047MS6.png</t>
  </si>
  <si>
    <t>2 공격/1 방어</t>
  </si>
  <si>
    <t>#046 레벨 24</t>
  </si>
  <si>
    <t>드래곤크루</t>
  </si>
  <si>
    <t>광각렌즈</t>
  </si>
  <si>
    <t>콘팡</t>
  </si>
  <si>
    <t>#048 콘팡</t>
  </si>
  <si>
    <t>048MS6.png</t>
  </si>
  <si>
    <t>https://archives.bulbagarden.net/media/upload/6/6f/048MS6.png</t>
  </si>
  <si>
    <t>색안경឵឵ ឵</t>
  </si>
  <si>
    <t>#049 로 진화 가능</t>
  </si>
  <si>
    <t>드래곤다이브</t>
  </si>
  <si>
    <t>도나리</t>
  </si>
  <si>
    <t>#049 도나리</t>
  </si>
  <si>
    <t>049MS6.png</t>
  </si>
  <si>
    <t>https://archives.bulbagarden.net/media/upload/b/b2/049MS6.png</t>
  </si>
  <si>
    <t>12.5 kg</t>
  </si>
  <si>
    <t>#048 레벨 31</t>
  </si>
  <si>
    <t>아름다운허물 - 5%</t>
  </si>
  <si>
    <t>드레인펀치</t>
  </si>
  <si>
    <t>행복의알</t>
  </si>
  <si>
    <t>디그다</t>
  </si>
  <si>
    <t>#050 디그다</t>
  </si>
  <si>
    <t>050MS6.png</t>
  </si>
  <si>
    <t>https://archives.bulbagarden.net/media/upload/b/bf/050MS6.png</t>
  </si>
  <si>
    <t>개미지옥</t>
  </si>
  <si>
    <t>0.8 kg</t>
  </si>
  <si>
    <t>#051 로 진화 가능</t>
  </si>
  <si>
    <t>부드러운모래 - 5%</t>
  </si>
  <si>
    <t>회전부리</t>
  </si>
  <si>
    <t>부적금화</t>
  </si>
  <si>
    <t>닥트리오</t>
  </si>
  <si>
    <t>#051 닥트리오</t>
  </si>
  <si>
    <t>051MS6.png</t>
  </si>
  <si>
    <t>https://archives.bulbagarden.net/media/upload/7/79/051MS6.png</t>
  </si>
  <si>
    <t>425᠎</t>
  </si>
  <si>
    <t>33.3 kg</t>
  </si>
  <si>
    <t>#050 레벨 26</t>
  </si>
  <si>
    <t>폭발펀치</t>
  </si>
  <si>
    <t>나옹</t>
  </si>
  <si>
    <t>#052 나옹</t>
  </si>
  <si>
    <t>052MS6.png</t>
  </si>
  <si>
    <t>https://archives.bulbagarden.net/media/upload/0/0d/052MS6.png</t>
  </si>
  <si>
    <t>픽업</t>
  </si>
  <si>
    <t>테크니션</t>
  </si>
  <si>
    <t>테크니션឵ ឵</t>
  </si>
  <si>
    <t>4.2 kg</t>
  </si>
  <si>
    <t>#053 로 진화 가능</t>
  </si>
  <si>
    <t>선제공격손톱 - 5%</t>
  </si>
  <si>
    <t>지진</t>
  </si>
  <si>
    <t>학습장치</t>
  </si>
  <si>
    <t>페르시온</t>
  </si>
  <si>
    <t>#053 페르시온</t>
  </si>
  <si>
    <t>053MS6.png</t>
  </si>
  <si>
    <t>https://archives.bulbagarden.net/media/upload/1/14/053MS6.png</t>
  </si>
  <si>
    <t>465᠎</t>
  </si>
  <si>
    <t>유연</t>
  </si>
  <si>
    <t>#052 레벨 28</t>
  </si>
  <si>
    <t>알폭탄</t>
  </si>
  <si>
    <t>고라파덕</t>
  </si>
  <si>
    <t>#054 고라파덕</t>
  </si>
  <si>
    <t>054MS6.png</t>
  </si>
  <si>
    <t>https://archives.bulbagarden.net/media/upload/a/a2/054MS6.png</t>
  </si>
  <si>
    <t>습기</t>
  </si>
  <si>
    <t>날씨부정</t>
  </si>
  <si>
    <t>19.6 kg</t>
  </si>
  <si>
    <t>#055 로 진화 가능</t>
  </si>
  <si>
    <t>죽기살기</t>
  </si>
  <si>
    <t>조개껍질방울</t>
  </si>
  <si>
    <t>골덕</t>
  </si>
  <si>
    <t>#055 골덕</t>
  </si>
  <si>
    <t>055MS6.png</t>
  </si>
  <si>
    <t>https://archives.bulbagarden.net/media/upload/5/59/055MS6.png</t>
  </si>
  <si>
    <t>에스퍼 ឵</t>
  </si>
  <si>
    <t>물 - 에스퍼 (!)</t>
  </si>
  <si>
    <t>76.6 kg</t>
  </si>
  <si>
    <t>#054 레벨 33</t>
  </si>
  <si>
    <t>대폭발</t>
  </si>
  <si>
    <t>큰뿌리</t>
  </si>
  <si>
    <t>망키</t>
  </si>
  <si>
    <t>#056 망키</t>
  </si>
  <si>
    <t>056MS6.png</t>
  </si>
  <si>
    <t>https://archives.bulbagarden.net/media/upload/8/87/056MS6.png</t>
  </si>
  <si>
    <t>의기양양</t>
  </si>
  <si>
    <t>분노의경혈</t>
  </si>
  <si>
    <t>28.0 kg</t>
  </si>
  <si>
    <t>#057 로 진화 가능</t>
  </si>
  <si>
    <t>신속</t>
  </si>
  <si>
    <t>검은진흙</t>
  </si>
  <si>
    <t>성원숭</t>
  </si>
  <si>
    <t>#057 성원숭</t>
  </si>
  <si>
    <t>057MS6.png</t>
  </si>
  <si>
    <t>https://archives.bulbagarden.net/media/upload/0/01/057MS6.png</t>
  </si>
  <si>
    <t>#056 레벨 28</t>
  </si>
  <si>
    <t>객기</t>
  </si>
  <si>
    <t>먹다남은음식</t>
  </si>
  <si>
    <t>가디</t>
  </si>
  <si>
    <t>#058 가디</t>
  </si>
  <si>
    <t>058MS6.png</t>
  </si>
  <si>
    <t>https://archives.bulbagarden.net/media/upload/b/b8/058MS6.png</t>
  </si>
  <si>
    <t>느림</t>
  </si>
  <si>
    <t>#059 로 진화 가능</t>
  </si>
  <si>
    <t>속여때리기</t>
  </si>
  <si>
    <t>윈디</t>
  </si>
  <si>
    <t>#059 윈디</t>
  </si>
  <si>
    <t>059MS6.png</t>
  </si>
  <si>
    <t>https://archives.bulbagarden.net/media/upload/0/04/059MS6.png</t>
  </si>
  <si>
    <t>155.0 kg</t>
  </si>
  <si>
    <t>#059 사용 불꽃의돌</t>
  </si>
  <si>
    <t>속이다</t>
  </si>
  <si>
    <t>선제공격손톱</t>
  </si>
  <si>
    <t>발챙이</t>
  </si>
  <si>
    <t>#060 발챙이</t>
  </si>
  <si>
    <t>060MS6.png</t>
  </si>
  <si>
    <t>https://archives.bulbagarden.net/media/upload/1/1e/060MS6.png</t>
  </si>
  <si>
    <t>저수</t>
  </si>
  <si>
    <t>12.4 kg</t>
  </si>
  <si>
    <t>#061 로 진화 가능</t>
  </si>
  <si>
    <t>칼등치기</t>
  </si>
  <si>
    <t>PP 40</t>
  </si>
  <si>
    <t>느림보꼬리</t>
  </si>
  <si>
    <t>슈륙챙이</t>
  </si>
  <si>
    <t>#061 슈륙챙이</t>
  </si>
  <si>
    <t>061MS6.png</t>
  </si>
  <si>
    <t>https://archives.bulbagarden.net/media/upload/2/2f/061MS6.png</t>
  </si>
  <si>
    <t>#060 레벨 25 - 진화 가능: #062, #186</t>
  </si>
  <si>
    <t>왕의징표석 - 5%</t>
  </si>
  <si>
    <t>페인트</t>
  </si>
  <si>
    <t>30᠋</t>
  </si>
  <si>
    <t>강챙이</t>
  </si>
  <si>
    <t>#062 강챙이</t>
  </si>
  <si>
    <t>062MS6.png</t>
  </si>
  <si>
    <t>https://archives.bulbagarden.net/media/upload/8/88/062MS6.png</t>
  </si>
  <si>
    <t>510᠎</t>
  </si>
  <si>
    <t>방어 3</t>
  </si>
  <si>
    <t>물 - 격투</t>
  </si>
  <si>
    <t>54.0 kg</t>
  </si>
  <si>
    <t>#061 사용 물의돌</t>
  </si>
  <si>
    <t>불꽃엄니</t>
  </si>
  <si>
    <t>빛의점토</t>
  </si>
  <si>
    <t>캐이시</t>
  </si>
  <si>
    <t>#063 캐이시</t>
  </si>
  <si>
    <t>063MS6.png</t>
  </si>
  <si>
    <t>https://archives.bulbagarden.net/media/upload/b/b6/063MS6.png</t>
  </si>
  <si>
    <t>싱크로</t>
  </si>
  <si>
    <t>인간형</t>
  </si>
  <si>
    <t>#064 로 진화 가능</t>
  </si>
  <si>
    <t>휘어진스푼 - 5%</t>
  </si>
  <si>
    <t>불꽃펀치</t>
  </si>
  <si>
    <t>끈기갈고리손톱</t>
  </si>
  <si>
    <t>윤겔라</t>
  </si>
  <si>
    <t>#064 윤겔라</t>
  </si>
  <si>
    <t>064MS6.png</t>
  </si>
  <si>
    <t>https://archives.bulbagarden.net/media/upload/2/21/064MS6.png</t>
  </si>
  <si>
    <t>56.5 kg</t>
  </si>
  <si>
    <t>#063 레벨 16 - 진화 가능: #065</t>
  </si>
  <si>
    <t>땅가르기</t>
  </si>
  <si>
    <t>아름다운허물</t>
  </si>
  <si>
    <t>후딘</t>
  </si>
  <si>
    <t>#065 후딘</t>
  </si>
  <si>
    <t>065MS6.png</t>
  </si>
  <si>
    <t>https://archives.bulbagarden.net/media/upload/1/19/065MS6.png</t>
  </si>
  <si>
    <t>500᠎</t>
  </si>
  <si>
    <t>48.0 kg</t>
  </si>
  <si>
    <t>#064 레벨 36</t>
  </si>
  <si>
    <t>바둥바둥</t>
  </si>
  <si>
    <t>알통몬</t>
  </si>
  <si>
    <t>#066 알통몬</t>
  </si>
  <si>
    <t>066MS6.png</t>
  </si>
  <si>
    <t>https://archives.bulbagarden.net/media/upload/5/59/066MS6.png</t>
  </si>
  <si>
    <t>노가드</t>
  </si>
  <si>
    <t>#067 로 진화 가능</t>
  </si>
  <si>
    <t>기합의머리띠 - 5%</t>
  </si>
  <si>
    <t>화염자동차</t>
  </si>
  <si>
    <t>대파</t>
  </si>
  <si>
    <t>근육몬</t>
  </si>
  <si>
    <t>#067 근육몬</t>
  </si>
  <si>
    <t>067MS6.png</t>
  </si>
  <si>
    <t>https://archives.bulbagarden.net/media/upload/1/19/067MS6.png</t>
  </si>
  <si>
    <t>70.5 kg</t>
  </si>
  <si>
    <t>#066 레벨 28 - 진화 가능: #068</t>
  </si>
  <si>
    <t>플레어드라이브</t>
  </si>
  <si>
    <t>굵은뼈</t>
  </si>
  <si>
    <t>괴력몬</t>
  </si>
  <si>
    <t>#068 괴력몬</t>
  </si>
  <si>
    <t>068MS6.png</t>
  </si>
  <si>
    <t>https://archives.bulbagarden.net/media/upload/0/05/068MS6.png</t>
  </si>
  <si>
    <t>130.0 kg</t>
  </si>
  <si>
    <t>#067 레벨 36</t>
  </si>
  <si>
    <t>내던지기</t>
  </si>
  <si>
    <t>럭키펀치</t>
  </si>
  <si>
    <t>모다피</t>
  </si>
  <si>
    <t>#069 모다피</t>
  </si>
  <si>
    <t>069MS6.png</t>
  </si>
  <si>
    <t>https://archives.bulbagarden.net/media/upload/c/c7/069MS6.png</t>
  </si>
  <si>
    <t>먹보</t>
  </si>
  <si>
    <t>먹보 (!)</t>
  </si>
  <si>
    <t>4.0 kg</t>
  </si>
  <si>
    <t>#070 로 진화 가능</t>
  </si>
  <si>
    <t>공중날기</t>
  </si>
  <si>
    <t>금속파우더</t>
  </si>
  <si>
    <t>우츠동</t>
  </si>
  <si>
    <t>#070 우츠동</t>
  </si>
  <si>
    <t>070MS6.png</t>
  </si>
  <si>
    <t>https://archives.bulbagarden.net/media/upload/b/b5/070MS6.png</t>
  </si>
  <si>
    <t>6.4 kg</t>
  </si>
  <si>
    <t>#069 레벨 21 - 진화 가능: #071</t>
  </si>
  <si>
    <t>힘껏펀치</t>
  </si>
  <si>
    <t>스피드파우더</t>
  </si>
  <si>
    <t>우츠보트</t>
  </si>
  <si>
    <t>#071 우츠보트</t>
  </si>
  <si>
    <t>071MS6.png</t>
  </si>
  <si>
    <t>https://archives.bulbagarden.net/media/upload/6/69/071MS6.png</t>
  </si>
  <si>
    <t>15.5 kg</t>
  </si>
  <si>
    <t>#070 사용 리프의돌</t>
  </si>
  <si>
    <t>발경</t>
  </si>
  <si>
    <t>왕눈해</t>
  </si>
  <si>
    <t>#072 왕눈해</t>
  </si>
  <si>
    <t>072MS6.png</t>
  </si>
  <si>
    <t>https://archives.bulbagarden.net/media/upload/3/3a/072MS6.png</t>
  </si>
  <si>
    <t>물 - 독</t>
  </si>
  <si>
    <t>클리어바디</t>
  </si>
  <si>
    <t>해감액</t>
  </si>
  <si>
    <t>45.5 kg</t>
  </si>
  <si>
    <t>수중 3</t>
  </si>
  <si>
    <t>#073 로 진화 가능</t>
  </si>
  <si>
    <t>화풀이</t>
  </si>
  <si>
    <t>교정깁스</t>
  </si>
  <si>
    <t>독파리</t>
  </si>
  <si>
    <t>#073 독파리</t>
  </si>
  <si>
    <t>073MS6.png</t>
  </si>
  <si>
    <t>https://archives.bulbagarden.net/media/upload/e/eb/073MS6.png</t>
  </si>
  <si>
    <t>특방 2</t>
  </si>
  <si>
    <t>#072 레벨 30</t>
  </si>
  <si>
    <t>마구찌르기</t>
  </si>
  <si>
    <t>파워앵클릿</t>
  </si>
  <si>
    <t>꼬마돌</t>
  </si>
  <si>
    <t>#074 꼬마돌</t>
  </si>
  <si>
    <t>074MS6.png</t>
  </si>
  <si>
    <t>https://archives.bulbagarden.net/media/upload/b/b4/074MS6.png</t>
  </si>
  <si>
    <t>바위 - 땅</t>
  </si>
  <si>
    <t>돌머리</t>
  </si>
  <si>
    <t>옹골참</t>
  </si>
  <si>
    <t>광물</t>
  </si>
  <si>
    <t>#075 로 진화 가능</t>
  </si>
  <si>
    <t>연속자르기</t>
  </si>
  <si>
    <t>파워웨이트</t>
  </si>
  <si>
    <t>데구리</t>
  </si>
  <si>
    <t>#075 데구리</t>
  </si>
  <si>
    <t>075MS6.png</t>
  </si>
  <si>
    <t>https://archives.bulbagarden.net/media/upload/0/0f/075MS6.png</t>
  </si>
  <si>
    <t>105.0 kg</t>
  </si>
  <si>
    <t>#074 레벨 25 - 진화 가능: #076</t>
  </si>
  <si>
    <t>마구할퀴기</t>
  </si>
  <si>
    <t>파워리스트</t>
  </si>
  <si>
    <t>딱구리</t>
  </si>
  <si>
    <t>#076 딱구리</t>
  </si>
  <si>
    <t>076MS6.png</t>
  </si>
  <si>
    <t>https://archives.bulbagarden.net/media/upload/c/c3/076MS6.png</t>
  </si>
  <si>
    <t>120᠎</t>
  </si>
  <si>
    <t>300.0 kg</t>
  </si>
  <si>
    <t>#075 레벨 36</t>
  </si>
  <si>
    <t>기가임팩트</t>
  </si>
  <si>
    <t>파워렌즈</t>
  </si>
  <si>
    <t>포니타</t>
  </si>
  <si>
    <t>#077 포니타</t>
  </si>
  <si>
    <t>077MS6.png</t>
  </si>
  <si>
    <t>https://archives.bulbagarden.net/media/upload/5/5d/077MS6.png</t>
  </si>
  <si>
    <t xml:space="preserve">불꽃몸 </t>
  </si>
  <si>
    <t>불꽃몸 (!)</t>
  </si>
  <si>
    <t>#078 로 진화 가능</t>
  </si>
  <si>
    <t>가위자르기</t>
  </si>
  <si>
    <t>파워밴드</t>
  </si>
  <si>
    <t>날쌩마</t>
  </si>
  <si>
    <t>#078 날쌩마</t>
  </si>
  <si>
    <t>078MS6.png</t>
  </si>
  <si>
    <t>https://archives.bulbagarden.net/media/upload/0/02/078MS6.png</t>
  </si>
  <si>
    <t>95.0 kg</t>
  </si>
  <si>
    <t>#077 레벨 35</t>
  </si>
  <si>
    <t>더스트슈트</t>
  </si>
  <si>
    <t>80%᠎</t>
  </si>
  <si>
    <t>파워벨트</t>
  </si>
  <si>
    <t>야돈</t>
  </si>
  <si>
    <t>#079 야돈</t>
  </si>
  <si>
    <t>079MS6.png</t>
  </si>
  <si>
    <t>https://archives.bulbagarden.net/media/upload/8/82/079MS6.png</t>
  </si>
  <si>
    <t>물 - 에스퍼</t>
  </si>
  <si>
    <t>둔감</t>
  </si>
  <si>
    <t>마이페이스</t>
  </si>
  <si>
    <t>36.0 kg</t>
  </si>
  <si>
    <t>진화 가능: #080, #199</t>
  </si>
  <si>
    <t>느림보꼬리 - 5%</t>
  </si>
  <si>
    <t>자이로볼</t>
  </si>
  <si>
    <t>평온의방울</t>
  </si>
  <si>
    <t>야도란</t>
  </si>
  <si>
    <t>#080 야도란</t>
  </si>
  <si>
    <t>080MS6.png</t>
  </si>
  <si>
    <t>https://archives.bulbagarden.net/media/upload/c/cb/080MS6.png</t>
  </si>
  <si>
    <t>78.5 kg</t>
  </si>
  <si>
    <t>#079 레벨 33</t>
  </si>
  <si>
    <t>암해머</t>
  </si>
  <si>
    <t>코일</t>
  </si>
  <si>
    <t>#081 코일</t>
  </si>
  <si>
    <t>081MS6.png</t>
  </si>
  <si>
    <t>https://archives.bulbagarden.net/media/upload/6/6e/081MS6.png</t>
  </si>
  <si>
    <t>전기 - 강철</t>
  </si>
  <si>
    <t>자력</t>
  </si>
  <si>
    <t>무성별</t>
  </si>
  <si>
    <t>#082 로 진화 가능</t>
  </si>
  <si>
    <t>금속코트 - 5%</t>
  </si>
  <si>
    <t>양날박치기</t>
  </si>
  <si>
    <t>하양허브</t>
  </si>
  <si>
    <t>레어코일</t>
  </si>
  <si>
    <t>#082 레어코일</t>
  </si>
  <si>
    <t>082MS6.png</t>
  </si>
  <si>
    <t>https://archives.bulbagarden.net/media/upload/9/9f/082MS6.png</t>
  </si>
  <si>
    <t>#081 레벨 30 - 진화 가능: #462</t>
  </si>
  <si>
    <t>박치기</t>
  </si>
  <si>
    <t>멘탈허브</t>
  </si>
  <si>
    <t>파오리</t>
  </si>
  <si>
    <t>#083 파오리</t>
  </si>
  <si>
    <t>083MS6.png</t>
  </si>
  <si>
    <t>https://archives.bulbagarden.net/media/upload/0/09/083MS6.png</t>
  </si>
  <si>
    <t xml:space="preserve">공격 1 </t>
  </si>
  <si>
    <t>(2Atk COM)</t>
  </si>
  <si>
    <t>in COM</t>
  </si>
  <si>
    <t>격투 ឵</t>
  </si>
  <si>
    <t>격투 (!) - 비행</t>
  </si>
  <si>
    <t xml:space="preserve">격투 </t>
  </si>
  <si>
    <t>대운 (!)</t>
  </si>
  <si>
    <t>15.0 kg</t>
  </si>
  <si>
    <t>N</t>
  </si>
  <si>
    <t>대파 - 5%</t>
  </si>
  <si>
    <t>무릎차기</t>
  </si>
  <si>
    <t>130᠎</t>
  </si>
  <si>
    <t>10PP᠋</t>
  </si>
  <si>
    <t>파워풀허브</t>
  </si>
  <si>
    <t>두두</t>
  </si>
  <si>
    <t>#084 두두</t>
  </si>
  <si>
    <t>084MS6.png</t>
  </si>
  <si>
    <t>https://archives.bulbagarden.net/media/upload/7/7f/084MS6.png</t>
  </si>
  <si>
    <t>일찍기상</t>
  </si>
  <si>
    <t>갈지자걸음 (!)</t>
  </si>
  <si>
    <t>39.2 kg</t>
  </si>
  <si>
    <t>#085 로 진화 가능</t>
  </si>
  <si>
    <t>뿔찌르기</t>
  </si>
  <si>
    <t>두트리오</t>
  </si>
  <si>
    <t>#085 두트리오</t>
  </si>
  <si>
    <t>085MS6.png</t>
  </si>
  <si>
    <t>https://archives.bulbagarden.net/media/upload/8/8a/085MS6.png</t>
  </si>
  <si>
    <t>470᠎</t>
  </si>
  <si>
    <t>85.2 kg</t>
  </si>
  <si>
    <t>#084 레벨 31</t>
  </si>
  <si>
    <t>뿔드릴᠋</t>
  </si>
  <si>
    <t>30%᠋</t>
  </si>
  <si>
    <t>5PP᠋</t>
  </si>
  <si>
    <t>반짝가루</t>
  </si>
  <si>
    <t>쥬쥬</t>
  </si>
  <si>
    <t>#086 쥬쥬</t>
  </si>
  <si>
    <t>086MS6.png</t>
  </si>
  <si>
    <t>https://archives.bulbagarden.net/media/upload/d/db/086MS6.png</t>
  </si>
  <si>
    <t>두꺼운지방</t>
  </si>
  <si>
    <t>촉촉바디</t>
  </si>
  <si>
    <t>90.0 kg</t>
  </si>
  <si>
    <t>#087 로 진화 가능</t>
  </si>
  <si>
    <t>드릴라이너 (!)</t>
  </si>
  <si>
    <t>왕의징표석</t>
  </si>
  <si>
    <t>쥬레곤</t>
  </si>
  <si>
    <t>#087 쥬레곤</t>
  </si>
  <si>
    <t>087MS6.png</t>
  </si>
  <si>
    <t>https://archives.bulbagarden.net/media/upload/f/f7/087MS6.png</t>
  </si>
  <si>
    <t>물 - 얼음</t>
  </si>
  <si>
    <t>120.0 kg</t>
  </si>
  <si>
    <t>#086 레벨 34</t>
  </si>
  <si>
    <t>필살앞니</t>
  </si>
  <si>
    <t>빨간실</t>
  </si>
  <si>
    <t>질퍽이</t>
  </si>
  <si>
    <t>#088 질퍽이</t>
  </si>
  <si>
    <t>088MS6.png</t>
  </si>
  <si>
    <t>https://archives.bulbagarden.net/media/upload/2/2a/088MS6.png</t>
  </si>
  <si>
    <t>점착</t>
  </si>
  <si>
    <t>부정형</t>
  </si>
  <si>
    <t>#089 로 진화 가능</t>
  </si>
  <si>
    <t>검은진흙 - 5%</t>
  </si>
  <si>
    <t>아이스볼</t>
  </si>
  <si>
    <t>질뻐기</t>
  </si>
  <si>
    <t>#089 질뻐기</t>
  </si>
  <si>
    <t>089MS6.png</t>
  </si>
  <si>
    <t>https://archives.bulbagarden.net/media/upload/9/9b/089MS6.png</t>
  </si>
  <si>
    <t>1 HP/1 공격</t>
  </si>
  <si>
    <t>#088 레벨 35</t>
  </si>
  <si>
    <t>검은진흙 – 50%</t>
  </si>
  <si>
    <t>얼음엄니</t>
  </si>
  <si>
    <t>순결의부적</t>
  </si>
  <si>
    <t>셀러</t>
  </si>
  <si>
    <t>#090 셀러</t>
  </si>
  <si>
    <t>090MS6.png</t>
  </si>
  <si>
    <t>https://archives.bulbagarden.net/media/upload/a/ae/090MS6.png</t>
  </si>
  <si>
    <t>조가비갑옷</t>
  </si>
  <si>
    <t>스킬링크</t>
  </si>
  <si>
    <t>스킬링크឵ ឵</t>
  </si>
  <si>
    <t>#091 로 진화 가능</t>
  </si>
  <si>
    <t>진주 - 50%</t>
  </si>
  <si>
    <t>큰진주 - 5%</t>
  </si>
  <si>
    <t>냉동펀치</t>
  </si>
  <si>
    <t>파르셀</t>
  </si>
  <si>
    <t>#091 파르셀</t>
  </si>
  <si>
    <t>091MS6.png</t>
  </si>
  <si>
    <t>https://archives.bulbagarden.net/media/upload/8/84/091MS6.png</t>
  </si>
  <si>
    <t>132.5 kg</t>
  </si>
  <si>
    <t>#090 사용 물의돌</t>
  </si>
  <si>
    <t>얼음뭉치</t>
  </si>
  <si>
    <t>뜨거운바위</t>
  </si>
  <si>
    <t>고오스</t>
  </si>
  <si>
    <t>#092 고오스</t>
  </si>
  <si>
    <t>092MS6.png</t>
  </si>
  <si>
    <t>https://archives.bulbagarden.net/media/upload/e/e1/092MS6.png</t>
  </si>
  <si>
    <t>고스트 - 독</t>
  </si>
  <si>
    <t>부유</t>
  </si>
  <si>
    <t>0.1 kg</t>
  </si>
  <si>
    <t>#093 로 진화 가능</t>
  </si>
  <si>
    <t>고드름침</t>
  </si>
  <si>
    <t>차가운바위</t>
  </si>
  <si>
    <t>고우스트</t>
  </si>
  <si>
    <t>#093 고우스트</t>
  </si>
  <si>
    <t>093MS6.png</t>
  </si>
  <si>
    <t>https://archives.bulbagarden.net/media/upload/6/64/093MS6.png</t>
  </si>
  <si>
    <t>#092 레벨 25 - 진화 가능: #094</t>
  </si>
  <si>
    <t>아이언헤드</t>
  </si>
  <si>
    <t>축축한바위</t>
  </si>
  <si>
    <t>팬텀</t>
  </si>
  <si>
    <t>#094 팬텀</t>
  </si>
  <si>
    <t>094MS6.png</t>
  </si>
  <si>
    <t>https://archives.bulbagarden.net/media/upload/8/87/094MS6.png</t>
  </si>
  <si>
    <t>40.5 kg</t>
  </si>
  <si>
    <t>#093 레벨 36</t>
  </si>
  <si>
    <t>아이언테일</t>
  </si>
  <si>
    <t>보송보송바위</t>
  </si>
  <si>
    <t>롱스톤</t>
  </si>
  <si>
    <t>#095 롱스톤</t>
  </si>
  <si>
    <t>095MS6.png</t>
  </si>
  <si>
    <t>https://archives.bulbagarden.net/media/upload/3/38/095MS6.png</t>
  </si>
  <si>
    <t>210.0 kg</t>
  </si>
  <si>
    <t>#208 로 진화 가능</t>
  </si>
  <si>
    <t>점프킥</t>
  </si>
  <si>
    <t>슬리프</t>
  </si>
  <si>
    <t>#096 슬리프</t>
  </si>
  <si>
    <t>096MS6.png</t>
  </si>
  <si>
    <t>https://archives.bulbagarden.net/media/upload/2/22/096MS6.png</t>
  </si>
  <si>
    <t>불면</t>
  </si>
  <si>
    <t>예지몽</t>
  </si>
  <si>
    <t>32.4 kg</t>
  </si>
  <si>
    <t>#096 진화 가능: #097</t>
  </si>
  <si>
    <t>태권당수</t>
  </si>
  <si>
    <t>푸른하늘플레이트</t>
  </si>
  <si>
    <t>슬리퍼</t>
  </si>
  <si>
    <t>#097 슬리퍼</t>
  </si>
  <si>
    <t>097MS6.png</t>
  </si>
  <si>
    <t>https://archives.bulbagarden.net/media/upload/2/23/097MS6.png</t>
  </si>
  <si>
    <t>75.6 kg</t>
  </si>
  <si>
    <t>레벨 26</t>
  </si>
  <si>
    <t>탁쳐서떨구기</t>
  </si>
  <si>
    <t>용의플레이트</t>
  </si>
  <si>
    <t>크랩</t>
  </si>
  <si>
    <t>#098 크랩</t>
  </si>
  <si>
    <t>098MS6.png</t>
  </si>
  <si>
    <t>https://archives.bulbagarden.net/media/upload/7/72/098MS6.png</t>
  </si>
  <si>
    <t>괴력집게</t>
  </si>
  <si>
    <t>6.5 kg</t>
  </si>
  <si>
    <t>#099 로 진화 가능</t>
  </si>
  <si>
    <t>뒀다쓰기</t>
  </si>
  <si>
    <t>140᠎</t>
  </si>
  <si>
    <t>원령플레이트</t>
  </si>
  <si>
    <t>킹크랩</t>
  </si>
  <si>
    <t>#099 킹크랩</t>
  </si>
  <si>
    <t>099MS6.png</t>
  </si>
  <si>
    <t>https://archives.bulbagarden.net/media/upload/f/fd/099MS6.png</t>
  </si>
  <si>
    <t>#098 레벨 28</t>
  </si>
  <si>
    <t>리프블레이드</t>
  </si>
  <si>
    <t>강철플레이트</t>
  </si>
  <si>
    <t>찌리리공</t>
  </si>
  <si>
    <t>#100 찌리리공</t>
  </si>
  <si>
    <t>100MS6.png</t>
  </si>
  <si>
    <t>https://archives.bulbagarden.net/media/upload/2/2e/100MS6.png</t>
  </si>
  <si>
    <t>방음</t>
  </si>
  <si>
    <t>10.4 kg</t>
  </si>
  <si>
    <t>#101 로 진화 가능</t>
  </si>
  <si>
    <t>흡혈</t>
  </si>
  <si>
    <t>불구슬플레이트</t>
  </si>
  <si>
    <t>붐볼</t>
  </si>
  <si>
    <t>#101 붐볼</t>
  </si>
  <si>
    <t>101MS6.png</t>
  </si>
  <si>
    <t>https://archives.bulbagarden.net/media/upload/5/51/101MS6.png</t>
  </si>
  <si>
    <t>150᠎</t>
  </si>
  <si>
    <t>66.6 kg</t>
  </si>
  <si>
    <t>#100 레벨 30</t>
  </si>
  <si>
    <t>핥기</t>
  </si>
  <si>
    <t>고드름플레이트</t>
  </si>
  <si>
    <t>아라리</t>
  </si>
  <si>
    <t>#102 아라리</t>
  </si>
  <si>
    <t>102MS6.png</t>
  </si>
  <si>
    <t>https://archives.bulbagarden.net/media/upload/4/46/102MS6.png</t>
  </si>
  <si>
    <t>풀 - 에스퍼</t>
  </si>
  <si>
    <t>2.5 kg</t>
  </si>
  <si>
    <t>#103 로 진화 가능</t>
  </si>
  <si>
    <t>안다리걸기</t>
  </si>
  <si>
    <t>초록플레이트</t>
  </si>
  <si>
    <t>나시</t>
  </si>
  <si>
    <t>#103 나시</t>
  </si>
  <si>
    <t>103MS6.png</t>
  </si>
  <si>
    <t>https://archives.bulbagarden.net/media/upload/0/0f/103MS6.png</t>
  </si>
  <si>
    <t>530᠎</t>
  </si>
  <si>
    <t>#102 사용 리프의돌</t>
  </si>
  <si>
    <t>마하펀치</t>
  </si>
  <si>
    <t>물방울플레이트</t>
  </si>
  <si>
    <t>탕구리</t>
  </si>
  <si>
    <t>#104 탕구리</t>
  </si>
  <si>
    <t>104MS6.png</t>
  </si>
  <si>
    <t>https://archives.bulbagarden.net/media/upload/0/05/104MS6.png</t>
  </si>
  <si>
    <t>#105 로 진화 가능</t>
  </si>
  <si>
    <t>굵은뼈 - 5%</t>
  </si>
  <si>
    <t>마그넷봄</t>
  </si>
  <si>
    <t>공포플레이트</t>
  </si>
  <si>
    <t>텅구리</t>
  </si>
  <si>
    <t>#105 텅구리</t>
  </si>
  <si>
    <t>105MS6.png</t>
  </si>
  <si>
    <t>https://archives.bulbagarden.net/media/upload/2/2f/105MS6.png</t>
  </si>
  <si>
    <t>45.0 kg</t>
  </si>
  <si>
    <t>#104 레벨 28</t>
  </si>
  <si>
    <t>매그니튜드</t>
  </si>
  <si>
    <t>주먹플레이트</t>
  </si>
  <si>
    <t>시라소몬</t>
  </si>
  <si>
    <t>#106 시라소몬</t>
  </si>
  <si>
    <t>106MS6.png</t>
  </si>
  <si>
    <t>https://archives.bulbagarden.net/media/upload/d/d2/106MS6.png</t>
  </si>
  <si>
    <t>이판사판</t>
  </si>
  <si>
    <t>이판사판 ឵</t>
  </si>
  <si>
    <t>49.8 kg</t>
  </si>
  <si>
    <t>#236 레벨 20 공격 &gt; 방어일 때</t>
  </si>
  <si>
    <t>메가톤킥</t>
  </si>
  <si>
    <t>암석플레이트</t>
  </si>
  <si>
    <t>홍수몬</t>
  </si>
  <si>
    <t>#107 홍수몬</t>
  </si>
  <si>
    <t>107MS6.png</t>
  </si>
  <si>
    <t>https://archives.bulbagarden.net/media/upload/3/33/107MS6.png</t>
  </si>
  <si>
    <t>철주먹</t>
  </si>
  <si>
    <t>철주먹឵ ឵</t>
  </si>
  <si>
    <t>50.2 kg</t>
  </si>
  <si>
    <t>#236 레벨 20 공격 &lt; 방어일 때</t>
  </si>
  <si>
    <t>메가톤펀치</t>
  </si>
  <si>
    <t>이상한플레이트</t>
  </si>
  <si>
    <t>내루미</t>
  </si>
  <si>
    <t>#108 내루미</t>
  </si>
  <si>
    <t>108MS6.png</t>
  </si>
  <si>
    <t>https://archives.bulbagarden.net/media/upload/3/34/108MS6.png</t>
  </si>
  <si>
    <t>65.5 kg</t>
  </si>
  <si>
    <t>#463 로 진화 가능</t>
  </si>
  <si>
    <t>메가폰</t>
  </si>
  <si>
    <t>대지플레이트</t>
  </si>
  <si>
    <t>또가스</t>
  </si>
  <si>
    <t>#109 또가스</t>
  </si>
  <si>
    <t>109MS6.png</t>
  </si>
  <si>
    <t>https://archives.bulbagarden.net/media/upload/1/17/109MS6.png</t>
  </si>
  <si>
    <t>1.0 kg</t>
  </si>
  <si>
    <t>#110 로 진화 가능</t>
  </si>
  <si>
    <t>연막탄 - 5%</t>
  </si>
  <si>
    <t>메탈버스트</t>
  </si>
  <si>
    <t>맹독플레이트</t>
  </si>
  <si>
    <t>또도가스</t>
  </si>
  <si>
    <t>#110 또도가스</t>
  </si>
  <si>
    <t>110MS6.png</t>
  </si>
  <si>
    <t>https://archives.bulbagarden.net/media/upload/b/bd/110MS6.png</t>
  </si>
  <si>
    <t>9.5 kg</t>
  </si>
  <si>
    <t>#109 레벨 35</t>
  </si>
  <si>
    <t>메탈크로우</t>
  </si>
  <si>
    <t>PP 35</t>
  </si>
  <si>
    <t>우뢰플레이트</t>
  </si>
  <si>
    <t>뿔카노</t>
  </si>
  <si>
    <t>#111 뿔카노</t>
  </si>
  <si>
    <t>111MS6.png</t>
  </si>
  <si>
    <t>https://archives.bulbagarden.net/media/upload/e/e8/111MS6.png</t>
  </si>
  <si>
    <t>땅 - 바위</t>
  </si>
  <si>
    <t>돌머리឵ ឵</t>
  </si>
  <si>
    <t>이판사판 (!)</t>
  </si>
  <si>
    <t>115.0 kg</t>
  </si>
  <si>
    <t>#464 로 진화 가능</t>
  </si>
  <si>
    <t>코멧펀치</t>
  </si>
  <si>
    <t>90᠋</t>
  </si>
  <si>
    <t>비단벌레플레이트</t>
  </si>
  <si>
    <t>코뿌리</t>
  </si>
  <si>
    <t>#112 코뿌리</t>
  </si>
  <si>
    <t>112MS6.png</t>
  </si>
  <si>
    <t>https://archives.bulbagarden.net/media/upload/7/7c/112MS6.png</t>
  </si>
  <si>
    <t>#111 레벨 36</t>
  </si>
  <si>
    <t>자연의은혜</t>
  </si>
  <si>
    <t>럭키</t>
  </si>
  <si>
    <t>#113 럭키</t>
  </si>
  <si>
    <t>113MS6.png</t>
  </si>
  <si>
    <t>https://archives.bulbagarden.net/media/upload/0/08/113MS6.png</t>
  </si>
  <si>
    <t>자연회복</t>
  </si>
  <si>
    <t>하늘의은총</t>
  </si>
  <si>
    <t>하늘의은총឵ ឵</t>
  </si>
  <si>
    <t>34.6 kg</t>
  </si>
  <si>
    <t>#440 낮에 동글동글돌을 지닌 상태로 레벨업 - 진화 가능: #242</t>
  </si>
  <si>
    <t>럭키펀치 - 50%</t>
  </si>
  <si>
    <t>바늘팔</t>
  </si>
  <si>
    <t>플러스파워</t>
  </si>
  <si>
    <t>덩쿠리</t>
  </si>
  <si>
    <t>#114 덩쿠리</t>
  </si>
  <si>
    <t>114MS6.png</t>
  </si>
  <si>
    <t>https://archives.bulbagarden.net/media/upload/6/60/114MS6.png</t>
  </si>
  <si>
    <t>리프가드</t>
  </si>
  <si>
    <t>35.0 kg</t>
  </si>
  <si>
    <t>#465 로 진화 가능</t>
  </si>
  <si>
    <t>깜짝베기</t>
  </si>
  <si>
    <t>디펜드업</t>
  </si>
  <si>
    <t>캥카</t>
  </si>
  <si>
    <t>#115 캥카</t>
  </si>
  <si>
    <t>115MS6.png</t>
  </si>
  <si>
    <t>https://archives.bulbagarden.net/media/upload/1/12/115MS6.png</t>
  </si>
  <si>
    <t>배짱</t>
  </si>
  <si>
    <t>배짱឵ ឵</t>
  </si>
  <si>
    <t>80.0 kg</t>
  </si>
  <si>
    <t>역린</t>
  </si>
  <si>
    <t>스페셜가드</t>
  </si>
  <si>
    <t>쏘드라</t>
  </si>
  <si>
    <t>#116 쏘드라</t>
  </si>
  <si>
    <t>116MS6.png</t>
  </si>
  <si>
    <t>https://archives.bulbagarden.net/media/upload/8/88/116MS6.png</t>
  </si>
  <si>
    <t>쓱쓱</t>
  </si>
  <si>
    <t>8.0 kg</t>
  </si>
  <si>
    <t>#117 로 진화 가능</t>
  </si>
  <si>
    <t>용의비늘 - 5%</t>
  </si>
  <si>
    <t>고양이돈받기</t>
  </si>
  <si>
    <t>플러스파워?</t>
  </si>
  <si>
    <t>시드라</t>
  </si>
  <si>
    <t>#117 시드라</t>
  </si>
  <si>
    <t>117MS6.png</t>
  </si>
  <si>
    <t>https://archives.bulbagarden.net/media/upload/6/66/117MS6.png</t>
  </si>
  <si>
    <t>25.0 kg</t>
  </si>
  <si>
    <t>1 방어/1 특공</t>
  </si>
  <si>
    <t>#116 레벨 32 - 진화 가능: #230</t>
  </si>
  <si>
    <t>보복</t>
  </si>
  <si>
    <t>크리티컬커터</t>
  </si>
  <si>
    <t>콘치</t>
  </si>
  <si>
    <t>#118 콘치</t>
  </si>
  <si>
    <t>118MS6.png</t>
  </si>
  <si>
    <t>https://archives.bulbagarden.net/media/upload/c/cf/118MS6.png</t>
  </si>
  <si>
    <t>77᠎</t>
  </si>
  <si>
    <t>25᠋</t>
  </si>
  <si>
    <t>73᠎</t>
  </si>
  <si>
    <t>330᠎</t>
  </si>
  <si>
    <t>수의베일</t>
  </si>
  <si>
    <t>수중 2</t>
  </si>
  <si>
    <t>#119 로 진화 가능</t>
  </si>
  <si>
    <t>신비의물방울 - 5%</t>
  </si>
  <si>
    <t>쪼기</t>
  </si>
  <si>
    <t>잘-맞히기</t>
  </si>
  <si>
    <t>왕콘치</t>
  </si>
  <si>
    <t>#119 왕콘치</t>
  </si>
  <si>
    <t>119MS6.png</t>
  </si>
  <si>
    <t>https://archives.bulbagarden.net/media/upload/4/40/119MS6.png</t>
  </si>
  <si>
    <t>122᠎</t>
  </si>
  <si>
    <t>78᠎</t>
  </si>
  <si>
    <t>39.0 kg</t>
  </si>
  <si>
    <t>#118 레벨 33</t>
  </si>
  <si>
    <t>바늘미사일</t>
  </si>
  <si>
    <t>95%᠎</t>
  </si>
  <si>
    <t>스페셜업</t>
  </si>
  <si>
    <t>별가사리</t>
  </si>
  <si>
    <t>#120 별가사리</t>
  </si>
  <si>
    <t>120MS6.png</t>
  </si>
  <si>
    <t>https://archives.bulbagarden.net/media/upload/d/da/120MS6.png</t>
  </si>
  <si>
    <t>발광</t>
  </si>
  <si>
    <t>34.5 kg</t>
  </si>
  <si>
    <t>#121 로 진화 가능</t>
  </si>
  <si>
    <t>별의모래 - 50%</t>
  </si>
  <si>
    <t>별의조각 - 5%</t>
  </si>
  <si>
    <t>쪼아대기</t>
  </si>
  <si>
    <t>스피드업</t>
  </si>
  <si>
    <t>아쿠스타</t>
  </si>
  <si>
    <t>#121 아쿠스타</t>
  </si>
  <si>
    <t>121MS6.png</t>
  </si>
  <si>
    <t>https://archives.bulbagarden.net/media/upload/4/42/121MS6.png</t>
  </si>
  <si>
    <t>#120 사용 물의돌</t>
  </si>
  <si>
    <t>독엄니</t>
  </si>
  <si>
    <t>95%᠋</t>
  </si>
  <si>
    <t>삐삐인형</t>
  </si>
  <si>
    <t>마임맨</t>
  </si>
  <si>
    <t>#122 마임맨</t>
  </si>
  <si>
    <t>122MS6.png</t>
  </si>
  <si>
    <t>https://archives.bulbagarden.net/media/upload/8/84/122MS6.png</t>
  </si>
  <si>
    <t>에스퍼 - 페어리 (!)</t>
  </si>
  <si>
    <t>필터</t>
  </si>
  <si>
    <t>필터឵ ឵</t>
  </si>
  <si>
    <t>테크니션 (!)</t>
  </si>
  <si>
    <t>54.5 kg</t>
  </si>
  <si>
    <t>#439 레벨업 흉내내기</t>
  </si>
  <si>
    <t>독찌르기</t>
  </si>
  <si>
    <t>에나비꼬리</t>
  </si>
  <si>
    <t>스라크</t>
  </si>
  <si>
    <t>#123 스라크</t>
  </si>
  <si>
    <t>123MS6.png</t>
  </si>
  <si>
    <t>https://archives.bulbagarden.net/media/upload/5/5c/123MS6.png</t>
  </si>
  <si>
    <t>56.0 kg</t>
  </si>
  <si>
    <t>#212 로 진화 가능</t>
  </si>
  <si>
    <t>독침</t>
  </si>
  <si>
    <t>파랑비드로</t>
  </si>
  <si>
    <t>루주라</t>
  </si>
  <si>
    <t>#124 루주라</t>
  </si>
  <si>
    <t>124MS6.png</t>
  </si>
  <si>
    <t>https://archives.bulbagarden.net/media/upload/6/65/124MS6.png</t>
  </si>
  <si>
    <t>125᠎</t>
  </si>
  <si>
    <t>얼음 - 에스퍼</t>
  </si>
  <si>
    <t>건조피부 (!)</t>
  </si>
  <si>
    <t>40.6 kg</t>
  </si>
  <si>
    <t xml:space="preserve">#238 레벨 30 </t>
  </si>
  <si>
    <t>포이즌테일</t>
  </si>
  <si>
    <t>노랑비드로</t>
  </si>
  <si>
    <t>에레브</t>
  </si>
  <si>
    <t>#125 에레브</t>
  </si>
  <si>
    <t>125MS6.png</t>
  </si>
  <si>
    <t>https://archives.bulbagarden.net/media/upload/9/9b/125MS6.png</t>
  </si>
  <si>
    <t>의기양양 (!)</t>
  </si>
  <si>
    <t>#239 레벨 30 - 진화 가능: #466</t>
  </si>
  <si>
    <t>에레키부스터 - 5%</t>
  </si>
  <si>
    <t>막치기</t>
  </si>
  <si>
    <t>빨강비드로</t>
  </si>
  <si>
    <t>마그마</t>
  </si>
  <si>
    <t>#126 마그마</t>
  </si>
  <si>
    <t>126MS6.png</t>
  </si>
  <si>
    <t>https://archives.bulbagarden.net/media/upload/3/39/126MS6.png</t>
  </si>
  <si>
    <t>불꽃몸</t>
  </si>
  <si>
    <t>44.5 kg</t>
  </si>
  <si>
    <t>#240 레벨 30 - 진화 가능: #467</t>
  </si>
  <si>
    <t>마그마부스터 - 5%</t>
  </si>
  <si>
    <t>파워휩</t>
  </si>
  <si>
    <t>쁘사이저</t>
  </si>
  <si>
    <t>#127 쁘사이저</t>
  </si>
  <si>
    <t>127MS6.png</t>
  </si>
  <si>
    <t>https://archives.bulbagarden.net/media/upload/f/fa/127MS6.png</t>
  </si>
  <si>
    <t>틀깨기</t>
  </si>
  <si>
    <t>프레젠트</t>
  </si>
  <si>
    <t>리피드볼</t>
  </si>
  <si>
    <t>켄타로스</t>
  </si>
  <si>
    <t>#128 켄타로스</t>
  </si>
  <si>
    <t>128MS6.png</t>
  </si>
  <si>
    <t>https://archives.bulbagarden.net/media/upload/1/13/128MS6.png</t>
  </si>
  <si>
    <t>88.4 kg</t>
  </si>
  <si>
    <t>1 공격/1 스피드</t>
  </si>
  <si>
    <t>사이코커터</t>
  </si>
  <si>
    <t>타이마볼</t>
  </si>
  <si>
    <t>잉어킹</t>
  </si>
  <si>
    <t>#129 잉어킹</t>
  </si>
  <si>
    <t>129MS6.png</t>
  </si>
  <si>
    <t>https://archives.bulbagarden.net/media/upload/8/85/129MS6.png</t>
  </si>
  <si>
    <t>#130 로 진화 가능</t>
  </si>
  <si>
    <t>혼내기</t>
  </si>
  <si>
    <t>네스트볼</t>
  </si>
  <si>
    <t>갸라도스</t>
  </si>
  <si>
    <t>#130 갸라도스</t>
  </si>
  <si>
    <t>130MS6.png</t>
  </si>
  <si>
    <t>https://archives.bulbagarden.net/media/upload/f/fa/130MS6.png</t>
  </si>
  <si>
    <t>물 - 비행</t>
  </si>
  <si>
    <t>235.0 kg</t>
  </si>
  <si>
    <t>#129 레벨 20</t>
  </si>
  <si>
    <t>따라가때리기</t>
  </si>
  <si>
    <t>넷트볼</t>
  </si>
  <si>
    <t>라프라스</t>
  </si>
  <si>
    <t>#131 라프라스</t>
  </si>
  <si>
    <t>131MS6.png</t>
  </si>
  <si>
    <t>https://archives.bulbagarden.net/media/upload/a/ab/131MS6.png</t>
  </si>
  <si>
    <t>220.0 kg</t>
  </si>
  <si>
    <t>신비의물방울 - 100%</t>
  </si>
  <si>
    <t>전광석화</t>
  </si>
  <si>
    <t>프레미어볼</t>
  </si>
  <si>
    <t>메타몽</t>
  </si>
  <si>
    <t>#132 메타몽</t>
  </si>
  <si>
    <t>132MS6.png</t>
  </si>
  <si>
    <t>https://archives.bulbagarden.net/media/upload/4/47/132MS6.png</t>
  </si>
  <si>
    <t>스피드파우더 - 50%</t>
  </si>
  <si>
    <t>금속파우더 - 5%</t>
  </si>
  <si>
    <t>분노</t>
  </si>
  <si>
    <t>하이퍼볼</t>
  </si>
  <si>
    <t>이브이</t>
  </si>
  <si>
    <t>#133 이브이</t>
  </si>
  <si>
    <t>133MS6.png</t>
  </si>
  <si>
    <t>https://archives.bulbagarden.net/media/upload/6/67/133MS6.png</t>
  </si>
  <si>
    <t>적응력</t>
  </si>
  <si>
    <t>진화 가능: #134, #135, #136, #196, #197, #470, #471</t>
  </si>
  <si>
    <t>고속스핀</t>
  </si>
  <si>
    <t>럭셔리볼</t>
  </si>
  <si>
    <t>샤미드</t>
  </si>
  <si>
    <t>#134 샤미드</t>
  </si>
  <si>
    <t>134MS6.png</t>
  </si>
  <si>
    <t>https://archives.bulbagarden.net/media/upload/5/57/134MS6.png</t>
  </si>
  <si>
    <t>29.0 kg</t>
  </si>
  <si>
    <t>#133 사용 물의돌</t>
  </si>
  <si>
    <t>잎날가르기</t>
  </si>
  <si>
    <t>마스터볼</t>
  </si>
  <si>
    <t>쥬피썬더</t>
  </si>
  <si>
    <t>#135 쥬피썬더</t>
  </si>
  <si>
    <t>135MS6.png</t>
  </si>
  <si>
    <t>https://archives.bulbagarden.net/media/upload/3/3b/135MS6.png</t>
  </si>
  <si>
    <t>축전</t>
  </si>
  <si>
    <t>24.5 kg</t>
  </si>
  <si>
    <t>#133 사용 천둥의돌</t>
  </si>
  <si>
    <t>은혜갚기</t>
  </si>
  <si>
    <t>프레셔스볼</t>
  </si>
  <si>
    <t>부스터</t>
  </si>
  <si>
    <t>#136 부스터</t>
  </si>
  <si>
    <t>136MS6.png</t>
  </si>
  <si>
    <t>https://archives.bulbagarden.net/media/upload/f/fd/136MS6.png</t>
  </si>
  <si>
    <t>65᠋</t>
  </si>
  <si>
    <t>#133 사용 불꽃의돌</t>
  </si>
  <si>
    <t>리벤지</t>
  </si>
  <si>
    <t>파크볼</t>
  </si>
  <si>
    <t>폴리곤</t>
  </si>
  <si>
    <t>#137 폴리곤</t>
  </si>
  <si>
    <t>137MS6.png</t>
  </si>
  <si>
    <t>https://archives.bulbagarden.net/media/upload/2/28/137MS6.png</t>
  </si>
  <si>
    <t>트레이스</t>
  </si>
  <si>
    <t>다운로드</t>
  </si>
  <si>
    <t>36.5 kg</t>
  </si>
  <si>
    <t>#233 로 진화 가능</t>
  </si>
  <si>
    <t>기사회생</t>
  </si>
  <si>
    <t>몬스터볼</t>
  </si>
  <si>
    <t>암나이트</t>
  </si>
  <si>
    <t>#138 암나이트</t>
  </si>
  <si>
    <t>138MS6.png</t>
  </si>
  <si>
    <t>https://archives.bulbagarden.net/media/upload/2/20/138MS6.png</t>
  </si>
  <si>
    <t>바위 - 물</t>
  </si>
  <si>
    <t>#139 로 진화 가능</t>
  </si>
  <si>
    <t>락블레스트</t>
  </si>
  <si>
    <t>퀵볼</t>
  </si>
  <si>
    <t>암스타</t>
  </si>
  <si>
    <t>#139 암스타</t>
  </si>
  <si>
    <t>139MS6.png</t>
  </si>
  <si>
    <t>https://archives.bulbagarden.net/media/upload/a/a4/139MS6.png</t>
  </si>
  <si>
    <t>#138 레벨 30</t>
  </si>
  <si>
    <t>락클라임</t>
  </si>
  <si>
    <t>바위 ឵</t>
  </si>
  <si>
    <t>사파리볼</t>
  </si>
  <si>
    <t>투구</t>
  </si>
  <si>
    <t>#140 투구</t>
  </si>
  <si>
    <t>140MS6.png</t>
  </si>
  <si>
    <t>https://archives.bulbagarden.net/media/upload/8/89/140MS6.png</t>
  </si>
  <si>
    <t>전투무장</t>
  </si>
  <si>
    <t>11.5 kg</t>
  </si>
  <si>
    <t>#141 로 진화 가능</t>
  </si>
  <si>
    <t>스톤샤워</t>
  </si>
  <si>
    <t>다이브볼</t>
  </si>
  <si>
    <t>투구푸스</t>
  </si>
  <si>
    <t>#141 투구푸스</t>
  </si>
  <si>
    <t>141MS6.png</t>
  </si>
  <si>
    <t>https://archives.bulbagarden.net/media/upload/1/1a/141MS6.png</t>
  </si>
  <si>
    <t>#140 레벨 30</t>
  </si>
  <si>
    <t>바위깨기</t>
  </si>
  <si>
    <t>힐볼</t>
  </si>
  <si>
    <t>프테라</t>
  </si>
  <si>
    <t>#142 프테라</t>
  </si>
  <si>
    <t>142MS6.png</t>
  </si>
  <si>
    <t>https://archives.bulbagarden.net/media/upload/6/69/142MS6.png</t>
  </si>
  <si>
    <t>바위 - 비행</t>
  </si>
  <si>
    <t>프레셔</t>
  </si>
  <si>
    <t>59.0 kg</t>
  </si>
  <si>
    <t>돌떨구기</t>
  </si>
  <si>
    <t>다크볼</t>
  </si>
  <si>
    <t>잠만보</t>
  </si>
  <si>
    <t>#143 잠만보</t>
  </si>
  <si>
    <t>143MS6.png</t>
  </si>
  <si>
    <t>https://archives.bulbagarden.net/media/upload/d/d1/143MS6.png</t>
  </si>
  <si>
    <t>면역</t>
  </si>
  <si>
    <t>두꺼운지방឵ ឵</t>
  </si>
  <si>
    <t>460.0 kg</t>
  </si>
  <si>
    <t>#446 친밀도가 높을 때 레벨업</t>
  </si>
  <si>
    <t>먹다남은음식 - 100%</t>
  </si>
  <si>
    <t>암석봉인</t>
  </si>
  <si>
    <t>수퍼볼</t>
  </si>
  <si>
    <t>프리져</t>
  </si>
  <si>
    <t>#144 프리져</t>
  </si>
  <si>
    <t>144MS6.png</t>
  </si>
  <si>
    <t>https://archives.bulbagarden.net/media/upload/0/0c/144MS6.png</t>
  </si>
  <si>
    <t>얼음 - 비행</t>
  </si>
  <si>
    <t>눈숨기</t>
  </si>
  <si>
    <t>눈숨기 (!)</t>
  </si>
  <si>
    <t>55.4 kg</t>
  </si>
  <si>
    <t>암석포</t>
  </si>
  <si>
    <t>얼음의돌</t>
  </si>
  <si>
    <t>썬더</t>
  </si>
  <si>
    <t>#145 썬더</t>
  </si>
  <si>
    <t>145MS6.png</t>
  </si>
  <si>
    <t>https://archives.bulbagarden.net/media/upload/4/49/145MS6.png</t>
  </si>
  <si>
    <t>전기 - 비행</t>
  </si>
  <si>
    <t>정전기 (!)</t>
  </si>
  <si>
    <t>52.6 kg</t>
  </si>
  <si>
    <t>돌려차기</t>
  </si>
  <si>
    <t>리프의돌</t>
  </si>
  <si>
    <t>파이어</t>
  </si>
  <si>
    <t>#146 파이어</t>
  </si>
  <si>
    <t>146MS6.png</t>
  </si>
  <si>
    <t>https://archives.bulbagarden.net/media/upload/5/5a/146MS6.png</t>
  </si>
  <si>
    <t>불꽃 - 비행</t>
  </si>
  <si>
    <t>구르기</t>
  </si>
  <si>
    <t>불꽃의돌</t>
  </si>
  <si>
    <t>미뇽</t>
  </si>
  <si>
    <t>#147 미뇽</t>
  </si>
  <si>
    <t>147MS6.png</t>
  </si>
  <si>
    <t>https://archives.bulbagarden.net/media/upload/d/dd/147MS6.png</t>
  </si>
  <si>
    <t>이상한비늘</t>
  </si>
  <si>
    <t>이상한비늘 (!)</t>
  </si>
  <si>
    <t>3.3 kg</t>
  </si>
  <si>
    <t>#148 로 진화 가능</t>
  </si>
  <si>
    <t>성스러운불꽃</t>
  </si>
  <si>
    <t>물의돌</t>
  </si>
  <si>
    <t>신뇽</t>
  </si>
  <si>
    <t>#148 신뇽</t>
  </si>
  <si>
    <t>148MS6.png</t>
  </si>
  <si>
    <t>https://archives.bulbagarden.net/media/upload/3/38/148MS6.png</t>
  </si>
  <si>
    <t>16.5 kg</t>
  </si>
  <si>
    <t>#147 레벨 30 - 진화 가능: #149</t>
  </si>
  <si>
    <t>모래지옥᠋</t>
  </si>
  <si>
    <t>땅᠋</t>
  </si>
  <si>
    <t>천둥의돌</t>
  </si>
  <si>
    <t>망나뇽</t>
  </si>
  <si>
    <t>#149 망나뇽</t>
  </si>
  <si>
    <t>149MS6.png</t>
  </si>
  <si>
    <t>https://archives.bulbagarden.net/media/upload/0/08/149MS6.png</t>
  </si>
  <si>
    <t>드래곤 - 비행</t>
  </si>
  <si>
    <t>#148 레벨 55</t>
  </si>
  <si>
    <t>땅고르기᠎ (!)</t>
  </si>
  <si>
    <t>달의돌</t>
  </si>
  <si>
    <t>뮤츠</t>
  </si>
  <si>
    <t>#150 뮤츠</t>
  </si>
  <si>
    <t>150MS6.png</t>
  </si>
  <si>
    <t>https://archives.bulbagarden.net/media/upload/0/00/150MS6.png</t>
  </si>
  <si>
    <t>122.0 kg</t>
  </si>
  <si>
    <t>할퀴기</t>
  </si>
  <si>
    <t>태양의돌</t>
  </si>
  <si>
    <t>뮤</t>
  </si>
  <si>
    <t>#151 뮤</t>
  </si>
  <si>
    <t>151MS6.png</t>
  </si>
  <si>
    <t>https://archives.bulbagarden.net/media/upload/8/83/151MS6.png</t>
  </si>
  <si>
    <t>리샘열매 - 100%</t>
  </si>
  <si>
    <t>비밀의힘</t>
  </si>
  <si>
    <t>각성의돌</t>
  </si>
  <si>
    <t>치코리타</t>
  </si>
  <si>
    <t>#152 치코리타</t>
  </si>
  <si>
    <t>152MS6.png</t>
  </si>
  <si>
    <t>https://archives.bulbagarden.net/media/upload/4/41/152MS6.png</t>
  </si>
  <si>
    <t>하늘의은총 (!)</t>
  </si>
  <si>
    <t>#153 로 진화 가능</t>
  </si>
  <si>
    <t>씨폭탄</t>
  </si>
  <si>
    <t>빛의돌</t>
  </si>
  <si>
    <t>베이리프</t>
  </si>
  <si>
    <t>#153 베이리프</t>
  </si>
  <si>
    <t>153MS6.png</t>
  </si>
  <si>
    <t>https://archives.bulbagarden.net/media/upload/7/71/153MS6.png</t>
  </si>
  <si>
    <t>15.8 kg</t>
  </si>
  <si>
    <t>#152 레벨 16 - 진화 가능: #154</t>
  </si>
  <si>
    <t>지구던지기</t>
  </si>
  <si>
    <t>어둠의돌</t>
  </si>
  <si>
    <t>메가니움</t>
  </si>
  <si>
    <t>#154 메가니움</t>
  </si>
  <si>
    <t>154MS6.png</t>
  </si>
  <si>
    <t>https://archives.bulbagarden.net/media/upload/2/23/154MS6.png</t>
  </si>
  <si>
    <t>93᠎</t>
  </si>
  <si>
    <t>풀 - 페어리 (!)</t>
  </si>
  <si>
    <t>100.5 kg</t>
  </si>
  <si>
    <t>1 방어/2 특방</t>
  </si>
  <si>
    <t>#153 레벨 32</t>
  </si>
  <si>
    <t>자폭</t>
  </si>
  <si>
    <t>동글동글돌</t>
  </si>
  <si>
    <t>브케인</t>
  </si>
  <si>
    <t>#155 브케인</t>
  </si>
  <si>
    <t>155MS6.png</t>
  </si>
  <si>
    <t>https://archives.bulbagarden.net/media/upload/9/96/155MS6.png</t>
  </si>
  <si>
    <t>7.9 kg</t>
  </si>
  <si>
    <t>#156 로 진화 가능</t>
  </si>
  <si>
    <t>섀도크루</t>
  </si>
  <si>
    <t>변함없는돌</t>
  </si>
  <si>
    <t>마그케인</t>
  </si>
  <si>
    <t>#156 마그케인</t>
  </si>
  <si>
    <t>156MS6.png</t>
  </si>
  <si>
    <t>https://archives.bulbagarden.net/media/upload/d/df/156MS6.png</t>
  </si>
  <si>
    <t>#155 레벨 14 - 진화 가능: #157</t>
  </si>
  <si>
    <t>섀도다이브</t>
  </si>
  <si>
    <t>심해의이빨</t>
  </si>
  <si>
    <t>블레이범</t>
  </si>
  <si>
    <t>#157 블레이범</t>
  </si>
  <si>
    <t>157MS6.png</t>
  </si>
  <si>
    <t>https://archives.bulbagarden.net/media/upload/5/55/157MS6.png</t>
  </si>
  <si>
    <t>79᠋</t>
  </si>
  <si>
    <t>73᠋</t>
  </si>
  <si>
    <t>124᠎</t>
  </si>
  <si>
    <t>80᠋</t>
  </si>
  <si>
    <t>79.5 kg</t>
  </si>
  <si>
    <t>#156 레벨 36</t>
  </si>
  <si>
    <t>섀도펀치</t>
  </si>
  <si>
    <t>심해의비늘</t>
  </si>
  <si>
    <t>리아코</t>
  </si>
  <si>
    <t>#158 리아코</t>
  </si>
  <si>
    <t>158MS6.png</t>
  </si>
  <si>
    <t>https://archives.bulbagarden.net/media/upload/3/39/158MS6.png</t>
  </si>
  <si>
    <t>위협 (!)</t>
  </si>
  <si>
    <t>#159 로 진화 가능</t>
  </si>
  <si>
    <t>야습</t>
  </si>
  <si>
    <t>용의비늘</t>
  </si>
  <si>
    <t>엘리게이</t>
  </si>
  <si>
    <t>#159 엘리게이</t>
  </si>
  <si>
    <t>159MS6.png</t>
  </si>
  <si>
    <t>https://archives.bulbagarden.net/media/upload/b/b9/159MS6.png</t>
  </si>
  <si>
    <t>1 공격/1 방어</t>
  </si>
  <si>
    <t>#158 레벨 18 - 진화 가능: #160</t>
  </si>
  <si>
    <t>로케트박치기</t>
  </si>
  <si>
    <t>에레키부스터</t>
  </si>
  <si>
    <t>장크로다일</t>
  </si>
  <si>
    <t>#160 장크로다일</t>
  </si>
  <si>
    <t>160MS6.png</t>
  </si>
  <si>
    <t>https://archives.bulbagarden.net/media/upload/9/99/160MS6.png</t>
  </si>
  <si>
    <t>물 - 악 (!)</t>
  </si>
  <si>
    <t>88.8 kg</t>
  </si>
  <si>
    <t>#159 레벨 30</t>
  </si>
  <si>
    <t>불새</t>
  </si>
  <si>
    <t>마그마부스터</t>
  </si>
  <si>
    <t>꼬리선</t>
  </si>
  <si>
    <t>#161 꼬리선</t>
  </si>
  <si>
    <t>161MS6.png</t>
  </si>
  <si>
    <t>https://archives.bulbagarden.net/media/upload/6/69/161MS6.png</t>
  </si>
  <si>
    <t>45᠎</t>
  </si>
  <si>
    <t>245᠎</t>
  </si>
  <si>
    <t>#162 로 진화 가능</t>
  </si>
  <si>
    <t>스카이업퍼</t>
  </si>
  <si>
    <t>프로텍터</t>
  </si>
  <si>
    <t>다꼬리</t>
  </si>
  <si>
    <t>#162 다꼬리</t>
  </si>
  <si>
    <t>162MS6.png</t>
  </si>
  <si>
    <t>https://archives.bulbagarden.net/media/upload/4/47/162MS6.png</t>
  </si>
  <si>
    <t>85᠎</t>
  </si>
  <si>
    <t>105᠎</t>
  </si>
  <si>
    <t>배짱 (!)</t>
  </si>
  <si>
    <t>32.5 kg</t>
  </si>
  <si>
    <t>#161 레벨 15</t>
  </si>
  <si>
    <t>힘껏치기</t>
  </si>
  <si>
    <t>업그레이드</t>
  </si>
  <si>
    <t>부우부</t>
  </si>
  <si>
    <t>#163 부우부</t>
  </si>
  <si>
    <t>163MS6.png</t>
  </si>
  <si>
    <t>https://archives.bulbagarden.net/media/upload/9/9b/163MS6.png</t>
  </si>
  <si>
    <t>21.2 kg</t>
  </si>
  <si>
    <t>#164 로 진화 가능</t>
  </si>
  <si>
    <t>베어가르기</t>
  </si>
  <si>
    <t>괴상한패치</t>
  </si>
  <si>
    <t>야부엉</t>
  </si>
  <si>
    <t>#164 야부엉</t>
  </si>
  <si>
    <t>164MS6.png</t>
  </si>
  <si>
    <t>https://archives.bulbagarden.net/media/upload/b/b5/164MS6.png</t>
  </si>
  <si>
    <t>106᠎</t>
  </si>
  <si>
    <t>116᠎</t>
  </si>
  <si>
    <t>에스퍼 (!) - 비행</t>
  </si>
  <si>
    <t>40.8 kg</t>
  </si>
  <si>
    <t>#163 레벨 20</t>
  </si>
  <si>
    <t>정신차리기</t>
  </si>
  <si>
    <t>레디바</t>
  </si>
  <si>
    <t>#165 레디바</t>
  </si>
  <si>
    <t>165MS6.png</t>
  </si>
  <si>
    <t>https://archives.bulbagarden.net/media/upload/f/fe/165MS6.png</t>
  </si>
  <si>
    <t>20᠋</t>
  </si>
  <si>
    <t>275᠎</t>
  </si>
  <si>
    <t>철주먹 (!)</t>
  </si>
  <si>
    <t>10.8 kg</t>
  </si>
  <si>
    <t>#166 로 진화 가능</t>
  </si>
  <si>
    <t>스파크</t>
  </si>
  <si>
    <t>레디안</t>
  </si>
  <si>
    <t>#166 레디안</t>
  </si>
  <si>
    <t>166MS6.png</t>
  </si>
  <si>
    <t>https://archives.bulbagarden.net/media/upload/1/10/166MS6.png</t>
  </si>
  <si>
    <t>35.6 kg</t>
  </si>
  <si>
    <t>#165 레벨 18</t>
  </si>
  <si>
    <t>가시대포</t>
  </si>
  <si>
    <t>영계의천</t>
  </si>
  <si>
    <t>페이검</t>
  </si>
  <si>
    <t>#167 페이검</t>
  </si>
  <si>
    <t>167MS6.png</t>
  </si>
  <si>
    <t>https://archives.bulbagarden.net/media/upload/7/71/167MS6.png</t>
  </si>
  <si>
    <t>#168 로 진화 가능</t>
  </si>
  <si>
    <t>강철날개</t>
  </si>
  <si>
    <t>예리한이빨</t>
  </si>
  <si>
    <t>아리아도스</t>
  </si>
  <si>
    <t>#168 아리아도스</t>
  </si>
  <si>
    <t>168MS6.png</t>
  </si>
  <si>
    <t>https://archives.bulbagarden.net/media/upload/9/96/168MS6.png</t>
  </si>
  <si>
    <t>33.5 kg</t>
  </si>
  <si>
    <t>#167 레벨 22</t>
  </si>
  <si>
    <t>짓밟기</t>
  </si>
  <si>
    <t>예리한손톱</t>
  </si>
  <si>
    <t>크로뱃</t>
  </si>
  <si>
    <t>#169 크로뱃</t>
  </si>
  <si>
    <t>169MS6.png</t>
  </si>
  <si>
    <t>https://archives.bulbagarden.net/media/upload/e/e8/169MS6.png</t>
  </si>
  <si>
    <t>75.0 kg</t>
  </si>
  <si>
    <t>#042 친밀도가 높을 때 레벨업</t>
  </si>
  <si>
    <t>스톤에지</t>
  </si>
  <si>
    <t>초라기</t>
  </si>
  <si>
    <t>#170 초라기</t>
  </si>
  <si>
    <t>170MS6.png</t>
  </si>
  <si>
    <t>https://archives.bulbagarden.net/media/upload/8/82/170MS6.png</t>
  </si>
  <si>
    <t>물 - 전기</t>
  </si>
  <si>
    <t>저수 (!)</t>
  </si>
  <si>
    <t>#171 로 진화 가능</t>
  </si>
  <si>
    <t>심해의비늘 - 5%</t>
  </si>
  <si>
    <t>괴력</t>
  </si>
  <si>
    <t>괴상한향로</t>
  </si>
  <si>
    <t>랜턴</t>
  </si>
  <si>
    <t>#171 랜턴</t>
  </si>
  <si>
    <t>171MS6.png</t>
  </si>
  <si>
    <t>https://archives.bulbagarden.net/media/upload/b/b2/171MS6.png</t>
  </si>
  <si>
    <t>#170 레벨 27</t>
  </si>
  <si>
    <t>발버둥</t>
  </si>
  <si>
    <t>PP 1</t>
  </si>
  <si>
    <t>무사태평향로</t>
  </si>
  <si>
    <t>피츄</t>
  </si>
  <si>
    <t>#172 피츄</t>
  </si>
  <si>
    <t>172MS6.png</t>
  </si>
  <si>
    <t>https://archives.bulbagarden.net/media/upload/5/55/172MS6.png</t>
  </si>
  <si>
    <t>#025 로 진화 가능</t>
  </si>
  <si>
    <t>지옥의바퀴᠋</t>
  </si>
  <si>
    <t>격투᠋</t>
  </si>
  <si>
    <t>80%᠋</t>
  </si>
  <si>
    <t>꽃향로</t>
  </si>
  <si>
    <t>삐</t>
  </si>
  <si>
    <t>#173 삐</t>
  </si>
  <si>
    <t>173MS6.png</t>
  </si>
  <si>
    <t>https://archives.bulbagarden.net/media/upload/9/9c/173MS6.png</t>
  </si>
  <si>
    <t>3.0 kg</t>
  </si>
  <si>
    <t>#035 로 진화 가능</t>
  </si>
  <si>
    <t>치근거리기 (!)</t>
  </si>
  <si>
    <t>바닷물향로</t>
  </si>
  <si>
    <t>푸푸린</t>
  </si>
  <si>
    <t>#174 푸푸린</t>
  </si>
  <si>
    <t>174MS6.png</t>
  </si>
  <si>
    <t>https://archives.bulbagarden.net/media/upload/5/59/174MS6.png</t>
  </si>
  <si>
    <t>노말 (!) - 페어리</t>
  </si>
  <si>
    <t>#039 로 진화 가능</t>
  </si>
  <si>
    <t>기습</t>
  </si>
  <si>
    <t>만복향로</t>
  </si>
  <si>
    <t>토게피</t>
  </si>
  <si>
    <t>#175 토게피</t>
  </si>
  <si>
    <t>175MS6.png</t>
  </si>
  <si>
    <t>https://archives.bulbagarden.net/media/upload/d/d1/175MS6.png</t>
  </si>
  <si>
    <t>의욕</t>
  </si>
  <si>
    <t>대운</t>
  </si>
  <si>
    <t>1.5 kg</t>
  </si>
  <si>
    <t>진화 가능: #0176</t>
  </si>
  <si>
    <t>분노의앞니</t>
  </si>
  <si>
    <t>순결의향로</t>
  </si>
  <si>
    <t>토게틱</t>
  </si>
  <si>
    <t>#176 토게틱</t>
  </si>
  <si>
    <t>176MS6.png</t>
  </si>
  <si>
    <t>https://archives.bulbagarden.net/media/upload/0/0a/176MS6.png</t>
  </si>
  <si>
    <t>페어리 (!) - 비행</t>
  </si>
  <si>
    <t>#175 친밀도가 높을 때 레벨업 - 진화 가능: #468</t>
  </si>
  <si>
    <t>엄청난힘</t>
  </si>
  <si>
    <t>암석향로</t>
  </si>
  <si>
    <t>네이티</t>
  </si>
  <si>
    <t>#177 네이티</t>
  </si>
  <si>
    <t>177MS6.png</t>
  </si>
  <si>
    <t>https://archives.bulbagarden.net/media/upload/0/0b/177MS6.png</t>
  </si>
  <si>
    <t>에스퍼 - 비행</t>
  </si>
  <si>
    <t>#178 로 진화 가능</t>
  </si>
  <si>
    <t>몸통박치기</t>
  </si>
  <si>
    <t>잔물결향로</t>
  </si>
  <si>
    <t>네이티오</t>
  </si>
  <si>
    <t>#178 네이티오</t>
  </si>
  <si>
    <t>178MS6.png</t>
  </si>
  <si>
    <t>https://archives.bulbagarden.net/media/upload/d/d2/178MS6.png</t>
  </si>
  <si>
    <t>#177 레벨 25</t>
  </si>
  <si>
    <t>돌진</t>
  </si>
  <si>
    <t>행운의향로</t>
  </si>
  <si>
    <t>메리프</t>
  </si>
  <si>
    <t>#179 메리프</t>
  </si>
  <si>
    <t>179MS6.png</t>
  </si>
  <si>
    <t>https://archives.bulbagarden.net/media/upload/e/e8/179MS6.png</t>
  </si>
  <si>
    <t>7.8 kg</t>
  </si>
  <si>
    <t>#180 로 진화 가능</t>
  </si>
  <si>
    <t>도둑질</t>
  </si>
  <si>
    <t>보송송</t>
  </si>
  <si>
    <t>#180 보송송</t>
  </si>
  <si>
    <t>180MS6.png</t>
  </si>
  <si>
    <t>https://archives.bulbagarden.net/media/upload/e/eb/180MS6.png</t>
  </si>
  <si>
    <t>13.3 kg</t>
  </si>
  <si>
    <t>#179 레벨 15 - 진화 가능: #181</t>
  </si>
  <si>
    <t>난동부리기</t>
  </si>
  <si>
    <t>조개화석</t>
  </si>
  <si>
    <t>전룡</t>
  </si>
  <si>
    <t>#181 전룡</t>
  </si>
  <si>
    <t>181MS6.png</t>
  </si>
  <si>
    <t>https://archives.bulbagarden.net/media/upload/8/89/181MS6.png</t>
  </si>
  <si>
    <t>드래곤឵ ឵</t>
  </si>
  <si>
    <t>전기 - 드래곤 (!)</t>
  </si>
  <si>
    <t>61.5 kg</t>
  </si>
  <si>
    <t>#180 레벨 30</t>
  </si>
  <si>
    <t>번개엄니</t>
  </si>
  <si>
    <t>껍질화석</t>
  </si>
  <si>
    <t>아르코</t>
  </si>
  <si>
    <t>#182 아르코</t>
  </si>
  <si>
    <t>182MS6.png</t>
  </si>
  <si>
    <t>https://archives.bulbagarden.net/media/upload/7/75/182MS6.png</t>
  </si>
  <si>
    <t>마이페이스 (!)</t>
  </si>
  <si>
    <t>5.8 kg</t>
  </si>
  <si>
    <t>#044 사용 태양의돌</t>
  </si>
  <si>
    <t>번개펀치</t>
  </si>
  <si>
    <t>비밀의호박</t>
  </si>
  <si>
    <t>마릴</t>
  </si>
  <si>
    <t>#183 마릴</t>
  </si>
  <si>
    <t>183MS6.png</t>
  </si>
  <si>
    <t>https://archives.bulbagarden.net/media/upload/d/d7/183MS6.png</t>
  </si>
  <si>
    <t>270᠎</t>
  </si>
  <si>
    <t>물 - 페어리 (!)</t>
  </si>
  <si>
    <t>천하장사</t>
  </si>
  <si>
    <t>천하장사឵ ឵</t>
  </si>
  <si>
    <t>#298 친밀도가 높을 때 레벨업 - 진화 가능: #184</t>
  </si>
  <si>
    <t>트리플킥</t>
  </si>
  <si>
    <t>뿌리화석</t>
  </si>
  <si>
    <t>마릴리</t>
  </si>
  <si>
    <t>#184 마릴리</t>
  </si>
  <si>
    <t>184MS6.png</t>
  </si>
  <si>
    <t>https://archives.bulbagarden.net/media/upload/c/c3/184MS6.png</t>
  </si>
  <si>
    <t>28.5 kg</t>
  </si>
  <si>
    <t>#183 레벨 18</t>
  </si>
  <si>
    <t>더블니들</t>
  </si>
  <si>
    <t>발톱화석</t>
  </si>
  <si>
    <t>꼬지모</t>
  </si>
  <si>
    <t>#185 꼬지모</t>
  </si>
  <si>
    <t>185MS6.png</t>
  </si>
  <si>
    <t>https://archives.bulbagarden.net/media/upload/8/82/185MS6.png</t>
  </si>
  <si>
    <t>#438 레벨업 흉내내기</t>
  </si>
  <si>
    <t>유턴</t>
  </si>
  <si>
    <t>두개의화석</t>
  </si>
  <si>
    <t>왕구리</t>
  </si>
  <si>
    <t>#186 왕구리</t>
  </si>
  <si>
    <t>186MS6.png</t>
  </si>
  <si>
    <t>https://archives.bulbagarden.net/media/upload/8/8c/186MS6.png</t>
  </si>
  <si>
    <t xml:space="preserve">잔비 </t>
  </si>
  <si>
    <t>33.9 kg</t>
  </si>
  <si>
    <t>#061 사용 왕의징표석</t>
  </si>
  <si>
    <t xml:space="preserve">Vice Grip	</t>
  </si>
  <si>
    <t>방패의화석</t>
  </si>
  <si>
    <t>통통코</t>
  </si>
  <si>
    <t>#187 통통코</t>
  </si>
  <si>
    <t>187MS6.png</t>
  </si>
  <si>
    <t>https://archives.bulbagarden.net/media/upload/b/b3/187MS6.png</t>
  </si>
  <si>
    <t>260᠎</t>
  </si>
  <si>
    <t>풀 - 비행</t>
  </si>
  <si>
    <t>0.5 kg</t>
  </si>
  <si>
    <t>#187 로 진화 가능</t>
  </si>
  <si>
    <t>덩굴채찍</t>
  </si>
  <si>
    <t>쐐기돌</t>
  </si>
  <si>
    <t>두코</t>
  </si>
  <si>
    <t>#188 두코</t>
  </si>
  <si>
    <t>188MS6.png</t>
  </si>
  <si>
    <t>https://archives.bulbagarden.net/media/upload/d/d4/188MS6.png</t>
  </si>
  <si>
    <t>360᠎</t>
  </si>
  <si>
    <t>#186 레벨 18 - 진화 가능: #188</t>
  </si>
  <si>
    <t>받아던지기</t>
  </si>
  <si>
    <t>솜솜코</t>
  </si>
  <si>
    <t>#189 솜솜코</t>
  </si>
  <si>
    <t>189MS6.png</t>
  </si>
  <si>
    <t>https://archives.bulbagarden.net/media/upload/5/5b/189MS6.png</t>
  </si>
  <si>
    <t>#187 레벨 27</t>
  </si>
  <si>
    <t>볼트태클᠋</t>
  </si>
  <si>
    <t>전기᠋</t>
  </si>
  <si>
    <t>120᠋</t>
  </si>
  <si>
    <t>상처약</t>
  </si>
  <si>
    <t>에이팜</t>
  </si>
  <si>
    <t>#190 에이팜</t>
  </si>
  <si>
    <t>190MS6.png</t>
  </si>
  <si>
    <t>https://archives.bulbagarden.net/media/upload/9/92/190MS6.png</t>
  </si>
  <si>
    <t>#424 로 진화 가능</t>
  </si>
  <si>
    <t>와일드볼트 (!)</t>
  </si>
  <si>
    <t>좋은상처약</t>
  </si>
  <si>
    <t>해너츠</t>
  </si>
  <si>
    <t>#191 해너츠</t>
  </si>
  <si>
    <t>191MS6.png</t>
  </si>
  <si>
    <t>https://archives.bulbagarden.net/media/upload/b/b6/191MS6.png</t>
  </si>
  <si>
    <t>#192 로 진화 가능</t>
  </si>
  <si>
    <t>잠깨움뺨치기</t>
  </si>
  <si>
    <t>고급상처약</t>
  </si>
  <si>
    <t>해루미</t>
  </si>
  <si>
    <t>#192 해루미</t>
  </si>
  <si>
    <t>192MS6.png</t>
  </si>
  <si>
    <t>https://archives.bulbagarden.net/media/upload/8/89/192MS6.png</t>
  </si>
  <si>
    <t>475᠎</t>
  </si>
  <si>
    <t>#191 사용 태양의돌</t>
  </si>
  <si>
    <t>폭포오르기</t>
  </si>
  <si>
    <t>풀회복약</t>
  </si>
  <si>
    <t>왕자리</t>
  </si>
  <si>
    <t>#193 왕자리</t>
  </si>
  <si>
    <t>193MS6.png</t>
  </si>
  <si>
    <t>https://archives.bulbagarden.net/media/upload/1/1c/193MS6.png</t>
  </si>
  <si>
    <t>가속</t>
  </si>
  <si>
    <t>#469 로 진화 가능</t>
  </si>
  <si>
    <t>광각렌즈 - 5%</t>
  </si>
  <si>
    <t>날개치기</t>
  </si>
  <si>
    <t>회복약</t>
  </si>
  <si>
    <t>우파</t>
  </si>
  <si>
    <t>#194 우파</t>
  </si>
  <si>
    <t>194MS6.png</t>
  </si>
  <si>
    <t>https://archives.bulbagarden.net/media/upload/7/70/194MS6.png</t>
  </si>
  <si>
    <t>230᠎</t>
  </si>
  <si>
    <t>물 - 땅</t>
  </si>
  <si>
    <t>천진</t>
  </si>
  <si>
    <t>저수឵ ឵</t>
  </si>
  <si>
    <t>천진 (!)</t>
  </si>
  <si>
    <t>#195 로 진화 가능</t>
  </si>
  <si>
    <t>우드해머</t>
  </si>
  <si>
    <t>해독제</t>
  </si>
  <si>
    <t>누오</t>
  </si>
  <si>
    <t>#195 누오</t>
  </si>
  <si>
    <t>195MS6.png</t>
  </si>
  <si>
    <t>https://archives.bulbagarden.net/media/upload/9/9d/195MS6.png</t>
  </si>
  <si>
    <t>#195 레벨 20</t>
  </si>
  <si>
    <t>김밥말이</t>
  </si>
  <si>
    <t>마비치료제</t>
  </si>
  <si>
    <t>에브이</t>
  </si>
  <si>
    <t>#196 에브이</t>
  </si>
  <si>
    <t>196MS6.png</t>
  </si>
  <si>
    <t>https://archives.bulbagarden.net/media/upload/6/65/196MS6.png</t>
  </si>
  <si>
    <t>26.5 kg</t>
  </si>
  <si>
    <t>#133 사용 태양의돌</t>
  </si>
  <si>
    <t>시저크로스</t>
  </si>
  <si>
    <t>화상치료제</t>
  </si>
  <si>
    <t>블래키</t>
  </si>
  <si>
    <t>#197 블래키</t>
  </si>
  <si>
    <t>197MS6.png</t>
  </si>
  <si>
    <t>https://archives.bulbagarden.net/media/upload/c/cf/197MS6.png</t>
  </si>
  <si>
    <t>27.0 kg</t>
  </si>
  <si>
    <t>#133 사용 달의돌</t>
  </si>
  <si>
    <t>사념의박치기</t>
  </si>
  <si>
    <t>얼음상태치료제</t>
  </si>
  <si>
    <t>니로우</t>
  </si>
  <si>
    <t>#198 니로우</t>
  </si>
  <si>
    <t>198MS6.png</t>
  </si>
  <si>
    <t>https://archives.bulbagarden.net/media/upload/4/4f/198MS6.png</t>
  </si>
  <si>
    <t>악 - 비행</t>
  </si>
  <si>
    <t>대운឵ ឵</t>
  </si>
  <si>
    <t>2.1 kg</t>
  </si>
  <si>
    <t>#430 로 진화 가능</t>
  </si>
  <si>
    <t>흡수</t>
  </si>
  <si>
    <t>잠깨는약</t>
  </si>
  <si>
    <t>야도킹</t>
  </si>
  <si>
    <t>#199 야도킹</t>
  </si>
  <si>
    <t>199MS6.png</t>
  </si>
  <si>
    <t>https://archives.bulbagarden.net/media/upload/b/bb/199MS6.png</t>
  </si>
  <si>
    <t>#079 사용 왕의징표석</t>
  </si>
  <si>
    <t>용해액</t>
  </si>
  <si>
    <t>만병통치제</t>
  </si>
  <si>
    <t>무우마</t>
  </si>
  <si>
    <t>#200 무우마</t>
  </si>
  <si>
    <t>200MS6.png</t>
  </si>
  <si>
    <t>https://archives.bulbagarden.net/media/upload/e/e3/200MS6.png</t>
  </si>
  <si>
    <t>고스트 - 페어리 (!)</t>
  </si>
  <si>
    <t>#429 로 진화 가능</t>
  </si>
  <si>
    <t>에어로블라스트</t>
  </si>
  <si>
    <t>맛있는물</t>
  </si>
  <si>
    <t>안농</t>
  </si>
  <si>
    <t>#201 안농</t>
  </si>
  <si>
    <t>201FMS6.png</t>
  </si>
  <si>
    <t>https://archives.bulbagarden.net/media/upload/5/52/201FMS6.png</t>
  </si>
  <si>
    <t>54᠎</t>
  </si>
  <si>
    <t>108᠎</t>
  </si>
  <si>
    <t>432᠎</t>
  </si>
  <si>
    <t>5.0 kg</t>
  </si>
  <si>
    <t>1 공격/1 특공</t>
  </si>
  <si>
    <t>에어컷터</t>
  </si>
  <si>
    <t>미네랄사이다</t>
  </si>
  <si>
    <t>마자용</t>
  </si>
  <si>
    <t>#202 마자용</t>
  </si>
  <si>
    <t>202MS6.png</t>
  </si>
  <si>
    <t>https://archives.bulbagarden.net/media/upload/3/37/202MS6.png</t>
  </si>
  <si>
    <t>그림자밟기</t>
  </si>
  <si>
    <t>#360 레벨 15</t>
  </si>
  <si>
    <t>에어슬래시</t>
  </si>
  <si>
    <t>후르츠밀크</t>
  </si>
  <si>
    <t>키링키</t>
  </si>
  <si>
    <t>#203 키링키</t>
  </si>
  <si>
    <t>203MS6.png</t>
  </si>
  <si>
    <t>https://archives.bulbagarden.net/media/upload/b/bc/203MS6.png</t>
  </si>
  <si>
    <t>노말 - 에스퍼</t>
  </si>
  <si>
    <t>41.5 kg</t>
  </si>
  <si>
    <t>원시의힘</t>
  </si>
  <si>
    <t>튼튼밀크</t>
  </si>
  <si>
    <t>피콘</t>
  </si>
  <si>
    <t>#204 피콘</t>
  </si>
  <si>
    <t>204MS6.png</t>
  </si>
  <si>
    <t>https://archives.bulbagarden.net/media/upload/d/db/204MS6.png</t>
  </si>
  <si>
    <t>7.2 kg</t>
  </si>
  <si>
    <t>#205 로 진화 가능</t>
  </si>
  <si>
    <t>파동탄</t>
  </si>
  <si>
    <t>기력의조각</t>
  </si>
  <si>
    <t>쏘콘</t>
  </si>
  <si>
    <t>#205 쏘콘</t>
  </si>
  <si>
    <t>205MS6.png</t>
  </si>
  <si>
    <t>https://archives.bulbagarden.net/media/upload/c/c4/205MS6.png</t>
  </si>
  <si>
    <t>벌레 - 강철</t>
  </si>
  <si>
    <t>125.8 kg</t>
  </si>
  <si>
    <t>#204 레벨 31</t>
  </si>
  <si>
    <t>오로라빔</t>
  </si>
  <si>
    <t>기력의덩어리</t>
  </si>
  <si>
    <t>노고치</t>
  </si>
  <si>
    <t>#206 노고치</t>
  </si>
  <si>
    <t>206MS6.png</t>
  </si>
  <si>
    <t>https://archives.bulbagarden.net/media/upload/3/32/206MS6.png</t>
  </si>
  <si>
    <t>14.0 kg</t>
  </si>
  <si>
    <t>블러스트번</t>
  </si>
  <si>
    <t>나무열매쥬스</t>
  </si>
  <si>
    <t>글라이거</t>
  </si>
  <si>
    <t>#207 글라이거</t>
  </si>
  <si>
    <t>207MS6.png</t>
  </si>
  <si>
    <t>https://archives.bulbagarden.net/media/upload/2/27/207MS6.png</t>
  </si>
  <si>
    <t>땅 - 비행</t>
  </si>
  <si>
    <t xml:space="preserve">면역 </t>
  </si>
  <si>
    <t>면역 (!)</t>
  </si>
  <si>
    <t>64.8 kg</t>
  </si>
  <si>
    <t>#472 로 진화 가능</t>
  </si>
  <si>
    <t>눈보라</t>
  </si>
  <si>
    <t>110᠋</t>
  </si>
  <si>
    <t>용암전병</t>
  </si>
  <si>
    <t>강철톤</t>
  </si>
  <si>
    <t>#208 강철톤</t>
  </si>
  <si>
    <t>208MS6.png</t>
  </si>
  <si>
    <t>https://archives.bulbagarden.net/media/upload/b/b5/208MS6.png</t>
  </si>
  <si>
    <t>520᠎</t>
  </si>
  <si>
    <t>강철 - 땅</t>
  </si>
  <si>
    <t>400.0 kg</t>
  </si>
  <si>
    <t>#095 사용 금속코트</t>
  </si>
  <si>
    <t>소금물᠋</t>
  </si>
  <si>
    <t>물᠋</t>
  </si>
  <si>
    <t>숲의양갱</t>
  </si>
  <si>
    <t>블루</t>
  </si>
  <si>
    <t>#209 블루</t>
  </si>
  <si>
    <t>209MS6.png</t>
  </si>
  <si>
    <t>https://archives.bulbagarden.net/media/upload/d/d4/209MS6.png</t>
  </si>
  <si>
    <t>#210 로 진화 가능</t>
  </si>
  <si>
    <t>열탕 (!)</t>
  </si>
  <si>
    <t>PP에이드</t>
  </si>
  <si>
    <t>그랑블루</t>
  </si>
  <si>
    <t>#210 그랑블루</t>
  </si>
  <si>
    <t>210MS6.png</t>
  </si>
  <si>
    <t>https://archives.bulbagarden.net/media/upload/8/8e/210MS6.png</t>
  </si>
  <si>
    <t>속보</t>
  </si>
  <si>
    <t>48.7 kg</t>
  </si>
  <si>
    <t>#209 레벨 23</t>
  </si>
  <si>
    <t>거품</t>
  </si>
  <si>
    <t>PP회복</t>
  </si>
  <si>
    <t>침바루</t>
  </si>
  <si>
    <t>#211 침바루</t>
  </si>
  <si>
    <t>211MS6.png</t>
  </si>
  <si>
    <t>https://archives.bulbagarden.net/media/upload/7/7c/211MS6.png</t>
  </si>
  <si>
    <t>3.9 kg</t>
  </si>
  <si>
    <t>거품광선</t>
  </si>
  <si>
    <t>PP에이더</t>
  </si>
  <si>
    <t>핫삼</t>
  </si>
  <si>
    <t>#212 핫삼</t>
  </si>
  <si>
    <t>212MS6.png</t>
  </si>
  <si>
    <t>https://archives.bulbagarden.net/media/upload/9/9b/212MS6.png</t>
  </si>
  <si>
    <t xml:space="preserve">테크니션 </t>
  </si>
  <si>
    <t>테크니션 ឵</t>
  </si>
  <si>
    <t>118.0 kg</t>
  </si>
  <si>
    <t>#123 사용 금속코트</t>
  </si>
  <si>
    <t>벌레의야단법석</t>
  </si>
  <si>
    <t>PP맥스</t>
  </si>
  <si>
    <t>단단지</t>
  </si>
  <si>
    <t>#213 단단지</t>
  </si>
  <si>
    <t>213MS6.png</t>
  </si>
  <si>
    <t>https://archives.bulbagarden.net/media/upload/d/da/213MS6.png</t>
  </si>
  <si>
    <t>벌레 - 바위</t>
  </si>
  <si>
    <t>20.5 kg</t>
  </si>
  <si>
    <t>나무열매쥬스 - 100%</t>
  </si>
  <si>
    <t>차지빔</t>
  </si>
  <si>
    <t>만능가루</t>
  </si>
  <si>
    <t>헤라크로스</t>
  </si>
  <si>
    <t>#214 헤라크로스</t>
  </si>
  <si>
    <t>214MS6.png</t>
  </si>
  <si>
    <t>https://archives.bulbagarden.net/media/upload/6/6c/214MS6.png</t>
  </si>
  <si>
    <t>벌레 - 격투</t>
  </si>
  <si>
    <t xml:space="preserve">근성 </t>
  </si>
  <si>
    <t>근성 ឵</t>
  </si>
  <si>
    <t>스킬링크 (!)</t>
  </si>
  <si>
    <t>수다</t>
  </si>
  <si>
    <t>힘의가루</t>
  </si>
  <si>
    <t>포푸니</t>
  </si>
  <si>
    <t>#215 포푸니</t>
  </si>
  <si>
    <t>215MS6.png</t>
  </si>
  <si>
    <t>https://archives.bulbagarden.net/media/upload/0/0d/215MS6.png</t>
  </si>
  <si>
    <t>악 - 얼음</t>
  </si>
  <si>
    <t>#461 로 진화 가능</t>
  </si>
  <si>
    <t>염동력</t>
  </si>
  <si>
    <t>힘의뿌리</t>
  </si>
  <si>
    <t>깜지곰</t>
  </si>
  <si>
    <t>#216 깜지곰</t>
  </si>
  <si>
    <t>216MS6.png</t>
  </si>
  <si>
    <t>https://archives.bulbagarden.net/media/upload/9/90/216MS6.png</t>
  </si>
  <si>
    <t>8.8 kg</t>
  </si>
  <si>
    <t>#217 로 진화 가능</t>
  </si>
  <si>
    <t>악의파동</t>
  </si>
  <si>
    <t>부활초</t>
  </si>
  <si>
    <t>링곰</t>
  </si>
  <si>
    <t>#217 링곰</t>
  </si>
  <si>
    <t>217MS6.png</t>
  </si>
  <si>
    <t>https://archives.bulbagarden.net/media/upload/6/6d/217MS6.png</t>
  </si>
  <si>
    <t>#216 레벨 30</t>
  </si>
  <si>
    <t>방전</t>
  </si>
  <si>
    <t>성스러운분말</t>
  </si>
  <si>
    <t>마그마그</t>
  </si>
  <si>
    <t>#218 마그마그</t>
  </si>
  <si>
    <t>218MS6.png</t>
  </si>
  <si>
    <t>https://archives.bulbagarden.net/media/upload/8/8e/218MS6.png</t>
  </si>
  <si>
    <t>310᠎</t>
  </si>
  <si>
    <t>마그마의무장</t>
  </si>
  <si>
    <t>#219 로 진화 가능</t>
  </si>
  <si>
    <t>파멸의소원</t>
  </si>
  <si>
    <t>마그카르고</t>
  </si>
  <si>
    <t>#219 마그카르고</t>
  </si>
  <si>
    <t>219MS6.png</t>
  </si>
  <si>
    <t>https://archives.bulbagarden.net/media/upload/e/e3/219MS6.png</t>
  </si>
  <si>
    <t>불꽃 - 바위</t>
  </si>
  <si>
    <t>하드록 (!)</t>
  </si>
  <si>
    <t>#218 레벨 32</t>
  </si>
  <si>
    <t>용성군</t>
  </si>
  <si>
    <t>130᠋</t>
  </si>
  <si>
    <t>이상한사탕</t>
  </si>
  <si>
    <t>꾸꾸리</t>
  </si>
  <si>
    <t>#220 꾸꾸리</t>
  </si>
  <si>
    <t>220MS6.png</t>
  </si>
  <si>
    <t>https://archives.bulbagarden.net/media/upload/d/d5/220MS6.png</t>
  </si>
  <si>
    <t>얼음 - 땅</t>
  </si>
  <si>
    <t>#221 로 진화 가능</t>
  </si>
  <si>
    <t>용의파동</t>
  </si>
  <si>
    <t>85᠋</t>
  </si>
  <si>
    <t>맥스업</t>
  </si>
  <si>
    <t>메꾸리</t>
  </si>
  <si>
    <t>#221 메꾸리</t>
  </si>
  <si>
    <t>221MS6.png</t>
  </si>
  <si>
    <t>https://archives.bulbagarden.net/media/upload/c/c7/221MS6.png</t>
  </si>
  <si>
    <t>55.8 kg</t>
  </si>
  <si>
    <t>#220 레벨 33 - 진화 가능: #473</t>
  </si>
  <si>
    <t>용의분노</t>
  </si>
  <si>
    <t>타우린</t>
  </si>
  <si>
    <t>코산호</t>
  </si>
  <si>
    <t>#222 코산호</t>
  </si>
  <si>
    <t>222MS6.png</t>
  </si>
  <si>
    <t>https://archives.bulbagarden.net/media/upload/c/ce/222MS6.png</t>
  </si>
  <si>
    <t>물 - 바위</t>
  </si>
  <si>
    <t>딱딱한돌 - 5%</t>
  </si>
  <si>
    <t>용의숨결</t>
  </si>
  <si>
    <t>사포닌</t>
  </si>
  <si>
    <t>총어</t>
  </si>
  <si>
    <t>#223 총어</t>
  </si>
  <si>
    <t>223MS6.png</t>
  </si>
  <si>
    <t>https://archives.bulbagarden.net/media/upload/6/61/223MS6.png</t>
  </si>
  <si>
    <t>#224 로 진화 가능</t>
  </si>
  <si>
    <t>꿈먹기</t>
  </si>
  <si>
    <t>리보플라빈</t>
  </si>
  <si>
    <t>대포무노</t>
  </si>
  <si>
    <t>#224 대포무노</t>
  </si>
  <si>
    <t>224MS6.png</t>
  </si>
  <si>
    <t>https://archives.bulbagarden.net/media/upload/d/da/224MS6.png</t>
  </si>
  <si>
    <t>흡반</t>
  </si>
  <si>
    <t>#223 레벨 25</t>
  </si>
  <si>
    <t>대지의힘</t>
  </si>
  <si>
    <t>키토산</t>
  </si>
  <si>
    <t>딜리버드</t>
  </si>
  <si>
    <t>#225 딜리버드</t>
  </si>
  <si>
    <t>225MS6.png</t>
  </si>
  <si>
    <t>https://archives.bulbagarden.net/media/upload/2/26/225MS6.png</t>
  </si>
  <si>
    <t>16.0 kg</t>
  </si>
  <si>
    <t>불꽃세례</t>
  </si>
  <si>
    <t>알칼로이드</t>
  </si>
  <si>
    <t>만타인</t>
  </si>
  <si>
    <t>#226 만타인</t>
  </si>
  <si>
    <t>226MS6.png</t>
  </si>
  <si>
    <t>https://archives.bulbagarden.net/media/upload/8/8b/226MS6.png</t>
  </si>
  <si>
    <t>#458 총어가 팀에 있을 때 레벨업</t>
  </si>
  <si>
    <t>에너지볼</t>
  </si>
  <si>
    <t>포인트업</t>
  </si>
  <si>
    <t>무장조</t>
  </si>
  <si>
    <t>#227 무장조</t>
  </si>
  <si>
    <t>227MS6.png</t>
  </si>
  <si>
    <t>https://archives.bulbagarden.net/media/upload/e/ea/227MS6.png</t>
  </si>
  <si>
    <t>강철 - 비행</t>
  </si>
  <si>
    <t>50.5 kg</t>
  </si>
  <si>
    <t>분화</t>
  </si>
  <si>
    <t>포인트맥스</t>
  </si>
  <si>
    <t>델빌</t>
  </si>
  <si>
    <t>#228 델빌</t>
  </si>
  <si>
    <t>228MS6.png</t>
  </si>
  <si>
    <t>https://archives.bulbagarden.net/media/upload/b/bc/228MS6.png</t>
  </si>
  <si>
    <t>악 - 불꽃</t>
  </si>
  <si>
    <t>#229 로 진화 가능</t>
  </si>
  <si>
    <t>신통력</t>
  </si>
  <si>
    <t>헬가</t>
  </si>
  <si>
    <t>#229 헬가</t>
  </si>
  <si>
    <t>229MS6.png</t>
  </si>
  <si>
    <t>https://archives.bulbagarden.net/media/upload/4/40/229MS6.png</t>
  </si>
  <si>
    <t>#228 레벨 24</t>
  </si>
  <si>
    <t>불대문자</t>
  </si>
  <si>
    <t>자전거</t>
  </si>
  <si>
    <t>킹드라</t>
  </si>
  <si>
    <t>#230 킹드라</t>
  </si>
  <si>
    <t>230MS6.png</t>
  </si>
  <si>
    <t>https://archives.bulbagarden.net/media/upload/0/05/230MS6.png</t>
  </si>
  <si>
    <t>물 - 드래곤</t>
  </si>
  <si>
    <t>152.0 kg</t>
  </si>
  <si>
    <t>1 공격/1 특공/1 특방</t>
  </si>
  <si>
    <t>#117 사용 용의비늘</t>
  </si>
  <si>
    <t>회오리불꽃</t>
  </si>
  <si>
    <t>동전케이스</t>
  </si>
  <si>
    <t>코코리</t>
  </si>
  <si>
    <t>#231 코코리</t>
  </si>
  <si>
    <t>231MS6.png</t>
  </si>
  <si>
    <t>https://archives.bulbagarden.net/media/upload/6/6c/231MS6.png</t>
  </si>
  <si>
    <t>모래숨기 (!)</t>
  </si>
  <si>
    <t>#232 로 진화 가능</t>
  </si>
  <si>
    <t>화염방사</t>
  </si>
  <si>
    <t>포핀케이스</t>
  </si>
  <si>
    <t>코리갑</t>
  </si>
  <si>
    <t>#232 코리갑</t>
  </si>
  <si>
    <t>232MS6.png</t>
  </si>
  <si>
    <t>https://archives.bulbagarden.net/media/upload/8/85/232MS6.png</t>
  </si>
  <si>
    <t>#231 레벨 25</t>
  </si>
  <si>
    <t>러스터캐논</t>
  </si>
  <si>
    <t>실상자</t>
  </si>
  <si>
    <t>폴리곤2</t>
  </si>
  <si>
    <t>#233 폴리곤2</t>
  </si>
  <si>
    <t>233MS6.png</t>
  </si>
  <si>
    <t>https://archives.bulbagarden.net/media/upload/c/ce/233MS6.png</t>
  </si>
  <si>
    <t>#137 사용 업그레이드 - 진화 가능: #474</t>
  </si>
  <si>
    <t>기합구슬</t>
  </si>
  <si>
    <t>교환권1</t>
  </si>
  <si>
    <t>노라키</t>
  </si>
  <si>
    <t>#234 노라키</t>
  </si>
  <si>
    <t>234MS6.png</t>
  </si>
  <si>
    <t>https://archives.bulbagarden.net/media/upload/1/19/234MS6.png</t>
  </si>
  <si>
    <t>통찰</t>
  </si>
  <si>
    <t>71.2 kg</t>
  </si>
  <si>
    <t>하드플랜트</t>
  </si>
  <si>
    <t>교환권2</t>
  </si>
  <si>
    <t>루브도</t>
  </si>
  <si>
    <t>#235 루브도</t>
  </si>
  <si>
    <t>235MS6.png</t>
  </si>
  <si>
    <t>https://archives.bulbagarden.net/media/upload/a/af/235MS6.png</t>
  </si>
  <si>
    <t>58.0 kg</t>
  </si>
  <si>
    <t>미래예지</t>
  </si>
  <si>
    <t>교환권3</t>
  </si>
  <si>
    <t>배루키</t>
  </si>
  <si>
    <t>#236 배루키</t>
  </si>
  <si>
    <t>236MS6.png</t>
  </si>
  <si>
    <t>https://archives.bulbagarden.net/media/upload/c/c0/236MS6.png</t>
  </si>
  <si>
    <t>1Atk</t>
  </si>
  <si>
    <t>불굴의마음</t>
  </si>
  <si>
    <t xml:space="preserve">불굴의마음 </t>
  </si>
  <si>
    <t>불굴의마음 ឵</t>
  </si>
  <si>
    <t>21.0 kg</t>
  </si>
  <si>
    <t>진화 가능: #106, #107, #237</t>
  </si>
  <si>
    <t>기가드레인</t>
  </si>
  <si>
    <t>낡은낚싯대</t>
  </si>
  <si>
    <t>카포에라</t>
  </si>
  <si>
    <t>#237 카포에라</t>
  </si>
  <si>
    <t>237MS6.png</t>
  </si>
  <si>
    <t>https://archives.bulbagarden.net/media/upload/3/3e/237MS6.png</t>
  </si>
  <si>
    <t>#236 레벨 20 공격 = 방어일 때</t>
  </si>
  <si>
    <t>풀묶기</t>
  </si>
  <si>
    <t>타운맵</t>
  </si>
  <si>
    <t>뽀뽀라</t>
  </si>
  <si>
    <t>#238 뽀뽀라</t>
  </si>
  <si>
    <t>238MS6.png</t>
  </si>
  <si>
    <t>https://archives.bulbagarden.net/media/upload/6/6d/238MS6.png</t>
  </si>
  <si>
    <t>315᠎</t>
  </si>
  <si>
    <t xml:space="preserve">촉촉바디 </t>
  </si>
  <si>
    <t>촉촉바디 (!)</t>
  </si>
  <si>
    <t>#124 로 진화 가능</t>
  </si>
  <si>
    <t>바람일으키기</t>
  </si>
  <si>
    <t>멤버스카드</t>
  </si>
  <si>
    <t>에레키드</t>
  </si>
  <si>
    <t>#239 에레키드</t>
  </si>
  <si>
    <t>239MS6.png</t>
  </si>
  <si>
    <t>https://archives.bulbagarden.net/media/upload/a/ad/239MS6.png</t>
  </si>
  <si>
    <t>23.5 kg</t>
  </si>
  <si>
    <t>#125 로 진화 가능</t>
  </si>
  <si>
    <t>열풍</t>
  </si>
  <si>
    <t>95᠋</t>
  </si>
  <si>
    <t>배틀서처</t>
  </si>
  <si>
    <t>마그비</t>
  </si>
  <si>
    <t>#240 마그비</t>
  </si>
  <si>
    <t>240MS6.png</t>
  </si>
  <si>
    <t>https://archives.bulbagarden.net/media/upload/9/99/240MS6.png</t>
  </si>
  <si>
    <t>21.4 kg</t>
  </si>
  <si>
    <t>#126 로 진화 가능</t>
  </si>
  <si>
    <t>잠재파워</t>
  </si>
  <si>
    <t>발전소키</t>
  </si>
  <si>
    <t>밀탱크</t>
  </si>
  <si>
    <t>#241 밀탱크</t>
  </si>
  <si>
    <t>241MS6.png</t>
  </si>
  <si>
    <t>https://archives.bulbagarden.net/media/upload/9/9d/241MS6.png</t>
  </si>
  <si>
    <t>75.5 kg</t>
  </si>
  <si>
    <t>튼튼밀크 - 100%</t>
  </si>
  <si>
    <t>하이드로캐논</t>
  </si>
  <si>
    <t>룸키</t>
  </si>
  <si>
    <t>해피너스</t>
  </si>
  <si>
    <t>#242 해피너스</t>
  </si>
  <si>
    <t>242MS6.png</t>
  </si>
  <si>
    <t>https://archives.bulbagarden.net/media/upload/d/d8/242MS6.png</t>
  </si>
  <si>
    <t>46.8 kg</t>
  </si>
  <si>
    <t>#440 친밀도가 높을 때 레벨업</t>
  </si>
  <si>
    <t>행복의알 - 5%</t>
  </si>
  <si>
    <t>하이드로펌프</t>
  </si>
  <si>
    <t>갤럭시단의열쇠</t>
  </si>
  <si>
    <t>라이코</t>
  </si>
  <si>
    <t>#243 라이코</t>
  </si>
  <si>
    <t>243MS6.png</t>
  </si>
  <si>
    <t>https://archives.bulbagarden.net/media/upload/b/b4/243MS6.png</t>
  </si>
  <si>
    <t>정신력 (!)</t>
  </si>
  <si>
    <t>178.0 kg</t>
  </si>
  <si>
    <t>1 특공/2 스피드</t>
  </si>
  <si>
    <t>파괴광선</t>
  </si>
  <si>
    <t>비밀의열쇠</t>
  </si>
  <si>
    <t>앤테이</t>
  </si>
  <si>
    <t>#244 앤테이</t>
  </si>
  <si>
    <t>244MS6.png</t>
  </si>
  <si>
    <t>https://archives.bulbagarden.net/media/upload/1/14/244MS6.png</t>
  </si>
  <si>
    <t>198.0 kg</t>
  </si>
  <si>
    <t>1 HP/2 공격</t>
  </si>
  <si>
    <t>하이퍼보이스</t>
  </si>
  <si>
    <t>창고열쇠</t>
  </si>
  <si>
    <t>스이쿤</t>
  </si>
  <si>
    <t>#245 스이쿤</t>
  </si>
  <si>
    <t>245MS6.png</t>
  </si>
  <si>
    <t>https://archives.bulbagarden.net/media/upload/7/7d/245MS6.png</t>
  </si>
  <si>
    <t>187.0 kg</t>
  </si>
  <si>
    <t>냉동빔</t>
  </si>
  <si>
    <t>액세서리상자</t>
  </si>
  <si>
    <t>애버라스</t>
  </si>
  <si>
    <t>#246 애버라스</t>
  </si>
  <si>
    <t>246MS6.png</t>
  </si>
  <si>
    <t>https://archives.bulbagarden.net/media/upload/b/be/246MS6.png</t>
  </si>
  <si>
    <t>72.0 kg</t>
  </si>
  <si>
    <t>#247 로 진화 가능</t>
  </si>
  <si>
    <t>얼다바람</t>
  </si>
  <si>
    <t>전해줄물건</t>
  </si>
  <si>
    <t>데기라스</t>
  </si>
  <si>
    <t>#247 데기라스</t>
  </si>
  <si>
    <t>247MS6.png</t>
  </si>
  <si>
    <t>https://archives.bulbagarden.net/media/upload/4/44/247MS6.png</t>
  </si>
  <si>
    <t>#246 레벨 30 - 진화 가능: #248</t>
  </si>
  <si>
    <t>심판의뭉치</t>
  </si>
  <si>
    <t>탐험세트</t>
  </si>
  <si>
    <t>마기라스</t>
  </si>
  <si>
    <t>#248 마기라스</t>
  </si>
  <si>
    <t>248MS6.png</t>
  </si>
  <si>
    <t>https://archives.bulbagarden.net/media/upload/d/d6/248MS6.png</t>
  </si>
  <si>
    <t>바위 - 악</t>
  </si>
  <si>
    <t>모래날림</t>
  </si>
  <si>
    <t>202.0 kg</t>
  </si>
  <si>
    <t>#247 레벨 55</t>
  </si>
  <si>
    <t>분연</t>
  </si>
  <si>
    <t>천계의피리</t>
  </si>
  <si>
    <t>루기아</t>
  </si>
  <si>
    <t>#249 루기아</t>
  </si>
  <si>
    <t>249MS6.png</t>
  </si>
  <si>
    <t>https://archives.bulbagarden.net/media/upload/e/e8/249MS6.png</t>
  </si>
  <si>
    <t>216.0 kg</t>
  </si>
  <si>
    <t>리프스톰</t>
  </si>
  <si>
    <t>그라시데아꽃</t>
  </si>
  <si>
    <t>칠색조</t>
  </si>
  <si>
    <t>#250 칠색조</t>
  </si>
  <si>
    <t>250MS6.png</t>
  </si>
  <si>
    <t>https://archives.bulbagarden.net/media/upload/c/cf/250MS6.png</t>
  </si>
  <si>
    <t>199.0 kg</t>
  </si>
  <si>
    <t>성스러운분말 - 100%</t>
  </si>
  <si>
    <t>라스트버지᠋</t>
  </si>
  <si>
    <t>에스퍼᠋</t>
  </si>
  <si>
    <t>모험노트</t>
  </si>
  <si>
    <t>세레비</t>
  </si>
  <si>
    <t>#251 세레비</t>
  </si>
  <si>
    <t>251MS6.png</t>
  </si>
  <si>
    <t>https://archives.bulbagarden.net/media/upload/1/15/251MS6.png</t>
  </si>
  <si>
    <t>에스퍼 - 풀</t>
  </si>
  <si>
    <t>매지컬샤인 (!)</t>
  </si>
  <si>
    <t>고라파덕물뿌리개</t>
  </si>
  <si>
    <t>나무지기</t>
  </si>
  <si>
    <t>#252 나무지기</t>
  </si>
  <si>
    <t>252MS6.png</t>
  </si>
  <si>
    <t>https://archives.bulbagarden.net/media/upload/2/2e/252MS6.png</t>
  </si>
  <si>
    <t xml:space="preserve">곡예 </t>
  </si>
  <si>
    <t>곡예 (!)</t>
  </si>
  <si>
    <t>#253 로 진화 가능</t>
  </si>
  <si>
    <t>메지컬리프</t>
  </si>
  <si>
    <t>오박사의편지</t>
  </si>
  <si>
    <t>나무돌이</t>
  </si>
  <si>
    <t>#253 나무돌이</t>
  </si>
  <si>
    <t>253MS6.png</t>
  </si>
  <si>
    <t>https://archives.bulbagarden.net/media/upload/b/b7/253MS6.png</t>
  </si>
  <si>
    <t>21.6 kg</t>
  </si>
  <si>
    <t>#252 레벨 16 - 진화 가능: #254</t>
  </si>
  <si>
    <t>마그마스톰</t>
  </si>
  <si>
    <t>100᠋</t>
  </si>
  <si>
    <t>75%᠎</t>
  </si>
  <si>
    <t>초승달날개</t>
  </si>
  <si>
    <t>나무킹</t>
  </si>
  <si>
    <t>#254 나무킹</t>
  </si>
  <si>
    <t>254MS6.png</t>
  </si>
  <si>
    <t>https://archives.bulbagarden.net/media/upload/e/e2/254MS6.png</t>
  </si>
  <si>
    <t>풀 - 드래곤 (!)</t>
  </si>
  <si>
    <t>52.2 kg</t>
  </si>
  <si>
    <t>#253 레벨 36</t>
  </si>
  <si>
    <t>메가드레인</t>
  </si>
  <si>
    <t>배틀레코더</t>
  </si>
  <si>
    <t>아차모</t>
  </si>
  <si>
    <t>#255 아차모</t>
  </si>
  <si>
    <t>255MS6.png</t>
  </si>
  <si>
    <t>https://archives.bulbagarden.net/media/upload/4/41/255MS6.png</t>
  </si>
  <si>
    <t>가속 (!)</t>
  </si>
  <si>
    <t>#256 로 진화 가능</t>
  </si>
  <si>
    <t>미러코트</t>
  </si>
  <si>
    <t>대단한낚싯대</t>
  </si>
  <si>
    <t>영치코</t>
  </si>
  <si>
    <t>#256 영치코</t>
  </si>
  <si>
    <t>256MS6.png</t>
  </si>
  <si>
    <t>https://archives.bulbagarden.net/media/upload/6/6e/256MS6.png</t>
  </si>
  <si>
    <t>불꽃 - 격투</t>
  </si>
  <si>
    <t>#255 레벨 16 - 진화 가능: #257</t>
  </si>
  <si>
    <t>미러숏</t>
  </si>
  <si>
    <t>포켓트레</t>
  </si>
  <si>
    <t>번치코</t>
  </si>
  <si>
    <t>#257 번치코</t>
  </si>
  <si>
    <t>257MS6.png</t>
  </si>
  <si>
    <t>https://archives.bulbagarden.net/media/upload/6/6d/257MS6.png</t>
  </si>
  <si>
    <t>52.0 kg</t>
  </si>
  <si>
    <t>#256 레벨 36</t>
  </si>
  <si>
    <t>미스트볼᠋</t>
  </si>
  <si>
    <t>비전신약</t>
  </si>
  <si>
    <t>물짱이</t>
  </si>
  <si>
    <t>#258 물짱이</t>
  </si>
  <si>
    <t>258MS6.png</t>
  </si>
  <si>
    <t>https://archives.bulbagarden.net/media/upload/a/ab/258MS6.png</t>
  </si>
  <si>
    <t>습기 (!)</t>
  </si>
  <si>
    <t>7.6 kg</t>
  </si>
  <si>
    <t>#259 로 진화 가능</t>
  </si>
  <si>
    <t>차밍보이스 (!)</t>
  </si>
  <si>
    <t>친구수첩</t>
  </si>
  <si>
    <t>늪짱이</t>
  </si>
  <si>
    <t>#259 늪짱이</t>
  </si>
  <si>
    <t>259MS6.png</t>
  </si>
  <si>
    <t>https://archives.bulbagarden.net/media/upload/e/eb/259MS6.png</t>
  </si>
  <si>
    <t>#258 레벨 16 - 진화 가능: #260</t>
  </si>
  <si>
    <t>진흙폭탄</t>
  </si>
  <si>
    <t>좋은낚싯대</t>
  </si>
  <si>
    <t>대짱이</t>
  </si>
  <si>
    <t>#260 대짱이</t>
  </si>
  <si>
    <t>260MS6.png</t>
  </si>
  <si>
    <t>https://archives.bulbagarden.net/media/upload/0/09/260MS6.png</t>
  </si>
  <si>
    <t>81.9 kg</t>
  </si>
  <si>
    <t>#259 레벨 36</t>
  </si>
  <si>
    <t>머드숏</t>
  </si>
  <si>
    <t>고대의부적</t>
  </si>
  <si>
    <t>포챠나</t>
  </si>
  <si>
    <t>#261 포챠나</t>
  </si>
  <si>
    <t>261MS6.png</t>
  </si>
  <si>
    <t>https://archives.bulbagarden.net/media/upload/3/39/261MS6.png</t>
  </si>
  <si>
    <t>13.6 kg</t>
  </si>
  <si>
    <t>#262 로 진화 가능</t>
  </si>
  <si>
    <t>진흙뿌리기</t>
  </si>
  <si>
    <t>고운비늘</t>
  </si>
  <si>
    <t>그라에나</t>
  </si>
  <si>
    <t>#262 그라에나</t>
  </si>
  <si>
    <t>262MS6.png</t>
  </si>
  <si>
    <t>https://archives.bulbagarden.net/media/upload/b/ba/262MS6.png</t>
  </si>
  <si>
    <t>37.0 kg</t>
  </si>
  <si>
    <t>#261 레벨 18</t>
  </si>
  <si>
    <t>탁류</t>
  </si>
  <si>
    <t>큰진주</t>
  </si>
  <si>
    <t>지그제구리</t>
  </si>
  <si>
    <t>#263 지그제구리</t>
  </si>
  <si>
    <t>263MS6.png</t>
  </si>
  <si>
    <t>https://archives.bulbagarden.net/media/upload/4/49/263MS6.png</t>
  </si>
  <si>
    <t>250᠎</t>
  </si>
  <si>
    <t>17.5 kg</t>
  </si>
  <si>
    <t>#264 로 진화 가능</t>
  </si>
  <si>
    <t>상처약 - 50%</t>
  </si>
  <si>
    <t>기력의조각 - 5%</t>
  </si>
  <si>
    <t>나이트헤드</t>
  </si>
  <si>
    <t>큰버섯</t>
  </si>
  <si>
    <t>직구리</t>
  </si>
  <si>
    <t>#264 직구리</t>
  </si>
  <si>
    <t>264MS6.png</t>
  </si>
  <si>
    <t>https://archives.bulbagarden.net/media/upload/2/22/264MS6.png</t>
  </si>
  <si>
    <t>#263 레벨 20</t>
  </si>
  <si>
    <t>기력의덩어리 - 5%</t>
  </si>
  <si>
    <t>대포무노포</t>
  </si>
  <si>
    <t>별의조각</t>
  </si>
  <si>
    <t>개무소</t>
  </si>
  <si>
    <t>#265 개무소</t>
  </si>
  <si>
    <t>265MS6.png</t>
  </si>
  <si>
    <t>https://archives.bulbagarden.net/media/upload/f/f4/265MS6.png</t>
  </si>
  <si>
    <t>3.6 kg</t>
  </si>
  <si>
    <t>진화 가능: #266, #268</t>
  </si>
  <si>
    <t>복슝열매 - 50%</t>
  </si>
  <si>
    <t>반짝가루 - 5%</t>
  </si>
  <si>
    <t>괴상한바람</t>
  </si>
  <si>
    <t>귀중한뼈</t>
  </si>
  <si>
    <t>실쿤</t>
  </si>
  <si>
    <t>#266 실쿤</t>
  </si>
  <si>
    <t>266MS6.png</t>
  </si>
  <si>
    <t>https://archives.bulbagarden.net/media/upload/7/76/266MS6.png</t>
  </si>
  <si>
    <t>탈피 (!)</t>
  </si>
  <si>
    <t>#265 레벨 7 - 진화 가능: #267</t>
  </si>
  <si>
    <t>오버히트</t>
  </si>
  <si>
    <t>금구슬</t>
  </si>
  <si>
    <t>뷰티플라이</t>
  </si>
  <si>
    <t>#267 뷰티플라이</t>
  </si>
  <si>
    <t>267MS6.png</t>
  </si>
  <si>
    <t>https://archives.bulbagarden.net/media/upload/0/0e/267MS6.png</t>
  </si>
  <si>
    <t>투쟁심 (!)</t>
  </si>
  <si>
    <t>28.4 kg</t>
  </si>
  <si>
    <t>#266 레벨 10</t>
  </si>
  <si>
    <t>꽃잎댄스</t>
  </si>
  <si>
    <t>진주</t>
  </si>
  <si>
    <t>카스쿤</t>
  </si>
  <si>
    <t>#268 카스쿤</t>
  </si>
  <si>
    <t>268MS6.png</t>
  </si>
  <si>
    <t>https://archives.bulbagarden.net/media/upload/7/70/268MS6.png</t>
  </si>
  <si>
    <t>#265 레벨 7 - 진화 가능: #269</t>
  </si>
  <si>
    <t>눈싸라기</t>
  </si>
  <si>
    <t>작은버섯</t>
  </si>
  <si>
    <t>독케일</t>
  </si>
  <si>
    <t>#269 독케일</t>
  </si>
  <si>
    <t>269MS6.png</t>
  </si>
  <si>
    <t>https://archives.bulbagarden.net/media/upload/a/ac/269MS6.png</t>
  </si>
  <si>
    <t>복안 (!)</t>
  </si>
  <si>
    <t>31.6 kg</t>
  </si>
  <si>
    <t>#268 레벨 10</t>
  </si>
  <si>
    <t>파워젬</t>
  </si>
  <si>
    <t>별의모래</t>
  </si>
  <si>
    <t>연꽃몬</t>
  </si>
  <si>
    <t>#270 연꽃몬</t>
  </si>
  <si>
    <t>270MS6.png</t>
  </si>
  <si>
    <t>https://archives.bulbagarden.net/media/upload/1/18/270MS6.png</t>
  </si>
  <si>
    <t>물 - 풀</t>
  </si>
  <si>
    <t>2.6 kg</t>
  </si>
  <si>
    <t>#271 로 진화 가능</t>
  </si>
  <si>
    <t>멘탈허브 - 5%</t>
  </si>
  <si>
    <t>환상빔</t>
  </si>
  <si>
    <t>로토스</t>
  </si>
  <si>
    <t>#271 로토스</t>
  </si>
  <si>
    <t>271MS6.png</t>
  </si>
  <si>
    <t>https://archives.bulbagarden.net/media/upload/3/3e/271MS6.png</t>
  </si>
  <si>
    <t>#270 레벨 14 - 진화 가능: #272</t>
  </si>
  <si>
    <t>사이코키네시스</t>
  </si>
  <si>
    <t>스틸메일</t>
  </si>
  <si>
    <t>로파파</t>
  </si>
  <si>
    <t>#272 로파파</t>
  </si>
  <si>
    <t>272MS6.png</t>
  </si>
  <si>
    <t>https://archives.bulbagarden.net/media/upload/2/2c/272MS6.png</t>
  </si>
  <si>
    <t>#271 사용 물의돌</t>
  </si>
  <si>
    <t>사이코부스트</t>
  </si>
  <si>
    <t>에어메일</t>
  </si>
  <si>
    <t>도토링</t>
  </si>
  <si>
    <t>#273 도토링</t>
  </si>
  <si>
    <t>273MS6.png</t>
  </si>
  <si>
    <t>https://archives.bulbagarden.net/media/upload/9/92/273MS6.png</t>
  </si>
  <si>
    <t>#274 로 진화 가능</t>
  </si>
  <si>
    <t>파워풀허브 - 5%</t>
  </si>
  <si>
    <t>사이코웨이브</t>
  </si>
  <si>
    <t>하트메일</t>
  </si>
  <si>
    <t>잎새코</t>
  </si>
  <si>
    <t>#274 잎새코</t>
  </si>
  <si>
    <t>274MS6.png</t>
  </si>
  <si>
    <t>https://archives.bulbagarden.net/media/upload/c/cb/274MS6.png</t>
  </si>
  <si>
    <t>풀 - 악</t>
  </si>
  <si>
    <t>#273 레벨 14 - 진화 가능: #275</t>
  </si>
  <si>
    <t>칼바람</t>
  </si>
  <si>
    <t>스페이스메일</t>
  </si>
  <si>
    <t>다탱구</t>
  </si>
  <si>
    <t>#275 다탱구</t>
  </si>
  <si>
    <t>275MS6.png</t>
  </si>
  <si>
    <t>https://archives.bulbagarden.net/media/upload/8/87/275MS6.png</t>
  </si>
  <si>
    <t>59.6 kg</t>
  </si>
  <si>
    <t>#274 사용 리프의돌</t>
  </si>
  <si>
    <t>시간의포효</t>
  </si>
  <si>
    <t>플레임메일</t>
  </si>
  <si>
    <t>테일로</t>
  </si>
  <si>
    <t>#276 테일로</t>
  </si>
  <si>
    <t>276MS6.png</t>
  </si>
  <si>
    <t>https://archives.bulbagarden.net/media/upload/2/2f/276MS6.png</t>
  </si>
  <si>
    <t>2.3 kg</t>
  </si>
  <si>
    <t>#277 로 진화 가능</t>
  </si>
  <si>
    <t>시드플레어</t>
  </si>
  <si>
    <t>그라스메일</t>
  </si>
  <si>
    <t>스왈로</t>
  </si>
  <si>
    <t>#277 스왈로</t>
  </si>
  <si>
    <t>277MS6.png</t>
  </si>
  <si>
    <t>https://archives.bulbagarden.net/media/upload/6/65/277MS6.png</t>
  </si>
  <si>
    <t>19.8 kg</t>
  </si>
  <si>
    <t>#276 레벨 22</t>
  </si>
  <si>
    <t>섀도볼</t>
  </si>
  <si>
    <t>버블메일</t>
  </si>
  <si>
    <t>갈모매</t>
  </si>
  <si>
    <t>#278 갈모매</t>
  </si>
  <si>
    <t>278MS6.png</t>
  </si>
  <si>
    <t>https://archives.bulbagarden.net/media/upload/a/a7/278MS6.png</t>
  </si>
  <si>
    <t>#279 로 진화 가능</t>
  </si>
  <si>
    <t>절대영도</t>
  </si>
  <si>
    <t>터널메일</t>
  </si>
  <si>
    <t>패리퍼</t>
  </si>
  <si>
    <t>#279 패리퍼</t>
  </si>
  <si>
    <t>279MS6.png</t>
  </si>
  <si>
    <t>https://archives.bulbagarden.net/media/upload/0/06/279MS6.png</t>
  </si>
  <si>
    <t>460᠎</t>
  </si>
  <si>
    <t>잔비</t>
  </si>
  <si>
    <t>#278 레벨 25</t>
  </si>
  <si>
    <t>전격파</t>
  </si>
  <si>
    <t>스노메일</t>
  </si>
  <si>
    <t>랄토스</t>
  </si>
  <si>
    <t>#280 랄토스</t>
  </si>
  <si>
    <t>280MS6.png</t>
  </si>
  <si>
    <t>https://archives.bulbagarden.net/media/upload/0/0a/280MS6.png</t>
  </si>
  <si>
    <t>238᠎</t>
  </si>
  <si>
    <t>6.6 kg</t>
  </si>
  <si>
    <t>#281 로 진화 가능</t>
  </si>
  <si>
    <t>시그널빔</t>
  </si>
  <si>
    <t>블룸메일</t>
  </si>
  <si>
    <t>킬리아</t>
  </si>
  <si>
    <t>#281 킬리아</t>
  </si>
  <si>
    <t>281MS6.png</t>
  </si>
  <si>
    <t>https://archives.bulbagarden.net/media/upload/7/71/281MS6.png</t>
  </si>
  <si>
    <t>338᠎</t>
  </si>
  <si>
    <t>20.2 kg</t>
  </si>
  <si>
    <t>#280 레벨 20 - 진화 가능: #282, #475</t>
  </si>
  <si>
    <t>은빛바람</t>
  </si>
  <si>
    <t>브릭메일</t>
  </si>
  <si>
    <t>가디안</t>
  </si>
  <si>
    <t>#282 가디안</t>
  </si>
  <si>
    <t>282MS6.png</t>
  </si>
  <si>
    <t>https://archives.bulbagarden.net/media/upload/c/ce/282MS6.png</t>
  </si>
  <si>
    <t>48.4 kg</t>
  </si>
  <si>
    <t>#281 레벨 30</t>
  </si>
  <si>
    <t>오물공격</t>
  </si>
  <si>
    <t>모자이크메일</t>
  </si>
  <si>
    <t>비구술</t>
  </si>
  <si>
    <t>#283 비구술</t>
  </si>
  <si>
    <t>283MS6.png</t>
  </si>
  <si>
    <t>https://archives.bulbagarden.net/media/upload/0/09/283MS6.png</t>
  </si>
  <si>
    <t>벌레 - 물</t>
  </si>
  <si>
    <t>1.7 kg</t>
  </si>
  <si>
    <t>#284 로 진화 가능</t>
  </si>
  <si>
    <t>달콤한꿀 - 50%</t>
  </si>
  <si>
    <t>오물폭탄</t>
  </si>
  <si>
    <t>비나방</t>
  </si>
  <si>
    <t>#284 비나방</t>
  </si>
  <si>
    <t>284MS6.png</t>
  </si>
  <si>
    <t>https://archives.bulbagarden.net/media/upload/d/d5/284MS6.png</t>
  </si>
  <si>
    <t>480᠎</t>
  </si>
  <si>
    <t>벌레 - 물 (!)</t>
  </si>
  <si>
    <t>#283 레벨 22</t>
  </si>
  <si>
    <t>스모그</t>
  </si>
  <si>
    <t>동굴탈출로프</t>
  </si>
  <si>
    <t>버섯꼬</t>
  </si>
  <si>
    <t>#285 버섯꼬</t>
  </si>
  <si>
    <t>285MS6.png</t>
  </si>
  <si>
    <t>https://archives.bulbagarden.net/media/upload/7/70/285MS6.png</t>
  </si>
  <si>
    <t>포이즌힐</t>
  </si>
  <si>
    <t>4.5 kg</t>
  </si>
  <si>
    <t>불안정</t>
  </si>
  <si>
    <t>#286 로 진화 가능</t>
  </si>
  <si>
    <t>코골기</t>
  </si>
  <si>
    <t>달콤한꿀</t>
  </si>
  <si>
    <t>버섯모</t>
  </si>
  <si>
    <t>#286 버섯모</t>
  </si>
  <si>
    <t>286MS6.png</t>
  </si>
  <si>
    <t>https://archives.bulbagarden.net/media/upload/8/8c/286MS6.png</t>
  </si>
  <si>
    <t>풀 - 격투</t>
  </si>
  <si>
    <t>#285 레벨 23</t>
  </si>
  <si>
    <t>솔라빔</t>
  </si>
  <si>
    <t>벌레회피스프레이</t>
  </si>
  <si>
    <t>게을로</t>
  </si>
  <si>
    <t>#287 게을로</t>
  </si>
  <si>
    <t>287MS6.png</t>
  </si>
  <si>
    <t>https://archives.bulbagarden.net/media/upload/a/af/287MS6.png</t>
  </si>
  <si>
    <t>게으름</t>
  </si>
  <si>
    <t>24.0 kg</t>
  </si>
  <si>
    <t>#288 로 진화 가능</t>
  </si>
  <si>
    <t>소닉붐</t>
  </si>
  <si>
    <t>실버스프레이</t>
  </si>
  <si>
    <t>발바로</t>
  </si>
  <si>
    <t>#288 발바로</t>
  </si>
  <si>
    <t>288MS6.png</t>
  </si>
  <si>
    <t>https://archives.bulbagarden.net/media/upload/e/e6/288MS6.png</t>
  </si>
  <si>
    <t>46.5 kg</t>
  </si>
  <si>
    <t>#287 레벨 18 - 진화 가능: #289</t>
  </si>
  <si>
    <t>공간절단</t>
  </si>
  <si>
    <t>골드스프레이</t>
  </si>
  <si>
    <t>게을킹</t>
  </si>
  <si>
    <t>#289 게을킹</t>
  </si>
  <si>
    <t>289MS6.png</t>
  </si>
  <si>
    <t>https://archives.bulbagarden.net/media/upload/f/f3/289MS6.png</t>
  </si>
  <si>
    <t>130.5 kg</t>
  </si>
  <si>
    <t>#288 레벨 36</t>
  </si>
  <si>
    <t>토해내기</t>
  </si>
  <si>
    <t>하양비드로</t>
  </si>
  <si>
    <t>토중몬</t>
  </si>
  <si>
    <t>#290 토중몬</t>
  </si>
  <si>
    <t>290MS6.png</t>
  </si>
  <si>
    <t>https://archives.bulbagarden.net/media/upload/a/a6/290MS6.png</t>
  </si>
  <si>
    <t>벌레 - 땅</t>
  </si>
  <si>
    <t>불규칙</t>
  </si>
  <si>
    <t>진화 가능: #291, #292</t>
  </si>
  <si>
    <t>파도타기</t>
  </si>
  <si>
    <t>검정비드로</t>
  </si>
  <si>
    <t>아이스크</t>
  </si>
  <si>
    <t>#291 아이스크</t>
  </si>
  <si>
    <t>291MS6.png</t>
  </si>
  <si>
    <t>https://archives.bulbagarden.net/media/upload/9/9c/291MS6.png</t>
  </si>
  <si>
    <t>#290 레벨 20</t>
  </si>
  <si>
    <t>스피드스타</t>
  </si>
  <si>
    <t>하트비늘</t>
  </si>
  <si>
    <t>껍질몬</t>
  </si>
  <si>
    <t>#292 껍질몬</t>
  </si>
  <si>
    <t>292MS6.png</t>
  </si>
  <si>
    <t>https://archives.bulbagarden.net/media/upload/3/31/292MS6.png</t>
  </si>
  <si>
    <t>벌레 - 고스트</t>
  </si>
  <si>
    <t>불가사의부적</t>
  </si>
  <si>
    <t>1.2 kg</t>
  </si>
  <si>
    <t>#290 팀에 빈 슬롯이 있을 때 레벨 20</t>
  </si>
  <si>
    <t>번개</t>
  </si>
  <si>
    <t>무럭무럭비료</t>
  </si>
  <si>
    <t>소곤룡</t>
  </si>
  <si>
    <t>#293 소곤룡</t>
  </si>
  <si>
    <t>293MS6.png</t>
  </si>
  <si>
    <t>https://archives.bulbagarden.net/media/upload/3/3b/293MS6.png</t>
  </si>
  <si>
    <t>16.3 kg</t>
  </si>
  <si>
    <t>#294 로 진화 가능</t>
  </si>
  <si>
    <t>10만볼트</t>
  </si>
  <si>
    <t>축축이비료</t>
  </si>
  <si>
    <t>노공룡</t>
  </si>
  <si>
    <t>#294 노공룡</t>
  </si>
  <si>
    <t>294MS6.png</t>
  </si>
  <si>
    <t>https://archives.bulbagarden.net/media/upload/1/1d/294MS6.png</t>
  </si>
  <si>
    <t>#293 레벨 20 - 진화 가능: #295</t>
  </si>
  <si>
    <t>전기쇼크</t>
  </si>
  <si>
    <t>오래오래비료</t>
  </si>
  <si>
    <t>폭음룡</t>
  </si>
  <si>
    <t>#295 폭음룡</t>
  </si>
  <si>
    <t>295MS6.png</t>
  </si>
  <si>
    <t>https://archives.bulbagarden.net/media/upload/d/dc/295MS6.png</t>
  </si>
  <si>
    <t>84.0 kg</t>
  </si>
  <si>
    <t>#294 레벨 40</t>
  </si>
  <si>
    <t>트라이어택</t>
  </si>
  <si>
    <t>끈적끈적비료</t>
  </si>
  <si>
    <t>마크탕</t>
  </si>
  <si>
    <t>#296 마크탕</t>
  </si>
  <si>
    <t>296MS6.png</t>
  </si>
  <si>
    <t>https://archives.bulbagarden.net/media/upload/d/d9/296MS6.png</t>
  </si>
  <si>
    <t>86.4 kg</t>
  </si>
  <si>
    <t>#297 로 진화 가능</t>
  </si>
  <si>
    <t>검은띠 - 5%</t>
  </si>
  <si>
    <t>마지막수단</t>
  </si>
  <si>
    <t>파랑밴드</t>
  </si>
  <si>
    <t>하리뭉</t>
  </si>
  <si>
    <t>#297 하리뭉</t>
  </si>
  <si>
    <t>297MS6.png</t>
  </si>
  <si>
    <t>https://archives.bulbagarden.net/media/upload/6/63/297MS6.png</t>
  </si>
  <si>
    <t>253.8 kg</t>
  </si>
  <si>
    <t>#296 레벨 24</t>
  </si>
  <si>
    <t>회오리᠋</t>
  </si>
  <si>
    <t>드래곤᠋</t>
  </si>
  <si>
    <t>노랑밴드</t>
  </si>
  <si>
    <t>루리리</t>
  </si>
  <si>
    <t>#298 루리리</t>
  </si>
  <si>
    <t>298MS6.png</t>
  </si>
  <si>
    <t>https://archives.bulbagarden.net/media/upload/b/b2/298MS6.png</t>
  </si>
  <si>
    <t>210᠎</t>
  </si>
  <si>
    <t>천하장사 ឵</t>
  </si>
  <si>
    <t>#183 로 진화 가능</t>
  </si>
  <si>
    <t>폭풍 (!)</t>
  </si>
  <si>
    <t>빨강밴드</t>
  </si>
  <si>
    <t>코코파스</t>
  </si>
  <si>
    <t>#299 코코파스</t>
  </si>
  <si>
    <t>299MS6.png</t>
  </si>
  <si>
    <t>https://archives.bulbagarden.net/media/upload/6/65/299MS6.png</t>
  </si>
  <si>
    <t>97.0 kg</t>
  </si>
  <si>
    <t>#476 로 진화 가능</t>
  </si>
  <si>
    <t>자석 - 5%</t>
  </si>
  <si>
    <t>소란피기</t>
  </si>
  <si>
    <t>분홍밴드</t>
  </si>
  <si>
    <t>에나비</t>
  </si>
  <si>
    <t>#300 에나비</t>
  </si>
  <si>
    <t>300MS6.png</t>
  </si>
  <si>
    <t>https://archives.bulbagarden.net/media/upload/a/ad/300MS6.png</t>
  </si>
  <si>
    <t>290᠎</t>
  </si>
  <si>
    <t>노말스킨</t>
  </si>
  <si>
    <t>11.0 kg</t>
  </si>
  <si>
    <t>#301 로 진화 가능</t>
  </si>
  <si>
    <t>진공파</t>
  </si>
  <si>
    <t>초록밴드</t>
  </si>
  <si>
    <t>델케티</t>
  </si>
  <si>
    <t>#301 델케티</t>
  </si>
  <si>
    <t>301MS6.png</t>
  </si>
  <si>
    <t>https://archives.bulbagarden.net/media/upload/e/ea/301MS6.png</t>
  </si>
  <si>
    <t>32.6 kg</t>
  </si>
  <si>
    <t>1 HP/1 스피드</t>
  </si>
  <si>
    <t>#300 사용 달의돌</t>
  </si>
  <si>
    <t>물대포</t>
  </si>
  <si>
    <t>파랑조각</t>
  </si>
  <si>
    <t>깜까미</t>
  </si>
  <si>
    <t>#302 깜까미</t>
  </si>
  <si>
    <t>302MS6.png</t>
  </si>
  <si>
    <t>https://archives.bulbagarden.net/media/upload/3/34/302MS6.png</t>
  </si>
  <si>
    <t>악 - 고스트</t>
  </si>
  <si>
    <t>시간벌기</t>
  </si>
  <si>
    <t>물의파동</t>
  </si>
  <si>
    <t>노랑조각</t>
  </si>
  <si>
    <t>입치트</t>
  </si>
  <si>
    <t>#303 입치트</t>
  </si>
  <si>
    <t>303MS6.png</t>
  </si>
  <si>
    <t>https://archives.bulbagarden.net/media/upload/0/09/303MS6.png</t>
  </si>
  <si>
    <t>강철 - 페어리 (!)</t>
  </si>
  <si>
    <t xml:space="preserve">위협 </t>
  </si>
  <si>
    <t>천하장사 (!)</t>
  </si>
  <si>
    <t>검은철구 - 5%</t>
  </si>
  <si>
    <t>해수스파우팅</t>
  </si>
  <si>
    <t>빨강조각</t>
  </si>
  <si>
    <t>가보리</t>
  </si>
  <si>
    <t>#304 가보리</t>
  </si>
  <si>
    <t>304MS6.png</t>
  </si>
  <si>
    <t>https://archives.bulbagarden.net/media/upload/0/07/304MS6.png</t>
  </si>
  <si>
    <t>강철 - 바위</t>
  </si>
  <si>
    <t>#305 로 진화 가능</t>
  </si>
  <si>
    <t>웨더볼</t>
  </si>
  <si>
    <t>초록조각</t>
  </si>
  <si>
    <t>갱도라</t>
  </si>
  <si>
    <t>#305 갱도라</t>
  </si>
  <si>
    <t>305MS6.png</t>
  </si>
  <si>
    <t>https://archives.bulbagarden.net/media/upload/5/51/305MS6.png</t>
  </si>
  <si>
    <t>#304 레벨 24 - 진화 가능: #306</t>
  </si>
  <si>
    <t>바다회오리</t>
  </si>
  <si>
    <t>여울조개껍질</t>
  </si>
  <si>
    <t>보스로라</t>
  </si>
  <si>
    <t>#306 보스로라</t>
  </si>
  <si>
    <t>306MS6.png</t>
  </si>
  <si>
    <t>https://archives.bulbagarden.net/media/upload/9/95/306MS6.png</t>
  </si>
  <si>
    <t>360.0 kg</t>
  </si>
  <si>
    <t>#305 레벨 40</t>
  </si>
  <si>
    <t>쥐어짜기</t>
  </si>
  <si>
    <t>여울소금</t>
  </si>
  <si>
    <t>요가랑</t>
  </si>
  <si>
    <t>#307 요가랑</t>
  </si>
  <si>
    <t>307MS6.png</t>
  </si>
  <si>
    <t>https://archives.bulbagarden.net/media/upload/1/1a/307MS6.png</t>
  </si>
  <si>
    <t>300᠎</t>
  </si>
  <si>
    <t>격투 - 에스퍼</t>
  </si>
  <si>
    <t>순수한힘</t>
  </si>
  <si>
    <t>11.2 kg</t>
  </si>
  <si>
    <t>#308 로 진화 가능</t>
  </si>
  <si>
    <t>전자포</t>
  </si>
  <si>
    <t>요가램</t>
  </si>
  <si>
    <t>#308 요가램</t>
  </si>
  <si>
    <t>308MS6.png</t>
  </si>
  <si>
    <t>https://archives.bulbagarden.net/media/upload/c/cf/308MS6.png</t>
  </si>
  <si>
    <t>31.5 kg</t>
  </si>
  <si>
    <t>#307 레벨 33</t>
  </si>
  <si>
    <t>녹기</t>
  </si>
  <si>
    <t>#01</t>
  </si>
  <si>
    <t>버치열매</t>
  </si>
  <si>
    <t>썬더라이</t>
  </si>
  <si>
    <t>#309 썬더라이</t>
  </si>
  <si>
    <t>309MS6.png</t>
  </si>
  <si>
    <t>https://archives.bulbagarden.net/media/upload/4/4d/309MS6.png</t>
  </si>
  <si>
    <t>15.2 kg</t>
  </si>
  <si>
    <t>#310 로 진화 가능</t>
  </si>
  <si>
    <t>경혈찌르기</t>
  </si>
  <si>
    <t>#02</t>
  </si>
  <si>
    <t>유루열매</t>
  </si>
  <si>
    <t>썬더볼트</t>
  </si>
  <si>
    <t>#310 썬더볼트</t>
  </si>
  <si>
    <t>310MS6.png</t>
  </si>
  <si>
    <t>https://archives.bulbagarden.net/media/upload/8/8a/310MS6.png</t>
  </si>
  <si>
    <t>40.2 kg</t>
  </si>
  <si>
    <t>#309 레벨 26</t>
  </si>
  <si>
    <t>고속이동</t>
  </si>
  <si>
    <t>#03</t>
  </si>
  <si>
    <t>복슝열매</t>
  </si>
  <si>
    <t>플러시</t>
  </si>
  <si>
    <t>#311 플러시</t>
  </si>
  <si>
    <t>311MS6.png</t>
  </si>
  <si>
    <t>https://archives.bulbagarden.net/media/upload/f/f2/311MS6.png</t>
  </si>
  <si>
    <t>플러스</t>
  </si>
  <si>
    <t>망각술</t>
  </si>
  <si>
    <t>#04</t>
  </si>
  <si>
    <t>복분열매</t>
  </si>
  <si>
    <t>마이농</t>
  </si>
  <si>
    <t>#312 마이농</t>
  </si>
  <si>
    <t>312MS6.png</t>
  </si>
  <si>
    <t>https://archives.bulbagarden.net/media/upload/3/35/312MS6.png</t>
  </si>
  <si>
    <t>마이너스</t>
  </si>
  <si>
    <t>축전 (!)</t>
  </si>
  <si>
    <t>아쿠아링</t>
  </si>
  <si>
    <t>#05</t>
  </si>
  <si>
    <t>배리열매</t>
  </si>
  <si>
    <t>볼비트</t>
  </si>
  <si>
    <t>#313 볼비트</t>
  </si>
  <si>
    <t>313MS6.png</t>
  </si>
  <si>
    <t>https://archives.bulbagarden.net/media/upload/7/75/313MS6.png</t>
  </si>
  <si>
    <t>33᠋</t>
  </si>
  <si>
    <t>107᠎</t>
  </si>
  <si>
    <t>벌레 - 전기 (!)</t>
  </si>
  <si>
    <t>벌레의알림឵ ឵</t>
  </si>
  <si>
    <t>17.7 kg</t>
  </si>
  <si>
    <t>아로마테라피</t>
  </si>
  <si>
    <t>#06</t>
  </si>
  <si>
    <t>과사열매</t>
  </si>
  <si>
    <t>네오비트</t>
  </si>
  <si>
    <t>#314 네오비트</t>
  </si>
  <si>
    <t>314MS6.png</t>
  </si>
  <si>
    <t>https://archives.bulbagarden.net/media/upload/2/23/314MS6.png</t>
  </si>
  <si>
    <t>벌레 - 페어리 (!)</t>
  </si>
  <si>
    <t>색안경឵ ឵</t>
  </si>
  <si>
    <t>조수</t>
  </si>
  <si>
    <t>#07</t>
  </si>
  <si>
    <t>오랭열매</t>
  </si>
  <si>
    <t>로젤리아</t>
  </si>
  <si>
    <t>#315 로젤리아</t>
  </si>
  <si>
    <t>315MS6.png</t>
  </si>
  <si>
    <t>https://archives.bulbagarden.net/media/upload/4/42/315MS6.png</t>
  </si>
  <si>
    <t>독가시឵ ឵</t>
  </si>
  <si>
    <t>#406 친밀도가 높을 때 레벨업 - 진화 가능: #407</t>
  </si>
  <si>
    <t>헤롱헤롱</t>
  </si>
  <si>
    <t>#08</t>
  </si>
  <si>
    <t>시몬열매</t>
  </si>
  <si>
    <t>꼴깍몬</t>
  </si>
  <si>
    <t>#316 꼴깍몬</t>
  </si>
  <si>
    <t>316MS6.png</t>
  </si>
  <si>
    <t>https://archives.bulbagarden.net/media/upload/d/db/316MS6.png</t>
  </si>
  <si>
    <t>10.3 kg</t>
  </si>
  <si>
    <t>#317 로 진화 가능</t>
  </si>
  <si>
    <t>오랭열매 - 50%</t>
  </si>
  <si>
    <t>자뭉열매 - 5%</t>
  </si>
  <si>
    <t>배리어</t>
  </si>
  <si>
    <t>#09</t>
  </si>
  <si>
    <t>리샘열매</t>
  </si>
  <si>
    <t>꿀꺽몬</t>
  </si>
  <si>
    <t>#317 꿀꺽몬</t>
  </si>
  <si>
    <t>317MS6.png</t>
  </si>
  <si>
    <t>https://archives.bulbagarden.net/media/upload/e/ed/317MS6.png</t>
  </si>
  <si>
    <t>#316 레벨 26</t>
  </si>
  <si>
    <t>바톤터치</t>
  </si>
  <si>
    <t>#10</t>
  </si>
  <si>
    <t>자뭉열매</t>
  </si>
  <si>
    <t>샤프니아</t>
  </si>
  <si>
    <t>#318 샤프니아</t>
  </si>
  <si>
    <t>318MS6.png</t>
  </si>
  <si>
    <t>https://archives.bulbagarden.net/media/upload/c/c9/318MS6.png</t>
  </si>
  <si>
    <t>물 - 악</t>
  </si>
  <si>
    <t>까칠한피부</t>
  </si>
  <si>
    <t>20.8 kg</t>
  </si>
  <si>
    <t>#319 로 진화 가능</t>
  </si>
  <si>
    <t>심해의이빨 - 5%</t>
  </si>
  <si>
    <t>배북</t>
  </si>
  <si>
    <t>#11</t>
  </si>
  <si>
    <t>무화열매</t>
  </si>
  <si>
    <t>샤크니아</t>
  </si>
  <si>
    <t>#319 샤크니아</t>
  </si>
  <si>
    <t>319MS6.png</t>
  </si>
  <si>
    <t>https://archives.bulbagarden.net/media/upload/2/23/319MS6.png</t>
  </si>
  <si>
    <t>#318 레벨 30</t>
  </si>
  <si>
    <t>블록</t>
  </si>
  <si>
    <t>#12</t>
  </si>
  <si>
    <t>위키열매</t>
  </si>
  <si>
    <t>고래왕자</t>
  </si>
  <si>
    <t>#320 고래왕자</t>
  </si>
  <si>
    <t>320MS6.png</t>
  </si>
  <si>
    <t>https://archives.bulbagarden.net/media/upload/d/d6/320MS6.png</t>
  </si>
  <si>
    <t>#321 로 진화 가능</t>
  </si>
  <si>
    <t>벌크업</t>
  </si>
  <si>
    <t>#13</t>
  </si>
  <si>
    <t>마고열매</t>
  </si>
  <si>
    <t>고래왕</t>
  </si>
  <si>
    <t>#321 고래왕</t>
  </si>
  <si>
    <t>321MS6.png</t>
  </si>
  <si>
    <t>https://archives.bulbagarden.net/media/upload/5/5d/321MS6.png</t>
  </si>
  <si>
    <t>398.0 kg</t>
  </si>
  <si>
    <t>#320 레벨 36</t>
  </si>
  <si>
    <t>명상</t>
  </si>
  <si>
    <t>#14</t>
  </si>
  <si>
    <t>아바열매</t>
  </si>
  <si>
    <t>둔타</t>
  </si>
  <si>
    <t>#322 둔타</t>
  </si>
  <si>
    <t>322MS6.png</t>
  </si>
  <si>
    <t>https://archives.bulbagarden.net/media/upload/5/52/322MS6.png</t>
  </si>
  <si>
    <t>불꽃 - 땅</t>
  </si>
  <si>
    <t>단순</t>
  </si>
  <si>
    <t>단순឵ ឵</t>
  </si>
  <si>
    <t>#323 로 진화 가능</t>
  </si>
  <si>
    <t>보호색</t>
  </si>
  <si>
    <t>#15</t>
  </si>
  <si>
    <t>파야열매</t>
  </si>
  <si>
    <t>폭타</t>
  </si>
  <si>
    <t>#323 폭타</t>
  </si>
  <si>
    <t>323MS6.png</t>
  </si>
  <si>
    <t>https://archives.bulbagarden.net/media/upload/8/8e/323MS6.png</t>
  </si>
  <si>
    <t>하드록</t>
  </si>
  <si>
    <t>하드록឵ ឵</t>
  </si>
  <si>
    <t>#322 레벨 33</t>
  </si>
  <si>
    <t>유혹</t>
  </si>
  <si>
    <t>#16</t>
  </si>
  <si>
    <t>라즈열매</t>
  </si>
  <si>
    <t>코터스</t>
  </si>
  <si>
    <t>#324 코터스</t>
  </si>
  <si>
    <t>324MS6.png</t>
  </si>
  <si>
    <t>https://archives.bulbagarden.net/media/upload/4/49/324MS6.png</t>
  </si>
  <si>
    <t>하얀연기</t>
  </si>
  <si>
    <t>가뭄</t>
  </si>
  <si>
    <t>80.4 kg</t>
  </si>
  <si>
    <t>목탄 - 5%</t>
  </si>
  <si>
    <t>충전</t>
  </si>
  <si>
    <t>#17</t>
  </si>
  <si>
    <t>블리열매</t>
  </si>
  <si>
    <t>피그점프</t>
  </si>
  <si>
    <t>#325 피그점프</t>
  </si>
  <si>
    <t>325MS6.png</t>
  </si>
  <si>
    <t>https://archives.bulbagarden.net/media/upload/a/ab/325MS6.png</t>
  </si>
  <si>
    <t>30.6 kg</t>
  </si>
  <si>
    <t>#326 로 진화 가능</t>
  </si>
  <si>
    <t>애교부리기</t>
  </si>
  <si>
    <t>페어리 ឵</t>
  </si>
  <si>
    <t>#18</t>
  </si>
  <si>
    <t>나나열매</t>
  </si>
  <si>
    <t>피그킹</t>
  </si>
  <si>
    <t>#326 피그킹</t>
  </si>
  <si>
    <t>326MS6.png</t>
  </si>
  <si>
    <t>https://archives.bulbagarden.net/media/upload/5/53/326MS6.png</t>
  </si>
  <si>
    <t>71.5 kg</t>
  </si>
  <si>
    <t>#325 레벨 32</t>
  </si>
  <si>
    <t>이상한빛</t>
  </si>
  <si>
    <t>#19</t>
  </si>
  <si>
    <t>서배열매</t>
  </si>
  <si>
    <t>얼루기</t>
  </si>
  <si>
    <t>#327 얼루기</t>
  </si>
  <si>
    <t>327MS6.png</t>
  </si>
  <si>
    <t>https://archives.bulbagarden.net/media/upload/f/f9/327MS6.png</t>
  </si>
  <si>
    <t>텍스처</t>
  </si>
  <si>
    <t>#20</t>
  </si>
  <si>
    <t>파인열매</t>
  </si>
  <si>
    <t>톱치</t>
  </si>
  <si>
    <t>#328 톱치</t>
  </si>
  <si>
    <t>328MS6.png</t>
  </si>
  <si>
    <t>https://archives.bulbagarden.net/media/upload/c/cb/328MS6.png</t>
  </si>
  <si>
    <t>벌레 (!) - 드래곤</t>
  </si>
  <si>
    <t xml:space="preserve">벌레 </t>
  </si>
  <si>
    <t>#329 로 진화 가능</t>
  </si>
  <si>
    <t>텍스처2</t>
  </si>
  <si>
    <t>#21</t>
  </si>
  <si>
    <t>유석열매</t>
  </si>
  <si>
    <t>비브라바</t>
  </si>
  <si>
    <t>#329 비브라바</t>
  </si>
  <si>
    <t>329MS6.png</t>
  </si>
  <si>
    <t>https://archives.bulbagarden.net/media/upload/a/a6/329MS6.png</t>
  </si>
  <si>
    <t>410᠎</t>
  </si>
  <si>
    <t xml:space="preserve">스피드 1 </t>
  </si>
  <si>
    <t>(2 특공)</t>
  </si>
  <si>
    <t>15.3 kg</t>
  </si>
  <si>
    <t>#328 레벨 30 - 진화 가능: #330</t>
  </si>
  <si>
    <t>흉내쟁이</t>
  </si>
  <si>
    <t>#22</t>
  </si>
  <si>
    <t>시마열매</t>
  </si>
  <si>
    <t>플라이곤</t>
  </si>
  <si>
    <t>#330 플라이곤</t>
  </si>
  <si>
    <t>330MS6.png</t>
  </si>
  <si>
    <t>https://archives.bulbagarden.net/media/upload/e/ee/330MS6.png</t>
  </si>
  <si>
    <t>600᠎</t>
  </si>
  <si>
    <t xml:space="preserve">스피드 2 </t>
  </si>
  <si>
    <t xml:space="preserve">(3 특공) </t>
  </si>
  <si>
    <t>82.0 kg</t>
  </si>
  <si>
    <t>1 공격/2 스피드</t>
  </si>
  <si>
    <t>#329 레벨 45</t>
  </si>
  <si>
    <t>코스믹파워</t>
  </si>
  <si>
    <t>#23</t>
  </si>
  <si>
    <t>파비열매</t>
  </si>
  <si>
    <t>선인왕</t>
  </si>
  <si>
    <t>#331 선인왕</t>
  </si>
  <si>
    <t>331MS6.png</t>
  </si>
  <si>
    <t>https://archives.bulbagarden.net/media/upload/7/70/331MS6.png</t>
  </si>
  <si>
    <t>(COM)</t>
  </si>
  <si>
    <t>51.3 kg</t>
  </si>
  <si>
    <t>#332 로 진화 가능</t>
  </si>
  <si>
    <t>끈적끈적바늘 - 5%</t>
  </si>
  <si>
    <t>목화포자</t>
  </si>
  <si>
    <t>#24</t>
  </si>
  <si>
    <t>로매열매</t>
  </si>
  <si>
    <t>밤선인</t>
  </si>
  <si>
    <t>#332 밤선인</t>
  </si>
  <si>
    <t>332MS6.png</t>
  </si>
  <si>
    <t>https://archives.bulbagarden.net/media/upload/9/94/332MS6.png</t>
  </si>
  <si>
    <t>77.4 kg</t>
  </si>
  <si>
    <t>#331 레벨 32</t>
  </si>
  <si>
    <t>저주</t>
  </si>
  <si>
    <t>#25</t>
  </si>
  <si>
    <t>또뽀열매</t>
  </si>
  <si>
    <t>파비코</t>
  </si>
  <si>
    <t>#333 파비코</t>
  </si>
  <si>
    <t>333MS6.png</t>
  </si>
  <si>
    <t>https://archives.bulbagarden.net/media/upload/4/42/333MS6.png</t>
  </si>
  <si>
    <t>350᠎</t>
  </si>
  <si>
    <t>날씨부정 (!)</t>
  </si>
  <si>
    <t>#334 로 진화 가능</t>
  </si>
  <si>
    <t>다크홀</t>
  </si>
  <si>
    <t>50%᠋</t>
  </si>
  <si>
    <t>#26</t>
  </si>
  <si>
    <t>토망열매</t>
  </si>
  <si>
    <t>파비코리</t>
  </si>
  <si>
    <t>#334 파비코리</t>
  </si>
  <si>
    <t>334MS6.png</t>
  </si>
  <si>
    <t>https://archives.bulbagarden.net/media/upload/0/07/334MS6.png</t>
  </si>
  <si>
    <t>드래곤 - 페어리 (!)</t>
  </si>
  <si>
    <t>20.6 kg</t>
  </si>
  <si>
    <t>#333 레벨 35</t>
  </si>
  <si>
    <t>방어지령</t>
  </si>
  <si>
    <t>#27</t>
  </si>
  <si>
    <t>수숙열매</t>
  </si>
  <si>
    <t>쟝고</t>
  </si>
  <si>
    <t>#335 쟝고</t>
  </si>
  <si>
    <t>335MS6.png</t>
  </si>
  <si>
    <t>https://archives.bulbagarden.net/media/upload/c/c6/335MS6.png</t>
  </si>
  <si>
    <t>40.3 kg</t>
  </si>
  <si>
    <t>웅크리기</t>
  </si>
  <si>
    <t>#28</t>
  </si>
  <si>
    <t>고스티열매</t>
  </si>
  <si>
    <t>세비퍼</t>
  </si>
  <si>
    <t>#336 세비퍼</t>
  </si>
  <si>
    <t>336MS6.png</t>
  </si>
  <si>
    <t>https://archives.bulbagarden.net/media/upload/a/a5/336MS6.png</t>
  </si>
  <si>
    <t>독 - 악 (!)</t>
  </si>
  <si>
    <t>52.5 kg</t>
  </si>
  <si>
    <t>안개제거</t>
  </si>
  <si>
    <t>#29</t>
  </si>
  <si>
    <t>라부탐열매</t>
  </si>
  <si>
    <t>루나톤</t>
  </si>
  <si>
    <t>#337 루나톤</t>
  </si>
  <si>
    <t>337MS6.png</t>
  </si>
  <si>
    <t>https://archives.bulbagarden.net/media/upload/7/71/337MS6.png</t>
  </si>
  <si>
    <t>바위 - 에스퍼</t>
  </si>
  <si>
    <t>168.0 kg</t>
  </si>
  <si>
    <t>길동무</t>
  </si>
  <si>
    <t>#30</t>
  </si>
  <si>
    <t>노멜열매</t>
  </si>
  <si>
    <t>솔록</t>
  </si>
  <si>
    <t>#338 솔록</t>
  </si>
  <si>
    <t>338MS6.png</t>
  </si>
  <si>
    <t>https://archives.bulbagarden.net/media/upload/d/d5/338MS6.png</t>
  </si>
  <si>
    <t>154.0 kg</t>
  </si>
  <si>
    <t>태양의돌 - 5%</t>
  </si>
  <si>
    <t>판별</t>
  </si>
  <si>
    <t>#31</t>
  </si>
  <si>
    <t>메호키열매</t>
  </si>
  <si>
    <t>미꾸리</t>
  </si>
  <si>
    <t>#339 미꾸리</t>
  </si>
  <si>
    <t>339MS6.png</t>
  </si>
  <si>
    <t>https://archives.bulbagarden.net/media/upload/b/b1/339MS6.png</t>
  </si>
  <si>
    <t>위험예지</t>
  </si>
  <si>
    <t>1.9 kg</t>
  </si>
  <si>
    <t>#340 로 진화 가능</t>
  </si>
  <si>
    <t>사슬묶기</t>
  </si>
  <si>
    <t>#32</t>
  </si>
  <si>
    <t>자야열매</t>
  </si>
  <si>
    <t>메깅</t>
  </si>
  <si>
    <t>#340 메깅</t>
  </si>
  <si>
    <t>340MS6.png</t>
  </si>
  <si>
    <t>https://archives.bulbagarden.net/media/upload/c/cd/340MS6.png</t>
  </si>
  <si>
    <t>23.6 kg</t>
  </si>
  <si>
    <t>#339 레벨 30</t>
  </si>
  <si>
    <t>그림자분신</t>
  </si>
  <si>
    <t>#33</t>
  </si>
  <si>
    <t>슈박열매</t>
  </si>
  <si>
    <t>가재군</t>
  </si>
  <si>
    <t>#341 가재군</t>
  </si>
  <si>
    <t>341MS6.png</t>
  </si>
  <si>
    <t>https://archives.bulbagarden.net/media/upload/0/09/341MS6.png</t>
  </si>
  <si>
    <t xml:space="preserve">적응력 </t>
  </si>
  <si>
    <t>#342 로 진화 가능</t>
  </si>
  <si>
    <t>용의춤</t>
  </si>
  <si>
    <t>#34</t>
  </si>
  <si>
    <t>두리열매</t>
  </si>
  <si>
    <t>가재장군</t>
  </si>
  <si>
    <t>#342 가재장군</t>
  </si>
  <si>
    <t>342MS6.png</t>
  </si>
  <si>
    <t>https://archives.bulbagarden.net/media/upload/2/20/342MS6.png</t>
  </si>
  <si>
    <t>32.8 kg</t>
  </si>
  <si>
    <t>#341 레벨 30</t>
  </si>
  <si>
    <t>금제</t>
  </si>
  <si>
    <t>#35</t>
  </si>
  <si>
    <t>루베열매</t>
  </si>
  <si>
    <t>오뚝군</t>
  </si>
  <si>
    <t>#343 오뚝군</t>
  </si>
  <si>
    <t>343MS6.png</t>
  </si>
  <si>
    <t>https://archives.bulbagarden.net/media/upload/0/0e/343MS6.png</t>
  </si>
  <si>
    <t>땅 - 에스퍼</t>
  </si>
  <si>
    <t>21.5 kg</t>
  </si>
  <si>
    <t>#344 로 진화 가능</t>
  </si>
  <si>
    <t>빛의점토 - 5%</t>
  </si>
  <si>
    <t>앵콜</t>
  </si>
  <si>
    <t>#36</t>
  </si>
  <si>
    <t>오카열매</t>
  </si>
  <si>
    <t>점토도리</t>
  </si>
  <si>
    <t>#344 점토도리</t>
  </si>
  <si>
    <t>344MS6.png</t>
  </si>
  <si>
    <t>https://archives.bulbagarden.net/media/upload/3/31/344MS6.png</t>
  </si>
  <si>
    <t>108.0 kg</t>
  </si>
  <si>
    <t>#343 레벨 32</t>
  </si>
  <si>
    <t>버티기</t>
  </si>
  <si>
    <t>#37</t>
  </si>
  <si>
    <t>꼬시개열매</t>
  </si>
  <si>
    <t>릴링</t>
  </si>
  <si>
    <t>#345 릴링</t>
  </si>
  <si>
    <t>345MS6.png</t>
  </si>
  <si>
    <t>https://archives.bulbagarden.net/media/upload/b/bc/345MS6.png</t>
  </si>
  <si>
    <t>바위 - 풀</t>
  </si>
  <si>
    <t>마중물</t>
  </si>
  <si>
    <t>마중물 (!)</t>
  </si>
  <si>
    <t>23.8 kg</t>
  </si>
  <si>
    <t>#346 로 진화 가능</t>
  </si>
  <si>
    <t>큰뿌리 - 5%</t>
  </si>
  <si>
    <t>거짓울음</t>
  </si>
  <si>
    <t>#38</t>
  </si>
  <si>
    <t>초나열매</t>
  </si>
  <si>
    <t>릴리요</t>
  </si>
  <si>
    <t>#346 릴리요</t>
  </si>
  <si>
    <t>346MS6.png</t>
  </si>
  <si>
    <t>https://archives.bulbagarden.net/media/upload/6/68/346MS6.png</t>
  </si>
  <si>
    <t>60.4 kg</t>
  </si>
  <si>
    <t>#345 레벨 30</t>
  </si>
  <si>
    <t>깃털댄스</t>
  </si>
  <si>
    <t>#39</t>
  </si>
  <si>
    <t>린드열매</t>
  </si>
  <si>
    <t>아노딥스</t>
  </si>
  <si>
    <t>#347 아노딥스</t>
  </si>
  <si>
    <t>347MS6.png</t>
  </si>
  <si>
    <t>https://archives.bulbagarden.net/media/upload/f/ff/347MS6.png</t>
  </si>
  <si>
    <t>바위 - 벌레</t>
  </si>
  <si>
    <t>쓱쓱 (!)</t>
  </si>
  <si>
    <t>#348 로 진화 가능</t>
  </si>
  <si>
    <t>플래시</t>
  </si>
  <si>
    <t>#40</t>
  </si>
  <si>
    <t>플카열매</t>
  </si>
  <si>
    <t>아말도</t>
  </si>
  <si>
    <t>#348 아말도</t>
  </si>
  <si>
    <t>348MS6.png</t>
  </si>
  <si>
    <t>https://archives.bulbagarden.net/media/upload/d/dc/348MS6.png</t>
  </si>
  <si>
    <t>68.2 kg</t>
  </si>
  <si>
    <t>#347 레벨 30</t>
  </si>
  <si>
    <t>부추기기</t>
  </si>
  <si>
    <t>#41</t>
  </si>
  <si>
    <t>로플열매</t>
  </si>
  <si>
    <t>빈티나</t>
  </si>
  <si>
    <t>#349 빈티나</t>
  </si>
  <si>
    <t>349MS6.png</t>
  </si>
  <si>
    <t>https://archives.bulbagarden.net/media/upload/9/97/349MS6.png</t>
  </si>
  <si>
    <t>7.4 kg</t>
  </si>
  <si>
    <t>#350 로 진화 가능</t>
  </si>
  <si>
    <t>기충전</t>
  </si>
  <si>
    <t>#42</t>
  </si>
  <si>
    <t>으름열매</t>
  </si>
  <si>
    <t>밀로틱</t>
  </si>
  <si>
    <t>#350 밀로틱</t>
  </si>
  <si>
    <t>350MS6.png</t>
  </si>
  <si>
    <t>https://archives.bulbagarden.net/media/upload/8/8d/350MS6.png</t>
  </si>
  <si>
    <t>헤롱헤롱바디 (!)</t>
  </si>
  <si>
    <t>162.0 kg</t>
  </si>
  <si>
    <t>#349 사용 고운비늘</t>
  </si>
  <si>
    <t>날따름</t>
  </si>
  <si>
    <t>#43</t>
  </si>
  <si>
    <t>슈캐열매</t>
  </si>
  <si>
    <t>캐스퐁</t>
  </si>
  <si>
    <t>#351 캐스퐁</t>
  </si>
  <si>
    <t>351MS6.png</t>
  </si>
  <si>
    <t>https://archives.bulbagarden.net/media/upload/e/ef/351MS6.png</t>
  </si>
  <si>
    <t>기분파</t>
  </si>
  <si>
    <t>꿰뚫어보기</t>
  </si>
  <si>
    <t>#44</t>
  </si>
  <si>
    <t>바코열매</t>
  </si>
  <si>
    <t>켈리몬</t>
  </si>
  <si>
    <t>#352 켈리몬</t>
  </si>
  <si>
    <t>352MS6.png</t>
  </si>
  <si>
    <t>https://archives.bulbagarden.net/media/upload/d/de/352MS6.png</t>
  </si>
  <si>
    <t>변색</t>
  </si>
  <si>
    <t>22.0 kg</t>
  </si>
  <si>
    <t>위액</t>
  </si>
  <si>
    <t>#45</t>
  </si>
  <si>
    <t>야파열매</t>
  </si>
  <si>
    <t>어둠대신</t>
  </si>
  <si>
    <t>#353 어둠대신</t>
  </si>
  <si>
    <t>353MS6.png</t>
  </si>
  <si>
    <t>https://archives.bulbagarden.net/media/upload/4/4a/353MS6.png</t>
  </si>
  <si>
    <t>#354 로 진화 가능</t>
  </si>
  <si>
    <t>저주의부적 - 5%</t>
  </si>
  <si>
    <t>뱀눈초리</t>
  </si>
  <si>
    <t>#46</t>
  </si>
  <si>
    <t>리체열매</t>
  </si>
  <si>
    <t>다크펫</t>
  </si>
  <si>
    <t>#354 다크펫</t>
  </si>
  <si>
    <t>354MS6.png</t>
  </si>
  <si>
    <t>https://archives.bulbagarden.net/media/upload/7/79/354MS6.png</t>
  </si>
  <si>
    <t>#353 레벨 32</t>
  </si>
  <si>
    <t>풀피리</t>
  </si>
  <si>
    <t>#47</t>
  </si>
  <si>
    <t>루미열매</t>
  </si>
  <si>
    <t>해골몽</t>
  </si>
  <si>
    <t>#355 해골몽</t>
  </si>
  <si>
    <t>355MS6.png</t>
  </si>
  <si>
    <t>https://archives.bulbagarden.net/media/upload/d/d3/355MS6.png</t>
  </si>
  <si>
    <t xml:space="preserve">통찰 </t>
  </si>
  <si>
    <t>통찰 (!)</t>
  </si>
  <si>
    <t>#356 로 진화 가능</t>
  </si>
  <si>
    <t>중력</t>
  </si>
  <si>
    <t>#48</t>
  </si>
  <si>
    <t>수불열매</t>
  </si>
  <si>
    <t>미라몽</t>
  </si>
  <si>
    <t>#356 미라몽</t>
  </si>
  <si>
    <t>356MS6.png</t>
  </si>
  <si>
    <t>https://archives.bulbagarden.net/media/upload/f/fe/356MS6.png</t>
  </si>
  <si>
    <t>#355 레벨 32 - 진화 가능: #477</t>
  </si>
  <si>
    <t>울음소리</t>
  </si>
  <si>
    <t>#49</t>
  </si>
  <si>
    <t>하반열매</t>
  </si>
  <si>
    <t>트로피우스</t>
  </si>
  <si>
    <t>#357 트로피우스</t>
  </si>
  <si>
    <t>357MS6.png</t>
  </si>
  <si>
    <t>https://archives.bulbagarden.net/media/upload/7/77/357MS6.png</t>
  </si>
  <si>
    <t>성장</t>
  </si>
  <si>
    <t>#50</t>
  </si>
  <si>
    <t>마코열매</t>
  </si>
  <si>
    <t>치렁</t>
  </si>
  <si>
    <t>#358 치렁</t>
  </si>
  <si>
    <t>358MS6.png</t>
  </si>
  <si>
    <t>https://archives.bulbagarden.net/media/upload/1/1a/358MS6.png</t>
  </si>
  <si>
    <t>#433 친밀도가 높을 때 레벨업</t>
  </si>
  <si>
    <t>순결의부적 - 5%</t>
  </si>
  <si>
    <t>원념</t>
  </si>
  <si>
    <t>#51</t>
  </si>
  <si>
    <t>바리비열매</t>
  </si>
  <si>
    <t>앱솔</t>
  </si>
  <si>
    <t>#359 앱솔</t>
  </si>
  <si>
    <t>359MS6.png</t>
  </si>
  <si>
    <t>https://archives.bulbagarden.net/media/upload/0/07/359MS6.png</t>
  </si>
  <si>
    <t>47.0 kg</t>
  </si>
  <si>
    <t>생명의구슬 - 5%</t>
  </si>
  <si>
    <t>가드스웹</t>
  </si>
  <si>
    <t>#52</t>
  </si>
  <si>
    <t>카리열매</t>
  </si>
  <si>
    <t>마자</t>
  </si>
  <si>
    <t>#360 마자</t>
  </si>
  <si>
    <t>360MS6.png</t>
  </si>
  <si>
    <t>https://archives.bulbagarden.net/media/upload/8/82/360MS6.png</t>
  </si>
  <si>
    <t>#202 로 진화 가능</t>
  </si>
  <si>
    <t>싸라기눈</t>
  </si>
  <si>
    <t>#53</t>
  </si>
  <si>
    <t>치리열매</t>
  </si>
  <si>
    <t>눈꼬마</t>
  </si>
  <si>
    <t>#361 눈꼬마</t>
  </si>
  <si>
    <t>361MS6.png</t>
  </si>
  <si>
    <t>https://archives.bulbagarden.net/media/upload/a/a2/361MS6.png</t>
  </si>
  <si>
    <t>아이스바디</t>
  </si>
  <si>
    <t>16.8 kg</t>
  </si>
  <si>
    <t>진화 가능: #362, #478</t>
  </si>
  <si>
    <t>단단해지기</t>
  </si>
  <si>
    <t>#54</t>
  </si>
  <si>
    <t>용아열매</t>
  </si>
  <si>
    <t>얼음귀신</t>
  </si>
  <si>
    <t>#362 얼음귀신</t>
  </si>
  <si>
    <t>362MS6.png</t>
  </si>
  <si>
    <t>https://archives.bulbagarden.net/media/upload/5/50/362MS6.png</t>
  </si>
  <si>
    <t>얼음 - 바위 (!)</t>
  </si>
  <si>
    <t>256.5 kg</t>
  </si>
  <si>
    <t>#361 레벨 32</t>
  </si>
  <si>
    <t>흑안개</t>
  </si>
  <si>
    <t>#55</t>
  </si>
  <si>
    <t>캄라열매</t>
  </si>
  <si>
    <t>대굴레오</t>
  </si>
  <si>
    <t>#363 대굴레오</t>
  </si>
  <si>
    <t>363MS6.png</t>
  </si>
  <si>
    <t>https://archives.bulbagarden.net/media/upload/2/26/363MS6.png</t>
  </si>
  <si>
    <t>얼음 - 물</t>
  </si>
  <si>
    <t>#364 로 진화 가능</t>
  </si>
  <si>
    <t>치료방울</t>
  </si>
  <si>
    <t>#56</t>
  </si>
  <si>
    <t>야타비열매</t>
  </si>
  <si>
    <t>씨레오</t>
  </si>
  <si>
    <t>#364 씨레오</t>
  </si>
  <si>
    <t>364MS6.png</t>
  </si>
  <si>
    <t>https://archives.bulbagarden.net/media/upload/0/09/364MS6.png</t>
  </si>
  <si>
    <t>87.6 kg</t>
  </si>
  <si>
    <t>#363 레벨 24 - 진화 가능: #365</t>
  </si>
  <si>
    <t>회복봉인</t>
  </si>
  <si>
    <t>#57</t>
  </si>
  <si>
    <t>규살열매</t>
  </si>
  <si>
    <t>씨카이저</t>
  </si>
  <si>
    <t>#365 씨카이저</t>
  </si>
  <si>
    <t>365MS6.png</t>
  </si>
  <si>
    <t>https://archives.bulbagarden.net/media/upload/b/b8/365MS6.png</t>
  </si>
  <si>
    <t>150.6 kg</t>
  </si>
  <si>
    <t>#364 레벨 40</t>
  </si>
  <si>
    <t>회복지령</t>
  </si>
  <si>
    <t>#58</t>
  </si>
  <si>
    <t>랑사열매</t>
  </si>
  <si>
    <t>진주몽</t>
  </si>
  <si>
    <t>#366 진주몽</t>
  </si>
  <si>
    <t>366MS6.png</t>
  </si>
  <si>
    <t>https://archives.bulbagarden.net/media/upload/6/67/366MS6.png</t>
  </si>
  <si>
    <t>전투무장 (!)</t>
  </si>
  <si>
    <t>진화 가능: #367, #368</t>
  </si>
  <si>
    <t>치유소원</t>
  </si>
  <si>
    <t>#59</t>
  </si>
  <si>
    <t>스타열매</t>
  </si>
  <si>
    <t>헌테일</t>
  </si>
  <si>
    <t>#367 헌테일</t>
  </si>
  <si>
    <t>367MS6.png</t>
  </si>
  <si>
    <t>https://archives.bulbagarden.net/media/upload/4/4d/367MS6.png</t>
  </si>
  <si>
    <t>수의베일 (!)</t>
  </si>
  <si>
    <t>#366 사용 심해의이빨</t>
  </si>
  <si>
    <t>하트스웹</t>
  </si>
  <si>
    <t>#60</t>
  </si>
  <si>
    <t>의문열매</t>
  </si>
  <si>
    <t>분홍장이</t>
  </si>
  <si>
    <t>#368 분홍장이</t>
  </si>
  <si>
    <t>368MS6.png</t>
  </si>
  <si>
    <t>https://archives.bulbagarden.net/media/upload/1/11/368MS6.png</t>
  </si>
  <si>
    <t>22.6 kg</t>
  </si>
  <si>
    <t>#366 사용 심해의비늘</t>
  </si>
  <si>
    <t>도우미</t>
  </si>
  <si>
    <t>#61</t>
  </si>
  <si>
    <t>미클열매</t>
  </si>
  <si>
    <t>시라칸</t>
  </si>
  <si>
    <t>#369 시라칸</t>
  </si>
  <si>
    <t>369MS6.png</t>
  </si>
  <si>
    <t>https://archives.bulbagarden.net/media/upload/f/f4/369MS6.png</t>
  </si>
  <si>
    <t>23.4 kg</t>
  </si>
  <si>
    <t>1 HP/1 방어</t>
  </si>
  <si>
    <t>멀리짖음</t>
  </si>
  <si>
    <t>#62</t>
  </si>
  <si>
    <t>애슈열매</t>
  </si>
  <si>
    <t>사랑동이</t>
  </si>
  <si>
    <t>#370 사랑동이</t>
  </si>
  <si>
    <t>370MS6.png</t>
  </si>
  <si>
    <t>https://archives.bulbagarden.net/media/upload/1/1b/370MS6.png</t>
  </si>
  <si>
    <t>8.7 kg</t>
  </si>
  <si>
    <t>하트비늘 - 50%</t>
  </si>
  <si>
    <t>최면술</t>
  </si>
  <si>
    <t>60%᠋</t>
  </si>
  <si>
    <t>#63</t>
  </si>
  <si>
    <t>자보열매</t>
  </si>
  <si>
    <t>아공이</t>
  </si>
  <si>
    <t>#371 아공이</t>
  </si>
  <si>
    <t>371MS6.png</t>
  </si>
  <si>
    <t>https://archives.bulbagarden.net/media/upload/4/4c/371MS6.png</t>
  </si>
  <si>
    <t>42.1 kg</t>
  </si>
  <si>
    <t>#372 로 진화 가능</t>
  </si>
  <si>
    <t>용의이빨 - 5%</t>
  </si>
  <si>
    <t>봉인</t>
  </si>
  <si>
    <t>#64</t>
  </si>
  <si>
    <t>애터열매</t>
  </si>
  <si>
    <t>쉘곤</t>
  </si>
  <si>
    <t>#372 쉘곤</t>
  </si>
  <si>
    <t>372MS6.png</t>
  </si>
  <si>
    <t>https://archives.bulbagarden.net/media/upload/4/43/372MS6.png</t>
  </si>
  <si>
    <t>110.5 kg</t>
  </si>
  <si>
    <t>#371 레벨 30 - 진화 가능: #373</t>
  </si>
  <si>
    <t>뿌리박기</t>
  </si>
  <si>
    <t>보만다</t>
  </si>
  <si>
    <t>#373 보만다</t>
  </si>
  <si>
    <t>373MS6.png</t>
  </si>
  <si>
    <t>https://archives.bulbagarden.net/media/upload/5/5f/373MS6.png</t>
  </si>
  <si>
    <t>102.6 kg</t>
  </si>
  <si>
    <t>#372 레벨 50</t>
  </si>
  <si>
    <t>철벽</t>
  </si>
  <si>
    <t>도구 없음</t>
  </si>
  <si>
    <t>메탕</t>
  </si>
  <si>
    <t>#374 메탕</t>
  </si>
  <si>
    <t>374MS6.png</t>
  </si>
  <si>
    <t>https://archives.bulbagarden.net/media/upload/c/c6/374MS6.png</t>
  </si>
  <si>
    <t>강철 - 에스퍼</t>
  </si>
  <si>
    <t>돌머리 (!)</t>
  </si>
  <si>
    <t>95.2 kg</t>
  </si>
  <si>
    <t>#375 로 진화 가능</t>
  </si>
  <si>
    <t>숟가락휘기</t>
  </si>
  <si>
    <t>메탕구</t>
  </si>
  <si>
    <t>#375 메탕구</t>
  </si>
  <si>
    <t>375MS6.png</t>
  </si>
  <si>
    <t>https://archives.bulbagarden.net/media/upload/6/67/375MS6.png</t>
  </si>
  <si>
    <t>202.5 kg</t>
  </si>
  <si>
    <t>#374 레벨 20 - 진화 가능: #376</t>
  </si>
  <si>
    <t>씨뿌리기</t>
  </si>
  <si>
    <t>쪽빛구슬</t>
  </si>
  <si>
    <t>메타그로스</t>
  </si>
  <si>
    <t>#376 메타그로스</t>
  </si>
  <si>
    <t>376MS6.png</t>
  </si>
  <si>
    <t>https://archives.bulbagarden.net/media/upload/6/66/376MS6.png</t>
  </si>
  <si>
    <t>550.0 kg</t>
  </si>
  <si>
    <t>#375 레벨 45</t>
  </si>
  <si>
    <t>째려보기</t>
  </si>
  <si>
    <t>주홍구슬</t>
  </si>
  <si>
    <t>레지락</t>
  </si>
  <si>
    <t>#377 레지락</t>
  </si>
  <si>
    <t>377MS6.png</t>
  </si>
  <si>
    <t>https://archives.bulbagarden.net/media/upload/a/a7/377MS6.png</t>
  </si>
  <si>
    <t>230.0 kg</t>
  </si>
  <si>
    <t>빛의장막</t>
  </si>
  <si>
    <t>레지아이스</t>
  </si>
  <si>
    <t>#378 레지아이스</t>
  </si>
  <si>
    <t>378MS6.png</t>
  </si>
  <si>
    <t>https://archives.bulbagarden.net/media/upload/3/3e/378MS6.png</t>
  </si>
  <si>
    <t>175.0 kg</t>
  </si>
  <si>
    <t>록온</t>
  </si>
  <si>
    <t>레지스틸</t>
  </si>
  <si>
    <t>#379 레지스틸</t>
  </si>
  <si>
    <t>379MS6.png</t>
  </si>
  <si>
    <t>https://archives.bulbagarden.net/media/upload/c/c0/379MS6.png</t>
  </si>
  <si>
    <t>205.0 kg</t>
  </si>
  <si>
    <t>2 방어/1 특방</t>
  </si>
  <si>
    <t>악마의키스</t>
  </si>
  <si>
    <t>GS볼</t>
  </si>
  <si>
    <t>라티아스</t>
  </si>
  <si>
    <t>#380 라티아스</t>
  </si>
  <si>
    <t>380MS6.png</t>
  </si>
  <si>
    <t>https://archives.bulbagarden.net/media/upload/e/e1/380MS6.png</t>
  </si>
  <si>
    <t>드래곤 - 에스퍼</t>
  </si>
  <si>
    <t>주술</t>
  </si>
  <si>
    <t>연둣빛구슬</t>
  </si>
  <si>
    <t>라티오스</t>
  </si>
  <si>
    <t>#381 라티오스</t>
  </si>
  <si>
    <t>381MS6.png</t>
  </si>
  <si>
    <t>https://archives.bulbagarden.net/media/upload/5/56/381MS6.png</t>
  </si>
  <si>
    <t>초승달춤᠋</t>
  </si>
  <si>
    <t>수수께끼의 초대장</t>
  </si>
  <si>
    <t>가이오가</t>
  </si>
  <si>
    <t>#382 가이오가</t>
  </si>
  <si>
    <t>382MS6.png</t>
  </si>
  <si>
    <t>https://archives.bulbagarden.net/media/upload/9/95/382MS6.png</t>
  </si>
  <si>
    <t>352.0 kg</t>
  </si>
  <si>
    <t>문포스 (!)</t>
  </si>
  <si>
    <t>무지갯빛날개</t>
  </si>
  <si>
    <t>그란돈</t>
  </si>
  <si>
    <t>#383 그란돈</t>
  </si>
  <si>
    <t>383MS6.png</t>
  </si>
  <si>
    <t>https://archives.bulbagarden.net/media/upload/0/0c/383MS6.png</t>
  </si>
  <si>
    <t>950.0 kg</t>
  </si>
  <si>
    <t>매직코트</t>
  </si>
  <si>
    <t>레쿠쟈</t>
  </si>
  <si>
    <t>#384 레쿠쟈</t>
  </si>
  <si>
    <t>384MS6.png</t>
  </si>
  <si>
    <t>https://archives.bulbagarden.net/media/upload/d/d0/384MS6.png</t>
  </si>
  <si>
    <t>에어록</t>
  </si>
  <si>
    <t>206.5 kg</t>
  </si>
  <si>
    <t>2 공격/1 특공</t>
  </si>
  <si>
    <t>전자부유</t>
  </si>
  <si>
    <t>은빛날개</t>
  </si>
  <si>
    <t>지라치</t>
  </si>
  <si>
    <t>#385 지라치</t>
  </si>
  <si>
    <t>385MS6.png</t>
  </si>
  <si>
    <t>https://archives.bulbagarden.net/media/upload/4/4a/385MS6.png</t>
  </si>
  <si>
    <t>1.1 kg</t>
  </si>
  <si>
    <t>별의조각 - 100%</t>
  </si>
  <si>
    <t>선취</t>
  </si>
  <si>
    <t>차</t>
  </si>
  <si>
    <t>테오키스 (노말폼)</t>
  </si>
  <si>
    <t>#386 테오키스 (노말폼)</t>
  </si>
  <si>
    <t>386MS6.png</t>
  </si>
  <si>
    <t>https://archives.bulbagarden.net/media/upload/6/6a/386MS6.png</t>
  </si>
  <si>
    <t>60.8 kg</t>
  </si>
  <si>
    <t>1 공격/1 특공/1 스피드</t>
  </si>
  <si>
    <t>검은눈빛</t>
  </si>
  <si>
    <t>386.1</t>
  </si>
  <si>
    <t>테오키스 (어택폼)</t>
  </si>
  <si>
    <t>#386,1 테오키스 (어택폼)</t>
  </si>
  <si>
    <t>386AMS6.png</t>
  </si>
  <si>
    <t>https://archives.bulbagarden.net/media/upload/2/23/386AMS6.png</t>
  </si>
  <si>
    <t>#386 테오키스 (어택폼)</t>
  </si>
  <si>
    <t>요가포즈</t>
  </si>
  <si>
    <t>콘테스트패스</t>
  </si>
  <si>
    <t>386.2</t>
  </si>
  <si>
    <t>테오키스 (디펜스폼)</t>
  </si>
  <si>
    <t>#386,2 테오키스 (디펜스폼)</t>
  </si>
  <si>
    <t>386DMS6.png</t>
  </si>
  <si>
    <t>https://archives.bulbagarden.net/media/upload/6/63/386DMS6.png</t>
  </si>
  <si>
    <t>#386 테오키스 (디펜스폼)</t>
  </si>
  <si>
    <t>추억의선물</t>
  </si>
  <si>
    <t>보물주머니</t>
  </si>
  <si>
    <t>386.3</t>
  </si>
  <si>
    <t>테오키스 (스피드폼)</t>
  </si>
  <si>
    <t>#386,3 테오키스 (스피드폼)</t>
  </si>
  <si>
    <t>386SMS6.png</t>
  </si>
  <si>
    <t>https://archives.bulbagarden.net/media/upload/3/3f/386SMS6.png</t>
  </si>
  <si>
    <t>#386 테오키스 (스피드폼)</t>
  </si>
  <si>
    <t>금속음</t>
  </si>
  <si>
    <t>포인트카드</t>
  </si>
  <si>
    <t>모부기</t>
  </si>
  <si>
    <t>#387 모부기</t>
  </si>
  <si>
    <t>387MS6.png</t>
  </si>
  <si>
    <t>https://archives.bulbagarden.net/media/upload/8/89/387MS6.png</t>
  </si>
  <si>
    <t>조가비갑옷 (!)</t>
  </si>
  <si>
    <t>10.2 kg</t>
  </si>
  <si>
    <t>#388 로 진화 가능</t>
  </si>
  <si>
    <t>손가락흔들기</t>
  </si>
  <si>
    <t>룰북</t>
  </si>
  <si>
    <t>수풀부기</t>
  </si>
  <si>
    <t>#388 수풀부기</t>
  </si>
  <si>
    <t>388MS6.png</t>
  </si>
  <si>
    <t>https://archives.bulbagarden.net/media/upload/1/1b/388MS6.png</t>
  </si>
  <si>
    <t>#387 레벨 18 - 진화 가능: #389</t>
  </si>
  <si>
    <t>우유마시기</t>
  </si>
  <si>
    <t>승선티켓</t>
  </si>
  <si>
    <t>토대부기</t>
  </si>
  <si>
    <t>#389 토대부기</t>
  </si>
  <si>
    <t>389MS6.png</t>
  </si>
  <si>
    <t>https://archives.bulbagarden.net/media/upload/6/61/389MS6.png</t>
  </si>
  <si>
    <t>114᠎</t>
  </si>
  <si>
    <t>풀 - 땅</t>
  </si>
  <si>
    <t>310.0 kg</t>
  </si>
  <si>
    <t>#388 레벨 32</t>
  </si>
  <si>
    <t>흉내내기</t>
  </si>
  <si>
    <t>실주머니</t>
  </si>
  <si>
    <t>불꽃숭이</t>
  </si>
  <si>
    <t>#390 불꽃숭이</t>
  </si>
  <si>
    <t>390MS6.png</t>
  </si>
  <si>
    <t>https://archives.bulbagarden.net/media/upload/3/3c/390MS6.png</t>
  </si>
  <si>
    <t>6.2 kg</t>
  </si>
  <si>
    <t>#391 로 진화 가능</t>
  </si>
  <si>
    <t>마음의눈</t>
  </si>
  <si>
    <t>파이숭이</t>
  </si>
  <si>
    <t>#391 파이숭이</t>
  </si>
  <si>
    <t>391MS6.png</t>
  </si>
  <si>
    <t>https://archives.bulbagarden.net/media/upload/b/bd/391MS6.png</t>
  </si>
  <si>
    <t>1 스피드/1 특공</t>
  </si>
  <si>
    <t>#390 레벨 14 - 진화 가능: #392</t>
  </si>
  <si>
    <t>작아지기</t>
  </si>
  <si>
    <t>수수께끼의 초대장 **</t>
  </si>
  <si>
    <t>초염몽</t>
  </si>
  <si>
    <t>#392 초염몽</t>
  </si>
  <si>
    <t>392MS6.png</t>
  </si>
  <si>
    <t>https://archives.bulbagarden.net/media/upload/5/5f/392MS6.png</t>
  </si>
  <si>
    <t>#391 레벨 36</t>
  </si>
  <si>
    <t>미라클아이</t>
  </si>
  <si>
    <t>GS볼 *</t>
  </si>
  <si>
    <t>팽도리</t>
  </si>
  <si>
    <t>#393 팽도리</t>
  </si>
  <si>
    <t>393MS6.png</t>
  </si>
  <si>
    <t>https://archives.bulbagarden.net/media/upload/3/30/393MS6.png</t>
  </si>
  <si>
    <t>5.2 kg</t>
  </si>
  <si>
    <t>#394 로 진화 가능</t>
  </si>
  <si>
    <t>따라하기</t>
  </si>
  <si>
    <t>팽태자</t>
  </si>
  <si>
    <t>#394 팽태자</t>
  </si>
  <si>
    <t>394MS6.png</t>
  </si>
  <si>
    <t>https://archives.bulbagarden.net/media/upload/7/71/394MS6.png</t>
  </si>
  <si>
    <t>23.0 kg</t>
  </si>
  <si>
    <t>#393 레벨 16 - 진화 가능: #395</t>
  </si>
  <si>
    <t>흰안개</t>
  </si>
  <si>
    <t>엠페르트</t>
  </si>
  <si>
    <t>#395 엠페르트</t>
  </si>
  <si>
    <t>395MS6.png</t>
  </si>
  <si>
    <t>https://archives.bulbagarden.net/media/upload/1/13/395MS6.png</t>
  </si>
  <si>
    <t>물 - 강철</t>
  </si>
  <si>
    <t>84.5 kg</t>
  </si>
  <si>
    <t>#394 레벨 36</t>
  </si>
  <si>
    <t>달의불빛</t>
  </si>
  <si>
    <t>찌르꼬</t>
  </si>
  <si>
    <t>#396 찌르꼬</t>
  </si>
  <si>
    <t>396MS6.png</t>
  </si>
  <si>
    <t>https://archives.bulbagarden.net/media/upload/7/72/396MS6.png</t>
  </si>
  <si>
    <t xml:space="preserve">이판사판 </t>
  </si>
  <si>
    <t>#397 로 진화 가능</t>
  </si>
  <si>
    <t>아침햇살</t>
  </si>
  <si>
    <t>찌르버드</t>
  </si>
  <si>
    <t>#397 찌르버드</t>
  </si>
  <si>
    <t>397MS6.png</t>
  </si>
  <si>
    <t>https://archives.bulbagarden.net/media/upload/4/4e/397MS6.png</t>
  </si>
  <si>
    <t>#396 레벨 14 - 진화 가능: #398</t>
  </si>
  <si>
    <t>흙놀이</t>
  </si>
  <si>
    <t>찌르호크</t>
  </si>
  <si>
    <t>#398 찌르호크</t>
  </si>
  <si>
    <t>398MS6.png</t>
  </si>
  <si>
    <t>https://archives.bulbagarden.net/media/upload/0/0e/398MS6.png</t>
  </si>
  <si>
    <t>24.9 kg</t>
  </si>
  <si>
    <t>#397 레벨 34</t>
  </si>
  <si>
    <t>나쁜음모</t>
  </si>
  <si>
    <t>비버니</t>
  </si>
  <si>
    <t>#399 비버니</t>
  </si>
  <si>
    <t>399MS6.png</t>
  </si>
  <si>
    <t>https://archives.bulbagarden.net/media/upload/9/9f/399MS6.png</t>
  </si>
  <si>
    <t>#400 로 진화 가능</t>
  </si>
  <si>
    <t>자연의힘</t>
  </si>
  <si>
    <t>비버통</t>
  </si>
  <si>
    <t>#400 비버통</t>
  </si>
  <si>
    <t>400MS6.png</t>
  </si>
  <si>
    <t>https://archives.bulbagarden.net/media/upload/7/7d/400MS6.png</t>
  </si>
  <si>
    <t>94᠎</t>
  </si>
  <si>
    <t>노말 - 물</t>
  </si>
  <si>
    <t>#399 레벨 15</t>
  </si>
  <si>
    <t>악몽</t>
  </si>
  <si>
    <t>귀뚤뚜기</t>
  </si>
  <si>
    <t>#401 귀뚤뚜기</t>
  </si>
  <si>
    <t>401MS6.png</t>
  </si>
  <si>
    <t>https://archives.bulbagarden.net/media/upload/1/1c/401MS6.png</t>
  </si>
  <si>
    <t>214᠎</t>
  </si>
  <si>
    <t>2.2 kg</t>
  </si>
  <si>
    <t>#402 로 진화 가능</t>
  </si>
  <si>
    <t>메트로놈 - 5%</t>
  </si>
  <si>
    <t>냄새구별</t>
  </si>
  <si>
    <t>귀뚤톡크</t>
  </si>
  <si>
    <t>#402 귀뚤톡크</t>
  </si>
  <si>
    <t>402MS6.png</t>
  </si>
  <si>
    <t>https://archives.bulbagarden.net/media/upload/7/75/402MS6.png</t>
  </si>
  <si>
    <t>25.5 kg</t>
  </si>
  <si>
    <t>#401 레벨 10</t>
  </si>
  <si>
    <t>아픔나누기</t>
  </si>
  <si>
    <t>꼬링크</t>
  </si>
  <si>
    <t>#403 꼬링크</t>
  </si>
  <si>
    <t>403MS6.png</t>
  </si>
  <si>
    <t>https://archives.bulbagarden.net/media/upload/f/fe/403MS6.png</t>
  </si>
  <si>
    <t>위협឵ ឵</t>
  </si>
  <si>
    <t>근성 (!)</t>
  </si>
  <si>
    <t>#404 로 진화 가능</t>
  </si>
  <si>
    <t>멸망의노래</t>
  </si>
  <si>
    <t>럭시오</t>
  </si>
  <si>
    <t>#404 럭시오</t>
  </si>
  <si>
    <t>404MS6.png</t>
  </si>
  <si>
    <t>https://archives.bulbagarden.net/media/upload/b/bc/404MS6.png</t>
  </si>
  <si>
    <t>30.5 kg</t>
  </si>
  <si>
    <t>#403 레벨 15 - 진화 가능: #405</t>
  </si>
  <si>
    <t>독가스</t>
  </si>
  <si>
    <t>렌트라</t>
  </si>
  <si>
    <t>#405 렌트라</t>
  </si>
  <si>
    <t>405MS6.png</t>
  </si>
  <si>
    <t>https://archives.bulbagarden.net/media/upload/1/1e/405MS6.png</t>
  </si>
  <si>
    <t>전기 - 악 (!)</t>
  </si>
  <si>
    <t>42.0 kg</t>
  </si>
  <si>
    <t>#404 레벨 30</t>
  </si>
  <si>
    <t>독가루</t>
  </si>
  <si>
    <t>꼬몽울</t>
  </si>
  <si>
    <t>#406 꼬몽울</t>
  </si>
  <si>
    <t>406MS6.png</t>
  </si>
  <si>
    <t>https://archives.bulbagarden.net/media/upload/0/0e/406MS6.png</t>
  </si>
  <si>
    <t>#315 로 진화 가능</t>
  </si>
  <si>
    <t>파워스웹</t>
  </si>
  <si>
    <t>로즈레이드</t>
  </si>
  <si>
    <t>#407 로즈레이드</t>
  </si>
  <si>
    <t>407MS6.png</t>
  </si>
  <si>
    <t>https://archives.bulbagarden.net/media/upload/4/4e/407MS6.png</t>
  </si>
  <si>
    <t>515᠎</t>
  </si>
  <si>
    <t>14.5 kg</t>
  </si>
  <si>
    <t>#315 사용 빛의돌</t>
  </si>
  <si>
    <t>파워트릭</t>
  </si>
  <si>
    <t>두개도스</t>
  </si>
  <si>
    <t>#408 두개도스</t>
  </si>
  <si>
    <t>408MS6.png</t>
  </si>
  <si>
    <t>https://archives.bulbagarden.net/media/upload/a/a0/408MS6.png</t>
  </si>
  <si>
    <t>#409 로 진화 가능</t>
  </si>
  <si>
    <t>방어</t>
  </si>
  <si>
    <t>램펄드</t>
  </si>
  <si>
    <t>#409 램펄드</t>
  </si>
  <si>
    <t>409MS6.png</t>
  </si>
  <si>
    <t>https://archives.bulbagarden.net/media/upload/1/14/409MS6.png</t>
  </si>
  <si>
    <t>102.5 kg</t>
  </si>
  <si>
    <t>#408 레벨 30</t>
  </si>
  <si>
    <t>자기암시</t>
  </si>
  <si>
    <t>방패톱스</t>
  </si>
  <si>
    <t>#410 방패톱스</t>
  </si>
  <si>
    <t>410MS6.png</t>
  </si>
  <si>
    <t>https://archives.bulbagarden.net/media/upload/e/ec/410MS6.png</t>
  </si>
  <si>
    <t>62᠎</t>
  </si>
  <si>
    <t>22᠋</t>
  </si>
  <si>
    <t>바위 - 강철</t>
  </si>
  <si>
    <t xml:space="preserve">방음 </t>
  </si>
  <si>
    <t>방음 (!)</t>
  </si>
  <si>
    <t>57.0 kg</t>
  </si>
  <si>
    <t>#411 로 진화 가능</t>
  </si>
  <si>
    <t>사이코시프트</t>
  </si>
  <si>
    <t>바리톱스</t>
  </si>
  <si>
    <t>#411 바리톱스</t>
  </si>
  <si>
    <t>411MS6.png</t>
  </si>
  <si>
    <t>https://archives.bulbagarden.net/media/upload/d/d7/411MS6.png</t>
  </si>
  <si>
    <t>72᠎</t>
  </si>
  <si>
    <t>27᠋</t>
  </si>
  <si>
    <t>149.5 kg</t>
  </si>
  <si>
    <t>#410 레벨 30</t>
  </si>
  <si>
    <t>비바라기</t>
  </si>
  <si>
    <t>도롱충이</t>
  </si>
  <si>
    <t>#412 도롱충이</t>
  </si>
  <si>
    <t>412MS6.png</t>
  </si>
  <si>
    <t>https://archives.bulbagarden.net/media/upload/3/33/412MS6.png</t>
  </si>
  <si>
    <t>225᠎</t>
  </si>
  <si>
    <t>3.4 kg</t>
  </si>
  <si>
    <t>진화 가능: #413, #414</t>
  </si>
  <si>
    <t>HP회복</t>
  </si>
  <si>
    <t xml:space="preserve">-- </t>
  </si>
  <si>
    <t>도롱마담 (초목도롱)</t>
  </si>
  <si>
    <t>#413 도롱마담 (초목도롱)</t>
  </si>
  <si>
    <t>413MS6.png</t>
  </si>
  <si>
    <t>https://archives.bulbagarden.net/media/upload/e/ef/413MS6.png</t>
  </si>
  <si>
    <t>#412 암컷 초목도롱 레벨 20</t>
  </si>
  <si>
    <t>리사이클</t>
  </si>
  <si>
    <t>413.1</t>
  </si>
  <si>
    <t>도롱마담 (모래땅도롱)</t>
  </si>
  <si>
    <t>#413,1 도롱마담 (모래땅도롱)</t>
  </si>
  <si>
    <t>413GMS6.png</t>
  </si>
  <si>
    <t>https://archives.bulbagarden.net/media/upload/4/44/413GMS6.png</t>
  </si>
  <si>
    <t>#413 도롱마담 (모래땅도롱)</t>
  </si>
  <si>
    <t>#412 암컷 모래땅도롱 레벨 20</t>
  </si>
  <si>
    <t>리플렉터</t>
  </si>
  <si>
    <t>413.2</t>
  </si>
  <si>
    <t>도롱마담 (슈레도롱)</t>
  </si>
  <si>
    <t>#413,2 도롱마담 (슈레도롱)</t>
  </si>
  <si>
    <t>413SMS6.png</t>
  </si>
  <si>
    <t>https://archives.bulbagarden.net/media/upload/f/fa/413SMS6.png</t>
  </si>
  <si>
    <t>#413 도롱마담 (슈레도롱)</t>
  </si>
  <si>
    <t>1SpD</t>
  </si>
  <si>
    <t>#412 암컷 슈레도롱 레벨 20</t>
  </si>
  <si>
    <t>리프레쉬</t>
  </si>
  <si>
    <t>나메일</t>
  </si>
  <si>
    <t>#414 나메일</t>
  </si>
  <si>
    <t>414MS6.png</t>
  </si>
  <si>
    <t>https://archives.bulbagarden.net/media/upload/0/03/414MS6.png</t>
  </si>
  <si>
    <t>23.3 kg</t>
  </si>
  <si>
    <t>#412 수컷 레벨 20</t>
  </si>
  <si>
    <t>잠자기</t>
  </si>
  <si>
    <t>세꿀버리</t>
  </si>
  <si>
    <t>#415 세꿀버리</t>
  </si>
  <si>
    <t>415MS6.png</t>
  </si>
  <si>
    <t>https://archives.bulbagarden.net/media/upload/7/72/415MS6.png</t>
  </si>
  <si>
    <t>꿀모으기</t>
  </si>
  <si>
    <t>#416 로 진화 가능</t>
  </si>
  <si>
    <t>달콤한꿀 - 5%</t>
  </si>
  <si>
    <t>울부짖기</t>
  </si>
  <si>
    <t>비퀸</t>
  </si>
  <si>
    <t>#416 비퀸</t>
  </si>
  <si>
    <t>416MS6.png</t>
  </si>
  <si>
    <t>https://archives.bulbagarden.net/media/upload/6/69/416MS6.png</t>
  </si>
  <si>
    <t>38.5 kg</t>
  </si>
  <si>
    <t>#415 암컷  레벨 21</t>
  </si>
  <si>
    <t>록커트</t>
  </si>
  <si>
    <t>파치리스</t>
  </si>
  <si>
    <t>#417 파치리스</t>
  </si>
  <si>
    <t>417MS6.png</t>
  </si>
  <si>
    <t>https://archives.bulbagarden.net/media/upload/4/46/417MS6.png</t>
  </si>
  <si>
    <t>역할</t>
  </si>
  <si>
    <t>브이젤</t>
  </si>
  <si>
    <t>#418 브이젤</t>
  </si>
  <si>
    <t>418MS6.png</t>
  </si>
  <si>
    <t>https://archives.bulbagarden.net/media/upload/7/7a/418MS6.png</t>
  </si>
  <si>
    <t>#419 로 진화 가능</t>
  </si>
  <si>
    <t>날개쉬기</t>
  </si>
  <si>
    <t>플로젤</t>
  </si>
  <si>
    <t>#419 플로젤</t>
  </si>
  <si>
    <t>419MS6.png</t>
  </si>
  <si>
    <t>https://archives.bulbagarden.net/media/upload/b/bb/419MS6.png</t>
  </si>
  <si>
    <t>#418 레벨 26</t>
  </si>
  <si>
    <t>신비의부적</t>
  </si>
  <si>
    <t>체리버</t>
  </si>
  <si>
    <t>#420 체리버</t>
  </si>
  <si>
    <t>420MS6.png</t>
  </si>
  <si>
    <t>https://archives.bulbagarden.net/media/upload/9/98/420MS6.png</t>
  </si>
  <si>
    <t>#421 로 진화 가능</t>
  </si>
  <si>
    <t>기적의씨 - 5%</t>
  </si>
  <si>
    <t>모래뿌리기</t>
  </si>
  <si>
    <t>체리꼬</t>
  </si>
  <si>
    <t>#421 체리꼬</t>
  </si>
  <si>
    <t>421MS6.png</t>
  </si>
  <si>
    <t>https://archives.bulbagarden.net/media/upload/8/87/421MS6.png</t>
  </si>
  <si>
    <t>83᠎</t>
  </si>
  <si>
    <t>플라워기프트</t>
  </si>
  <si>
    <t>9.3 kg</t>
  </si>
  <si>
    <t>#420 레벨 25</t>
  </si>
  <si>
    <t>모래바람</t>
  </si>
  <si>
    <t>깝질무</t>
  </si>
  <si>
    <t>#422 깝질무</t>
  </si>
  <si>
    <t>422MS6.png</t>
  </si>
  <si>
    <t>https://archives.bulbagarden.net/media/upload/f/f2/422MS6.png</t>
  </si>
  <si>
    <t>6.3 kg</t>
  </si>
  <si>
    <t>#423 로 진화 가능</t>
  </si>
  <si>
    <t>겁나는얼굴</t>
  </si>
  <si>
    <t>트리토돈</t>
  </si>
  <si>
    <t>#423 트리토돈</t>
  </si>
  <si>
    <t>423MS6.png</t>
  </si>
  <si>
    <t>https://archives.bulbagarden.net/media/upload/2/21/423MS6.png</t>
  </si>
  <si>
    <t>29.9 kg</t>
  </si>
  <si>
    <t>#422 레벨 30</t>
  </si>
  <si>
    <t>싫은소리</t>
  </si>
  <si>
    <t>겟핸보숭</t>
  </si>
  <si>
    <t>#424 겟핸보숭</t>
  </si>
  <si>
    <t>424MS6.png</t>
  </si>
  <si>
    <t>https://archives.bulbagarden.net/media/upload/6/68/424MS6.png</t>
  </si>
  <si>
    <t>20.3 kg</t>
  </si>
  <si>
    <t>#190 레벨업 습득 더블어택</t>
  </si>
  <si>
    <t>각지기</t>
  </si>
  <si>
    <t>흔들풍손</t>
  </si>
  <si>
    <t>#425 흔들풍손</t>
  </si>
  <si>
    <t>425MS6.png</t>
  </si>
  <si>
    <t>https://archives.bulbagarden.net/media/upload/4/4c/425MS6.png</t>
  </si>
  <si>
    <t>고스트 - 비행</t>
  </si>
  <si>
    <t>유폭</t>
  </si>
  <si>
    <t>곡예</t>
  </si>
  <si>
    <t>곡예឵ ឵</t>
  </si>
  <si>
    <t>#426 로 진화 가능</t>
  </si>
  <si>
    <t>노래하기</t>
  </si>
  <si>
    <t>둥실라이드</t>
  </si>
  <si>
    <t>#426 둥실라이드</t>
  </si>
  <si>
    <t>426MS6.png</t>
  </si>
  <si>
    <t>https://archives.bulbagarden.net/media/upload/b/b0/426MS6.png</t>
  </si>
  <si>
    <t>#425 레벨 28</t>
  </si>
  <si>
    <t>스케치</t>
  </si>
  <si>
    <t>이어롤</t>
  </si>
  <si>
    <t>#427 이어롤</t>
  </si>
  <si>
    <t>427MS6.png</t>
  </si>
  <si>
    <t>https://archives.bulbagarden.net/media/upload/8/82/427MS6.png</t>
  </si>
  <si>
    <t>서투름</t>
  </si>
  <si>
    <t xml:space="preserve">유연 </t>
  </si>
  <si>
    <t>유연 (!)</t>
  </si>
  <si>
    <t>#428 로 진화 가능</t>
  </si>
  <si>
    <t>스킬스웹</t>
  </si>
  <si>
    <t>이어롭</t>
  </si>
  <si>
    <t>#428 이어롭</t>
  </si>
  <si>
    <t>428MS6.png</t>
  </si>
  <si>
    <t>https://archives.bulbagarden.net/media/upload/d/de/428MS6.png</t>
  </si>
  <si>
    <t>44᠋</t>
  </si>
  <si>
    <t>노말 - 격투 (!)</t>
  </si>
  <si>
    <t>#427 친밀도가 높을 때 레벨업</t>
  </si>
  <si>
    <t>태만함</t>
  </si>
  <si>
    <t>무우마직</t>
  </si>
  <si>
    <t>#429 무우마직</t>
  </si>
  <si>
    <t>429MS6.png</t>
  </si>
  <si>
    <t>https://archives.bulbagarden.net/media/upload/d/d7/429MS6.png</t>
  </si>
  <si>
    <t>4.4 kg</t>
  </si>
  <si>
    <t>#200 사용 어둠의돌</t>
  </si>
  <si>
    <t>수면가루</t>
  </si>
  <si>
    <t>돈크로우</t>
  </si>
  <si>
    <t>#430 돈크로우</t>
  </si>
  <si>
    <t>430MS6.png</t>
  </si>
  <si>
    <t>https://archives.bulbagarden.net/media/upload/a/a7/430MS6.png</t>
  </si>
  <si>
    <t>대운឵឵ ឵</t>
  </si>
  <si>
    <t>27.3 kg</t>
  </si>
  <si>
    <t>#198 사용 어둠의돌</t>
  </si>
  <si>
    <t>잠꼬대</t>
  </si>
  <si>
    <t>나옹마</t>
  </si>
  <si>
    <t>#431 나옹마</t>
  </si>
  <si>
    <t>431MS6.png</t>
  </si>
  <si>
    <t>https://archives.bulbagarden.net/media/upload/0/06/431MS6.png</t>
  </si>
  <si>
    <t>335᠎</t>
  </si>
  <si>
    <t>#432 로 진화 가능</t>
  </si>
  <si>
    <t>연막</t>
  </si>
  <si>
    <t>몬냥이</t>
  </si>
  <si>
    <t>#432 몬냥이</t>
  </si>
  <si>
    <t>432MS6.png</t>
  </si>
  <si>
    <t>https://archives.bulbagarden.net/media/upload/5/5a/432MS6.png</t>
  </si>
  <si>
    <t>43.8 kg</t>
  </si>
  <si>
    <t>#431 레벨 32</t>
  </si>
  <si>
    <t>가로챔</t>
  </si>
  <si>
    <t>랑딸랑</t>
  </si>
  <si>
    <t>#433 랑딸랑</t>
  </si>
  <si>
    <t>433MS6.png</t>
  </si>
  <si>
    <t>https://archives.bulbagarden.net/media/upload/7/7b/433MS6.png</t>
  </si>
  <si>
    <t>0.6 kg</t>
  </si>
  <si>
    <t>#358 로 진화 가능</t>
  </si>
  <si>
    <t>알낳기</t>
  </si>
  <si>
    <t>스컹뿡</t>
  </si>
  <si>
    <t>#434 스컹뿡</t>
  </si>
  <si>
    <t>434MS6.png</t>
  </si>
  <si>
    <t>https://archives.bulbagarden.net/media/upload/4/48/434MS6.png</t>
  </si>
  <si>
    <t>독 - 악</t>
  </si>
  <si>
    <t>유폭឵ ឵</t>
  </si>
  <si>
    <t>19.2 kg</t>
  </si>
  <si>
    <t>#435 로 진화 가능</t>
  </si>
  <si>
    <t>거미집</t>
  </si>
  <si>
    <t>스컹탱크</t>
  </si>
  <si>
    <t>#435 스컹탱크</t>
  </si>
  <si>
    <t>435MS6.png</t>
  </si>
  <si>
    <t>https://archives.bulbagarden.net/media/upload/3/30/435MS6.png</t>
  </si>
  <si>
    <t>#434 레벨 32</t>
  </si>
  <si>
    <t>압정뿌리기</t>
  </si>
  <si>
    <t>동미러</t>
  </si>
  <si>
    <t>#436 동미러</t>
  </si>
  <si>
    <t>436MS6.png</t>
  </si>
  <si>
    <t>https://archives.bulbagarden.net/media/upload/4/47/436MS6.png</t>
  </si>
  <si>
    <t>내열</t>
  </si>
  <si>
    <t>60.5 kg</t>
  </si>
  <si>
    <t>#437 로 진화 가능</t>
  </si>
  <si>
    <t>원한</t>
  </si>
  <si>
    <t>동탁군</t>
  </si>
  <si>
    <t>#437 동탁군</t>
  </si>
  <si>
    <t>437MS6.png</t>
  </si>
  <si>
    <t>https://archives.bulbagarden.net/media/upload/f/fc/437MS6.png</t>
  </si>
  <si>
    <t>#436 레벨 33</t>
  </si>
  <si>
    <t>튀어오르기</t>
  </si>
  <si>
    <t>꼬지지</t>
  </si>
  <si>
    <t>#438 꼬지지</t>
  </si>
  <si>
    <t>438MS6.png</t>
  </si>
  <si>
    <t>https://archives.bulbagarden.net/media/upload/c/cc/438MS6.png</t>
  </si>
  <si>
    <t>#185 로 진화 가능</t>
  </si>
  <si>
    <t>버섯포자</t>
  </si>
  <si>
    <t>흉내내</t>
  </si>
  <si>
    <t>#439 흉내내</t>
  </si>
  <si>
    <t>439MS6.png</t>
  </si>
  <si>
    <t>https://archives.bulbagarden.net/media/upload/2/29/439MS6.png</t>
  </si>
  <si>
    <t>#122 로 진화 가능</t>
  </si>
  <si>
    <t>스텔스록</t>
  </si>
  <si>
    <t>핑복</t>
  </si>
  <si>
    <t>#440 핑복</t>
  </si>
  <si>
    <t>440MS6.png</t>
  </si>
  <si>
    <t>https://archives.bulbagarden.net/media/upload/9/92/440MS6.png</t>
  </si>
  <si>
    <t>24.4 kg</t>
  </si>
  <si>
    <t>#113 로 진화 가능</t>
  </si>
  <si>
    <t>동글동글돌 - 50%</t>
  </si>
  <si>
    <t>비축하기</t>
  </si>
  <si>
    <t>페라페</t>
  </si>
  <si>
    <t>#441 페라페</t>
  </si>
  <si>
    <t>441MS6.png</t>
  </si>
  <si>
    <t>https://archives.bulbagarden.net/media/upload/f/f6/441MS6.png</t>
  </si>
  <si>
    <t>75᠋</t>
  </si>
  <si>
    <t>실뿜기</t>
  </si>
  <si>
    <t>화강돌</t>
  </si>
  <si>
    <t>#442 화강돌</t>
  </si>
  <si>
    <t>442MS6.png</t>
  </si>
  <si>
    <t>https://archives.bulbagarden.net/media/upload/6/61/442MS6.png</t>
  </si>
  <si>
    <t>고스트 - 악</t>
  </si>
  <si>
    <t>연막탄 - 100%</t>
  </si>
  <si>
    <t>저리가루</t>
  </si>
  <si>
    <t>딥상어동</t>
  </si>
  <si>
    <t>#443 딥상어동</t>
  </si>
  <si>
    <t>443MS6.png</t>
  </si>
  <si>
    <t>https://archives.bulbagarden.net/media/upload/f/f7/443MS6.png</t>
  </si>
  <si>
    <t>드래곤 - 땅</t>
  </si>
  <si>
    <t>까칠한피부 (!)</t>
  </si>
  <si>
    <t>#444 로 진화 가능</t>
  </si>
  <si>
    <t>대타출동</t>
  </si>
  <si>
    <t>한바이트</t>
  </si>
  <si>
    <t>#444 한바이트</t>
  </si>
  <si>
    <t>444MS6.png</t>
  </si>
  <si>
    <t>https://archives.bulbagarden.net/media/upload/5/58/444MS6.png</t>
  </si>
  <si>
    <t>#443 레벨 24 - 진화 가능: #445</t>
  </si>
  <si>
    <t>쾌청</t>
  </si>
  <si>
    <t>한카리아스</t>
  </si>
  <si>
    <t>#445 한카리아스</t>
  </si>
  <si>
    <t>445MS6.png</t>
  </si>
  <si>
    <t>https://archives.bulbagarden.net/media/upload/5/55/445MS6.png</t>
  </si>
  <si>
    <t>#444 레벨 48</t>
  </si>
  <si>
    <t>초음파</t>
  </si>
  <si>
    <t>먹고자</t>
  </si>
  <si>
    <t>#446 먹고자</t>
  </si>
  <si>
    <t>446MS6.png</t>
  </si>
  <si>
    <t>https://archives.bulbagarden.net/media/upload/d/d7/446MS6.png</t>
  </si>
  <si>
    <t>#143 로 진화 가능</t>
  </si>
  <si>
    <t>뽐내기</t>
  </si>
  <si>
    <t>리오르</t>
  </si>
  <si>
    <t>#447 리오르</t>
  </si>
  <si>
    <t>447MS6.png</t>
  </si>
  <si>
    <t>https://archives.bulbagarden.net/media/upload/d/d6/447MS6.png</t>
  </si>
  <si>
    <t>#448 로 진화 가능</t>
  </si>
  <si>
    <t>꿀꺽</t>
  </si>
  <si>
    <t>루카리오</t>
  </si>
  <si>
    <t>#448 루카리오</t>
  </si>
  <si>
    <t>448MS6.png</t>
  </si>
  <si>
    <t>https://archives.bulbagarden.net/media/upload/1/14/448MS6.png</t>
  </si>
  <si>
    <t>격투 - 강철</t>
  </si>
  <si>
    <t>#447 친밀도가 높을 때 레벨업</t>
  </si>
  <si>
    <t>천사의키스</t>
  </si>
  <si>
    <t>히포포타스</t>
  </si>
  <si>
    <t>#449 히포포타스</t>
  </si>
  <si>
    <t>449MS6.png</t>
  </si>
  <si>
    <t>https://archives.bulbagarden.net/media/upload/8/81/449MS6.png</t>
  </si>
  <si>
    <t>49.5 kg</t>
  </si>
  <si>
    <t>#450 로 진화 가능</t>
  </si>
  <si>
    <t>달콤한향기</t>
  </si>
  <si>
    <t>하마돈</t>
  </si>
  <si>
    <t>#450 하마돈</t>
  </si>
  <si>
    <t>450MS6.png</t>
  </si>
  <si>
    <t>https://archives.bulbagarden.net/media/upload/0/0b/450MS6.png</t>
  </si>
  <si>
    <t>#449 레벨 34</t>
  </si>
  <si>
    <t>바꿔치기</t>
  </si>
  <si>
    <t>스콜피</t>
  </si>
  <si>
    <t>#451 스콜피</t>
  </si>
  <si>
    <t>451MS6.png</t>
  </si>
  <si>
    <t>https://archives.bulbagarden.net/media/upload/4/49/451MS6.png</t>
  </si>
  <si>
    <t>독 - 벌레</t>
  </si>
  <si>
    <t>스나이퍼឵ ឵</t>
  </si>
  <si>
    <t>#452 로 진화 가능</t>
  </si>
  <si>
    <t>칼춤</t>
  </si>
  <si>
    <t>드래피온</t>
  </si>
  <si>
    <t>#452 드래피온</t>
  </si>
  <si>
    <t>452MS6.png</t>
  </si>
  <si>
    <t>https://archives.bulbagarden.net/media/upload/7/78/452MS6.png</t>
  </si>
  <si>
    <t>#451 레벨 30</t>
  </si>
  <si>
    <t>광합성</t>
  </si>
  <si>
    <t>삐딱구리</t>
  </si>
  <si>
    <t>#453 삐딱구리</t>
  </si>
  <si>
    <t>453MS6.png</t>
  </si>
  <si>
    <t>https://archives.bulbagarden.net/media/upload/8/8a/453MS6.png</t>
  </si>
  <si>
    <t>독 - 격투</t>
  </si>
  <si>
    <t>건조피부឵ ឵</t>
  </si>
  <si>
    <t>#454 로 진화 가능</t>
  </si>
  <si>
    <t>반딧불</t>
  </si>
  <si>
    <t>독개굴</t>
  </si>
  <si>
    <t>#454 독개굴</t>
  </si>
  <si>
    <t>454MS6.png</t>
  </si>
  <si>
    <t>https://archives.bulbagarden.net/media/upload/1/1a/454MS6.png</t>
  </si>
  <si>
    <t>44.4 kg</t>
  </si>
  <si>
    <t>#453 레벨 33</t>
  </si>
  <si>
    <t>꼬리흔들기</t>
  </si>
  <si>
    <t>무스틈니</t>
  </si>
  <si>
    <t>#455 무스틈니</t>
  </si>
  <si>
    <t>455MS6.png</t>
  </si>
  <si>
    <t>https://archives.bulbagarden.net/media/upload/8/85/455MS6.png</t>
  </si>
  <si>
    <t>36᠋</t>
  </si>
  <si>
    <t>464᠎</t>
  </si>
  <si>
    <t>순풍</t>
  </si>
  <si>
    <t>형광어</t>
  </si>
  <si>
    <t>#456 형광어</t>
  </si>
  <si>
    <t>456MS6.png</t>
  </si>
  <si>
    <t>https://archives.bulbagarden.net/media/upload/6/60/456MS6.png</t>
  </si>
  <si>
    <t>#457 로 진화 가능</t>
  </si>
  <si>
    <t>도발</t>
  </si>
  <si>
    <t>네오라이트</t>
  </si>
  <si>
    <t>#457 네오라이트</t>
  </si>
  <si>
    <t>457MS6.png</t>
  </si>
  <si>
    <t>https://archives.bulbagarden.net/media/upload/5/54/457MS6.png</t>
  </si>
  <si>
    <t>#456 레벨 31</t>
  </si>
  <si>
    <t>흔들흔들댄스</t>
  </si>
  <si>
    <t>타만타</t>
  </si>
  <si>
    <t>#458 타만타</t>
  </si>
  <si>
    <t>458MS6.png</t>
  </si>
  <si>
    <t>https://archives.bulbagarden.net/media/upload/3/31/458MS6.png</t>
  </si>
  <si>
    <t>#226 로 진화 가능</t>
  </si>
  <si>
    <t>순간이동</t>
  </si>
  <si>
    <t>눈쓰개</t>
  </si>
  <si>
    <t>#459 눈쓰개</t>
  </si>
  <si>
    <t>459MS6.png</t>
  </si>
  <si>
    <t>https://archives.bulbagarden.net/media/upload/5/5d/459MS6.png</t>
  </si>
  <si>
    <t>얼음 - 풀</t>
  </si>
  <si>
    <t>눈퍼뜨리기</t>
  </si>
  <si>
    <t>#460 로 진화 가능</t>
  </si>
  <si>
    <t>녹지않는얼음 - 5%</t>
  </si>
  <si>
    <t>전기자석파</t>
  </si>
  <si>
    <t>눈설왕</t>
  </si>
  <si>
    <t>#460 눈설왕</t>
  </si>
  <si>
    <t>460MS6.png</t>
  </si>
  <si>
    <t>https://archives.bulbagarden.net/media/upload/6/68/460MS6.png</t>
  </si>
  <si>
    <t>135.5 kg</t>
  </si>
  <si>
    <t>#459 레벨 40</t>
  </si>
  <si>
    <t>간지르기</t>
  </si>
  <si>
    <t>포푸니라</t>
  </si>
  <si>
    <t>#461 포푸니라</t>
  </si>
  <si>
    <t>461MS6.png</t>
  </si>
  <si>
    <t>https://archives.bulbagarden.net/media/upload/b/b4/461MS6.png</t>
  </si>
  <si>
    <t>34.0 kg</t>
  </si>
  <si>
    <t>#215 밤 레벨업 소지 예리한손톱</t>
  </si>
  <si>
    <t>트집</t>
  </si>
  <si>
    <t>자포코일</t>
  </si>
  <si>
    <t>#462 자포코일</t>
  </si>
  <si>
    <t>462MS6.png</t>
  </si>
  <si>
    <t>https://archives.bulbagarden.net/media/upload/9/9c/462MS6.png</t>
  </si>
  <si>
    <t>180.0 kg</t>
  </si>
  <si>
    <t>#082 장소에서 레벨업: 천관산</t>
  </si>
  <si>
    <t>맹독</t>
  </si>
  <si>
    <t>내룸벨트</t>
  </si>
  <si>
    <t>#463 내룸벨트</t>
  </si>
  <si>
    <t>463MS6.png</t>
  </si>
  <si>
    <t>https://archives.bulbagarden.net/media/upload/7/76/463MS6.png</t>
  </si>
  <si>
    <t>140.0 kg</t>
  </si>
  <si>
    <t>#108 레벨업 습득 구르기</t>
  </si>
  <si>
    <t>독압정</t>
  </si>
  <si>
    <t>거대코뿌리</t>
  </si>
  <si>
    <t>#464 거대코뿌리</t>
  </si>
  <si>
    <t>464MS6.png</t>
  </si>
  <si>
    <t>https://archives.bulbagarden.net/media/upload/7/79/464MS6.png</t>
  </si>
  <si>
    <t>282.8 kg</t>
  </si>
  <si>
    <t>#112 사용 프로텍터</t>
  </si>
  <si>
    <t>변신</t>
  </si>
  <si>
    <t>덩쿠림보</t>
  </si>
  <si>
    <t>#465 덩쿠림보</t>
  </si>
  <si>
    <t>465MS6.png</t>
  </si>
  <si>
    <t>https://archives.bulbagarden.net/media/upload/c/c1/465MS6.png</t>
  </si>
  <si>
    <t>128.6 kg</t>
  </si>
  <si>
    <t>#114 레벨업 습득 원시의힘</t>
  </si>
  <si>
    <t>트릭</t>
  </si>
  <si>
    <t>에레키블</t>
  </si>
  <si>
    <t>#466 에레키블</t>
  </si>
  <si>
    <t>466MS6.png</t>
  </si>
  <si>
    <t>https://archives.bulbagarden.net/media/upload/2/2a/466MS6.png</t>
  </si>
  <si>
    <t>전기 - 격투 (!)</t>
  </si>
  <si>
    <t>전기엔진</t>
  </si>
  <si>
    <t>138.6 kg</t>
  </si>
  <si>
    <t>#125 사용 에레키부스터</t>
  </si>
  <si>
    <t>트릭룸</t>
  </si>
  <si>
    <t>마그마번</t>
  </si>
  <si>
    <t>#467 마그마번</t>
  </si>
  <si>
    <t>467MS6.png</t>
  </si>
  <si>
    <t>https://archives.bulbagarden.net/media/upload/f/f2/467MS6.png</t>
  </si>
  <si>
    <t>68.0 kg</t>
  </si>
  <si>
    <t>#126 사용 마그마부스터</t>
  </si>
  <si>
    <t>물놀이</t>
  </si>
  <si>
    <t>토게키스</t>
  </si>
  <si>
    <t>#468 토게키스</t>
  </si>
  <si>
    <t>468MS6.png</t>
  </si>
  <si>
    <t>https://archives.bulbagarden.net/media/upload/b/b0/468MS6.png</t>
  </si>
  <si>
    <t>페어리 - 비행 (!)</t>
  </si>
  <si>
    <t>#176 사용 빛의돌</t>
  </si>
  <si>
    <t>날려버리기</t>
  </si>
  <si>
    <t>메가자리</t>
  </si>
  <si>
    <t>#469 메가자리</t>
  </si>
  <si>
    <t>469MS6.png</t>
  </si>
  <si>
    <t>https://archives.bulbagarden.net/media/upload/8/8c/469MS6.png</t>
  </si>
  <si>
    <t>51.5 kg</t>
  </si>
  <si>
    <t>#193 레벨업 습득 원시의힘</t>
  </si>
  <si>
    <t>도깨비불</t>
  </si>
  <si>
    <t>리피아</t>
  </si>
  <si>
    <t>#470 리피아</t>
  </si>
  <si>
    <t>470MS6.png</t>
  </si>
  <si>
    <t>https://archives.bulbagarden.net/media/upload/7/77/470MS6.png</t>
  </si>
  <si>
    <t>#133 사용 리프의돌</t>
  </si>
  <si>
    <t>희망사항</t>
  </si>
  <si>
    <t>글레이시아</t>
  </si>
  <si>
    <t>#471 글레이시아</t>
  </si>
  <si>
    <t>471MS6.png</t>
  </si>
  <si>
    <t>https://archives.bulbagarden.net/media/upload/3/30/471MS6.png</t>
  </si>
  <si>
    <t>25.9 kg</t>
  </si>
  <si>
    <t>#133 사용 얼음의돌</t>
  </si>
  <si>
    <t>껍질에숨기</t>
  </si>
  <si>
    <t>글라이온</t>
  </si>
  <si>
    <t>#472 글라이온</t>
  </si>
  <si>
    <t>472MS6.png</t>
  </si>
  <si>
    <t>https://archives.bulbagarden.net/media/upload/6/63/472MS6.png</t>
  </si>
  <si>
    <t>포이즌힐឵ (!)</t>
  </si>
  <si>
    <t>42.5 kg</t>
  </si>
  <si>
    <t>#207 밤 레벨업 소지 예리한이빨</t>
  </si>
  <si>
    <t>고민씨</t>
  </si>
  <si>
    <t>맘모꾸리</t>
  </si>
  <si>
    <t>#473 맘모꾸리</t>
  </si>
  <si>
    <t>473MS6.png</t>
  </si>
  <si>
    <t>https://archives.bulbagarden.net/media/upload/9/92/473MS6.png</t>
  </si>
  <si>
    <t>두꺼운지방឵ (!)</t>
  </si>
  <si>
    <t>291.0 kg</t>
  </si>
  <si>
    <t>#221 레벨업 습득 원시의힘</t>
  </si>
  <si>
    <t>하품</t>
  </si>
  <si>
    <t>폴리곤Z</t>
  </si>
  <si>
    <t>#474 폴리곤Z</t>
  </si>
  <si>
    <t>474MS6.png</t>
  </si>
  <si>
    <t>https://archives.bulbagarden.net/media/upload/2/28/474MS6.png</t>
  </si>
  <si>
    <t>#233 사용 괴상한패치</t>
  </si>
  <si>
    <t>엘레이드</t>
  </si>
  <si>
    <t>#475 엘레이드</t>
  </si>
  <si>
    <t>475MS6.png</t>
  </si>
  <si>
    <t>https://archives.bulbagarden.net/media/upload/a/a8/475MS6.png</t>
  </si>
  <si>
    <t>에스퍼 - 격투</t>
  </si>
  <si>
    <t>#281 수컷 사용 각성의돌</t>
  </si>
  <si>
    <t>대코파스</t>
  </si>
  <si>
    <t>#476 대코파스</t>
  </si>
  <si>
    <t>476MS6.png</t>
  </si>
  <si>
    <t>https://archives.bulbagarden.net/media/upload/1/17/476MS6.png</t>
  </si>
  <si>
    <t>340.0 kg</t>
  </si>
  <si>
    <t>#299 장소에서 레벨업: 천관산</t>
  </si>
  <si>
    <t>야느와르몽</t>
  </si>
  <si>
    <t>#477 야느와르몽</t>
  </si>
  <si>
    <t>477MS6.png</t>
  </si>
  <si>
    <t>https://archives.bulbagarden.net/media/upload/e/ef/477MS6.png</t>
  </si>
  <si>
    <t>철주먹឵ (!)</t>
  </si>
  <si>
    <t>106.6 kg</t>
  </si>
  <si>
    <t>#356 사용 영계의천</t>
  </si>
  <si>
    <t>눈여아</t>
  </si>
  <si>
    <t>#478 눈여아</t>
  </si>
  <si>
    <t>478MS6.png</t>
  </si>
  <si>
    <t>https://archives.bulbagarden.net/media/upload/e/ec/478MS6.png</t>
  </si>
  <si>
    <t>얼음 - 고스트</t>
  </si>
  <si>
    <t>부유  (!)</t>
  </si>
  <si>
    <t>26.6 kg</t>
  </si>
  <si>
    <t>#361 암컷 사용 각성의돌</t>
  </si>
  <si>
    <t>로토무</t>
  </si>
  <si>
    <t>#479 로토무</t>
  </si>
  <si>
    <t>479MS6.png</t>
  </si>
  <si>
    <t>https://archives.bulbagarden.net/media/upload/6/62/479MS6.png</t>
  </si>
  <si>
    <t>전기 - 고스트</t>
  </si>
  <si>
    <t>0.3 kg</t>
  </si>
  <si>
    <t>479.1</t>
  </si>
  <si>
    <t>로토무 (히트로토무)</t>
  </si>
  <si>
    <t>#479,1 로토무 (히트로토무)</t>
  </si>
  <si>
    <t>479OMS6.png</t>
  </si>
  <si>
    <t>https://archives.bulbagarden.net/media/upload/7/75/479OMS6.png</t>
  </si>
  <si>
    <t>#479 로토무 (히트로토무)</t>
  </si>
  <si>
    <t>전기 - 불꽃 (!)</t>
  </si>
  <si>
    <t>479.2</t>
  </si>
  <si>
    <t>로토무 (워시로토무)</t>
  </si>
  <si>
    <t>#479,2 로토무 (워시로토무)</t>
  </si>
  <si>
    <t>479WMS6.png</t>
  </si>
  <si>
    <t>https://archives.bulbagarden.net/media/upload/b/b6/479WMS6.png</t>
  </si>
  <si>
    <t>#479 로토무 (워시로토무)</t>
  </si>
  <si>
    <t>전기 - 물 (!)</t>
  </si>
  <si>
    <t>479.3</t>
  </si>
  <si>
    <t>로토무 (프로스트로토무)</t>
  </si>
  <si>
    <t>#479,3 로토무 (프로스트로토무)</t>
  </si>
  <si>
    <t>479RMS6.png</t>
  </si>
  <si>
    <t>https://archives.bulbagarden.net/media/upload/7/7a/479RMS6.png</t>
  </si>
  <si>
    <t>#479 로토무 (프로스트로토무)</t>
  </si>
  <si>
    <t>전기 - 얼음 (!)</t>
  </si>
  <si>
    <t>479.4</t>
  </si>
  <si>
    <t>로토무 (스핀로토무)</t>
  </si>
  <si>
    <t>#479,4 로토무 (스핀로토무)</t>
  </si>
  <si>
    <t>479FMS6.png</t>
  </si>
  <si>
    <t>https://archives.bulbagarden.net/media/upload/2/2c/479FMS6.png</t>
  </si>
  <si>
    <t>#479 로토무 (스핀로토무)</t>
  </si>
  <si>
    <t>전기 - 비행 (!)</t>
  </si>
  <si>
    <t>전기엔진឵ (!)</t>
  </si>
  <si>
    <t>479.5</t>
  </si>
  <si>
    <t>로토무 (풀베기)</t>
  </si>
  <si>
    <t>#479,5 로토무 (풀베기)</t>
  </si>
  <si>
    <t>479LMS6.png</t>
  </si>
  <si>
    <t>https://archives.bulbagarden.net/media/upload/e/e2/479LMS6.png</t>
  </si>
  <si>
    <t>#479 로토무 (풀베기)</t>
  </si>
  <si>
    <t>전기 - 풀 (!)</t>
  </si>
  <si>
    <t>유크시</t>
  </si>
  <si>
    <t>#480 유크시</t>
  </si>
  <si>
    <t>480MS6.png</t>
  </si>
  <si>
    <t>https://archives.bulbagarden.net/media/upload/5/5c/480MS6.png</t>
  </si>
  <si>
    <t>엠라이트</t>
  </si>
  <si>
    <t>#481 엠라이트</t>
  </si>
  <si>
    <t>481MS6.png</t>
  </si>
  <si>
    <t>https://archives.bulbagarden.net/media/upload/4/45/481MS6.png</t>
  </si>
  <si>
    <t>아그놈</t>
  </si>
  <si>
    <t>#482 아그놈</t>
  </si>
  <si>
    <t>482MS6.png</t>
  </si>
  <si>
    <t>https://archives.bulbagarden.net/media/upload/2/22/482MS6.png</t>
  </si>
  <si>
    <t>디아루가</t>
  </si>
  <si>
    <t>#483 디아루가</t>
  </si>
  <si>
    <t>483MS6.png</t>
  </si>
  <si>
    <t>https://archives.bulbagarden.net/media/upload/3/37/483MS6.png</t>
  </si>
  <si>
    <t>강철 - 드래곤</t>
  </si>
  <si>
    <t>683.0 kg</t>
  </si>
  <si>
    <t>펄기아</t>
  </si>
  <si>
    <t>#484 펄기아</t>
  </si>
  <si>
    <t>484MS6.png</t>
  </si>
  <si>
    <t>https://archives.bulbagarden.net/media/upload/2/27/484MS6.png</t>
  </si>
  <si>
    <t>336.0 kg</t>
  </si>
  <si>
    <t>히드런</t>
  </si>
  <si>
    <t>#485 히드런</t>
  </si>
  <si>
    <t>485MS6.png</t>
  </si>
  <si>
    <t>https://archives.bulbagarden.net/media/upload/9/9e/485MS6.png</t>
  </si>
  <si>
    <t>불꽃 - 강철</t>
  </si>
  <si>
    <t>430.0 kg</t>
  </si>
  <si>
    <t>레지기가스</t>
  </si>
  <si>
    <t>#486 레지기가스</t>
  </si>
  <si>
    <t>486MS6.png</t>
  </si>
  <si>
    <t>https://archives.bulbagarden.net/media/upload/3/3d/486MS6.png</t>
  </si>
  <si>
    <t>슬로스타트</t>
  </si>
  <si>
    <t>420.0 kg</t>
  </si>
  <si>
    <t>기라티나</t>
  </si>
  <si>
    <t>#487 기라티나</t>
  </si>
  <si>
    <t>487MS6.png</t>
  </si>
  <si>
    <t>https://archives.bulbagarden.net/media/upload/1/18/487MS6.png</t>
  </si>
  <si>
    <t>고스트 - 드래곤</t>
  </si>
  <si>
    <t>750.0 kg</t>
  </si>
  <si>
    <t>백금옥 - 100%</t>
  </si>
  <si>
    <t>487.1</t>
  </si>
  <si>
    <t>기라티나 (오리진폼)</t>
  </si>
  <si>
    <t>#487,1 기라티나 (오리진폼)</t>
  </si>
  <si>
    <t>487OMS6.png</t>
  </si>
  <si>
    <t>https://archives.bulbagarden.net/media/upload/a/ab/487OMS6.png</t>
  </si>
  <si>
    <t>#487 기라티나 (오리진폼)</t>
  </si>
  <si>
    <t>650.0 kg</t>
  </si>
  <si>
    <t>크레세리아</t>
  </si>
  <si>
    <t>#488 크레세리아</t>
  </si>
  <si>
    <t>488MS6.png</t>
  </si>
  <si>
    <t>https://archives.bulbagarden.net/media/upload/c/c3/488MS6.png</t>
  </si>
  <si>
    <t>85.6 kg</t>
  </si>
  <si>
    <t>피오네</t>
  </si>
  <si>
    <t>#489 피오네</t>
  </si>
  <si>
    <t>489MS6.png</t>
  </si>
  <si>
    <t>https://archives.bulbagarden.net/media/upload/6/6e/489MS6.png</t>
  </si>
  <si>
    <t>3.1 kg</t>
  </si>
  <si>
    <t>마나피</t>
  </si>
  <si>
    <t>#490 마나피</t>
  </si>
  <si>
    <t>490MS6.png</t>
  </si>
  <si>
    <t>https://archives.bulbagarden.net/media/upload/c/c2/490MS6.png</t>
  </si>
  <si>
    <t>1.4 kg</t>
  </si>
  <si>
    <t>다크라이</t>
  </si>
  <si>
    <t>#491 다크라이</t>
  </si>
  <si>
    <t>491MS6.png</t>
  </si>
  <si>
    <t>https://archives.bulbagarden.net/media/upload/d/d4/491MS6.png</t>
  </si>
  <si>
    <t>나이트메어</t>
  </si>
  <si>
    <t>1 스피드/2 특공</t>
  </si>
  <si>
    <t>쉐이미</t>
  </si>
  <si>
    <t>#492 쉐이미</t>
  </si>
  <si>
    <t>492MS6.png</t>
  </si>
  <si>
    <t>https://archives.bulbagarden.net/media/upload/2/2b/492MS6.png</t>
  </si>
  <si>
    <t>492.1</t>
  </si>
  <si>
    <t>쉐이미 (스카이폼)</t>
  </si>
  <si>
    <t>#492,1 쉐이미 (스카이폼)</t>
  </si>
  <si>
    <t>492SMS6.png</t>
  </si>
  <si>
    <t>https://archives.bulbagarden.net/media/upload/e/e4/492SMS6.png</t>
  </si>
  <si>
    <t>#492 쉐이미 (스카이폼)</t>
  </si>
  <si>
    <t>아르세우스</t>
  </si>
  <si>
    <t>#493 아르세우스</t>
  </si>
  <si>
    <t>493MS6.png</t>
  </si>
  <si>
    <t>https://archives.bulbagarden.net/media/upload/0/04/493MS6.png</t>
  </si>
  <si>
    <t>멀티타입</t>
  </si>
  <si>
    <t>320.0 kg</t>
  </si>
  <si>
    <t>포켓몬</t>
  </si>
  <si>
    <t>기본 능력치</t>
  </si>
  <si>
    <t>타입</t>
  </si>
  <si>
    <t>특성</t>
  </si>
  <si>
    <t>지닌 도구</t>
  </si>
  <si>
    <t>노력치 보상</t>
  </si>
  <si>
    <t xml:space="preserve">경험치
성장</t>
  </si>
  <si>
    <t xml:space="preserve">획득
경험치</t>
  </si>
  <si>
    <t>포획률</t>
  </si>
  <si>
    <t xml:space="preserve">기본
친밀도</t>
  </si>
  <si>
    <t xml:space="preserve">안다리걸기
풀묶기</t>
  </si>
  <si>
    <t>성비</t>
  </si>
  <si>
    <t>알 그룹</t>
  </si>
  <si>
    <t>진화 방법</t>
  </si>
  <si>
    <t>색상</t>
  </si>
  <si>
    <t>원본 버전</t>
  </si>
  <si>
    <t>클래식 버전</t>
  </si>
  <si>
    <t>컴플리트 버전</t>
  </si>
  <si>
    <t>지닌 도구 1</t>
  </si>
  <si>
    <t>지닌 도구 2</t>
  </si>
  <si>
    <t>수컷</t>
  </si>
  <si>
    <t>암컷</t>
  </si>
  <si>
    <t xml:space="preserve">알 그룹
I</t>
  </si>
  <si>
    <t xml:space="preserve">알 그룹
II</t>
  </si>
  <si>
    <t>HP</t>
  </si>
  <si>
    <t>공격</t>
  </si>
  <si>
    <t>특공</t>
  </si>
  <si>
    <t>특방</t>
  </si>
  <si>
    <t>스피드</t>
  </si>
  <si>
    <t>합계</t>
  </si>
  <si>
    <t>타입 I</t>
  </si>
  <si>
    <t>타입 II</t>
  </si>
  <si>
    <t>특성 I</t>
  </si>
  <si>
    <t>특성 II</t>
  </si>
  <si>
    <t>1세대</t>
  </si>
  <si>
    <t>초록</t>
  </si>
  <si>
    <t/>
  </si>
  <si>
    <t>빨강</t>
  </si>
  <si>
    <t>파랑</t>
  </si>
  <si>
    <t>흰색</t>
  </si>
  <si>
    <t>갈색</t>
  </si>
  <si>
    <t>노랑</t>
  </si>
  <si>
    <t>보라</t>
  </si>
  <si>
    <t>분홍</t>
  </si>
  <si>
    <t>#064 레벨 36 (!)</t>
  </si>
  <si>
    <t>회색</t>
  </si>
  <si>
    <t>#067 레벨 36 (!)</t>
  </si>
  <si>
    <t>#075 레벨 36 (!)</t>
  </si>
  <si>
    <t>#077 레벨 35 (!)</t>
  </si>
  <si>
    <t>#079 레벨 33 (!)</t>
  </si>
  <si>
    <t>(2Atk COM) ឵</t>
  </si>
  <si>
    <t>#088 레벨 35 (!)</t>
  </si>
  <si>
    <t>#093 레벨 36 (!)</t>
  </si>
  <si>
    <t>#111 레벨 36 (!)</t>
  </si>
  <si>
    <t>#238 레벨 30</t>
  </si>
  <si>
    <t>#138 레벨 30 (!)</t>
  </si>
  <si>
    <t>#140 레벨 30 (!)</t>
  </si>
  <si>
    <t>검정</t>
  </si>
  <si>
    <t>2세대</t>
  </si>
  <si>
    <t>리프가드 (!)</t>
  </si>
  <si>
    <t>타오르는불꽃 (!)</t>
  </si>
  <si>
    <t>악 ឵</t>
  </si>
  <si>
    <t>180 ឵</t>
  </si>
  <si>
    <t>#061 사용 왕의징표석 (!)</t>
  </si>
  <si>
    <t>#133 사용 태양의돌 (!)</t>
  </si>
  <si>
    <t>#133 사용 달의돌 (!)</t>
  </si>
  <si>
    <t>#079 사용 왕의징표석 (!)</t>
  </si>
  <si>
    <t>255 ឵</t>
  </si>
  <si>
    <t>#095 사용 금속코트 (!)</t>
  </si>
  <si>
    <t>#123 사용 금속코트 (!)</t>
  </si>
  <si>
    <t>#218 레벨 32 (!)</t>
  </si>
  <si>
    <t>#117 사용 용의비늘 (!)</t>
  </si>
  <si>
    <t>#137 사용 업그레이드 - 진화 가능: #474 (!)</t>
  </si>
  <si>
    <t>3세대</t>
  </si>
  <si>
    <t>물 ឵</t>
  </si>
  <si>
    <t>#304 레벨 24 - 진화 가능: #306 (!)</t>
  </si>
  <si>
    <t>#305 레벨 40 (!)</t>
  </si>
  <si>
    <t>#307 레벨 33 (!)</t>
  </si>
  <si>
    <t>전기 ឵</t>
  </si>
  <si>
    <t>#406 친밀도가 높을 때 레벨업 - 진화 가능: #407 (!)</t>
  </si>
  <si>
    <t>#320 레벨 36 (!)</t>
  </si>
  <si>
    <t>벌레 ឵</t>
  </si>
  <si>
    <t>땅 ឵</t>
  </si>
  <si>
    <t>2 특공 ឵</t>
  </si>
  <si>
    <t>#328 레벨 30 - 진화 가능: #330 (!)</t>
  </si>
  <si>
    <t>3 특공 ឵</t>
  </si>
  <si>
    <t>COM ឵</t>
  </si>
  <si>
    <t>#343 레벨 32 (!)</t>
  </si>
  <si>
    <t>#345 레벨 30 (!)</t>
  </si>
  <si>
    <t>#347 레벨 30 (!)</t>
  </si>
  <si>
    <t>#349 사용 고운비늘 (!)</t>
  </si>
  <si>
    <t>#353 레벨 32 (!)</t>
  </si>
  <si>
    <t>#355 레벨 32 - 진화 가능: #477 (!)</t>
  </si>
  <si>
    <t>#433 친밀도가 높을 때 레벨업 (!)</t>
  </si>
  <si>
    <t>#361 레벨 32 (!)</t>
  </si>
  <si>
    <t>#363 레벨 24 - 진화 가능: #365 (!)</t>
  </si>
  <si>
    <t>#364 레벨 40 (!)</t>
  </si>
  <si>
    <t>#366 사용 심해의이빨 (!)</t>
  </si>
  <si>
    <t>#366 사용 심해의비늘 (!)</t>
  </si>
  <si>
    <t>45 ឵</t>
  </si>
  <si>
    <t>4세대</t>
  </si>
  <si>
    <t>위험예지 (!)</t>
  </si>
  <si>
    <t>#431 레벨 32 (!)</t>
  </si>
  <si>
    <t>#434 레벨 32 (!)</t>
  </si>
  <si>
    <t>#447 친밀도가 높을 때 레벨업 (!)</t>
  </si>
  <si>
    <t>#451 레벨 30 (!)</t>
  </si>
  <si>
    <t>#453 레벨 33 (!)</t>
  </si>
  <si>
    <t>#112 사용 프로텍터 (!)</t>
  </si>
  <si>
    <t>#125 사용 에레키부스터 (!)</t>
  </si>
  <si>
    <t>#126 사용 마그마부스터 (!)</t>
  </si>
  <si>
    <t>#133 사용 리프의돌 (!)</t>
  </si>
  <si>
    <t>#133 사용 얼음의돌 (!)</t>
  </si>
  <si>
    <t>포이즌힐 (!)</t>
  </si>
  <si>
    <t>#233 사용 괴상한패치 (!)</t>
  </si>
  <si>
    <t>#356 사용 영계의천 (!)</t>
  </si>
  <si>
    <t>불꽃 ឵</t>
  </si>
  <si>
    <t>얼음 ឵</t>
  </si>
  <si>
    <t>비행 ឵</t>
  </si>
  <si>
    <t xml:space="preserve"> </t>
  </si>
  <si>
    <t xml:space="preserve">출현 포켓몬 </t>
  </si>
  <si>
    <t>201번도로</t>
  </si>
  <si>
    <t>진실호수</t>
  </si>
  <si>
    <t>202번도로</t>
  </si>
  <si>
    <t>축복시티</t>
  </si>
  <si>
    <t>험한샛길</t>
  </si>
  <si>
    <t>무쇠게이트 (1F)</t>
  </si>
  <si>
    <t>무쇠시티</t>
  </si>
  <si>
    <t>204번도로 (북쪽)</t>
  </si>
  <si>
    <t>골짜기발전소</t>
  </si>
  <si>
    <t>205번도로 (남쪽)</t>
  </si>
  <si>
    <t>영원의 숲 (내부)</t>
  </si>
  <si>
    <t>205번도로 (북쪽)</t>
  </si>
  <si>
    <t>영원시티</t>
  </si>
  <si>
    <t>211번도로 (동쪽)</t>
  </si>
  <si>
    <t>19-19</t>
  </si>
  <si>
    <t>206번도로</t>
  </si>
  <si>
    <t xml:space="preserve">천관산                            (207번도로 입구)</t>
  </si>
  <si>
    <t>포켓몬저택 ~ 자랑의 뒷마당</t>
  </si>
  <si>
    <t>신수유적</t>
  </si>
  <si>
    <t>215번도로</t>
  </si>
  <si>
    <t>214번도로</t>
  </si>
  <si>
    <t>213번도로</t>
  </si>
  <si>
    <t>들판시티</t>
  </si>
  <si>
    <t>낚싯대 (O-10, G-25, S-50)</t>
  </si>
  <si>
    <t>210번도로 (북쪽)</t>
  </si>
  <si>
    <t>219번수로</t>
  </si>
  <si>
    <t>221번도로</t>
  </si>
  <si>
    <t>골풀무제철소</t>
  </si>
  <si>
    <t>218번도로</t>
  </si>
  <si>
    <t>운하시티</t>
  </si>
  <si>
    <t>강철섬                          (내부 ~ B2F, B3F)</t>
  </si>
  <si>
    <t>선단신전 (1F,B1F,B2F,B3F)</t>
  </si>
  <si>
    <t>천관산 (2F, 3F)</t>
  </si>
  <si>
    <t>50-50</t>
  </si>
  <si>
    <t>깨어진세계</t>
  </si>
  <si>
    <t>예지호수</t>
  </si>
  <si>
    <t>챔피언로드 (1Fa)</t>
  </si>
  <si>
    <t>59-59</t>
  </si>
  <si>
    <t>꽃의 낙원</t>
  </si>
  <si>
    <t>엔딩 후</t>
  </si>
  <si>
    <t>225번도로</t>
  </si>
  <si>
    <t>리조트에리어</t>
  </si>
  <si>
    <t>228번도로</t>
  </si>
  <si>
    <t>229번도로</t>
  </si>
  <si>
    <t>하드마운틴 (입구)</t>
  </si>
  <si>
    <t>마박사에게 선물</t>
  </si>
  <si>
    <t>풀 (4-5)</t>
  </si>
  <si>
    <t>M</t>
  </si>
  <si>
    <t>D</t>
  </si>
  <si>
    <t>풀 (5-6)</t>
  </si>
  <si>
    <t>선물 획득처: 포켓몬 센터의 인터뷰어</t>
  </si>
  <si>
    <t>동굴 (6-8)</t>
  </si>
  <si>
    <t>동굴 (7-9)</t>
  </si>
  <si>
    <t>풀 (11-12)</t>
  </si>
  <si>
    <t>풀 (11-13)</t>
  </si>
  <si>
    <t>풀 (14-16)</t>
  </si>
  <si>
    <t>풀 (15-17)</t>
  </si>
  <si>
    <t>파도타기 (20-40)</t>
  </si>
  <si>
    <t>풀 (18-19)</t>
  </si>
  <si>
    <t>20-20</t>
  </si>
  <si>
    <t>풀 (20-22)</t>
  </si>
  <si>
    <t>동굴 모든 층 (20-30)</t>
  </si>
  <si>
    <t>풀 (27-30)</t>
  </si>
  <si>
    <t>풀 (28-32)</t>
  </si>
  <si>
    <t>풀 (32-34)</t>
  </si>
  <si>
    <t>풀 (34-38)</t>
  </si>
  <si>
    <t>파도타기 (30-45)</t>
  </si>
  <si>
    <t>풀 (38-40)</t>
  </si>
  <si>
    <t>풀 (36-40)</t>
  </si>
  <si>
    <t>풀 (38-39)</t>
  </si>
  <si>
    <t>동굴 (49-51)</t>
  </si>
  <si>
    <t>고정 심볼 조우</t>
  </si>
  <si>
    <t>풀 (49-51)</t>
  </si>
  <si>
    <t>동굴 (59)</t>
  </si>
  <si>
    <t>고정 심볼 조우 (획득 후: 오박사의편지)</t>
  </si>
  <si>
    <t>풀 (65-67)</t>
  </si>
  <si>
    <t>파도타기 및 낚싯대 (1-100)</t>
  </si>
  <si>
    <t>11-13</t>
  </si>
  <si>
    <t>14-16</t>
  </si>
  <si>
    <t>15-15</t>
  </si>
  <si>
    <t>20-30</t>
  </si>
  <si>
    <t>18-19</t>
  </si>
  <si>
    <t>21-21</t>
  </si>
  <si>
    <t>동굴 (22-23)</t>
  </si>
  <si>
    <t>풀 (24-26)</t>
  </si>
  <si>
    <t>27-28</t>
  </si>
  <si>
    <t>30-32</t>
  </si>
  <si>
    <t>32-34</t>
  </si>
  <si>
    <t>34-34</t>
  </si>
  <si>
    <t>30-40</t>
  </si>
  <si>
    <t>39-39</t>
  </si>
  <si>
    <t>36-37</t>
  </si>
  <si>
    <t>동굴 (43-45)</t>
  </si>
  <si>
    <t>땅 (47-50)</t>
  </si>
  <si>
    <t>51-51</t>
  </si>
  <si>
    <t>포획에 실패했을 때의 세부 정보:</t>
  </si>
  <si>
    <t>?</t>
  </si>
  <si>
    <t>49-50</t>
  </si>
  <si>
    <t>조우 방법 상세:</t>
  </si>
  <si>
    <t>66-66</t>
  </si>
  <si>
    <t>1-100</t>
  </si>
  <si>
    <t>동굴 (67-69)</t>
  </si>
  <si>
    <t>일반 변경점</t>
  </si>
  <si>
    <t>16-16</t>
  </si>
  <si>
    <t>20-40</t>
  </si>
  <si>
    <t>18-18</t>
  </si>
  <si>
    <t>22-22</t>
  </si>
  <si>
    <t>24-24</t>
  </si>
  <si>
    <t>고정 심볼 조우 (이후 들판시티)</t>
  </si>
  <si>
    <t>27-27</t>
  </si>
  <si>
    <t>28-28</t>
  </si>
  <si>
    <t>33-33</t>
  </si>
  <si>
    <t>37-37</t>
  </si>
  <si>
    <t>40-40</t>
  </si>
  <si>
    <t>38-39</t>
  </si>
  <si>
    <t>43-44</t>
  </si>
  <si>
    <t>48-49</t>
  </si>
  <si>
    <t>49-51</t>
  </si>
  <si>
    <t>귀혼동굴</t>
  </si>
  <si>
    <t>65-65</t>
  </si>
  <si>
    <t>67-67</t>
  </si>
  <si>
    <t>15-16</t>
  </si>
  <si>
    <t>20-21</t>
  </si>
  <si>
    <t>달콤한꿀 나무 (23)</t>
  </si>
  <si>
    <t>26-26</t>
  </si>
  <si>
    <t>28-30</t>
  </si>
  <si>
    <t>29-30</t>
  </si>
  <si>
    <t>36-36</t>
  </si>
  <si>
    <t>35-45</t>
  </si>
  <si>
    <t>37-39</t>
  </si>
  <si>
    <t>44-44</t>
  </si>
  <si>
    <t>48-48</t>
  </si>
  <si>
    <t>49-49</t>
  </si>
  <si>
    <t>51-52</t>
  </si>
  <si>
    <t>동굴 (65-66)</t>
  </si>
  <si>
    <t>65-66</t>
  </si>
  <si>
    <t>226번수로</t>
  </si>
  <si>
    <t>65-67</t>
  </si>
  <si>
    <t>69-69</t>
  </si>
  <si>
    <t>- 각 장소의 야생 포켓몬 구성이 변경되었습니다.</t>
  </si>
  <si>
    <t>성호에게 선물</t>
  </si>
  <si>
    <t>30-45</t>
  </si>
  <si>
    <t>28-29</t>
  </si>
  <si>
    <t>38-38</t>
  </si>
  <si>
    <t>39-40</t>
  </si>
  <si>
    <t>47-48</t>
  </si>
  <si>
    <t>송별의 샘</t>
  </si>
  <si>
    <t>달콤한꿀 나무 (54)</t>
  </si>
  <si>
    <t>포켓몬리그</t>
  </si>
  <si>
    <t>68-68</t>
  </si>
  <si>
    <t>204번도로 (남쪽)</t>
  </si>
  <si>
    <t>무쇠게이트 (B1F)</t>
  </si>
  <si>
    <t>무쇠탄갱 옆 집에 있는 성호에게 말을 걸기</t>
  </si>
  <si>
    <t>로스트타워 ~ 1F, 2F</t>
  </si>
  <si>
    <t>29-29</t>
  </si>
  <si>
    <t>32-32</t>
  </si>
  <si>
    <t>38-40</t>
  </si>
  <si>
    <t>풀 (53-54)</t>
  </si>
  <si>
    <t>파도타기 (50-60)</t>
  </si>
  <si>
    <t>풀 (6-7)</t>
  </si>
  <si>
    <t>동굴 (8-10)</t>
  </si>
  <si>
    <t>15-17</t>
  </si>
  <si>
    <t>땅 (26-29)</t>
  </si>
  <si>
    <t>210번도로 (남쪽)</t>
  </si>
  <si>
    <t>파도타기 (35-55)</t>
  </si>
  <si>
    <t>53-53</t>
  </si>
  <si>
    <t>50-60</t>
  </si>
  <si>
    <t>66-67</t>
  </si>
  <si>
    <t>- 장소가 서로 맞닿아 있으면 같은 구역으로 묶었습니다. 예: 209번도로와 로스트타워</t>
  </si>
  <si>
    <t>스쿨걸과 교환 (상세:</t>
  </si>
  <si>
    <t>21-22</t>
  </si>
  <si>
    <t>22-23</t>
  </si>
  <si>
    <t>풀 (28-30)</t>
  </si>
  <si>
    <t>30-30</t>
  </si>
  <si>
    <t>212번도로 (남쪽)</t>
  </si>
  <si>
    <t>37-38</t>
  </si>
  <si>
    <t>50-51</t>
  </si>
  <si>
    <t>54-54</t>
  </si>
  <si>
    <t>68-69</t>
  </si>
  <si>
    <t>주는 포켓몬</t>
  </si>
  <si>
    <t>12-13</t>
  </si>
  <si>
    <t>13-13</t>
  </si>
  <si>
    <t>28-32</t>
  </si>
  <si>
    <t>풀 (33-36)</t>
  </si>
  <si>
    <t>45-45</t>
  </si>
  <si>
    <t>45-55</t>
  </si>
  <si>
    <t>53-54</t>
  </si>
  <si>
    <t>파도타기 (45-50)</t>
  </si>
  <si>
    <t>파도타기 (65-67)</t>
  </si>
  <si>
    <t>받는 포켓몬</t>
  </si>
  <si>
    <t>16-17</t>
  </si>
  <si>
    <t>달콤한꿀 나무 (18)</t>
  </si>
  <si>
    <t>고정 심볼 조우 (이후 엔딩 크레딧)</t>
  </si>
  <si>
    <t>20-22</t>
  </si>
  <si>
    <t>고정 심볼 조우 (이후 깨어진세계)</t>
  </si>
  <si>
    <t>25-26</t>
  </si>
  <si>
    <t>파도타기 (20-45)</t>
  </si>
  <si>
    <t>45-50</t>
  </si>
  <si>
    <t>챔피언로드 (2F)</t>
  </si>
  <si>
    <t>닌자보이와 교환 (상세:</t>
  </si>
  <si>
    <t>달콤한꿀 나무 (21)</t>
  </si>
  <si>
    <t>달콤한꿀 나무 (28)</t>
  </si>
  <si>
    <t>20-35</t>
  </si>
  <si>
    <t>선단신전 (B4F, B5F)</t>
  </si>
  <si>
    <t xml:space="preserve">천관산                     (눈 덮인 구역)</t>
  </si>
  <si>
    <t>물가시티</t>
  </si>
  <si>
    <t>하드마운틴 (내부)</t>
  </si>
  <si>
    <t xml:space="preserve">- 각 장소에 표기된 레벨은 해당 장소에서 조우할 수 있는 최저·최고 레벨입니다.
- 낚싯대 조우 레벨은 고정입니다. 낡은낚싯대는 레벨 10, 좋은낚싯대는 레벨 25, 대단한낚싯대는 레벨 50입니다.
- 많은 포켓몬은 특정 레벨에서만 등장합니다. 범위가 있는 포켓몬은 일부뿐입니다.</t>
  </si>
  <si>
    <t>무쇠박물관</t>
  </si>
  <si>
    <t>24-26</t>
  </si>
  <si>
    <t>33-34</t>
  </si>
  <si>
    <t>트레이너 스쿨</t>
  </si>
  <si>
    <t>영원시티에서 받은 화석 부활</t>
  </si>
  <si>
    <t>고정 심볼 조우 (이후 봉신마을)</t>
  </si>
  <si>
    <t xml:space="preserve">천관산                       (216번도로 입구)</t>
  </si>
  <si>
    <t>한자랑에게 받을 수 있는 알</t>
  </si>
  <si>
    <t>이야기를 들려주는 할머니에게서 선물</t>
  </si>
  <si>
    <t>풀 (50-52)</t>
  </si>
  <si>
    <t>고정 심볼 조우 (아직 잡지 않았다면)</t>
  </si>
  <si>
    <t>깨어진세계 이후에만 여기서 낚시 가능</t>
  </si>
  <si>
    <t>카우걸에게 받은 알</t>
  </si>
  <si>
    <t>주피터를 이긴 뒤 난천에게서 선물</t>
  </si>
  <si>
    <t>212번도로 (북쪽)</t>
  </si>
  <si>
    <t>강철섬 (외부)</t>
  </si>
  <si>
    <t>48-50</t>
  </si>
  <si>
    <t>고정 심볼 조우 (봉신마을 이후)</t>
  </si>
  <si>
    <t>알은 다음 포켓몬 중 하나로 부화합니다.</t>
  </si>
  <si>
    <t>획득 방법 상세:</t>
  </si>
  <si>
    <t>동굴 (18-19)</t>
  </si>
  <si>
    <t>대습초원</t>
  </si>
  <si>
    <t>220번수로</t>
  </si>
  <si>
    <t>217번도로</t>
  </si>
  <si>
    <t>52-52</t>
  </si>
  <si>
    <t>파도타기 (45-55)</t>
  </si>
  <si>
    <t>꽃향기마을</t>
  </si>
  <si>
    <t>영원의 숲 (외부)</t>
  </si>
  <si>
    <t>209번도로</t>
  </si>
  <si>
    <t>로스트타워 ~ 3F, 4F</t>
  </si>
  <si>
    <t>풀 (33-36) ~ 장소 1/2</t>
  </si>
  <si>
    <t>풀 (44-48)</t>
  </si>
  <si>
    <t>203번도로</t>
  </si>
  <si>
    <t>땅 (26-30)</t>
  </si>
  <si>
    <t>34-36</t>
  </si>
  <si>
    <t>46-48</t>
  </si>
  <si>
    <t>천관산 (5F, 6F, 7F)</t>
  </si>
  <si>
    <t>만월섬</t>
  </si>
  <si>
    <t>풀 (7-8)</t>
  </si>
  <si>
    <t>달콤한꿀 나무 (15)</t>
  </si>
  <si>
    <t>영원시티 ~ 갤럭시단 빌딩</t>
  </si>
  <si>
    <t>25-25</t>
  </si>
  <si>
    <t>장막시티</t>
  </si>
  <si>
    <t>달콤한꿀 나무 (30)</t>
  </si>
  <si>
    <t>동굴 (51-53)</t>
  </si>
  <si>
    <t>224번도로</t>
  </si>
  <si>
    <t>230번수로</t>
  </si>
  <si>
    <t>떡잎마을</t>
  </si>
  <si>
    <t>달콤한꿀 나무 (16)</t>
  </si>
  <si>
    <t>미혹의 동굴 (양쪽)</t>
  </si>
  <si>
    <t>35-36</t>
  </si>
  <si>
    <t>풀 (59)</t>
  </si>
  <si>
    <t>엄마에게서 선물</t>
  </si>
  <si>
    <t>고정 심볼 조우 (엔딩 크레딧 이후)</t>
  </si>
  <si>
    <t>주피터를 이긴 뒤 선물</t>
  </si>
  <si>
    <t>천관산 (211번도로 입구 및 터널)</t>
  </si>
  <si>
    <t>동굴 (20-22)</t>
  </si>
  <si>
    <t>달콤한꿀 나무 (29)</t>
  </si>
  <si>
    <t>33-35</t>
  </si>
  <si>
    <t>달콤한꿀 나무 (40)</t>
  </si>
  <si>
    <t>47-47</t>
  </si>
  <si>
    <t>222번도로</t>
  </si>
  <si>
    <t>챔피언로드 (B1F)</t>
  </si>
  <si>
    <t>227번도로 (하드마운틴 ~ 외부)</t>
  </si>
  <si>
    <t xml:space="preserve">- 달콤한꿀 나무는 이제 달콤한꿀을 바르면 즉시 조우가 발생합니다.
- 일반 확률 패치를 선택하지 않았다면 색이 다른 포켓몬의 등장 확률은 1/512입니다.
- 일부 포켓몬은 포켓트레 사용 시에만 등장합니다. 이 포켓몬들은 "포켓트레"로 표기되어 있습니다. 노란 반짝임이 나는 풀숲에 들어갈 때 등장할 수 있습니다. 단, 색이 다른 포켓몬의 반짝임과는 별개입니다.</t>
  </si>
  <si>
    <t>아가씨와 교환 (상세:</t>
  </si>
  <si>
    <t>숲의 양옥집</t>
  </si>
  <si>
    <t>208번도로</t>
  </si>
  <si>
    <t>입지호수</t>
  </si>
  <si>
    <t>고정 심볼 조우 (이후 크레세리아)</t>
  </si>
  <si>
    <t>227번도로</t>
  </si>
  <si>
    <t>잔모래마을</t>
  </si>
  <si>
    <t>무쇠탄갱 (1F)</t>
  </si>
  <si>
    <t>고정 심볼 조우 (그림방)</t>
  </si>
  <si>
    <t>동굴 (16-18)</t>
  </si>
  <si>
    <t>풀 (23-24)</t>
  </si>
  <si>
    <t>24-25</t>
  </si>
  <si>
    <t>달콤한꿀 나무 (33)</t>
  </si>
  <si>
    <t>풀 (33-36) ~ 장소 3/4</t>
  </si>
  <si>
    <t>달콤한꿀 나무 (37)</t>
  </si>
  <si>
    <t>달콤한꿀 나무 (39)</t>
  </si>
  <si>
    <t>천관산 (정상)</t>
  </si>
  <si>
    <t>풀 (66-68)</t>
  </si>
  <si>
    <t>마박사의 가방 안</t>
  </si>
  <si>
    <t>동굴 (9-10)</t>
  </si>
  <si>
    <t>달콤한꿀 나무 (12)</t>
  </si>
  <si>
    <t>211번도로 (서쪽)</t>
  </si>
  <si>
    <t>17-17</t>
  </si>
  <si>
    <t>마니악터널</t>
  </si>
  <si>
    <t>풀 (51-53)</t>
  </si>
  <si>
    <t>등산가와 교환 (상세:</t>
  </si>
  <si>
    <t>선택하지 않은 스타팅 포켓몬 2마리 획득</t>
  </si>
  <si>
    <t>207번도로</t>
  </si>
  <si>
    <t>풀 (16-18)</t>
  </si>
  <si>
    <t>23-23</t>
  </si>
  <si>
    <t>동굴 (28-32)</t>
  </si>
  <si>
    <t>52-53</t>
  </si>
  <si>
    <t>223번수로</t>
  </si>
  <si>
    <t>풀 (9-10)</t>
  </si>
  <si>
    <t>꽃향기 꽃밭</t>
  </si>
  <si>
    <t>땅 (15-18)</t>
  </si>
  <si>
    <t>16-18</t>
  </si>
  <si>
    <t>입지호수근처</t>
  </si>
  <si>
    <t>#129 잉어킹 (GER)</t>
  </si>
  <si>
    <t>67-68</t>
  </si>
  <si>
    <t>17-18</t>
  </si>
  <si>
    <t>로스트타워 ~ 5F</t>
  </si>
  <si>
    <t>풀 (31-33)</t>
  </si>
  <si>
    <t>강철섬 (내부 ~ 1F, B1F)</t>
  </si>
  <si>
    <t>신월섬</t>
  </si>
  <si>
    <t>지하 5층 (26~30)</t>
  </si>
  <si>
    <t>31-33</t>
  </si>
  <si>
    <t>예지호수근처</t>
  </si>
  <si>
    <t>23-24</t>
  </si>
  <si>
    <t>동굴 (41-43)</t>
  </si>
  <si>
    <t>풀 (45-49)</t>
  </si>
  <si>
    <t>천관산               (창기둥)</t>
  </si>
  <si>
    <t>216번도로</t>
  </si>
  <si>
    <t>고정 심볼 조우 (가장 깊은 방)</t>
  </si>
  <si>
    <t>31-31</t>
  </si>
  <si>
    <t>풀 (33-36) ~ 장소 5/6</t>
  </si>
  <si>
    <t>봉신마을</t>
  </si>
  <si>
    <t>41-42</t>
  </si>
  <si>
    <t>47-49</t>
  </si>
  <si>
    <t>무쇠탄갱 (B1F)</t>
  </si>
  <si>
    <t>풀 (18-20)</t>
  </si>
  <si>
    <t>42-42</t>
  </si>
  <si>
    <t>동굴 (10-11)</t>
  </si>
  <si>
    <t>끝까지 도달했습니다. 축하합니다!</t>
  </si>
  <si>
    <t>약어</t>
  </si>
  <si>
    <t>정전기 조우(ㅋㅋ) (TV 방)</t>
  </si>
  <si>
    <t>천관산 (B1F)</t>
  </si>
  <si>
    <t>아침 (04:00-09:59)</t>
  </si>
  <si>
    <t>동굴 (18-20)</t>
  </si>
  <si>
    <t>달콤한꿀 나무 (25)</t>
  </si>
  <si>
    <t>달콤한꿀 나무 (34)</t>
  </si>
  <si>
    <t>시트에서 오류를 발견하면 트위터(@RenPlatDocs) 또는 디스코드(@guist_)로 DM을 보내 주세요.</t>
  </si>
  <si>
    <t>낮 (10:00-19:59)</t>
  </si>
  <si>
    <t>천관산                       (시작의 방)</t>
  </si>
  <si>
    <t>밤 (20:00-03:59)</t>
  </si>
  <si>
    <t>18-20</t>
  </si>
  <si>
    <t>43-43</t>
  </si>
  <si>
    <t>천관산 (4F)</t>
  </si>
  <si>
    <t>낡은낚싯대 (218번도로)</t>
  </si>
  <si>
    <t>달콤한꿀 나무 (27)</t>
  </si>
  <si>
    <t>동굴 (50-52)</t>
  </si>
  <si>
    <t>고정 심볼 조우 (도감 완성 후)</t>
  </si>
  <si>
    <t>챔피언로드 (1Fb 1,2,3)</t>
  </si>
  <si>
    <t>좋은낚싯대 (209번도로)</t>
  </si>
  <si>
    <t>19-20</t>
  </si>
  <si>
    <t>Thanks ! &lt;3</t>
  </si>
  <si>
    <t>대단한낚싯대 (선단시티)</t>
  </si>
  <si>
    <t>트레이너   배틀</t>
  </si>
  <si>
    <t xml:space="preserve">-----------------------------------------  강석 분기  -----------------------------------------</t>
  </si>
  <si>
    <t xml:space="preserve">----------------------------------------------------------------------------------  유채 분기  ----------------------------------------------------------------------------------</t>
  </si>
  <si>
    <t xml:space="preserve">-------------------------------------------------------------------------------------------------  멜리사 분기  -------------------------------------------------------------------------------------------------</t>
  </si>
  <si>
    <t xml:space="preserve">-------------------------------------------------------------------------------------------------  자두 분기  -------------------------------------------------------------------------------------------------</t>
  </si>
  <si>
    <t xml:space="preserve">-------------------------------------------------------------------------------------------------  맥실러 분기  -------------------------------------------------------------------------------------------------</t>
  </si>
  <si>
    <t xml:space="preserve">-------------------------------------------------------------------------------------------------  동관 분기  -------------------------------------------------------------------------------------------------</t>
  </si>
  <si>
    <t xml:space="preserve">-----------------------------------  무청 분기  -----------------------------------</t>
  </si>
  <si>
    <t xml:space="preserve">----------------------------------------------------------------------------------------------------------------------  전진 분기  ----------------------------------------------------------------------------------------------------------------------</t>
  </si>
  <si>
    <t xml:space="preserve">----------------------------------------------------------------------------------------------------------------------  챔피언 분기  ----------------------------------------------------------------------------------------------------------------------</t>
  </si>
  <si>
    <t xml:space="preserve">----------------------------------------------------------------------------------------------------------------------  엔딩 후  ----------------------------------------------------------------------------------------------------------------------</t>
  </si>
  <si>
    <t>재대결</t>
  </si>
  <si>
    <t xml:space="preserve">----------------------------------------------------------------------------------------------------------------------  재대결  ----------------------------------------------------------------------------------------------------------------------</t>
  </si>
  <si>
    <t>--------- 비밀 --------</t>
  </si>
  <si>
    <t>바로가기</t>
  </si>
  <si>
    <t>반바지 꼬마 Tristan</t>
  </si>
  <si>
    <t>!</t>
  </si>
  <si>
    <t>반바지 꼬마 Tyler</t>
  </si>
  <si>
    <t>짧은치마 Kaitlin</t>
  </si>
  <si>
    <t>Worker Colin</t>
  </si>
  <si>
    <t>포켓몬센터 배틀</t>
  </si>
  <si>
    <t>205번도로 ~ 남쪽</t>
  </si>
  <si>
    <t>영원의 숲</t>
  </si>
  <si>
    <t>사이코키네시스 Kody</t>
  </si>
  <si>
    <t>등산가 Louis</t>
  </si>
  <si>
    <t>엘리트 트레이너 Maria</t>
  </si>
  <si>
    <t>Aroma Lady Angela</t>
  </si>
  <si>
    <t>갤럭시단 영원 빌딩 외부</t>
  </si>
  <si>
    <t>4F</t>
  </si>
  <si>
    <t>사이클링 Kayla</t>
  </si>
  <si>
    <t>등산가 Reginald</t>
  </si>
  <si>
    <t>반바지 꼬마 Austin</t>
  </si>
  <si>
    <t>PKMN 트레이너 광휘 (P)</t>
  </si>
  <si>
    <t>연고시티 GATE</t>
  </si>
  <si>
    <t>스쿨보이/스쿨걸 Mackenzie</t>
  </si>
  <si>
    <t>연고시티</t>
  </si>
  <si>
    <t>갤럭시단 조무래기</t>
  </si>
  <si>
    <t>Gentleman 한자랑</t>
  </si>
  <si>
    <t>212번도로 ~ 북쪽</t>
  </si>
  <si>
    <t>PKMNBreeder Jennifer</t>
  </si>
  <si>
    <t>3층</t>
  </si>
  <si>
    <t>Belle &amp; Pa Ava &amp; Matt</t>
  </si>
  <si>
    <t>조깅하는 사람 Craig</t>
  </si>
  <si>
    <t>유적마니아 Bryan</t>
  </si>
  <si>
    <t>수집가 Eugene</t>
  </si>
  <si>
    <t>낚시꾼 Kenneth</t>
  </si>
  <si>
    <t>낚시꾼 Juan</t>
  </si>
  <si>
    <t>Tuber Jacky</t>
  </si>
  <si>
    <t>엘리트 트레이너 Ernest</t>
  </si>
  <si>
    <t>PKMN 트레이너 빛나 (C)</t>
  </si>
  <si>
    <t>PKMN 트레이너 광휘 (T)</t>
  </si>
  <si>
    <t>이제 파도타기를 사용할 수 있습니다. 이전 지역으로 돌아가 이 트레이너들과 싸울 수 있습니다.</t>
  </si>
  <si>
    <t xml:space="preserve">수영팬 Mary  </t>
  </si>
  <si>
    <t>수영팬 Vanessa</t>
  </si>
  <si>
    <t>PKMN 트레이너 용식 (T)</t>
  </si>
  <si>
    <t>B1F ~ 오른쪽 방</t>
  </si>
  <si>
    <t>엘리트 트레이너 Brenda</t>
  </si>
  <si>
    <t>땅 FLOOR</t>
  </si>
  <si>
    <t>Commander 마스</t>
  </si>
  <si>
    <t>Skier Bjorn</t>
  </si>
  <si>
    <t>엘리트 트레이너 Isaiah</t>
  </si>
  <si>
    <t>이제 락클라임을 사용할 수 있습니다. 이전 지역으로 돌아가 이 트레이너들과 싸울 수 있습니다.</t>
  </si>
  <si>
    <t>갤럭시단 본부</t>
  </si>
  <si>
    <t>연구실 층</t>
  </si>
  <si>
    <t>선원 Marc</t>
  </si>
  <si>
    <t>Guitarist Jerry</t>
  </si>
  <si>
    <t>수영팬 Crystal</t>
  </si>
  <si>
    <t>엘리트 트레이너 Sydney</t>
  </si>
  <si>
    <t>엘리트 트레이너 Henry</t>
  </si>
  <si>
    <t>챔피언로드 ~ 1F 동쪽 1</t>
  </si>
  <si>
    <t>Veteran Terrell</t>
  </si>
  <si>
    <t>엘리트 트레이너 Clarice</t>
  </si>
  <si>
    <t>검은띠 Carl</t>
  </si>
  <si>
    <t>PKMN 트레이너 빛나 (P)</t>
  </si>
  <si>
    <t>포켓몬리그 ~ 외부</t>
  </si>
  <si>
    <t>포켓몬리그                                 사천왕 충호</t>
  </si>
  <si>
    <t>포켓몬리그                               사천왕 들국화</t>
  </si>
  <si>
    <t>포켓몬리그                                사천왕 대엽</t>
  </si>
  <si>
    <t>포켓몬리그                         사천왕 오엽</t>
  </si>
  <si>
    <t>포켓몬리그                         챔피언 난천</t>
  </si>
  <si>
    <t>엘리트 트레이너 Heather</t>
  </si>
  <si>
    <t>서바이벌에리어</t>
  </si>
  <si>
    <t>검은띠 Davon</t>
  </si>
  <si>
    <t>검은띠 Ray</t>
  </si>
  <si>
    <t>엘리트 트레이너 Kassandra</t>
  </si>
  <si>
    <t>챔피언 방</t>
  </si>
  <si>
    <t>포켓몬 센터</t>
  </si>
  <si>
    <t>Cameraman Tevin (C)</t>
  </si>
  <si>
    <t>Idol Grace (8)</t>
  </si>
  <si>
    <t>Pokékid Ariel (5)</t>
  </si>
  <si>
    <t>짧은치마 Samantha (C)</t>
  </si>
  <si>
    <t>Aroma Lady Elizabeth (C)</t>
  </si>
  <si>
    <t>낚시꾼 Joseph (C)</t>
  </si>
  <si>
    <t>206번도로 ~ 아래쪽 길</t>
  </si>
  <si>
    <t>포켓몬저택</t>
  </si>
  <si>
    <t>Poké Kid Danielle (8)</t>
  </si>
  <si>
    <t>PKMNBreeder Jennifer (5)</t>
  </si>
  <si>
    <t>210번도로 ~ 카페 산장</t>
  </si>
  <si>
    <t>사이코키네시스 Abigail (C)</t>
  </si>
  <si>
    <t>아가씨 Cyndy (8)</t>
  </si>
  <si>
    <t>연구원 Shaun (5)</t>
  </si>
  <si>
    <t>드래곤 Tamer Patrick (C)</t>
  </si>
  <si>
    <t>수집가 Ivan (C)</t>
  </si>
  <si>
    <t>Skier Bjorn (8)</t>
  </si>
  <si>
    <t>Skier Andrea (C)</t>
  </si>
  <si>
    <t>선원 Marc (S)</t>
  </si>
  <si>
    <t>사이코키네시스 Daisy (S)</t>
  </si>
  <si>
    <t>PKMN Ranger Kyler (S)</t>
  </si>
  <si>
    <t>톱 트레이너 카페는 신오에서 가장 특별한 시설 중 하나입니다. 하드마운틴 이벤트 이후에는 당신도 이 명망 있는 손님 중 하나가 되어 최강자들과 배틀을 즐길 수 있습니다!</t>
  </si>
  <si>
    <t>PKMN 트레이너 모미</t>
  </si>
  <si>
    <t>PKMN 트레이너 미루</t>
  </si>
  <si>
    <t>PKMN 트레이너 현</t>
  </si>
  <si>
    <t>PKMN 트레이너 말리</t>
  </si>
  <si>
    <t>PKMN 트레이너 맥</t>
  </si>
  <si>
    <t>배틀 마라톤 (배틀 순서)</t>
  </si>
  <si>
    <t>??? Dray</t>
  </si>
  <si>
    <t>레벨 7</t>
  </si>
  <si>
    <t>레벨 11</t>
  </si>
  <si>
    <t>레벨 9</t>
  </si>
  <si>
    <t>레벨 12</t>
  </si>
  <si>
    <t>요일과 진행 상황에 따라 달라집니다.</t>
  </si>
  <si>
    <t>레벨.18</t>
  </si>
  <si>
    <t>레벨.19</t>
  </si>
  <si>
    <t>레벨.22</t>
  </si>
  <si>
    <t>레벨.23</t>
  </si>
  <si>
    <t>Commander 주피터</t>
  </si>
  <si>
    <t>레벨.26</t>
  </si>
  <si>
    <t>레벨.25</t>
  </si>
  <si>
    <t>레벨.29</t>
  </si>
  <si>
    <t>레벨.33</t>
  </si>
  <si>
    <t>Poké스핀 Rebekah</t>
  </si>
  <si>
    <t>레벨.34</t>
  </si>
  <si>
    <t>레벨.37</t>
  </si>
  <si>
    <t>레벨.36</t>
  </si>
  <si>
    <t>레벨.39</t>
  </si>
  <si>
    <t>레벨.41</t>
  </si>
  <si>
    <t>레벨.44</t>
  </si>
  <si>
    <t>레벨.46</t>
  </si>
  <si>
    <t>레벨.48</t>
  </si>
  <si>
    <t>피크닉걸 Summer</t>
  </si>
  <si>
    <t>Worker Gary</t>
  </si>
  <si>
    <t>레벨.52</t>
  </si>
  <si>
    <t>레벨.49</t>
  </si>
  <si>
    <t>레벨.54</t>
  </si>
  <si>
    <t>Commander 새턴</t>
  </si>
  <si>
    <t>레벨.57</t>
  </si>
  <si>
    <t>레벨.60</t>
  </si>
  <si>
    <t>레벨.59</t>
  </si>
  <si>
    <t>레벨.63</t>
  </si>
  <si>
    <t>레벨.66</t>
  </si>
  <si>
    <t>레벨.64</t>
  </si>
  <si>
    <t>레벨.69</t>
  </si>
  <si>
    <t>레벨.76</t>
  </si>
  <si>
    <t>레벨.75</t>
  </si>
  <si>
    <t>레벨.78</t>
  </si>
  <si>
    <t>챔피언 난천</t>
  </si>
  <si>
    <t>레벨 70</t>
  </si>
  <si>
    <t>레벨 60</t>
  </si>
  <si>
    <t>레벨 40</t>
  </si>
  <si>
    <t>레벨.71</t>
  </si>
  <si>
    <t>레벨.70</t>
  </si>
  <si>
    <t>레벨.72</t>
  </si>
  <si>
    <t>레벨.38</t>
  </si>
  <si>
    <t>레벨.79</t>
  </si>
  <si>
    <t>레벨.81</t>
  </si>
  <si>
    <t>#000 ???</t>
  </si>
  <si>
    <t>레벨??</t>
  </si>
  <si>
    <t>캠프보이 Jacob</t>
  </si>
  <si>
    <t>레벨.20</t>
  </si>
  <si>
    <t>등산가 Lorenzo</t>
  </si>
  <si>
    <t>사천왕 충호</t>
  </si>
  <si>
    <t>PKMN 트레이너 용식 (P)</t>
  </si>
  <si>
    <t>Socialite Reina</t>
  </si>
  <si>
    <t>레벨.30</t>
  </si>
  <si>
    <t>갤럭시단 Grunt</t>
  </si>
  <si>
    <t>Aroma Lady Alison</t>
  </si>
  <si>
    <t>수영팬 Katelyn</t>
  </si>
  <si>
    <t>낚시꾼 Miguel</t>
  </si>
  <si>
    <t>1층</t>
  </si>
  <si>
    <t>레벨.56</t>
  </si>
  <si>
    <t>Rich Boy Trey</t>
  </si>
  <si>
    <t>Arcade Star 달리아</t>
  </si>
  <si>
    <t>챔피언로드</t>
  </si>
  <si>
    <t>챔피언로드 ~ 1F 동쪽 2</t>
  </si>
  <si>
    <t>포켓몬리그 ~ 내부</t>
  </si>
  <si>
    <t>선단시티</t>
  </si>
  <si>
    <t>서바이벌에리어 포켓몬 센터</t>
  </si>
  <si>
    <t>엘리트 트레이너 Saul</t>
  </si>
  <si>
    <t>엘리트 트레이너 Diane</t>
  </si>
  <si>
    <t>수영팬 Kurt</t>
  </si>
  <si>
    <t>첫 번째 방</t>
  </si>
  <si>
    <t>레벨.88</t>
  </si>
  <si>
    <t>포켓몬 센터에서는 요일에 따라 배틀이 발생할 수 있습니다. 자세한 설명은 여기:</t>
  </si>
  <si>
    <t>무쇠탄갱</t>
  </si>
  <si>
    <t>Skier Edward (8)</t>
  </si>
  <si>
    <t>미혹의 동굴</t>
  </si>
  <si>
    <t>포켓몬저택 외부</t>
  </si>
  <si>
    <t>레벨.58</t>
  </si>
  <si>
    <t>Veteran Armando (S)</t>
  </si>
  <si>
    <t>강석 분기</t>
  </si>
  <si>
    <t>- 모든 지역의 트레이너 로스터가 변경되었습니다. 이곳에는 종, 타입, 레벨과 함께 전부 정리되어 있습니다.</t>
  </si>
  <si>
    <t>짧은치마 Samantha</t>
  </si>
  <si>
    <t>레벨.13</t>
  </si>
  <si>
    <t>골짜기발전소 ~ 외부</t>
  </si>
  <si>
    <t>레벨.15</t>
  </si>
  <si>
    <t>사이코키네시스 Rachael</t>
  </si>
  <si>
    <t>레벨.31</t>
  </si>
  <si>
    <t>레벨.32</t>
  </si>
  <si>
    <t>검은띠 Derek</t>
  </si>
  <si>
    <t>장막시티 체육관</t>
  </si>
  <si>
    <t>레벨.35</t>
  </si>
  <si>
    <t xml:space="preserve">수영팬 Evan </t>
  </si>
  <si>
    <t>레벨.43</t>
  </si>
  <si>
    <t>낚시꾼 Cory</t>
  </si>
  <si>
    <t>레벨.50</t>
  </si>
  <si>
    <t>사천왕 충호 #1</t>
  </si>
  <si>
    <t>사천왕 들국화 #1</t>
  </si>
  <si>
    <t>사천왕 대엽 #1</t>
  </si>
  <si>
    <t>사천왕 오엽 #1</t>
  </si>
  <si>
    <t>챔피언 난천 #1</t>
  </si>
  <si>
    <t>레벨.77</t>
  </si>
  <si>
    <t>Cameraman Tevin (S)</t>
  </si>
  <si>
    <t>Idol Grace (C)</t>
  </si>
  <si>
    <t>체육관 관장 강석</t>
  </si>
  <si>
    <t>반바지 꼬마 Logan</t>
  </si>
  <si>
    <t>레벨 8</t>
  </si>
  <si>
    <t>짧은치마 Madeline</t>
  </si>
  <si>
    <t>레벨.24</t>
  </si>
  <si>
    <t>배틀걸 Helen</t>
  </si>
  <si>
    <t>Gentleman Jeremy</t>
  </si>
  <si>
    <t>Twins Teri &amp; Tia</t>
  </si>
  <si>
    <t>무쇠게이트</t>
  </si>
  <si>
    <t>엘리트 트레이너 Jonah</t>
  </si>
  <si>
    <t>엘리트 트레이너 Brenna</t>
  </si>
  <si>
    <t>레벨.53</t>
  </si>
  <si>
    <t>Tuber Conner</t>
  </si>
  <si>
    <t>Poké Kid Meghan</t>
  </si>
  <si>
    <t>챔피언로드 ~ 1F</t>
  </si>
  <si>
    <t>검은띠 Eddie</t>
  </si>
  <si>
    <t>엘리트 트레이너 Arthur</t>
  </si>
  <si>
    <t>레벨.73</t>
  </si>
  <si>
    <t>레벨.74</t>
  </si>
  <si>
    <t>파이트에리어</t>
  </si>
  <si>
    <t>새 조련사 Krystal</t>
  </si>
  <si>
    <t>엘리트 트레이너 Keenan</t>
  </si>
  <si>
    <t>레벨.83</t>
  </si>
  <si>
    <t>레벨 80</t>
  </si>
  <si>
    <t>Pokékid Ariel (8)</t>
  </si>
  <si>
    <t>캠프보이 Zackary (3)</t>
  </si>
  <si>
    <t>Lady Melissa (5)</t>
  </si>
  <si>
    <t>Poké Kid Danielle (C)</t>
  </si>
  <si>
    <t>조깅하는 사람 Craig (8)</t>
  </si>
  <si>
    <t>아가씨 Cyndy (C)</t>
  </si>
  <si>
    <t>연구원 Shaun (8)</t>
  </si>
  <si>
    <t>엘리트 트레이너 Jake (C)</t>
  </si>
  <si>
    <t>Skier Bjorn (C)</t>
  </si>
  <si>
    <t>엘리트 트레이너 Deanna (S)</t>
  </si>
  <si>
    <t>레벨.5</t>
  </si>
  <si>
    <t>레벨 10</t>
  </si>
  <si>
    <t>무쇠시티 체육관</t>
  </si>
  <si>
    <t>새 조련사 Alexandra</t>
  </si>
  <si>
    <t>엘리트 트레이너 Laura</t>
  </si>
  <si>
    <t>체육관 관장 유채</t>
  </si>
  <si>
    <t>레벨.27</t>
  </si>
  <si>
    <t>엘리트 트레이너 Allen</t>
  </si>
  <si>
    <t>검은띠 Colby</t>
  </si>
  <si>
    <t>수집가 Jamal</t>
  </si>
  <si>
    <t>스쿨보이/스쿨걸 Esteban</t>
  </si>
  <si>
    <t>아가씨 Cyndy</t>
  </si>
  <si>
    <t>낚시꾼 Josh</t>
  </si>
  <si>
    <t>Tuber Caitlyn</t>
  </si>
  <si>
    <t>210번도로 ~ 북쪽</t>
  </si>
  <si>
    <t>검은띠 Luke</t>
  </si>
  <si>
    <t>수영팬 Wesley</t>
  </si>
  <si>
    <t>레벨.65</t>
  </si>
  <si>
    <t>PKMN Ranger Felicia</t>
  </si>
  <si>
    <t>엘리트 트레이너 Moira</t>
  </si>
  <si>
    <t>PI Carlos (8)</t>
  </si>
  <si>
    <t>갤럭시단 창고</t>
  </si>
  <si>
    <t>사이코키네시스 Corbin (S)</t>
  </si>
  <si>
    <t>각 트레이너와 따로 싸울 수도 있고, "배틀 마라톤"에서 연속으로 모두 상대할 수도 있습니다. 배틀 마라톤에서는 팀을 바꿀 수 없고, 3배틀마다 회복되며, 승리하면 마스터볼을 얻습니다 :)</t>
  </si>
  <si>
    <t>유채 분기</t>
  </si>
  <si>
    <t>- 이 시트는 전체 개요를 보여 주기 위한 것입니다. 각 팀을 자세히 보려면 관심 있는 트레이너 이름 옆의 물음표를 확인하세요.</t>
  </si>
  <si>
    <t>레벨.14</t>
  </si>
  <si>
    <t>피크닉걸 Ana</t>
  </si>
  <si>
    <t xml:space="preserve">Ninja Boy Davido </t>
  </si>
  <si>
    <t>레벨.45</t>
  </si>
  <si>
    <t>Veteran Grant</t>
  </si>
  <si>
    <t xml:space="preserve">낚시꾼 Luc </t>
  </si>
  <si>
    <t>B2F ~ 오른쪽 방</t>
  </si>
  <si>
    <t>레벨.51</t>
  </si>
  <si>
    <t>검은띠 Philip</t>
  </si>
  <si>
    <t>레벨.55</t>
  </si>
  <si>
    <t>사이코키네시스 Bryce</t>
  </si>
  <si>
    <t>유적마니아 Larry</t>
  </si>
  <si>
    <t>체육관 관장 전진</t>
  </si>
  <si>
    <t>엘리트 트레이너 Butler</t>
  </si>
  <si>
    <t>Reporter Kinsey</t>
  </si>
  <si>
    <t>Idol Grace (S)</t>
  </si>
  <si>
    <t>204번도로 ~ 북쪽</t>
  </si>
  <si>
    <t>Skier Edward (C)</t>
  </si>
  <si>
    <t>배틀걸 Helen (3)</t>
  </si>
  <si>
    <t>레벨.62</t>
  </si>
  <si>
    <t>새 조련사 Brianna (8)</t>
  </si>
  <si>
    <t>레벨.82</t>
  </si>
  <si>
    <t>회복</t>
  </si>
  <si>
    <t>반바지 꼬마 Jonathon</t>
  </si>
  <si>
    <t>레벨 14</t>
  </si>
  <si>
    <t>등산가 Daniel</t>
  </si>
  <si>
    <t>205번도로 ~ 북쪽</t>
  </si>
  <si>
    <t>갤럭시단 영원 빌딩</t>
  </si>
  <si>
    <t>(다음 이벤트 전에 자전거 가게 방문을 잊지 마세요.)</t>
  </si>
  <si>
    <t>등산가 Theodore</t>
  </si>
  <si>
    <t>포켓몬저택 ~ 갤럭시단 점령 중</t>
  </si>
  <si>
    <t>Policeman Dylan</t>
  </si>
  <si>
    <t>Belle &amp; Pa Beth &amp; Bob</t>
  </si>
  <si>
    <t>검은띠 Gregory</t>
  </si>
  <si>
    <t>Poké스핀 Meredith</t>
  </si>
  <si>
    <t>Ninja Boy Fabian</t>
  </si>
  <si>
    <t>수영팬 Jessica</t>
  </si>
  <si>
    <t>PKMN 트레이너 용식 (C)</t>
  </si>
  <si>
    <t>Worker Noel</t>
  </si>
  <si>
    <t>낚시꾼 Alec</t>
  </si>
  <si>
    <t>그림자분신 Al &amp; Kay</t>
  </si>
  <si>
    <t>그림자분신 Jo &amp; Pat</t>
  </si>
  <si>
    <t>PKMN 트레이너 빛나 (T)</t>
  </si>
  <si>
    <t>레벨.89</t>
  </si>
  <si>
    <t>Interviewers Roxy &amp; Oli</t>
  </si>
  <si>
    <t>211번도로 ~ 서쪽</t>
  </si>
  <si>
    <t>레벨.28</t>
  </si>
  <si>
    <t>PKMNBreeder Jennifer (8)</t>
  </si>
  <si>
    <t>조깅하는 사람 Craig (C)</t>
  </si>
  <si>
    <t>PI Carlos (C)</t>
  </si>
  <si>
    <t>사천왕 들국화</t>
  </si>
  <si>
    <t>사천왕 대엽</t>
  </si>
  <si>
    <t>사천왕 오엽</t>
  </si>
  <si>
    <t>레벨 13</t>
  </si>
  <si>
    <t>이번 멀티 배틀에서 파트너의 팀</t>
  </si>
  <si>
    <t>다음 멀티 배틀에서 파트너의 팀</t>
  </si>
  <si>
    <t>조깅하는 사람 Raul</t>
  </si>
  <si>
    <t>PKMN Breeder Kahlil</t>
  </si>
  <si>
    <t>유적마니아 Ronald</t>
  </si>
  <si>
    <t>레벨.42</t>
  </si>
  <si>
    <t>엘리트 트레이너 Shannon</t>
  </si>
  <si>
    <t>엘리트 트레이너 Cesar</t>
  </si>
  <si>
    <t>선원 Luther</t>
  </si>
  <si>
    <t>PKMN Ranger Dwayne</t>
  </si>
  <si>
    <t>엘리트 트레이너 Graham</t>
  </si>
  <si>
    <t>수영팬 Joanna (!)</t>
  </si>
  <si>
    <t>Pokékid Ariel (C)</t>
  </si>
  <si>
    <t>곤충채집소년 Brandon (3)</t>
  </si>
  <si>
    <t>캠프보이 Zackary (5)</t>
  </si>
  <si>
    <t>Lady Melissa (8)</t>
  </si>
  <si>
    <t>연구원 Shaun (C)</t>
  </si>
  <si>
    <t>드래곤 Tamer Hayden (S)</t>
  </si>
  <si>
    <t>레벨.84</t>
  </si>
  <si>
    <t>레벨.85</t>
  </si>
  <si>
    <t>레벨.86</t>
  </si>
  <si>
    <t>체육관 관장 멜리사</t>
  </si>
  <si>
    <t>멜리사 분기</t>
  </si>
  <si>
    <t>낚시꾼 Joseph</t>
  </si>
  <si>
    <t>Skier Edward</t>
  </si>
  <si>
    <t>1F</t>
  </si>
  <si>
    <t>캠프보이 Parker</t>
  </si>
  <si>
    <t>등산가 Kevin</t>
  </si>
  <si>
    <t>드래곤 Tamer Patrick</t>
  </si>
  <si>
    <t>Worker Dillan</t>
  </si>
  <si>
    <t>선원 Skyler</t>
  </si>
  <si>
    <t>Worker Braden</t>
  </si>
  <si>
    <t>엘리트 트레이너 Dalton</t>
  </si>
  <si>
    <t>엘리트 트레이너 Sergio</t>
  </si>
  <si>
    <t>천관산 (207/208번도로 입구)</t>
  </si>
  <si>
    <t>6층</t>
  </si>
  <si>
    <t>세 번째 방</t>
  </si>
  <si>
    <t>드래곤 Tamer Joe</t>
  </si>
  <si>
    <t>챔피언로드 ~ 1F 동쪽 3</t>
  </si>
  <si>
    <t>검은띠 Griffin</t>
  </si>
  <si>
    <t>사이코키네시스 Sterling</t>
  </si>
  <si>
    <t>엘리트 트레이너 Jasmin</t>
  </si>
  <si>
    <t>Reporter Kinsey (3)</t>
  </si>
  <si>
    <t>반바지 꼬마 Dallas (3)</t>
  </si>
  <si>
    <t>Ninja Boy Zach (5)</t>
  </si>
  <si>
    <t>PKMN Breeder Albert (5)</t>
  </si>
  <si>
    <t>Skier Madison (8)</t>
  </si>
  <si>
    <t>수영팬 Miranda (S)</t>
  </si>
  <si>
    <t>Dray를 이겼습니다! 이 게임의 구석구석을 정말 전부 탐험한 것 같네요.</t>
  </si>
  <si>
    <t>- 이름이 다른 두 트레이너가 사이에 공백 없이 붙어 있다면, 더블 배틀로 싸울 수 있거나 반드시 더블 배틀로 싸워야 한다는 뜻입니다.</t>
  </si>
  <si>
    <t>캠프보이 Curtis</t>
  </si>
  <si>
    <t>천관산 ~ R211 ENTRY</t>
  </si>
  <si>
    <t>206번도로 ~ 사이클링로드</t>
  </si>
  <si>
    <t>엘리트 트레이너 Catherine</t>
  </si>
  <si>
    <t>Policeman Alex</t>
  </si>
  <si>
    <t>이번 멀티 배틀에서 파트너의 팀</t>
  </si>
  <si>
    <t>Veteran Emanuel</t>
  </si>
  <si>
    <t>낚시꾼 Travis</t>
  </si>
  <si>
    <t>낚시꾼 Erick</t>
  </si>
  <si>
    <t>Ninja Boy Brennan</t>
  </si>
  <si>
    <t>봉신마을 포켓몬 센터</t>
  </si>
  <si>
    <t>엘리트 트레이너 Olivia</t>
  </si>
  <si>
    <t>Skier Kaitlyn</t>
  </si>
  <si>
    <t>SECOND FLOOR</t>
  </si>
  <si>
    <t xml:space="preserve">갤럭시단 조무래기   </t>
  </si>
  <si>
    <t>Guitarist Lonnie</t>
  </si>
  <si>
    <t>선원 Zachariah</t>
  </si>
  <si>
    <t>PKMN Ranger Krista</t>
  </si>
  <si>
    <t>엘리트 트레이너 Sandra</t>
  </si>
  <si>
    <t>외부 하드마운틴</t>
  </si>
  <si>
    <t>레벨 30</t>
  </si>
  <si>
    <t>Interviewers Roxy &amp; Oli (3)</t>
  </si>
  <si>
    <t>Guitarist Arturo</t>
  </si>
  <si>
    <t>반바지 꼬마 Tristan (3)</t>
  </si>
  <si>
    <t>레벨 27</t>
  </si>
  <si>
    <t>배틀걸 Helen (7)</t>
  </si>
  <si>
    <t>새 조련사 Brianna (C)</t>
  </si>
  <si>
    <t>팔파크</t>
  </si>
  <si>
    <t>새 조련사 Audrey (S)</t>
  </si>
  <si>
    <t>검은띠 Davon (S)</t>
  </si>
  <si>
    <t>사천왕 및 갤럭시단 간부와의 배틀은 배틀 마라톤에서만 가능하며 개별적으로는 싸울 수 없습니다.</t>
  </si>
  <si>
    <t>축복시티 트레이너 스쿨</t>
  </si>
  <si>
    <t>짧은치마 Briana</t>
  </si>
  <si>
    <t>연고시티 포켓몬 센터</t>
  </si>
  <si>
    <t>Maid Belinda</t>
  </si>
  <si>
    <t>Cowgirl Shelley</t>
  </si>
  <si>
    <t>Young Couple Mike &amp; Nat</t>
  </si>
  <si>
    <t>검은띠 Nathaniel</t>
  </si>
  <si>
    <t>수집가 Douglas</t>
  </si>
  <si>
    <t>들판시티 포켓몬 센터</t>
  </si>
  <si>
    <t>사천왕 충호 #2</t>
  </si>
  <si>
    <t>사천왕 들국화 #2</t>
  </si>
  <si>
    <t>사천왕 대엽 #2</t>
  </si>
  <si>
    <t>사천왕 오엽 #2</t>
  </si>
  <si>
    <t>챔피언 난천 #2</t>
  </si>
  <si>
    <t>두 번째 방</t>
  </si>
  <si>
    <t>챔피언 성호</t>
  </si>
  <si>
    <t>곤충채집소년 Brandon (5)</t>
  </si>
  <si>
    <t>엘리트 트레이너 Maya (7)</t>
  </si>
  <si>
    <t>212번도로 ~ 남쪽</t>
  </si>
  <si>
    <t>창기둥</t>
  </si>
  <si>
    <t>체육관 관장 자두</t>
  </si>
  <si>
    <t>자두 분기</t>
  </si>
  <si>
    <t>반바지 꼬마 Darius</t>
  </si>
  <si>
    <t>Aroma Lady Elizabeth</t>
  </si>
  <si>
    <t>레벨.17</t>
  </si>
  <si>
    <t>211번도로 ~ 동쪽</t>
  </si>
  <si>
    <t>사이클링 Axel</t>
  </si>
  <si>
    <t>검은띠 Darren</t>
  </si>
  <si>
    <t>짧은치마 Blythe</t>
  </si>
  <si>
    <t>수영팬 Erica</t>
  </si>
  <si>
    <t>B2F ~ 왼쪽 방</t>
  </si>
  <si>
    <t>연구원 Darrius</t>
  </si>
  <si>
    <t>낚시꾼 George</t>
  </si>
  <si>
    <t>수영팬 Miranda</t>
  </si>
  <si>
    <t>새 조련사 Hana</t>
  </si>
  <si>
    <t>다음 멀티 배틀에서 파트너의 팀</t>
  </si>
  <si>
    <t>엘리트 트레이너 Jamie</t>
  </si>
  <si>
    <t>드래곤 Tamer Darien</t>
  </si>
  <si>
    <t>Reporter Kinsey (5)</t>
  </si>
  <si>
    <t>Pokékid Ariel (S)</t>
  </si>
  <si>
    <t>반바지 꼬마 Dallas (5)</t>
  </si>
  <si>
    <t>캠프보이 Zackary (C)</t>
  </si>
  <si>
    <t>Lady Melissa (C)</t>
  </si>
  <si>
    <t>사이코키네시스 Mitchell (8)</t>
  </si>
  <si>
    <t>- 게임 전체를 다시 확인해 누락된 배틀이 있는지 살펴볼 필요가 있습니다. 불일치가 있으면 댓글로 남겨 주세요.</t>
  </si>
  <si>
    <t>스쿨보이/스쿨걸 Harrison</t>
  </si>
  <si>
    <t>Aroma Lady Taylor</t>
  </si>
  <si>
    <t>레벨.16</t>
  </si>
  <si>
    <t>수집가 Terry</t>
  </si>
  <si>
    <t>등산가 Jonathan</t>
  </si>
  <si>
    <t>Maid Sophie</t>
  </si>
  <si>
    <t>Policeman Bobby</t>
  </si>
  <si>
    <t>PKMN Breeder Amber</t>
  </si>
  <si>
    <t>Ninja Boy Bruce</t>
  </si>
  <si>
    <t>낚시꾼 Cody</t>
  </si>
  <si>
    <t>다음 멀티 배틀에서 파트너의 팀</t>
  </si>
  <si>
    <t xml:space="preserve">갤럭시단 조무래기  </t>
  </si>
  <si>
    <t>Skier Bradley</t>
  </si>
  <si>
    <t>Veteran Clayton</t>
  </si>
  <si>
    <t>드래곤 Tamer Ondrej</t>
  </si>
  <si>
    <t>새 조련사 Autumn</t>
  </si>
  <si>
    <t>엘리트 트레이너 Ruben</t>
  </si>
  <si>
    <t>레벨.67</t>
  </si>
  <si>
    <t>엘리트 트레이너 Rodolfo</t>
  </si>
  <si>
    <t>PKMN Ranger Kyler</t>
  </si>
  <si>
    <t xml:space="preserve">수영팬 Mallory </t>
  </si>
  <si>
    <t>사이코키네시스 Chelsey</t>
  </si>
  <si>
    <t>엘리트 트레이너 Stefan</t>
  </si>
  <si>
    <t>Interviewers Roxy &amp; Oli (5)</t>
  </si>
  <si>
    <t>Guitarist Arturo (3)</t>
  </si>
  <si>
    <t>반바지 꼬마 Tristan (5)</t>
  </si>
  <si>
    <t>레벨 38</t>
  </si>
  <si>
    <t>Ninja Boy Zach (8)</t>
  </si>
  <si>
    <t>PKMN Ranger Taylor (5)</t>
  </si>
  <si>
    <t>PKMN Ranger Allison (5)</t>
  </si>
  <si>
    <t>Skier Madison (C)</t>
  </si>
  <si>
    <t>깨어진세계</t>
  </si>
  <si>
    <t>레벨.87</t>
  </si>
  <si>
    <t>체육관 관장 맥실러</t>
  </si>
  <si>
    <t>피크닉걸 Diana</t>
  </si>
  <si>
    <t>곤충채집소년 Jack</t>
  </si>
  <si>
    <t>낚시꾼 Andrew</t>
  </si>
  <si>
    <t>새 조련사 Katherine</t>
  </si>
  <si>
    <t>엘리트 트레이너 Garrett</t>
  </si>
  <si>
    <t>수집가 Dean</t>
  </si>
  <si>
    <t>Worker Conrad</t>
  </si>
  <si>
    <t>수집가 Ivan</t>
  </si>
  <si>
    <t>Guitarist Tony (!)</t>
  </si>
  <si>
    <t>Worker Gerardo</t>
  </si>
  <si>
    <t>Skier Shawn</t>
  </si>
  <si>
    <t>엘리트 트레이너 Savannah</t>
  </si>
  <si>
    <t>이번 멀티 배틀에서 파트너의 팀</t>
  </si>
  <si>
    <t>피카츄 팬클럽</t>
  </si>
  <si>
    <t>엘리트 트레이너 Destiny</t>
  </si>
  <si>
    <t>위 더블 배틀에서 파트너의 팀</t>
  </si>
  <si>
    <t xml:space="preserve">드래곤 Tamer Stanley </t>
  </si>
  <si>
    <t>엘리트 트레이너 Slythe</t>
  </si>
  <si>
    <t>레벨 39</t>
  </si>
  <si>
    <t>배틀걸 Helen (C)</t>
  </si>
  <si>
    <t>PKMNBreeder Jennifer (C)</t>
  </si>
  <si>
    <t>레벨.40</t>
  </si>
  <si>
    <t>낚시꾼 Miguel (C)</t>
  </si>
  <si>
    <t>수영팬 Crystal (S)</t>
  </si>
  <si>
    <t>PKMN 트레이너 광휘 (C)</t>
  </si>
  <si>
    <t>Galactic Boss 태홍</t>
  </si>
  <si>
    <t>맥실러 분기</t>
  </si>
  <si>
    <t>Maid Emily</t>
  </si>
  <si>
    <t>Young Couple Ty &amp; Sue</t>
  </si>
  <si>
    <t>신수마을</t>
  </si>
  <si>
    <t>조깅하는 사람 Scott</t>
  </si>
  <si>
    <t>사이코키네시스 Abigail</t>
  </si>
  <si>
    <t>Cameraman Darryl</t>
  </si>
  <si>
    <t>선원 Samson</t>
  </si>
  <si>
    <t>검은띠 Adam</t>
  </si>
  <si>
    <t>강철섬 ~ 외부</t>
  </si>
  <si>
    <t>Poké Kid Janet</t>
  </si>
  <si>
    <t>엘리트 트레이너 Brandi</t>
  </si>
  <si>
    <t>내부 하드마운틴</t>
  </si>
  <si>
    <t>Reporter Kinsey (8)</t>
  </si>
  <si>
    <t>곤충채집소년 Brandon (C)</t>
  </si>
  <si>
    <t>레벨.68</t>
  </si>
  <si>
    <t>엘리트 트레이너 Maya (S)</t>
  </si>
  <si>
    <t>Veteran Brian (8)</t>
  </si>
  <si>
    <t>드래곤 Tamer Geoffrey (S)</t>
  </si>
  <si>
    <t>- 일부 트레이너는 이름 옆 셀에 ! 표시가 있습니다. 이는 배틀서처를 통한 추가 재대결 로스터가 있다는 뜻입니다. 느낌표에 포함된 링크를 누르면 이 페이지의 끝부분으로 이동합니다. 더 자세한 정보가 필요하면 해당 배틀로 연결되는 물음표 링크가 재대결 시트에 있습니다.</t>
  </si>
  <si>
    <t>피크닉걸 Siena</t>
  </si>
  <si>
    <t>Ninja Boy Joel</t>
  </si>
  <si>
    <t>수영팬 Adrian</t>
  </si>
  <si>
    <t>등산가 Damon</t>
  </si>
  <si>
    <t>연구원 Fredrick</t>
  </si>
  <si>
    <t xml:space="preserve">낚시꾼 Brett </t>
  </si>
  <si>
    <t xml:space="preserve">수영팬 Aubree   </t>
  </si>
  <si>
    <t>수영팬 Gabrielle</t>
  </si>
  <si>
    <t>새 조련사 Geneva</t>
  </si>
  <si>
    <t>PKMN Ranger Deshawn</t>
  </si>
  <si>
    <t>Interviewers Roxy &amp; Oli (8)</t>
  </si>
  <si>
    <t>Guitarist Arturo (5)</t>
  </si>
  <si>
    <t>반바지 꼬마 Tristan (8)</t>
  </si>
  <si>
    <t>반바지 꼬마 Dallas (C)</t>
  </si>
  <si>
    <t>PKMN Breeder Albert (8)</t>
  </si>
  <si>
    <t>사이코키네시스 Mitchell (C)</t>
  </si>
  <si>
    <t>레벨.61</t>
  </si>
  <si>
    <t>체육관 관장 동관</t>
  </si>
  <si>
    <t>스쿨보이/스쿨걸 Christine</t>
  </si>
  <si>
    <t>유적마니아 Harry</t>
  </si>
  <si>
    <t>사이클링 Megan</t>
  </si>
  <si>
    <t>유적마니아 Gerald</t>
  </si>
  <si>
    <t>연고시티 체육관</t>
  </si>
  <si>
    <t>Maid Elena</t>
  </si>
  <si>
    <t>신수마을 포켓몬 센터</t>
  </si>
  <si>
    <t>검은띠 Rafael</t>
  </si>
  <si>
    <t>Reporter Valerie</t>
  </si>
  <si>
    <t>PKMN Ranger Taylor</t>
  </si>
  <si>
    <t>선단시티 포켓몬 센터</t>
  </si>
  <si>
    <t>Skier Andrea</t>
  </si>
  <si>
    <t>파이트에리어 포켓몬 센터</t>
  </si>
  <si>
    <t>수영팬 Glenn (!)</t>
  </si>
  <si>
    <t>Clown Lee</t>
  </si>
  <si>
    <t>레벨 59</t>
  </si>
  <si>
    <t>레벨 69</t>
  </si>
  <si>
    <t>피크닉걸 Karina (3)</t>
  </si>
  <si>
    <t>Ninja Boy Zach (C)</t>
  </si>
  <si>
    <t>사이클링 John (5)</t>
  </si>
  <si>
    <t>PKMN Ranger Taylor (8)</t>
  </si>
  <si>
    <t>PKMN Ranger Allison (8)</t>
  </si>
  <si>
    <t>동관 분기</t>
  </si>
  <si>
    <t>레벨.9</t>
  </si>
  <si>
    <t>레벨 15</t>
  </si>
  <si>
    <t>곤충채집소년 Brandon</t>
  </si>
  <si>
    <t>레벨.21</t>
  </si>
  <si>
    <t>다음 멀티 배틀에서 파트너의 팀</t>
  </si>
  <si>
    <t>검은띠 Kyle</t>
  </si>
  <si>
    <t>조깅하는 사람 Richard</t>
  </si>
  <si>
    <t>엘리트 트레이너 Maya</t>
  </si>
  <si>
    <t>일곱별 레스토랑</t>
  </si>
  <si>
    <t>엘리트 트레이너 Jake</t>
  </si>
  <si>
    <t>검은띠 David</t>
  </si>
  <si>
    <t>엘리트 트레이너 Mariah</t>
  </si>
  <si>
    <t>사이코키네시스 Kendra</t>
  </si>
  <si>
    <t>드래곤 Tamer Hayden</t>
  </si>
  <si>
    <t>드래곤 Tamer Keegan</t>
  </si>
  <si>
    <t>엘리트 트레이너 Abel</t>
  </si>
  <si>
    <t>엘리트 트레이너 Skylar</t>
  </si>
  <si>
    <t>Reporter Kinsey (C)</t>
  </si>
  <si>
    <t>엘리트 트레이너 Olivia (C)</t>
  </si>
  <si>
    <t>골짜기발전소 ~ 내부</t>
  </si>
  <si>
    <t>캠프보이 Zackary</t>
  </si>
  <si>
    <t>사이코키네시스 Elijah</t>
  </si>
  <si>
    <t>낚시꾼 Zachary</t>
  </si>
  <si>
    <t>2F</t>
  </si>
  <si>
    <t>Maid Clare</t>
  </si>
  <si>
    <t>209번도로 ~ 로스트타워</t>
  </si>
  <si>
    <t>Policeman Danny</t>
  </si>
  <si>
    <t xml:space="preserve">수영팬 Haley  </t>
  </si>
  <si>
    <t>Worker Holden</t>
  </si>
  <si>
    <t>Ninja Boy Matthew</t>
  </si>
  <si>
    <t>엘리트 트레이너 Alicia</t>
  </si>
  <si>
    <t>낚시꾼 Cole</t>
  </si>
  <si>
    <t>엘리트 트레이너 Micah</t>
  </si>
  <si>
    <t>사이코키네시스 Brittney</t>
  </si>
  <si>
    <t>사천왕 충호 #3</t>
  </si>
  <si>
    <t>사천왕 들국화 #3</t>
  </si>
  <si>
    <t>사천왕 대엽 #3</t>
  </si>
  <si>
    <t>사천왕 오엽 #3</t>
  </si>
  <si>
    <t>챔피언 난천 #3</t>
  </si>
  <si>
    <t>엘리트 트레이너 Quinn</t>
  </si>
  <si>
    <t>Interviewers Roxy &amp; Oli (C)</t>
  </si>
  <si>
    <t>Guitarist Arturo (8)</t>
  </si>
  <si>
    <t>사이클링 John (8)</t>
  </si>
  <si>
    <t>Socialite Reina (8)</t>
  </si>
  <si>
    <t>Veteran Brian (C)</t>
  </si>
  <si>
    <t>Guitarist Tony (C)</t>
  </si>
  <si>
    <t>Rich Boy Trey (C)</t>
  </si>
  <si>
    <t>수영팬 Wesley (S)</t>
  </si>
  <si>
    <t>체육관 관장 무청</t>
  </si>
  <si>
    <t>무쇠시티 포켓몬 센터</t>
  </si>
  <si>
    <t>Ninja Boy Nick</t>
  </si>
  <si>
    <t>사이클링 James</t>
  </si>
  <si>
    <t>반바지 꼬마 Donny</t>
  </si>
  <si>
    <t>수집가 Fernando</t>
  </si>
  <si>
    <t>PI Carlos</t>
  </si>
  <si>
    <t>Artist Ismael</t>
  </si>
  <si>
    <t>PI Kendrick</t>
  </si>
  <si>
    <t>Ninja Boy Nathan</t>
  </si>
  <si>
    <t>운하시티 포켓몬 센터</t>
  </si>
  <si>
    <t>등산가 Maurice</t>
  </si>
  <si>
    <t>운하시티 체육관</t>
  </si>
  <si>
    <t>메인 스토리로 돌아가기</t>
  </si>
  <si>
    <t>7층</t>
  </si>
  <si>
    <t>Guitarist Preston</t>
  </si>
  <si>
    <t xml:space="preserve">수영팬 Oscar </t>
  </si>
  <si>
    <t>Clown Lee (3)</t>
  </si>
  <si>
    <t xml:space="preserve">꽃향기마을 </t>
  </si>
  <si>
    <t>피크닉걸 Karina (5)</t>
  </si>
  <si>
    <t>엘리트 트레이너 Dennis (7)</t>
  </si>
  <si>
    <t>무청 분기</t>
  </si>
  <si>
    <t>축복시티 포켓몬 센터</t>
  </si>
  <si>
    <t>영원시티 체육관</t>
  </si>
  <si>
    <t>캠프보이 Diego</t>
  </si>
  <si>
    <t>등산가 Robert</t>
  </si>
  <si>
    <t>Lady Celeste</t>
  </si>
  <si>
    <t>Twins Emma &amp; Lil</t>
  </si>
  <si>
    <t>엘리트 트레이너 Alyssa</t>
  </si>
  <si>
    <t>봉신마을 유적</t>
  </si>
  <si>
    <t>수영팬 Vincent</t>
  </si>
  <si>
    <t>레벨.47</t>
  </si>
  <si>
    <t>선단신전 ~ 외부</t>
  </si>
  <si>
    <t>물가시티 포켓몬 센터</t>
  </si>
  <si>
    <t>수영팬 Cassandra</t>
  </si>
  <si>
    <t>Veteran Edgar</t>
  </si>
  <si>
    <t>수영팬 Lydia</t>
  </si>
  <si>
    <t>엘리트 트레이너 Meagan</t>
  </si>
  <si>
    <t>엘리트 트레이너 Gene</t>
  </si>
  <si>
    <t>엘리트 트레이너 Luna</t>
  </si>
  <si>
    <t>Reporter Kinsey (S)</t>
  </si>
  <si>
    <t>사이클링 John (C)</t>
  </si>
  <si>
    <t>Artist William (5)</t>
  </si>
  <si>
    <t>Socialite Reina (C)</t>
  </si>
  <si>
    <t>PKMN Ranger Taylor (C)</t>
  </si>
  <si>
    <t>PKMN Ranger Allison (C)</t>
  </si>
  <si>
    <t>수영팬 Glenn (S)</t>
  </si>
  <si>
    <t>- 라이벌 배틀(빛나, 광휘, 용식)에는 이름 옆에 (T), (C), (P)가 붙어 있습니다. 각각 모부기, 불꽃숭이, 팽도리를 의미하며, 게임 초반에 선택한 스타팅에 따라 라이벌의 팀이 어떻게 바뀌는지 보여 줍니다.</t>
  </si>
  <si>
    <t>Reporter Helen</t>
  </si>
  <si>
    <t>Twins Liv &amp; Liz</t>
  </si>
  <si>
    <t>반바지 꼬마 Oliver</t>
  </si>
  <si>
    <t>엘리트 트레이너 Dennis</t>
  </si>
  <si>
    <t>검은띠 Jeffery</t>
  </si>
  <si>
    <t>아가씨 Harley</t>
  </si>
  <si>
    <t>아가씨 Gabriella</t>
  </si>
  <si>
    <t>Parasol Lady Alexa</t>
  </si>
  <si>
    <t>레벨 45</t>
  </si>
  <si>
    <t>엘리트 트레이너 Breanna</t>
  </si>
  <si>
    <t>Skier Madison</t>
  </si>
  <si>
    <t>(다음 이벤트 전에 입지호수 방문을 잊지 마세요.)</t>
  </si>
  <si>
    <t>4층</t>
  </si>
  <si>
    <t>검은띠 Miles</t>
  </si>
  <si>
    <t>사이코키네시스 Deandre</t>
  </si>
  <si>
    <t>엘리트 트레이너 Mikayla</t>
  </si>
  <si>
    <t>엘리트 트레이너 Monique</t>
  </si>
  <si>
    <t>엘리트 트레이너 Natasha</t>
  </si>
  <si>
    <t>Interviewers Roxy &amp; Oli (S)</t>
  </si>
  <si>
    <t>Guitarist Arturo (C)</t>
  </si>
  <si>
    <t>짧은치마 Madeline (3)</t>
  </si>
  <si>
    <t>Reporter Kayla</t>
  </si>
  <si>
    <t>레벨 16</t>
  </si>
  <si>
    <t>사이코키네시스 Lindsey</t>
  </si>
  <si>
    <t>검은띠 Sean</t>
  </si>
  <si>
    <t>짧은치마 Caroline</t>
  </si>
  <si>
    <t>등산가 Justin</t>
  </si>
  <si>
    <t>수집가 Brady</t>
  </si>
  <si>
    <t>검은띠 Ricky</t>
  </si>
  <si>
    <t>엘리트 트레이너 Aran</t>
  </si>
  <si>
    <t>새 조련사 Audrey</t>
  </si>
  <si>
    <t>Clown Lee (5)</t>
  </si>
  <si>
    <t>피크닉걸 Karina (C)</t>
  </si>
  <si>
    <t>PKMN Breeder Albert (C)</t>
  </si>
  <si>
    <t>Rich Boy Trey (S)</t>
  </si>
  <si>
    <t>전진 분기</t>
  </si>
  <si>
    <t>레벨 5</t>
  </si>
  <si>
    <t>등산가 Nicholas</t>
  </si>
  <si>
    <t>사이클링 Nicole</t>
  </si>
  <si>
    <t>피크닉걸 Tori</t>
  </si>
  <si>
    <t>등산가 Alexander</t>
  </si>
  <si>
    <t>유적마니아 Karl</t>
  </si>
  <si>
    <t>수집가 Edwin</t>
  </si>
  <si>
    <t>연구원 Stefano</t>
  </si>
  <si>
    <t>들판시티 체육관</t>
  </si>
  <si>
    <t>수영팬 Sheltin</t>
  </si>
  <si>
    <t xml:space="preserve">수영팬 Claire  </t>
  </si>
  <si>
    <t>배틀걸 Tyler</t>
  </si>
  <si>
    <t xml:space="preserve">엘리트 트레이너 Anton  </t>
  </si>
  <si>
    <t>Tuber Holly</t>
  </si>
  <si>
    <t>엘리트 트레이너 Zachery</t>
  </si>
  <si>
    <t>수영팬 Francisco</t>
  </si>
  <si>
    <t>사이코키네시스 Landon</t>
  </si>
  <si>
    <t>감사의 돌</t>
  </si>
  <si>
    <t>사이클링 Kayla (5)</t>
  </si>
  <si>
    <t>Gentleman Jeremy (5)</t>
  </si>
  <si>
    <t>엘리트 트레이너 Dennis (S)</t>
  </si>
  <si>
    <t>선원 Zachariah (S)</t>
  </si>
  <si>
    <t>PKMN 트레이너 빛나/광휘</t>
  </si>
  <si>
    <t>반바지 꼬마 Michael</t>
  </si>
  <si>
    <t>영원시티 포켓몬 센터</t>
  </si>
  <si>
    <t>짧은치마 Molly</t>
  </si>
  <si>
    <t>Poké Kid Danielle</t>
  </si>
  <si>
    <t>Rich Boy Roman</t>
  </si>
  <si>
    <t xml:space="preserve">연구원 Emilio  </t>
  </si>
  <si>
    <t>새 조련사 Brianna</t>
  </si>
  <si>
    <t>강철섬 ~ 내부</t>
  </si>
  <si>
    <t>물가시티 체육관</t>
  </si>
  <si>
    <t>수영팬 Paige</t>
  </si>
  <si>
    <t>챔피언로드 ~ 2F</t>
  </si>
  <si>
    <t>사이코키네시스 Maxwell</t>
  </si>
  <si>
    <t>엘리트 트레이너 Deanna</t>
  </si>
  <si>
    <t>사이코키네시스 Corbin</t>
  </si>
  <si>
    <t>Cameraman Tevin</t>
  </si>
  <si>
    <t>Guitarist Arturo (S)</t>
  </si>
  <si>
    <t>204번도로 ~ 남쪽</t>
  </si>
  <si>
    <t>Artist William (8)</t>
  </si>
  <si>
    <t>강철섬</t>
  </si>
  <si>
    <t>선단신전</t>
  </si>
  <si>
    <t>엘리트 트레이너 Saul (S)</t>
  </si>
  <si>
    <t>수영팬 Joanna (S)</t>
  </si>
  <si>
    <t>시트에서 오류를 발견하면 트위터(@RenPlatDocs) 또는 디스코드(@guist_)로 DM을 보내 주세요.</t>
  </si>
  <si>
    <t>Lady Melissa</t>
  </si>
  <si>
    <t>연구원 Shaun</t>
  </si>
  <si>
    <t>낚시꾼 Walter</t>
  </si>
  <si>
    <t>그림자분신 Zac &amp; Jen</t>
  </si>
  <si>
    <t>Castle Valet 코크란</t>
  </si>
  <si>
    <t>엘리트 트레이너 Wyver</t>
  </si>
  <si>
    <t>Idol Grace</t>
  </si>
  <si>
    <t>Clown Lee (8)</t>
  </si>
  <si>
    <t>짧은치마 Madeline (5)</t>
  </si>
  <si>
    <t>유적마니아 Harry (8)</t>
  </si>
  <si>
    <t>Gentleman Jeremy (8)</t>
  </si>
  <si>
    <t>210번도로 ~ 남쪽</t>
  </si>
  <si>
    <t>Parasol Lady Alexa (5)</t>
  </si>
  <si>
    <t>엘리트 트레이너 Rodolfo (S)</t>
  </si>
  <si>
    <t>레벨.80</t>
  </si>
  <si>
    <t>챔피언 분기</t>
  </si>
  <si>
    <t>동행자 배틀은 갈색으로 표시되어 있습니다.</t>
  </si>
  <si>
    <t>3층</t>
  </si>
  <si>
    <t>피크닉걸 Lauren</t>
  </si>
  <si>
    <t>Aroma Lady Hannah</t>
  </si>
  <si>
    <t>Lady Kylie</t>
  </si>
  <si>
    <t xml:space="preserve">포켓몬 Breeder Kaylee  </t>
  </si>
  <si>
    <t>수영팬 Erik</t>
  </si>
  <si>
    <t>B1F ~ 왼쪽 방</t>
  </si>
  <si>
    <t>검은띠 Kendal</t>
  </si>
  <si>
    <t>Worker Jackson</t>
  </si>
  <si>
    <t>Ninja Boy Ethan</t>
  </si>
  <si>
    <t>엘리트 트레이너 Nephenee</t>
  </si>
  <si>
    <t>(다음 이벤트 전에 갤럭시단 본부 앞의 조무래기에게 말을 거는 것을 잊지 마세요.)</t>
  </si>
  <si>
    <t>아가씨 Nicola</t>
  </si>
  <si>
    <t>스쿨보이/스쿨걸 Tiera</t>
  </si>
  <si>
    <t>엘리트 트레이너 Omar</t>
  </si>
  <si>
    <t>Veteran Brenden</t>
  </si>
  <si>
    <t>사천왕 충호 #4</t>
  </si>
  <si>
    <t>사천왕 들국화 #4</t>
  </si>
  <si>
    <t>사천왕 대엽 #4</t>
  </si>
  <si>
    <t>사천왕 오엽 #4</t>
  </si>
  <si>
    <t>챔피언 난천 #4</t>
  </si>
  <si>
    <t>Veteran Harlan</t>
  </si>
  <si>
    <t>검은띠 Jarrett</t>
  </si>
  <si>
    <t>짧은치마 Samantha (3)</t>
  </si>
  <si>
    <t>Tuber Chelsea (8)</t>
  </si>
  <si>
    <t>PKMN 트레이너 용식</t>
  </si>
  <si>
    <t>라이벌 배틀은 노란색으로 표시되어 있습니다.</t>
  </si>
  <si>
    <t xml:space="preserve">꽃향기마을                      포켓몬 센터</t>
  </si>
  <si>
    <t>배틀걸 Kelsey</t>
  </si>
  <si>
    <t>곤충채집소년 Donald</t>
  </si>
  <si>
    <t>천관산 ~ B1F</t>
  </si>
  <si>
    <t>짧은치마 Cassidy</t>
  </si>
  <si>
    <t>Roughneck Kirby</t>
  </si>
  <si>
    <t>Waitress Kati</t>
  </si>
  <si>
    <t>아가씨 Devon</t>
  </si>
  <si>
    <t xml:space="preserve">PKMN Ranger Jeffrey </t>
  </si>
  <si>
    <t>Tuber Mariel</t>
  </si>
  <si>
    <t>캠프보이 Lawrence</t>
  </si>
  <si>
    <t>챔피언로드 ~ B1F</t>
  </si>
  <si>
    <t>드래곤 Tamer Clinton</t>
  </si>
  <si>
    <t>사이코키네시스 Desiree</t>
  </si>
  <si>
    <t>PKMN Ranger Ashlee</t>
  </si>
  <si>
    <t>Cameraman Tevin (3)</t>
  </si>
  <si>
    <t>유적마니아 Harry (C)</t>
  </si>
  <si>
    <t>사이클링 Kayla (8)</t>
  </si>
  <si>
    <t>Gentleman Jeremy (C)</t>
  </si>
  <si>
    <t>Rancher Marco (8)</t>
  </si>
  <si>
    <t>낚시꾼 Alec (C)</t>
  </si>
  <si>
    <t>일반 배틀은 초록색으로 표시되어 있습니다.</t>
  </si>
  <si>
    <t>반바지 꼬마 Dallas</t>
  </si>
  <si>
    <t>Aroma Lady Jenna</t>
  </si>
  <si>
    <t>사이클링 John</t>
  </si>
  <si>
    <t>스쿨보이/스쿨걸 Chance</t>
  </si>
  <si>
    <t>Rich Boy Jason</t>
  </si>
  <si>
    <t>장막시티 포켓몬 센터</t>
  </si>
  <si>
    <t>선원 Paul</t>
  </si>
  <si>
    <t>수영팬 Colton</t>
  </si>
  <si>
    <t>수영팬 Troy</t>
  </si>
  <si>
    <t>엘리트 트레이너 Jose</t>
  </si>
  <si>
    <t>엘리트 트레이너 Shade</t>
  </si>
  <si>
    <t xml:space="preserve">수영팬 Sam  </t>
  </si>
  <si>
    <t>FOURTH ROOM</t>
  </si>
  <si>
    <t>Idol Grace (3)</t>
  </si>
  <si>
    <t>Pokékid Ariel</t>
  </si>
  <si>
    <t>Clown Lee (C)</t>
  </si>
  <si>
    <t>Artist William (C)</t>
  </si>
  <si>
    <t>Tuber Chelsea (C)</t>
  </si>
  <si>
    <t>Parasol Lady Alexa (8)</t>
  </si>
  <si>
    <t>입지호수 &amp; 진실호수</t>
  </si>
  <si>
    <t>검은띠 Philip (C)</t>
  </si>
  <si>
    <t>이 작업을 할 수 있어서 즐거웠습니다.</t>
  </si>
  <si>
    <t>엔딩 후</t>
  </si>
  <si>
    <t>갤럭시단 배틀은 청록색으로 표시되어 있습니다.</t>
  </si>
  <si>
    <t>천관산 ~ R216 ENTRY</t>
  </si>
  <si>
    <t>PKMN Breeder Albert</t>
  </si>
  <si>
    <t>Gentleman Leonardo</t>
  </si>
  <si>
    <t>Veteran Brian</t>
  </si>
  <si>
    <t>Skier Lexie</t>
  </si>
  <si>
    <t>깨어진세계 ~ 끝</t>
  </si>
  <si>
    <t>사이코키네시스 Valencia</t>
  </si>
  <si>
    <t>짧은치마 Madeline (8)</t>
  </si>
  <si>
    <t>Aroma Lady Elizabeth (3)</t>
  </si>
  <si>
    <t>수영팬 Francisco (S)</t>
  </si>
  <si>
    <t xml:space="preserve">엘리트 트레이너 Moira (S) </t>
  </si>
  <si>
    <t>하드마운틴</t>
  </si>
  <si>
    <t>체육관 관장 배틀은 파란색으로 표시되어 있습니다.</t>
  </si>
  <si>
    <t>짧은치마 Natalie</t>
  </si>
  <si>
    <t>Reporter Jenny</t>
  </si>
  <si>
    <t>곤충채집소년 Philip</t>
  </si>
  <si>
    <t>캠프보이 Anthony</t>
  </si>
  <si>
    <t>Artist William</t>
  </si>
  <si>
    <t>Poké스핀 Leonard</t>
  </si>
  <si>
    <t>Rancher Marco</t>
  </si>
  <si>
    <t>드래곤 Tamer Nils</t>
  </si>
  <si>
    <t>Parasol Lady Sabrina</t>
  </si>
  <si>
    <t>선원 Damian</t>
  </si>
  <si>
    <t>Tuber Trenton</t>
  </si>
  <si>
    <t>Worker Brendon</t>
  </si>
  <si>
    <t>검은띠 Willie</t>
  </si>
  <si>
    <t>Veteran Armando</t>
  </si>
  <si>
    <t>드래곤 Tamer Geoffrey</t>
  </si>
  <si>
    <t>리조트에리어 포켓몬 센터</t>
  </si>
  <si>
    <t>드래곤 Tamer Kenny</t>
  </si>
  <si>
    <t>드래곤 Tamer Drake</t>
  </si>
  <si>
    <t>Cameraman Tevin (5)</t>
  </si>
  <si>
    <t>짧은치마 Samantha (5)</t>
  </si>
  <si>
    <t>낚시꾼 Joseph (5)</t>
  </si>
  <si>
    <t>좋은 하루 되세요.</t>
  </si>
  <si>
    <t>챔피언, 사천왕, 배틀프런티어 배틀은 보라색으로 표시되어 있습니다.</t>
  </si>
  <si>
    <t>Worker Mason</t>
  </si>
  <si>
    <t>Ninja Boy Zach</t>
  </si>
  <si>
    <t>사이클링 Ryan</t>
  </si>
  <si>
    <t>반바지 꼬마 Wayne</t>
  </si>
  <si>
    <t>Socialite Rebecca</t>
  </si>
  <si>
    <t>Tuber Chelsea</t>
  </si>
  <si>
    <t>PKMN Ranger Allison</t>
  </si>
  <si>
    <t>선단시티 체육관</t>
  </si>
  <si>
    <t>211번도로로 가는 터널</t>
  </si>
  <si>
    <t>Policeman Thomas</t>
  </si>
  <si>
    <t>Idol Grace (5)</t>
  </si>
  <si>
    <t>Clown Lee (S)</t>
  </si>
  <si>
    <t>사이클링 Kayla (C)</t>
  </si>
  <si>
    <t>Rancher Marco (C)</t>
  </si>
  <si>
    <t>Tuber Jared (5)</t>
  </si>
  <si>
    <t>Parasol Lady Alexa (C)</t>
  </si>
  <si>
    <t>드래곤 Tamer Patrick (8)</t>
  </si>
  <si>
    <t>엘리트 트레이너 Shannon (C)</t>
  </si>
  <si>
    <t>PKMN Ranger Ashlee (S)</t>
  </si>
  <si>
    <t>재대결</t>
  </si>
  <si>
    <t>재대결은 빨간색으로 표시되어 있습니다.</t>
  </si>
  <si>
    <t>짧은치마 Sarah</t>
  </si>
  <si>
    <t>반바지 꼬마 Sebastian</t>
  </si>
  <si>
    <t>피크닉걸 Karina</t>
  </si>
  <si>
    <t>연구원 Travon</t>
  </si>
  <si>
    <t>Policeman Caleb</t>
  </si>
  <si>
    <t>유적마니아 Calvin</t>
  </si>
  <si>
    <t>사이코키네시스 Mitchell</t>
  </si>
  <si>
    <t>수영팬 Dillon</t>
  </si>
  <si>
    <t>스쿨보이/스쿨걸 Forrest</t>
  </si>
  <si>
    <t>사이코키네시스 Daisy</t>
  </si>
  <si>
    <t>수영팬 Sophia</t>
  </si>
  <si>
    <t>Pokékid Ariel (3)</t>
  </si>
  <si>
    <t>Aroma Lady Elizabeth (5)</t>
  </si>
  <si>
    <t>Poké Kid Danielle (5)</t>
  </si>
  <si>
    <t>사이코키네시스 Abigail (8)</t>
  </si>
  <si>
    <t xml:space="preserve">엘리트 트레이너 Dalton (C) </t>
  </si>
  <si>
    <t>선원 Marc (C)</t>
  </si>
  <si>
    <t>엘리트 트레이너 Blake</t>
  </si>
  <si>
    <t>다음 멀티 배틀에서 파트너의 팀</t>
  </si>
  <si>
    <t>조깅하는 사람 Wyatt</t>
  </si>
  <si>
    <t>Worker Quentin</t>
  </si>
  <si>
    <t>배틀 없는 체육관 진행은 다음을 참고하세요:</t>
  </si>
  <si>
    <t>수영팬 Ricardo</t>
  </si>
  <si>
    <t xml:space="preserve">수영팬 Wade  </t>
  </si>
  <si>
    <t>다음 더블 배틀에서 파트너의 팀</t>
  </si>
  <si>
    <t>Cameraman Tevin (8)</t>
  </si>
  <si>
    <t>Tuber Jared (C)</t>
  </si>
  <si>
    <t>Skier Andrea (8)</t>
  </si>
  <si>
    <t>톱 트레이너 카페</t>
  </si>
  <si>
    <t>승리</t>
  </si>
  <si>
    <t>Anne</t>
  </si>
  <si>
    <t>잘못된 정보가 있으면 편하게 제보해 주세요! 트위터 @RenPlatDocs / 디스코드 @guist_</t>
  </si>
  <si>
    <t>사이클링 Rachel</t>
  </si>
  <si>
    <t>Tuber Jared</t>
  </si>
  <si>
    <t>레벨업</t>
  </si>
  <si>
    <t>레벨업 :</t>
  </si>
  <si>
    <t>1 - 몸통박치기</t>
  </si>
  <si>
    <t>1 - 파워휩</t>
  </si>
  <si>
    <t>1 - 할퀴기</t>
  </si>
  <si>
    <t>1 - 드래곤크루</t>
  </si>
  <si>
    <t>1 - 러스터캐논</t>
  </si>
  <si>
    <t>1 - 단단해지기</t>
  </si>
  <si>
    <t>1 - 염동력</t>
  </si>
  <si>
    <t>1 - 독침</t>
  </si>
  <si>
    <t>1 - 마구찌르기</t>
  </si>
  <si>
    <t>1 - 브레이브버드</t>
  </si>
  <si>
    <t>1 - 칼춤</t>
  </si>
  <si>
    <t>1 - 쪼기</t>
  </si>
  <si>
    <t>1 - 브레이브버드 (!!)</t>
  </si>
  <si>
    <t>1 - 김밥말이</t>
  </si>
  <si>
    <t>1 - 얼음엄니</t>
  </si>
  <si>
    <t>1 - 전기쇼크</t>
  </si>
  <si>
    <t>1 - 번개펀치</t>
  </si>
  <si>
    <t>1 - 울음소리</t>
  </si>
  <si>
    <t>1 - 엄청난힘</t>
  </si>
  <si>
    <t>1 - 째려보기</t>
  </si>
  <si>
    <t>1 - 메가폰</t>
  </si>
  <si>
    <t>1 - 막치기</t>
  </si>
  <si>
    <t>1 - 알낳기</t>
  </si>
  <si>
    <t>1 - 불꽃세례</t>
  </si>
  <si>
    <t>1 - 문포스 (!!)</t>
  </si>
  <si>
    <t>1 - 노래하기</t>
  </si>
  <si>
    <t>1 - 치근거리기</t>
  </si>
  <si>
    <t>1 - 흡수</t>
  </si>
  <si>
    <t>1 - 싫은소리</t>
  </si>
  <si>
    <t>1 - 문포스</t>
  </si>
  <si>
    <t>1 - 씨뿌리기</t>
  </si>
  <si>
    <t>1 - 은빛바람</t>
  </si>
  <si>
    <t>1 - 모래뿌리기</t>
  </si>
  <si>
    <t>1 - 바꿔치기</t>
  </si>
  <si>
    <t>1 - 물놀이</t>
  </si>
  <si>
    <t>1 - 선취</t>
  </si>
  <si>
    <t>1 - 물기</t>
  </si>
  <si>
    <t>1 - 아침햇살</t>
  </si>
  <si>
    <t>1 - 진공파</t>
  </si>
  <si>
    <t>1 - 순간이동</t>
  </si>
  <si>
    <t>1 - 플래시</t>
  </si>
  <si>
    <t>1 - 앵콜</t>
  </si>
  <si>
    <t>1 - 안다리걸기</t>
  </si>
  <si>
    <t>1 - 인파이트</t>
  </si>
  <si>
    <t>1 - 덩굴채찍</t>
  </si>
  <si>
    <t>1 - 웨더볼</t>
  </si>
  <si>
    <t>1 - 불꽃펀치</t>
  </si>
  <si>
    <t>1 - 독찌르기</t>
  </si>
  <si>
    <t>1 - 저주</t>
  </si>
  <si>
    <t>1 - 무릎차기 (!!)</t>
  </si>
  <si>
    <t>1 - 박치기</t>
  </si>
  <si>
    <t>1 - 하이드로펌프</t>
  </si>
  <si>
    <t>1 - 독가스</t>
  </si>
  <si>
    <t>1 - 흙놀이</t>
  </si>
  <si>
    <t>1 - 꿈먹기</t>
  </si>
  <si>
    <t>1 - 악몽</t>
  </si>
  <si>
    <t>1 - 거품</t>
  </si>
  <si>
    <t>1 - 충전</t>
  </si>
  <si>
    <t>1 - 알폭탄</t>
  </si>
  <si>
    <t>1 - 리벤지</t>
  </si>
  <si>
    <t>1 - 핥기</t>
  </si>
  <si>
    <t>1 - 환상빔</t>
  </si>
  <si>
    <t>1 - 뿔찌르기</t>
  </si>
  <si>
    <t>1 - 번개엄니</t>
  </si>
  <si>
    <t>1 - 이판사판태클</t>
  </si>
  <si>
    <t>1 - 연속펀치</t>
  </si>
  <si>
    <t>1 - 사슬묶기</t>
  </si>
  <si>
    <t>1 - 메지컬리프</t>
  </si>
  <si>
    <t>1 - 드레인키스</t>
  </si>
  <si>
    <t>1 - 전광석화</t>
  </si>
  <si>
    <t>1 - 스모그</t>
  </si>
  <si>
    <t>1 - Vice Grip</t>
  </si>
  <si>
    <t>1 - 튀어오르기</t>
  </si>
  <si>
    <t>1 - 난동부리기</t>
  </si>
  <si>
    <t>1 - 변신</t>
  </si>
  <si>
    <t>1 - 도우미</t>
  </si>
  <si>
    <t>1 - 텍스처2</t>
  </si>
  <si>
    <t>1 - 물대포</t>
  </si>
  <si>
    <t>1 - 압정뿌리기</t>
  </si>
  <si>
    <t>1 - 페인트</t>
  </si>
  <si>
    <t>1 - 태만함 (!!)</t>
  </si>
  <si>
    <t>1 - 바람일으키기</t>
  </si>
  <si>
    <t>1 - 날개치기</t>
  </si>
  <si>
    <t>1 - 대지의힘 (!!)</t>
  </si>
  <si>
    <t>1 - 신속</t>
  </si>
  <si>
    <t>1 - 불새</t>
  </si>
  <si>
    <t>1 - 냉동펀치</t>
  </si>
  <si>
    <t>1 - 기충전</t>
  </si>
  <si>
    <t>1 - 크로스포이즌</t>
  </si>
  <si>
    <t>1 - 순풍</t>
  </si>
  <si>
    <t>1 - 반딧불 (!!)</t>
  </si>
  <si>
    <t>1 - 우드해머</t>
  </si>
  <si>
    <t>1 - 파워젬</t>
  </si>
  <si>
    <t>1 - 사이코웨이브</t>
  </si>
  <si>
    <t>1 - 비밀의힘 (!!)</t>
  </si>
  <si>
    <t>1 - 파워스웹</t>
  </si>
  <si>
    <t>1 - 파워트릭</t>
  </si>
  <si>
    <t>1 - 분노</t>
  </si>
  <si>
    <t>1 - 악마의키스</t>
  </si>
  <si>
    <t>1 - 불릿펀치</t>
  </si>
  <si>
    <t>1 - 참기</t>
  </si>
  <si>
    <t>1 - 손바닥치기</t>
  </si>
  <si>
    <t>1 - 하품</t>
  </si>
  <si>
    <t>1 - 원시의힘</t>
  </si>
  <si>
    <t>1 - 락블레스트</t>
  </si>
  <si>
    <t>1 - 속이다</t>
  </si>
  <si>
    <t>1 - 나쁜음모</t>
  </si>
  <si>
    <t>1 - 냄새구별</t>
  </si>
  <si>
    <t>1 - 불꽃엄니</t>
  </si>
  <si>
    <t>1 - 스케치</t>
  </si>
  <si>
    <t>1 - 전자포</t>
  </si>
  <si>
    <t>1 - 성스러운불꽃</t>
  </si>
  <si>
    <t>1 - 절대영도</t>
  </si>
  <si>
    <t>1 - 날려버리기</t>
  </si>
  <si>
    <t>1 - 풀피리</t>
  </si>
  <si>
    <t>1 - 무릎차기</t>
  </si>
  <si>
    <t>1 - 머드숏</t>
  </si>
  <si>
    <t>1 - 눈사태</t>
  </si>
  <si>
    <t>1 - 기습</t>
  </si>
  <si>
    <t>1 - 놀래키기</t>
  </si>
  <si>
    <t>1 - 괴상한바람</t>
  </si>
  <si>
    <t>1 - 신속 (!!)</t>
  </si>
  <si>
    <t>1 - 폭풍</t>
  </si>
  <si>
    <t>1 - 파동탄</t>
  </si>
  <si>
    <t>1 - 벌레의야단법석</t>
  </si>
  <si>
    <t>1 - 꼬리흔들기</t>
  </si>
  <si>
    <t>1 - 뒀다쓰기</t>
  </si>
  <si>
    <t>1 - 도발</t>
  </si>
  <si>
    <t>1 - 메탈버스트</t>
  </si>
  <si>
    <t>1 - 트릭</t>
  </si>
  <si>
    <t>1 - 더스트슈트</t>
  </si>
  <si>
    <t>1 - 사이코부스트 (!!)</t>
  </si>
  <si>
    <t>1 - 용의춤</t>
  </si>
  <si>
    <t>1 - 진흙뿌리기</t>
  </si>
  <si>
    <t>1 - 사념의박치기</t>
  </si>
  <si>
    <t>1 - 파워휩 (!!)</t>
  </si>
  <si>
    <t>1 - 도둑질</t>
  </si>
  <si>
    <t>1 - 탁쳐서떨구기</t>
  </si>
  <si>
    <t>1 - 치유소원</t>
  </si>
  <si>
    <t>1 - 눈싸라기</t>
  </si>
  <si>
    <t>1 - 대폭발</t>
  </si>
  <si>
    <t>1 - 웅크리기</t>
  </si>
  <si>
    <t>1 - 껍질끼우기</t>
  </si>
  <si>
    <t>1 - 바다회오리</t>
  </si>
  <si>
    <t>1 - 용의숨결</t>
  </si>
  <si>
    <t>1 - 돌진</t>
  </si>
  <si>
    <t>1 - 전자부유</t>
  </si>
  <si>
    <t>1 - 추억의선물</t>
  </si>
  <si>
    <t>1 - 용의숨결 (!!)</t>
  </si>
  <si>
    <t>1 - 용성군</t>
  </si>
  <si>
    <t>1 - 깃털댄스</t>
  </si>
  <si>
    <t>1 - 멸망의노래</t>
  </si>
  <si>
    <t>1 - 땅가르기</t>
  </si>
  <si>
    <t>1 - 방어</t>
  </si>
  <si>
    <t>1 - 리프스톰</t>
  </si>
  <si>
    <t>1 - 아이언헤드</t>
  </si>
  <si>
    <t>1 - 폭풍 (!!)</t>
  </si>
  <si>
    <t>1 - 달콤한향기</t>
  </si>
  <si>
    <t>1 - 소닉붐</t>
  </si>
  <si>
    <t>1 - 길동무</t>
  </si>
  <si>
    <t>1 - 메가톤킥 (!!)</t>
  </si>
  <si>
    <t>1 - 쾌청</t>
  </si>
  <si>
    <t>1 - 거짓울음</t>
  </si>
  <si>
    <t>1 - 간지르기</t>
  </si>
  <si>
    <t>1 - 따라가때리기</t>
  </si>
  <si>
    <t>1 - 손가락흔들기</t>
  </si>
  <si>
    <t>1 - 조이기</t>
  </si>
  <si>
    <t>1 - 하이드로펌프 (!!)</t>
  </si>
  <si>
    <t>1 - 금제</t>
  </si>
  <si>
    <t>1 - 미러코트</t>
  </si>
  <si>
    <t>1 - 블록</t>
  </si>
  <si>
    <t>1 - 암해머</t>
  </si>
  <si>
    <t>1 - 열풍</t>
  </si>
  <si>
    <t>1 - 깜짝베기</t>
  </si>
  <si>
    <t>1 - 싸라기눈</t>
  </si>
  <si>
    <t>1 - 리프블레이드</t>
  </si>
  <si>
    <t>1 - 트라이어택</t>
  </si>
  <si>
    <t>1 - 분화</t>
  </si>
  <si>
    <t>1 - 하트스웹</t>
  </si>
  <si>
    <t>1 - 시간의포효</t>
  </si>
  <si>
    <t>1 - 섀도크루</t>
  </si>
  <si>
    <t>1 - 악의파동</t>
  </si>
  <si>
    <t>1 - 실뿜기</t>
  </si>
  <si>
    <t>7 - 단단해지기</t>
  </si>
  <si>
    <t>10 - 바람일으키기</t>
  </si>
  <si>
    <t>10 - Twinneedle</t>
  </si>
  <si>
    <t>1 - 카운터</t>
  </si>
  <si>
    <t>1 - 드릴라이너</t>
  </si>
  <si>
    <t>1 - 봉인</t>
  </si>
  <si>
    <t>1 - 초음파</t>
  </si>
  <si>
    <t>1 - 성장</t>
  </si>
  <si>
    <t>1 - 메가드레인</t>
  </si>
  <si>
    <t>1 - 연속자르기</t>
  </si>
  <si>
    <t>1 - 아쿠아제트</t>
  </si>
  <si>
    <t>1 - 흰안개</t>
  </si>
  <si>
    <t>1 - 숟가락휘기</t>
  </si>
  <si>
    <t>1 - 흑안개</t>
  </si>
  <si>
    <t>1 - 껍질에숨기</t>
  </si>
  <si>
    <t>1 - 독압정</t>
  </si>
  <si>
    <t>1 - 검은눈빛</t>
  </si>
  <si>
    <t>1 - 고속이동</t>
  </si>
  <si>
    <t>1 - 최면술</t>
  </si>
  <si>
    <t>1 - 씨폭탄</t>
  </si>
  <si>
    <t>1 - 마하펀치</t>
  </si>
  <si>
    <t>4 - 초음파</t>
  </si>
  <si>
    <t>4 - 뿌리박기</t>
  </si>
  <si>
    <t>1 - 텍스처</t>
  </si>
  <si>
    <t>4 - 껍질에숨기</t>
  </si>
  <si>
    <t>1 - 꿰뚫어보기</t>
  </si>
  <si>
    <t>1 - 애교부리기</t>
  </si>
  <si>
    <t>1 - 흉내쟁이</t>
  </si>
  <si>
    <t>1 - 잠재파워</t>
  </si>
  <si>
    <t>1 - 자연의힘 (!!)</t>
  </si>
  <si>
    <t>1 - 가드스웹</t>
  </si>
  <si>
    <t>1 - 기관총</t>
  </si>
  <si>
    <t>1 - 록온</t>
  </si>
  <si>
    <t>6 - 스케치</t>
  </si>
  <si>
    <t>1 - 고속스핀</t>
  </si>
  <si>
    <t>1 - 천사의키스</t>
  </si>
  <si>
    <t>1 - 멀리짖음</t>
  </si>
  <si>
    <t>1 - 얼다바람</t>
  </si>
  <si>
    <t>1 - 쪼아대기</t>
  </si>
  <si>
    <t>4 - 몸통박치기</t>
  </si>
  <si>
    <t>1 - 양날박치기</t>
  </si>
  <si>
    <t>1 - 요가포즈</t>
  </si>
  <si>
    <t>1 - 전기자석파</t>
  </si>
  <si>
    <t>5 - 하품</t>
  </si>
  <si>
    <t>1 - 뽐내기</t>
  </si>
  <si>
    <t>1 - 중력</t>
  </si>
  <si>
    <t>6 - 용해액</t>
  </si>
  <si>
    <t>10 - 물대포</t>
  </si>
  <si>
    <t>1 - 나이트헤드</t>
  </si>
  <si>
    <t>1 - 하이퍼보이스</t>
  </si>
  <si>
    <t>1 - 양날박치기 (!!)</t>
  </si>
  <si>
    <t>1 - 짓밟기</t>
  </si>
  <si>
    <t>1 - 희망사항</t>
  </si>
  <si>
    <t>1 - 회복봉인</t>
  </si>
  <si>
    <t>1 - 물의파동</t>
  </si>
  <si>
    <t>6 - 겁나는얼굴</t>
  </si>
  <si>
    <t>4 - 울음소리</t>
  </si>
  <si>
    <t>4 - 작아지기</t>
  </si>
  <si>
    <t>1 - 브레이즈킥 (!!)</t>
  </si>
  <si>
    <t>1 - 비바라기</t>
  </si>
  <si>
    <t>1 - 배리어</t>
  </si>
  <si>
    <t>1 - 이상한빛</t>
  </si>
  <si>
    <t>1 - 벌레먹음</t>
  </si>
  <si>
    <t>1 - 가로챔</t>
  </si>
  <si>
    <t>1 - 겁나는얼굴</t>
  </si>
  <si>
    <t>1 - 그림자분신</t>
  </si>
  <si>
    <t>1 - 반딧불</t>
  </si>
  <si>
    <t>1 - 공간절단</t>
  </si>
  <si>
    <t>5 - 덩굴채찍</t>
  </si>
  <si>
    <t>5 - 불꽃세례</t>
  </si>
  <si>
    <t>5 - 물대포</t>
  </si>
  <si>
    <t>1 - 용의파동</t>
  </si>
  <si>
    <t>7 - 철벽</t>
  </si>
  <si>
    <t>11 - 염동력</t>
  </si>
  <si>
    <t>11 - 마구찌르기</t>
  </si>
  <si>
    <t>4 - 독침</t>
  </si>
  <si>
    <t>1 - 연속뺨치기</t>
  </si>
  <si>
    <t>4 - 울부짖기</t>
  </si>
  <si>
    <t>4 - 막치기</t>
  </si>
  <si>
    <t>4 - 용해액</t>
  </si>
  <si>
    <t>1 - 아로마테라피</t>
  </si>
  <si>
    <t>7 - 흡수</t>
  </si>
  <si>
    <t>1 - 조수</t>
  </si>
  <si>
    <t>1 - 울부짖기</t>
  </si>
  <si>
    <t>1 - 용해액</t>
  </si>
  <si>
    <t>1 - 흡혈</t>
  </si>
  <si>
    <t>7 - 용해액</t>
  </si>
  <si>
    <t>4 - 물대포</t>
  </si>
  <si>
    <t>1 - 망각술</t>
  </si>
  <si>
    <t>1 - 소란피기</t>
  </si>
  <si>
    <t>1 - 뼈다귀치기</t>
  </si>
  <si>
    <t>20 - 연속펀치</t>
  </si>
  <si>
    <t>7 - 웅크리기</t>
  </si>
  <si>
    <t>4 - 스모그</t>
  </si>
  <si>
    <t>4 - 마구찌르기</t>
  </si>
  <si>
    <t>7 - 덩굴채찍</t>
  </si>
  <si>
    <t>1 - 연막</t>
  </si>
  <si>
    <t>1 - 바둥바둥</t>
  </si>
  <si>
    <t>7 - 째려보기</t>
  </si>
  <si>
    <t>1 - 회오리불꽃</t>
  </si>
  <si>
    <t>7 - 전기자석파</t>
  </si>
  <si>
    <t>1 - 날개쉬기</t>
  </si>
  <si>
    <t>6 - 메가톤펀치</t>
  </si>
  <si>
    <t>5 - 잎날가르기</t>
  </si>
  <si>
    <t>1 - 나쁜음모 (!!)</t>
  </si>
  <si>
    <t>1 - 차밍보이스</t>
  </si>
  <si>
    <t>1 - 차밍보이스 (!!)</t>
  </si>
  <si>
    <t>1 - 신통력</t>
  </si>
  <si>
    <t>6 - 나이트헤드</t>
  </si>
  <si>
    <t>4 - 전기자석파</t>
  </si>
  <si>
    <t>1 - 거품광선</t>
  </si>
  <si>
    <t>5 - 따라가때리기</t>
  </si>
  <si>
    <t>5 - 원한</t>
  </si>
  <si>
    <t>4 - 구르기</t>
  </si>
  <si>
    <t>1 - 구르기</t>
  </si>
  <si>
    <t>6 - 돌떨구기</t>
  </si>
  <si>
    <t>6 - 기관총</t>
  </si>
  <si>
    <t>1 - 차지빔</t>
  </si>
  <si>
    <t>1 - 프레젠트</t>
  </si>
  <si>
    <t>11 - 스케치</t>
  </si>
  <si>
    <t>5 - 웅크리기</t>
  </si>
  <si>
    <t>1 - HP회복</t>
  </si>
  <si>
    <t>5 - 흡수</t>
  </si>
  <si>
    <t>1 - 역린</t>
  </si>
  <si>
    <t>11 - 흡수</t>
  </si>
  <si>
    <t>1 - 잎날가르기</t>
  </si>
  <si>
    <t>7 - 기충전</t>
  </si>
  <si>
    <t>7 - 메가드레인</t>
  </si>
  <si>
    <t>7 - 앵콜</t>
  </si>
  <si>
    <t>7 - 놀래키기</t>
  </si>
  <si>
    <t>4 - 모래뿌리기</t>
  </si>
  <si>
    <t>4 - 블록</t>
  </si>
  <si>
    <t>4 - 진흙뿌리기</t>
  </si>
  <si>
    <t>1 - 판별</t>
  </si>
  <si>
    <t>6 - 그림자분신</t>
  </si>
  <si>
    <t>6 - 달콤한향기</t>
  </si>
  <si>
    <t>8 - 스모그</t>
  </si>
  <si>
    <t>4 - 분노</t>
  </si>
  <si>
    <t>7 - 불꽃세례</t>
  </si>
  <si>
    <t>7 - 냄새구별</t>
  </si>
  <si>
    <t>4 - 흡수</t>
  </si>
  <si>
    <t>4 - 놀래키기</t>
  </si>
  <si>
    <t>4 - 전광석화</t>
  </si>
  <si>
    <t>4 - 물기</t>
  </si>
  <si>
    <t>4 - 고속스핀</t>
  </si>
  <si>
    <t>9 - 뿌리박기</t>
  </si>
  <si>
    <t>10 - 불꽃세례</t>
  </si>
  <si>
    <t>1 - 원한</t>
  </si>
  <si>
    <t>7 - 사슬묶기</t>
  </si>
  <si>
    <t>1 - 땅고르기</t>
  </si>
  <si>
    <t>10 - 원시의힘</t>
  </si>
  <si>
    <t>5 - 거품</t>
  </si>
  <si>
    <t>5 - 전광석화</t>
  </si>
  <si>
    <t>6 - 기충전</t>
  </si>
  <si>
    <t>6 - 도발</t>
  </si>
  <si>
    <t>7 - 물대포</t>
  </si>
  <si>
    <t>7 - 성장</t>
  </si>
  <si>
    <t>7 - 바람일으키기</t>
  </si>
  <si>
    <t>4 - 독가스</t>
  </si>
  <si>
    <t>5 - 봉인</t>
  </si>
  <si>
    <t>7 - 용의숨결</t>
  </si>
  <si>
    <t>1 - 버티기</t>
  </si>
  <si>
    <t>6 - 물대포</t>
  </si>
  <si>
    <t>1 - 에어컷터</t>
  </si>
  <si>
    <t>1 - 승부굳히기</t>
  </si>
  <si>
    <t>6 - 메탈크로우</t>
  </si>
  <si>
    <t>6 - 물의파동</t>
  </si>
  <si>
    <t>6 - 째려보기</t>
  </si>
  <si>
    <t>6 - 괴상한바람</t>
  </si>
  <si>
    <t>6 - 신비의부적</t>
  </si>
  <si>
    <t>6 - 애교부리기</t>
  </si>
  <si>
    <t>6 - 메지컬리프</t>
  </si>
  <si>
    <t>1 - 섀도다이브</t>
  </si>
  <si>
    <t>8 - 씨뿌리기</t>
  </si>
  <si>
    <t>8 - 연막</t>
  </si>
  <si>
    <t>8 - 껍질에숨기</t>
  </si>
  <si>
    <t>13 - 독가루</t>
  </si>
  <si>
    <t>13 - 분노</t>
  </si>
  <si>
    <t>6 - 전광석화</t>
  </si>
  <si>
    <t>7 - 물기</t>
  </si>
  <si>
    <t>7 - 따라가때리기</t>
  </si>
  <si>
    <t>1 - 흔들흔들댄스</t>
  </si>
  <si>
    <t>4 - 앵콜</t>
  </si>
  <si>
    <t>7 - 전광석화</t>
  </si>
  <si>
    <t>1 - 화염방사</t>
  </si>
  <si>
    <t>7 - 거짓울음</t>
  </si>
  <si>
    <t>7 - 달콤한향기</t>
  </si>
  <si>
    <t>1 - 독가루</t>
  </si>
  <si>
    <t>10 - 저리가루</t>
  </si>
  <si>
    <t>7 - 초음파</t>
  </si>
  <si>
    <t>6 - 물기</t>
  </si>
  <si>
    <t>6 - 최면술</t>
  </si>
  <si>
    <t>1 - 벌크업</t>
  </si>
  <si>
    <t>7 - 태권당수</t>
  </si>
  <si>
    <t>7 - 김밥말이</t>
  </si>
  <si>
    <t>1 - 비축하기</t>
  </si>
  <si>
    <t>10 - 독압정</t>
  </si>
  <si>
    <t>7 - 록커트</t>
  </si>
  <si>
    <t>6 - 분노</t>
  </si>
  <si>
    <t>1 - 고드름침</t>
  </si>
  <si>
    <t>4 - 단단해지기</t>
  </si>
  <si>
    <t>6 - 사슬묶기</t>
  </si>
  <si>
    <t>5 - Vice Grip</t>
  </si>
  <si>
    <t>6 - 소닉붐</t>
  </si>
  <si>
    <t>7 - 리플렉터</t>
  </si>
  <si>
    <t>20 - 두번치기</t>
  </si>
  <si>
    <t>21 - 고속이동</t>
  </si>
  <si>
    <t>10 - 김밥말이</t>
  </si>
  <si>
    <t>7 - 연막</t>
  </si>
  <si>
    <t>7 - 겁나는얼굴</t>
  </si>
  <si>
    <t>10 - 조이기</t>
  </si>
  <si>
    <t>7 - 꼬리흔들기</t>
  </si>
  <si>
    <t>4 - 기충전</t>
  </si>
  <si>
    <t>7 - 안다리걸기</t>
  </si>
  <si>
    <t>4 - 겁나는얼굴</t>
  </si>
  <si>
    <t>15 - 뛰어오르다</t>
  </si>
  <si>
    <t>4 - 흰안개</t>
  </si>
  <si>
    <t>10 - 물기</t>
  </si>
  <si>
    <t>1 - 얼음뭉치</t>
  </si>
  <si>
    <t>10 - 용의숨결</t>
  </si>
  <si>
    <t>10 - 손가락흔들기</t>
  </si>
  <si>
    <t>8 - 독가루</t>
  </si>
  <si>
    <t>1 - 자연의은혜</t>
  </si>
  <si>
    <t>8 - 분노</t>
  </si>
  <si>
    <t>7 - 스피드스타</t>
  </si>
  <si>
    <t>9 - 벌레먹음</t>
  </si>
  <si>
    <t>6 - 전격파</t>
  </si>
  <si>
    <t>4 - 애교부리기</t>
  </si>
  <si>
    <t>9 - 순간이동</t>
  </si>
  <si>
    <t>7 - 전기쇼크</t>
  </si>
  <si>
    <t>1 - 돌떨구기</t>
  </si>
  <si>
    <t>5 - 광합성</t>
  </si>
  <si>
    <t>5 - 놀래키기</t>
  </si>
  <si>
    <t>7 - 풀피리</t>
  </si>
  <si>
    <t>7 - 머드숏</t>
  </si>
  <si>
    <t>9 - 흑안개</t>
  </si>
  <si>
    <t>9 - 놀래키기</t>
  </si>
  <si>
    <t>1 - 코스믹파워 (!!)</t>
  </si>
  <si>
    <t>6 - 벌레먹음</t>
  </si>
  <si>
    <t>7 - 원한</t>
  </si>
  <si>
    <t>6 - 앵콜</t>
  </si>
  <si>
    <t>6 - 마구할퀴기</t>
  </si>
  <si>
    <t>9 - 불꽃세례</t>
  </si>
  <si>
    <t>4 - 가시대포</t>
  </si>
  <si>
    <t>9 - 환상빔</t>
  </si>
  <si>
    <t>16 - 스케치</t>
  </si>
  <si>
    <t>20 - 돌려차기</t>
  </si>
  <si>
    <t>9 - 짓밟기</t>
  </si>
  <si>
    <t>4 - 모래바람</t>
  </si>
  <si>
    <t>1 - 치료방울</t>
  </si>
  <si>
    <t>8 - 전광석화</t>
  </si>
  <si>
    <t>8 - 모래뿌리기</t>
  </si>
  <si>
    <t>8 - 진흙뿌리기</t>
  </si>
  <si>
    <t>13 - 저리가루</t>
  </si>
  <si>
    <t>7 - 거품</t>
  </si>
  <si>
    <t>1 - 자연의힘</t>
  </si>
  <si>
    <t>1 - 속여때리기</t>
  </si>
  <si>
    <t>10 - 전광석화</t>
  </si>
  <si>
    <t>10 - 씨뿌리기</t>
  </si>
  <si>
    <t>11 - 태만함</t>
  </si>
  <si>
    <t>11 - 소란피기</t>
  </si>
  <si>
    <t>10 - 소란피기</t>
  </si>
  <si>
    <t>7 - 손바닥치기</t>
  </si>
  <si>
    <t>7 - 돌떨구기</t>
  </si>
  <si>
    <t>4 - 나이트헤드</t>
  </si>
  <si>
    <t>4 - 거짓울음</t>
  </si>
  <si>
    <t>7 - 박치기</t>
  </si>
  <si>
    <t>7 - 염동력</t>
  </si>
  <si>
    <t>4 - 멀리짖음</t>
  </si>
  <si>
    <t>4 - 도우미</t>
  </si>
  <si>
    <t>9 - 이상한빛</t>
  </si>
  <si>
    <t>9 - 애교부리기</t>
  </si>
  <si>
    <t>11 - 독가스</t>
  </si>
  <si>
    <t>4 - 웅크리기</t>
  </si>
  <si>
    <t>10 - 기충전</t>
  </si>
  <si>
    <t>7 - 고속스핀</t>
  </si>
  <si>
    <t>10 - 환상빔</t>
  </si>
  <si>
    <t>7 - 노래하기</t>
  </si>
  <si>
    <t>7 - 연속자르기</t>
  </si>
  <si>
    <t>7 - 핥기</t>
  </si>
  <si>
    <t>7 - 진흙뿌리기</t>
  </si>
  <si>
    <t>12 - 이상한빛</t>
  </si>
  <si>
    <t>6 - 흙놀이</t>
  </si>
  <si>
    <t>15 - 물의파동</t>
  </si>
  <si>
    <t>5 - 리프레쉬</t>
  </si>
  <si>
    <t>10 - 눈싸라기</t>
  </si>
  <si>
    <t>7 - 나이트헤드</t>
  </si>
  <si>
    <t>10 - 놀래키기</t>
  </si>
  <si>
    <t>4 - 째려보기</t>
  </si>
  <si>
    <t>9 - 얼음뭉치</t>
  </si>
  <si>
    <t>1 - 철벽</t>
  </si>
  <si>
    <t>7 - 고속이동</t>
  </si>
  <si>
    <t>6 - 얼다바람</t>
  </si>
  <si>
    <t>1 - 신비의부적</t>
  </si>
  <si>
    <t>10 - 아쿠아테일</t>
  </si>
  <si>
    <t>10 - 대지의힘</t>
  </si>
  <si>
    <t>14 - 깨물어부수기</t>
  </si>
  <si>
    <t>10 - 순간이동</t>
  </si>
  <si>
    <t>10 - 그림자분신</t>
  </si>
  <si>
    <t>8 - 잎날가르기</t>
  </si>
  <si>
    <t>8 - 도발</t>
  </si>
  <si>
    <t>8 - 물놀이</t>
  </si>
  <si>
    <t>8 - 날개치기</t>
  </si>
  <si>
    <t>8 - 박치기</t>
  </si>
  <si>
    <t>9 - 메가드레인</t>
  </si>
  <si>
    <t>9 - 따라가때리기</t>
  </si>
  <si>
    <t>9 - 금속음</t>
  </si>
  <si>
    <t>10 - 물의파동</t>
  </si>
  <si>
    <t>1 - 주술</t>
  </si>
  <si>
    <t>7 - 싫은소리</t>
  </si>
  <si>
    <t>4 - 흉내쟁이</t>
  </si>
  <si>
    <t>6 - 울음소리</t>
  </si>
  <si>
    <t>1 - 야습</t>
  </si>
  <si>
    <t>10 - 땅고르기</t>
  </si>
  <si>
    <t>6 - 탁쳐서떨구기</t>
  </si>
  <si>
    <t>6 - 덩굴채찍</t>
  </si>
  <si>
    <t>9 - 헤롱헤롱</t>
  </si>
  <si>
    <t>7 - 얼다바람</t>
  </si>
  <si>
    <t>6 - 봉인</t>
  </si>
  <si>
    <t>10 - 불꽃엄니</t>
  </si>
  <si>
    <t>1 - 잼잼펀치</t>
  </si>
  <si>
    <t>10 - 흰안개</t>
  </si>
  <si>
    <t>10 - 초음파</t>
  </si>
  <si>
    <t>1 - 지구던지기</t>
  </si>
  <si>
    <t>11 - 잎날가르기</t>
  </si>
  <si>
    <t>11 - 메탈크로우</t>
  </si>
  <si>
    <t>11 - 거품</t>
  </si>
  <si>
    <t>15 - 독압정</t>
  </si>
  <si>
    <t>9 - 날개치기</t>
  </si>
  <si>
    <t>10 - 마구찌르기</t>
  </si>
  <si>
    <t>10 - 용해액</t>
  </si>
  <si>
    <t>7 - 구르기</t>
  </si>
  <si>
    <t>1 - 두번치기</t>
  </si>
  <si>
    <t>6 - 마구찌르기</t>
  </si>
  <si>
    <t>1 - 작아지기</t>
  </si>
  <si>
    <t>11 - 이상한빛</t>
  </si>
  <si>
    <t>9 - 차밍보이스</t>
  </si>
  <si>
    <t>10 - 날개치기</t>
  </si>
  <si>
    <t>10 - 수면가루</t>
  </si>
  <si>
    <t>1 - 저리가루</t>
  </si>
  <si>
    <t>10 - 독가루</t>
  </si>
  <si>
    <t>10 - 벌레먹음</t>
  </si>
  <si>
    <t>9 - 속이다</t>
  </si>
  <si>
    <t>9 - 염동력</t>
  </si>
  <si>
    <t>5 - 마구할퀴기</t>
  </si>
  <si>
    <t>9 - 물대포</t>
  </si>
  <si>
    <t>16 - 환상빔</t>
  </si>
  <si>
    <t>10 - 꿰뚫어보기</t>
  </si>
  <si>
    <t>1 - 꿀꺽</t>
  </si>
  <si>
    <t>13 - 물의파동</t>
  </si>
  <si>
    <t>10 - 돌떨구기</t>
  </si>
  <si>
    <t>10 - 짓밟기</t>
  </si>
  <si>
    <t>7 - 소닉붐</t>
  </si>
  <si>
    <t>7 - 마구찌르기</t>
  </si>
  <si>
    <t>9 - 마구찌르기</t>
  </si>
  <si>
    <t>6 - 물놀이</t>
  </si>
  <si>
    <t>6 - 시그널빔</t>
  </si>
  <si>
    <t>10 - 껍질끼우기</t>
  </si>
  <si>
    <t>4 - 최면술</t>
  </si>
  <si>
    <t>4 - 저주</t>
  </si>
  <si>
    <t>8 - 째려보기</t>
  </si>
  <si>
    <t>9 - 전기쇼크</t>
  </si>
  <si>
    <t>13 - 염동력</t>
  </si>
  <si>
    <t>21 - 요가포즈</t>
  </si>
  <si>
    <t>23 - 따라가때리기</t>
  </si>
  <si>
    <t>13 - 사슬묶기</t>
  </si>
  <si>
    <t>10 - 승부굳히기</t>
  </si>
  <si>
    <t>7 - 사이코웨이브</t>
  </si>
  <si>
    <t>1 - 스피드스타</t>
  </si>
  <si>
    <t>10 - 스피드스타</t>
  </si>
  <si>
    <t>10 - 속여때리기</t>
  </si>
  <si>
    <t>7 - 지구던지기</t>
  </si>
  <si>
    <t>7 - 뿔찌르기</t>
  </si>
  <si>
    <t>20 - 물기</t>
  </si>
  <si>
    <t>7 - 이상한빛</t>
  </si>
  <si>
    <t>1 - 각지기</t>
  </si>
  <si>
    <t>13 - 구르기</t>
  </si>
  <si>
    <t>10 - 아쿠아제트</t>
  </si>
  <si>
    <t>9 - 망각술</t>
  </si>
  <si>
    <t>6 - 마음의눈</t>
  </si>
  <si>
    <t>6 - 쪼아대기</t>
  </si>
  <si>
    <t>6 - 버티기</t>
  </si>
  <si>
    <t>13 - 아쿠아제트</t>
  </si>
  <si>
    <t>14 - 속이다</t>
  </si>
  <si>
    <t>11 - 광합성</t>
  </si>
  <si>
    <t>11 - 전광석화</t>
  </si>
  <si>
    <t>11 - 물기</t>
  </si>
  <si>
    <t>11 - 겁나는얼굴</t>
  </si>
  <si>
    <t>7 - 천사의키스</t>
  </si>
  <si>
    <t>5 - 손가락흔들기</t>
  </si>
  <si>
    <t>11 - 주술</t>
  </si>
  <si>
    <t>10 - 목화포자</t>
  </si>
  <si>
    <t>6 - 거품</t>
  </si>
  <si>
    <t>6 - 바둥바둥</t>
  </si>
  <si>
    <t>8 - 간지르기</t>
  </si>
  <si>
    <t>9 - 소닉붐</t>
  </si>
  <si>
    <t>10 - 힘껏치기</t>
  </si>
  <si>
    <t>13 - 날개치기</t>
  </si>
  <si>
    <t>11 - 야습</t>
  </si>
  <si>
    <t>9 - 자폭</t>
  </si>
  <si>
    <t>11 - 따라가때리기</t>
  </si>
  <si>
    <t>9 - 김밥말이</t>
  </si>
  <si>
    <t>10 - 얼다바람</t>
  </si>
  <si>
    <t>9 - 속여때리기</t>
  </si>
  <si>
    <t>12 - 단단해지기</t>
  </si>
  <si>
    <t>7 - 흙놀이</t>
  </si>
  <si>
    <t>7 - HP회복</t>
  </si>
  <si>
    <t>12 - 오로라빔</t>
  </si>
  <si>
    <t>7 - 메탈크로우</t>
  </si>
  <si>
    <t>10 - 울부짖기</t>
  </si>
  <si>
    <t>10 - 최면술</t>
  </si>
  <si>
    <t>21 - 스케치</t>
  </si>
  <si>
    <t>6 - 염동력</t>
  </si>
  <si>
    <t>13 - 우유마시기</t>
  </si>
  <si>
    <t>6 - 명상</t>
  </si>
  <si>
    <t>11 - 메가드레인</t>
  </si>
  <si>
    <t>11 - 쪼기</t>
  </si>
  <si>
    <t>11 - 꿰뚫어보기</t>
  </si>
  <si>
    <t>10 - 냄새구별</t>
  </si>
  <si>
    <t>1 - 독엄니</t>
  </si>
  <si>
    <t>7 - 탐내다</t>
  </si>
  <si>
    <t>15 - 은빛바람</t>
  </si>
  <si>
    <t>10 - 자연의힘</t>
  </si>
  <si>
    <t>32 - 흔들흔들댄스</t>
  </si>
  <si>
    <t>1 - 보복</t>
  </si>
  <si>
    <t>7 - 차밍보이스</t>
  </si>
  <si>
    <t>9 - 물놀이</t>
  </si>
  <si>
    <t>13 - 기관총</t>
  </si>
  <si>
    <t>15 - 브레이크크루</t>
  </si>
  <si>
    <t>13 - 싫은소리</t>
  </si>
  <si>
    <t>10 - 전기자석파</t>
  </si>
  <si>
    <t>10 - 메탈크로우</t>
  </si>
  <si>
    <t>10 - 버티기</t>
  </si>
  <si>
    <t>7 - 스파크</t>
  </si>
  <si>
    <t>12 - 전광석화</t>
  </si>
  <si>
    <t>14 - 망각술</t>
  </si>
  <si>
    <t>13 - 매그니튜드</t>
  </si>
  <si>
    <t>10 - 회오리불꽃</t>
  </si>
  <si>
    <t>13 - 자기암시</t>
  </si>
  <si>
    <t>4 - 사슬묶기</t>
  </si>
  <si>
    <t>11 - 차밍보이스</t>
  </si>
  <si>
    <t>10 - 따라가때리기</t>
  </si>
  <si>
    <t>10 - 독엄니</t>
  </si>
  <si>
    <t>5 - 회오리불꽃</t>
  </si>
  <si>
    <t>10 - 진흙폭탄</t>
  </si>
  <si>
    <t>8 - 아쿠아제트</t>
  </si>
  <si>
    <t>10 - 회복봉인</t>
  </si>
  <si>
    <t>15 - 원시의힘</t>
  </si>
  <si>
    <t>9 - 아쿠아제트</t>
  </si>
  <si>
    <t>7 - 간지르기</t>
  </si>
  <si>
    <t>15 - 박치기</t>
  </si>
  <si>
    <t>10 - 사슬묶기</t>
  </si>
  <si>
    <t>13 - 꿰뚫어보기</t>
  </si>
  <si>
    <t>12 - 얼다바람</t>
  </si>
  <si>
    <t>7 - 속여때리기</t>
  </si>
  <si>
    <t>7 - 드레인키스</t>
  </si>
  <si>
    <t>7 - 암석봉인</t>
  </si>
  <si>
    <t>13 - 용의숨결</t>
  </si>
  <si>
    <t>10 - 차지빔</t>
  </si>
  <si>
    <t>6 - 방어</t>
  </si>
  <si>
    <t>14 - 누르기</t>
  </si>
  <si>
    <t>14 - 분연</t>
  </si>
  <si>
    <t>18 - 에어슬래시</t>
  </si>
  <si>
    <t>1 - 잠자기</t>
  </si>
  <si>
    <t>14 - 탁쳐서떨구기</t>
  </si>
  <si>
    <t>14 - 도발</t>
  </si>
  <si>
    <t>11 - 저주</t>
  </si>
  <si>
    <t>11 - 마구할퀴기</t>
  </si>
  <si>
    <t>11 - 그림자분신</t>
  </si>
  <si>
    <t>11 - 구르기</t>
  </si>
  <si>
    <t>9 - 스파크</t>
  </si>
  <si>
    <t>12 - 저리가루</t>
  </si>
  <si>
    <t>12 - 돌진</t>
  </si>
  <si>
    <t>13 - 스파크</t>
  </si>
  <si>
    <t>13 - 물놀이</t>
  </si>
  <si>
    <t>13 - 도우미</t>
  </si>
  <si>
    <t>13 - 진흙폭탄</t>
  </si>
  <si>
    <t>13 - 보복</t>
  </si>
  <si>
    <t>7 - 버티기</t>
  </si>
  <si>
    <t>7 - 마구할퀴기</t>
  </si>
  <si>
    <t>10 - 사이코웨이브</t>
  </si>
  <si>
    <t>13 - 사이코웨이브</t>
  </si>
  <si>
    <t>6 - 흉내쟁이</t>
  </si>
  <si>
    <t>7 - 리프레쉬</t>
  </si>
  <si>
    <t>13 - 돌진</t>
  </si>
  <si>
    <t>4 - 메탈크로우</t>
  </si>
  <si>
    <t>11 - 하품</t>
  </si>
  <si>
    <t>9 - 바늘미사일</t>
  </si>
  <si>
    <t>7 - 독침</t>
  </si>
  <si>
    <t>12 - 비바라기</t>
  </si>
  <si>
    <t>10 - 풀피리</t>
  </si>
  <si>
    <t>4 - 전기쇼크</t>
  </si>
  <si>
    <t>10 - 방어</t>
  </si>
  <si>
    <t>10 - 판별</t>
  </si>
  <si>
    <t>14 - 베어가르기</t>
  </si>
  <si>
    <t>14 - 금속음</t>
  </si>
  <si>
    <t>14 - 오로라빔</t>
  </si>
  <si>
    <t>14 - 거품광선</t>
  </si>
  <si>
    <t>14 - 광합성</t>
  </si>
  <si>
    <t>14 - 전광석화</t>
  </si>
  <si>
    <t>1 - 코스믹파워</t>
  </si>
  <si>
    <t>14 - 독가루</t>
  </si>
  <si>
    <t>14 - 물기</t>
  </si>
  <si>
    <t>13 - 수면가루</t>
  </si>
  <si>
    <t>17 - 바늘미사일</t>
  </si>
  <si>
    <t>12 - 스피드스타</t>
  </si>
  <si>
    <t>13 - 따라가때리기</t>
  </si>
  <si>
    <t>13 - 제비반환</t>
  </si>
  <si>
    <t>13 - 뱀눈초리</t>
  </si>
  <si>
    <t>11 - 두번치기</t>
  </si>
  <si>
    <t>9 - 땅고르기</t>
  </si>
  <si>
    <t>9 - 두번치기</t>
  </si>
  <si>
    <t>13 - 회오리불꽃</t>
  </si>
  <si>
    <t>11 - 연속뺨치기</t>
  </si>
  <si>
    <t>13 - 독엄니</t>
  </si>
  <si>
    <t>17 - 아로마테라피</t>
  </si>
  <si>
    <t>13 - 벌레먹음</t>
  </si>
  <si>
    <t>12 - 마구할퀴기</t>
  </si>
  <si>
    <t>8 - 태권당수</t>
  </si>
  <si>
    <t>11 - 냄새구별</t>
  </si>
  <si>
    <t>12 - 연속뺨치기</t>
  </si>
  <si>
    <t>19 - 사슬묶기</t>
  </si>
  <si>
    <t>13 - 깨트리다</t>
  </si>
  <si>
    <t>1 - 토해내기</t>
  </si>
  <si>
    <t>16 - 김밥말이</t>
  </si>
  <si>
    <t>13 - 땅고르기</t>
  </si>
  <si>
    <t>13 - 두번치기</t>
  </si>
  <si>
    <t>10 - 염동력</t>
  </si>
  <si>
    <t>10 - 스파크</t>
  </si>
  <si>
    <t>10 - 제비반환</t>
  </si>
  <si>
    <t>12 - 따라가때리기</t>
  </si>
  <si>
    <t>9 - 얼다바람</t>
  </si>
  <si>
    <t>13 - 방어</t>
  </si>
  <si>
    <t>1 - 오로라빔</t>
  </si>
  <si>
    <t>12 - 박치기</t>
  </si>
  <si>
    <t>11 - 머드숏</t>
  </si>
  <si>
    <t>12 - 구르기</t>
  </si>
  <si>
    <t>15 - 기관총</t>
  </si>
  <si>
    <t>23 - 짓밟기</t>
  </si>
  <si>
    <t>10 - 째려보기</t>
  </si>
  <si>
    <t>23 - 돌려차기</t>
  </si>
  <si>
    <t>25 - 깨트리다</t>
  </si>
  <si>
    <t>16 - 짓밟기</t>
  </si>
  <si>
    <t>13 - 아픔나누기</t>
  </si>
  <si>
    <t>13 - 짓밟기</t>
  </si>
  <si>
    <t>13 - 더블어택</t>
  </si>
  <si>
    <t>11 - HP회복</t>
  </si>
  <si>
    <t>10 - 칼등치기</t>
  </si>
  <si>
    <t>6 - 연속뺨치기</t>
  </si>
  <si>
    <t>13 - 전격파</t>
  </si>
  <si>
    <t>23 - 용의분노</t>
  </si>
  <si>
    <t>10 - 얼음뭉치</t>
  </si>
  <si>
    <t>1 - 탐내다</t>
  </si>
  <si>
    <t>7 - 환상빔</t>
  </si>
  <si>
    <t>16 - 머드숏</t>
  </si>
  <si>
    <t>12 - 핥기</t>
  </si>
  <si>
    <t>16 - 용의분노</t>
  </si>
  <si>
    <t>6 - 스피드스타</t>
  </si>
  <si>
    <t>18 - 배리어</t>
  </si>
  <si>
    <t>14 - 메지컬리프</t>
  </si>
  <si>
    <t>14 - 화염자동차</t>
  </si>
  <si>
    <t>14 - 두번치기</t>
  </si>
  <si>
    <t>14 - 겁나는얼굴</t>
  </si>
  <si>
    <t>8 - 도우미</t>
  </si>
  <si>
    <t>11 - 빛의장막</t>
  </si>
  <si>
    <t>13 - 독엄니 (!!)</t>
  </si>
  <si>
    <t>12 - 스파크</t>
  </si>
  <si>
    <t>11 - 전기자석파</t>
  </si>
  <si>
    <t>8 - 천사의키스</t>
  </si>
  <si>
    <t>14 - 염동력 (!!)</t>
  </si>
  <si>
    <t>13 - 충전</t>
  </si>
  <si>
    <t>9 - 웅크리기</t>
  </si>
  <si>
    <t>9 - 탐내다</t>
  </si>
  <si>
    <t>9 - 기관총</t>
  </si>
  <si>
    <t>11 - 바톤터치</t>
  </si>
  <si>
    <t>11 - 씨뿌리기</t>
  </si>
  <si>
    <t>15 - 승부굳히기</t>
  </si>
  <si>
    <t>13 - 차밍보이스</t>
  </si>
  <si>
    <t>1 - 원시의힘 (!!)</t>
  </si>
  <si>
    <t>12 - 고속스핀</t>
  </si>
  <si>
    <t>10 - 탁쳐서떨구기</t>
  </si>
  <si>
    <t>9 - 단단해지기</t>
  </si>
  <si>
    <t>12 - 신비의부적</t>
  </si>
  <si>
    <t>13 - 속여때리기</t>
  </si>
  <si>
    <t>12 - 탐내다</t>
  </si>
  <si>
    <t>15 - 도깨비불</t>
  </si>
  <si>
    <t>10 - 리프레쉬</t>
  </si>
  <si>
    <t>15 - 머드숏</t>
  </si>
  <si>
    <t>9 - 전광석화</t>
  </si>
  <si>
    <t>10 - 에어컷터</t>
  </si>
  <si>
    <t>13 - 스모그</t>
  </si>
  <si>
    <t>26 - 스케치</t>
  </si>
  <si>
    <t>9 - 노래하기</t>
  </si>
  <si>
    <t>17 - 참기</t>
  </si>
  <si>
    <t>6 - 전기쇼크</t>
  </si>
  <si>
    <t>6 - 불꽃세례</t>
  </si>
  <si>
    <t>6 - 거품광선</t>
  </si>
  <si>
    <t>10 - 암석봉인</t>
  </si>
  <si>
    <t>10 - 신통력</t>
  </si>
  <si>
    <t>10 - 메지컬리프</t>
  </si>
  <si>
    <t>14 - 따라가때리기</t>
  </si>
  <si>
    <t>14 - 회오리불꽃</t>
  </si>
  <si>
    <t>14 - 벌크업</t>
  </si>
  <si>
    <t>14 - 참기</t>
  </si>
  <si>
    <t>13 - 승부굳히기</t>
  </si>
  <si>
    <t>18 - 메가드레인</t>
  </si>
  <si>
    <t>18 - 환상빔</t>
  </si>
  <si>
    <t>13 - 메가드레인</t>
  </si>
  <si>
    <t>44 - 하이드로펌프</t>
  </si>
  <si>
    <t>15 - 광합성</t>
  </si>
  <si>
    <t>14 - 잎날가르기</t>
  </si>
  <si>
    <t>16 - 그림자분신</t>
  </si>
  <si>
    <t>10 - 주술</t>
  </si>
  <si>
    <t>12 - 머드숏</t>
  </si>
  <si>
    <t>16 - 박치기</t>
  </si>
  <si>
    <t>19 - 속여때리기</t>
  </si>
  <si>
    <t>19 - 마구할퀴기</t>
  </si>
  <si>
    <t>11 - 발경</t>
  </si>
  <si>
    <t>8 - 애교부리기</t>
  </si>
  <si>
    <t>4 - 꿰뚫어보기</t>
  </si>
  <si>
    <t>10 - 달콤한향기</t>
  </si>
  <si>
    <t>13 - 암석봉인</t>
  </si>
  <si>
    <t>13 - 페인트</t>
  </si>
  <si>
    <t>10 - 앵콜</t>
  </si>
  <si>
    <t>15 - 벌레먹음</t>
  </si>
  <si>
    <t>17 - 오물공격</t>
  </si>
  <si>
    <t>10 - 구르기</t>
  </si>
  <si>
    <t>16 - 원시의힘</t>
  </si>
  <si>
    <t>13 - 연막</t>
  </si>
  <si>
    <t>16 - 이상한빛</t>
  </si>
  <si>
    <t>11 - 땅고르기</t>
  </si>
  <si>
    <t>13 - 모래뿌리기</t>
  </si>
  <si>
    <t>13 - 마구찌르기</t>
  </si>
  <si>
    <t>13 - 칼등치기</t>
  </si>
  <si>
    <t>5 - 최면술</t>
  </si>
  <si>
    <t>9 - 록커트</t>
  </si>
  <si>
    <t>13 - 망각술</t>
  </si>
  <si>
    <t>11 - 방어</t>
  </si>
  <si>
    <t>12 - 연속자르기</t>
  </si>
  <si>
    <t>20 - 비바라기</t>
  </si>
  <si>
    <t>4 - 조이기</t>
  </si>
  <si>
    <t>13 - 야습</t>
  </si>
  <si>
    <t>16 - 야습</t>
  </si>
  <si>
    <t>15 - 신비의부적</t>
  </si>
  <si>
    <t>15 - 물기</t>
  </si>
  <si>
    <t>25 - 탁류</t>
  </si>
  <si>
    <t>11 - 물의파동</t>
  </si>
  <si>
    <t>13 - 주술</t>
  </si>
  <si>
    <t>1 - 메탈크로우</t>
  </si>
  <si>
    <t>14 - 블록</t>
  </si>
  <si>
    <t>10 - 애교부리기</t>
  </si>
  <si>
    <t>10 - 용의춤</t>
  </si>
  <si>
    <t>18 - 아쿠아링</t>
  </si>
  <si>
    <t>18 - 잠자기</t>
  </si>
  <si>
    <t>22 - 잠자기</t>
  </si>
  <si>
    <t>18 - 따라가때리기</t>
  </si>
  <si>
    <t>18 - 압정뿌리기</t>
  </si>
  <si>
    <t>14 - 기관총</t>
  </si>
  <si>
    <t>14 - 마하펀치</t>
  </si>
  <si>
    <t>14 - 꿰뚫어보기</t>
  </si>
  <si>
    <t>14 - 필살앞니</t>
  </si>
  <si>
    <t>12 - 물기</t>
  </si>
  <si>
    <t>12 - 수면가루</t>
  </si>
  <si>
    <t>53 - 리프스톰</t>
  </si>
  <si>
    <t>15 - 겁나는얼굴</t>
  </si>
  <si>
    <t>15 - 철벽</t>
  </si>
  <si>
    <t>20 - 바람일으키기</t>
  </si>
  <si>
    <t>15 - 버티기</t>
  </si>
  <si>
    <t>16 - 아쿠아제트</t>
  </si>
  <si>
    <t>16 - 메지컬리프</t>
  </si>
  <si>
    <t>16 - 잠재파워</t>
  </si>
  <si>
    <t>16 - 괴상한바람</t>
  </si>
  <si>
    <t>29 - 뽐내기</t>
  </si>
  <si>
    <t>13 - 하품</t>
  </si>
  <si>
    <t>13 - 마구할퀴기</t>
  </si>
  <si>
    <t>15 - 최면술</t>
  </si>
  <si>
    <t>9 - 요가포즈</t>
  </si>
  <si>
    <t>10 - 천사의키스</t>
  </si>
  <si>
    <t>12 - 따라하기</t>
  </si>
  <si>
    <t>7 - 카운터</t>
  </si>
  <si>
    <t>15 - 땅고르기</t>
  </si>
  <si>
    <t>12 - 경혈찌르기</t>
  </si>
  <si>
    <t>10 - 트집</t>
  </si>
  <si>
    <t>12 - 달콤한향기</t>
  </si>
  <si>
    <t>15 - 바람일으키기</t>
  </si>
  <si>
    <t>13 - 뽐내기</t>
  </si>
  <si>
    <t>1 - 에어슬래시</t>
  </si>
  <si>
    <t>7 - 베어가르기</t>
  </si>
  <si>
    <t>14 - 스피드스타</t>
  </si>
  <si>
    <t>18 - 파워젬</t>
  </si>
  <si>
    <t>18 - 깨물어부수기</t>
  </si>
  <si>
    <t>10 - 이상한빛</t>
  </si>
  <si>
    <t>18 - 야습</t>
  </si>
  <si>
    <t>18 - 미래예지</t>
  </si>
  <si>
    <t>18 - 녹기</t>
  </si>
  <si>
    <t>18 - 달콤한향기</t>
  </si>
  <si>
    <t>14 - 수면가루</t>
  </si>
  <si>
    <t>17 - 용의분노</t>
  </si>
  <si>
    <t>16 - 용의숨결</t>
  </si>
  <si>
    <t>17 - 고속스핀</t>
  </si>
  <si>
    <t>16 - 하품</t>
  </si>
  <si>
    <t>19 - 따라가때리기</t>
  </si>
  <si>
    <t>15 - 에어컷터</t>
  </si>
  <si>
    <t>16 - 필살앞니</t>
  </si>
  <si>
    <t>16 - 따라하기</t>
  </si>
  <si>
    <t>16 - 독엄니</t>
  </si>
  <si>
    <t>11 - 고속스핀</t>
  </si>
  <si>
    <t>12 - 독엄니</t>
  </si>
  <si>
    <t>25 - 누르기</t>
  </si>
  <si>
    <t>25 - 난동부리기</t>
  </si>
  <si>
    <t>11 - 웅크리기</t>
  </si>
  <si>
    <t>37 - 문포스</t>
  </si>
  <si>
    <t>15 - 보복</t>
  </si>
  <si>
    <t>15 - 이상한빛</t>
  </si>
  <si>
    <t>27 - 대지의힘 (!!)</t>
  </si>
  <si>
    <t>16 - 기관총</t>
  </si>
  <si>
    <t>15 - 독가루</t>
  </si>
  <si>
    <t>15 - 싫은소리</t>
  </si>
  <si>
    <t>11 - 탐내다</t>
  </si>
  <si>
    <t>11 - 내던지기</t>
  </si>
  <si>
    <t>15 - 비바라기</t>
  </si>
  <si>
    <t>22 - 나이트헤드</t>
  </si>
  <si>
    <t>15 - 지구던지기</t>
  </si>
  <si>
    <t>19 - 메가드레인</t>
  </si>
  <si>
    <t>16 - 구르기</t>
  </si>
  <si>
    <t>16 - 화염자동차</t>
  </si>
  <si>
    <t>13 - 마그넷봄</t>
  </si>
  <si>
    <t>13 - 탁쳐서떨구기</t>
  </si>
  <si>
    <t>15 - 쪼아대기</t>
  </si>
  <si>
    <t>11 - 앵콜</t>
  </si>
  <si>
    <t>13 - 오물공격</t>
  </si>
  <si>
    <t>15 - 고드름침</t>
  </si>
  <si>
    <t>19 - 가시대포</t>
  </si>
  <si>
    <t>10 - 스모그</t>
  </si>
  <si>
    <t>15 - 독가스</t>
  </si>
  <si>
    <t>15 - 스파크</t>
  </si>
  <si>
    <t>17 - 씨뿌리기</t>
  </si>
  <si>
    <t>33 - 광합성</t>
  </si>
  <si>
    <t>13 - 기충전</t>
  </si>
  <si>
    <t>27 - 불릿펀치</t>
  </si>
  <si>
    <t>19 - 탁쳐서떨구기</t>
  </si>
  <si>
    <t>16 - 오물공격</t>
  </si>
  <si>
    <t>16 - 락블레스트</t>
  </si>
  <si>
    <t>4 - 꼬리흔들기</t>
  </si>
  <si>
    <t>16 - 분노</t>
  </si>
  <si>
    <t>16 - 오로라빔</t>
  </si>
  <si>
    <t>10 - 바둥바둥</t>
  </si>
  <si>
    <t>13 - 스피드스타</t>
  </si>
  <si>
    <t>43 - 이상한빛</t>
  </si>
  <si>
    <t>13 - 연속자르기</t>
  </si>
  <si>
    <t>9 - 냉동펀치</t>
  </si>
  <si>
    <t>16 - 전기자석파</t>
  </si>
  <si>
    <t>16 - 도깨비불</t>
  </si>
  <si>
    <t>26 - 얼음엄니</t>
  </si>
  <si>
    <t>7 - 모래뿌리기</t>
  </si>
  <si>
    <t>10 - 고속이동</t>
  </si>
  <si>
    <t>19 - 오로라빔</t>
  </si>
  <si>
    <t>9 - 울부짖기</t>
  </si>
  <si>
    <t>15 - 리사이클</t>
  </si>
  <si>
    <t>14 - 고속이동</t>
  </si>
  <si>
    <t>14 - 충전</t>
  </si>
  <si>
    <t>14 - 화염방사</t>
  </si>
  <si>
    <t>19 - 힘껏치기</t>
  </si>
  <si>
    <t>10 - 미래예지</t>
  </si>
  <si>
    <t>22 - 바톤터치</t>
  </si>
  <si>
    <t>17 - 리플렉터</t>
  </si>
  <si>
    <t>16 - 풀피리</t>
  </si>
  <si>
    <t>17 - 웅크리기</t>
  </si>
  <si>
    <t>15 - 화염자동차</t>
  </si>
  <si>
    <t>17 - 얼음엄니</t>
  </si>
  <si>
    <t>11 - 힘껏치기</t>
  </si>
  <si>
    <t>12 - 에어컷터</t>
  </si>
  <si>
    <t>11 - 리플렉터</t>
  </si>
  <si>
    <t>15 - 나이트헤드</t>
  </si>
  <si>
    <t>13 - 나쁜음모</t>
  </si>
  <si>
    <t>11 - 흉내쟁이</t>
  </si>
  <si>
    <t>17 - 에어컷터</t>
  </si>
  <si>
    <t>16 - 차지빔</t>
  </si>
  <si>
    <t>17 - 차지빔</t>
  </si>
  <si>
    <t>9 - 구르기</t>
  </si>
  <si>
    <t>12 - 안다리걸기</t>
  </si>
  <si>
    <t>33 - 뽐내기</t>
  </si>
  <si>
    <t>11 - 에어컷터 (!!)</t>
  </si>
  <si>
    <t>13 - 잎날가르기</t>
  </si>
  <si>
    <t>15 - 진흙폭탄</t>
  </si>
  <si>
    <t>17 - 나이트헤드</t>
  </si>
  <si>
    <t>15 - 괴상한바람</t>
  </si>
  <si>
    <t>6 - 냄새구별</t>
  </si>
  <si>
    <t>15 - 바늘미사일</t>
  </si>
  <si>
    <t>15 - 진흙뿌리기</t>
  </si>
  <si>
    <t>12 - 작아지기</t>
  </si>
  <si>
    <t>15 - 돌떨구기</t>
  </si>
  <si>
    <t>16 - 마구할퀴기</t>
  </si>
  <si>
    <t>15 - 달콤한향기</t>
  </si>
  <si>
    <t>18 - 원시의힘</t>
  </si>
  <si>
    <t>13 - 얼음뭉치</t>
  </si>
  <si>
    <t>13 - 원시의힘</t>
  </si>
  <si>
    <t>18 - 거품광선</t>
  </si>
  <si>
    <t>12 - 얼음뭉치</t>
  </si>
  <si>
    <t>16 - 불꽃엄니</t>
  </si>
  <si>
    <t>16 - 모래뿌리기</t>
  </si>
  <si>
    <t>31 - 스케치</t>
  </si>
  <si>
    <t>12 - 속이다</t>
  </si>
  <si>
    <t>21 - 구르기</t>
  </si>
  <si>
    <t>14 - 자연의은혜</t>
  </si>
  <si>
    <t>14 - 원시의힘</t>
  </si>
  <si>
    <t>17 - 고속이동</t>
  </si>
  <si>
    <t>16 - 연속자르기</t>
  </si>
  <si>
    <t>17 - 전광석화</t>
  </si>
  <si>
    <t>16 - 두번치기</t>
  </si>
  <si>
    <t>17 - 흙놀이</t>
  </si>
  <si>
    <t>16 - 울부짖기</t>
  </si>
  <si>
    <t>13 - 박치기</t>
  </si>
  <si>
    <t>21 - 에어컷터</t>
  </si>
  <si>
    <t>21 - 시그널빔</t>
  </si>
  <si>
    <t>16 - 자연의은혜</t>
  </si>
  <si>
    <t>20 - 씨폭탄</t>
  </si>
  <si>
    <t>17 - 속이다</t>
  </si>
  <si>
    <t>32 - 폭풍</t>
  </si>
  <si>
    <t>19 - 제비반환</t>
  </si>
  <si>
    <t>16 - 흰안개</t>
  </si>
  <si>
    <t>13 - 환상빔 (!!)</t>
  </si>
  <si>
    <t>15 - 거품광선</t>
  </si>
  <si>
    <t>19 - 독가루</t>
  </si>
  <si>
    <t>23 - 탐내다</t>
  </si>
  <si>
    <t>23 - 베어가르기</t>
  </si>
  <si>
    <t>11 - 진흙뿌리기</t>
  </si>
  <si>
    <t>11 - 고속이동</t>
  </si>
  <si>
    <t>11 - 원한</t>
  </si>
  <si>
    <t>19 - 초음파</t>
  </si>
  <si>
    <t>13 - 날려버리기</t>
  </si>
  <si>
    <t>10 - 거품광선</t>
  </si>
  <si>
    <t>16 - 스톤샤워</t>
  </si>
  <si>
    <t>1 - 헤롱헤롱</t>
  </si>
  <si>
    <t>13 - 판별</t>
  </si>
  <si>
    <t>13 - Vice Grip</t>
  </si>
  <si>
    <t>16 - 방어</t>
  </si>
  <si>
    <t>16 - 발경</t>
  </si>
  <si>
    <t>13 - 차지빔</t>
  </si>
  <si>
    <t>18 - 차지빔</t>
  </si>
  <si>
    <t>18 - 드레인키스 (!!)</t>
  </si>
  <si>
    <t>20 - 앵콜</t>
  </si>
  <si>
    <t>16 - 싫은소리</t>
  </si>
  <si>
    <t>19 - 망각술</t>
  </si>
  <si>
    <t>19 - 사념의박치기</t>
  </si>
  <si>
    <t>15 - 스톤샤워</t>
  </si>
  <si>
    <t>16 - 베어가르기</t>
  </si>
  <si>
    <t>16 - 물의파동</t>
  </si>
  <si>
    <t>21 - 스톤샤워</t>
  </si>
  <si>
    <t>11 - 유혹</t>
  </si>
  <si>
    <t>20 - 쾌청</t>
  </si>
  <si>
    <t>7 - 야습</t>
  </si>
  <si>
    <t>12 - 메지컬리프</t>
  </si>
  <si>
    <t>13 - 도발</t>
  </si>
  <si>
    <t>15 - 길동무</t>
  </si>
  <si>
    <t>18 - 사슬묶기</t>
  </si>
  <si>
    <t>13 - 아이스볼</t>
  </si>
  <si>
    <t>15 - 얼음엄니</t>
  </si>
  <si>
    <t>15 - 망각술</t>
  </si>
  <si>
    <t>13 - 다이빙</t>
  </si>
  <si>
    <t>19 - 기충전</t>
  </si>
  <si>
    <t>18 - 저주</t>
  </si>
  <si>
    <t>14 - 리프레쉬</t>
  </si>
  <si>
    <t>22 - 냉동빔</t>
  </si>
  <si>
    <t>22 - 암해머</t>
  </si>
  <si>
    <t>26 - 신속</t>
  </si>
  <si>
    <t>6 - 도우미</t>
  </si>
  <si>
    <t>22 - 사이코키네시스</t>
  </si>
  <si>
    <t>17 - 물기</t>
  </si>
  <si>
    <t>17 - 기충전</t>
  </si>
  <si>
    <t>17 - 거품광선</t>
  </si>
  <si>
    <t>16 - 메탈크로우</t>
  </si>
  <si>
    <t>8 - 칼춤</t>
  </si>
  <si>
    <t>17 - 제비반환</t>
  </si>
  <si>
    <t>18 - 제비반환</t>
  </si>
  <si>
    <t>17 - 하품</t>
  </si>
  <si>
    <t>10 - 연속자르기</t>
  </si>
  <si>
    <t>15 - 충전</t>
  </si>
  <si>
    <t>16 - 충전</t>
  </si>
  <si>
    <t>15 - 고민씨</t>
  </si>
  <si>
    <t>18 - 스톤샤워</t>
  </si>
  <si>
    <t>20 - 잎날가르기</t>
  </si>
  <si>
    <t>20 - 락블레스트</t>
  </si>
  <si>
    <t>23 - 염동력</t>
  </si>
  <si>
    <t>5 - 연속자르기</t>
  </si>
  <si>
    <t>19 - 고민씨</t>
  </si>
  <si>
    <t>19 - 오물공격</t>
  </si>
  <si>
    <t>19 - 에어컷터</t>
  </si>
  <si>
    <t>13 - 화풀이</t>
  </si>
  <si>
    <t>35 - 악의파동</t>
  </si>
  <si>
    <t>13 - 탐내다</t>
  </si>
  <si>
    <t>16 - 신통력 (!!)</t>
  </si>
  <si>
    <t>16 - 스모그</t>
  </si>
  <si>
    <t>17 - 신통력</t>
  </si>
  <si>
    <t>13 - 꿈먹기</t>
  </si>
  <si>
    <t>19 - 모래바람</t>
  </si>
  <si>
    <t>10 - 발경</t>
  </si>
  <si>
    <t>19 - 돌진</t>
  </si>
  <si>
    <t>15 - 잎날가르기</t>
  </si>
  <si>
    <t>18 - 물의파동</t>
  </si>
  <si>
    <t>1 - 덩굴채찍 (!!)</t>
  </si>
  <si>
    <t>1 - 눈싸라기 (!!)</t>
  </si>
  <si>
    <t>10 - 전격파</t>
  </si>
  <si>
    <t>18 - 하품</t>
  </si>
  <si>
    <t>18 - 주술</t>
  </si>
  <si>
    <t>18 - 소란피기</t>
  </si>
  <si>
    <t>22 - 메탈버스트</t>
  </si>
  <si>
    <t>22 - 아쿠아링</t>
  </si>
  <si>
    <t>22 - 겁나는얼굴</t>
  </si>
  <si>
    <t>22 - 길동무</t>
  </si>
  <si>
    <t>22 - 베어가르기</t>
  </si>
  <si>
    <t>22 - 물의파동</t>
  </si>
  <si>
    <t>22 - 자연의은혜</t>
  </si>
  <si>
    <t>1 - 혼내기</t>
  </si>
  <si>
    <t>20 - 불꽃엄니</t>
  </si>
  <si>
    <t>18 - 용의분노</t>
  </si>
  <si>
    <t>20 - 물의파동</t>
  </si>
  <si>
    <t>18 - 고속스핀</t>
  </si>
  <si>
    <t>21 - 기충전</t>
  </si>
  <si>
    <t>18 - 깃털댄스</t>
  </si>
  <si>
    <t>19 - 깃털댄스</t>
  </si>
  <si>
    <t>19 - 승부굳히기</t>
  </si>
  <si>
    <t>19 - 객기</t>
  </si>
  <si>
    <t>19 - 진흙폭탄</t>
  </si>
  <si>
    <t>16 - 페인트</t>
  </si>
  <si>
    <t>1 - 10만볼트</t>
  </si>
  <si>
    <t>35 - 대지의힘</t>
  </si>
  <si>
    <t>15 - 뿔찌르기</t>
  </si>
  <si>
    <t>13 - 날따름</t>
  </si>
  <si>
    <t>17 - 도깨비불</t>
  </si>
  <si>
    <t>15 - 드레인키스 (!!)</t>
  </si>
  <si>
    <t>33 - 하이퍼보이스</t>
  </si>
  <si>
    <t>37 - 흔들흔들댄스</t>
  </si>
  <si>
    <t>19 - 버섯포자</t>
  </si>
  <si>
    <t>15 - 저리가루</t>
  </si>
  <si>
    <t>16 - 속여때리기</t>
  </si>
  <si>
    <t>18 - 고양이돈받기</t>
  </si>
  <si>
    <t>15 - 불꽃엄니</t>
  </si>
  <si>
    <t>34 - 신속</t>
  </si>
  <si>
    <t>25 - 미라클아이</t>
  </si>
  <si>
    <t>17 - 리벤지</t>
  </si>
  <si>
    <t>1 - 수면가루</t>
  </si>
  <si>
    <t>22 - 거품광선</t>
  </si>
  <si>
    <t>19 - 매그니튜드</t>
  </si>
  <si>
    <t>16 - 빛의장막</t>
  </si>
  <si>
    <t>16 - 칼춤</t>
  </si>
  <si>
    <t>18 - 더블어택</t>
  </si>
  <si>
    <t>16 - 진흙폭탄</t>
  </si>
  <si>
    <t>17 - 째려보기</t>
  </si>
  <si>
    <t>25 - 압정뿌리기</t>
  </si>
  <si>
    <t>13 - 이상한빛</t>
  </si>
  <si>
    <t>17 - 메탈크로우</t>
  </si>
  <si>
    <t>19 - 저리가루</t>
  </si>
  <si>
    <t>43 - 우드해머</t>
  </si>
  <si>
    <t>27 - 점프킥</t>
  </si>
  <si>
    <t>29 - 번개펀치</t>
  </si>
  <si>
    <t>22 - 망각술</t>
  </si>
  <si>
    <t>19 - 자폭</t>
  </si>
  <si>
    <t>16 - 메가드레인</t>
  </si>
  <si>
    <t>19 - 거품광선</t>
  </si>
  <si>
    <t>16 - 고속이동</t>
  </si>
  <si>
    <t>19 - 번개펀치</t>
  </si>
  <si>
    <t>19 - 불꽃펀치</t>
  </si>
  <si>
    <t>16 - 리벤지</t>
  </si>
  <si>
    <t>16 - 잠자기</t>
  </si>
  <si>
    <t>29 - 아쿠아테일</t>
  </si>
  <si>
    <t>16 - 누르기</t>
  </si>
  <si>
    <t>13 - HP회복</t>
  </si>
  <si>
    <t>19 - 스톤샤워</t>
  </si>
  <si>
    <t>13 - 고속이동</t>
  </si>
  <si>
    <t>18 - 얼다바람</t>
  </si>
  <si>
    <t>18 - 고속이동</t>
  </si>
  <si>
    <t>18 - 신비의부적</t>
  </si>
  <si>
    <t>22 - 고속이동</t>
  </si>
  <si>
    <t>14 - 자기암시</t>
  </si>
  <si>
    <t>26 - 망각술</t>
  </si>
  <si>
    <t>17 - 빛의장막</t>
  </si>
  <si>
    <t>18 - 리플렉터</t>
  </si>
  <si>
    <t>20 - 기사회생</t>
  </si>
  <si>
    <t>19 - 웅크리기</t>
  </si>
  <si>
    <t>20 - 바둥바둥</t>
  </si>
  <si>
    <t>18 - 아쿠아제트</t>
  </si>
  <si>
    <t>14 - 날따름</t>
  </si>
  <si>
    <t>15 - 소란피기</t>
  </si>
  <si>
    <t>11 - 신비의부적</t>
  </si>
  <si>
    <t>15 - 차밍보이스</t>
  </si>
  <si>
    <t>13 - 메지컬리프</t>
  </si>
  <si>
    <t>13 - 앵콜</t>
  </si>
  <si>
    <t>19 - 괴상한바람</t>
  </si>
  <si>
    <t>19 - 이상한빛</t>
  </si>
  <si>
    <t>21 - 이상한빛</t>
  </si>
  <si>
    <t>12 - 거품광선</t>
  </si>
  <si>
    <t>15 - 암석봉인</t>
  </si>
  <si>
    <t>43 - 뛰어오르다</t>
  </si>
  <si>
    <t>17 - 마구할퀴기</t>
  </si>
  <si>
    <t>17 - 판별</t>
  </si>
  <si>
    <t>17 - 저주</t>
  </si>
  <si>
    <t>19 - 도발</t>
  </si>
  <si>
    <t>17 - 환상빔</t>
  </si>
  <si>
    <t>9 - 승부굳히기</t>
  </si>
  <si>
    <t>18 - 돌진</t>
  </si>
  <si>
    <t>16 - 땅고르기</t>
  </si>
  <si>
    <t>7 - 애교부리기</t>
  </si>
  <si>
    <t>15 - 아쿠아제트</t>
  </si>
  <si>
    <t>19 - 얼음뭉치</t>
  </si>
  <si>
    <t>18 - 메탈크로우</t>
  </si>
  <si>
    <t>21 - 분연</t>
  </si>
  <si>
    <t>13 - 얼음엄니</t>
  </si>
  <si>
    <t>15 - 스피드스타</t>
  </si>
  <si>
    <t>16 - 번개엄니</t>
  </si>
  <si>
    <t>18 - 이상한빛</t>
  </si>
  <si>
    <t>36 - 스케치</t>
  </si>
  <si>
    <t>27 - 전광석화</t>
  </si>
  <si>
    <t>15 - 얼다바람</t>
  </si>
  <si>
    <t>14 - 스파크</t>
  </si>
  <si>
    <t>14 - 짓밟기</t>
  </si>
  <si>
    <t>16 - 겁나는얼굴</t>
  </si>
  <si>
    <t>18 - 혼내기</t>
  </si>
  <si>
    <t>18 - 바톤터치</t>
  </si>
  <si>
    <t>20 - 기가드레인</t>
  </si>
  <si>
    <t>20 - 바톤터치</t>
  </si>
  <si>
    <t>18 - 전광석화</t>
  </si>
  <si>
    <t>20 - 돌떨구기</t>
  </si>
  <si>
    <t>19 - 뽐내기</t>
  </si>
  <si>
    <t>16 - 바늘미사일</t>
  </si>
  <si>
    <t>24 - 아침햇살</t>
  </si>
  <si>
    <t>24 - 달의불빛</t>
  </si>
  <si>
    <t>25 - 쾌청</t>
  </si>
  <si>
    <t>20 - 트집</t>
  </si>
  <si>
    <t>44 - 리프스톰</t>
  </si>
  <si>
    <t>22 - 기사회생</t>
  </si>
  <si>
    <t>16 - 드레인키스</t>
  </si>
  <si>
    <t>10 - 희망사항</t>
  </si>
  <si>
    <t>27 - 망각술</t>
  </si>
  <si>
    <t>27 - 버티기</t>
  </si>
  <si>
    <t>15 - 흡혈</t>
  </si>
  <si>
    <t>15 - 탁쳐서떨구기</t>
  </si>
  <si>
    <t>12 - 노래하기</t>
  </si>
  <si>
    <t>19 - 잠자기</t>
  </si>
  <si>
    <t>15 - 야습</t>
  </si>
  <si>
    <t>19 - 잠재파워</t>
  </si>
  <si>
    <t>16 - 물기</t>
  </si>
  <si>
    <t>16 - 희망사항</t>
  </si>
  <si>
    <t>16 - 바꿔치기</t>
  </si>
  <si>
    <t>21 - 달의불빛</t>
  </si>
  <si>
    <t>15 - 씨뿌리기</t>
  </si>
  <si>
    <t>23 - 아픔나누기</t>
  </si>
  <si>
    <t>16 - 놀래키기</t>
  </si>
  <si>
    <t>22 - 분연</t>
  </si>
  <si>
    <t>19 - 저주</t>
  </si>
  <si>
    <t>22 - 미러코트</t>
  </si>
  <si>
    <t>13 - 환상빔</t>
  </si>
  <si>
    <t>17 - 쪼아대기</t>
  </si>
  <si>
    <t>16 - 깜짝베기</t>
  </si>
  <si>
    <t>19 - 뱀눈초리</t>
  </si>
  <si>
    <t>17 - 스톤샤워</t>
  </si>
  <si>
    <t>17 - 더블어택</t>
  </si>
  <si>
    <t>19 - 원시의힘</t>
  </si>
  <si>
    <t>24 - 기가드레인</t>
  </si>
  <si>
    <t>18 - 벌레먹음</t>
  </si>
  <si>
    <t>20 - 싸라기눈</t>
  </si>
  <si>
    <t>10 - 페인트</t>
  </si>
  <si>
    <t>22 - 도깨비불</t>
  </si>
  <si>
    <t>15 - 날려버리기</t>
  </si>
  <si>
    <t>16 - 사이코웨이브</t>
  </si>
  <si>
    <t>21 - 얼음엄니</t>
  </si>
  <si>
    <t>19 - 아쿠아링</t>
  </si>
  <si>
    <t>16 - 돌진</t>
  </si>
  <si>
    <t>19 - 드레인키스</t>
  </si>
  <si>
    <t>22 - 드래곤크루</t>
  </si>
  <si>
    <t>22 - 원시의힘</t>
  </si>
  <si>
    <t>18 - 용의숨결</t>
  </si>
  <si>
    <t>26 - 명상</t>
  </si>
  <si>
    <t>26 - 벌크업</t>
  </si>
  <si>
    <t>30 - 용의파동</t>
  </si>
  <si>
    <t>10 - 사이코키네시스</t>
  </si>
  <si>
    <t>26 - 가로챔</t>
  </si>
  <si>
    <t>26 - 엄청난힘</t>
  </si>
  <si>
    <t>26 - 스피드스타</t>
  </si>
  <si>
    <t>20 - 메가드레인</t>
  </si>
  <si>
    <t>18 - 땅고르기 (!!)</t>
  </si>
  <si>
    <t>20 - 속이다</t>
  </si>
  <si>
    <t>19 - 안다리걸기</t>
  </si>
  <si>
    <t>20 - 얼다바람</t>
  </si>
  <si>
    <t>20 - 객기</t>
  </si>
  <si>
    <t>22 - 객기</t>
  </si>
  <si>
    <t>20 - 깨물어부수기</t>
  </si>
  <si>
    <t>13 - 흡수</t>
  </si>
  <si>
    <t>18 - 두번치기</t>
  </si>
  <si>
    <t>18 - 신통력</t>
  </si>
  <si>
    <t>21 - 승부굳히기</t>
  </si>
  <si>
    <t>21 - 뽐내기</t>
  </si>
  <si>
    <t>20 - 미러숏</t>
  </si>
  <si>
    <t>26 - 벌레의야단법석</t>
  </si>
  <si>
    <t>19 - 필살앞니</t>
  </si>
  <si>
    <t>22 - 스피드스타</t>
  </si>
  <si>
    <t>22 - 쾌청</t>
  </si>
  <si>
    <t>22 - 바다회오리</t>
  </si>
  <si>
    <t>22 - 비축하기</t>
  </si>
  <si>
    <t>16 - 점프킥</t>
  </si>
  <si>
    <t>41 - 깜짝베기</t>
  </si>
  <si>
    <t>19 - 연막</t>
  </si>
  <si>
    <t>15 - 앵콜</t>
  </si>
  <si>
    <t>18 - 노래하기</t>
  </si>
  <si>
    <t>22 - 구멍파기</t>
  </si>
  <si>
    <t>18 - 싫은소리</t>
  </si>
  <si>
    <t>23 - 구멍파기</t>
  </si>
  <si>
    <t>18 - 독엄니</t>
  </si>
  <si>
    <t>18 - 뿌리박기</t>
  </si>
  <si>
    <t>21 - 환상빔</t>
  </si>
  <si>
    <t>13 - 베어가르기</t>
  </si>
  <si>
    <t>13 - 사이코커터</t>
  </si>
  <si>
    <t>15 - 놀래키기</t>
  </si>
  <si>
    <t>13 - 그림자분신</t>
  </si>
  <si>
    <t>22 - 미래예지</t>
  </si>
  <si>
    <t>26 - 드래곤크루</t>
  </si>
  <si>
    <t>26 - 분연</t>
  </si>
  <si>
    <t>18 - 드레인펀치</t>
  </si>
  <si>
    <t>26 - 리플렉터</t>
  </si>
  <si>
    <t>26 - 바다회오리</t>
  </si>
  <si>
    <t>14 - 속여때리기</t>
  </si>
  <si>
    <t>26 - 고민씨</t>
  </si>
  <si>
    <t>6 - 중력</t>
  </si>
  <si>
    <t>20 - 돌진</t>
  </si>
  <si>
    <t>18 - 오물공격</t>
  </si>
  <si>
    <t>22 - 불꽃엄니</t>
  </si>
  <si>
    <t>23 - 방어</t>
  </si>
  <si>
    <t>19 - 환상빔</t>
  </si>
  <si>
    <t>23 - 독찌르기</t>
  </si>
  <si>
    <t>21 - 소란피기</t>
  </si>
  <si>
    <t>23 - 소란피기</t>
  </si>
  <si>
    <t>22 - 분노의앞니</t>
  </si>
  <si>
    <t>22 - 승부굳히기</t>
  </si>
  <si>
    <t>22 - 싫은소리</t>
  </si>
  <si>
    <t>19 - 스파크</t>
  </si>
  <si>
    <t>18 - 도우미</t>
  </si>
  <si>
    <t>19 - 도우미</t>
  </si>
  <si>
    <t>45 - 지진</t>
  </si>
  <si>
    <t>21 - 속여때리기</t>
  </si>
  <si>
    <t>17 - 구르기</t>
  </si>
  <si>
    <t>43 - 문포스 (!!)</t>
  </si>
  <si>
    <t>19 - 검은눈빛</t>
  </si>
  <si>
    <t>16 - 주술</t>
  </si>
  <si>
    <t>47 - 꽃잎댄스</t>
  </si>
  <si>
    <t>15 - 수면가루</t>
  </si>
  <si>
    <t>19 - 구멍파기</t>
  </si>
  <si>
    <t>18 - 스피드스타</t>
  </si>
  <si>
    <t>21 - 사념의박치기</t>
  </si>
  <si>
    <t>17 - 지구던지기</t>
  </si>
  <si>
    <t>18 - 기사회생</t>
  </si>
  <si>
    <t>44 - 인파이트</t>
  </si>
  <si>
    <t>21 - 머드숏</t>
  </si>
  <si>
    <t>1 - 깨트리다</t>
  </si>
  <si>
    <t>28 - 리플렉터</t>
  </si>
  <si>
    <t>20 - 탁쳐서떨구기</t>
  </si>
  <si>
    <t>16 - 달콤한향기</t>
  </si>
  <si>
    <t>25 - 배리어</t>
  </si>
  <si>
    <t>22 - 자폭</t>
  </si>
  <si>
    <t>22 - 회오리불꽃</t>
  </si>
  <si>
    <t>19 - 물의파동</t>
  </si>
  <si>
    <t>19 - 차지빔</t>
  </si>
  <si>
    <t>15 - 얼음뭉치</t>
  </si>
  <si>
    <t>19 - 작아지기</t>
  </si>
  <si>
    <t>31 - Twinneedle</t>
  </si>
  <si>
    <t>20 - 짓밟기</t>
  </si>
  <si>
    <t>21 - 스피드스타</t>
  </si>
  <si>
    <t>19 - 뼈다귀부메랑</t>
  </si>
  <si>
    <t>29 - 무릎차기</t>
  </si>
  <si>
    <t>29 - 냉동펀치</t>
  </si>
  <si>
    <t>25 - 힘껏치기</t>
  </si>
  <si>
    <t>22 - 흑안개</t>
  </si>
  <si>
    <t>22 - 돌진</t>
  </si>
  <si>
    <t>10 - 연속뺨치기</t>
  </si>
  <si>
    <t>19 - 자연의은혜</t>
  </si>
  <si>
    <t>22 - 메가톤펀치</t>
  </si>
  <si>
    <t>22 - 용의분노</t>
  </si>
  <si>
    <t>16 - 아쿠아링</t>
  </si>
  <si>
    <t>17 - 보호색</t>
  </si>
  <si>
    <t>19 - 날개치기</t>
  </si>
  <si>
    <t>22 - 빛의장막</t>
  </si>
  <si>
    <t>22 - 이상한빛</t>
  </si>
  <si>
    <t>19 - 받아던지기</t>
  </si>
  <si>
    <t>19 - 땅고르기</t>
  </si>
  <si>
    <t>32 - 겁나는얼굴</t>
  </si>
  <si>
    <t>19 - 비바라기</t>
  </si>
  <si>
    <t>13 - 바톤터치</t>
  </si>
  <si>
    <t>13 - 흑안개</t>
  </si>
  <si>
    <t>13 - 전기자석파</t>
  </si>
  <si>
    <t>25 - 원시의힘</t>
  </si>
  <si>
    <t>22 - 모래뿌리기</t>
  </si>
  <si>
    <t>17 - 날개치기</t>
  </si>
  <si>
    <t>21 - 누르기</t>
  </si>
  <si>
    <t>22 - 리플렉터</t>
  </si>
  <si>
    <t>22 - 방전</t>
  </si>
  <si>
    <t>22 - 에어슬래시</t>
  </si>
  <si>
    <t>25 - 용의파동</t>
  </si>
  <si>
    <t>18 - 미라클아이</t>
  </si>
  <si>
    <t>30 - 선취</t>
  </si>
  <si>
    <t>20 - 드레인키스 (!!)</t>
  </si>
  <si>
    <t>18 - 빛의장막</t>
  </si>
  <si>
    <t>23 - 분연</t>
  </si>
  <si>
    <t>23 - 기사회생</t>
  </si>
  <si>
    <t>23 - 깨물어부수기</t>
  </si>
  <si>
    <t>21 - 바둥바둥</t>
  </si>
  <si>
    <t>17 - 잠자기</t>
  </si>
  <si>
    <t>13 - 마하펀치</t>
  </si>
  <si>
    <t>20 - 흡혈</t>
  </si>
  <si>
    <t>21 - 거품광선</t>
  </si>
  <si>
    <t>25 - 돌진</t>
  </si>
  <si>
    <t>17 - 메지컬리프</t>
  </si>
  <si>
    <t>18 - 흉내내기</t>
  </si>
  <si>
    <t>53 - 하이퍼보이스</t>
  </si>
  <si>
    <t>20 - 탐내다</t>
  </si>
  <si>
    <t>18 - 자연의힘</t>
  </si>
  <si>
    <t>13 - 검은눈빛</t>
  </si>
  <si>
    <t>23 - 속여때리기</t>
  </si>
  <si>
    <t>12 - 짓밟기</t>
  </si>
  <si>
    <t>21 - 참기</t>
  </si>
  <si>
    <t>10 - 핥기</t>
  </si>
  <si>
    <t>18 - 구르기</t>
  </si>
  <si>
    <t>19 - 메탈크로우</t>
  </si>
  <si>
    <t>21 - 벌레먹음</t>
  </si>
  <si>
    <t>7 - 페인트</t>
  </si>
  <si>
    <t>22 - 메탈크로우</t>
  </si>
  <si>
    <t>21 - 애교부리기</t>
  </si>
  <si>
    <t>21 - 겁나는얼굴</t>
  </si>
  <si>
    <t>24 - 스톤샤워</t>
  </si>
  <si>
    <t>19 - 버티기</t>
  </si>
  <si>
    <t>19 - 고드름침</t>
  </si>
  <si>
    <t>24 - 물의파동</t>
  </si>
  <si>
    <t>18 - 에어컷터 (!!)</t>
  </si>
  <si>
    <t>19 - 스피드스타</t>
  </si>
  <si>
    <t>19 - 냄새구별</t>
  </si>
  <si>
    <t>16 - 바둥바둥</t>
  </si>
  <si>
    <t>21 - 돌진</t>
  </si>
  <si>
    <t>41 - 스케치</t>
  </si>
  <si>
    <t>29 - 트리플킥</t>
  </si>
  <si>
    <t>18 - 검은눈빛</t>
  </si>
  <si>
    <t>29 - 사념의박치기</t>
  </si>
  <si>
    <t>18 - 화염방사</t>
  </si>
  <si>
    <t>18 - 흰안개</t>
  </si>
  <si>
    <t>23 - 힘껏치기</t>
  </si>
  <si>
    <t>22 - 기가드레인</t>
  </si>
  <si>
    <t>23 - 기충전</t>
  </si>
  <si>
    <t>22 - 불꽃펀치</t>
  </si>
  <si>
    <t>23 - 아쿠아테일</t>
  </si>
  <si>
    <t>18 - 진흙폭탄</t>
  </si>
  <si>
    <t>22 - 깨물어부수기</t>
  </si>
  <si>
    <t>19 - 흙놀이</t>
  </si>
  <si>
    <t>27 - 벌레의야단법석</t>
  </si>
  <si>
    <t>30 - 대폭발</t>
  </si>
  <si>
    <t>25 - 고속이동</t>
  </si>
  <si>
    <t>22 - 따라가때리기</t>
  </si>
  <si>
    <t>19 - 메지컬리프</t>
  </si>
  <si>
    <t>12 - 날려버리기</t>
  </si>
  <si>
    <t>31 - 누르기</t>
  </si>
  <si>
    <t>31 - 객기</t>
  </si>
  <si>
    <t>19 - 마음의눈</t>
  </si>
  <si>
    <t>22 - 신통력</t>
  </si>
  <si>
    <t>23 - 신통력</t>
  </si>
  <si>
    <t>17 - 받아던지기</t>
  </si>
  <si>
    <t>14 - 도우미</t>
  </si>
  <si>
    <t>22 - 파워젬</t>
  </si>
  <si>
    <t>17 - 속여때리기</t>
  </si>
  <si>
    <t>19 - 바톤터치</t>
  </si>
  <si>
    <t>22 - 울부짖기</t>
  </si>
  <si>
    <t>22 - 사이코커터</t>
  </si>
  <si>
    <t>24 - 시그널빔</t>
  </si>
  <si>
    <t>24 - 앵콜</t>
  </si>
  <si>
    <t>18 - 메지컬리프</t>
  </si>
  <si>
    <t>26 - 오물폭탄</t>
  </si>
  <si>
    <t>22 - 얼음엄니</t>
  </si>
  <si>
    <t>19 - 바다회오리</t>
  </si>
  <si>
    <t>25 - 대지의힘</t>
  </si>
  <si>
    <t>22 - 누르기</t>
  </si>
  <si>
    <t>22 - 매직코트</t>
  </si>
  <si>
    <t>16 - 잼잼펀치</t>
  </si>
  <si>
    <t>23 - 싫은소리</t>
  </si>
  <si>
    <t>22 - 뿌리박기</t>
  </si>
  <si>
    <t>19 - 흰안개</t>
  </si>
  <si>
    <t>19 - 리벤지</t>
  </si>
  <si>
    <t>22 - 포이즌테일</t>
  </si>
  <si>
    <t>21 - 금제</t>
  </si>
  <si>
    <t>20 - 찝게햄머</t>
  </si>
  <si>
    <t>27 - 위액</t>
  </si>
  <si>
    <t>15 - 아쿠아링</t>
  </si>
  <si>
    <t>25 - 웨더볼</t>
  </si>
  <si>
    <t>22 - 괴상한바람</t>
  </si>
  <si>
    <t>25 - 보복</t>
  </si>
  <si>
    <t>18 - 자연의은혜</t>
  </si>
  <si>
    <t>19 - 그림자분신</t>
  </si>
  <si>
    <t>24 - 박치기</t>
  </si>
  <si>
    <t>23 - 다이빙</t>
  </si>
  <si>
    <t>19 - 하품</t>
  </si>
  <si>
    <t>22 - 헤롱헤롱</t>
  </si>
  <si>
    <t>25 - 깨물어부수기</t>
  </si>
  <si>
    <t>26 - 불릿펀치</t>
  </si>
  <si>
    <t>26 - 철벽</t>
  </si>
  <si>
    <t>30 - 탁류</t>
  </si>
  <si>
    <t>30 - 대지의힘</t>
  </si>
  <si>
    <t>34 - 용의춤</t>
  </si>
  <si>
    <t>30 - 사이코시프트</t>
  </si>
  <si>
    <t>23 - 씨폭탄</t>
  </si>
  <si>
    <t>21 - 메가드레인</t>
  </si>
  <si>
    <t>23 - 나쁜음모</t>
  </si>
  <si>
    <t>23 - 속이다</t>
  </si>
  <si>
    <t>23 - 열탕</t>
  </si>
  <si>
    <t>22 - 얼다바람</t>
  </si>
  <si>
    <t>14 - 뽐내기</t>
  </si>
  <si>
    <t>23 - 죽기살기</t>
  </si>
  <si>
    <t>26 - 죽기살기</t>
  </si>
  <si>
    <t>16 - 노래하기</t>
  </si>
  <si>
    <t>21 - 번개엄니</t>
  </si>
  <si>
    <t>24 - 번개엄니</t>
  </si>
  <si>
    <t>24 - 원시의힘</t>
  </si>
  <si>
    <t>29 - 독가루</t>
  </si>
  <si>
    <t>23 - 스피드스타</t>
  </si>
  <si>
    <t>25 - 아쿠아테일</t>
  </si>
  <si>
    <t>25 - 기가드레인</t>
  </si>
  <si>
    <t>25 - 비바라기</t>
  </si>
  <si>
    <t>22 - 꿀꺽</t>
  </si>
  <si>
    <t>19 - 속이다</t>
  </si>
  <si>
    <t>13 - 은혜갚기</t>
  </si>
  <si>
    <t>49 - 나쁜음모</t>
  </si>
  <si>
    <t>19 - 애교부리기</t>
  </si>
  <si>
    <t>22 - 소란피기</t>
  </si>
  <si>
    <t>23 - 자이로볼</t>
  </si>
  <si>
    <t>21 - 도발</t>
  </si>
  <si>
    <t>26 - 베어가르기</t>
  </si>
  <si>
    <t>16 - 흉내쟁이</t>
  </si>
  <si>
    <t>27 - 깨물어부수기</t>
  </si>
  <si>
    <t>21 - 따라가때리기</t>
  </si>
  <si>
    <t>24 - 유혹</t>
  </si>
  <si>
    <t>22 - 씨뿌리기</t>
  </si>
  <si>
    <t>18 - 드레인키스</t>
  </si>
  <si>
    <t>26 - 사념의박치기</t>
  </si>
  <si>
    <t>30 - 회오리불꽃</t>
  </si>
  <si>
    <t>22 - 리벤지</t>
  </si>
  <si>
    <t>30 - 섀도볼</t>
  </si>
  <si>
    <t>26 - 빛의장막</t>
  </si>
  <si>
    <t>30 - 소란피기</t>
  </si>
  <si>
    <t>18 - 악몽</t>
  </si>
  <si>
    <t>30 - 아로마테라피</t>
  </si>
  <si>
    <t>23 - 달콤한향기</t>
  </si>
  <si>
    <t>26 - 화염방사</t>
  </si>
  <si>
    <t>26 - 탁류</t>
  </si>
  <si>
    <t>26 - 방어</t>
  </si>
  <si>
    <t>21 - 초음파</t>
  </si>
  <si>
    <t>25 - 승부굳히기</t>
  </si>
  <si>
    <t>24 - 에어슬래시</t>
  </si>
  <si>
    <t>27 - 에어슬래시</t>
  </si>
  <si>
    <t>25 - 회전부리</t>
  </si>
  <si>
    <t>25 - 비축하기</t>
  </si>
  <si>
    <t>21 - 그림자분신</t>
  </si>
  <si>
    <t>18 - 매그니튜드</t>
  </si>
  <si>
    <t>21 - 독압정</t>
  </si>
  <si>
    <t>23 - 독압정</t>
  </si>
  <si>
    <t>55 - 엄청난힘</t>
  </si>
  <si>
    <t>55 - 메가폰</t>
  </si>
  <si>
    <t>17 - 잠깨움뺨치기</t>
  </si>
  <si>
    <t>19 - 누르기</t>
  </si>
  <si>
    <t>22 - 흡혈</t>
  </si>
  <si>
    <t>19 - 오물공격 (!!)</t>
  </si>
  <si>
    <t>57 - 솔라빔</t>
  </si>
  <si>
    <t>25 - 흡혈</t>
  </si>
  <si>
    <t>22 - 기습</t>
  </si>
  <si>
    <t>24 - 베어가르기</t>
  </si>
  <si>
    <t>24 - 싫은소리</t>
  </si>
  <si>
    <t>20 - 뽐내기</t>
  </si>
  <si>
    <t>54 - 플레어드라이브</t>
  </si>
  <si>
    <t>24 - 누르기</t>
  </si>
  <si>
    <t>33 - 폭발펀치</t>
  </si>
  <si>
    <t>28 - 빛의장막</t>
  </si>
  <si>
    <t>23 - 받아던지기</t>
  </si>
  <si>
    <t>19 - 위액</t>
  </si>
  <si>
    <t>28 - 독찌르기</t>
  </si>
  <si>
    <t>25 - 스톤샤워</t>
  </si>
  <si>
    <t>25 - 자이로볼</t>
  </si>
  <si>
    <t>22 - 사념의박치기</t>
  </si>
  <si>
    <t>22 - 미러숏</t>
  </si>
  <si>
    <t>24 - 점프킥</t>
  </si>
  <si>
    <t>18 - 오로라빔</t>
  </si>
  <si>
    <t>22 - 야습</t>
  </si>
  <si>
    <t>23 - 얼음뭉치</t>
  </si>
  <si>
    <t>37 - 락블레스트</t>
  </si>
  <si>
    <t>19 - 용의숨결</t>
  </si>
  <si>
    <t>24 - 사이코커터</t>
  </si>
  <si>
    <t>23 - 찝게햄머</t>
  </si>
  <si>
    <t>24 - 자폭</t>
  </si>
  <si>
    <t>19 - 수면가루</t>
  </si>
  <si>
    <t>22 - 칼등치기</t>
  </si>
  <si>
    <t>31 - 페인트</t>
  </si>
  <si>
    <t>29 - 불꽃펀치</t>
  </si>
  <si>
    <t>28 - 매그니튜드</t>
  </si>
  <si>
    <t>25 - 드릴라이너</t>
  </si>
  <si>
    <t>13 - 알낳기</t>
  </si>
  <si>
    <t>22 - 탁쳐서떨구기</t>
  </si>
  <si>
    <t>25 - 잼잼펀치</t>
  </si>
  <si>
    <t>25 - 대포무노포</t>
  </si>
  <si>
    <t>19 - 마구찌르기</t>
  </si>
  <si>
    <t>22 - 더블어택</t>
  </si>
  <si>
    <t>22 - 보복</t>
  </si>
  <si>
    <t>35 - 깨물어부수기</t>
  </si>
  <si>
    <t>22 - 멸망의노래</t>
  </si>
  <si>
    <t>16 - 스피드스타</t>
  </si>
  <si>
    <t>16 - 전격파</t>
  </si>
  <si>
    <t>19 - 시그널빔</t>
  </si>
  <si>
    <t>28 - 방어</t>
  </si>
  <si>
    <t>21 - 원시의힘</t>
  </si>
  <si>
    <t>24 - 잠자기</t>
  </si>
  <si>
    <t>26 - 싸라기눈</t>
  </si>
  <si>
    <t>26 - 비바라기</t>
  </si>
  <si>
    <t>26 - 쾌청</t>
  </si>
  <si>
    <t>28 - 아쿠아테일</t>
  </si>
  <si>
    <t>34 - 원시의힘</t>
  </si>
  <si>
    <t>23 - 에너지볼</t>
  </si>
  <si>
    <t>22 - 드레인키스 (!!)</t>
  </si>
  <si>
    <t>27 - 분연</t>
  </si>
  <si>
    <t>26 - 아쿠아테일</t>
  </si>
  <si>
    <t>20 - 화염자동차 (!!)</t>
  </si>
  <si>
    <t>15 - 고속이동</t>
  </si>
  <si>
    <t>21 - 사이코시프트</t>
  </si>
  <si>
    <t>15 - 제비반환</t>
  </si>
  <si>
    <t>23 - 마구할퀴기</t>
  </si>
  <si>
    <t>17 - 날따름</t>
  </si>
  <si>
    <t>25 - 희망사항</t>
  </si>
  <si>
    <t>25 - 방전</t>
  </si>
  <si>
    <t>29 - 방전</t>
  </si>
  <si>
    <t>18 - 힘껏치기</t>
  </si>
  <si>
    <t>21 - 기가드레인</t>
  </si>
  <si>
    <t>23 - 초음파</t>
  </si>
  <si>
    <t>22 - 아쿠아테일</t>
  </si>
  <si>
    <t>21 - 드레인키스 (!!)</t>
  </si>
  <si>
    <t>15 - 환상빔</t>
  </si>
  <si>
    <t>24 - 자연의은혜</t>
  </si>
  <si>
    <t>13 - 물기</t>
  </si>
  <si>
    <t>11 - 제비반환</t>
  </si>
  <si>
    <t>22 - 진흙폭탄</t>
  </si>
  <si>
    <t>22 - 주술</t>
  </si>
  <si>
    <t>27 - 시그널빔</t>
  </si>
  <si>
    <t>21 - 오로라빔</t>
  </si>
  <si>
    <t>22 - 강철날개</t>
  </si>
  <si>
    <t>22 - 집단구타</t>
  </si>
  <si>
    <t>16 - 고속스핀</t>
  </si>
  <si>
    <t>24 - 명상</t>
  </si>
  <si>
    <t>46 - 스케치</t>
  </si>
  <si>
    <t>21 - 신통력 (!!)</t>
  </si>
  <si>
    <t>33 - 잠깨움뺨치기</t>
  </si>
  <si>
    <t>22 - 뽐내기</t>
  </si>
  <si>
    <t>22 - 난동부리기</t>
  </si>
  <si>
    <t>26 - 신비의부적</t>
  </si>
  <si>
    <t>26 - 회복봉인</t>
  </si>
  <si>
    <t>26 - 풀피리</t>
  </si>
  <si>
    <t>26 - 힘껏치기</t>
  </si>
  <si>
    <t>26 - 깃털댄스</t>
  </si>
  <si>
    <t>26 - 기충전</t>
  </si>
  <si>
    <t>22 - 스톤샤워</t>
  </si>
  <si>
    <t>25 - 겁나는얼굴</t>
  </si>
  <si>
    <t>22 - 바둥바둥</t>
  </si>
  <si>
    <t>30 - 헤롱헤롱</t>
  </si>
  <si>
    <t>30 - 빛의장막</t>
  </si>
  <si>
    <t>20 - 거품광선</t>
  </si>
  <si>
    <t>26 - 리프블레이드</t>
  </si>
  <si>
    <t>28 - 유턴</t>
  </si>
  <si>
    <t>25 - 제비반환</t>
  </si>
  <si>
    <t>22 - 최면술</t>
  </si>
  <si>
    <t>23 - 최면술</t>
  </si>
  <si>
    <t>24 - 환상빔</t>
  </si>
  <si>
    <t>22 - 씨폭탄</t>
  </si>
  <si>
    <t>35 - 깜짝베기</t>
  </si>
  <si>
    <t>23 - 메탈크로우</t>
  </si>
  <si>
    <t>20 - 그림자분신</t>
  </si>
  <si>
    <t>23 - 야습</t>
  </si>
  <si>
    <t>25 - 거짓울음</t>
  </si>
  <si>
    <t>27 - 거짓울음</t>
  </si>
  <si>
    <t>19 - 정신차리기</t>
  </si>
  <si>
    <t>16 - 힘껏치기</t>
  </si>
  <si>
    <t>15 - 헤롱헤롱</t>
  </si>
  <si>
    <t>21 - 속이다</t>
  </si>
  <si>
    <t>25 - 아이언헤드</t>
  </si>
  <si>
    <t>26 - 아이언헤드</t>
  </si>
  <si>
    <t>25 - 명상</t>
  </si>
  <si>
    <t>22 - 충전</t>
  </si>
  <si>
    <t>27 - 반딧불</t>
  </si>
  <si>
    <t>27 - 희망사항</t>
  </si>
  <si>
    <t>21 - 오물공격 (!!)</t>
  </si>
  <si>
    <t>29 - 맹독</t>
  </si>
  <si>
    <t>25 - 폭포오르기</t>
  </si>
  <si>
    <t>22 - 흰안개</t>
  </si>
  <si>
    <t>28 - 저주</t>
  </si>
  <si>
    <t>25 - 분연</t>
  </si>
  <si>
    <t>25 - 신통력</t>
  </si>
  <si>
    <t>19 - 기습</t>
  </si>
  <si>
    <t>25 - 바늘팔</t>
  </si>
  <si>
    <t>22 - 브레이크크루</t>
  </si>
  <si>
    <t>25 - 깜짝베기</t>
  </si>
  <si>
    <t>25 - 사념의박치기</t>
  </si>
  <si>
    <t>22 - 코골기</t>
  </si>
  <si>
    <t>23 - 도발</t>
  </si>
  <si>
    <t>25 - 코스믹파워</t>
  </si>
  <si>
    <t>30 - 망각술</t>
  </si>
  <si>
    <t>24 - 메탈크로우</t>
  </si>
  <si>
    <t>35 - 하이드로펌프</t>
  </si>
  <si>
    <t>25 - 저주</t>
  </si>
  <si>
    <t>21 - 광합성</t>
  </si>
  <si>
    <t>27 - 눈사태</t>
  </si>
  <si>
    <t>27 - 기습</t>
  </si>
  <si>
    <t>27 - 유혹</t>
  </si>
  <si>
    <t>25 - 바둥바둥</t>
  </si>
  <si>
    <t>28 - 사념의박치기</t>
  </si>
  <si>
    <t>29 - 미라클아이</t>
  </si>
  <si>
    <t>30 - 암해머</t>
  </si>
  <si>
    <t>26 - 사이코시프트</t>
  </si>
  <si>
    <t>34 - 절대영도</t>
  </si>
  <si>
    <t>34 - 땅가르기</t>
  </si>
  <si>
    <t>38 - 공중날기</t>
  </si>
  <si>
    <t>34 - 사념의박치기</t>
  </si>
  <si>
    <t>26 - 씨뿌리기</t>
  </si>
  <si>
    <t>25 - 씨폭탄</t>
  </si>
  <si>
    <t>26 - 트집</t>
  </si>
  <si>
    <t>27 - 화염방사</t>
  </si>
  <si>
    <t>26 - 마구찌르기</t>
  </si>
  <si>
    <t>26 - 열탕</t>
  </si>
  <si>
    <t>26 - 날려버리기</t>
  </si>
  <si>
    <t>30 - 날려버리기</t>
  </si>
  <si>
    <t>26 - 돌진</t>
  </si>
  <si>
    <t>19 - 흡혈</t>
  </si>
  <si>
    <t>24 - 얼음엄니</t>
  </si>
  <si>
    <t>27 - 사념의박치기</t>
  </si>
  <si>
    <t>27 - 아이언헤드</t>
  </si>
  <si>
    <t>29 - 성장</t>
  </si>
  <si>
    <t>29 - 단단해지기</t>
  </si>
  <si>
    <t>32 - 에어컷터</t>
  </si>
  <si>
    <t>17 - 베어가르기</t>
  </si>
  <si>
    <t>28 - 더블어택</t>
  </si>
  <si>
    <t>26 - 깨물어부수기</t>
  </si>
  <si>
    <t>28 - 돌진</t>
  </si>
  <si>
    <t>25 - 꽃잎댄스</t>
  </si>
  <si>
    <t>28 - 대지의힘</t>
  </si>
  <si>
    <t>22 - 토해내기</t>
  </si>
  <si>
    <t>55 - 브레이브버드</t>
  </si>
  <si>
    <t>22 - 깜짝베기</t>
  </si>
  <si>
    <t>25 - 철벽</t>
  </si>
  <si>
    <t>24 - 소란피기</t>
  </si>
  <si>
    <t>22 - 사슬묶기</t>
  </si>
  <si>
    <t>25 - 베어가르기</t>
  </si>
  <si>
    <t>30 - 드래곤크루</t>
  </si>
  <si>
    <t>24 - 비축하기</t>
  </si>
  <si>
    <t>19 - 싫은소리</t>
  </si>
  <si>
    <t>19 - 금속음</t>
  </si>
  <si>
    <t>24 - 독압정</t>
  </si>
  <si>
    <t>24 - 수면가루</t>
  </si>
  <si>
    <t>27 - 신비의부적</t>
  </si>
  <si>
    <t>22 - 시그널빔</t>
  </si>
  <si>
    <t>25 - 눈사태</t>
  </si>
  <si>
    <t>13 - 광합성</t>
  </si>
  <si>
    <t>13 - 미러코트</t>
  </si>
  <si>
    <t>21 - 잠깨움뺨치기</t>
  </si>
  <si>
    <t>19 - 소란피기</t>
  </si>
  <si>
    <t>30 - 자연의은혜</t>
  </si>
  <si>
    <t>34 - 아이언테일</t>
  </si>
  <si>
    <t>34 - 아쿠아테일</t>
  </si>
  <si>
    <t>34 - 아이언헤드</t>
  </si>
  <si>
    <t>34 - 섀도크루</t>
  </si>
  <si>
    <t>34 - 아쿠아링</t>
  </si>
  <si>
    <t>22 - 그림자분신</t>
  </si>
  <si>
    <t>34 - 에너지볼</t>
  </si>
  <si>
    <t>14 - 하이퍼보이스</t>
  </si>
  <si>
    <t>26 - 달콤한향기</t>
  </si>
  <si>
    <t>29 - 겁나는얼굴</t>
  </si>
  <si>
    <t>30 - 화염방사</t>
  </si>
  <si>
    <t>29 - 철벽</t>
  </si>
  <si>
    <t>23 - 에어슬래시</t>
  </si>
  <si>
    <t>28 - 시저크로스</t>
  </si>
  <si>
    <t>27 - 고속이동</t>
  </si>
  <si>
    <t>31 - 고속이동</t>
  </si>
  <si>
    <t>28 - 기습</t>
  </si>
  <si>
    <t>20 - 겁나는얼굴</t>
  </si>
  <si>
    <t>28 - 고속이동</t>
  </si>
  <si>
    <t>25 - 꿀꺽</t>
  </si>
  <si>
    <t>21 - 마구할퀴기</t>
  </si>
  <si>
    <t>24 - 독찌르기</t>
  </si>
  <si>
    <t>27 - 독찌르기</t>
  </si>
  <si>
    <t>25 - 화염방사</t>
  </si>
  <si>
    <t>21 - 비축하기</t>
  </si>
  <si>
    <t>25 - 스피드스타</t>
  </si>
  <si>
    <t>22 - 달의불빛</t>
  </si>
  <si>
    <t>23 - 달의불빛</t>
  </si>
  <si>
    <t>28 - 성장</t>
  </si>
  <si>
    <t>26 - 흡혈</t>
  </si>
  <si>
    <t>21 - 독엄니</t>
  </si>
  <si>
    <t>25 - 진흙폭탄</t>
  </si>
  <si>
    <t>24 - 깜짝베기</t>
  </si>
  <si>
    <t>27 - 최면술</t>
  </si>
  <si>
    <t>23 - 크로스촙</t>
  </si>
  <si>
    <t>23 - 화염자동차</t>
  </si>
  <si>
    <t>27 - 안다리걸기</t>
  </si>
  <si>
    <t>28 - 안다리걸기</t>
  </si>
  <si>
    <t>43 - 마음의눈</t>
  </si>
  <si>
    <t>31 - 사이코커터</t>
  </si>
  <si>
    <t>26 - 잠깨움뺨치기</t>
  </si>
  <si>
    <t>23 - 흡혈</t>
  </si>
  <si>
    <t>33 - 리프블레이드</t>
  </si>
  <si>
    <t>31 - 탁류</t>
  </si>
  <si>
    <t>32 - 탁류</t>
  </si>
  <si>
    <t>28 - 스텔스록</t>
  </si>
  <si>
    <t>26 - 스톤샤워</t>
  </si>
  <si>
    <t>28 - 최면술</t>
  </si>
  <si>
    <t>25 - 금속음</t>
  </si>
  <si>
    <t>27 - 소란피기</t>
  </si>
  <si>
    <t>21 - 잠자기</t>
  </si>
  <si>
    <t>25 - 내던지기</t>
  </si>
  <si>
    <t>25 - 오로라빔</t>
  </si>
  <si>
    <t>43 - 고드름떨구기</t>
  </si>
  <si>
    <t>27 - 잠깨움뺨치기</t>
  </si>
  <si>
    <t>27 - 방전</t>
  </si>
  <si>
    <t>25 - 탁쳐서떨구기</t>
  </si>
  <si>
    <t>33 - 버티기</t>
  </si>
  <si>
    <t>31 - 선취</t>
  </si>
  <si>
    <t>28 - 오물폭탄</t>
  </si>
  <si>
    <t>28 - 깨물어부수기</t>
  </si>
  <si>
    <t>16 - 알폭탄</t>
  </si>
  <si>
    <t>25 - 자연의힘</t>
  </si>
  <si>
    <t>22 - 폭포오르기</t>
  </si>
  <si>
    <t>28 - 방전</t>
  </si>
  <si>
    <t>28 - 분연</t>
  </si>
  <si>
    <t>38 - 용의춤</t>
  </si>
  <si>
    <t>25 - 냉동빔</t>
  </si>
  <si>
    <t>19 - 리프레쉬</t>
  </si>
  <si>
    <t>19 - 두번치기</t>
  </si>
  <si>
    <t>19 - 회오리불꽃</t>
  </si>
  <si>
    <t>22 - 리사이클</t>
  </si>
  <si>
    <t>28 - 버티기</t>
  </si>
  <si>
    <t>24 - 코골기</t>
  </si>
  <si>
    <t>30 - 순풍</t>
  </si>
  <si>
    <t>30 - 열풍</t>
  </si>
  <si>
    <t>31 - 신비의부적</t>
  </si>
  <si>
    <t>32 - 신비의부적</t>
  </si>
  <si>
    <t>26 - 파워스웹</t>
  </si>
  <si>
    <t>38 - 사이코키네시스</t>
  </si>
  <si>
    <t>26 - 에너지볼</t>
  </si>
  <si>
    <t>29 - 신통력</t>
  </si>
  <si>
    <t>31 - 스피드스타</t>
  </si>
  <si>
    <t>29 - 베어가르기</t>
  </si>
  <si>
    <t>23 - 사념의박치기 (!!)</t>
  </si>
  <si>
    <t>18 - 은빛바람</t>
  </si>
  <si>
    <t>22 - 칼춤</t>
  </si>
  <si>
    <t>19 - 희망사항</t>
  </si>
  <si>
    <t>28 - 사이코키네시스</t>
  </si>
  <si>
    <t>25 - 에어슬래시</t>
  </si>
  <si>
    <t>28 - 파워젬</t>
  </si>
  <si>
    <t>33 - 파워젬</t>
  </si>
  <si>
    <t>21 - 아쿠아테일</t>
  </si>
  <si>
    <t>26 - 싫은소리</t>
  </si>
  <si>
    <t>25 - 시그널빔</t>
  </si>
  <si>
    <t>25 - 하품</t>
  </si>
  <si>
    <t>27 - 하품</t>
  </si>
  <si>
    <t>27 - 검은눈빛</t>
  </si>
  <si>
    <t>27 - 압정뿌리기</t>
  </si>
  <si>
    <t>23 - 드릴라이너</t>
  </si>
  <si>
    <t>25 - 유턴</t>
  </si>
  <si>
    <t>27 - 파워트릭</t>
  </si>
  <si>
    <t>28 - 집단구타</t>
  </si>
  <si>
    <t>25 - 거품광선</t>
  </si>
  <si>
    <t>30 - 냉동빔</t>
  </si>
  <si>
    <t>24 - 회전부리</t>
  </si>
  <si>
    <t>25 - 속여때리기</t>
  </si>
  <si>
    <t>22 - 힘껏치기</t>
  </si>
  <si>
    <t>51 - 스케치</t>
  </si>
  <si>
    <t>33 - 판별</t>
  </si>
  <si>
    <t>24 - 거짓울음</t>
  </si>
  <si>
    <t>37 - 유혹</t>
  </si>
  <si>
    <t>26 - 번개엄니</t>
  </si>
  <si>
    <t>26 - 불꽃엄니</t>
  </si>
  <si>
    <t>30 - HP회복</t>
  </si>
  <si>
    <t>30 - 사이코키네시스</t>
  </si>
  <si>
    <t>29 - 판별</t>
  </si>
  <si>
    <t>30 - 리프블레이드</t>
  </si>
  <si>
    <t>29 - 화염방사</t>
  </si>
  <si>
    <t>30 - 스카이업퍼</t>
  </si>
  <si>
    <t>29 - 돌진</t>
  </si>
  <si>
    <t>28 - 금제</t>
  </si>
  <si>
    <t>33 - 기가드레인</t>
  </si>
  <si>
    <t>33 - 맹독</t>
  </si>
  <si>
    <t>28 - 흰안개</t>
  </si>
  <si>
    <t>29 - 칼바람</t>
  </si>
  <si>
    <t>31 - 에어슬래시</t>
  </si>
  <si>
    <t>28 - 날개쉬기</t>
  </si>
  <si>
    <t>22 - 내던지기</t>
  </si>
  <si>
    <t>25 - 사이코키네시스</t>
  </si>
  <si>
    <t>27 - 사이코키네시스</t>
  </si>
  <si>
    <t>27 - 아쿠아제트</t>
  </si>
  <si>
    <t>39 - 카운터</t>
  </si>
  <si>
    <t>36 - 뽐내기</t>
  </si>
  <si>
    <t>27 - 구멍파기</t>
  </si>
  <si>
    <t>20 - 연속자르기</t>
  </si>
  <si>
    <t>27 - 시저크로스</t>
  </si>
  <si>
    <t>28 - 하이퍼보이스</t>
  </si>
  <si>
    <t>31 - 하이퍼보이스</t>
  </si>
  <si>
    <t>21 - 배북</t>
  </si>
  <si>
    <t>18 - 뛰어오르다</t>
  </si>
  <si>
    <t>28 - 락블레스트</t>
  </si>
  <si>
    <t>17 - 탐내다</t>
  </si>
  <si>
    <t>23 - 혼내기</t>
  </si>
  <si>
    <t>22 - 번개엄니</t>
  </si>
  <si>
    <t>30 - 돌진</t>
  </si>
  <si>
    <t>28 - 마음의눈</t>
  </si>
  <si>
    <t>25 - 번개엄니</t>
  </si>
  <si>
    <t>30 - 방어</t>
  </si>
  <si>
    <t>30 - 부추기기</t>
  </si>
  <si>
    <t>24 - 압정뿌리기</t>
  </si>
  <si>
    <t>32 - 비축하기</t>
  </si>
  <si>
    <t>26 - 누르기</t>
  </si>
  <si>
    <t>28 - 겁나는얼굴</t>
  </si>
  <si>
    <t>25 - 다이빙</t>
  </si>
  <si>
    <t>31 - 돌진</t>
  </si>
  <si>
    <t>22 - 흔들흔들댄스</t>
  </si>
  <si>
    <t>30 - 용의숨결</t>
  </si>
  <si>
    <t>28 - 보복</t>
  </si>
  <si>
    <t>25 - 자연의은혜</t>
  </si>
  <si>
    <t>25 - 칼춤</t>
  </si>
  <si>
    <t>28 - 위액</t>
  </si>
  <si>
    <t>29 - 코스믹파워</t>
  </si>
  <si>
    <t>26 - 깜짝베기</t>
  </si>
  <si>
    <t>33 - 대지의힘</t>
  </si>
  <si>
    <t>31 - 망각술</t>
  </si>
  <si>
    <t>27 - 물의파동</t>
  </si>
  <si>
    <t>21 - 용의숨결</t>
  </si>
  <si>
    <t>35 - 불대문자</t>
  </si>
  <si>
    <t>28 - 섀도볼</t>
  </si>
  <si>
    <t>31 - 섀도볼</t>
  </si>
  <si>
    <t>24 - 자연의힘</t>
  </si>
  <si>
    <t>30 - 깨물어부수기</t>
  </si>
  <si>
    <t>25 - 잠자기</t>
  </si>
  <si>
    <t>24 - 뽐내기</t>
  </si>
  <si>
    <t>31 - 아쿠아테일</t>
  </si>
  <si>
    <t>25 - 매그니튜드</t>
  </si>
  <si>
    <t>28 - 천사의키스</t>
  </si>
  <si>
    <t>32 - 러스터캐논</t>
  </si>
  <si>
    <t>34 - 록온</t>
  </si>
  <si>
    <t>30 - 도우미</t>
  </si>
  <si>
    <t>38 - 하이드로펌프</t>
  </si>
  <si>
    <t>38 - 불대문자</t>
  </si>
  <si>
    <t>42 - 하이퍼보이스</t>
  </si>
  <si>
    <t>38 - 코스믹파워</t>
  </si>
  <si>
    <t>38 - 철벽</t>
  </si>
  <si>
    <t>38 - 고속이동</t>
  </si>
  <si>
    <t>29 - 깨물어부수기</t>
  </si>
  <si>
    <t>29 - 씨뿌리기</t>
  </si>
  <si>
    <t>18 - 땅고르기</t>
  </si>
  <si>
    <t>29 - 객기</t>
  </si>
  <si>
    <t>29 - 흰안개</t>
  </si>
  <si>
    <t>30 - 마구찌르기</t>
  </si>
  <si>
    <t>34 - 돌진</t>
  </si>
  <si>
    <t>29 - 분노의앞니</t>
  </si>
  <si>
    <t>22 - 기충전</t>
  </si>
  <si>
    <t>21 - 불꽃엄니</t>
  </si>
  <si>
    <t>24 - 불꽃엄니</t>
  </si>
  <si>
    <t>30 - 싫은소리</t>
  </si>
  <si>
    <t>30 - 버티기</t>
  </si>
  <si>
    <t>32 - 에너지볼</t>
  </si>
  <si>
    <t>32 - 대지의힘</t>
  </si>
  <si>
    <t>29 - 금속음</t>
  </si>
  <si>
    <t>35 - 환상빔</t>
  </si>
  <si>
    <t>21 - 방어지령</t>
  </si>
  <si>
    <t>31 - 바다회오리</t>
  </si>
  <si>
    <t>29 - 더블어택</t>
  </si>
  <si>
    <t>31 - 풀피리</t>
  </si>
  <si>
    <t>26 - 기가드레인</t>
  </si>
  <si>
    <t>30 - 오물폭탄</t>
  </si>
  <si>
    <t>25 - 섀도볼</t>
  </si>
  <si>
    <t>25 - 조수</t>
  </si>
  <si>
    <t>25 - 페인트</t>
  </si>
  <si>
    <t>24 - 구르기</t>
  </si>
  <si>
    <t>24 - 빛의장막</t>
  </si>
  <si>
    <t>27 - 흉내내기</t>
  </si>
  <si>
    <t>28 - 드래곤크루</t>
  </si>
  <si>
    <t>34 - 겁나는얼굴</t>
  </si>
  <si>
    <t>27 - 꿀꺽</t>
  </si>
  <si>
    <t>22 - 본러쉬</t>
  </si>
  <si>
    <t>35 - 태만함</t>
  </si>
  <si>
    <t>24 - 저리가루</t>
  </si>
  <si>
    <t>30 - 아쿠아테일</t>
  </si>
  <si>
    <t>28 - 씨폭탄</t>
  </si>
  <si>
    <t>16 - 잎날가르기</t>
  </si>
  <si>
    <t>16 - 얼다바람</t>
  </si>
  <si>
    <t>24 - 도깨비불</t>
  </si>
  <si>
    <t>22 - 대타출동</t>
  </si>
  <si>
    <t>34 - 바둥바둥</t>
  </si>
  <si>
    <t>34 - 흉내쟁이</t>
  </si>
  <si>
    <t>34 - 뒀다쓰기</t>
  </si>
  <si>
    <t>38 - 파동탄</t>
  </si>
  <si>
    <t>38 - 대지의힘</t>
  </si>
  <si>
    <t>30 - 보복</t>
  </si>
  <si>
    <t>34 - 사이코커터</t>
  </si>
  <si>
    <t>38 - 시그널빔</t>
  </si>
  <si>
    <t>26 - 흑안개</t>
  </si>
  <si>
    <t>38 - 에어슬래시</t>
  </si>
  <si>
    <t>18 - 신속</t>
  </si>
  <si>
    <t>32 - 깨물어부수기</t>
  </si>
  <si>
    <t>32 - 로케트박치기</t>
  </si>
  <si>
    <t>34 - 철벽</t>
  </si>
  <si>
    <t>25 - 신비의부적</t>
  </si>
  <si>
    <t>31 - 크로스포이즌 (!!)</t>
  </si>
  <si>
    <t>30 - 날개쉬기</t>
  </si>
  <si>
    <t>35 - 날개쉬기</t>
  </si>
  <si>
    <t>31 - 화염자동차</t>
  </si>
  <si>
    <t>23 - 분노의앞니</t>
  </si>
  <si>
    <t>31 - 드릴라이너</t>
  </si>
  <si>
    <t>23 - 승부굳히기</t>
  </si>
  <si>
    <t>25 - 토해내기</t>
  </si>
  <si>
    <t>26 - 10만볼트</t>
  </si>
  <si>
    <t>27 - 부추기기</t>
  </si>
  <si>
    <t>31 - 부추기기</t>
  </si>
  <si>
    <t>21 - 작아지기</t>
  </si>
  <si>
    <t>21 - 꿀꺽</t>
  </si>
  <si>
    <t>27 - 기가드레인</t>
  </si>
  <si>
    <t>31 - 씨폭탄</t>
  </si>
  <si>
    <t>30 - 성장</t>
  </si>
  <si>
    <t>24 - 흡혈</t>
  </si>
  <si>
    <t>28 - 스톤샤워</t>
  </si>
  <si>
    <t>26 - 트라이어택</t>
  </si>
  <si>
    <t>27 - 도발</t>
  </si>
  <si>
    <t>26 - 승부굳히기</t>
  </si>
  <si>
    <t>30 - 배북</t>
  </si>
  <si>
    <t>32 - 배북</t>
  </si>
  <si>
    <t>53 - 인파이트 (!!)</t>
  </si>
  <si>
    <t>34 - HP회복</t>
  </si>
  <si>
    <t>29 - 보복</t>
  </si>
  <si>
    <t>25 - 독찌르기</t>
  </si>
  <si>
    <t>43 - 파워휩</t>
  </si>
  <si>
    <t>34 - 오물폭탄</t>
  </si>
  <si>
    <t>36 - 오물폭탄</t>
  </si>
  <si>
    <t>31 - 지진</t>
  </si>
  <si>
    <t>30 - 스텔스록</t>
  </si>
  <si>
    <t>31 - 안다리걸기</t>
  </si>
  <si>
    <t>28 - 태만함</t>
  </si>
  <si>
    <t>30 - 회전부리</t>
  </si>
  <si>
    <t>23 - 아쿠아링</t>
  </si>
  <si>
    <t>27 - 바다회오리</t>
  </si>
  <si>
    <t>25 - 섀도펀치</t>
  </si>
  <si>
    <t>30 - 자기암시</t>
  </si>
  <si>
    <t>29 - 탁쳐서떨구기</t>
  </si>
  <si>
    <t>31 - 빛의장막</t>
  </si>
  <si>
    <t>25 - 에너지볼</t>
  </si>
  <si>
    <t>28 - 본러쉬</t>
  </si>
  <si>
    <t>28 - 칼춤</t>
  </si>
  <si>
    <t>35 - 인파이트</t>
  </si>
  <si>
    <t>33 - 구르기</t>
  </si>
  <si>
    <t>31 - 분연 (!!)</t>
  </si>
  <si>
    <t>31 - 스톤샤워</t>
  </si>
  <si>
    <t>28 - 기가드레인</t>
  </si>
  <si>
    <t>25 - 작아지기</t>
  </si>
  <si>
    <t>25 - 벌레먹음</t>
  </si>
  <si>
    <t>33 - 싫은소리</t>
  </si>
  <si>
    <t>33 - 쾌청</t>
  </si>
  <si>
    <t>41 - 역린</t>
  </si>
  <si>
    <t>28 - 거품광선</t>
  </si>
  <si>
    <t>22 - 희망사항</t>
  </si>
  <si>
    <t>22 - 화염자동차 (!!)</t>
  </si>
  <si>
    <t>25 - 트라이어택</t>
  </si>
  <si>
    <t>34 - 대지의힘</t>
  </si>
  <si>
    <t>31 - 폭포오르기</t>
  </si>
  <si>
    <t>29 - 스톤샤워</t>
  </si>
  <si>
    <t>27 - 잠꼬대</t>
  </si>
  <si>
    <t>34 - 냉동빔</t>
  </si>
  <si>
    <t>34 - 회전부리</t>
  </si>
  <si>
    <t>34 - 솔라빔</t>
  </si>
  <si>
    <t>34 - 드래곤다이브</t>
  </si>
  <si>
    <t>36 - 드래곤다이브</t>
  </si>
  <si>
    <t>26 - 가드스웹</t>
  </si>
  <si>
    <t>42 - 나쁜음모</t>
  </si>
  <si>
    <t>29 - 누르기</t>
  </si>
  <si>
    <t>30 - 달콤한향기</t>
  </si>
  <si>
    <t>32 - 화염방사</t>
  </si>
  <si>
    <t>35 - 신통력</t>
  </si>
  <si>
    <t>29 - 깜짝베기 (!!)</t>
  </si>
  <si>
    <t>33 - 베어가르기</t>
  </si>
  <si>
    <t>27 - 리플렉터</t>
  </si>
  <si>
    <t>21 - 유턴</t>
  </si>
  <si>
    <t>27 - 거미집</t>
  </si>
  <si>
    <t>24 - 마구할퀴기</t>
  </si>
  <si>
    <t>30 - 바둥바둥</t>
  </si>
  <si>
    <t>33 - 바둥바둥</t>
  </si>
  <si>
    <t>21 - 신비의부적</t>
  </si>
  <si>
    <t>31 - 미라클아이</t>
  </si>
  <si>
    <t>26 - 희망사항</t>
  </si>
  <si>
    <t>31 - 시그널빔</t>
  </si>
  <si>
    <t>37 - 시그널빔</t>
  </si>
  <si>
    <t>24 - 치근거리기</t>
  </si>
  <si>
    <t>18 - 누르기</t>
  </si>
  <si>
    <t>29 - 고속이동</t>
  </si>
  <si>
    <t>25 - 아침햇살</t>
  </si>
  <si>
    <t>23 - 기관총</t>
  </si>
  <si>
    <t>28 - 누르기</t>
  </si>
  <si>
    <t>29 - 기습</t>
  </si>
  <si>
    <t>27 - 독압정</t>
  </si>
  <si>
    <t>25 - 날개쉬기</t>
  </si>
  <si>
    <t>28 - 크로스포이즌</t>
  </si>
  <si>
    <t>19 - 울부짖기</t>
  </si>
  <si>
    <t>24 - 토해내기</t>
  </si>
  <si>
    <t>30 - 위액</t>
  </si>
  <si>
    <t>19 - 깨트리다</t>
  </si>
  <si>
    <t>31 - 베어가르기</t>
  </si>
  <si>
    <t>33 - 화염방사</t>
  </si>
  <si>
    <t>34 - 화염방사</t>
  </si>
  <si>
    <t>28 - 철벽</t>
  </si>
  <si>
    <t>33 - 씨폭탄</t>
  </si>
  <si>
    <t>24 - 쥐어짜기</t>
  </si>
  <si>
    <t>27 - 리사이클</t>
  </si>
  <si>
    <t>28 - 회전부리</t>
  </si>
  <si>
    <t>26 - 속여때리기</t>
  </si>
  <si>
    <t>31 - 역할</t>
  </si>
  <si>
    <t>56 - 스케치</t>
  </si>
  <si>
    <t>27 - 주술</t>
  </si>
  <si>
    <t>31 - 싫은소리</t>
  </si>
  <si>
    <t>31 - 쾌청</t>
  </si>
  <si>
    <t>41 - 자이로볼</t>
  </si>
  <si>
    <t>30 - 방전</t>
  </si>
  <si>
    <t>30 - 분연</t>
  </si>
  <si>
    <t>34 - 미래예지</t>
  </si>
  <si>
    <t>34 - 판별</t>
  </si>
  <si>
    <t>32 - 베어가르기</t>
  </si>
  <si>
    <t>31 - 도발</t>
  </si>
  <si>
    <t>28 - 잠자기</t>
  </si>
  <si>
    <t>36 - 에어슬래시 (!!)</t>
  </si>
  <si>
    <t>36 - 순풍</t>
  </si>
  <si>
    <t>31 - 사념의박치기</t>
  </si>
  <si>
    <t>28 - 소란피기</t>
  </si>
  <si>
    <t>32 - 뽐내기</t>
  </si>
  <si>
    <t>34 - 죽기살기</t>
  </si>
  <si>
    <t>31 - 유턴</t>
  </si>
  <si>
    <t>25 - 방어</t>
  </si>
  <si>
    <t>28 - 명상</t>
  </si>
  <si>
    <t>31 - 명상</t>
  </si>
  <si>
    <t>30 - 흰안개</t>
  </si>
  <si>
    <t>23 - 마하펀치</t>
  </si>
  <si>
    <t>43 - 바둥바둥</t>
  </si>
  <si>
    <t>43 - 기사회생</t>
  </si>
  <si>
    <t>31 - 시저크로스</t>
  </si>
  <si>
    <t>20 - 싫은소리</t>
  </si>
  <si>
    <t>31 - 이상한빛</t>
  </si>
  <si>
    <t>31 - 울부짖기</t>
  </si>
  <si>
    <t>35 - 울부짖기</t>
  </si>
  <si>
    <t>24 - 잠깨움뺨치기</t>
  </si>
  <si>
    <t>31 - 모래바람</t>
  </si>
  <si>
    <t>19 - 흉내쟁이</t>
  </si>
  <si>
    <t>25 - 섀도크루</t>
  </si>
  <si>
    <t>31 - 금속음</t>
  </si>
  <si>
    <t>34 - 금속음</t>
  </si>
  <si>
    <t>31 - 무릎차기</t>
  </si>
  <si>
    <t>25 - 얼음엄니</t>
  </si>
  <si>
    <t>28 - 흉내쟁이</t>
  </si>
  <si>
    <t>33 - 10만볼트</t>
  </si>
  <si>
    <t>33 - 문포스 (!!)</t>
  </si>
  <si>
    <t>32 - 토해내기</t>
  </si>
  <si>
    <t>27 - 오물폭탄</t>
  </si>
  <si>
    <t>31 - 깨물어부수기</t>
  </si>
  <si>
    <t>33 - 스톤샤워</t>
  </si>
  <si>
    <t>31 - 대지의힘</t>
  </si>
  <si>
    <t>31 - 잠자기</t>
  </si>
  <si>
    <t>25 - 소란피기</t>
  </si>
  <si>
    <t>31 - 압정뿌리기</t>
  </si>
  <si>
    <t>28 - 탁쳐서떨구기</t>
  </si>
  <si>
    <t>31 - 독찌르기</t>
  </si>
  <si>
    <t>33 - 회복봉인</t>
  </si>
  <si>
    <t>29 - 바꿔치기</t>
  </si>
  <si>
    <t>31 - 자폭</t>
  </si>
  <si>
    <t>36 - HP회복</t>
  </si>
  <si>
    <t>30 - 시저크로스</t>
  </si>
  <si>
    <t>24 - 아쿠아테일</t>
  </si>
  <si>
    <t>35 - 눈보라</t>
  </si>
  <si>
    <t>31 - 금제</t>
  </si>
  <si>
    <t>34 - 이상한빛</t>
  </si>
  <si>
    <t>27 - 누르기</t>
  </si>
  <si>
    <t>28 - 치료방울</t>
  </si>
  <si>
    <t>33 - 냉동빔</t>
  </si>
  <si>
    <t>25 - 코골기</t>
  </si>
  <si>
    <t>26 - 잠자기</t>
  </si>
  <si>
    <t>35 - 사이코키네시스</t>
  </si>
  <si>
    <t>31 - 겁나는얼굴</t>
  </si>
  <si>
    <t>35 - 겁나는얼굴</t>
  </si>
  <si>
    <t>34 - 전자포</t>
  </si>
  <si>
    <t>42 - 번개</t>
  </si>
  <si>
    <t>42 - 솔라빔</t>
  </si>
  <si>
    <t>46 - 역린</t>
  </si>
  <si>
    <t>26 - 코스믹파워</t>
  </si>
  <si>
    <t>42 - HP회복</t>
  </si>
  <si>
    <t>42 - 전자포</t>
  </si>
  <si>
    <t>38 - 망각술</t>
  </si>
  <si>
    <t>32 - 누르기</t>
  </si>
  <si>
    <t>33 - 깨물어부수기</t>
  </si>
  <si>
    <t>32 - 바다회오리</t>
  </si>
  <si>
    <t>34 - 흰안개</t>
  </si>
  <si>
    <t>32 - 날개쉬기</t>
  </si>
  <si>
    <t>38 - 날개쉬기</t>
  </si>
  <si>
    <t>32 - 칼춤</t>
  </si>
  <si>
    <t>24 - 울부짖기</t>
  </si>
  <si>
    <t>28 - 울부짖기</t>
  </si>
  <si>
    <t>30 - 죽기살기</t>
  </si>
  <si>
    <t>33 - 스텔스록</t>
  </si>
  <si>
    <t>30 - 블록</t>
  </si>
  <si>
    <t>21 - 회복지령</t>
  </si>
  <si>
    <t>29 - 천사의키스</t>
  </si>
  <si>
    <t>34 - 칼바람</t>
  </si>
  <si>
    <t>33 - 얼음엄니</t>
  </si>
  <si>
    <t>34 - 누르기</t>
  </si>
  <si>
    <t>28 - 망각술</t>
  </si>
  <si>
    <t>28 - 맹독</t>
  </si>
  <si>
    <t>30 - 신비의부적</t>
  </si>
  <si>
    <t>27 - 스톤샤워</t>
  </si>
  <si>
    <t>24 - 리플렉터</t>
  </si>
  <si>
    <t>30 - 수다</t>
  </si>
  <si>
    <t>38 - 스톤샤워</t>
  </si>
  <si>
    <t>30 - 구르기</t>
  </si>
  <si>
    <t>39 - 지진</t>
  </si>
  <si>
    <t>30 - 칼춤</t>
  </si>
  <si>
    <t>27 - 탁쳐서떨구기</t>
  </si>
  <si>
    <t>33 - 은빛바람</t>
  </si>
  <si>
    <t>31 - 뿌리박기</t>
  </si>
  <si>
    <t>22 - 금제</t>
  </si>
  <si>
    <t>25 - 차지빔</t>
  </si>
  <si>
    <t>38 - 신통력</t>
  </si>
  <si>
    <t>42 - 대지의힘</t>
  </si>
  <si>
    <t>42 - 열풍</t>
  </si>
  <si>
    <t>34 - 블록</t>
  </si>
  <si>
    <t>38 - 달의불빛</t>
  </si>
  <si>
    <t>42 - 다이빙</t>
  </si>
  <si>
    <t>30 - 나이트헤드</t>
  </si>
  <si>
    <t>42 - 천사의키스</t>
  </si>
  <si>
    <t>22 - 리프레쉬</t>
  </si>
  <si>
    <t>32 - 고민씨</t>
  </si>
  <si>
    <t>34 - 성장</t>
  </si>
  <si>
    <t>35 - 용의파동</t>
  </si>
  <si>
    <t>38 - 깨물어부수기</t>
  </si>
  <si>
    <t>35 - 아쿠아테일</t>
  </si>
  <si>
    <t>38 - 로케트박치기</t>
  </si>
  <si>
    <t>28 - 벌레의야단법석</t>
  </si>
  <si>
    <t>34 - 회전부리 (!!)</t>
  </si>
  <si>
    <t>33 - 날려버리기</t>
  </si>
  <si>
    <t>39 - 날려버리기</t>
  </si>
  <si>
    <t>34 - 이판사판태클</t>
  </si>
  <si>
    <t>34 - 기충전</t>
  </si>
  <si>
    <t>27 - 회전부리</t>
  </si>
  <si>
    <t>28 - 포이즌테일</t>
  </si>
  <si>
    <t>30 - 기습</t>
  </si>
  <si>
    <t>35 - 기습</t>
  </si>
  <si>
    <t>23 - 손가락흔들기</t>
  </si>
  <si>
    <t>31 - 악의파동</t>
  </si>
  <si>
    <t>21 - 토해내기</t>
  </si>
  <si>
    <t>27 - 스피드스타</t>
  </si>
  <si>
    <t>31 - 맹독</t>
  </si>
  <si>
    <t>34 - 크로스포이즌</t>
  </si>
  <si>
    <t>34 - 씨폭탄</t>
  </si>
  <si>
    <t>30 - 승부굳히기</t>
  </si>
  <si>
    <t>33 - 사이코키네시스</t>
  </si>
  <si>
    <t>29 - 혼내기</t>
  </si>
  <si>
    <t>28 - 분노</t>
  </si>
  <si>
    <t>28 - 화염방사</t>
  </si>
  <si>
    <t>33 - 진흙폭탄</t>
  </si>
  <si>
    <t>36 - 진흙폭탄</t>
  </si>
  <si>
    <t>37 - 사이코키네시스</t>
  </si>
  <si>
    <t>32 - 카운터</t>
  </si>
  <si>
    <t>34 - 카운터</t>
  </si>
  <si>
    <t>37 - 싫은소리</t>
  </si>
  <si>
    <t>40 - 싫은소리</t>
  </si>
  <si>
    <t>34 - 락블레스트</t>
  </si>
  <si>
    <t>34 - 지진</t>
  </si>
  <si>
    <t>34 - 플레어드라이브</t>
  </si>
  <si>
    <t>31 - 러스터캐논</t>
  </si>
  <si>
    <t>30 - 트라이어택</t>
  </si>
  <si>
    <t>25 - 리벤지</t>
  </si>
  <si>
    <t>33 - 경혈찌르기</t>
  </si>
  <si>
    <t>31 - 보복</t>
  </si>
  <si>
    <t>26 - 섀도볼</t>
  </si>
  <si>
    <t>28 - 힘껏치기</t>
  </si>
  <si>
    <t>33 - 사념의박치기</t>
  </si>
  <si>
    <t>32 - 가위자르기</t>
  </si>
  <si>
    <t>33 - 전자부유</t>
  </si>
  <si>
    <t>35 - 전자부유</t>
  </si>
  <si>
    <t>27 - 고민씨</t>
  </si>
  <si>
    <t>31 - 난동부리기</t>
  </si>
  <si>
    <t>29 - 본러쉬</t>
  </si>
  <si>
    <t>37 - 꿰뚫어보기</t>
  </si>
  <si>
    <t>34 - 길동무</t>
  </si>
  <si>
    <t>34 - 독찌르기</t>
  </si>
  <si>
    <t>22 - 하이퍼보이스</t>
  </si>
  <si>
    <t>31 - 잠깨움뺨치기</t>
  </si>
  <si>
    <t>34 - 버티기</t>
  </si>
  <si>
    <t>34 - 용의파동</t>
  </si>
  <si>
    <t>27 - 파워젬</t>
  </si>
  <si>
    <t>28 - 칼바람</t>
  </si>
  <si>
    <t>37 - 크로스촙</t>
  </si>
  <si>
    <t>31 - 탁쳐서떨구기</t>
  </si>
  <si>
    <t>25 - 열탕</t>
  </si>
  <si>
    <t>37 - 간지르기</t>
  </si>
  <si>
    <t>30 - 가시대포</t>
  </si>
  <si>
    <t>34 - 탁쳐서떨구기</t>
  </si>
  <si>
    <t>30 - 베어가르기</t>
  </si>
  <si>
    <t>33 - 돌진</t>
  </si>
  <si>
    <t>38 - 눈보라</t>
  </si>
  <si>
    <t>38 - 번개</t>
  </si>
  <si>
    <t>38 - 불새</t>
  </si>
  <si>
    <t>37 - 용의춤</t>
  </si>
  <si>
    <t>40 - 용의춤</t>
  </si>
  <si>
    <t>46 - 최면술</t>
  </si>
  <si>
    <t>32 - 문포스 (!!)</t>
  </si>
  <si>
    <t>35 - 구르기</t>
  </si>
  <si>
    <t>39 - 화염방사</t>
  </si>
  <si>
    <t>32 - 싫은소리</t>
  </si>
  <si>
    <t>33 - 깜짝베기 (!!)</t>
  </si>
  <si>
    <t>29 - 기사회생</t>
  </si>
  <si>
    <t>26 - 사념의박치기 (!!)</t>
  </si>
  <si>
    <t>22 - 사이코시프트</t>
  </si>
  <si>
    <t>24 - 바톤터치</t>
  </si>
  <si>
    <t>19 - 은빛바람</t>
  </si>
  <si>
    <t>29 - 독찌르기</t>
  </si>
  <si>
    <t>27 - 깜짝베기</t>
  </si>
  <si>
    <t>37 - 10만볼트</t>
  </si>
  <si>
    <t>23 - 원시의힘</t>
  </si>
  <si>
    <t>20 - 에어컷터</t>
  </si>
  <si>
    <t>34 - 사이코시프트</t>
  </si>
  <si>
    <t>34 - 10만볼트</t>
  </si>
  <si>
    <t>41 - 10만볼트</t>
  </si>
  <si>
    <t>57 - 리프스톰</t>
  </si>
  <si>
    <t>27 - 아쿠아링</t>
  </si>
  <si>
    <t>19 - 목화포자</t>
  </si>
  <si>
    <t>20 - 목화포자</t>
  </si>
  <si>
    <t>32 - 더블어택</t>
  </si>
  <si>
    <t>28 - 에너지볼</t>
  </si>
  <si>
    <t>29 - 에어슬래시</t>
  </si>
  <si>
    <t>35 - 지진</t>
  </si>
  <si>
    <t>25 - 신통력 (!!)</t>
  </si>
  <si>
    <t>25 - 깨물어부수기 (!!)</t>
  </si>
  <si>
    <t>33 - 순풍</t>
  </si>
  <si>
    <t>27 - 보복</t>
  </si>
  <si>
    <t>27 - 돌진</t>
  </si>
  <si>
    <t>22 - 분노</t>
  </si>
  <si>
    <t>33 - 락블레스트</t>
  </si>
  <si>
    <t>23 - 마구찌르기</t>
  </si>
  <si>
    <t>34 - 싫은소리</t>
  </si>
  <si>
    <t>30 - 크로스촙</t>
  </si>
  <si>
    <t>31 - 크로스촙</t>
  </si>
  <si>
    <t>36 - 파워젬 (!!)</t>
  </si>
  <si>
    <t>38 - 파워젬 (!!)</t>
  </si>
  <si>
    <t>31 - 흰안개</t>
  </si>
  <si>
    <t>36 - 화염방사</t>
  </si>
  <si>
    <t>30 - 에어슬래시 (!!)</t>
  </si>
  <si>
    <t>31 - 화염방사</t>
  </si>
  <si>
    <t>25 - 마구찌르기</t>
  </si>
  <si>
    <t>34 - 난동부리기</t>
  </si>
  <si>
    <t>61 - 스케치</t>
  </si>
  <si>
    <t>37 - 카운터</t>
  </si>
  <si>
    <t>34 - 크로스촙</t>
  </si>
  <si>
    <t>45 - 치료방울</t>
  </si>
  <si>
    <t>34 - 신통력</t>
  </si>
  <si>
    <t>31 - 용의춤</t>
  </si>
  <si>
    <t>33 - 용의춤</t>
  </si>
  <si>
    <t>38 - 나쁜음모</t>
  </si>
  <si>
    <t>38 - 에너지볼</t>
  </si>
  <si>
    <t>32 - 깜짝베기</t>
  </si>
  <si>
    <t>38 - 베어가르기</t>
  </si>
  <si>
    <t>35 - 바다회오리</t>
  </si>
  <si>
    <t>34 - 하품</t>
  </si>
  <si>
    <t>31 - 이판사판태클</t>
  </si>
  <si>
    <t>39 - 분노</t>
  </si>
  <si>
    <t>39 - 방어</t>
  </si>
  <si>
    <t>32 - 탁쳐서떨구기</t>
  </si>
  <si>
    <t>37 - 브레이브버드</t>
  </si>
  <si>
    <t>35 - 에어슬래시</t>
  </si>
  <si>
    <t>34 - 순풍</t>
  </si>
  <si>
    <t>26 - 비축하기</t>
  </si>
  <si>
    <t>31 - 문포스 (!!)</t>
  </si>
  <si>
    <t>35 - 문포스 (!!)</t>
  </si>
  <si>
    <t>30 - 흑안개</t>
  </si>
  <si>
    <t>22 - 에어컷터</t>
  </si>
  <si>
    <t>31 - 에너지볼</t>
  </si>
  <si>
    <t>26 - 발경</t>
  </si>
  <si>
    <t>47 - 치근거리기</t>
  </si>
  <si>
    <t>35 - 참기</t>
  </si>
  <si>
    <t>35 - 섀도볼</t>
  </si>
  <si>
    <t>34 - 잠자기</t>
  </si>
  <si>
    <t>39 - 잠자기</t>
  </si>
  <si>
    <t>27 - 리벤지</t>
  </si>
  <si>
    <t>25 - 잠깨움뺨치기</t>
  </si>
  <si>
    <t>38 - 아이언테일</t>
  </si>
  <si>
    <t>34 - 자기암시</t>
  </si>
  <si>
    <t>25 - 불꽃엄니</t>
  </si>
  <si>
    <t>31 - 애교부리기</t>
  </si>
  <si>
    <t>31 - 거짓울음</t>
  </si>
  <si>
    <t>36 - 벌레의야단법석</t>
  </si>
  <si>
    <t>32 - 꿀꺽</t>
  </si>
  <si>
    <t>34 - 독엄니</t>
  </si>
  <si>
    <t>31 - 해수스파우팅</t>
  </si>
  <si>
    <t>37 - 하품</t>
  </si>
  <si>
    <t>35 - 화염방사</t>
  </si>
  <si>
    <t>31 - 코골기</t>
  </si>
  <si>
    <t>28 - 속이다</t>
  </si>
  <si>
    <t>35 - 모래바람</t>
  </si>
  <si>
    <t>34 - 기습</t>
  </si>
  <si>
    <t>32 - 리벤지</t>
  </si>
  <si>
    <t>31 - 문포스</t>
  </si>
  <si>
    <t>31 - 판별</t>
  </si>
  <si>
    <t>34 - 깨물어부수기</t>
  </si>
  <si>
    <t>37 - 스톤에지</t>
  </si>
  <si>
    <t>30 - 스피드스타</t>
  </si>
  <si>
    <t>34 - 파워트릭</t>
  </si>
  <si>
    <t>39 - 에너지볼</t>
  </si>
  <si>
    <t>39 - HP회복</t>
  </si>
  <si>
    <t>27 - HP회복</t>
  </si>
  <si>
    <t>45 - 폭풍</t>
  </si>
  <si>
    <t>32 - 섀도크루</t>
  </si>
  <si>
    <t>37 - 검은눈빛</t>
  </si>
  <si>
    <t>30 - 에어슬래시</t>
  </si>
  <si>
    <t>28 - 사이코커터</t>
  </si>
  <si>
    <t>36 - 방어</t>
  </si>
  <si>
    <t>28 - 싸라기눈</t>
  </si>
  <si>
    <t>26 - 코골기</t>
  </si>
  <si>
    <t>39 - 바톤터치</t>
  </si>
  <si>
    <t>34 - 유혹</t>
  </si>
  <si>
    <t>36 - 용의춤</t>
  </si>
  <si>
    <t>38 - 모래바람</t>
  </si>
  <si>
    <t>38 - 싸라기눈</t>
  </si>
  <si>
    <t>38 - HP회복</t>
  </si>
  <si>
    <t>46 - 이판사판태클</t>
  </si>
  <si>
    <t>46 - 지진</t>
  </si>
  <si>
    <t>50 - 파괴광선</t>
  </si>
  <si>
    <t>30 - 중력</t>
  </si>
  <si>
    <t>46 - 사이코부스트</t>
  </si>
  <si>
    <t>35 - 광합성</t>
  </si>
  <si>
    <t>37 - 누르기</t>
  </si>
  <si>
    <t>39 - 트집</t>
  </si>
  <si>
    <t>35 - 하품</t>
  </si>
  <si>
    <t>38 - 바다회오리</t>
  </si>
  <si>
    <t>35 - 고속이동</t>
  </si>
  <si>
    <t>42 - 고속이동</t>
  </si>
  <si>
    <t>34 - 인파이트</t>
  </si>
  <si>
    <t>32 - 망각술</t>
  </si>
  <si>
    <t>34 - 분노의앞니</t>
  </si>
  <si>
    <t>36 - 록커트</t>
  </si>
  <si>
    <t>36 - 메탈버스트</t>
  </si>
  <si>
    <t>31 - 버티기</t>
  </si>
  <si>
    <t>38 - 헤롱헤롱</t>
  </si>
  <si>
    <t>41 - 사이코키네시스</t>
  </si>
  <si>
    <t>21 - 공격지령</t>
  </si>
  <si>
    <t>33 - 전기자석파</t>
  </si>
  <si>
    <t>37 - 고속이동</t>
  </si>
  <si>
    <t>37 - 칼바람</t>
  </si>
  <si>
    <t>37 - 주술</t>
  </si>
  <si>
    <t>34 - 풀피리</t>
  </si>
  <si>
    <t>36 - 누르기</t>
  </si>
  <si>
    <t>31 - 에어슬래시 (!!)</t>
  </si>
  <si>
    <t>29 - 망각술</t>
  </si>
  <si>
    <t>31 - 바꿔치기</t>
  </si>
  <si>
    <t>31 - 유혹</t>
  </si>
  <si>
    <t>31 - 독찌르기 (!!)</t>
  </si>
  <si>
    <t>33 - 러스터캐논</t>
  </si>
  <si>
    <t>27 - 매지컬샤인</t>
  </si>
  <si>
    <t>33 - 날개쉬기</t>
  </si>
  <si>
    <t>34 - 스톤샤워</t>
  </si>
  <si>
    <t>42 - 지진</t>
  </si>
  <si>
    <t>28 - 나쁜음모</t>
  </si>
  <si>
    <t>43 - 스텔스록</t>
  </si>
  <si>
    <t>33 - 독찌르기</t>
  </si>
  <si>
    <t>31 - 드레인펀치</t>
  </si>
  <si>
    <t>30 - 씨폭탄</t>
  </si>
  <si>
    <t>36 - 아쿠아링</t>
  </si>
  <si>
    <t>34 - 우드해머</t>
  </si>
  <si>
    <t>22 - 풀피리</t>
  </si>
  <si>
    <t>30 - 유혹</t>
  </si>
  <si>
    <t>28 - 도깨비불</t>
  </si>
  <si>
    <t>42 - 망각술</t>
  </si>
  <si>
    <t>42 - 애교부리기</t>
  </si>
  <si>
    <t>46 - 러스터캐논</t>
  </si>
  <si>
    <t>46 - 하이드로펌프</t>
  </si>
  <si>
    <t>46 - 스톤에지</t>
  </si>
  <si>
    <t>38 - 자연의힘</t>
  </si>
  <si>
    <t>46 - 용의파동</t>
  </si>
  <si>
    <t>42 - 냉동빔</t>
  </si>
  <si>
    <t>46 - 비바라기</t>
  </si>
  <si>
    <t>46 - 리프스톰</t>
  </si>
  <si>
    <t>26 - 미래예지</t>
  </si>
  <si>
    <t>35 - 이판사판태클</t>
  </si>
  <si>
    <t>38 - 고민씨</t>
  </si>
  <si>
    <t>38 - 회오리불꽃</t>
  </si>
  <si>
    <t>42 - 용의파동</t>
  </si>
  <si>
    <t>38 - 비바라기</t>
  </si>
  <si>
    <t>42 - 아쿠아테일</t>
  </si>
  <si>
    <t>34 - 드릴라이너</t>
  </si>
  <si>
    <t>43 - 순풍</t>
  </si>
  <si>
    <t>37 - 기사회생</t>
  </si>
  <si>
    <t>31 - 기습</t>
  </si>
  <si>
    <t>37 - 날개쉬기</t>
  </si>
  <si>
    <t>31 - 위액</t>
  </si>
  <si>
    <t>27 - 비축하기</t>
  </si>
  <si>
    <t>31 - 방전</t>
  </si>
  <si>
    <t>33 - 포이즌테일</t>
  </si>
  <si>
    <t>39 - 포이즌테일</t>
  </si>
  <si>
    <t>33 - 최면술</t>
  </si>
  <si>
    <t>23 - 잠깨움뺨치기</t>
  </si>
  <si>
    <t>34 - 흑안개</t>
  </si>
  <si>
    <t>31 - 최면술</t>
  </si>
  <si>
    <t>35 - 문포스</t>
  </si>
  <si>
    <t>37 - 탁쳐서떨구기</t>
  </si>
  <si>
    <t>38 - 크로스포이즌</t>
  </si>
  <si>
    <t>30 - 시그널빔</t>
  </si>
  <si>
    <t>34 - 베어가르기</t>
  </si>
  <si>
    <t>36 - 자기암시</t>
  </si>
  <si>
    <t>30 - 혼내기</t>
  </si>
  <si>
    <t>36 - 잠깨움뺨치기</t>
  </si>
  <si>
    <t>40 - 잠깨움뺨치기</t>
  </si>
  <si>
    <t>40 - 역할</t>
  </si>
  <si>
    <t>35 - 벌크업</t>
  </si>
  <si>
    <t>38 - 벌크업</t>
  </si>
  <si>
    <t>35 - 탁쳐서떨구기</t>
  </si>
  <si>
    <t>40 - 기가드레인</t>
  </si>
  <si>
    <t>44 - 기가드레인</t>
  </si>
  <si>
    <t>37 - 대폭발</t>
  </si>
  <si>
    <t>38 - 락블레스트</t>
  </si>
  <si>
    <t>37 - 이판사판태클</t>
  </si>
  <si>
    <t>34 - 사이코키네시스</t>
  </si>
  <si>
    <t>33 - 껍질에숨기</t>
  </si>
  <si>
    <t>28 - 리프블레이드</t>
  </si>
  <si>
    <t>36 - 따라하기</t>
  </si>
  <si>
    <t>28 - 냉동빔</t>
  </si>
  <si>
    <t>31 - 오물폭탄</t>
  </si>
  <si>
    <t>36 - 사이코키네시스</t>
  </si>
  <si>
    <t>35 - 힘껏치기</t>
  </si>
  <si>
    <t>36 - 10만볼트</t>
  </si>
  <si>
    <t>39 - 10만볼트</t>
  </si>
  <si>
    <t>29 - 원시의힘</t>
  </si>
  <si>
    <t>34 - 내던지기</t>
  </si>
  <si>
    <t>33 - 난동부리기</t>
  </si>
  <si>
    <t>39 - 메가톤킥</t>
  </si>
  <si>
    <t>37 - 악의파동</t>
  </si>
  <si>
    <t>37 - 메가폰</t>
  </si>
  <si>
    <t>25 - 노래하기</t>
  </si>
  <si>
    <t>37 - 역린</t>
  </si>
  <si>
    <t>31 - 사이코키네시스</t>
  </si>
  <si>
    <t>31 - 그림자분신</t>
  </si>
  <si>
    <t>31 - 냉동빔</t>
  </si>
  <si>
    <t>41 - 화염방사</t>
  </si>
  <si>
    <t>34 - 칼춤</t>
  </si>
  <si>
    <t>34 - 뽐내기</t>
  </si>
  <si>
    <t>47 - 비바라기</t>
  </si>
  <si>
    <t>28 - 거짓울음</t>
  </si>
  <si>
    <t>28 - 신통력 (!!)</t>
  </si>
  <si>
    <t>28 - 치근거리기 (!!)</t>
  </si>
  <si>
    <t>31 - 록온</t>
  </si>
  <si>
    <t>40 - 파워젬 (!!)</t>
  </si>
  <si>
    <t>37 - 메가드레인</t>
  </si>
  <si>
    <t>30 - 깜짝베기</t>
  </si>
  <si>
    <t>37 - 드래곤크루</t>
  </si>
  <si>
    <t>42 - 날개쉬기</t>
  </si>
  <si>
    <t>40 - 신속</t>
  </si>
  <si>
    <t>44 - 신속</t>
  </si>
  <si>
    <t>34 - 배리어</t>
  </si>
  <si>
    <t>50 - 파동탄</t>
  </si>
  <si>
    <t>35 - 신비의부적</t>
  </si>
  <si>
    <t>38 - 문포스 (!!)</t>
  </si>
  <si>
    <t>38 - 이판사판태클</t>
  </si>
  <si>
    <t>43 - 구르기</t>
  </si>
  <si>
    <t>35 - 난동부리기</t>
  </si>
  <si>
    <t>30 - 고속이동</t>
  </si>
  <si>
    <t>32 - 바톤터치</t>
  </si>
  <si>
    <t>26 - 에어슬래시</t>
  </si>
  <si>
    <t>23 - 유턴</t>
  </si>
  <si>
    <t>32 - 기습</t>
  </si>
  <si>
    <t>30 - 거미집</t>
  </si>
  <si>
    <t>36 - 돌진</t>
  </si>
  <si>
    <t>41 - 돌진</t>
  </si>
  <si>
    <t>25 - 알낳기</t>
  </si>
  <si>
    <t>37 - 미래예지</t>
  </si>
  <si>
    <t>34 - 미라클아이</t>
  </si>
  <si>
    <t>37 - 빛의장막</t>
  </si>
  <si>
    <t>45 - 빛의장막</t>
  </si>
  <si>
    <t>30 - 비바라기</t>
  </si>
  <si>
    <t>21 - 고민씨</t>
  </si>
  <si>
    <t>23 - 고민씨</t>
  </si>
  <si>
    <t>35 - 속이다</t>
  </si>
  <si>
    <t>33 - 원시의힘</t>
  </si>
  <si>
    <t>28 - 파워젬 (!!)</t>
  </si>
  <si>
    <t>29 - 검은눈빛</t>
  </si>
  <si>
    <t>33 - 자이로볼</t>
  </si>
  <si>
    <t>31 - 미러숏</t>
  </si>
  <si>
    <t>29 - 구멍파기</t>
  </si>
  <si>
    <t>34 - 시저크로스</t>
  </si>
  <si>
    <t>25 - 치근거리기</t>
  </si>
  <si>
    <t>26 - 치근거리기</t>
  </si>
  <si>
    <t>30 - 리벤지</t>
  </si>
  <si>
    <t>31 - 철벽</t>
  </si>
  <si>
    <t>36 - 탁쳐서떨구기</t>
  </si>
  <si>
    <t>27 - 바늘미사일</t>
  </si>
  <si>
    <t>37 - 깨물어부수기 (!!)</t>
  </si>
  <si>
    <t>33 - 잠자기</t>
  </si>
  <si>
    <t>35 - 잠자기</t>
  </si>
  <si>
    <t>39 - 누르기</t>
  </si>
  <si>
    <t>42 - 누르기</t>
  </si>
  <si>
    <t>31 - 파워젬</t>
  </si>
  <si>
    <t>39 - 하이드로펌프</t>
  </si>
  <si>
    <t>28 - 시그널빔</t>
  </si>
  <si>
    <t>33 - 싸라기눈</t>
  </si>
  <si>
    <t>34 - 악의파동</t>
  </si>
  <si>
    <t>26 - 매그니튜드</t>
  </si>
  <si>
    <t>37 - 점프킥</t>
  </si>
  <si>
    <t>66 - 스케치</t>
  </si>
  <si>
    <t>39 - 드릴라이너</t>
  </si>
  <si>
    <t>33 - 흉내쟁이</t>
  </si>
  <si>
    <t>37 - 화염방사</t>
  </si>
  <si>
    <t>49 - 암해머</t>
  </si>
  <si>
    <t>38 - 지진</t>
  </si>
  <si>
    <t>42 - 드래곤다이브</t>
  </si>
  <si>
    <t>42 - 브레이브버드</t>
  </si>
  <si>
    <t>42 - 치유소원</t>
  </si>
  <si>
    <t>38 - 싫은소리</t>
  </si>
  <si>
    <t>42 - 시저크로스</t>
  </si>
  <si>
    <t>35 - 뛰어오르다</t>
  </si>
  <si>
    <t>38 - 깜짝베기</t>
  </si>
  <si>
    <t>38 - 미러코트</t>
  </si>
  <si>
    <t>37 - 돌진</t>
  </si>
  <si>
    <t>34 - 배북</t>
  </si>
  <si>
    <t>42 - 날려버리기</t>
  </si>
  <si>
    <t>36 - 사념의박치기</t>
  </si>
  <si>
    <t>40 - 폭풍</t>
  </si>
  <si>
    <t>39 - 죽기살기</t>
  </si>
  <si>
    <t>37 - 소란피기</t>
  </si>
  <si>
    <t>26 - 꿀꺽</t>
  </si>
  <si>
    <t>34 - 봉인</t>
  </si>
  <si>
    <t>39 - 봉인</t>
  </si>
  <si>
    <t>32 - 명상</t>
  </si>
  <si>
    <t>33 - 바톤터치</t>
  </si>
  <si>
    <t>34 - 맹독</t>
  </si>
  <si>
    <t>30 - 드레인펀치</t>
  </si>
  <si>
    <t>51 - 힘껏펀치</t>
  </si>
  <si>
    <t>39 - 칼등치기</t>
  </si>
  <si>
    <t>23 - 깜짝베기</t>
  </si>
  <si>
    <t>39 - 회복봉인</t>
  </si>
  <si>
    <t>34 - 잠꼬대</t>
  </si>
  <si>
    <t>39 - 잠꼬대</t>
  </si>
  <si>
    <t>30 - 지구던지기</t>
  </si>
  <si>
    <t>29 - 리벤지</t>
  </si>
  <si>
    <t>37 - 대지의힘</t>
  </si>
  <si>
    <t>37 - 철벽</t>
  </si>
  <si>
    <t>42 - 철벽</t>
  </si>
  <si>
    <t>37 - 사념의박치기</t>
  </si>
  <si>
    <t>29 - 울부짖기</t>
  </si>
  <si>
    <t>39 - 사념의박치기</t>
  </si>
  <si>
    <t>35 - 위액</t>
  </si>
  <si>
    <t>35 - 비축하기</t>
  </si>
  <si>
    <t>40 - 지진</t>
  </si>
  <si>
    <t>39 - 하품</t>
  </si>
  <si>
    <t>31 - 잠꼬대</t>
  </si>
  <si>
    <t>37 - 에너지볼</t>
  </si>
  <si>
    <t>34 - 리프레쉬</t>
  </si>
  <si>
    <t>37 - 오물폭탄</t>
  </si>
  <si>
    <t>37 - 파워젬</t>
  </si>
  <si>
    <t>41 - 아이언헤드</t>
  </si>
  <si>
    <t>35 - 칼춤</t>
  </si>
  <si>
    <t>33 - 탁쳐서떨구기</t>
  </si>
  <si>
    <t>42 - 미러코트</t>
  </si>
  <si>
    <t>43 - 에너지볼</t>
  </si>
  <si>
    <t>36 - 브레이크크루</t>
  </si>
  <si>
    <t>35 - 베어가르기</t>
  </si>
  <si>
    <t>30 - 최면술</t>
  </si>
  <si>
    <t>37 - 가로챔</t>
  </si>
  <si>
    <t>40 - 미래예지</t>
  </si>
  <si>
    <t>33 - 에너지볼</t>
  </si>
  <si>
    <t>39 - 바꿔치기</t>
  </si>
  <si>
    <t>30 - 싸라기눈</t>
  </si>
  <si>
    <t>37 - 문포스 (!!)</t>
  </si>
  <si>
    <t>40 - 화염방사</t>
  </si>
  <si>
    <t>41 - 고속이동</t>
  </si>
  <si>
    <t>42 - 스톤에지</t>
  </si>
  <si>
    <t>38 - 중력</t>
  </si>
  <si>
    <t>42 - 사이코키네시스</t>
  </si>
  <si>
    <t>50 - 해수스파우팅</t>
  </si>
  <si>
    <t>50 - 분화</t>
  </si>
  <si>
    <t>50 - 신속</t>
  </si>
  <si>
    <t>38 - 기가드레인</t>
  </si>
  <si>
    <t>41 - 광합성</t>
  </si>
  <si>
    <t>43 - 회오리불꽃</t>
  </si>
  <si>
    <t>38 - 회전부리</t>
  </si>
  <si>
    <t>42 - 하품</t>
  </si>
  <si>
    <t>38 - 브레이브버드</t>
  </si>
  <si>
    <t>46 - 브레이브버드</t>
  </si>
  <si>
    <t>35 - 돌진</t>
  </si>
  <si>
    <t>35 - 엄청난힘</t>
  </si>
  <si>
    <t>38 - 칼춤</t>
  </si>
  <si>
    <t>30 - 뽐내기</t>
  </si>
  <si>
    <t>39 - 아이언헤드</t>
  </si>
  <si>
    <t>39 - 아이언테일</t>
  </si>
  <si>
    <t>35 - 스텔스록</t>
  </si>
  <si>
    <t>44 - 바둥바둥</t>
  </si>
  <si>
    <t>35 - 10만볼트</t>
  </si>
  <si>
    <t>40 - 선취</t>
  </si>
  <si>
    <t>40 - 치유소원</t>
  </si>
  <si>
    <t>37 - 미러코트</t>
  </si>
  <si>
    <t>40 - 카운터</t>
  </si>
  <si>
    <t>34 - 최면술</t>
  </si>
  <si>
    <t>33 - 에어슬래시 (!!)</t>
  </si>
  <si>
    <t>34 - 애교부리기</t>
  </si>
  <si>
    <t>34 - 잠깨움뺨치기</t>
  </si>
  <si>
    <t>34 - 추억의선물</t>
  </si>
  <si>
    <t>36 - 미래예지</t>
  </si>
  <si>
    <t>33 - 카운터</t>
  </si>
  <si>
    <t>30 - 대타출동</t>
  </si>
  <si>
    <t>36 - 고속이동</t>
  </si>
  <si>
    <t>37 - 지진</t>
  </si>
  <si>
    <t>46 - 드래곤다이브</t>
  </si>
  <si>
    <t>36 - 자연의은혜</t>
  </si>
  <si>
    <t>31 - 파동탄</t>
  </si>
  <si>
    <t>47 - 이판사판태클</t>
  </si>
  <si>
    <t>36 - 태만함</t>
  </si>
  <si>
    <t>36 - 깜짝베기</t>
  </si>
  <si>
    <t>34 - 나쁜음모</t>
  </si>
  <si>
    <t>33 - 비축하기</t>
  </si>
  <si>
    <t>39 - 바다회오리</t>
  </si>
  <si>
    <t>37 - 흰안개</t>
  </si>
  <si>
    <t>25 - 나쁜음모</t>
  </si>
  <si>
    <t>25 - 오로라빔 (!!)</t>
  </si>
  <si>
    <t>37 - 인파이트</t>
  </si>
  <si>
    <t>32 - 섀도볼</t>
  </si>
  <si>
    <t>46 - 잠자기</t>
  </si>
  <si>
    <t>50 - 시간의포효</t>
  </si>
  <si>
    <t>50 - 공간절단</t>
  </si>
  <si>
    <t>50 - 마그마스톰</t>
  </si>
  <si>
    <t>42 - 묵사발</t>
  </si>
  <si>
    <t>50 - 섀도다이브</t>
  </si>
  <si>
    <t>46 - 사이코키네시스</t>
  </si>
  <si>
    <t>50 - 하이드로펌프 (!!)</t>
  </si>
  <si>
    <t>38 - 다크홀</t>
  </si>
  <si>
    <t>50 - 시드플레어</t>
  </si>
  <si>
    <t>30 - 파괴광선</t>
  </si>
  <si>
    <t>38 - 광합성</t>
  </si>
  <si>
    <t>42 - 이판사판태클</t>
  </si>
  <si>
    <t>32 - 꽃잎댄스</t>
  </si>
  <si>
    <t>41 - 배북</t>
  </si>
  <si>
    <t>46 - 회오리불꽃</t>
  </si>
  <si>
    <t>41 - 하이드로펌프</t>
  </si>
  <si>
    <t>39 - 따라하기</t>
  </si>
  <si>
    <t>47 - 따라하기</t>
  </si>
  <si>
    <t>40 - 죽기살기</t>
  </si>
  <si>
    <t>35 - 화염자동차</t>
  </si>
  <si>
    <t>40 - 순풍</t>
  </si>
  <si>
    <t>35 - 드릴라이너</t>
  </si>
  <si>
    <t>33 - 와일드볼트</t>
  </si>
  <si>
    <t>30 - 자이로볼</t>
  </si>
  <si>
    <t>36 - 유혹</t>
  </si>
  <si>
    <t>43 - 유혹</t>
  </si>
  <si>
    <t>35 - 열풍</t>
  </si>
  <si>
    <t>25 - 하이퍼보이스</t>
  </si>
  <si>
    <t>39 - 오물폭탄</t>
  </si>
  <si>
    <t>42 - 탁쳐서떨구기</t>
  </si>
  <si>
    <t>37 - 베어가르기</t>
  </si>
  <si>
    <t>36 - 나쁜음모</t>
  </si>
  <si>
    <t>39 - 미래예지</t>
  </si>
  <si>
    <t>33 - 파워젬 (!!)</t>
  </si>
  <si>
    <t>34 - 깜짝베기</t>
  </si>
  <si>
    <t>33 - 역린</t>
  </si>
  <si>
    <t>43 - 미래예지</t>
  </si>
  <si>
    <t>38 - 크로스촙</t>
  </si>
  <si>
    <t>42 - 크로스촙</t>
  </si>
  <si>
    <t>34 - 힘껏치기</t>
  </si>
  <si>
    <t>39 - 힘껏치기</t>
  </si>
  <si>
    <t>43 - 하이드로펌프</t>
  </si>
  <si>
    <t>48 - 하이드로펌프</t>
  </si>
  <si>
    <t>40 - 이판사판태클</t>
  </si>
  <si>
    <t>42 - 대폭발</t>
  </si>
  <si>
    <t>40 - 뛰어오르다</t>
  </si>
  <si>
    <t>37 - 비바라기</t>
  </si>
  <si>
    <t>39 - 칼춤</t>
  </si>
  <si>
    <t>31 - 트라이어택</t>
  </si>
  <si>
    <t>35 - 아쿠아링</t>
  </si>
  <si>
    <t>34 - 꿈먹기</t>
  </si>
  <si>
    <t>34 - 록커트</t>
  </si>
  <si>
    <t>39 - 뽐내기</t>
  </si>
  <si>
    <t>38 - 시저크로스</t>
  </si>
  <si>
    <t>28 - 암해머 (!!)</t>
  </si>
  <si>
    <t>39 - 대폭발</t>
  </si>
  <si>
    <t>43 - 대폭발</t>
  </si>
  <si>
    <t>37 - 죽기살기</t>
  </si>
  <si>
    <t>37 - 내던지기</t>
  </si>
  <si>
    <t>41 - 마음의눈</t>
  </si>
  <si>
    <t>39 - 메가톤펀치</t>
  </si>
  <si>
    <t>40 - 리프레쉬</t>
  </si>
  <si>
    <t>40 - 더스트슈트 (!!)</t>
  </si>
  <si>
    <t>35 - 더블어택</t>
  </si>
  <si>
    <t>36 - 암해머</t>
  </si>
  <si>
    <t>28 - 내던지기</t>
  </si>
  <si>
    <t>37 - 힘껏치기</t>
  </si>
  <si>
    <t>40 - 암해머</t>
  </si>
  <si>
    <t>39 - 시그널빔</t>
  </si>
  <si>
    <t>33 - 이상한빛</t>
  </si>
  <si>
    <t>35 - 쥐어짜기</t>
  </si>
  <si>
    <t>45 - 와일드볼트</t>
  </si>
  <si>
    <t>45 - 플레어드라이브</t>
  </si>
  <si>
    <t>37 - 난동부리기</t>
  </si>
  <si>
    <t>50 - 폭풍</t>
  </si>
  <si>
    <t>37 - 드릴라이너</t>
  </si>
  <si>
    <t>31 - 녹기</t>
  </si>
  <si>
    <t>34 - 매직코트</t>
  </si>
  <si>
    <t>43 - 락블레스트</t>
  </si>
  <si>
    <t>36 - 대지의힘</t>
  </si>
  <si>
    <t>40 - 금속음</t>
  </si>
  <si>
    <t>32 - 폭포오르기</t>
  </si>
  <si>
    <t>36 - 깨물어부수기</t>
  </si>
  <si>
    <t>46 - 폭풍</t>
  </si>
  <si>
    <t>46 - 빛의장막</t>
  </si>
  <si>
    <t>43 - 역린</t>
  </si>
  <si>
    <t>48 - 역린</t>
  </si>
  <si>
    <t>34 - 망각술</t>
  </si>
  <si>
    <t>38 - 아로마테라피</t>
  </si>
  <si>
    <t>42 - 신비의부적</t>
  </si>
  <si>
    <t>41 - 플레어드라이브</t>
  </si>
  <si>
    <t>41 - 난동부리기</t>
  </si>
  <si>
    <t>35 - 치근거리기 (!!)</t>
  </si>
  <si>
    <t>34 - 기사회생</t>
  </si>
  <si>
    <t>36 - 문포스</t>
  </si>
  <si>
    <t>30 - 리플렉터</t>
  </si>
  <si>
    <t>27 - 바톤터치</t>
  </si>
  <si>
    <t>35 - 바늘미사일</t>
  </si>
  <si>
    <t>39 - 아쿠아링</t>
  </si>
  <si>
    <t>45 - 아쿠아링</t>
  </si>
  <si>
    <t>40 - 파워스웹</t>
  </si>
  <si>
    <t>38 - 사이코시프트</t>
  </si>
  <si>
    <t>40 - 치료방울</t>
  </si>
  <si>
    <t>49 - 치료방울</t>
  </si>
  <si>
    <t>33 - 배북</t>
  </si>
  <si>
    <t>27 - 치근거리기</t>
  </si>
  <si>
    <t>23 - 기가드레인</t>
  </si>
  <si>
    <t>38 - 내던지기</t>
  </si>
  <si>
    <t>32 - 광합성</t>
  </si>
  <si>
    <t>35 - 최면술</t>
  </si>
  <si>
    <t>43 - 비바라기</t>
  </si>
  <si>
    <t>31 - 아침햇살</t>
  </si>
  <si>
    <t>31 - 달의불빛</t>
  </si>
  <si>
    <t>37 - 트집</t>
  </si>
  <si>
    <t>31 - 뽐내기</t>
  </si>
  <si>
    <t>31 - 멸망의노래</t>
  </si>
  <si>
    <t>30 - 매직코트</t>
  </si>
  <si>
    <t>36 - 드릴라이너</t>
  </si>
  <si>
    <t>34 - 자이로볼</t>
  </si>
  <si>
    <t>31 - 뱀눈초리</t>
  </si>
  <si>
    <t>25 - 아이언테일</t>
  </si>
  <si>
    <t>33 - 아쿠아테일</t>
  </si>
  <si>
    <t>39 - 달콤한향기</t>
  </si>
  <si>
    <t>40 - 가로챔</t>
  </si>
  <si>
    <t>33 - 코골기</t>
  </si>
  <si>
    <t>35 - 코골기</t>
  </si>
  <si>
    <t>46 - HP회복</t>
  </si>
  <si>
    <t>37 - 바둥바둥</t>
  </si>
  <si>
    <t>33 - 마구찌르기</t>
  </si>
  <si>
    <t>42 - 더스트슈트</t>
  </si>
  <si>
    <t>32 - 냉동빔</t>
  </si>
  <si>
    <t>36 - 냉동빔</t>
  </si>
  <si>
    <t>37 - 금제</t>
  </si>
  <si>
    <t>38 - 악의파동</t>
  </si>
  <si>
    <t>30 - 탁쳐서떨구기</t>
  </si>
  <si>
    <t>40 - 봉인</t>
  </si>
  <si>
    <t>71 - 스케치</t>
  </si>
  <si>
    <t>41 - 불릿펀치</t>
  </si>
  <si>
    <t>40 - 와일드볼트</t>
  </si>
  <si>
    <t>40 - 플레어드라이브</t>
  </si>
  <si>
    <t>53 - 이판사판태클</t>
  </si>
  <si>
    <t>42 - 명상</t>
  </si>
  <si>
    <t>46 - 에어로블라스트</t>
  </si>
  <si>
    <t>46 - 성스러운불꽃</t>
  </si>
  <si>
    <t>46 - 멸망의노래</t>
  </si>
  <si>
    <t>41 - 죽기살기</t>
  </si>
  <si>
    <t>46 - 싫은소리</t>
  </si>
  <si>
    <t>38 - 뒀다쓰기</t>
  </si>
  <si>
    <t>42 - 뛰어오르다</t>
  </si>
  <si>
    <t>36 - 브레이즈킥</t>
  </si>
  <si>
    <t>42 - 탁류</t>
  </si>
  <si>
    <t>40 - 치근거리기</t>
  </si>
  <si>
    <t>27 - 겁나는얼굴</t>
  </si>
  <si>
    <t>45 - 폭풍 (!!)</t>
  </si>
  <si>
    <t>40 - 에너지볼</t>
  </si>
  <si>
    <t>43 - 브레이브버드</t>
  </si>
  <si>
    <t>40 - 고속이동</t>
  </si>
  <si>
    <t>26 - 토해내기</t>
  </si>
  <si>
    <t>37 - 애교부리기</t>
  </si>
  <si>
    <t>43 - 애교부리기</t>
  </si>
  <si>
    <t>36 - 하이드로펌프</t>
  </si>
  <si>
    <t>25 - 환상빔</t>
  </si>
  <si>
    <t>37 - 고민씨</t>
  </si>
  <si>
    <t>34 - 마음의눈</t>
  </si>
  <si>
    <t>51 - 내던지기</t>
  </si>
  <si>
    <t>27 - 제비반환</t>
  </si>
  <si>
    <t>43 - 원념</t>
  </si>
  <si>
    <t>37 - 암해머</t>
  </si>
  <si>
    <t>43 - 암해머</t>
  </si>
  <si>
    <t>33 - 크로스촙</t>
  </si>
  <si>
    <t>33 - 지구던지기</t>
  </si>
  <si>
    <t>40 - 스톤에지</t>
  </si>
  <si>
    <t>31 - 치근거리기</t>
  </si>
  <si>
    <t>40 - 경혈찌르기</t>
  </si>
  <si>
    <t>33 - 방전</t>
  </si>
  <si>
    <t>37 - 바톤터치</t>
  </si>
  <si>
    <t>42 - 치근거리기</t>
  </si>
  <si>
    <t>33 - 오물폭탄</t>
  </si>
  <si>
    <t>38 - 길동무</t>
  </si>
  <si>
    <t>35 - 토해내기</t>
  </si>
  <si>
    <t>40 - 사념의박치기</t>
  </si>
  <si>
    <t>38 - 누르기</t>
  </si>
  <si>
    <t>43 - 이판사판태클</t>
  </si>
  <si>
    <t>43 - 지진</t>
  </si>
  <si>
    <t>40 - 열풍</t>
  </si>
  <si>
    <t>43 - 페인트</t>
  </si>
  <si>
    <t>43 - 벌레의야단법석</t>
  </si>
  <si>
    <t>40 - 나쁜음모</t>
  </si>
  <si>
    <t>37 - 따라하기</t>
  </si>
  <si>
    <t>37 - 도발</t>
  </si>
  <si>
    <t>40 - 흑안개</t>
  </si>
  <si>
    <t>41 - 대지의힘</t>
  </si>
  <si>
    <t>30 - 난동부리기</t>
  </si>
  <si>
    <t>37 - 칼춤</t>
  </si>
  <si>
    <t>40 - 모래바람</t>
  </si>
  <si>
    <t>32 - 파괴광선</t>
  </si>
  <si>
    <t>45 - 비축하기</t>
  </si>
  <si>
    <t>47 - 미러코트</t>
  </si>
  <si>
    <t>39 - 탁쳐서떨구기</t>
  </si>
  <si>
    <t>39 - 브레이크크루</t>
  </si>
  <si>
    <t>33 - 헤롱헤롱</t>
  </si>
  <si>
    <t>31 - 보호색</t>
  </si>
  <si>
    <t>40 - 트릭</t>
  </si>
  <si>
    <t>39 - 가로챔</t>
  </si>
  <si>
    <t>43 - 길동무</t>
  </si>
  <si>
    <t>36 - 리프블레이드</t>
  </si>
  <si>
    <t>37 - 최면술</t>
  </si>
  <si>
    <t>34 - 선취</t>
  </si>
  <si>
    <t>42 - 싸라기눈</t>
  </si>
  <si>
    <t>32 - 스톤샤워 (!!)</t>
  </si>
  <si>
    <t>47 - 분노의앞니</t>
  </si>
  <si>
    <t>47 - 배리어</t>
  </si>
  <si>
    <t>40 - 아쿠아링</t>
  </si>
  <si>
    <t>40 - 드래곤다이브</t>
  </si>
  <si>
    <t>44 - 드래곤다이브</t>
  </si>
  <si>
    <t>44 - 코멧펀치</t>
  </si>
  <si>
    <t>46 - 엄청난힘</t>
  </si>
  <si>
    <t>42 - 아이언헤드</t>
  </si>
  <si>
    <t>38 - 미래예지</t>
  </si>
  <si>
    <t>50 - 카운터</t>
  </si>
  <si>
    <t>41 - 리프스톰</t>
  </si>
  <si>
    <t>45 - 기가드레인</t>
  </si>
  <si>
    <t>32 - 지진</t>
  </si>
  <si>
    <t>41 - 불대문자</t>
  </si>
  <si>
    <t>47 - 태만함</t>
  </si>
  <si>
    <t>36 - 진공파</t>
  </si>
  <si>
    <t>46 - 회전부리</t>
  </si>
  <si>
    <t>41 - 이판사판태클</t>
  </si>
  <si>
    <t>50 - 이판사판태클</t>
  </si>
  <si>
    <t>40 - 날개쉬기</t>
  </si>
  <si>
    <t>38 - 저주</t>
  </si>
  <si>
    <t>38 - 뽐내기</t>
  </si>
  <si>
    <t>39 - 록커트</t>
  </si>
  <si>
    <t>39 - 메탈버스트</t>
  </si>
  <si>
    <t>47 - 보호색</t>
  </si>
  <si>
    <t>37 - 거짓울음</t>
  </si>
  <si>
    <t>45 - 선취</t>
  </si>
  <si>
    <t>43 - 솔라빔</t>
  </si>
  <si>
    <t>42 - 주술</t>
  </si>
  <si>
    <t>40 - 녹기</t>
  </si>
  <si>
    <t>40 - 미러코트</t>
  </si>
  <si>
    <t>37 - 치근거리기</t>
  </si>
  <si>
    <t>35 - 잠깨움뺨치기</t>
  </si>
  <si>
    <t>37 - 깨물어부수기</t>
  </si>
  <si>
    <t>35 - 추억의선물</t>
  </si>
  <si>
    <t>39 - 금속음</t>
  </si>
  <si>
    <t>33 - 블록</t>
  </si>
  <si>
    <t>36 - 기습</t>
  </si>
  <si>
    <t>39 - 하이퍼보이스</t>
  </si>
  <si>
    <t>37 - 나쁜음모</t>
  </si>
  <si>
    <t>50 - 아이언헤드</t>
  </si>
  <si>
    <t>39 - 내던지기</t>
  </si>
  <si>
    <t>51 - 땅가르기</t>
  </si>
  <si>
    <t>41 - 지진</t>
  </si>
  <si>
    <t>39 - 겁나는얼굴</t>
  </si>
  <si>
    <t>31 - 칼춤</t>
  </si>
  <si>
    <t>37 - 기습</t>
  </si>
  <si>
    <t>35 - 나쁜음모</t>
  </si>
  <si>
    <t>33 - 토해내기</t>
  </si>
  <si>
    <t>42 - 유턴</t>
  </si>
  <si>
    <t>34 - 은빛바람</t>
  </si>
  <si>
    <t>40 - 고드름떨구기 (!!)</t>
  </si>
  <si>
    <t>28 - 깜짝베기 (!!)</t>
  </si>
  <si>
    <t>42 - 도우미</t>
  </si>
  <si>
    <t>34 - 섀도볼</t>
  </si>
  <si>
    <t>50 - 사이코키네시스</t>
  </si>
  <si>
    <t>50 - 문포스</t>
  </si>
  <si>
    <t>34 - 멸망의노래</t>
  </si>
  <si>
    <t>41 - 씨폭탄</t>
  </si>
  <si>
    <t>46 - 광합성</t>
  </si>
  <si>
    <t>35 - 성장</t>
  </si>
  <si>
    <t>44 - 플레어드라이브</t>
  </si>
  <si>
    <t>50 - 배북</t>
  </si>
  <si>
    <t>36 - 에어슬래시</t>
  </si>
  <si>
    <t>44 - 해수스파우팅</t>
  </si>
  <si>
    <t>50 - 하이드로펌프</t>
  </si>
  <si>
    <t>36 - 파동탄</t>
  </si>
  <si>
    <t>37 - 날려버리기</t>
  </si>
  <si>
    <t>42 - 폭풍</t>
  </si>
  <si>
    <t>51 - 폭풍</t>
  </si>
  <si>
    <t>43 - 뒀다쓰기</t>
  </si>
  <si>
    <t>39 - 이판사판태클</t>
  </si>
  <si>
    <t>39 - 기충전</t>
  </si>
  <si>
    <t>27 - 토해내기</t>
  </si>
  <si>
    <t>36 - 빛의장막</t>
  </si>
  <si>
    <t>39 - 분노의앞니</t>
  </si>
  <si>
    <t>39 - 양날박치기</t>
  </si>
  <si>
    <t>47 - 양날박치기</t>
  </si>
  <si>
    <t>29 - 문포스</t>
  </si>
  <si>
    <t>37 - 봉인</t>
  </si>
  <si>
    <t>27 - 잠자기</t>
  </si>
  <si>
    <t>39 - 흑안개</t>
  </si>
  <si>
    <t>37 - 자연의은혜</t>
  </si>
  <si>
    <t>43 - 자연의은혜</t>
  </si>
  <si>
    <t>43 - 아로마테라피</t>
  </si>
  <si>
    <t>46 - 기가드레인</t>
  </si>
  <si>
    <t>31 - 바람일으키기</t>
  </si>
  <si>
    <t>40 - 추억의선물</t>
  </si>
  <si>
    <t>37 - 깜짝베기</t>
  </si>
  <si>
    <t>39 - 치근거리기</t>
  </si>
  <si>
    <t>38 - 난동부리기</t>
  </si>
  <si>
    <t>38 - 인파이트</t>
  </si>
  <si>
    <t>46 - 대타출동</t>
  </si>
  <si>
    <t>40 - 명상</t>
  </si>
  <si>
    <t>41 - 겁나는얼굴</t>
  </si>
  <si>
    <t>46 - 겁나는얼굴</t>
  </si>
  <si>
    <t>37 - 쥐어짜기</t>
  </si>
  <si>
    <t>43 - 쥐어짜기</t>
  </si>
  <si>
    <t>46 - 쥐어짜기</t>
  </si>
  <si>
    <t>52 - 쥐어짜기</t>
  </si>
  <si>
    <t>43 - 스톤에지</t>
  </si>
  <si>
    <t>43 - 점프킥 (!!)</t>
  </si>
  <si>
    <t>40 - 자기암시</t>
  </si>
  <si>
    <t>39 - 비바라기</t>
  </si>
  <si>
    <t>40 - 록온</t>
  </si>
  <si>
    <t>34 - 에어슬래시</t>
  </si>
  <si>
    <t>42 - 죽기살기</t>
  </si>
  <si>
    <t>34 - 경혈찌르기</t>
  </si>
  <si>
    <t>33 - 드릴라이너</t>
  </si>
  <si>
    <t>37 - 하이드로펌프</t>
  </si>
  <si>
    <t>38 - 꿈먹기</t>
  </si>
  <si>
    <t>42 - 드레인펀치</t>
  </si>
  <si>
    <t>42 - 자이로볼</t>
  </si>
  <si>
    <t>47 - 자이로볼</t>
  </si>
  <si>
    <t>35 - 자연의은혜</t>
  </si>
  <si>
    <t>40 - 아이언헤드</t>
  </si>
  <si>
    <t>43 - 브레이즈킥</t>
  </si>
  <si>
    <t>41 - 진공파</t>
  </si>
  <si>
    <t>43 - 난동부리기</t>
  </si>
  <si>
    <t>38 - 메가폰</t>
  </si>
  <si>
    <t>31 - 지구던지기</t>
  </si>
  <si>
    <t>40 - 간지르기</t>
  </si>
  <si>
    <t>43 - 기습</t>
  </si>
  <si>
    <t>43 - 용의춤</t>
  </si>
  <si>
    <t>35 - 빛의장막</t>
  </si>
  <si>
    <t>37 - 더블어택</t>
  </si>
  <si>
    <t>49 - 인파이트 (!!)</t>
  </si>
  <si>
    <t>49 - 파동탄 (!!)</t>
  </si>
  <si>
    <t>40 - 난동부리기</t>
  </si>
  <si>
    <t>53 - 파괴광선</t>
  </si>
  <si>
    <t>34 - 탁류</t>
  </si>
  <si>
    <t>39 - 블록</t>
  </si>
  <si>
    <t>50 - 절대영도</t>
  </si>
  <si>
    <t>50 - 전자포</t>
  </si>
  <si>
    <t>50 - 오버히트</t>
  </si>
  <si>
    <t>46 - 파괴광선</t>
  </si>
  <si>
    <t>52 - 파괴광선</t>
  </si>
  <si>
    <t>41 - 솔라빔</t>
  </si>
  <si>
    <t>46 - 아로마테라피</t>
  </si>
  <si>
    <t>35 - 누르기</t>
  </si>
  <si>
    <t>44 - 분화</t>
  </si>
  <si>
    <t>51 - 플레어드라이브</t>
  </si>
  <si>
    <t>36 - 자이로볼</t>
  </si>
  <si>
    <t>41 - 엄청난힘</t>
  </si>
  <si>
    <t>45 - 용의춤</t>
  </si>
  <si>
    <t>34 - 깜짝베기 (!!)</t>
  </si>
  <si>
    <t>38 - 선취</t>
  </si>
  <si>
    <t>38 - 바톤터치</t>
  </si>
  <si>
    <t>39 - 날개쉬기</t>
  </si>
  <si>
    <t>33 - 에어슬래시</t>
  </si>
  <si>
    <t>42 - 하이드로펌프</t>
  </si>
  <si>
    <t>49 - 하이드로펌프</t>
  </si>
  <si>
    <t>29 - 문포스 (!!)</t>
  </si>
  <si>
    <t>40 - 가드스웹</t>
  </si>
  <si>
    <t>42 - 미래예지</t>
  </si>
  <si>
    <t>43 - 번개</t>
  </si>
  <si>
    <t>53 - 번개</t>
  </si>
  <si>
    <t>34 - 파워젬</t>
  </si>
  <si>
    <t>36 - 이판사판태클</t>
  </si>
  <si>
    <t>31 - 아쿠아링</t>
  </si>
  <si>
    <t>25 - 에어슬래시 (!!)</t>
  </si>
  <si>
    <t>29 - 에어슬래시 (!!)</t>
  </si>
  <si>
    <t>41 - 뛰어오르다</t>
  </si>
  <si>
    <t>37 - 따라가때리기</t>
  </si>
  <si>
    <t>40 - 탁류</t>
  </si>
  <si>
    <t>47 - 탁류</t>
  </si>
  <si>
    <t>39 - 브레이브버드</t>
  </si>
  <si>
    <t>38 - 드릴라이너</t>
  </si>
  <si>
    <t>33 - 이판사판태클</t>
  </si>
  <si>
    <t>40 - 스카이업퍼</t>
  </si>
  <si>
    <t>31 - 분노의앞니</t>
  </si>
  <si>
    <t>36 - 바늘미사일</t>
  </si>
  <si>
    <t>35 - 메가폰</t>
  </si>
  <si>
    <t>43 - 혼내기</t>
  </si>
  <si>
    <t>39 - 깨물어부수기</t>
  </si>
  <si>
    <t>45 - 열풍</t>
  </si>
  <si>
    <t>50 - 열풍</t>
  </si>
  <si>
    <t>40 - 고드름떨구기</t>
  </si>
  <si>
    <t>37 - 버티기</t>
  </si>
  <si>
    <t>45 - 파괴광선</t>
  </si>
  <si>
    <t>36 - 씨폭탄</t>
  </si>
  <si>
    <t>37 - 아이언헤드</t>
  </si>
  <si>
    <t>42 - 금제</t>
  </si>
  <si>
    <t>37 - 얼음뭉치</t>
  </si>
  <si>
    <t>76 - 스케치</t>
  </si>
  <si>
    <t>43 - 죽기살기</t>
  </si>
  <si>
    <t>39 - 눈사태</t>
  </si>
  <si>
    <t>43 - 인파이트 (!!)</t>
  </si>
  <si>
    <t>43 - 파동탄 (!!)</t>
  </si>
  <si>
    <t>46 - 번개</t>
  </si>
  <si>
    <t>46 - 분화</t>
  </si>
  <si>
    <t>46 - 눈보라</t>
  </si>
  <si>
    <t>48 - 스톤에지</t>
  </si>
  <si>
    <t>50 - 불새</t>
  </si>
  <si>
    <t>50 - 리프스톰</t>
  </si>
  <si>
    <t>50 - 죽기살기</t>
  </si>
  <si>
    <t>36 - 용의파동</t>
  </si>
  <si>
    <t>41 - 따라하기</t>
  </si>
  <si>
    <t>39 - 베어가르기</t>
  </si>
  <si>
    <t>44 - 죽기살기</t>
  </si>
  <si>
    <t>46 - 미러코트</t>
  </si>
  <si>
    <t>40 - 분노의앞니</t>
  </si>
  <si>
    <t>47 - 폭풍</t>
  </si>
  <si>
    <t>43 - 폭풍</t>
  </si>
  <si>
    <t>40 - 꿈먹기</t>
  </si>
  <si>
    <t>47 - 꿈먹기</t>
  </si>
  <si>
    <t>42 - 봉인</t>
  </si>
  <si>
    <t>29 - 은빛바람</t>
  </si>
  <si>
    <t>40 - 애교부리기</t>
  </si>
  <si>
    <t>38 - 스카이업퍼</t>
  </si>
  <si>
    <t>55 - 혼내기</t>
  </si>
  <si>
    <t>47 - 죽기살기</t>
  </si>
  <si>
    <t>36 - 버티기</t>
  </si>
  <si>
    <t>43 - 록온</t>
  </si>
  <si>
    <t>35 - 파워젬</t>
  </si>
  <si>
    <t>43 - 드래곤다이브</t>
  </si>
  <si>
    <t>50 - 드래곤다이브</t>
  </si>
  <si>
    <t>43 - 파워트릭</t>
  </si>
  <si>
    <t>35 - 자기암시</t>
  </si>
  <si>
    <t>45 - 도우미</t>
  </si>
  <si>
    <t>36 - 뿌리박기</t>
  </si>
  <si>
    <t>41 - 쥐어짜기</t>
  </si>
  <si>
    <t>35 - 꿀꺽</t>
  </si>
  <si>
    <t>43 - 고속이동</t>
  </si>
  <si>
    <t>42 - 아쿠아링</t>
  </si>
  <si>
    <t>43 - 망각술</t>
  </si>
  <si>
    <t>37 - 보복</t>
  </si>
  <si>
    <t>47 - 엄청난힘</t>
  </si>
  <si>
    <t>47 - 소란피기</t>
  </si>
  <si>
    <t>43 - 바늘미사일</t>
  </si>
  <si>
    <t>43 - 나쁜음모</t>
  </si>
  <si>
    <t>40 - 용의파동</t>
  </si>
  <si>
    <t>35 - 용의숨결</t>
  </si>
  <si>
    <t>40 - 금제</t>
  </si>
  <si>
    <t>43 - 칼춤</t>
  </si>
  <si>
    <t>45 - 냉동빔</t>
  </si>
  <si>
    <t>49 - 솔라빔</t>
  </si>
  <si>
    <t>33 - 탁류</t>
  </si>
  <si>
    <t>41 - 보복</t>
  </si>
  <si>
    <t>41 - 깨물어부수기</t>
  </si>
  <si>
    <t>43 - 봉인</t>
  </si>
  <si>
    <t>35 - 파워트릭</t>
  </si>
  <si>
    <t>45 - 토해내기</t>
  </si>
  <si>
    <t>51 - 비축하기</t>
  </si>
  <si>
    <t>42 - 방어</t>
  </si>
  <si>
    <t>43 - 탁쳐서떨구기</t>
  </si>
  <si>
    <t>36 - 문포스 (!!)</t>
  </si>
  <si>
    <t>43 - 더스트슈트</t>
  </si>
  <si>
    <t>43 - 트릭</t>
  </si>
  <si>
    <t>38 - 용의파동</t>
  </si>
  <si>
    <t>45 - 눈보라</t>
  </si>
  <si>
    <t>34 - 고드름떨구기 (!!)</t>
  </si>
  <si>
    <t>37 - 배북</t>
  </si>
  <si>
    <t>38 - 아쿠아테일</t>
  </si>
  <si>
    <t>51 - 하이드로펌프</t>
  </si>
  <si>
    <t>48 - 이판사판태클</t>
  </si>
  <si>
    <t>47 - 철벽</t>
  </si>
  <si>
    <t>42 - 러스터캐논</t>
  </si>
  <si>
    <t>50 - 뒀다쓰기</t>
  </si>
  <si>
    <t>50 - 미러코트</t>
  </si>
  <si>
    <t>49 - 리프스톰</t>
  </si>
  <si>
    <t>41 - 트집</t>
  </si>
  <si>
    <t>36 - 러스터캐논</t>
  </si>
  <si>
    <t>45 - 고속이동</t>
  </si>
  <si>
    <t>42 - 엄청난힘</t>
  </si>
  <si>
    <t>36 - 겁나는얼굴</t>
  </si>
  <si>
    <t>44 - 겁나는얼굴</t>
  </si>
  <si>
    <t>43 - 와일드볼트</t>
  </si>
  <si>
    <t>45 - 암해머</t>
  </si>
  <si>
    <t>43 - 아이언헤드</t>
  </si>
  <si>
    <t>45 - 전자부유</t>
  </si>
  <si>
    <t>43 - 아이언테일</t>
  </si>
  <si>
    <t>47 - 유혹</t>
  </si>
  <si>
    <t>50 - 폭풍 (!!)</t>
  </si>
  <si>
    <t>46 - 치유소원</t>
  </si>
  <si>
    <t>40 - 망각술</t>
  </si>
  <si>
    <t>44 - 녹기</t>
  </si>
  <si>
    <t>40 - 웨더볼</t>
  </si>
  <si>
    <t>41 - 바톤터치</t>
  </si>
  <si>
    <t>40 - 헤롱헤롱</t>
  </si>
  <si>
    <t>40 - 오물폭탄</t>
  </si>
  <si>
    <t>42 - 보복</t>
  </si>
  <si>
    <t>34 - 러스터캐논</t>
  </si>
  <si>
    <t>36 - 트릭</t>
  </si>
  <si>
    <t>42 - 깃털댄스</t>
  </si>
  <si>
    <t>54 - 스톤에지</t>
  </si>
  <si>
    <t>48 - 깨물어부수기</t>
  </si>
  <si>
    <t>42 - 배북</t>
  </si>
  <si>
    <t>37 - 용의파동</t>
  </si>
  <si>
    <t>46 - 스텔스록</t>
  </si>
  <si>
    <t>42 - 깨물어부수기</t>
  </si>
  <si>
    <t>35 - 독찌르기</t>
  </si>
  <si>
    <t>40 - 크로스촙</t>
  </si>
  <si>
    <t>39 - 기습</t>
  </si>
  <si>
    <t>33 - 꿀꺽</t>
  </si>
  <si>
    <t>45 - 뛰어오르다</t>
  </si>
  <si>
    <t>38 - 아쿠아링</t>
  </si>
  <si>
    <t>43 - 눈보라</t>
  </si>
  <si>
    <t>41 - 고드름떨구기 (!!)</t>
  </si>
  <si>
    <t>31 - 깜짝베기</t>
  </si>
  <si>
    <t>31 - 배리어</t>
  </si>
  <si>
    <t>33 - 더블어택</t>
  </si>
  <si>
    <t>47 - 칼등치기</t>
  </si>
  <si>
    <t>38 - 이상한빛</t>
  </si>
  <si>
    <t>37 - 충전</t>
  </si>
  <si>
    <t>50 - 기가임팩트</t>
  </si>
  <si>
    <t>46 - 꿈먹기</t>
  </si>
  <si>
    <t>38 - 역린</t>
  </si>
  <si>
    <t>50 - 솔라빔</t>
  </si>
  <si>
    <t>40 - 고민씨</t>
  </si>
  <si>
    <t>54 - 해수스파우팅</t>
  </si>
  <si>
    <t>39 - 로케트박치기</t>
  </si>
  <si>
    <t>45 - 브레이브버드</t>
  </si>
  <si>
    <t>40 - 날려버리기</t>
  </si>
  <si>
    <t>46 - 브레이브버드 (!!)</t>
  </si>
  <si>
    <t>43 - 날개쉬기</t>
  </si>
  <si>
    <t>40 - 더스트슈트</t>
  </si>
  <si>
    <t>31 - 포이즌테일</t>
  </si>
  <si>
    <t>39 - 번개</t>
  </si>
  <si>
    <t>36 - 지진</t>
  </si>
  <si>
    <t>37 - 독찌르기</t>
  </si>
  <si>
    <t>41 - 유혹</t>
  </si>
  <si>
    <t>43 - 사념의박치기</t>
  </si>
  <si>
    <t>40 - 꽃잎댄스</t>
  </si>
  <si>
    <t>46 - 시저크로스</t>
  </si>
  <si>
    <t>50 - 아로마테라피</t>
  </si>
  <si>
    <t>39 - 아침햇살</t>
  </si>
  <si>
    <t>34 - 바톤터치</t>
  </si>
  <si>
    <t>43 - 땅가르기</t>
  </si>
  <si>
    <t>42 - 유혹</t>
  </si>
  <si>
    <t>45 - 크로스촙</t>
  </si>
  <si>
    <t>38 - 자기암시</t>
  </si>
  <si>
    <t>41 - 유턴</t>
  </si>
  <si>
    <t>42 - 난동부리기</t>
  </si>
  <si>
    <t>38 - 치근거리기</t>
  </si>
  <si>
    <t>49 - 트릭</t>
  </si>
  <si>
    <t>44 - 폭발펀치</t>
  </si>
  <si>
    <t>50 - 폭발펀치</t>
  </si>
  <si>
    <t>40 - 파워휩</t>
  </si>
  <si>
    <t>47 - 파워휩</t>
  </si>
  <si>
    <t>46 - 암해머</t>
  </si>
  <si>
    <t>50 - 스톤에지</t>
  </si>
  <si>
    <t>46 - 불대문자</t>
  </si>
  <si>
    <t>35 - 마구찌르기</t>
  </si>
  <si>
    <t>43 - 자기암시</t>
  </si>
  <si>
    <t>43 - 전자부유</t>
  </si>
  <si>
    <t>45 - 록온</t>
  </si>
  <si>
    <t>37 - 칼등치기</t>
  </si>
  <si>
    <t>45 - 난동부리기</t>
  </si>
  <si>
    <t>38 - 따라하기</t>
  </si>
  <si>
    <t>38 - 오물폭탄</t>
  </si>
  <si>
    <t>40 - 악몽</t>
  </si>
  <si>
    <t>42 - 악의파동</t>
  </si>
  <si>
    <t>45 - 나쁜음모</t>
  </si>
  <si>
    <t>34 - 가위자르기</t>
  </si>
  <si>
    <t>45 - 미러코트</t>
  </si>
  <si>
    <t>51 - 미러코트</t>
  </si>
  <si>
    <t>37 - 솔라빔</t>
  </si>
  <si>
    <t>43 - 배북</t>
  </si>
  <si>
    <t>45 - 아이언헤드</t>
  </si>
  <si>
    <t>45 - 기사회생</t>
  </si>
  <si>
    <t>43 - 스카이업퍼</t>
  </si>
  <si>
    <t>46 - 추억의선물</t>
  </si>
  <si>
    <t>42 - 더스트슈트 (!!)</t>
  </si>
  <si>
    <t>47 - 역린</t>
  </si>
  <si>
    <t>37 - 코스믹파워</t>
  </si>
  <si>
    <t>40 - 에어슬래시</t>
  </si>
  <si>
    <t>43 - 눈사태</t>
  </si>
  <si>
    <t>53 - 불대문자</t>
  </si>
  <si>
    <t>43 - 메가폰 (!!)</t>
  </si>
  <si>
    <t>37 - 치료방울</t>
  </si>
  <si>
    <t>37 - 냉동빔</t>
  </si>
  <si>
    <t>37 - 바늘미사일</t>
  </si>
  <si>
    <t>37 - 인파이트 (!!)</t>
  </si>
  <si>
    <t>40 - 트릭룸</t>
  </si>
  <si>
    <t>49 - 쥐어짜기</t>
  </si>
  <si>
    <t>44 - 파워젬 (!!)</t>
  </si>
  <si>
    <t>46 - 흡혈</t>
  </si>
  <si>
    <t>40 - 메가드레인</t>
  </si>
  <si>
    <t>49 - 스톤에지</t>
  </si>
  <si>
    <t>42 - 흰안개</t>
  </si>
  <si>
    <t>40 - 문포스 (!!)</t>
  </si>
  <si>
    <t>55 - 분화</t>
  </si>
  <si>
    <t>49 - 엄청난힘</t>
  </si>
  <si>
    <t>39 - 싫은소리</t>
  </si>
  <si>
    <t>41 - 하이퍼보이스</t>
  </si>
  <si>
    <t>42 - 치근거리기 (!!)</t>
  </si>
  <si>
    <t>42 - 꿈먹기</t>
  </si>
  <si>
    <t>38 - 사념의박치기</t>
  </si>
  <si>
    <t>41 - 바늘미사일</t>
  </si>
  <si>
    <t>45 - 충전</t>
  </si>
  <si>
    <t>53 - 충전</t>
  </si>
  <si>
    <t>31 - 나쁜음모</t>
  </si>
  <si>
    <t>43 - 선취</t>
  </si>
  <si>
    <t>46 - 파워스웹</t>
  </si>
  <si>
    <t>39 - 엄청난힘</t>
  </si>
  <si>
    <t>35 - 비바라기</t>
  </si>
  <si>
    <t>27 - 유턴</t>
  </si>
  <si>
    <t>32 - 유턴</t>
  </si>
  <si>
    <t>34 - 유턴</t>
  </si>
  <si>
    <t>44 - 나쁜음모</t>
  </si>
  <si>
    <t>39 - 유턴</t>
  </si>
  <si>
    <t>43 - 흰안개</t>
  </si>
  <si>
    <t>51 - 흰안개</t>
  </si>
  <si>
    <t>37 - 파동탄 (!!)</t>
  </si>
  <si>
    <t>37 - 더스트슈트 (!!)</t>
  </si>
  <si>
    <t>37 - 마지막수단</t>
  </si>
  <si>
    <t>35 - 죽기살기</t>
  </si>
  <si>
    <t>34 - 보복</t>
  </si>
  <si>
    <t>38 - 보복</t>
  </si>
  <si>
    <t>39 - 돌진</t>
  </si>
  <si>
    <t>45 - 스텔스록</t>
  </si>
  <si>
    <t>46 - 악의파동</t>
  </si>
  <si>
    <t>39 - 난동부리기</t>
  </si>
  <si>
    <t>48 - 추억의선물</t>
  </si>
  <si>
    <t>54 - 추억의선물</t>
  </si>
  <si>
    <t>40 - 락블레스트</t>
  </si>
  <si>
    <t>48 - 해수스파우팅</t>
  </si>
  <si>
    <t>42 - 눈보라</t>
  </si>
  <si>
    <t>46 - 나쁜음모</t>
  </si>
  <si>
    <t>46 - 유혹</t>
  </si>
  <si>
    <t>81 - 스케치</t>
  </si>
  <si>
    <t>45 - 무릎차기</t>
  </si>
  <si>
    <t>42 - 멸망의노래</t>
  </si>
  <si>
    <t>50 - 플레어드라이브</t>
  </si>
  <si>
    <t>50 - 에어슬래시</t>
  </si>
  <si>
    <t>43 - 파괴광선</t>
  </si>
  <si>
    <t>54 - 리프스톰</t>
  </si>
  <si>
    <t>44 - 불대문자</t>
  </si>
  <si>
    <t>50 - 따라하기</t>
  </si>
  <si>
    <t>39 - 깜짝베기</t>
  </si>
  <si>
    <t>35 - 도발</t>
  </si>
  <si>
    <t>39 - 배북</t>
  </si>
  <si>
    <t>51 - 미래예지</t>
  </si>
  <si>
    <t>33 - 저리가루</t>
  </si>
  <si>
    <t>42 - 카운터</t>
  </si>
  <si>
    <t>59 - 암해머</t>
  </si>
  <si>
    <t>35 - 바톤터치</t>
  </si>
  <si>
    <t>39 - 인파이트</t>
  </si>
  <si>
    <t>41 - 버티기</t>
  </si>
  <si>
    <t>43 - 전자포</t>
  </si>
  <si>
    <t>29 - 애교부리기</t>
  </si>
  <si>
    <t>46 - 양날박치기</t>
  </si>
  <si>
    <t>54 - 양날박치기</t>
  </si>
  <si>
    <t>43 - 철벽</t>
  </si>
  <si>
    <t>46 - 기사회생</t>
  </si>
  <si>
    <t>37 - 와일드볼트</t>
  </si>
  <si>
    <t>41 - 와일드볼트</t>
  </si>
  <si>
    <t>43 - 마지막수단</t>
  </si>
  <si>
    <t>48 - 탐내다</t>
  </si>
  <si>
    <t>39 - 꽃잎댄스</t>
  </si>
  <si>
    <t>44 - 더스트슈트</t>
  </si>
  <si>
    <t>39 - 위액</t>
  </si>
  <si>
    <t>37 - 독엄니</t>
  </si>
  <si>
    <t>46 - 뛰어오르다</t>
  </si>
  <si>
    <t>51 - 분화</t>
  </si>
  <si>
    <t>46 - 바둥바둥</t>
  </si>
  <si>
    <t>39 - 보복</t>
  </si>
  <si>
    <t>40 - 바둥바둥</t>
  </si>
  <si>
    <t>51 - 용의파동</t>
  </si>
  <si>
    <t>45 - 드래곤크루</t>
  </si>
  <si>
    <t>46 - 목화포자</t>
  </si>
  <si>
    <t>47 - 바늘미사일</t>
  </si>
  <si>
    <t>43 - 멸망의노래</t>
  </si>
  <si>
    <t>43 - 인파이트</t>
  </si>
  <si>
    <t>46 - 더스트슈트 (!!)</t>
  </si>
  <si>
    <t>49 - 미래예지</t>
  </si>
  <si>
    <t>53 - 대폭발</t>
  </si>
  <si>
    <t>44 - 용의춤</t>
  </si>
  <si>
    <t>45 - 보복</t>
  </si>
  <si>
    <t>46 - 트릭룸</t>
  </si>
  <si>
    <t>39 - 사이코키네시스</t>
  </si>
  <si>
    <t>45 - 꿀꺽</t>
  </si>
  <si>
    <t>51 - 토해내기</t>
  </si>
  <si>
    <t>45 - 락블레스트</t>
  </si>
  <si>
    <t>47 - 방어</t>
  </si>
  <si>
    <t>39 - 용의파동</t>
  </si>
  <si>
    <t>46 - 원념</t>
  </si>
  <si>
    <t>47 - 더스트슈트</t>
  </si>
  <si>
    <t>32 - 섀도펀치</t>
  </si>
  <si>
    <t>42 - 용의춤</t>
  </si>
  <si>
    <t>43 - HP회복</t>
  </si>
  <si>
    <t>40 - 칼바람</t>
  </si>
  <si>
    <t>38 - 방어</t>
  </si>
  <si>
    <t>40 - 눈보라</t>
  </si>
  <si>
    <t>46 - 신비의부적</t>
  </si>
  <si>
    <t>52 - 하이드로펌프</t>
  </si>
  <si>
    <t>46 - 뒀다쓰기</t>
  </si>
  <si>
    <t>50 - 브레이브버드</t>
  </si>
  <si>
    <t>46 - 저주</t>
  </si>
  <si>
    <t>39 - 방전</t>
  </si>
  <si>
    <t>48 - 방전</t>
  </si>
  <si>
    <t>48 - 겁나는얼굴</t>
  </si>
  <si>
    <t>48 - 양날박치기</t>
  </si>
  <si>
    <t>47 - 스톤에지</t>
  </si>
  <si>
    <t>48 - 양날박치기 (!!)</t>
  </si>
  <si>
    <t>50 - 땅가르기</t>
  </si>
  <si>
    <t>44 - 망각술</t>
  </si>
  <si>
    <t>43 - 폭풍 (!!)</t>
  </si>
  <si>
    <t>45 - 웨더볼</t>
  </si>
  <si>
    <t>43 - 힘껏펀치</t>
  </si>
  <si>
    <t>43 - 헤롱헤롱</t>
  </si>
  <si>
    <t>43 - 치근거리기</t>
  </si>
  <si>
    <t>43 - 오물폭탄</t>
  </si>
  <si>
    <t>45 - 회복봉인</t>
  </si>
  <si>
    <t>39 - 나쁜음모</t>
  </si>
  <si>
    <t>43 - 아픔나누기</t>
  </si>
  <si>
    <t>58 - 역린</t>
  </si>
  <si>
    <t>52 - 아이언헤드</t>
  </si>
  <si>
    <t>45 - 이판사판태클</t>
  </si>
  <si>
    <t>41 - 브레이즈킥</t>
  </si>
  <si>
    <t>51 - 이판사판태클</t>
  </si>
  <si>
    <t>45 - 크로스포이즌</t>
  </si>
  <si>
    <t>43 - 크로스촙</t>
  </si>
  <si>
    <t>48 - 하이드로펌프 (!!)</t>
  </si>
  <si>
    <t>42 - 바다회오리</t>
  </si>
  <si>
    <t>46 - 절대영도</t>
  </si>
  <si>
    <t>35 - 페인트</t>
  </si>
  <si>
    <t>34 - 리프블레이드</t>
  </si>
  <si>
    <t>52 - 페인트</t>
  </si>
  <si>
    <t>42 - 바꿔치기</t>
  </si>
  <si>
    <t>40 - 10만볼트</t>
  </si>
  <si>
    <t>50 - 악의파동</t>
  </si>
  <si>
    <t>44 - 용의파동</t>
  </si>
  <si>
    <t>44 - 아쿠아테일</t>
  </si>
  <si>
    <t>43 - 순간이동</t>
  </si>
  <si>
    <t>45 - 메가폰 (!!)</t>
  </si>
  <si>
    <t>45 - 순풍</t>
  </si>
  <si>
    <t>47 - 순풍</t>
  </si>
  <si>
    <t>33 - 희망사항</t>
  </si>
  <si>
    <t>31 - 자이로볼</t>
  </si>
  <si>
    <t>47 - 나쁜음모</t>
  </si>
  <si>
    <t>54 - 시저크로스</t>
  </si>
  <si>
    <t>45 - 추억의선물</t>
  </si>
  <si>
    <t>45 - 페인트</t>
  </si>
  <si>
    <t>44 - 싫은소리</t>
  </si>
  <si>
    <t>46 - 유턴</t>
  </si>
  <si>
    <t>47 - 인파이트</t>
  </si>
  <si>
    <t>54 - 인파이트</t>
  </si>
  <si>
    <t>54 - 암해머</t>
  </si>
  <si>
    <t>47 - 미래예지</t>
  </si>
  <si>
    <t>46 - 자이로볼</t>
  </si>
  <si>
    <t>49 - 전자부유</t>
  </si>
  <si>
    <t>40 - 페인트</t>
  </si>
  <si>
    <t>48 - 브레이브버드</t>
  </si>
  <si>
    <t>42 - 칼춤</t>
  </si>
  <si>
    <t>38 - 다이빙</t>
  </si>
  <si>
    <t>42 - 녹기</t>
  </si>
  <si>
    <t>46 - 악몽</t>
  </si>
  <si>
    <t>43 - 모래바람</t>
  </si>
  <si>
    <t>48 - 가드스웹</t>
  </si>
  <si>
    <t>38 - 힘껏치기</t>
  </si>
  <si>
    <t>48 - 번개</t>
  </si>
  <si>
    <t>55 - 번개</t>
  </si>
  <si>
    <t>39 - 리프스톰</t>
  </si>
  <si>
    <t>49 - 배북</t>
  </si>
  <si>
    <t>45 - 힘껏펀치</t>
  </si>
  <si>
    <t>46 - 대폭발</t>
  </si>
  <si>
    <t>46 - 파워휩</t>
  </si>
  <si>
    <t>49 - 기사회생</t>
  </si>
  <si>
    <t>43 - 메가폰</t>
  </si>
  <si>
    <t>47 - 멸망의노래</t>
  </si>
  <si>
    <t>46 - 메가폰 (!!)</t>
  </si>
  <si>
    <t>46 - 눈사태</t>
  </si>
  <si>
    <t>40 - 뒀다쓰기</t>
  </si>
  <si>
    <t>43 - 사이코키네시스</t>
  </si>
  <si>
    <t>48 - 락블레스트</t>
  </si>
  <si>
    <t>44 - 금속음</t>
  </si>
  <si>
    <t>53 - 브레이브버드 (!!)</t>
  </si>
  <si>
    <t>46 - 선취</t>
  </si>
  <si>
    <t>45 - 신비의부적</t>
  </si>
  <si>
    <t>45 - 구르기</t>
  </si>
  <si>
    <t>53 - 하이드로펌프</t>
  </si>
  <si>
    <t>44 - 난동부리기</t>
  </si>
  <si>
    <t>44 - 이판사판태클</t>
  </si>
  <si>
    <t>42 - 문포스</t>
  </si>
  <si>
    <t>39 - 에어슬래시</t>
  </si>
  <si>
    <t>46 - 가드스웹</t>
  </si>
  <si>
    <t>44 - 10만볼트</t>
  </si>
  <si>
    <t>29 - 고민씨</t>
  </si>
  <si>
    <t>35 - 고민씨</t>
  </si>
  <si>
    <t>47 - 바꿔치기</t>
  </si>
  <si>
    <t>41 - 쾌청</t>
  </si>
  <si>
    <t>43 - 싫은소리</t>
  </si>
  <si>
    <t>43 - 흑안개</t>
  </si>
  <si>
    <t>51 - 흑안개</t>
  </si>
  <si>
    <t>46 - 철벽</t>
  </si>
  <si>
    <t>37 - 에어슬래시</t>
  </si>
  <si>
    <t>46 - 가위자르기</t>
  </si>
  <si>
    <t>42 - 인파이트</t>
  </si>
  <si>
    <t>42 - 길동무</t>
  </si>
  <si>
    <t>42 - 내던지기</t>
  </si>
  <si>
    <t>47 - 암해머</t>
  </si>
  <si>
    <t>51 - 오버히트</t>
  </si>
  <si>
    <t>58 - 오버히트</t>
  </si>
  <si>
    <t>43 - 아쿠아링</t>
  </si>
  <si>
    <t>43 - 드릴라이너 (!!)</t>
  </si>
  <si>
    <t>42 - 얼음뭉치</t>
  </si>
  <si>
    <t>48 - 메가폰</t>
  </si>
  <si>
    <t>86 - 스케치</t>
  </si>
  <si>
    <t>44 - 시저크로스</t>
  </si>
  <si>
    <t>44 - 뛰어오르다</t>
  </si>
  <si>
    <t>54 - 죽기살기</t>
  </si>
  <si>
    <t>44 - 탁류</t>
  </si>
  <si>
    <t>43 - 내던지기</t>
  </si>
  <si>
    <t>38 - 순풍</t>
  </si>
  <si>
    <t>52 - 미래예지</t>
  </si>
  <si>
    <t>46 - 폭발펀치</t>
  </si>
  <si>
    <t>40 - 깨물어부수기</t>
  </si>
  <si>
    <t>42 - 기사회생</t>
  </si>
  <si>
    <t>45 - 인파이트</t>
  </si>
  <si>
    <t>46 - 양날박치기 (!!)</t>
  </si>
  <si>
    <t>31 - 치료방울</t>
  </si>
  <si>
    <t>41 - 섀도볼</t>
  </si>
  <si>
    <t>40 - 비축하기</t>
  </si>
  <si>
    <t>49 - 메탈버스트</t>
  </si>
  <si>
    <t>58 - 메탈버스트</t>
  </si>
  <si>
    <t>49 - HP회복</t>
  </si>
  <si>
    <t>43 - 경혈찌르기</t>
  </si>
  <si>
    <t>40 - 충전</t>
  </si>
  <si>
    <t>51 - 바톤터치</t>
  </si>
  <si>
    <t>42 - 맹독</t>
  </si>
  <si>
    <t>41 - 로케트박치기</t>
  </si>
  <si>
    <t>46 - 망각술</t>
  </si>
  <si>
    <t>50 - 난동부리기</t>
  </si>
  <si>
    <t>55 - 땅가르기</t>
  </si>
  <si>
    <t>49 - 분화</t>
  </si>
  <si>
    <t>43 - 희망사항</t>
  </si>
  <si>
    <t>55 - 파괴광선</t>
  </si>
  <si>
    <t>49 - 악의파동</t>
  </si>
  <si>
    <t>51 - 목화포자</t>
  </si>
  <si>
    <t>46 - 배북</t>
  </si>
  <si>
    <t>46 - 땅가르기</t>
  </si>
  <si>
    <t>49 - 용의춤</t>
  </si>
  <si>
    <t>49 - 대폭발</t>
  </si>
  <si>
    <t>48 - 쥐어짜기</t>
  </si>
  <si>
    <t>51 - 꿀꺽</t>
  </si>
  <si>
    <t>51 - 락블레스트</t>
  </si>
  <si>
    <t>42 - 비바라기</t>
  </si>
  <si>
    <t>40 - 기습</t>
  </si>
  <si>
    <t>49 - 길동무</t>
  </si>
  <si>
    <t>51 - 원념</t>
  </si>
  <si>
    <t>35 - 이상한빛</t>
  </si>
  <si>
    <t>45 - 역린</t>
  </si>
  <si>
    <t>46 - 하이퍼보이스</t>
  </si>
  <si>
    <t>43 - 절대영도</t>
  </si>
  <si>
    <t>49 - 역린</t>
  </si>
  <si>
    <t>56 - 역린</t>
  </si>
  <si>
    <t>50 - 파멸의소원</t>
  </si>
  <si>
    <t>44 - 광합성</t>
  </si>
  <si>
    <t>51 - 태만함</t>
  </si>
  <si>
    <t>44 - 하품</t>
  </si>
  <si>
    <t>55 - 이판사판태클</t>
  </si>
  <si>
    <t>42 - 기습 (!!)</t>
  </si>
  <si>
    <t>52 - 기습 (!!)</t>
  </si>
  <si>
    <t>53 - 방전</t>
  </si>
  <si>
    <t>51 - 암해머</t>
  </si>
  <si>
    <t>51 - 전자부유</t>
  </si>
  <si>
    <t>41 - 뽐내기</t>
  </si>
  <si>
    <t>45 - 뒀다쓰기</t>
  </si>
  <si>
    <t>48 - HP회복</t>
  </si>
  <si>
    <t>49 - 폭풍 (!!)</t>
  </si>
  <si>
    <t>47 - 누르기</t>
  </si>
  <si>
    <t>46 - 기습</t>
  </si>
  <si>
    <t>42 - 금속음</t>
  </si>
  <si>
    <t>42 - 역할</t>
  </si>
  <si>
    <t>48 - 폭풍 (!!)</t>
  </si>
  <si>
    <t>46 - 길동무</t>
  </si>
  <si>
    <t>58 - 스톤에지</t>
  </si>
  <si>
    <t>48 - 가로챔</t>
  </si>
  <si>
    <t>56 - 땅가르기</t>
  </si>
  <si>
    <t>43 - 겁나는얼굴</t>
  </si>
  <si>
    <t>46 - 부추기기</t>
  </si>
  <si>
    <t>47 - 오물폭탄</t>
  </si>
  <si>
    <t>49 - 절대영도</t>
  </si>
  <si>
    <t>37 - 고드름떨구기</t>
  </si>
  <si>
    <t>37 - 사이코커터 (!!)</t>
  </si>
  <si>
    <t>37 - 대지의힘 (!!)</t>
  </si>
  <si>
    <t>57 - 추억의선물</t>
  </si>
  <si>
    <t>46 - 싸라기눈</t>
  </si>
  <si>
    <t>43 - 악의파동</t>
  </si>
  <si>
    <t>46 - 블러스트번</t>
  </si>
  <si>
    <t>50 - 광합성</t>
  </si>
  <si>
    <t>49 - 회오리불꽃</t>
  </si>
  <si>
    <t>49 - 비바라기</t>
  </si>
  <si>
    <t>51 - 뒀다쓰기</t>
  </si>
  <si>
    <t>42 - 모래바람</t>
  </si>
  <si>
    <t>45 - 칼춤</t>
  </si>
  <si>
    <t>35 - 코멧펀치</t>
  </si>
  <si>
    <t>45 - 불대문자</t>
  </si>
  <si>
    <t>33 - 흉내내기</t>
  </si>
  <si>
    <t>51 - 브레이브버드</t>
  </si>
  <si>
    <t>42 - 아침햇살</t>
  </si>
  <si>
    <t>49 - 땅가르기</t>
  </si>
  <si>
    <t>50 - 싫은소리</t>
  </si>
  <si>
    <t>50 - 엄청난힘</t>
  </si>
  <si>
    <t>58 - 엄청난힘</t>
  </si>
  <si>
    <t>51 - 트릭룸</t>
  </si>
  <si>
    <t>49 - 전자포</t>
  </si>
  <si>
    <t>53 - 자이로볼</t>
  </si>
  <si>
    <t>46 - 죽기살기</t>
  </si>
  <si>
    <t>41 - 싸라기눈</t>
  </si>
  <si>
    <t>41 - 다이빙</t>
  </si>
  <si>
    <t>46 - 더스트슈트</t>
  </si>
  <si>
    <t>50 - 길동무</t>
  </si>
  <si>
    <t>49 - 지진</t>
  </si>
  <si>
    <t>52 - 파워휩</t>
  </si>
  <si>
    <t>50 - 추억의선물</t>
  </si>
  <si>
    <t>47 - 메가폰</t>
  </si>
  <si>
    <t>46 - 바톤터치</t>
  </si>
  <si>
    <t>51 - 눈보라</t>
  </si>
  <si>
    <t>49 - 가위자르기</t>
  </si>
  <si>
    <t>49 - 메가폰</t>
  </si>
  <si>
    <t>43 - 플레어드라이브</t>
  </si>
  <si>
    <t>46 - 전자포</t>
  </si>
  <si>
    <t>57 - 파괴광선</t>
  </si>
  <si>
    <t>50 - 하이퍼보이스</t>
  </si>
  <si>
    <t>46 - 날개쉬기</t>
  </si>
  <si>
    <t>42 - 코멧펀치 (!!)</t>
  </si>
  <si>
    <t>45 - 메가폰</t>
  </si>
  <si>
    <t>48 - 고속이동</t>
  </si>
  <si>
    <t>35 - 뒀다쓰기</t>
  </si>
  <si>
    <t>50 - 선취</t>
  </si>
  <si>
    <t>49 - 빛의장막</t>
  </si>
  <si>
    <t>42 - 에너지볼</t>
  </si>
  <si>
    <t>45 - 벌레의야단법석</t>
  </si>
  <si>
    <t>55 - HP회복</t>
  </si>
  <si>
    <t>43 - 파워스웹</t>
  </si>
  <si>
    <t>43 - 가드스웹</t>
  </si>
  <si>
    <t>39 - 원념</t>
  </si>
  <si>
    <t>39 - 드래곤다이브</t>
  </si>
  <si>
    <t>46 - 치료방울</t>
  </si>
  <si>
    <t>45 - 더스트슈트 (!!)</t>
  </si>
  <si>
    <t>47 - 카운터</t>
  </si>
  <si>
    <t>45 - 치근거리기</t>
  </si>
  <si>
    <t>51 - 치근거리기</t>
  </si>
  <si>
    <t>47 - 망각술</t>
  </si>
  <si>
    <t>48 - 더스트슈트</t>
  </si>
  <si>
    <t>48 - 길동무</t>
  </si>
  <si>
    <t>46 - 금속음</t>
  </si>
  <si>
    <t>46 - 기가임팩트</t>
  </si>
  <si>
    <t>91 - 스케치</t>
  </si>
  <si>
    <t>48 - 나쁜음모</t>
  </si>
  <si>
    <t>49 - 싫은소리</t>
  </si>
  <si>
    <t>49 - 미러코트</t>
  </si>
  <si>
    <t>43 - 돌진</t>
  </si>
  <si>
    <t>42 - 소란피기</t>
  </si>
  <si>
    <t>57 - 꿈먹기</t>
  </si>
  <si>
    <t>43 - 유턴</t>
  </si>
  <si>
    <t>44 - 암해머</t>
  </si>
  <si>
    <t>45 - 카운터</t>
  </si>
  <si>
    <t>33 - 유혹</t>
  </si>
  <si>
    <t>43 - 검은눈빛</t>
  </si>
  <si>
    <t>40 - 꿀꺽</t>
  </si>
  <si>
    <t>53 - 드래곤다이브</t>
  </si>
  <si>
    <t>47 - 파워트릭</t>
  </si>
  <si>
    <t>49 - 번개</t>
  </si>
  <si>
    <t>54 - 번개</t>
  </si>
  <si>
    <t>45 - 아로마테라피</t>
  </si>
  <si>
    <t>47 - 쥐어짜기</t>
  </si>
  <si>
    <t>45 - 사념의박치기</t>
  </si>
  <si>
    <t>54 - 하이드로펌프</t>
  </si>
  <si>
    <t>46 - 트릭</t>
  </si>
  <si>
    <t>46 - 난동부리기</t>
  </si>
  <si>
    <t>52 - 모래바람</t>
  </si>
  <si>
    <t>55 - 악의파동</t>
  </si>
  <si>
    <t>49 - 이판사판태클</t>
  </si>
  <si>
    <t>50 - 가위자르기</t>
  </si>
  <si>
    <t>53 - 엄청난힘</t>
  </si>
  <si>
    <t>47 - 봉인</t>
  </si>
  <si>
    <t>55 - 쥐어짜기</t>
  </si>
  <si>
    <t>55 - 스톤에지</t>
  </si>
  <si>
    <t>55 - 길동무</t>
  </si>
  <si>
    <t>39 - 검은눈빛</t>
  </si>
  <si>
    <t>49 - 치유소원</t>
  </si>
  <si>
    <t>46 - 치근거리기</t>
  </si>
  <si>
    <t>44 - 배북</t>
  </si>
  <si>
    <t>50 - 공중날기</t>
  </si>
  <si>
    <t>51 - 철벽</t>
  </si>
  <si>
    <t>49 - 기가드레인</t>
  </si>
  <si>
    <t>56 - 플레어드라이브</t>
  </si>
  <si>
    <t>49 - 회전부리</t>
  </si>
  <si>
    <t>58 - 기습 (!!)</t>
  </si>
  <si>
    <t>55 - 양날박치기</t>
  </si>
  <si>
    <t>55 - 양날박치기 (!!)</t>
  </si>
  <si>
    <t>49 - 뒀다쓰기</t>
  </si>
  <si>
    <t>51 - 바둥바둥</t>
  </si>
  <si>
    <t>49 - 더스트슈트 (!!)</t>
  </si>
  <si>
    <t>51 - 기습</t>
  </si>
  <si>
    <t>46 - 보복</t>
  </si>
  <si>
    <t>45 - 바톤터치</t>
  </si>
  <si>
    <t>64 - 역린</t>
  </si>
  <si>
    <t>49 - 코멧펀치</t>
  </si>
  <si>
    <t>61 - 엄청난힘</t>
  </si>
  <si>
    <t>47 - 깨물어부수기</t>
  </si>
  <si>
    <t>49 - 더스트슈트</t>
  </si>
  <si>
    <t>51 - 부추기기</t>
  </si>
  <si>
    <t>42 - 쥐어짜기</t>
  </si>
  <si>
    <t>50 - 뛰어오르다</t>
  </si>
  <si>
    <t>50 - 눈보라</t>
  </si>
  <si>
    <t>46 - 아픔나누기</t>
  </si>
  <si>
    <t>46 - 하이드로캐논</t>
  </si>
  <si>
    <t>55 - 솔라빔</t>
  </si>
  <si>
    <t>54 - 배북</t>
  </si>
  <si>
    <t>55 - 폭풍</t>
  </si>
  <si>
    <t>55 - 브레이브버드 (!!)</t>
  </si>
  <si>
    <t>45 - 땅가르기</t>
  </si>
  <si>
    <t>49 - 모래바람</t>
  </si>
  <si>
    <t>37 - 중력</t>
  </si>
  <si>
    <t>46 - 벌레의야단법석</t>
  </si>
  <si>
    <t>50 - 페인트</t>
  </si>
  <si>
    <t>50 - 크로스촙</t>
  </si>
  <si>
    <t>50 - 인파이트</t>
  </si>
  <si>
    <t>54 - 역린</t>
  </si>
  <si>
    <t>52 - 파동탄 (!!)</t>
  </si>
  <si>
    <t>46 - 점프킥 (!!)</t>
  </si>
  <si>
    <t>57 - 전자포</t>
  </si>
  <si>
    <t>45 - 싸라기눈</t>
  </si>
  <si>
    <t>54 - 파동탄 (!!)</t>
  </si>
  <si>
    <t>46 - 고속이동</t>
  </si>
  <si>
    <t>57 - 지진</t>
  </si>
  <si>
    <t>54 - 엄청난힘</t>
  </si>
  <si>
    <t>43 - 카운터</t>
  </si>
  <si>
    <t>55 - 나쁜음모</t>
  </si>
  <si>
    <t>52 - 기가임팩트</t>
  </si>
  <si>
    <t>49 - 파괴광선</t>
  </si>
  <si>
    <t>56 - 쥐어짜기</t>
  </si>
  <si>
    <t>52 - 흡혈</t>
  </si>
  <si>
    <t>61 - 기가임팩트</t>
  </si>
  <si>
    <t>51 - 기가임팩트</t>
  </si>
  <si>
    <t>55 - 날개치기</t>
  </si>
  <si>
    <t>55 - 플레어드라이브</t>
  </si>
  <si>
    <t>54 - 이판사판태클</t>
  </si>
  <si>
    <t>50 - 꿈먹기</t>
  </si>
  <si>
    <t>52 - 사이코키네시스</t>
  </si>
  <si>
    <t>54 - 폭풍 (!!)</t>
  </si>
  <si>
    <t>54 - 치료방울</t>
  </si>
  <si>
    <t>33 - 아로마테라피</t>
  </si>
  <si>
    <t>41 - 아로마테라피</t>
  </si>
  <si>
    <t>45 - 씨폭탄</t>
  </si>
  <si>
    <t>41 - 길동무</t>
  </si>
  <si>
    <t>54 - 전자부유</t>
  </si>
  <si>
    <t>51 - 기사회생</t>
  </si>
  <si>
    <t>48 - 인파이트</t>
  </si>
  <si>
    <t>55 - 인파이트</t>
  </si>
  <si>
    <t>49 - 바둥바둥</t>
  </si>
  <si>
    <t>49 - 카운터</t>
  </si>
  <si>
    <t>50 - 치근거리기</t>
  </si>
  <si>
    <t>54 - 선취</t>
  </si>
  <si>
    <t>96 - 스케치</t>
  </si>
  <si>
    <t>54 - 파괴광선</t>
  </si>
  <si>
    <t>54 - 브레이브버드</t>
  </si>
  <si>
    <t>51 - 신속</t>
  </si>
  <si>
    <t>47 - 벌레의야단법석</t>
  </si>
  <si>
    <t>49 - 죽기살기</t>
  </si>
  <si>
    <t>53 - 카운터</t>
  </si>
  <si>
    <t>35 - 치근거리기</t>
  </si>
  <si>
    <t>40 - 토해내기</t>
  </si>
  <si>
    <t>58 - 양날박치기</t>
  </si>
  <si>
    <t>48 - 광합성</t>
  </si>
  <si>
    <t>51 - 더스트슈트</t>
  </si>
  <si>
    <t>49 - 고속이동</t>
  </si>
  <si>
    <t>52 - 땅가르기</t>
  </si>
  <si>
    <t>58 - 땅가르기</t>
  </si>
  <si>
    <t>51 - 트릭</t>
  </si>
  <si>
    <t>49 - 트릭룸</t>
  </si>
  <si>
    <t>59 - 모래바람</t>
  </si>
  <si>
    <t>50 - 브레이브버드 (!!)</t>
  </si>
  <si>
    <t>57 - 가위자르기</t>
  </si>
  <si>
    <t>48 - 미러코트</t>
  </si>
  <si>
    <t>51 - 솔라빔</t>
  </si>
  <si>
    <t>59 - 파괴광선</t>
  </si>
  <si>
    <t>55 - 뒀다쓰기</t>
  </si>
  <si>
    <t>52 - 대폭발</t>
  </si>
  <si>
    <t>55 - 더스트슈트 (!!)</t>
  </si>
  <si>
    <t>50 - 회복봉인</t>
  </si>
  <si>
    <t>48 - 신비의부적</t>
  </si>
  <si>
    <t>70 - 신속 (!!)</t>
  </si>
  <si>
    <t>53 - 무릎차기</t>
  </si>
  <si>
    <t>51 - 크로스포이즌</t>
  </si>
  <si>
    <t>55 - 더스트슈트</t>
  </si>
  <si>
    <t>45 - 파워휩</t>
  </si>
  <si>
    <t>54 - 하이드로펌프 (!!)</t>
  </si>
  <si>
    <t>61 - 마그마스톰 (!!)</t>
  </si>
  <si>
    <t>43 - 파워휩 (!!)</t>
  </si>
  <si>
    <t>47 - 겁나는얼굴</t>
  </si>
  <si>
    <t>54 - 길동무</t>
  </si>
  <si>
    <t>50 - 심판의뭉치</t>
  </si>
  <si>
    <t>60 - 리프스톰</t>
  </si>
  <si>
    <t>59 - 플레어드라이브</t>
  </si>
  <si>
    <t>59 - 해수스파우팅</t>
  </si>
  <si>
    <t>60 - 브레이브버드</t>
  </si>
  <si>
    <t>53 - 땅가르기</t>
  </si>
  <si>
    <t>39 - 치유소원</t>
  </si>
  <si>
    <t>37 - 뒀다쓰기</t>
  </si>
  <si>
    <t>58 - 인파이트</t>
  </si>
  <si>
    <t>50 - 불대문자</t>
  </si>
  <si>
    <t>50 - 바둥바둥</t>
  </si>
  <si>
    <t>59 - 사이코부스트 (!!)</t>
  </si>
  <si>
    <t>55 - 절대영도</t>
  </si>
  <si>
    <t>56 - 스톤에지</t>
  </si>
  <si>
    <t>65 - 불새</t>
  </si>
  <si>
    <t>60 - 폭풍</t>
  </si>
  <si>
    <t>60 - 분화</t>
  </si>
  <si>
    <t>59 - 하이드로펌프</t>
  </si>
  <si>
    <t>54 - 폭풍</t>
  </si>
  <si>
    <t>51 - 코멧펀치 (!!)</t>
  </si>
  <si>
    <t>59 - 번개</t>
  </si>
  <si>
    <t>44 - 추억의선물</t>
  </si>
  <si>
    <t>45 - 리프스톰</t>
  </si>
  <si>
    <t>58 - 전자포</t>
  </si>
  <si>
    <t>59 - 이판사판태클</t>
  </si>
  <si>
    <t>56 - 해수스파우팅</t>
  </si>
  <si>
    <t>52 - 브레이브버드</t>
  </si>
  <si>
    <t>60 - 기가임팩트</t>
  </si>
  <si>
    <t>59 - 리프스톰</t>
  </si>
  <si>
    <t>59 - 죽기살기</t>
  </si>
  <si>
    <t>51 - 신속 (!!)</t>
  </si>
  <si>
    <t>47 - HP회복</t>
  </si>
  <si>
    <t>43 - 메탈버스트</t>
  </si>
  <si>
    <t>63 - 메탈버스트</t>
  </si>
  <si>
    <t>51 - 파워휩</t>
  </si>
  <si>
    <t>52 - 하이퍼보이스</t>
  </si>
  <si>
    <t>59 - 드래곤다이브</t>
  </si>
  <si>
    <t>63 - 길동무</t>
  </si>
  <si>
    <t>54 - 불새</t>
  </si>
  <si>
    <t>55 - 대폭발</t>
  </si>
  <si>
    <t>47 - 길동무</t>
  </si>
  <si>
    <t>52 - 멸망의노래</t>
  </si>
  <si>
    <t>54 - 절대영도</t>
  </si>
  <si>
    <t>56 - 절대영도</t>
  </si>
  <si>
    <t>60 - 역린</t>
  </si>
  <si>
    <t>49 - 멸망의노래</t>
  </si>
  <si>
    <t>49 - 무릎차기</t>
  </si>
  <si>
    <t>59 - 대폭발</t>
  </si>
  <si>
    <t>57 - 신속</t>
  </si>
  <si>
    <t>58 - 자이로볼</t>
  </si>
  <si>
    <t>58 - 암석포</t>
  </si>
  <si>
    <t>57 - 기가임팩트</t>
  </si>
  <si>
    <t>기술머신 및 비전머신 - 기술머신 및 비전머신 - 기술머신 및 비전머신 - 기술머신 및 비전머신</t>
  </si>
  <si>
    <t>기술머신/비전머신 :</t>
  </si>
  <si>
    <t>기술머신06 맹독</t>
  </si>
  <si>
    <t>기술머신05 울부짖기</t>
  </si>
  <si>
    <t>기술머신01 힘껏펀치</t>
  </si>
  <si>
    <t>기술머신03 물의파동</t>
  </si>
  <si>
    <t>기술머신04 명상</t>
  </si>
  <si>
    <t>기술머신02 드래곤크루</t>
  </si>
  <si>
    <t>전체</t>
  </si>
  <si>
    <t>다음 제외 전체:</t>
  </si>
  <si>
    <t>기술머신09 기관총</t>
  </si>
  <si>
    <t>기술머신10 잠재파워</t>
  </si>
  <si>
    <t>기술머신08 벌크업</t>
  </si>
  <si>
    <t>기술머신11 쾌청</t>
  </si>
  <si>
    <t>기술머신07 싸라기눈</t>
  </si>
  <si>
    <t>기술머신12 도발</t>
  </si>
  <si>
    <t>기술머신16 빛의장막</t>
  </si>
  <si>
    <t>기술머신62 벌레의야단법석</t>
  </si>
  <si>
    <t>기술머신15 파괴광선</t>
  </si>
  <si>
    <t>기술머신17 방어</t>
  </si>
  <si>
    <t>기술머신13 냉동빔</t>
  </si>
  <si>
    <t>기술머신18 비바라기</t>
  </si>
  <si>
    <t>기술머신19 기가드레인</t>
  </si>
  <si>
    <t>기술머신21 화풀이</t>
  </si>
  <si>
    <t>기술머신14 눈보라</t>
  </si>
  <si>
    <t>기술머신20 신비의부적</t>
  </si>
  <si>
    <t>기술머신28 구멍파기</t>
  </si>
  <si>
    <t>기술머신26 지진</t>
  </si>
  <si>
    <t>기술머신22 솔라빔</t>
  </si>
  <si>
    <t>기술머신23 아이언테일</t>
  </si>
  <si>
    <t>기술머신27 은혜갚기</t>
  </si>
  <si>
    <t>기술머신41 트집</t>
  </si>
  <si>
    <t>기술머신32 그림자분신</t>
  </si>
  <si>
    <t>기술머신24 10만볼트</t>
  </si>
  <si>
    <t>기술머신45 헤롱헤롱</t>
  </si>
  <si>
    <t>기술머신40 제비반환</t>
  </si>
  <si>
    <t>기술머신29 사이코키네시스</t>
  </si>
  <si>
    <t>기술머신25 번개</t>
  </si>
  <si>
    <t>기술머신46 도둑질</t>
  </si>
  <si>
    <t>기술머신42 객기</t>
  </si>
  <si>
    <t>기술머신31 깨트리다</t>
  </si>
  <si>
    <t>기술머신35 화염방사</t>
  </si>
  <si>
    <t>기술머신30 섀도볼</t>
  </si>
  <si>
    <t>기술머신33 리플렉터</t>
  </si>
  <si>
    <t>기술머신47 강철날개</t>
  </si>
  <si>
    <t>기술머신36 오물폭탄</t>
  </si>
  <si>
    <t>기술머신43 비밀의힘</t>
  </si>
  <si>
    <t>기술머신38 불대문자</t>
  </si>
  <si>
    <t>기술머신37 모래바람</t>
  </si>
  <si>
    <t>기술머신48 스킬스웹</t>
  </si>
  <si>
    <t>기술머신44 잠자기</t>
  </si>
  <si>
    <t>기술머신39 암석봉인</t>
  </si>
  <si>
    <t>기술머신49 가로챔</t>
  </si>
  <si>
    <t>기술머신34 전격파</t>
  </si>
  <si>
    <t>기술머신51 날개쉬기</t>
  </si>
  <si>
    <t>기술머신54 칼등치기</t>
  </si>
  <si>
    <t>기술머신56 내던지기</t>
  </si>
  <si>
    <t>기술머신60 드레인펀치</t>
  </si>
  <si>
    <t>기술머신53 에너지볼</t>
  </si>
  <si>
    <t>기술머신50 오버히트</t>
  </si>
  <si>
    <t>기술머신58 버티기</t>
  </si>
  <si>
    <t>기술머신63 금제</t>
  </si>
  <si>
    <t>기술머신78 유혹</t>
  </si>
  <si>
    <t>기술머신64 대폭발</t>
  </si>
  <si>
    <t>기술머신59 용의파동</t>
  </si>
  <si>
    <t>기술머신70 플래시</t>
  </si>
  <si>
    <t>기술머신61 도깨비불</t>
  </si>
  <si>
    <t>기술머신82 잠꼬대</t>
  </si>
  <si>
    <t>기술머신66 보복</t>
  </si>
  <si>
    <t>기술머신68 기가임팩트</t>
  </si>
  <si>
    <t>기술머신76 스텔스록</t>
  </si>
  <si>
    <t>기술머신77 자기암시</t>
  </si>
  <si>
    <t>기술머신69 록커트</t>
  </si>
  <si>
    <t>기술머신75 칼춤</t>
  </si>
  <si>
    <t>기술머신67 리사이클</t>
  </si>
  <si>
    <t>기술머신87 뽐내기</t>
  </si>
  <si>
    <t>기술머신52 기합구슬</t>
  </si>
  <si>
    <t>기술머신84 독찌르기</t>
  </si>
  <si>
    <t>기술머신73 전기자석파</t>
  </si>
  <si>
    <t>기술머신80 스톤샤워</t>
  </si>
  <si>
    <t>기술머신74 자이로볼</t>
  </si>
  <si>
    <t>기술머신65 섀도크루</t>
  </si>
  <si>
    <t>기술머신90 대타출동</t>
  </si>
  <si>
    <t>기술머신81 시저크로스</t>
  </si>
  <si>
    <t>기술머신72 눈사태</t>
  </si>
  <si>
    <t>기술머신86 풀묶기</t>
  </si>
  <si>
    <t>기술머신89 유턴</t>
  </si>
  <si>
    <t>비전머신02 공중날기</t>
  </si>
  <si>
    <t>기술머신71 스톤에지</t>
  </si>
  <si>
    <t>비전머신03 파도타기</t>
  </si>
  <si>
    <t>기술머신91 러스터캐논</t>
  </si>
  <si>
    <t>기술머신86 풀묶기 (!!)</t>
  </si>
  <si>
    <t>기술머신79 악의파동</t>
  </si>
  <si>
    <t>비전머신07 폭포오르기</t>
  </si>
  <si>
    <t>비전머신04 괴력</t>
  </si>
  <si>
    <t>비전머신01 풀베기</t>
  </si>
  <si>
    <t>비전머신05 안개제거</t>
  </si>
  <si>
    <t>비전머신06 바위깨기</t>
  </si>
  <si>
    <t>기술머신62 벌레의야단법석 (!!)</t>
  </si>
  <si>
    <t>비전머신07 폭포오르기 (!!)</t>
  </si>
  <si>
    <t>기술머신83 하이퍼보이스 (!!)</t>
  </si>
  <si>
    <t>기술머신88 폭풍 (!!)</t>
  </si>
  <si>
    <t>기술머신88 폭풍</t>
  </si>
  <si>
    <t>TM85DazzlingGleam(!!)</t>
  </si>
  <si>
    <t>기술머신53 에너지볼 (!!)</t>
  </si>
  <si>
    <t>비전머신03 파도타기 (!!)</t>
  </si>
  <si>
    <t>기술머신70 플래시 (!!)</t>
  </si>
  <si>
    <t>비전머신02 공중날기 (!!)</t>
  </si>
  <si>
    <t>비전머신07 (!!)</t>
  </si>
  <si>
    <t>기술머신79 악의파동 (!!)</t>
  </si>
  <si>
    <t>기술머신31 깨트리다 (!!)</t>
  </si>
  <si>
    <t>HM08 락클라임</t>
  </si>
  <si>
    <t>기술머신92 트릭룸</t>
  </si>
  <si>
    <t>기술머신89 유턴 (!!)</t>
  </si>
  <si>
    <t>기술머신52 기합구슬 (!!)</t>
  </si>
  <si>
    <t>기술머신57 와일드볼트 (!!)</t>
  </si>
  <si>
    <t>기술머신75 칼춤(!!)</t>
  </si>
  <si>
    <t>기술머신29 사이코키네시스 (!!)</t>
  </si>
  <si>
    <t>기술머신80 스톤샤워 (!!)</t>
  </si>
  <si>
    <t>기술머신30 섀도볼 (!!)</t>
  </si>
  <si>
    <t>기술머신65 섀도크루 (!!)</t>
  </si>
  <si>
    <t>기술머신60 드레인펀치 (!!)</t>
  </si>
  <si>
    <t>기술머신59 용의파동 (!!)</t>
  </si>
  <si>
    <t>기술머신91 러스터캐논(!!)</t>
  </si>
  <si>
    <t>기술머신39 암석봉인 (!!)</t>
  </si>
  <si>
    <t>비전머신01 풀베기 (!!)</t>
  </si>
  <si>
    <t>기술머신69 록커트 (!!)</t>
  </si>
  <si>
    <t>기술머신71 스톤에지 (!!)</t>
  </si>
  <si>
    <t>기술머신35 (!!)</t>
  </si>
  <si>
    <t>비전머신06 바위깨기 (!!)</t>
  </si>
  <si>
    <t>HM08 락클라임 (!!)</t>
  </si>
  <si>
    <t>기술 가르침 NPC</t>
  </si>
  <si>
    <t>회오리</t>
  </si>
  <si>
    <t>특수 기술 가르침 NPC</t>
  </si>
  <si>
    <t>용성군 (!!) COM</t>
  </si>
  <si>
    <t>진화   변경점</t>
  </si>
  <si>
    <t>- #347 아노딥스</t>
  </si>
  <si>
    <t xml:space="preserve">레벨 30에 #348 아말도로 진화 </t>
  </si>
  <si>
    <t>타입 변경점</t>
  </si>
  <si>
    <t>기존 타입</t>
  </si>
  <si>
    <t>신규 타입</t>
  </si>
  <si>
    <t>기술 변경점</t>
  </si>
  <si>
    <t>- #353 어둠대신</t>
  </si>
  <si>
    <t xml:space="preserve">레벨 32에 #354 다크펫로 진화 </t>
  </si>
  <si>
    <t>위력: 65 &gt;&gt; 75</t>
  </si>
  <si>
    <t>위력: 60 &gt;&gt; 75</t>
  </si>
  <si>
    <t>위력: 65 &gt;&gt; 80</t>
  </si>
  <si>
    <t>- #355 해골몽</t>
  </si>
  <si>
    <t xml:space="preserve">레벨 32에 #356 미라몽로 진화 </t>
  </si>
  <si>
    <t>물 / 악</t>
  </si>
  <si>
    <t>땅 / 드래곤</t>
  </si>
  <si>
    <t>벌레 / 드래곤</t>
  </si>
  <si>
    <t>노말 / 격투</t>
  </si>
  <si>
    <t>PP: 20 → 15</t>
  </si>
  <si>
    <t>PP: 25 → 15</t>
  </si>
  <si>
    <t>PP: 15 → 15</t>
  </si>
  <si>
    <t>도구 상호작용 변경점</t>
  </si>
  <si>
    <t>- #361 눈꼬마</t>
  </si>
  <si>
    <t xml:space="preserve">레벨 32에 #362 얼음귀신로 진화 </t>
  </si>
  <si>
    <t>위협적으로 생겼고, 포켓몬도감에서도 사나운 포켓몬이라고 설명되며, 커뮤니티 투표로 선택되었습니다.</t>
  </si>
  <si>
    <t>곤충을 모티브로 했고, 벌레 알 그룹에 속하며, 외형도 매우 벌레 타입답습니다. 벌레 타입 기술도 배우며, 독특한 타입 조합을 가집니다.</t>
  </si>
  <si>
    <t>메가진화 형태에서 이어받았습니다. 인간형 외형을 지녔고, 격투 타입 기술을 자연스럽게 많이 배웁니다.</t>
  </si>
  <si>
    <t>- #363 대굴레오</t>
  </si>
  <si>
    <t xml:space="preserve">레벨 24에 #364 씨레오로 진화 </t>
  </si>
  <si>
    <t>여기서 "사용"은 불꽃의돌 같은 진화의돌처럼 해당 도구를 직접 사용할 수 있다는 뜻입니다.</t>
  </si>
  <si>
    <t>- #364 씨레오</t>
  </si>
  <si>
    <t xml:space="preserve">레벨 40에 #365 씨카이저로 진화 </t>
  </si>
  <si>
    <t>- 페어리 타입이 게임에 추가되어, 기존의 ??? 타입을 대체합니다.</t>
  </si>
  <si>
    <t>- 모든 기술의 수치(위력, 명중률, PP, 효과 발생률, 우선도)는 울트라썬/울트라문 기준에 맞춰 업데이트되었습니다.</t>
  </si>
  <si>
    <t>위력: 85 &gt;&gt; 90</t>
  </si>
  <si>
    <t>위력: 90 &gt;&gt; 100</t>
  </si>
  <si>
    <t>위력: 60 &gt;&gt; 80</t>
  </si>
  <si>
    <t>- #431 나옹마</t>
  </si>
  <si>
    <t xml:space="preserve">레벨 32에 #432 몬냥이로 진화 </t>
  </si>
  <si>
    <t>노말 / 비행</t>
  </si>
  <si>
    <t>사이코키네시스 / 비행</t>
  </si>
  <si>
    <t>고스트 / 페어리</t>
  </si>
  <si>
    <t>명중률: 90 &gt;&gt; 100</t>
  </si>
  <si>
    <t>명중률: 95% &gt;&gt; 100%</t>
  </si>
  <si>
    <t>- #434 스컹뿡</t>
  </si>
  <si>
    <t xml:space="preserve">레벨 32에 #435 스컹탱크로 진화 </t>
  </si>
  <si>
    <t>- 6세대 이후 페어리 타입인 모든 포켓몬은 레니게이드 플래티넘에서도 페어리 타입입니다. 이는 컴플리트 버전과 클래식 버전 모두에 적용됩니다.</t>
  </si>
  <si>
    <t>공식적으로 에스퍼 타입 기술을 사용하며, 에스퍼 타입이어야 한다고 자주 여겨집니다.</t>
  </si>
  <si>
    <t>곤충을 모티브로 했고, 벌레 알 그룹에 속하며, 벌레 같은 특징이 있고, 벌레 타입 기술을 배웁니다. 독특한 타입 조합입니다.</t>
  </si>
  <si>
    <t>동화 속 마녀와 마법사에서 영감을 받은 디자인이며, 독특한 타입 조합을 통해 고유한 역할을 부여합니다.</t>
  </si>
  <si>
    <t>- 저주는 울트라썬/울트라문처럼 고스트 타입 기술이 되었습니다.</t>
  </si>
  <si>
    <t>- #061 슈륙챙이</t>
  </si>
  <si>
    <t>왕의징표석 사용 시 #186 왕구리로 진화</t>
  </si>
  <si>
    <t>- #451 스콜피</t>
  </si>
  <si>
    <t xml:space="preserve">레벨 30에 #452 드래피온로 진화 </t>
  </si>
  <si>
    <t>- 애교부리기, 달의불빛, 천사의키스는 울트라썬/울트라문처럼 페어리 타입이 되었습니다.</t>
  </si>
  <si>
    <t>폭풍</t>
  </si>
  <si>
    <t>- #079 야돈</t>
  </si>
  <si>
    <t>왕의징표석 사용 시 #199 야도킹로 진화</t>
  </si>
  <si>
    <t>- #453 삐딱구리</t>
  </si>
  <si>
    <t xml:space="preserve">레벨 33에 #454 독개굴로 진화 </t>
  </si>
  <si>
    <t>효과: 염동력(30%) → 효과 없음(엔진 한계)</t>
  </si>
  <si>
    <t>- #095 롱스톤</t>
  </si>
  <si>
    <t>금속코트 사용 시 #208 강철톤로 진화</t>
  </si>
  <si>
    <t>- 로토무의 다섯 가지 폼체인지는 5세대 이후 게임처럼 각 폼의 보조 타입을 갖습니다. 즉, 일반 플래티넘처럼 고스트 타입이 아닙니다.</t>
  </si>
  <si>
    <t>전기 / 드래곤</t>
  </si>
  <si>
    <t>페어리 / 비행</t>
  </si>
  <si>
    <t xml:space="preserve">전기 / 격투  </t>
  </si>
  <si>
    <t>- #112 코뿌리</t>
  </si>
  <si>
    <t>프로텍터 사용 시 #464 거대코뿌리로 진화</t>
  </si>
  <si>
    <t>진화 방법 변경점</t>
  </si>
  <si>
    <t>메가진화 형태에서 이어받았습니다. 일본 이름은 "전기 드래곤"을 뜻하며, 초기 금/은 개발 단계에서는 드래곤 타입이었습니다.</t>
  </si>
  <si>
    <t>파비코리의 메가진화 형태에서 이어받았습니다. 복슬복슬한 구름 같은 외형이 페어리 타입과 잘 어울립니다.</t>
  </si>
  <si>
    <t>능력치가 물리 공격에 치우쳐 있고, 격투 기술을 자연스럽게 많이 배우며, 포켓몬도감에서도 주먹을 사용한다고 설명됩니다.</t>
  </si>
  <si>
    <t>기술 교체</t>
  </si>
  <si>
    <t>- #117 시드라</t>
  </si>
  <si>
    <t>용의비늘 사용 시 #230 킹드라로 진화</t>
  </si>
  <si>
    <t>괴력:</t>
  </si>
  <si>
    <t>- #123 스라크</t>
  </si>
  <si>
    <t>금속코트 사용 시 #212 핫삼로 진화</t>
  </si>
  <si>
    <t>- #064 윤겔라</t>
  </si>
  <si>
    <t>레벨 36에 #065 후딘로 진화</t>
  </si>
  <si>
    <t>- 다른 타입 변경점은 해킹롬의 컴플리트 버전에만 적용됩니다. 이 변경점이 마음에 들지 않으면 클래식 버전 패치를 사용하세요.</t>
  </si>
  <si>
    <t>다음 기술들은 이후 세대의 기술로 교체되었습니다.</t>
  </si>
  <si>
    <t>위력: 65 &gt;&gt; 90</t>
  </si>
  <si>
    <t>위력: 60 &gt;&gt; 90</t>
  </si>
  <si>
    <t>위력: 80 &gt;&gt; 100</t>
  </si>
  <si>
    <t>- #125 에레브</t>
  </si>
  <si>
    <t>에레키부스터 사용 시 #466 에레키블로 진화</t>
  </si>
  <si>
    <t>- #067 근육몬</t>
  </si>
  <si>
    <t>레벨 36에 #068 괴력몬로 진화</t>
  </si>
  <si>
    <t>드래곤 / 비행</t>
  </si>
  <si>
    <t>드래곤 / 페어리</t>
  </si>
  <si>
    <t xml:space="preserve">사이코키네시스 / 페어리  </t>
  </si>
  <si>
    <t>효과: 없음 → 공격 상승 가능(10%)</t>
  </si>
  <si>
    <t>- #126 마그마</t>
  </si>
  <si>
    <t>마그마부스터 사용 시 #467 마그마번로 진화</t>
  </si>
  <si>
    <t>- #075 데구리</t>
  </si>
  <si>
    <t>레벨 36에 #076 딱구리로 진화</t>
  </si>
  <si>
    <t>신화 속 생물에서 디자인 영감을 받았으며, 장난스러운 성격과 마녀 같은 진화형 외형을 가집니다.</t>
  </si>
  <si>
    <t>메가진화 형태에서 이어받았습니다. 복슬복슬한 구름 같은 외형이 페어리 타입과 잘 어울리며, 커뮤니티에서 자주 요청되었습니다.</t>
  </si>
  <si>
    <t>픽시라는 신화적 생물에서 영감을 받은 것으로 보입니다.</t>
  </si>
  <si>
    <t>"기존 기술" 열에 있는 기술은 이제 사용할 수 없습니다.</t>
  </si>
  <si>
    <t>- #137 폴리곤</t>
  </si>
  <si>
    <t>업그레이드 사용 시 #233 폴리곤2로 진화</t>
  </si>
  <si>
    <t>- #093 고우스트</t>
  </si>
  <si>
    <t>레벨 36에 #094 팬텀로 진화</t>
  </si>
  <si>
    <t>위력: 50 &gt;&gt; 65</t>
  </si>
  <si>
    <t>- #233 폴리곤2</t>
  </si>
  <si>
    <t>괴상한패치 사용 시 #474 폴리곤Z로 진화</t>
  </si>
  <si>
    <t>- #133 이브이</t>
  </si>
  <si>
    <t>태양의돌을 사용하면 #196 에브이로 진화</t>
  </si>
  <si>
    <t>포켓몬 타입 변경점 (컴플리트 버전 한정)</t>
  </si>
  <si>
    <t>기존 기술</t>
  </si>
  <si>
    <t>신규 기술</t>
  </si>
  <si>
    <t>위력: 70 &gt;&gt; 90</t>
  </si>
  <si>
    <t>명중률: 100 &gt; 95</t>
  </si>
  <si>
    <t>와일드볼트</t>
  </si>
  <si>
    <t>- #349 빈티나</t>
  </si>
  <si>
    <t>고운비늘 사용 시 #350 밀로틱로 진화</t>
  </si>
  <si>
    <t>달의돌을 사용하면 #197 블래키로 진화</t>
  </si>
  <si>
    <t>풀 / 드래곤</t>
  </si>
  <si>
    <t>독 / 악</t>
  </si>
  <si>
    <t>스프라이트라는 신화적 생물에서 영감을 받은 것으로 보입니다.</t>
  </si>
  <si>
    <t xml:space="preserve">구슬던지기                 </t>
  </si>
  <si>
    <t>드레인키스</t>
  </si>
  <si>
    <t>- #356 미라몽</t>
  </si>
  <si>
    <t>영계의천 사용 시 #477 야느와르몽로 진화</t>
  </si>
  <si>
    <t>리프의돌을 사용하면 #470 리피아로 진화</t>
  </si>
  <si>
    <t>메가진화 형태에서 이어받았습니다. 커뮤니티에서 자주 요청되었습니다.</t>
  </si>
  <si>
    <t>사악하고 위협적인 외형이 악 타입과 잘 어울리며, 고유한 역할을 부여합니다. 커뮤니티에서 자주 요청되었습니다.</t>
  </si>
  <si>
    <t xml:space="preserve">소금물                   </t>
  </si>
  <si>
    <t>열탕</t>
  </si>
  <si>
    <t>- #366 진주몽</t>
  </si>
  <si>
    <t>심해의이빨 사용 시 #367 헌테일로 진화</t>
  </si>
  <si>
    <t>얼음의돌을 사용하면 #471 글레이시아로 진화</t>
  </si>
  <si>
    <t xml:space="preserve">휘감기               </t>
  </si>
  <si>
    <t>고드름떨구기</t>
  </si>
  <si>
    <t>위력: 50 &gt;&gt; 90</t>
  </si>
  <si>
    <t>심해의비늘 사용 시 #368 분홍장이로 진화</t>
  </si>
  <si>
    <t>고운비늘을 사용하면 #350 밀로틱으로 진화</t>
  </si>
  <si>
    <t>불꽃 / 비행</t>
  </si>
  <si>
    <t>불꽃 / 드래곤</t>
  </si>
  <si>
    <t>벌레 / 비행</t>
  </si>
  <si>
    <t xml:space="preserve">벌레 / 물 </t>
  </si>
  <si>
    <t>픽시(또는 노움일 가능성도 있음)라는 신화적 생물에서 영감을 받은 것으로 보입니다.</t>
  </si>
  <si>
    <t xml:space="preserve">뿔드릴 </t>
  </si>
  <si>
    <t>드릴라이너</t>
  </si>
  <si>
    <t>위력: 50 &gt;&gt; 60</t>
  </si>
  <si>
    <t>- #406 꼬몽울</t>
  </si>
  <si>
    <t>언제든 친밀도가 높으면 #315 로젤리아로 진화</t>
  </si>
  <si>
    <t>메가진화 형태에서 이어받았습니다. 드래곤 같은 외형입니다.</t>
  </si>
  <si>
    <t>진화 전 형태가 물 타입이고, 벌레/물 조합은 꽤 독특한 타입 조합입니다. 여전히 비구술과 매우 비슷하게 보입니다.</t>
  </si>
  <si>
    <t>물 / 페어리</t>
  </si>
  <si>
    <t xml:space="preserve">초승달춤  </t>
  </si>
  <si>
    <t>문포스</t>
  </si>
  <si>
    <t>레벨 요구 조건 변경점</t>
  </si>
  <si>
    <t>- #433 랑딸랑</t>
  </si>
  <si>
    <t>언제든 친밀도가 높으면 #358 치렁으로 진화</t>
  </si>
  <si>
    <t>우아한 미적 요소와 신화 속 인어 모티브가 페어리 타입과 잘 어울리며, 커뮤니티 투표를 많이 받았습니다.</t>
  </si>
  <si>
    <t>라스트버지</t>
  </si>
  <si>
    <t>매지컬샤인</t>
  </si>
  <si>
    <t>PP: 30 &gt;&gt; 25</t>
  </si>
  <si>
    <t>- #447 리오르</t>
  </si>
  <si>
    <t>언제든 친밀도가 높으면 #448 루카리오로 진화</t>
  </si>
  <si>
    <t>불꽃 / 페어리</t>
  </si>
  <si>
    <t>미스트볼</t>
  </si>
  <si>
    <t>차밍보이스</t>
  </si>
  <si>
    <t>타입: 노말 &gt;&gt; 풀</t>
  </si>
  <si>
    <t>위력: 90 &gt;&gt; 80</t>
  </si>
  <si>
    <t>- #077 포니타</t>
  </si>
  <si>
    <t xml:space="preserve">레벨 35에 #078 날쌩마로 진화 </t>
  </si>
  <si>
    <t>알로라폼에서 이어받았습니다. 전반적으로 꽤 신비로운 외형입니다.</t>
  </si>
  <si>
    <t>벌레 / 전기</t>
  </si>
  <si>
    <t>모래지옥</t>
  </si>
  <si>
    <t>땅고르기</t>
  </si>
  <si>
    <t>효과: 없음 → 급소에 맞기 쉬움</t>
  </si>
  <si>
    <t>명중률: 85% &gt;&gt; 95%</t>
  </si>
  <si>
    <t xml:space="preserve">레벨 33에 #080 야도란로 진화 </t>
  </si>
  <si>
    <t>전기 공격을 많이 배우고, 발광 능력을 지녔으며, 디자인도 전기 타입에 잘 어울립니다.</t>
  </si>
  <si>
    <t>얼음 / 바위</t>
  </si>
  <si>
    <t xml:space="preserve">지옥의바퀴 </t>
  </si>
  <si>
    <t>치근거리기</t>
  </si>
  <si>
    <t>PP: 20 &gt;&gt; 10</t>
  </si>
  <si>
    <t>- #088 질퍽이</t>
  </si>
  <si>
    <t xml:space="preserve">레벨 35에 #089 질뻐기로 진화 </t>
  </si>
  <si>
    <t>포켓몬도감 설명에 따르면 얼음귀신은 얼음 위에 바위로 된 몸을 가지고 있습니다. 독특한 타입 조합입니다.</t>
  </si>
  <si>
    <t>타입: 노말 &gt;&gt; 바위</t>
  </si>
  <si>
    <t>- #111 뿔카노</t>
  </si>
  <si>
    <t xml:space="preserve">레벨 36에 #112 코뿌리로 진화 </t>
  </si>
  <si>
    <t>물 / 사이코키네시스</t>
  </si>
  <si>
    <t xml:space="preserve">볼트태클 </t>
  </si>
  <si>
    <t>- #138 암나이트</t>
  </si>
  <si>
    <t xml:space="preserve">레벨 30에 #139 암스타로 진화 </t>
  </si>
  <si>
    <t>공식적으로 에스퍼 타입 기술을 사용하며, 에스퍼 타입으로 자주 오해됩니다.</t>
  </si>
  <si>
    <t>벌레 / 페어리</t>
  </si>
  <si>
    <t>위력: 40 &gt;&gt; 50</t>
  </si>
  <si>
    <t>- #140 투구</t>
  </si>
  <si>
    <t xml:space="preserve">레벨 30에 #141 투구푸스로 진화 </t>
  </si>
  <si>
    <t>반딧불의 빛은 다른 게임에서 페어리 타입을 표현하는 방식과 비슷해 보이며, 볼비트의 대응 포켓몬입니다.</t>
  </si>
  <si>
    <t>기술 수정 사항</t>
  </si>
  <si>
    <t>위력: 40 &gt;&gt; 60</t>
  </si>
  <si>
    <t>- #218 마그마그</t>
  </si>
  <si>
    <t xml:space="preserve">레벨 32에 #219 마그카르고로 진화 </t>
  </si>
  <si>
    <t>하트와 사랑을 연상시키는 외형이 페어리 타입과 잘 어울리며, 조금 더 눈에 띄게 만들어 줍니다.</t>
  </si>
  <si>
    <t>- #304 가보리</t>
  </si>
  <si>
    <t xml:space="preserve">레벨 24에 #305 갱도라로 진화 </t>
  </si>
  <si>
    <t>격투 / 비행</t>
  </si>
  <si>
    <t>일부 기술은 수치가 변경되었습니다.</t>
  </si>
  <si>
    <t>위력: 50 &gt;&gt; 75</t>
  </si>
  <si>
    <t>- #305 갱도라</t>
  </si>
  <si>
    <t xml:space="preserve">레벨 40에 #306 보스로라로 진화 </t>
  </si>
  <si>
    <t>대파를 무기로 사용해 공격할 수 있어, 일반/비행 포켓몬과 차별화되는 역할을 부여합니다.</t>
  </si>
  <si>
    <t>벌레 / 땅</t>
  </si>
  <si>
    <t>또한 4세대 엔진에서 구현할 수 없어 효과가 삭제된 기술도 일부 있습니다.</t>
  </si>
  <si>
    <t>회복량: 75% → 50% (엔진 한계)</t>
  </si>
  <si>
    <t>효과: 화상(30%) + 자신의 얼음 상태 해제 + 상대의 얼음 상태 해제 → 화상(30%) + 자신의 얼음 상태 해제(엔진 한계)</t>
  </si>
  <si>
    <t>- #307 요가랑</t>
  </si>
  <si>
    <t xml:space="preserve">레벨 33에 #308 요가램로 진화 </t>
  </si>
  <si>
    <t>곤충을 모티브로 했고 벌레 알 그룹에 속하며, 진화형도 매우 벌레 타입처럼 보입니다.</t>
  </si>
  <si>
    <t>전기 / 악</t>
  </si>
  <si>
    <t>- #320 고래왕자</t>
  </si>
  <si>
    <t xml:space="preserve">레벨 36에 #321 고래왕로 진화 </t>
  </si>
  <si>
    <t>위협적인 외형과 전반적인 악 타입 색감이 악 타입과 잘 어울리며, 독특한 타입 조합을 제공합니다.</t>
  </si>
  <si>
    <t>- #328 톱치</t>
  </si>
  <si>
    <t xml:space="preserve">레벨 30에 #329 비브라바로 진화 </t>
  </si>
  <si>
    <t>풀 / 페어리</t>
  </si>
  <si>
    <t>- #343 오뚝군</t>
  </si>
  <si>
    <t xml:space="preserve">레벨 32에 #344 점토도리로 진화 </t>
  </si>
  <si>
    <t>꽃을 강하게 연상시키는 외형이며, 커뮤니티 투표를 많이 받았습니다.</t>
  </si>
  <si>
    <t>- #345 릴링</t>
  </si>
  <si>
    <t xml:space="preserve">레벨 30에 #346 릴리요로 진화 </t>
  </si>
  <si>
    <t>도구   변경점</t>
  </si>
  <si>
    <t>도구 위치</t>
  </si>
  <si>
    <t xml:space="preserve">도구                    </t>
  </si>
  <si>
    <t>위치</t>
  </si>
  <si>
    <t>기술머신 위치</t>
  </si>
  <si>
    <t>기술머신</t>
  </si>
  <si>
    <t>위력</t>
  </si>
  <si>
    <t>명중</t>
  </si>
  <si>
    <t>PP</t>
  </si>
  <si>
    <t>획득 방법</t>
  </si>
  <si>
    <t>*</t>
  </si>
  <si>
    <t>중요한 물건</t>
  </si>
  <si>
    <t>도구</t>
  </si>
  <si>
    <t>그랜드 레이크 호텔 (213번도로), 선단시티 (구매 가능)</t>
  </si>
  <si>
    <t>로스트타워, 예지호수근처, 229번도로, 선단시티 (구매 가능)</t>
  </si>
  <si>
    <t>꽃향기 꽃밭, 장막시티 게임코너 경품 (구매 가능)</t>
  </si>
  <si>
    <t>* 표시는 원래 플래티넘과 비교해 위치가 변경되었음을 의미합니다.</t>
  </si>
  <si>
    <t>필드 아이템</t>
  </si>
  <si>
    <t>라이벌에게 선물</t>
  </si>
  <si>
    <t>변경된 도구</t>
  </si>
  <si>
    <t>험한샛길, 장막시티 게임코너 경품</t>
  </si>
  <si>
    <t>무청에게 선물</t>
  </si>
  <si>
    <t>** 표시는 레니게이드 플래티넘에 새로 추가된 중요한 도구를 의미합니다.</t>
  </si>
  <si>
    <t>빛나/광휘에게 선물</t>
  </si>
  <si>
    <t>천관산</t>
  </si>
  <si>
    <t>무쇠탄갱, 211번도로 (동쪽), 골풀무제철소, 신수유적 (숨겨진 도구), 하드마운틴 (숨겨진 도구), 장막백화점 (구매 가능)</t>
  </si>
  <si>
    <t>장막시티 게임코너 경품</t>
  </si>
  <si>
    <t xml:space="preserve">대습초원  </t>
  </si>
  <si>
    <t>영원시티 갤럭시단 빌딩</t>
  </si>
  <si>
    <t>NPC에게서 선물</t>
  </si>
  <si>
    <t>다음 도구들은 이제 진화의돌처럼 "사용" 옵션이 있습니다.</t>
  </si>
  <si>
    <t>산책광장</t>
  </si>
  <si>
    <t>216번도로, 장막시티 게임코너 경품 (구매 가능)</t>
  </si>
  <si>
    <t>갤럭시단 영원 빌딩, 장막시티 게임코너 경품(구매 가능), 봉신마을</t>
  </si>
  <si>
    <t>??</t>
  </si>
  <si>
    <t>207번도로, 강철섬, 장막시티 게임코너 경품 (구매 가능), 물가시티</t>
  </si>
  <si>
    <t xml:space="preserve">기술머신75 칼춤  </t>
  </si>
  <si>
    <t>장막시티 게임코너 경품 (구매 가능)</t>
  </si>
  <si>
    <t>212번도로</t>
  </si>
  <si>
    <t>무쇠체육관</t>
  </si>
  <si>
    <t>선물 에서 강석</t>
  </si>
  <si>
    <t>연고시티 - 외국인 건물</t>
  </si>
  <si>
    <t>대체된 도구</t>
  </si>
  <si>
    <t>축복시티, 파이트에리어</t>
  </si>
  <si>
    <t xml:space="preserve">NPC에게 선물 </t>
  </si>
  <si>
    <t>211번도로</t>
  </si>
  <si>
    <t>선물 에서 핸섬</t>
  </si>
  <si>
    <t>215번도로, 봉신마을</t>
  </si>
  <si>
    <t>221번도로, 장막시티 게임코너 경품 (구매 가능)</t>
  </si>
  <si>
    <t>산책광장, 장막시티 게임코너 경품 (구매 가능)</t>
  </si>
  <si>
    <t>204번도로</t>
  </si>
  <si>
    <t>204번도로 북쪽</t>
  </si>
  <si>
    <t>다음 도구들(일부는 획득 불가)은 다른 게임의 도구로 교체되었습니다.</t>
  </si>
  <si>
    <t>204번도로(북쪽), 꽃향기 꽃밭, 이상해씨·치코리타·나무지기 선물 포켓몬에게 부착</t>
  </si>
  <si>
    <t>영원시티에서 페라페와 교환, 입지호수근처</t>
  </si>
  <si>
    <t>* *</t>
  </si>
  <si>
    <t>"기존 도구" 열에 있는 도구는 이제 사용할 수 없습니다.</t>
  </si>
  <si>
    <t>대습초원, 228번도로</t>
  </si>
  <si>
    <t>플레이트 위치</t>
  </si>
  <si>
    <t xml:space="preserve">기술머신06 맹독   </t>
  </si>
  <si>
    <t>무쇠탄갱, 천관산 (211번도로 입구), 영원시티 (숨겨진 도구), 천관산 (숨겨진 도구), 장막백화점 (구매 가능)</t>
  </si>
  <si>
    <t xml:space="preserve">기술머신07 싸라기눈      </t>
  </si>
  <si>
    <t xml:space="preserve">연고시티  </t>
  </si>
  <si>
    <t>선물 에서 충호</t>
  </si>
  <si>
    <t>기존 도구</t>
  </si>
  <si>
    <t>신규 도구</t>
  </si>
  <si>
    <t>연고시티, 강철섬, 210번도로 (북쪽) (숨겨진 도구), 장막백화점 (구매 가능)</t>
  </si>
  <si>
    <t>아르세우스의 16종 플레이트(정령플레이트는 추가되지 않음)는 모두 기존 위치에서 제거되었습니다.</t>
  </si>
  <si>
    <t>영원의 숲 외부</t>
  </si>
  <si>
    <t xml:space="preserve">갤럭시단 본부 </t>
  </si>
  <si>
    <t>다음 도구들은 가격이 조정되었습니다.</t>
  </si>
  <si>
    <t>227번도로, 파이리·브케인·아차모 선물 포켓몬에게 부착</t>
  </si>
  <si>
    <t xml:space="preserve">영원시티     </t>
  </si>
  <si>
    <t>기술머신83 하이퍼보이스</t>
  </si>
  <si>
    <t>무쇠탄갱, 장막시티 게임코너 경품 (구매 가능)</t>
  </si>
  <si>
    <t>이 도구들은 지하통로에서 얻거나 해당 타입의 마스터 트레이너를 이기면 얻을 수 있습니다.</t>
  </si>
  <si>
    <t>축복시티 (트레이너 School)</t>
  </si>
  <si>
    <t xml:space="preserve">209번도로  </t>
  </si>
  <si>
    <t>- 몬스터볼     ($200 &gt;&gt; $50)</t>
  </si>
  <si>
    <t>무쇠탄갱, 216번도로, 217번도로 (얼음 바위), 선단신전, 장막백화점 (구매 가능)</t>
  </si>
  <si>
    <t xml:space="preserve">기술머신11 쾌청  </t>
  </si>
  <si>
    <t xml:space="preserve">기술머신48 스킬스웹   </t>
  </si>
  <si>
    <t xml:space="preserve">운하시티 </t>
  </si>
  <si>
    <t>기술머신85 매지컬샤인</t>
  </si>
  <si>
    <t xml:space="preserve">미혹의 동굴  </t>
  </si>
  <si>
    <t>선물 에서 미루</t>
  </si>
  <si>
    <t>선물 에서 이벤트</t>
  </si>
  <si>
    <t>- 수퍼볼    ($600 &gt;&gt; $150)</t>
  </si>
  <si>
    <t>들판시티, 꼬부기·리아코·물짱이 선물 포켓몬에게 부착</t>
  </si>
  <si>
    <t>210번도로</t>
  </si>
  <si>
    <t>마스터 트레이너는 챔피언이 된 뒤 연고시티 외국인 건물의 할머니에게 말을 걸면 등장합니다.</t>
  </si>
  <si>
    <t xml:space="preserve">기술머신12 도발  </t>
  </si>
  <si>
    <t xml:space="preserve">기술머신49 가로챔  </t>
  </si>
  <si>
    <t xml:space="preserve">Galactic Warehouse  </t>
  </si>
  <si>
    <t>Eterna Gym</t>
  </si>
  <si>
    <t>선물 에서 유채</t>
  </si>
  <si>
    <t>- 하이퍼볼    ($1200 &gt;&gt; $300)</t>
  </si>
  <si>
    <t>봉신마을 (에서 NPC at 아침)</t>
  </si>
  <si>
    <t xml:space="preserve">물가시티   </t>
  </si>
  <si>
    <t>선물 에서 대엽</t>
  </si>
  <si>
    <t>로스트타워</t>
  </si>
  <si>
    <t>선단신전, 무쇠시티에서 대굴레오와 교환</t>
  </si>
  <si>
    <t xml:space="preserve">기술머신14 눈보라  </t>
  </si>
  <si>
    <t xml:space="preserve">만월섬 </t>
  </si>
  <si>
    <t>다음 도구들은 가격이 0원이 되어 판매할 수 없습니다.</t>
  </si>
  <si>
    <t>미혹의 동굴, 봉신마을 (숨겨진 도구), 장막시티 게임코너 경품 (구매 가능)</t>
  </si>
  <si>
    <t>203번도로, 포켓몬저택</t>
  </si>
  <si>
    <t>마스터 트레이너 위치</t>
  </si>
  <si>
    <t>선물 에서 자두</t>
  </si>
  <si>
    <t xml:space="preserve">기술머신89 유턴   </t>
  </si>
  <si>
    <t>영원시티(자전거 가게 주인에게서 선물), 천관산, 212번도로(남쪽)(숨겨진 도구), 225번도로, 장막백화점(구매 가능)</t>
  </si>
  <si>
    <t>무쇠시티, 로스트타워, 장막백화점 (구매 가능)</t>
  </si>
  <si>
    <t>Eterna Galactic Building</t>
  </si>
  <si>
    <t xml:space="preserve">기술머신53 에너지볼        </t>
  </si>
  <si>
    <t xml:space="preserve">기술머신90 대타출동  </t>
  </si>
  <si>
    <t xml:space="preserve">숲의 양옥집   </t>
  </si>
  <si>
    <t xml:space="preserve">서바이벌에리어 - Battleground  </t>
  </si>
  <si>
    <t>- All TMs</t>
  </si>
  <si>
    <t>숲의 양옥집, 217번도로</t>
  </si>
  <si>
    <t>봉신마을 - Ruins</t>
  </si>
  <si>
    <t>Canalave Gym</t>
  </si>
  <si>
    <t>선물 에서 동관</t>
  </si>
  <si>
    <t xml:space="preserve">영원시티 </t>
  </si>
  <si>
    <t>선물 에서 오박사</t>
  </si>
  <si>
    <t>송별의 샘 - 입구</t>
  </si>
  <si>
    <t xml:space="preserve">기술머신55 열탕   </t>
  </si>
  <si>
    <t xml:space="preserve">210번도로 </t>
  </si>
  <si>
    <t>선물 에서 난천</t>
  </si>
  <si>
    <t>MODIFIED TMs</t>
  </si>
  <si>
    <t>꽃향기마을, 장막시티 게임코너 경품 (구매 가능)</t>
  </si>
  <si>
    <t>무쇠탄갱, 영원의 숲(이끼 바위), 꽃향기 꽃밭, 대습초원(숨겨진 도구), 225번도로(숨겨진 도구), 장막백화점(구매 가능)</t>
  </si>
  <si>
    <t>206번도로, 꽃향기마을에서 스콜피와 교환</t>
  </si>
  <si>
    <t>장막백화점</t>
  </si>
  <si>
    <t>무쇠게이트 - 1F</t>
  </si>
  <si>
    <t xml:space="preserve">209번도로 </t>
  </si>
  <si>
    <t xml:space="preserve">기술머신56 내던지기   </t>
  </si>
  <si>
    <t>* 도구 스프라이트 제공: Serebii.net에 감사드립니다.</t>
  </si>
  <si>
    <t>다음 기술머신은 기술이 변경되었습니다. 호환성은 포켓몬 변경점에 적힌 추가 요소를 포함해 울트라썬/울트라문 기준과 일치합니다.</t>
  </si>
  <si>
    <t>무쇠탄갱, 영원시티, 입지호수근처 (숨겨진 도구), 천관산 (숨겨진 도구), 장막백화점 (구매 가능)</t>
  </si>
  <si>
    <t>장막시티 - 마사지사의 집</t>
  </si>
  <si>
    <t>기술머신57 와일드볼트</t>
  </si>
  <si>
    <t>Sunyshore Gym</t>
  </si>
  <si>
    <t>선물 에서 전진</t>
  </si>
  <si>
    <t xml:space="preserve">비전머신01 풀베기  </t>
  </si>
  <si>
    <t xml:space="preserve">포켓몬 센터 Basement </t>
  </si>
  <si>
    <t>** 뮤츠 이벤트에 사용되는 완전히 새로운 도구입니다.</t>
  </si>
  <si>
    <t>226번수로 - 서바이벌에리어 side</t>
  </si>
  <si>
    <t>Galactic Warehouse</t>
  </si>
  <si>
    <t>챔피언로드, 장막시티 게임코너 경품 (구매 가능)</t>
  </si>
  <si>
    <t>선단시티 - 체육관 오른쪽</t>
  </si>
  <si>
    <t>Maniac Tunnel</t>
  </si>
  <si>
    <t>- 기술머신55: 소금물 &gt;&gt; 열탕</t>
  </si>
  <si>
    <t>205번도로, 224번도로</t>
  </si>
  <si>
    <t>210번도로 (남쪽), 하드마운틴, 장막시티 게임코너 경품 (구매 가능)</t>
  </si>
  <si>
    <t>무쇠탄갱, 206번도로, 신수유적 (숨겨진 도구), 물가시티, 229번도로 (숨겨진 도구), 장막백화점 (구매 가능)</t>
  </si>
  <si>
    <t>202번도로 - 도로 남쪽</t>
  </si>
  <si>
    <t xml:space="preserve">기술머신23 아이언테일  </t>
  </si>
  <si>
    <t xml:space="preserve">기술머신60 드레인펀치  </t>
  </si>
  <si>
    <t>Veilstone Gym</t>
  </si>
  <si>
    <t xml:space="preserve">강철섬  </t>
  </si>
  <si>
    <t>선물 에서 현</t>
  </si>
  <si>
    <t xml:space="preserve">잔모래마을 </t>
  </si>
  <si>
    <t>선물 에서 마박사</t>
  </si>
  <si>
    <t>- 기술머신57: 차지빔 &gt;&gt; 와일드볼트</t>
  </si>
  <si>
    <t>강철섬 - 동굴 입구 바깥</t>
  </si>
  <si>
    <t>- 기술머신62: 은빛바람 &gt;&gt; 벌레의야단법석</t>
  </si>
  <si>
    <t>장막시티(포켓몬 센터 NPC), 챔피언로드, 선단시티(구매 가능)</t>
  </si>
  <si>
    <t>꽃향기 꽃밭 - 집 오른쪽</t>
  </si>
  <si>
    <t xml:space="preserve">기술머신25 번개  </t>
  </si>
  <si>
    <t xml:space="preserve">비전머신06 바위깨기  </t>
  </si>
  <si>
    <t xml:space="preserve">무쇠시티 </t>
  </si>
  <si>
    <t>- 기술머신83: 자연의은혜 &gt;&gt; 하이퍼보이스</t>
  </si>
  <si>
    <t>무쇠게이트, 장막시티 게임코너 경품 (구매 가능)</t>
  </si>
  <si>
    <t>갤럭시단 본부, 장막시티 게임코너 경품 (구매 가능)</t>
  </si>
  <si>
    <t>신수유적 - 입구</t>
  </si>
  <si>
    <t xml:space="preserve">기술머신26 지진  </t>
  </si>
  <si>
    <t>장막시티 백화점</t>
  </si>
  <si>
    <t>선물 에서 들국화</t>
  </si>
  <si>
    <t xml:space="preserve">비전머신07 폭포오르기  </t>
  </si>
  <si>
    <t>Pastoria Gym</t>
  </si>
  <si>
    <t>선물 에서 맥실러</t>
  </si>
  <si>
    <t xml:space="preserve">신수마을  </t>
  </si>
  <si>
    <t>- 기술머신85: 꿈먹기 &gt;&gt; 매지컬샤인</t>
  </si>
  <si>
    <t>장막시티, 선단시티 (구매 가능)</t>
  </si>
  <si>
    <t>천관산, 선단시티 (구매 가능)</t>
  </si>
  <si>
    <t>포켓몬리그 - 리그 입구 오른쪽</t>
  </si>
  <si>
    <t>선물 에서 모미</t>
  </si>
  <si>
    <t>Game Corner</t>
  </si>
  <si>
    <t xml:space="preserve">HM08 락클라임  </t>
  </si>
  <si>
    <t xml:space="preserve">무청에게 선물 </t>
  </si>
  <si>
    <t>갤럭시단 영원시티 빌딩</t>
  </si>
  <si>
    <t>- 기술머신88: 쪼아대기 &gt;&gt; 폭풍</t>
  </si>
  <si>
    <t>미혹의 동굴(숨겨진 도구), 미혹의 동굴, 갤럭시단 창고, 챔피언로드, 장막백화점(구매 가능)</t>
  </si>
  <si>
    <t>강철섬, 228번도로, 선단시티 (구매 가능)</t>
  </si>
  <si>
    <t>연고시티, 선단시티 (구매 가능)</t>
  </si>
  <si>
    <t>219번수로 - Sandgem side</t>
  </si>
  <si>
    <t xml:space="preserve">기술머신28 구멍파기  </t>
  </si>
  <si>
    <t xml:space="preserve">입지호수근처  </t>
  </si>
  <si>
    <t>또한 모든 기술머신은 획득 시 수량이 99개가 됩니다.</t>
  </si>
  <si>
    <t>무쇠탄갱, 205번도로, 신수유적 (숨겨진 도구), 213번도로, 230번수로 (숨겨진 도구), 장막백화점 (구매 가능)</t>
  </si>
  <si>
    <t>로스트타워 - 1F</t>
  </si>
  <si>
    <t xml:space="preserve">기술머신29 사이코키네시스            </t>
  </si>
  <si>
    <t xml:space="preserve">신수마을 </t>
  </si>
  <si>
    <t>선물 에서 오엽</t>
  </si>
  <si>
    <t xml:space="preserve">기술머신66 보복  </t>
  </si>
  <si>
    <t xml:space="preserve">영원시티  </t>
  </si>
  <si>
    <t>207번도로 - 진흙 경사 오른쪽 위</t>
  </si>
  <si>
    <t xml:space="preserve">연고시티 </t>
  </si>
  <si>
    <t>선물 에서 멜리사</t>
  </si>
  <si>
    <t>- 프렌들리숍에서는 기술머신을 판매하지 않습니다.</t>
  </si>
  <si>
    <t>대습초원 - Upstairs observatory</t>
  </si>
  <si>
    <t xml:space="preserve">213번도로   </t>
  </si>
  <si>
    <t>땅에 숨겨져 있음</t>
  </si>
  <si>
    <t>- 포켓몬리그의 NPC가 인벤토리를 초기화해 모든 기술머신을 99개씩 보유하도록 만들어 줍니다.</t>
  </si>
  <si>
    <t>215번도로, 장막시티 갤럭시단 본부, 224번도로, 챔피언로드, 선단시티(구매 가능)</t>
  </si>
  <si>
    <t>물가시티 - Lighthouse</t>
  </si>
  <si>
    <t>장막백화점 (구매 가능)</t>
  </si>
  <si>
    <t>(자세한 정보는 여기)</t>
  </si>
  <si>
    <t xml:space="preserve">기술머신70 플래시  </t>
  </si>
  <si>
    <t xml:space="preserve">팔파크 </t>
  </si>
  <si>
    <t>선물 에서 코크란</t>
  </si>
  <si>
    <t>선물   또는   특수   이벤트</t>
  </si>
  <si>
    <t xml:space="preserve">#131 라프라스
</t>
  </si>
  <si>
    <t>성도 스타팅 포켓몬 (#152, #155, #158)</t>
  </si>
  <si>
    <t>특수 조우</t>
  </si>
  <si>
    <t>전설의 포켓몬 조우</t>
  </si>
  <si>
    <t>위치: 들판시티</t>
  </si>
  <si>
    <t>위치: 꽃향기마을</t>
  </si>
  <si>
    <t>- 엔딩 크레딧 이후, 무쇠게이트 최하층에 포털이 나타납니다.</t>
  </si>
  <si>
    <t>- 깨어진세계 이벤트 이후 마박사에게 말을 겁니다.</t>
  </si>
  <si>
    <t>- 엔딩 크레딧 이후, 220번수로에 포털이 나타납니다.</t>
  </si>
  <si>
    <t>- 입지호수근처에서 난천을 만난 뒤 접근할 수 있습니다.</t>
  </si>
  <si>
    <t>- 깨어진세계 이벤트를 완료합니다.</t>
  </si>
  <si>
    <t>- 가방에 화산의돌이 있는 상태로 무쇠시티의 성호에게 "Quests" 옵션으로 말을 걸면 마음의물방울을 받을 수 있습니다.</t>
  </si>
  <si>
    <t>- 엔딩 크레딧 이후, 천관산 지하에 포털이 나타납니다.</t>
  </si>
  <si>
    <t>- 매지컬샤인 기술머신을 가진 상태로 영원시티 포켓몬 센터의 여자아이에게 말을 겁니다.</t>
  </si>
  <si>
    <t>- 엔딩 크레딧 이후, 봉신마을의 장로에게 말을 겁니다.</t>
  </si>
  <si>
    <t>- 하드마운틴 이벤트를 완료한 뒤 서바이벌에리어로 갑니다.</t>
  </si>
  <si>
    <t>- 엔딩 크레딧 이후, 운하시티로 가서 항구 옆 집에 들어갑니다.</t>
  </si>
  <si>
    <t>- 엔딩 크레딧 이후, 연고시티 외국인 건물의 할머니에게 말을 걸면 타입 마스터 트레이너가 등장합니다.</t>
  </si>
  <si>
    <t>레벨: 35</t>
  </si>
  <si>
    <t>레벨: 15</t>
  </si>
  <si>
    <t>위치: 무쇠게이트</t>
  </si>
  <si>
    <t>위치: 208번도로</t>
  </si>
  <si>
    <t>- 208번도로로 갑니다. 락클라임을 사용할 수 있는 포켓몬을 데려가세요.</t>
  </si>
  <si>
    <t>위치: 220번수로</t>
  </si>
  <si>
    <t>- #144 프리져, #145 썬더, #146 파이어를 파티에 넣습니다.</t>
  </si>
  <si>
    <t>위치: 영원의 숲</t>
  </si>
  <si>
    <t>위치: 228번도로</t>
  </si>
  <si>
    <t>- #369 시라칸과 #321 고래왕을 파티에 넣은 상태로 228번도로에 들어갑니다.</t>
  </si>
  <si>
    <t>위치: 만월섬</t>
  </si>
  <si>
    <t>위치: 천관산 (B1F)</t>
  </si>
  <si>
    <t>위치: 신수유적</t>
  </si>
  <si>
    <t>위치: 예지호수의 공동</t>
  </si>
  <si>
    <t>- 예지호수로 갑니다. 파도타기와 락클라임을 사용할 수 있는 포켓몬을 데려가세요.</t>
  </si>
  <si>
    <t>위치: 창기둥</t>
  </si>
  <si>
    <t>위치: 하드마운틴 (가장 깊은 방)</t>
  </si>
  <si>
    <t>위치: 시작의 방</t>
  </si>
  <si>
    <t>일반 참고 사항</t>
  </si>
  <si>
    <t>- 집들 중 한 곳에 할머니가 있습니다. 이야기를 듣는 데 동의하세요.</t>
  </si>
  <si>
    <t>- 포켓몬 센터 왼쪽 위에 있는 인터뷰어에게 말을 겁니다.</t>
  </si>
  <si>
    <t>- 입장할 수 있게 되면, 승부장에 있는 간호사에게 말을 걸어 이상한 초대장을 받습니다.</t>
  </si>
  <si>
    <t>- 락클라임으로 갈 수 있는 도로 왼쪽의 발판 위에 포털이 있습니다.</t>
  </si>
  <si>
    <t>새 조련사 FALKNER [1029]</t>
  </si>
  <si>
    <t>곤충채집소년 BUGSY [1030]</t>
  </si>
  <si>
    <t>IDOL WHITNEY [1031]</t>
  </si>
  <si>
    <t>엘리트 트레이너 MORTY [1032]</t>
  </si>
  <si>
    <t>- 성호가 화산의돌을 받았고, #380 라티아스와 #381 라티오스를 본 상태여야 합니다.</t>
  </si>
  <si>
    <t>- #077 포니타, #078 날쌩마, #146 파이어, #156 마그케인 또는 #392 초염몽을 파티에 넣고, 신수마을 턱 아래쪽 집에 있는 할머니에게 말을 겁니다.</t>
  </si>
  <si>
    <t>- 파도타기, 폭포오르기, 락클라임을 사용할 수 있는 포켓몬을 데리고 천관산으로 갑니다.</t>
  </si>
  <si>
    <t>- 승부장에 들어가 맥의 할아버지에게 말을 겁니다.</t>
  </si>
  <si>
    <t>- 침대에 누워 있는 어린 남자아이에게 말을 겁니다.</t>
  </si>
  <si>
    <t>엘리트 트레이너 EDMUND [1044]</t>
  </si>
  <si>
    <t>아가씨 TESSA [1045]</t>
  </si>
  <si>
    <t>GUITARIST ELTON [1047]</t>
  </si>
  <si>
    <t>짧은치마 SAL [1046]</t>
  </si>
  <si>
    <t>엘리트 트레이너 AZEL [1049]</t>
  </si>
  <si>
    <t>검은띠 RANDY [1039]</t>
  </si>
  <si>
    <t>연구원 DONNIE [1040]</t>
  </si>
  <si>
    <t>등산가 DEXTER [1041]</t>
  </si>
  <si>
    <t>- 이야기가 끝나면 #131 라프라스를 줍니다.</t>
  </si>
  <si>
    <t>- 질문에 올바르게 답하고 배틀에서 승리합니다.</t>
  </si>
  <si>
    <t>위치 : 숲의 양옥집</t>
  </si>
  <si>
    <t>위치: 209번도로</t>
  </si>
  <si>
    <t>위치: 천관산 (정상)</t>
  </si>
  <si>
    <t>- 천관산의 눈 덮인 구역으로 갑니다. 락클라임을 사용할 수 있는 포켓몬을 데려가세요.</t>
  </si>
  <si>
    <t>- 영원시티의 오박사에게 "Quests"에 대해 물어 은빛날개를 받습니다.</t>
  </si>
  <si>
    <t>- 봉신마을의 사당을 조사해 GS볼을 얻습니다.</t>
  </si>
  <si>
    <t>- 진흙 경사 아래쪽 도로의 위쪽 부근에 있는 동굴 입구로 들어갑니다.</t>
  </si>
  <si>
    <t>- 만월섬에서 #488 크레세리아를 잡으면 공터에 바위가 나타납니다.</t>
  </si>
  <si>
    <t>- 중앙의 섬으로 가서 동굴에 들어갑니다.</t>
  </si>
  <si>
    <t>- 정상에서 갈 수 있는 방, 폭포오르기 위쪽 동굴에서 금강옥을 수집합니다.</t>
  </si>
  <si>
    <t>- 하드마운틴 가장 깊은 방으로 돌아가면 #485 히드런이 나타납니다.</t>
  </si>
  <si>
    <t>- 밖에 있는 선원에게 말을 걸어 만월섬으로 갑니다.</t>
  </si>
  <si>
    <t>- 16종 플레이트 도구를 모두 모아야 합니다. 정령플레이트는 추가되지 않았습니다.</t>
  </si>
  <si>
    <t>- 이곳에는 색이 다른 포켓몬 출현 잠금이 없습니다. 모든 포켓몬은 일반 확률로 색이 다를 수 있습니다. 잡을 때까지 반복 배틀 가능한 전설 포켓몬과의 배틀에서 도망치면, 소프트 리셋처럼 새 개체가 생성됩니다.</t>
  </si>
  <si>
    <t>- #152 치코리타는 그녀가 첫 번째로 주는 포켓몬입니다.</t>
  </si>
  <si>
    <t>포획률 : 3</t>
  </si>
  <si>
    <t>- 무쇠게이트로 갑니다. 파도타기를 사용할 수 있는 포켓몬을 데려가세요.</t>
  </si>
  <si>
    <t>- 포털에 말을 걸어 #243 라이코와 조우합니다.</t>
  </si>
  <si>
    <t>포획률 : 45</t>
  </si>
  <si>
    <t>포획률 : 5</t>
  </si>
  <si>
    <t>- #377 레지락, #378 레지아이스, #379 레지스틸이 가방에 있는 상태로 무쇠시티의 성호에게 "Quests" 옵션으로 말을 걸면 쪽빛구슬을 받을 수 있습니다.</t>
  </si>
  <si>
    <t>- #480 유크시에게 말을 걸어 조우합니다.</t>
  </si>
  <si>
    <t>포획률 : 30</t>
  </si>
  <si>
    <t>- 섬 안쪽의 숲에서 #488 크레세리아에게 말을 걸어 조우합니다.</t>
  </si>
  <si>
    <t>- #155 브케인은 그녀가 두 번째로 주는 포켓몬입니다.</t>
  </si>
  <si>
    <t>- 소용돌이 모양 길의 입구 바로 위에 포털이 있습니다.</t>
  </si>
  <si>
    <t>- 지하에서 파도타기로 갈 수 있는 가장 깊은 곳에 포털이 있습니다.</t>
  </si>
  <si>
    <t>- 잡을 때까지 #243 라이코와 계속 배틀할 수 있습니다.</t>
  </si>
  <si>
    <t>- 220번수로로 갑니다. 파도타기를 사용할 수 있는 포켓몬을 데려가세요.</t>
  </si>
  <si>
    <t>- 빛나는 타일을 모두 밟은 뒤 석상에 말을 걸어 #377 레지락과 조우합니다.</t>
  </si>
  <si>
    <t>- 마음의물방울을 가진 상태로 공터 아래쪽에 말을 걸면 선택지가 나옵니다.</t>
  </si>
  <si>
    <t>- 잡을 때까지 #480 유크시와 계속 배틀할 수 있습니다.</t>
  </si>
  <si>
    <t>- 금강옥을 가진 상태로 창기둥에 가서 파란 포털에 말을 걸면 #483 디아루가와 조우합니다.</t>
  </si>
  <si>
    <t>- #485 히드런에게 말을 걸어 배틀합니다.</t>
  </si>
  <si>
    <t>- 플레이트는 지하통로에서 얻거나 타입 마스터 트레이너를 이기면 얻을 수 있습니다. 기존 필드에 있던 플레이트는 제거되었습니다.</t>
  </si>
  <si>
    <t>위치: 떡잎마을</t>
  </si>
  <si>
    <t>- #158 리아코는 그녀가 세 번째로 주는 포켓몬입니다.</t>
  </si>
  <si>
    <t>포획률 : 100</t>
  </si>
  <si>
    <t>- 포털에 말을 걸어 #144 프리져와 조우합니다.</t>
  </si>
  <si>
    <t>- 도로 맨 아래, 작은 섬 위에 포털이 있습니다.</t>
  </si>
  <si>
    <t>- GS볼을 얻은 뒤, 영원시티 쪽 입구에서 영원의 숲으로 돌아갑니다.</t>
  </si>
  <si>
    <t>- #130 갸라도스, #318 샤프니아 또는 #319 샤크니아를 파티에 넣고 들판시티 아래쪽 집 밖의 어린 남자아이에게 말을 겁니다.</t>
  </si>
  <si>
    <t>- #485 히드런을 쓰러뜨리거나 도망치면, 다시 등장시키려면 사천왕을 쓰러뜨려야 합니다.</t>
  </si>
  <si>
    <t>레벨: 5</t>
  </si>
  <si>
    <t>- 세 마리를 모두 받기 전에 파티가 가득 차면 중단됩니다. 다시 말을 걸면 나머지를 받을 수 있습니다.</t>
  </si>
  <si>
    <t>- 잡을 때까지 #144 프리져와 계속 배틀할 수 있습니다.</t>
  </si>
  <si>
    <t>- 이상한 초대장을 가진 상태로 포털에 말을 걸면 #150 뮤츠와 조우합니다.</t>
  </si>
  <si>
    <t>- 은빛날개를 가진 상태로 포털에 말을 걸면 #249 루기아와 조우합니다.</t>
  </si>
  <si>
    <t>- 방을 나갔다가 다시 들어오면 잡을 때까지 #377 레지락과 다시 조우할 수 있습니다.</t>
  </si>
  <si>
    <t>- "빨강"을 선택하면 #380 라티아스와 조우합니다.</t>
  </si>
  <si>
    <t>- 천관산 지하로 갑니다. 파도타기를 사용할 수 있는 포켓몬을 데려가세요. 포털은 호수의 섬 위에 있습니다.</t>
  </si>
  <si>
    <t>선물 포켓몬</t>
  </si>
  <si>
    <t>- 광휘/빛나가 어머니와 이야기하라고 말하는 부분까지 스토리 이벤트를 진행합니다.</t>
  </si>
  <si>
    <t>31 IV</t>
  </si>
  <si>
    <t>- #380 라티아스를 잡을 때까지 "빨강"을 선택해 반복 배틀할 수 있습니다.</t>
  </si>
  <si>
    <t>- #483 디아루가를 쓰러뜨리거나 도망치면, 다시 등장시키려면 사천왕을 쓰러뜨려야 합니다.</t>
  </si>
  <si>
    <t>- #485 히드런을 잡으면 화산의돌을 받습니다.</t>
  </si>
  <si>
    <t>- 타입 마스터 트레이너에게 도전하려면, 해당 트레이너가 전문으로 하는 타입과 같은 타입을 가진 포켓몬 한 마리만 팀에 있어야 합니다.</t>
  </si>
  <si>
    <t>- 잡을 때까지 #150 뮤츠와 계속 배틀할 수 있습니다.</t>
  </si>
  <si>
    <t>- 잡을 때까지 #249 루기아와 계속 배틀할 수 있습니다.</t>
  </si>
  <si>
    <t>- 쪽빛구슬을 가진 상태로 포털에 말을 걸면</t>
  </si>
  <si>
    <t>- 신수유적 최하층의 표지판에 말을 겁니다.</t>
  </si>
  <si>
    <t>베이비 포켓몬 알 선물</t>
  </si>
  <si>
    <t>- 어머니에게 말을 걸면 #133 이브이를 데려가라고 제안합니다.</t>
  </si>
  <si>
    <t>호연 스타팅 포켓몬 (#252, #255, #258)</t>
  </si>
  <si>
    <t>- 앞으로 걸어가면 GS볼이 흔들린다는 메시지가 나오고, 이어서 영원의 숲 주변에 여러 포털이 나타납니다.</t>
  </si>
  <si>
    <t>#382 가이오가와 조우합니다. 잡을 때까지 #382 가이오가와 계속 배틀할 수 있습니다.</t>
  </si>
  <si>
    <t>- #039 푸린을 파티에 넣고 지라치에게 말을 걸어 노래해 주겠다고 “예”를 선택하면 배틀이 시작됩니다.</t>
  </si>
  <si>
    <t>- 불구슬플레이트: 불꽃 타입 마스터는 서바이벌에리어 바로 오른쪽의 226번수로에 있습니다.</t>
  </si>
  <si>
    <t>- 몬스터볼을 조사하면 #133 이브이를 얻습니다.</t>
  </si>
  <si>
    <t>위치: 무쇠시티</t>
  </si>
  <si>
    <t>- 잡을 때까지 #385 지라치와 계속 배틀할 수 있습니다.</t>
  </si>
  <si>
    <t>- 물방울플레이트: 물 타입 마스터는 잔모래마을 바로 아래의 219번수로에 있습니다.</t>
  </si>
  <si>
    <t>위치: 축복시티 트레이너 스쿨</t>
  </si>
  <si>
    <t>레벨: 10</t>
  </si>
  <si>
    <t>- 숲의 양옥집 뒤쪽 방들 중 하나에 있는 빛나는 빨간 그림을 조사합니다.</t>
  </si>
  <si>
    <t>- 208번도로의 남자, 떡잎마을의 숨겨진 도구, 또는 지하통로에서 쐐기돌을 얻습니다.</t>
  </si>
  <si>
    <t>- 203번도로 왼쪽 위, 나무 근처에 #285 버섯꼬가 있습니다.</t>
  </si>
  <si>
    <t>- 엔딩 크레딧 이후 로스트타워 꼭대기에 포털이 나타납니다.</t>
  </si>
  <si>
    <t>- #251 세레비가 눈앞의 포털에서 나와 당신을 본 뒤 다시 들어갑니다.</t>
  </si>
  <si>
    <t>- 선단신전의 레지기가스 관련 스토리 이벤트를 완료합니다.</t>
  </si>
  <si>
    <t>- 만월섬에서 #488 크레세리아를 포획해 초승달날개를 얻습니다.</t>
  </si>
  <si>
    <t>- 우뢰플레이트: 전기 타입 마스터는 물가시티 등대 안에 있습니다.</t>
  </si>
  <si>
    <t>레벨: 1</t>
  </si>
  <si>
    <t>위치: 201번도로</t>
  </si>
  <si>
    <t>위치: 211번도로 (동쪽)</t>
  </si>
  <si>
    <t>- 211번도로(동쪽)로 갑니다. 락클라임을 사용할 수 있는 포켓몬을 데려가세요.</t>
  </si>
  <si>
    <t>위치: 로스트타워</t>
  </si>
  <si>
    <t>위치: 천관산 (216번도로 입구)</t>
  </si>
  <si>
    <t>- #369 시라칸과 #321 고래왕을 파티에 넣고 216번도로로 이어지는 천관산 방에 들어갑니다.</t>
  </si>
  <si>
    <t>- 엔딩 크레딧 이후, 하드마운틴 내부 첫 번째 방에 포털이 나타납니다.</t>
  </si>
  <si>
    <t>위치: 진실호수의 공동</t>
  </si>
  <si>
    <t>- 진실호수로 갑니다. 파도타기를 사용할 수 있는 포켓몬을 데려가세요.</t>
  </si>
  <si>
    <t>위치: 선단신전 (B6F)</t>
  </si>
  <si>
    <t>위치: 신월섬</t>
  </si>
  <si>
    <t>- 초록플레이트: 풀 타입 마스터는 꽃향기 꽃밭의 집 바로 오른쪽에 있습니다.</t>
  </si>
  <si>
    <t>- 축복시티 트레이너 스쿨의 카우걸에게 말을 걸어 알을 받습니다.</t>
  </si>
  <si>
    <t>위치: 갤럭시단 영원 빌딩</t>
  </si>
  <si>
    <t>- 오랭열매를 가진 상태로 말을 겁니다. 열매를 가져간 뒤 #151 뮤로 변신하고 사라집니다.</t>
  </si>
  <si>
    <t>- 오박사에게서 은빛날개를 받는 단계까지 #249 루기아 퀘스트를 진행합니다.</t>
  </si>
  <si>
    <t>- 각 포털로 가서 말을 걸면 짧은 트레이너 배틀을 진행합니다. 총 여덟 개가 있습니다.</t>
  </si>
  <si>
    <t>위치: 하드마운틴 (내부)</t>
  </si>
  <si>
    <t>- 엔딩 크레딧 이후, 장막시티의 아무 운석에나 말을 겁니다.</t>
  </si>
  <si>
    <t>- 챔피언이 됩니다. 즉, 엔딩 크레딧을 봅니다.</t>
  </si>
  <si>
    <t>- 항구 옆 집에 있는 어린 남자아이에게 말을 걸어 치료합니다.</t>
  </si>
  <si>
    <t>- 고드름플레이트: 얼음 타입 마스터는 선단시티 체육관 오른쪽에 있습니다.</t>
  </si>
  <si>
    <t>- 알은 무작위로 다음 포켓몬 중 하나로 부화합니다.</t>
  </si>
  <si>
    <t>레벨: 22</t>
  </si>
  <si>
    <t>- #252 나무지기는 그녀가 첫 번째로 주는 포켓몬입니다.</t>
  </si>
  <si>
    <t>- 방을 나가려고 하면 #094 팬텀과 조우합니다.</t>
  </si>
  <si>
    <t>- 부서진 돌탑에 말을 걸어 #442 화강돌과 조우합니다.</t>
  </si>
  <si>
    <t>위치: 골짜기발전소</t>
  </si>
  <si>
    <t>- 골짜기발전소로 갑니다. 파도타기를 사용할 수 있는 포켓몬을 데려가세요.</t>
  </si>
  <si>
    <t>- 락클라임으로 갈 수 있는 도로 위쪽 발판에 포털이 있습니다.</t>
  </si>
  <si>
    <t>- 이 방 오른쪽 위의 동굴 입구로 들어갑니다.</t>
  </si>
  <si>
    <t>위치: 장막시티</t>
  </si>
  <si>
    <t>- #481 엠라이트에게 말을 걸어 조우합니다.</t>
  </si>
  <si>
    <t>- 정상에서 갈 수 있는 방, 폭포오르기 위쪽 동굴에서 백옥을 수집합니다.</t>
  </si>
  <si>
    <t>- 레지락, 레지아이스, 레지스틸을 파티에 넣고 선단신전 지하로 갑니다.</t>
  </si>
  <si>
    <t>- 주먹플레이트: 격투 타입 마스터는 장막시티 체육관 바로 남쪽 집에 있습니다.</t>
  </si>
  <si>
    <t>#172 피츄, #173 삐, #174 푸푸린, #175 토게피, #236 배루키, #238 뽀뽀라, #239 에레키드, #240 마그비, #298 루리리, #360 마자, #406 꼬몽울, #433 랑딸랑, #438 꼬지지, #439 흉내내, #440 핑복, #446 먹고자, #447 리오르, #458 타만타.</t>
  </si>
  <si>
    <t>- 갤럭시단 영원 빌딩에서 주피터를 쓰러뜨립니다.</t>
  </si>
  <si>
    <t>- #255 아차모는 그녀가 두 번째로 주는 포켓몬입니다.</t>
  </si>
  <si>
    <t>- 건물 뒤쪽 섬에 포털이 있습니다.</t>
  </si>
  <si>
    <t>- #285 버섯꼬 파트를 본 뒤, 209번도로 진흙 경사 위쪽에서 #427 이어롤을 찾을 수 있습니다.</t>
  </si>
  <si>
    <t>- #243 라이코, #244 앤테이, #245 스이쿤을 현재 파티에 넣습니다.</t>
  </si>
  <si>
    <t>- 새 조련사 비상은 숲의 양옥집 입구의 포털에 있습니다.</t>
  </si>
  <si>
    <t>- 빛나는 타일을 모두 밟은 뒤 석상에 말을 걸어 #378 레지아이스와 조우합니다.</t>
  </si>
  <si>
    <t>- 무언가가 화났다는 메시지를 받게 됩니다.</t>
  </si>
  <si>
    <t>- 잡을 때까지 #481 엠라이트와 계속 배틀할 수 있습니다.</t>
  </si>
  <si>
    <t>- 217번도로의 집에 있는 여성에게 말을 걸어 멤버스카드를 받습니다.</t>
  </si>
  <si>
    <t>- 맹독플레이트: 독 타입 마스터는 들판시티 대습초원 로비 최상층에 있습니다.</t>
  </si>
  <si>
    <t>- 그녀 뒤의 몬스터볼을 조사하면 #137 폴리곤을 획득.</t>
  </si>
  <si>
    <t>- #258 물짱이는 그녀가 세 번째로 주는 포켓몬입니다.</t>
  </si>
  <si>
    <t>- 이 이벤트는 한 번만 진행할 수 있습니다.</t>
  </si>
  <si>
    <t>- 포털에 말을 걸어 #145 썬더와 조우합니다.</t>
  </si>
  <si>
    <t>- 포털에 말을 걸어 #244 앤테이와 조우합니다.</t>
  </si>
  <si>
    <t>- 곤충채집소년 호일은 이전 포털 왼쪽에 있는 포털 안에 있습니다.</t>
  </si>
  <si>
    <t>검은띠 CHUCK [1033]</t>
  </si>
  <si>
    <t>짧은치마 JASMINE [1034]</t>
  </si>
  <si>
    <t>VETERAN PRYCE [1035]</t>
  </si>
  <si>
    <t>엘리트 트레이너 CLAIR [1036]</t>
  </si>
  <si>
    <t>- #377 레지락, #378 레지아이스, #379 레지스틸이 가방에 있는 상태로 무쇠시티의 성호에게 "Quests" 옵션으로 말을 걸면 주홍구슬을 받을 수 있습니다.</t>
  </si>
  <si>
    <t>- #484 펄기아와 조우하려면 먼저 #483 디아루가를 만나고, 잡거나 도망치거나 쓰러뜨린 상태여야 합니다.</t>
  </si>
  <si>
    <t>- 레지락, 레지아이스, 레지스틸을 파티에 넣고 레지기가스에게 말을 걸어 조우합니다.</t>
  </si>
  <si>
    <t>- 대지플레이트: 땅 타입 마스터는 무쇠게이트 최상층, 입구들의 북쪽에 있습니다.</t>
  </si>
  <si>
    <t>새 조련사 THEA [1052]</t>
  </si>
  <si>
    <t>사이코키네시스 FRASIER [1048]</t>
  </si>
  <si>
    <t>곤충채집소년 LOUIE [1038]</t>
  </si>
  <si>
    <t>등산가 HISATO [1042]</t>
  </si>
  <si>
    <t>사이코키네시스 ROSS [1037]</t>
  </si>
  <si>
    <t>엘리트 트레이너 GRAYSON [1050]</t>
  </si>
  <si>
    <t>엘리트 트레이너 KIMBERLY [1051]</t>
  </si>
  <si>
    <t>연구원 JULIAN [1043]</t>
  </si>
  <si>
    <t>- 잡을 때까지 #145 썬더와 계속 배틀할 수 있습니다.</t>
  </si>
  <si>
    <t>- 자뭉열매를 가진 상태로 말을 겁니다. 열매를 가져간 뒤 #151 뮤로 변신하고 사라집니다.</t>
  </si>
  <si>
    <t>- 잡을 때까지 #244 앤테이와 계속 배틀할 수 있습니다.</t>
  </si>
  <si>
    <t>- 영원시티의 오박사에게 "Quests"에 대해 물어 무지갯빛날개를 받습니다.</t>
  </si>
  <si>
    <t>- 아이돌 꼭두는 이전 포털의 오른쪽 아래 포털에 있습니다.</t>
  </si>
  <si>
    <t>- 방을 나갔다가 다시 들어오면 잡을 때까지 #378 레지아이스와 다시 조우할 수 있습니다.</t>
  </si>
  <si>
    <t>- 계단을 지난 뒤, 운석 두 개가 있는 가장 아래쪽 운석 구덩이로 들어갑니다.</t>
  </si>
  <si>
    <t>- 운하시티 맨 위의 집에 들어가 신월섬으로 갑니다.</t>
  </si>
  <si>
    <t>- 푸른하늘플레이트: 비행 타입 마스터는 포켓몬리그 건물 오른쪽 외부를 바라보는 곳에 있습니다.</t>
  </si>
  <si>
    <t>알 of #175 토게피</t>
  </si>
  <si>
    <t>- 엘리트 트레이너 유빈은 이전 포털의 왼쪽 아래 포털에 있습니다.</t>
  </si>
  <si>
    <t>- "파랑"을 선택하면 #381 라티오스와 조우합니다.</t>
  </si>
  <si>
    <t>- 레지기가스를 쓰러뜨리거나 도망치면, 다시 등장시키려면 사천왕을 쓰러뜨려야 합니다.</t>
  </si>
  <si>
    <t>- 이상한플레이트: 에스퍼 타입 마스터는 신수유적 입구 안쪽에 있습니다.</t>
  </si>
  <si>
    <t>- 알을 받기 전에 저장하고, 결과가 마음에 들지 않으면 소프트 리셋할 수 있습니다.</t>
  </si>
  <si>
    <t>위치: 영원시티. 어디서든 부화할 수 있습니다.</t>
  </si>
  <si>
    <t>- #427 이어롤 파트를 본 뒤, 들판시티 호수 위쪽의 오목한 곳에서 #255 아차모를 찾을 수 있습니다.</t>
  </si>
  <si>
    <t>- 로스트타워로 갑니다. 최상층 묘비 옆에 포털이 있습니다.</t>
  </si>
  <si>
    <t>- 검은띠 사도는 이 숲을 처음 지날 때 반드시 싸웠던 사이킥 트레이너들을 지나 있는 포털에 있습니다.</t>
  </si>
  <si>
    <t>- #381 라티오스를 잡을 때까지 "파랑"을 선택해 반복 배틀할 수 있습니다.</t>
  </si>
  <si>
    <t>- 하드마운틴 첫 번째 방으로 갑니다. 다음 방으로 이어지는 계단 왼쪽에 포털이 있습니다.</t>
  </si>
  <si>
    <t>- 위층으로 올라가 구덩이를 빠져나가면, 뒤쪽에 포털이 나타나고 #386 테오키스가 달려나와 배틀합니다.</t>
  </si>
  <si>
    <t>- 섬 안쪽 숲에서 #491 다크라이에게 말을 걸어 조우합니다.</t>
  </si>
  <si>
    <t>- 비단벌레플레이트: 벌레 타입 마스터는 잔모래마을 입구 바로 위의 202번도로에 있습니다.</t>
  </si>
  <si>
    <t>위치: 미혹의 동굴</t>
  </si>
  <si>
    <t>위치: 숲의 양옥집</t>
  </si>
  <si>
    <t>- 백옥을 가진 상태로 창기둥으로 갑니다.</t>
  </si>
  <si>
    <t>- 암석플레이트: 바위 타입 마스터는 207번도로 진흙 경사 바로 오른쪽에 있습니다.</t>
  </si>
  <si>
    <t>- 숲의양갱을 가진 상태로 말을 겁니다. 가져간 뒤 #151 뮤로 변신하고 사라집니다.</t>
  </si>
  <si>
    <t>- 무지갯빛날개를 가진 상태로 포털에 말을 걸어 #250 칠색조와 조우합니다.</t>
  </si>
  <si>
    <t>- 짧은치마 규리는 이전 포털의 왼쪽 포털에 있습니다.</t>
  </si>
  <si>
    <t>- 주홍구슬을 가진 상태로 포털에 말을 걸면</t>
  </si>
  <si>
    <t>- 운석 구덩이를 나가면 #386 테오키스와 잡을 때까지 반복 조우할 수 있습니다.</t>
  </si>
  <si>
    <t>가방에 넣고 분홍 포털에 말을 걸면 #484 펄기아와 조우합니다.</t>
  </si>
  <si>
    <t>- 집에 다시 들어가면 #491 다크라이와 잡을 때까지 배틀할 수 있습니다.</t>
  </si>
  <si>
    <t>- 원령플레이트: 고스트 타입 마스터는 로스트타워 1층에 있습니다.</t>
  </si>
  <si>
    <t>관동 스타팅 포켓몬 (#001, #004, #007)</t>
  </si>
  <si>
    <t>- 자전거 가게로 가서 당신이 구해 준 자전거 가게 주인에게 말을 겁니다.</t>
  </si>
  <si>
    <t>- #255 아차모 파트를 본 뒤, 201번도로에서 #417 파치리스를 찾을 수 있습니다.</t>
  </si>
  <si>
    <t>- 잡을 때까지 #250 칠색조와 계속 배틀할 수 있습니다.</t>
  </si>
  <si>
    <t>- 베테랑 류옹은 이전 포털의 왼쪽 아래 포털에 있습니다.</t>
  </si>
  <si>
    <t>#383 그란돈과 조우합니다. 잡을 때까지 #383 그란돈과 계속 배틀할 수 있습니다.</t>
  </si>
  <si>
    <t>- #484 펄기아를 쓰러뜨리거나 도망치면, 다시 등장시키려면 사천왕을 쓰러뜨려야 합니다.</t>
  </si>
  <si>
    <t>#489 피오네의 알</t>
  </si>
  <si>
    <t>- 용의플레이트: 드래곤 타입 마스터는 봉신마을 유적 안에 있습니다.</t>
  </si>
  <si>
    <t>위치: 축복시티</t>
  </si>
  <si>
    <t>- 밖으로 나와 길을 가다 보면 난천이 나타나 이 알을 줍니다.</t>
  </si>
  <si>
    <t>- 무쇠탄갱 근처의 집 안으로 들어갑니다.</t>
  </si>
  <si>
    <t>- 말을 걸면 #151 뮤로 변신하지만, 그 자리에 그대로 있습니다.</t>
  </si>
  <si>
    <t>- 엘리트 트레이너 이향은 이전 포털의 왼쪽 아래 포털에 있습니다.</t>
  </si>
  <si>
    <t>위치: 신수마을. 어디서든 부화할 수 있습니다.</t>
  </si>
  <si>
    <t>- 공포플레이트: 악 타입 마스터는 214번도로 입구 바로 뒤쪽, 송별의 샘에 있습니다.</t>
  </si>
  <si>
    <t>- 성호에게 말을 걸면 #374 메탕을 제안합니다.</t>
  </si>
  <si>
    <t>- #151 뮤에게 말을 걸어 조우합니다. 잡을 때까지 #151 뮤와 계속 배틀할 수 있습니다.</t>
  </si>
  <si>
    <t>위치: 213번도로</t>
  </si>
  <si>
    <t>- 213번도로로 갑니다. 락클라임을 사용할 수 있는 포켓몬을 데려가세요.</t>
  </si>
  <si>
    <t>- 여덟 개의 포털을 모두 클리어하면 숲 중앙 근처에 포털이 나타납니다. 이 빨간 포털에 말을 걸면 #251 세레비와 조우합니다.</t>
  </si>
  <si>
    <t>위치: 강철섬 (B3F)</t>
  </si>
  <si>
    <t>- #369 시라칸과 #321 고래왕을 파티에 넣고, 강철섬에서 절벽 위 출구로 이어지는 방에 들어갑니다.</t>
  </si>
  <si>
    <t>위치: 입지호수의 공동</t>
  </si>
  <si>
    <t>- 입지호수로 갑니다. 파도타기를 사용할 수 있는 포켓몬을 데려가세요.</t>
  </si>
  <si>
    <t>- 스토리 진행 중 224번도로에서 빛나 또는 광휘를 쓰러뜨립니다.</t>
  </si>
  <si>
    <t>- 강철플레이트: 강철 타입 마스터는 강철섬 동굴 입구 바로 남쪽에 있습니다.</t>
  </si>
  <si>
    <t>화석</t>
  </si>
  <si>
    <t>- 락클라임으로 갈 수 있는 도로 중앙 발판의 아래쪽에 포털이 있습니다.</t>
  </si>
  <si>
    <t>- 엔딩 크레딧 이후, 폭포오르기 아래의 포켓몬리그에 포털이 나타납니다.</t>
  </si>
  <si>
    <t>- #487 기라티나는 스토리 진행 중 깨어진세계에서 조우합니다.</t>
  </si>
  <si>
    <t>- #490 마나피를 #132 메타몽과 함께 신수마을 키우미집에 맡깁니다.</t>
  </si>
  <si>
    <t>위치: 꽃의 낙원</t>
  </si>
  <si>
    <t>- 16종 플레이트를 모두 가진 상태로 외국인 건물의 할머니에게 말을 걸면 두 번째 과제인 포켓몬도감 완성을 받습니다.</t>
  </si>
  <si>
    <t>위치: 무쇠박물관</t>
  </si>
  <si>
    <t>신오 스타팅 포켓몬 (#387, #390, #393)</t>
  </si>
  <si>
    <t>위치: 챔피언로드</t>
  </si>
  <si>
    <t>- 챔피언로드로 갑니다. 락클라임을 사용할 수 있는 포켓몬을 데려가세요.</t>
  </si>
  <si>
    <t>- 잡을 때까지 #251 세레비와 계속 배틀할 수 있습니다.</t>
  </si>
  <si>
    <t>위치: 포켓몬리그</t>
  </si>
  <si>
    <t>- #482 아그놈에게 말을 걸어 조우합니다.</t>
  </si>
  <si>
    <t>위치: 깨어진세계 / 귀혼동굴</t>
  </si>
  <si>
    <t>- 알을 발견하면 가져가서 부화시켜 #489 피오네를 얻습니다.</t>
  </si>
  <si>
    <t>- 영원시티의 오박사에게 말을 걸어 오박사의편지를 받습니다.</t>
  </si>
  <si>
    <t>- #001 이상해씨는 그녀가 첫 번째로 주는 포켓몬입니다.</t>
  </si>
  <si>
    <t>레벨: 20</t>
  </si>
  <si>
    <t>위치: 잔모래마을</t>
  </si>
  <si>
    <t>- 포털에 말을 걸어 #245 스이쿤과 조우합니다.</t>
  </si>
  <si>
    <t>- 잡을 때까지 #482 아그놈과 계속 배틀할 수 있습니다.</t>
  </si>
  <si>
    <t>- 깨어진세계에서 기라티나를 쓰러뜨리거나 도망치면, 엔딩 크레딧 이후 귀혼동굴 마지막 방에서 레벨 70으로 찾을 수 있습니다.</t>
  </si>
  <si>
    <t>- 전국도감을 입지호수근처에서 상장을 볼 수 있을 정도로 완성하면(즉, 뮤, 칠색조, 루기아, 세레비, 지라치, 테오키스, 피오네, 마나피, 다크라이, 쉐이미, 아르세우스를 제외한 모든 포켓몬을 얻은 상태), 할머니에게 다시 말을 걸어 천계의피리를 받습니다.</t>
  </si>
  <si>
    <t>- #004 파이리는 그녀가 두 번째로 주는 포켓몬입니다.</t>
  </si>
  <si>
    <t>- 영원시티 포켓몬 센터 근처의 지하아저씨 집으로 갑니다.</t>
  </si>
  <si>
    <t>- 마지막 큰 구역에서 갈 수 있는 작은 방에 포털이 있습니다.</t>
  </si>
  <si>
    <t>- 잡을 때까지 #245 스이쿤과 계속 배틀할 수 있습니다.</t>
  </si>
  <si>
    <t>- 빛나는 타일을 모두 밟은 뒤 석상에 말을 걸어 #379 레지스틸과 조우합니다.</t>
  </si>
  <si>
    <t>#490 마나피의 알</t>
  </si>
  <si>
    <t>- 224번도로로 가서 도로 위쪽으로 향합니다. 말리가 말을 겁니다.</t>
  </si>
  <si>
    <t>- #007 꼬부기는 그녀가 세 번째로 주는 포켓몬입니다.</t>
  </si>
  <si>
    <t>- 마박사 연구소 오른쪽 위의 가방을 조사합니다.</t>
  </si>
  <si>
    <t>- 지하실을 지나 계단을 올라 작은 방으로 갑니다.</t>
  </si>
  <si>
    <t>- 숲의 양옥집 뒤쪽 방들 중 하나에 있는 TV에 말을 겁니다.</t>
  </si>
  <si>
    <t>- #377 레지락, #378 레지아이스, #379 레지스틸이 가방에 있는 상태로 무쇠시티의 성호에게 "Quests" 옵션으로 말을 걸면 연둣빛구슬을 받을 수 있습니다.</t>
  </si>
  <si>
    <t>위치: 포켓몬저택. 어디서든 부화할 수 있습니다.</t>
  </si>
  <si>
    <t>- 여성 연구원에게 말을 걸어 각 화석을 세 개씩 받습니다.</t>
  </si>
  <si>
    <t>- 마박사가 몇 마디 말한 뒤, 안에 있는 몬스터볼을 꺼낼 수 있게 해 줍니다.</t>
  </si>
  <si>
    <t>- 포털에 말을 걸어 #146 파이어와 조우합니다.</t>
  </si>
  <si>
    <t>- 방을 나갔다가 다시 들어오면 잡을 때까지 #379 레지스틸과 다시 조우할 수 있습니다.</t>
  </si>
  <si>
    <t>- 귀혼동굴에서 기라티나를 쓰러뜨리거나 도망치면, 다시 등장시키려면 사천왕을 쓰러뜨려야 합니다.</t>
  </si>
  <si>
    <t>- 오박사에게 말을 걸고, 석판에는 원하는 내용을 입력합니다.</t>
  </si>
  <si>
    <t>- 창기둥으로 가서 동굴을 나가자마자 보이는 피리 문양 위에 섭니다. 천계의피리를 연주하라는 메시지가 나옵니다.</t>
  </si>
  <si>
    <t>#138 암나이트, #140 투구, #142 프테라, #345 릴링, #347 아노딥스, #408 두개도스, #410 방패톱스</t>
  </si>
  <si>
    <t>- 앞으로 걸어가면 #444 한바이트와 조우합니다.</t>
  </si>
  <si>
    <t>- 이 이벤트는 이제 반복 가능하며 하루 중 언제든 진행할 수 있습니다.</t>
  </si>
  <si>
    <t>- 잡을 때까지 #146 파이어와 계속 배틀할 수 있습니다.</t>
  </si>
  <si>
    <t>- 포켓몬저택의 스토리 이벤트 이후 알을 받을 수 있습니다.</t>
  </si>
  <si>
    <t>- 가방을 다시 조사하면, 선택하지 않은 두 신오 스타팅 포켓몬을 받을 수 있습니다.</t>
  </si>
  <si>
    <t>- 챔피언로드 위쪽의 포켓몬리그 구역으로 갑니다.</t>
  </si>
  <si>
    <t>- 알을 받은 뒤 부화시켜 #490 마나피를 얻습니다.</t>
  </si>
  <si>
    <t>- 지도가 바뀌고 #492 쉐이미가 나타난 뒤 도망칩니다.</t>
  </si>
  <si>
    <t>- 계단을 올라 #493 아르세우스와 배틀합니다.</t>
  </si>
  <si>
    <t>- 화석을 무쇠시티 박물관으로 가져가 부활시킵니다.</t>
  </si>
  <si>
    <t>- 폭포오르기 아래의 작은 땅 위에 포털이 있습니다.</t>
  </si>
  <si>
    <t>- #493 아르세우스를 잡을 때까지 문양 위에서 천계의피리를 연주해 반복 배틀할 수 있습니다.</t>
  </si>
  <si>
    <t>- #387 모부기, #390 불꽃숭이, #393 팽도리가 이 순서로 주어집니다. 단, 선택한 포켓몬은 등장하지 않습니다.</t>
  </si>
  <si>
    <t>- 연둣빛구슬을 가진 상태로 포털에 말을 걸면</t>
  </si>
  <si>
    <t>- 바닷길을 따라 꽃의 낙원으로 올라갑니다.</t>
  </si>
  <si>
    <t>#384 레쿠쟈와 조우합니다. 잡을 때까지 #384 레쿠쟈와 계속 배틀할 수 있습니다.</t>
  </si>
  <si>
    <t>- 꽃의 낙원 중앙의 #492 쉐이미에게 말을 걸어 조우합니다.</t>
  </si>
  <si>
    <t>- 꽃의 낙원을 나갔다가 들어오면 잡을 때까지 #492 쉐이미와 반복 배틀할 수 있습니다.</t>
  </si>
  <si>
    <t>NPC 변경점</t>
  </si>
  <si>
    <t>기술 지우기 NPC</t>
  </si>
  <si>
    <t>훈련 NPC (신규)</t>
  </si>
  <si>
    <t>교환   변경점</t>
  </si>
  <si>
    <t>포켓몬   센터   배틀</t>
  </si>
  <si>
    <t>위치: 무쇠시티 (신규)</t>
  </si>
  <si>
    <t>위치 : 신수마을</t>
  </si>
  <si>
    <t>레벨.10</t>
  </si>
  <si>
    <t>진화 도구 SELLER (NEW)</t>
  </si>
  <si>
    <t>- 기술 지우기 NPC는 무쇠시티 포켓몬 센터 왼쪽 집으로 이동했습니다.</t>
  </si>
  <si>
    <t>- 훈련 NPC는 신수마을 키우미집에서 찾을 수 있는 새로운 NPC 세트입니다.</t>
  </si>
  <si>
    <t>월요일</t>
  </si>
  <si>
    <t>화요일</t>
  </si>
  <si>
    <t>수요일</t>
  </si>
  <si>
    <t>목요일</t>
  </si>
  <si>
    <t>금요일</t>
  </si>
  <si>
    <t>토요일</t>
  </si>
  <si>
    <t>일요일</t>
  </si>
  <si>
    <t>위치 : 선단시티</t>
  </si>
  <si>
    <t>- 네 가지 교환 모두 다른 포켓몬을 요구하도록 변경되었습니다.</t>
  </si>
  <si>
    <t>REPORTER</t>
  </si>
  <si>
    <t>REPORTER KINSEY [370]</t>
  </si>
  <si>
    <t>REPORTER KINSEY [894]</t>
  </si>
  <si>
    <t>CAMERAMAN TEVIN [369]</t>
  </si>
  <si>
    <t>CAMERAMAN TEVIN [874]</t>
  </si>
  <si>
    <t>IDOL GRACE [371]</t>
  </si>
  <si>
    <t>IDOL GRACE [880]</t>
  </si>
  <si>
    <t>GUITARIST ARTURO [431]</t>
  </si>
  <si>
    <t>GUITARIST ARTURO [877]</t>
  </si>
  <si>
    <t>POKéKID ARIEL [465]</t>
  </si>
  <si>
    <t>POKéKID ARIEL [889]</t>
  </si>
  <si>
    <t>CLOWN LEE [460]</t>
  </si>
  <si>
    <t>CLOWN LEE [886]</t>
  </si>
  <si>
    <t>- 그 외 변경 사항은 없습니다.</t>
  </si>
  <si>
    <t>- 오른쪽의 카우걸은 경험치 또는 특정 능력치 훈련을 제안합니다.</t>
  </si>
  <si>
    <t>- 기존에 선단시티에 있던 교환은 꽃향기마을로 이동했습니다.</t>
  </si>
  <si>
    <t>CAMERAMAN</t>
  </si>
  <si>
    <t>(배지 3개 이후 팀)</t>
  </si>
  <si>
    <t>INTERVIEWERS ROXY &amp; OLI [368]</t>
  </si>
  <si>
    <t>INTERVIEWERS ROXY &amp; OLI [883]</t>
  </si>
  <si>
    <t>- 왼쪽 위 집에는 이제 진화 도구를 판매하는 NPC가 있습니다.</t>
  </si>
  <si>
    <t>IDOL</t>
  </si>
  <si>
    <t>(더블 배틀)</t>
  </si>
  <si>
    <t>기술 되살림 NPC</t>
  </si>
  <si>
    <t>- 왼쪽의 농부는 각 노력치 감소 열매 15개 묶음을 $5,000에 판매합니다.</t>
  </si>
  <si>
    <t>- 일정 배지가 없으면 교환받은 포켓몬이 말을 듣지 않는 시스템이 제거되었습니다. 이제 교환받은 포켓몬은 항상 명령을 따릅니다.</t>
  </si>
  <si>
    <t>12 IV</t>
  </si>
  <si>
    <t>- 장막백화점이나 게임코너에서 얻을 수 없는 도구만 판매합니다.</t>
  </si>
  <si>
    <t>위치 : 들판시티</t>
  </si>
  <si>
    <t>꽃향기마을</t>
  </si>
  <si>
    <t>POKéKID</t>
  </si>
  <si>
    <t>- 어떤 도구든 하나에 $10,000입니다.</t>
  </si>
  <si>
    <t>- 기술 되살림 NPC는 이전과 같은 위치에 있습니다.</t>
  </si>
  <si>
    <t>경험치</t>
  </si>
  <si>
    <t>INTERVIEWERS</t>
  </si>
  <si>
    <t>- 하트비늘이나 별도 비용은 더 이상 필요하지 않습니다. 그에게 말을 걸기만 하면 기술을 배울 수 있습니다.</t>
  </si>
  <si>
    <t>- 경험치를 선택하면 선택한 레벨의 #113 럭키 또는 #242 해피너스 팀과 배틀합니다.</t>
  </si>
  <si>
    <t>잠재파워 판별 NPC (신규)</t>
  </si>
  <si>
    <t>포니타를 주고 대굴레오를 받는 교환입니다.</t>
  </si>
  <si>
    <t>CLOWN</t>
  </si>
  <si>
    <t>위치: 축복시티 트레이너 스쿨</t>
  </si>
  <si>
    <t>- #113 럭키 또는 #242 해피너스는 모두 치유소원만 알고 있으며 맹독구슬을 지니고 있습니다.</t>
  </si>
  <si>
    <t>가이아라는 대굴레오</t>
  </si>
  <si>
    <t>도구 마니아 (신규)</t>
  </si>
  <si>
    <t>- 도구: 녹지않는얼음</t>
  </si>
  <si>
    <t>- 학교에 포켓몬의 잠재파워 타입을 알려 주는 NPC가 배치되었습니다.</t>
  </si>
  <si>
    <t>위치 : 꽃향기마을</t>
  </si>
  <si>
    <t>- 게임을 진행할수록 더 높은 레벨의 경험치 훈련을 이용할 수 있습니다.</t>
  </si>
  <si>
    <t>- 개체값: HP 31 / 공격 31 / 방어 15 / 특공 31 / 특방 15 / 스피드 15</t>
  </si>
  <si>
    <t>- Nature: 냉정</t>
  </si>
  <si>
    <t>- 레니게이드 플래티넘에서도 잠재파워의 위력은 개체값을 기준으로 정해집니다. 안타깝게도 이 NPC는 위력을 알려 주지 못합니다.</t>
  </si>
  <si>
    <t>- 포켓몬 센터 오른쪽 집에는 "도구 마니아"가 있습니다.</t>
  </si>
  <si>
    <t>- 자두를 이기면 레벨 35가 해금됩니다.</t>
  </si>
  <si>
    <t>REPORTER KINSEY [895]</t>
  </si>
  <si>
    <t>REPORTER KINSEY [896]</t>
  </si>
  <si>
    <t>CAMERAMAN TEVIN [875]</t>
  </si>
  <si>
    <t>CAMERAMAN TEVIN [876]</t>
  </si>
  <si>
    <t>IDOL GRACE [881]</t>
  </si>
  <si>
    <t>IDOL GRACE [882]</t>
  </si>
  <si>
    <t>GUITARIST ARTURO [878]</t>
  </si>
  <si>
    <t>GUITARIST ARTURO [879]</t>
  </si>
  <si>
    <t>POKéKID ARIEL [890]</t>
  </si>
  <si>
    <t>POKéKID ARIEL [891]</t>
  </si>
  <si>
    <t>CLOWN LEE [887]</t>
  </si>
  <si>
    <t>CLOWN LEE [888]</t>
  </si>
  <si>
    <t>- 봉신마을에 도착하면 레벨 45가 해금됩니다.</t>
  </si>
  <si>
    <t>GUITARIST</t>
  </si>
  <si>
    <t>(배지 5개 이후 팀)</t>
  </si>
  <si>
    <t>(배지 8개 이후 팀)</t>
  </si>
  <si>
    <t>INTERVIEWERS ROXY &amp; OLI [884]</t>
  </si>
  <si>
    <t>INTERVIEWERS ROXY &amp; OLI [885]</t>
  </si>
  <si>
    <t>- 잠재파워 판별 NPC는 장막시티에도 그대로 있습니다.</t>
  </si>
  <si>
    <t>- 그에게 말을 걸면 특정 포켓몬만 사용할 수 있는 도구를 줄 수 있다고 말합니다.</t>
  </si>
  <si>
    <t>- 무청을 이기면 레벨 55가 해금됩니다.</t>
  </si>
  <si>
    <t>체리버를 주고 스콜피를 받는 교환입니다.</t>
  </si>
  <si>
    <t>- 챔피언로드를 완료하면 레벨 65가 해금됩니다.</t>
  </si>
  <si>
    <t>스파이크라는 스콜피</t>
  </si>
  <si>
    <t>기술 가르침 NPC</t>
  </si>
  <si>
    <t>- #025 피카츄를 파티에 넣고 그에게 말을 걸면 전기구슬을 얻습니다.</t>
  </si>
  <si>
    <t>- 챔피언이 되면 레벨 75가 해금됩니다.</t>
  </si>
  <si>
    <t>- 도구: 독바늘</t>
  </si>
  <si>
    <t>위치 : 212번도로 (남쪽)</t>
  </si>
  <si>
    <t>- #083 파오리를 파티에 넣고 그에게 말을 걸면 대파를 얻습니다.</t>
  </si>
  <si>
    <t>- 하드마운틴 이벤트를 완료하면 레벨 85가 해금됩니다.</t>
  </si>
  <si>
    <t>- 개체값: HP 15 / 공격 31 / 방어 31 / 특공 15 / 특방 15 / 스피드 31</t>
  </si>
  <si>
    <t>- #104 탕구리 또는 #105 텅구리를 파티에 넣고 그에게 말을 걸면 굵은뼈를 얻습니다.</t>
  </si>
  <si>
    <t>- Nature: 명랑</t>
  </si>
  <si>
    <t>- 212번도로, 선단시티, 서바이벌에리어의 기술 가르침 NPC들은 이제 모두 212번도로의 집에 있습니다.</t>
  </si>
  <si>
    <t>능력치</t>
  </si>
  <si>
    <t>- #113 럭키를 파티에 넣고 그에게 말을 걸면 럭키펀치를 얻습니다.</t>
  </si>
  <si>
    <t>- 능력치를 선택하면 낮음, 중간, 높음 중 하나를 고르게 됩니다.</t>
  </si>
  <si>
    <t>- 조각이나 별도 비용은 더 이상 필요하지 않습니다. 그들에게 말을 걸기만 하면 기술을 배울 수 있습니다.</t>
  </si>
  <si>
    <t>- #132 메타몽을 파티에 넣고 그에게 말을 걸면 스피드파우더와 금속파우더를 얻습니다.</t>
  </si>
  <si>
    <t>- 낮음을 선택하면 해당 능력치 노력치를 1씩 주는 레벨 10 포켓몬 팀과 배틀합니다.</t>
  </si>
  <si>
    <t>눈꼬마를 주고 페라페를 받는 교환입니다.</t>
  </si>
  <si>
    <t>물가시티</t>
  </si>
  <si>
    <t>마코라는 페라페</t>
  </si>
  <si>
    <t>- #366 진주몽을 파티에 넣고 그에게 말을 걸면 심해의이빨과 심해의비늘을 얻습니다.</t>
  </si>
  <si>
    <t>- 중간을 선택하면 해당 능력치 노력치를 2씩 주는 레벨 10 포켓몬 팀과 배틀합니다.</t>
  </si>
  <si>
    <t>- 도구: 예리한부리</t>
  </si>
  <si>
    <t>희귀 열매 판매자 (신규)</t>
  </si>
  <si>
    <t>- 개체값: HP 15 / 공격 15 / 방어 15 / 특공 31 / 특방 31 / 스피드 31</t>
  </si>
  <si>
    <t>위치 : 208번도로</t>
  </si>
  <si>
    <t>- 높음을 선택하면 해당 능력치 노력치를 3씩 주는 레벨 10 포켓몬 팀과 배틀합니다.</t>
  </si>
  <si>
    <t>- Nature: 조심</t>
  </si>
  <si>
    <t>REPORTER KINSEY [912]</t>
  </si>
  <si>
    <t>REPORTER KINSEY [920]</t>
  </si>
  <si>
    <t>CAMERAMAN TEVIN [906]</t>
  </si>
  <si>
    <t>CAMERAMAN TEVIN [914]</t>
  </si>
  <si>
    <t>IDOL GRACE [908]</t>
  </si>
  <si>
    <t>IDOL GRACE [916]</t>
  </si>
  <si>
    <t>GUITARIST ARTURO [907]</t>
  </si>
  <si>
    <t>GUITARIST ARTURO [915]</t>
  </si>
  <si>
    <t>POKéKID ARIEL [911]</t>
  </si>
  <si>
    <t>POKéKID ARIEL [919]</t>
  </si>
  <si>
    <t>CLOWN LEE [910]</t>
  </si>
  <si>
    <t>CLOWN LEE [918]</t>
  </si>
  <si>
    <t>(난천 이후 팀)</t>
  </si>
  <si>
    <t>(하드마운틴 이후 팀)</t>
  </si>
  <si>
    <t>INTERVIEWERS ROXY &amp; OLI [909]</t>
  </si>
  <si>
    <t>INTERVIEWERS ROXY &amp; OLI [917]</t>
  </si>
  <si>
    <t>- 열매 할아버지가 사는 연고시티 게이트하우스 바로 왼쪽 집에는 이제 여성 연구원 NPC가 있습니다.</t>
  </si>
  <si>
    <t>잉어킹을 주고 독일어판 잉어킹을 받는 교환입니다.</t>
  </si>
  <si>
    <t>- 이 NPC는 플래티넘에서 일반적으로 얻을 수 없는 희귀 열매를 판매합니다. 예: 치리열매, 캄라열매.</t>
  </si>
  <si>
    <t>포파라는 잉어킹</t>
  </si>
  <si>
    <t>- 도구: 스타열매</t>
  </si>
  <si>
    <t>- 포켓몬 센터에는 싸울 수 있는 트레이너가 있을 수 있습니다. 요일에 따라 각 포켓몬 센터에서 다른 종류의 트레이너를 만날 수 있습니다. 위 표를 따라 어떤 트레이너가 기다리는지 확인하세요.</t>
  </si>
  <si>
    <t>- 각 열매는 무한히 구매할 수 있지만, 구매할 때마다 $10,000이 듭니다.</t>
  </si>
  <si>
    <t>- 개체값: HP 31 / 공격 31 / 방어 31 / 특공 31 / 특방 31 / 스피드 31</t>
  </si>
  <si>
    <t>- Nature: 고집</t>
  </si>
  <si>
    <t>- 트레이너의 강함은 게임 진행도에 따라 달라집니다. 배지 3개, 배지 5개, 배지 8개를 얻었을 때, 처음으로 난천을 이겼을 때, 하드마운틴 이벤트를 완료했을 때 강해집니다. 각 트레이너의 모든 배틀은 여기에서 확인할 수 있습니다:</t>
  </si>
  <si>
    <t>기술 습득 목록</t>
  </si>
  <si>
    <t>기존</t>
  </si>
  <si>
    <t>클래식</t>
  </si>
  <si>
    <t>컴플리트</t>
  </si>
  <si>
    <t>성별</t>
  </si>
  <si>
    <t>포획률</t>
  </si>
  <si>
    <t>야생 지닌 도구</t>
  </si>
  <si>
    <t>몸무게 등급</t>
  </si>
  <si>
    <t>진화</t>
  </si>
  <si>
    <t>다음에서 진화 가능:</t>
  </si>
  <si>
    <t>진화 가능: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</si>
</sst>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7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Calibri"/>
    </font>
    <font>
      <u/>
      <sz val="10.0"/>
      <color rgb="FF000000"/>
      <name val="Calibri"/>
    </font>
    <font/>
    <font>
      <u/>
      <sz val="10.0"/>
      <color rgb="FF1155CC"/>
      <name val="Arial"/>
    </font>
    <font>
      <sz val="10.0"/>
      <color rgb="FF000000"/>
      <name val="Arial"/>
    </font>
    <font>
      <sz val="8.0"/>
      <color theme="1"/>
      <name val="&quot;Liberation Sans&quot;"/>
    </font>
    <font>
      <sz val="10.0"/>
      <color theme="1"/>
      <name val="&quot;Liberation Sans&quot;"/>
    </font>
    <font>
      <sz val="10.0"/>
      <color rgb="FF8BC34A"/>
      <name val="Arial"/>
    </font>
    <font>
      <sz val="10.0"/>
      <color rgb="FF9BBB59"/>
      <name val="Arial"/>
    </font>
    <font>
      <sz val="10.0"/>
      <color theme="1"/>
      <name val="Calibri"/>
    </font>
    <font>
      <sz val="10.0"/>
      <color rgb="FFFF5959"/>
      <name val="Arial"/>
    </font>
    <font>
      <sz val="10.0"/>
      <color rgb="FFFFFFFF"/>
      <name val="Arial"/>
    </font>
    <font>
      <sz val="8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i/>
      <sz val="10.0"/>
      <color rgb="FF000000"/>
      <name val="Arial"/>
    </font>
    <font>
      <sz val="10.0"/>
      <color rgb="FFCC99FF"/>
      <name val="Arial"/>
    </font>
    <font>
      <sz val="10.0"/>
      <color rgb="FFFF0000"/>
      <name val="Arial"/>
    </font>
    <font>
      <color theme="1"/>
      <name val="Arial"/>
      <scheme val="minor"/>
    </font>
    <font>
      <b/>
      <sz val="10.0"/>
      <color rgb="FFEFEFEF"/>
      <name val="Arial"/>
    </font>
    <font>
      <b/>
      <sz val="9.0"/>
      <color rgb="FFEFEFEF"/>
      <name val="Arial"/>
    </font>
    <font>
      <b/>
      <sz val="8.0"/>
      <color rgb="FFEFEFEF"/>
      <name val="Arial"/>
    </font>
    <font>
      <b/>
      <sz val="10.0"/>
      <color rgb="FFEFEFEF"/>
      <name val="&quot;Liberation Sans&quot;"/>
    </font>
    <font>
      <sz val="10.0"/>
      <color theme="1"/>
      <name val="Sans-serif"/>
    </font>
    <font>
      <sz val="10.0"/>
      <color rgb="FF666666"/>
      <name val="Arial"/>
    </font>
    <font>
      <b/>
      <sz val="10.0"/>
      <color rgb="FFFFFFFF"/>
      <name val="Arial"/>
    </font>
    <font>
      <sz val="10.0"/>
      <color rgb="FFEFEFEF"/>
      <name val="Arial"/>
    </font>
    <font>
      <sz val="17.0"/>
      <color rgb="FF000000"/>
      <name val="Monoton"/>
    </font>
    <font>
      <u/>
      <sz val="10.0"/>
      <color rgb="FFFA92B2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FA92B2"/>
      <name val="Arial"/>
    </font>
    <font>
      <sz val="17.0"/>
      <color theme="1"/>
      <name val="Monoton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9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u/>
      <sz val="10.0"/>
      <color rgb="FFFFFFFF"/>
      <name val="Arial"/>
    </font>
    <font>
      <sz val="18.0"/>
      <color theme="1"/>
      <name val="Arial"/>
    </font>
    <font>
      <sz val="10.0"/>
      <color theme="1"/>
      <name val="Liberation Sans"/>
    </font>
    <font>
      <sz val="10.0"/>
      <color rgb="FFFF5959"/>
      <name val="&quot;Liberation Sans&quot;"/>
    </font>
    <font>
      <sz val="10.0"/>
      <color rgb="FFFFFFFF"/>
      <name val="&quot;Liberation Sans&quot;"/>
    </font>
    <font>
      <sz val="10.0"/>
      <color theme="1"/>
      <name val="&quot;Liberation Serif&quot;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theme="1"/>
      <name val="Cambria"/>
    </font>
    <font>
      <sz val="18.0"/>
      <color rgb="FFEFEFEF"/>
      <name val="Lexend"/>
    </font>
    <font>
      <b/>
      <sz val="28.0"/>
      <color rgb="FFFFFFFF"/>
      <name val="Arial"/>
    </font>
    <font>
      <b/>
      <sz val="10.0"/>
      <color rgb="FFEFEFEF"/>
      <name val="Sans-serif"/>
    </font>
  </fonts>
  <fills count="36">
    <fill>
      <patternFill patternType="none"/>
    </fill>
    <fill>
      <patternFill patternType="lightGray"/>
    </fill>
    <fill>
      <patternFill patternType="solid">
        <fgColor rgb="FFA7DB8D"/>
        <bgColor rgb="FFA7DB8D"/>
      </patternFill>
    </fill>
    <fill>
      <patternFill patternType="solid">
        <fgColor rgb="FFFF5959"/>
        <bgColor rgb="FFFF5959"/>
      </patternFill>
    </fill>
    <fill>
      <patternFill patternType="solid">
        <fgColor rgb="FFF5AC78"/>
        <bgColor rgb="FFF5AC78"/>
      </patternFill>
    </fill>
    <fill>
      <patternFill patternType="solid">
        <fgColor rgb="FFFAE078"/>
        <bgColor rgb="FFFAE078"/>
      </patternFill>
    </fill>
    <fill>
      <patternFill patternType="solid">
        <fgColor rgb="FF9DB7F5"/>
        <bgColor rgb="FF9DB7F5"/>
      </patternFill>
    </fill>
    <fill>
      <patternFill patternType="solid">
        <fgColor rgb="FFFA92B2"/>
        <bgColor rgb="FFFA92B2"/>
      </patternFill>
    </fill>
    <fill>
      <patternFill patternType="solid">
        <fgColor rgb="FFCC99FF"/>
        <bgColor rgb="FFCC99FF"/>
      </patternFill>
    </fill>
    <fill>
      <patternFill patternType="solid">
        <fgColor rgb="FF000000"/>
        <bgColor rgb="FF000000"/>
      </patternFill>
    </fill>
    <fill>
      <patternFill patternType="solid">
        <fgColor rgb="FFEEF7E3"/>
        <bgColor rgb="FFEEF7E3"/>
      </patternFill>
    </fill>
    <fill>
      <patternFill patternType="solid">
        <fgColor rgb="FFFEF8E3"/>
        <bgColor rgb="FFFEF8E3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CCA677"/>
        <bgColor rgb="FFCCA677"/>
      </patternFill>
    </fill>
    <fill>
      <patternFill patternType="solid">
        <fgColor rgb="FF464646"/>
        <bgColor rgb="FF464646"/>
      </patternFill>
    </fill>
    <fill>
      <patternFill patternType="solid">
        <fgColor rgb="FFBFBFBF"/>
        <bgColor rgb="FFBFBFBF"/>
      </patternFill>
    </fill>
    <fill>
      <patternFill patternType="solid">
        <fgColor rgb="FFE8F0FE"/>
        <bgColor rgb="FFE8F0FE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E8E7FC"/>
        <bgColor rgb="FFE8E7FC"/>
      </patternFill>
    </fill>
    <fill>
      <patternFill patternType="solid">
        <fgColor rgb="FF9BBB59"/>
        <bgColor rgb="FF9BBB5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8BC34A"/>
        <bgColor rgb="FF8BC34A"/>
      </patternFill>
    </fill>
    <fill>
      <patternFill patternType="solid">
        <fgColor rgb="FFF8F2EB"/>
        <bgColor rgb="FFF8F2EB"/>
      </patternFill>
    </fill>
    <fill>
      <patternFill patternType="solid">
        <fgColor rgb="FFBDBDBD"/>
        <bgColor rgb="FFBDBDBD"/>
      </patternFill>
    </fill>
    <fill>
      <patternFill patternType="solid">
        <fgColor rgb="FFFFE9F7"/>
        <bgColor rgb="FFFFE9F7"/>
      </patternFill>
    </fill>
    <fill>
      <patternFill patternType="solid">
        <fgColor rgb="FF5B95F9"/>
        <bgColor rgb="FF5B95F9"/>
      </patternFill>
    </fill>
    <fill>
      <patternFill patternType="solid">
        <fgColor rgb="FFF46524"/>
        <bgColor rgb="FFF46524"/>
      </patternFill>
    </fill>
    <fill>
      <patternFill patternType="solid">
        <fgColor rgb="FFF7CB4D"/>
        <bgColor rgb="FFF7CB4D"/>
      </patternFill>
    </fill>
    <fill>
      <patternFill patternType="solid">
        <fgColor rgb="FF26A69A"/>
        <bgColor rgb="FF26A69A"/>
      </patternFill>
    </fill>
    <fill>
      <patternFill patternType="solid">
        <fgColor rgb="FFD9D9D9"/>
        <bgColor rgb="FFD9D9D9"/>
      </patternFill>
    </fill>
    <fill>
      <patternFill patternType="solid">
        <fgColor rgb="FFDDF2F0"/>
        <bgColor rgb="FFDDF2F0"/>
      </patternFill>
    </fill>
    <fill>
      <patternFill patternType="solid">
        <fgColor rgb="FFF2DCDB"/>
        <bgColor rgb="FFF2DCDB"/>
      </patternFill>
    </fill>
    <fill>
      <patternFill patternType="solid">
        <fgColor rgb="FFCCCCCC"/>
        <bgColor rgb="FFCCCCCC"/>
      </patternFill>
    </fill>
  </fills>
  <borders count="579">
    <border/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FFFFFF"/>
      </bottom>
    </border>
    <border>
      <left/>
      <right/>
      <top style="thin">
        <color rgb="FF000000"/>
      </top>
      <bottom style="hair">
        <color rgb="FFFFFFFF"/>
      </bottom>
    </border>
    <border>
      <left/>
      <right style="thin">
        <color rgb="FF000000"/>
      </right>
      <top style="thin">
        <color rgb="FF000000"/>
      </top>
      <bottom style="hair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FFFFFF"/>
      </bottom>
    </border>
    <border>
      <top style="thin">
        <color rgb="FF000000"/>
      </top>
      <bottom style="hair">
        <color rgb="FFFFFFFF"/>
      </bottom>
    </border>
    <border>
      <right style="thin">
        <color rgb="FF000000"/>
      </right>
      <top style="thin">
        <color rgb="FF000000"/>
      </top>
      <bottom style="hair">
        <color rgb="FFFFFFFF"/>
      </bottom>
    </border>
    <border>
      <left style="thin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hair">
        <color rgb="FF000000"/>
      </right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hair">
        <color rgb="FFFFFFFF"/>
      </top>
      <bottom style="hair">
        <color rgb="FFFFFFFF"/>
      </bottom>
    </border>
    <border>
      <left/>
      <right/>
      <top style="hair">
        <color rgb="FFFFFFFF"/>
      </top>
      <bottom style="hair">
        <color rgb="FFFFFFFF"/>
      </bottom>
    </border>
    <border>
      <left/>
      <right style="thin">
        <color rgb="FF000000"/>
      </right>
      <top style="hair">
        <color rgb="FFFFFFFF"/>
      </top>
      <bottom style="hair">
        <color rgb="FFFFFFFF"/>
      </bottom>
    </border>
    <border>
      <left style="thin">
        <color rgb="FF000000"/>
      </left>
      <top style="hair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top style="hair">
        <color rgb="FFFFFFFF"/>
      </top>
    </border>
    <border>
      <right style="thin">
        <color rgb="FF000000"/>
      </right>
      <top style="hair">
        <color rgb="FFFFFFFF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FFFFFF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double">
        <color rgb="FF9BBB59"/>
      </left>
      <right style="double">
        <color rgb="FF9BBB59"/>
      </right>
      <top style="double">
        <color rgb="FF9BBB59"/>
      </top>
      <bottom style="double">
        <color rgb="FF9BBB59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bottom style="hair">
        <color rgb="FFFFFFFF"/>
      </bottom>
    </border>
    <border>
      <right style="thin">
        <color rgb="FF000000"/>
      </right>
      <bottom style="hair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FFFFFF"/>
      </top>
      <bottom style="thin">
        <color rgb="FF000000"/>
      </bottom>
    </border>
    <border>
      <right style="thin">
        <color rgb="FF000000"/>
      </right>
      <top style="dotted">
        <color rgb="FF000000"/>
      </top>
    </border>
    <border>
      <left style="double">
        <color rgb="FFFF5959"/>
      </left>
      <right style="double">
        <color rgb="FFFF5959"/>
      </right>
      <top style="double">
        <color rgb="FFFF5959"/>
      </top>
      <bottom style="double">
        <color rgb="FFFF5959"/>
      </bottom>
    </border>
    <border>
      <left/>
      <right style="double">
        <color rgb="FF9BBB59"/>
      </right>
      <top style="double">
        <color rgb="FF9BBB59"/>
      </top>
      <bottom style="double">
        <color rgb="FF9BBB59"/>
      </bottom>
    </border>
    <border>
      <left style="double">
        <color rgb="FF9BBB59"/>
      </left>
      <right style="double">
        <color rgb="FF9BBB59"/>
      </right>
      <top style="double">
        <color rgb="FF9BBB59"/>
      </top>
      <bottom/>
    </border>
    <border>
      <left/>
      <right style="double">
        <color rgb="FF9BBB59"/>
      </right>
      <top/>
      <bottom style="double">
        <color rgb="FF9BBB59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double">
        <color rgb="FF9BBB59"/>
      </left>
      <right/>
      <top style="double">
        <color rgb="FF9BBB59"/>
      </top>
      <bottom style="double">
        <color rgb="FF9BBB59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double">
        <color rgb="FF9BBB59"/>
      </top>
      <bottom style="double">
        <color rgb="FF9BBB59"/>
      </bottom>
    </border>
    <border>
      <right style="thin">
        <color rgb="FF000000"/>
      </right>
      <top style="hair">
        <color rgb="FFFFFFFF"/>
      </top>
      <bottom style="hair">
        <color rgb="FFFFFFFF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/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FFFFFF"/>
      </bottom>
    </border>
    <border>
      <right style="thin">
        <color rgb="FF000000"/>
      </right>
      <top style="thin">
        <color rgb="FF000000"/>
      </top>
      <bottom style="dotted">
        <color rgb="FFFFFFFF"/>
      </bottom>
    </border>
    <border>
      <right style="thin">
        <color rgb="FF000000"/>
      </right>
      <top style="dotted">
        <color rgb="FFFFFFFF"/>
      </top>
      <bottom style="thin">
        <color rgb="FF000000"/>
      </bottom>
    </border>
    <border>
      <left style="dotted">
        <color rgb="FF000000"/>
      </left>
      <right style="thin">
        <color rgb="FF000000"/>
      </right>
      <top/>
      <bottom style="thin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uble">
        <color rgb="FF9BBB59"/>
      </left>
      <right style="double">
        <color rgb="FF9BBB59"/>
      </right>
      <top/>
      <bottom style="double">
        <color rgb="FF9BBB59"/>
      </bottom>
    </border>
    <border>
      <left style="thin">
        <color rgb="FF000000"/>
      </left>
      <right style="thin">
        <color rgb="FF000000"/>
      </right>
      <top style="dotted">
        <color rgb="FFFFFFFF"/>
      </top>
      <bottom style="dotted">
        <color rgb="FFFFFFFF"/>
      </bottom>
    </border>
    <border>
      <left style="thin">
        <color rgb="FF000000"/>
      </left>
      <right style="thin">
        <color rgb="FF000000"/>
      </right>
      <top style="dotted">
        <color rgb="FFFFFFFF"/>
      </top>
      <bottom/>
    </border>
    <border>
      <left style="dotted">
        <color rgb="FFFFFFFF"/>
      </left>
      <right style="thin">
        <color rgb="FFFFFFFF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dotted">
        <color rgb="FFFFFFFF"/>
      </top>
      <bottom style="thin">
        <color rgb="FF000000"/>
      </bottom>
    </border>
    <border>
      <left style="dotted">
        <color rgb="FFFFFFFF"/>
      </left>
      <right style="thin">
        <color rgb="FFFFFFFF"/>
      </right>
      <top style="dotted">
        <color rgb="FFFFFFFF"/>
      </top>
      <bottom style="thin">
        <color rgb="FF000000"/>
      </bottom>
    </border>
    <border>
      <left/>
      <right style="thin">
        <color rgb="FF000000"/>
      </right>
      <top style="dotted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hair">
        <color rgb="FFFFFFFF"/>
      </top>
    </border>
    <border>
      <left style="dotted">
        <color rgb="FF000000"/>
      </left>
      <right style="thin">
        <color rgb="FF000000"/>
      </right>
      <top style="dotted">
        <color rgb="FF000000"/>
      </top>
      <bottom/>
    </border>
    <border>
      <left style="dotted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 style="thin">
        <color rgb="FF000000"/>
      </left>
      <bottom style="hair">
        <color rgb="FFFFFFFF"/>
      </bottom>
    </border>
    <border>
      <left style="dotted">
        <color rgb="FF000000"/>
      </left>
      <top/>
      <bottom style="dotted">
        <color rgb="FF000000"/>
      </bottom>
    </border>
    <border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dotted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000000"/>
      </left>
      <right style="dotted">
        <color rgb="FFFFFFFF"/>
      </right>
      <top style="dotted">
        <color rgb="FFFFFFFF"/>
      </top>
      <bottom style="thin">
        <color rgb="FF000000"/>
      </bottom>
    </border>
    <border>
      <right style="thin">
        <color rgb="FFFFFFFF"/>
      </right>
      <top style="dotted">
        <color rgb="FFFFFFFF"/>
      </top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dotted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left style="thin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FFFFFF"/>
      </top>
      <bottom/>
    </border>
    <border>
      <left/>
      <right/>
      <top style="hair">
        <color rgb="FFFFFFFF"/>
      </top>
      <bottom/>
    </border>
    <border>
      <left/>
      <right style="thin">
        <color rgb="FF000000"/>
      </right>
      <top style="hair">
        <color rgb="FFFFFFFF"/>
      </top>
      <bottom/>
    </border>
    <border>
      <left style="thin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thin">
        <color rgb="FF000000"/>
      </right>
      <top style="dotted">
        <color rgb="FF000000"/>
      </top>
      <bottom/>
    </border>
    <border>
      <top style="dotted">
        <color rgb="FF000000"/>
      </top>
    </border>
    <border>
      <left style="dotted">
        <color rgb="FF000000"/>
      </left>
      <right/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/>
      <right style="dotted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FFFFFF"/>
      </right>
      <top style="dotted">
        <color rgb="FFFFFFFF"/>
      </top>
    </border>
    <border>
      <left style="thin">
        <color rgb="FF000000"/>
      </left>
      <right style="thin">
        <color rgb="FFFFFFFF"/>
      </right>
      <top style="dotted">
        <color rgb="FFFFFFFF"/>
      </top>
      <bottom style="thin">
        <color rgb="FF000000"/>
      </bottom>
    </border>
    <border>
      <left style="double">
        <color rgb="FF9BBB59"/>
      </left>
      <right style="double">
        <color rgb="FF9BBB59"/>
      </right>
      <top/>
      <bottom/>
    </border>
    <border>
      <left/>
      <right style="double">
        <color rgb="FF9BBB59"/>
      </right>
      <top style="double">
        <color rgb="FF9BBB59"/>
      </top>
      <bottom/>
    </border>
    <border>
      <left style="thin">
        <color rgb="FF000000"/>
      </left>
      <right/>
      <top/>
      <bottom/>
    </border>
    <border>
      <left style="dotted">
        <color rgb="FF000000"/>
      </left>
      <right/>
      <top style="dotted">
        <color rgb="FF000000"/>
      </top>
      <bottom/>
    </border>
    <border>
      <left style="thin">
        <color rgb="FF000000"/>
      </left>
      <right/>
      <top style="thin">
        <color rgb="FF000000"/>
      </top>
      <bottom style="dotted">
        <color rgb="FFFFFFFF"/>
      </bottom>
    </border>
    <border>
      <right style="thin">
        <color rgb="FFFFFFFF"/>
      </right>
      <top style="dotted">
        <color rgb="FFFFFFFF"/>
      </top>
    </border>
    <border>
      <left/>
      <right style="thin">
        <color rgb="FF000000"/>
      </right>
      <top style="dotted">
        <color rgb="FFFFFFFF"/>
      </top>
      <bottom/>
    </border>
    <border>
      <left style="thin">
        <color rgb="FF000000"/>
      </left>
      <right/>
      <top style="dotted">
        <color rgb="FFFFFFFF"/>
      </top>
      <bottom style="thin">
        <color rgb="FF000000"/>
      </bottom>
    </border>
    <border>
      <left style="thin">
        <color rgb="FF000000"/>
      </left>
      <right style="dotted">
        <color rgb="FFFFFFFF"/>
      </right>
      <top style="dotted">
        <color rgb="FFFFFFFF"/>
      </top>
    </border>
    <border>
      <left style="thin">
        <color rgb="FF000000"/>
      </left>
      <right style="dotted">
        <color rgb="FF000000"/>
      </right>
      <top style="dotted">
        <color rgb="FFFFFFFF"/>
      </top>
      <bottom style="thin">
        <color rgb="FF000000"/>
      </bottom>
    </border>
    <border>
      <left style="thin">
        <color rgb="FF000000"/>
      </left>
      <right/>
      <top style="dotted">
        <color rgb="FFFFFFFF"/>
      </top>
      <bottom style="dotted">
        <color rgb="FFFFFFFF"/>
      </bottom>
    </border>
    <border>
      <left style="double">
        <color rgb="FFFF5959"/>
      </left>
      <right style="double">
        <color rgb="FFFF5959"/>
      </right>
      <top/>
      <bottom style="double">
        <color rgb="FFFF5959"/>
      </bottom>
    </border>
    <border>
      <left style="dotted">
        <color rgb="FF000000"/>
      </left>
      <right/>
      <top/>
      <bottom style="dotted">
        <color rgb="FF000000"/>
      </bottom>
    </border>
    <border>
      <left style="dotted">
        <color rgb="FF000000"/>
      </left>
      <right style="thin">
        <color rgb="FF000000"/>
      </right>
      <top/>
      <bottom style="dotted">
        <color rgb="FFFFFFFF"/>
      </bottom>
    </border>
    <border>
      <right style="thin">
        <color rgb="FF000000"/>
      </right>
      <top style="dotted">
        <color rgb="FFFFFFFF"/>
      </top>
      <bottom style="dotted">
        <color rgb="FFFFFFFF"/>
      </bottom>
    </border>
    <border>
      <left style="dotted">
        <color rgb="FF000000"/>
      </left>
      <right style="thin">
        <color rgb="FF000000"/>
      </right>
      <top style="dotted">
        <color rgb="FFFFFFFF"/>
      </top>
      <bottom style="dotted">
        <color rgb="FFFFFFFF"/>
      </bottom>
    </border>
    <border>
      <left style="dotted">
        <color rgb="FF000000"/>
      </left>
      <right style="thin">
        <color rgb="FF000000"/>
      </right>
      <top style="dotted">
        <color rgb="FFFFFFFF"/>
      </top>
      <bottom style="thin">
        <color rgb="FF000000"/>
      </bottom>
    </border>
    <border>
      <left style="dotted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FFFFFF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FFFFFF"/>
      </left>
      <top style="dotted">
        <color rgb="FFFFFFFF"/>
      </top>
      <bottom style="thin">
        <color rgb="FF000000"/>
      </bottom>
    </border>
    <border>
      <top style="dotted">
        <color rgb="FFFFFFFF"/>
      </top>
      <bottom style="thin">
        <color rgb="FF000000"/>
      </bottom>
    </border>
    <border>
      <left style="double">
        <color rgb="FF9BBB59"/>
      </left>
      <right/>
      <top style="double">
        <color rgb="FF9BBB59"/>
      </top>
      <bottom/>
    </border>
    <border>
      <left style="thin">
        <color rgb="FF000000"/>
      </left>
      <right style="thin">
        <color rgb="FF000000"/>
      </right>
      <top style="dotted">
        <color rgb="FFFFFFFF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thin">
        <color rgb="FF000000"/>
      </left>
      <right style="dotted">
        <color rgb="FFFFFFFF"/>
      </right>
      <top style="dotted">
        <color rgb="FF000000"/>
      </top>
      <bottom style="thin">
        <color rgb="FF000000"/>
      </bottom>
    </border>
    <border>
      <right style="thin">
        <color rgb="FFFFFFFF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FFFFFF"/>
      </right>
      <top style="thin">
        <color rgb="FF000000"/>
      </top>
      <bottom style="dotted">
        <color rgb="FFFFFFFF"/>
      </bottom>
    </border>
    <border>
      <left style="thin">
        <color rgb="FF000000"/>
      </left>
      <right style="dotted">
        <color rgb="FFFFFFFF"/>
      </right>
      <top style="dotted">
        <color rgb="FFFFFFFF"/>
      </top>
      <bottom style="dotted">
        <color rgb="FFFFFFFF"/>
      </bottom>
    </border>
    <border>
      <right style="thin">
        <color rgb="FF000000"/>
      </right>
      <top style="dotted">
        <color rgb="FFFFFFFF"/>
      </top>
    </border>
    <border>
      <left style="double">
        <color rgb="FF9BBB59"/>
      </left>
      <right/>
      <top/>
      <bottom/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FFFFFF"/>
      </bottom>
    </border>
    <border>
      <left/>
      <right style="thin">
        <color rgb="FF000000"/>
      </right>
      <top style="dotted">
        <color rgb="FFFFFFFF"/>
      </top>
      <bottom style="dotted">
        <color rgb="FF000000"/>
      </bottom>
    </border>
    <border>
      <left/>
      <right/>
      <top style="dotted">
        <color rgb="FF000000"/>
      </top>
      <bottom/>
    </border>
    <border>
      <left style="thin">
        <color rgb="FF000000"/>
      </left>
      <top/>
      <bottom style="dotted">
        <color rgb="FF000000"/>
      </bottom>
    </border>
    <border>
      <top/>
      <bottom style="dotted">
        <color rgb="FF000000"/>
      </bottom>
    </border>
    <border>
      <left style="thin">
        <color rgb="FF000000"/>
      </left>
      <right/>
      <top style="hair">
        <color rgb="FFFFFFFF"/>
      </top>
      <bottom style="thin">
        <color rgb="FF000000"/>
      </bottom>
    </border>
    <border>
      <left/>
      <right/>
      <top style="hair">
        <color rgb="FFFFFFFF"/>
      </top>
      <bottom style="thin">
        <color rgb="FF000000"/>
      </bottom>
    </border>
    <border>
      <left/>
      <right style="thin">
        <color rgb="FF000000"/>
      </right>
      <top style="hair">
        <color rgb="FFFFFFFF"/>
      </top>
      <bottom style="thin">
        <color rgb="FF000000"/>
      </bottom>
    </border>
    <border>
      <left style="thin">
        <color rgb="FF000000"/>
      </left>
      <top style="hair">
        <color rgb="FFFFFFFF"/>
      </top>
      <bottom style="thin">
        <color rgb="FF000000"/>
      </bottom>
    </border>
    <border>
      <top style="hair">
        <color rgb="FFFFFFFF"/>
      </top>
      <bottom style="thin">
        <color rgb="FF000000"/>
      </bottom>
    </border>
    <border>
      <right style="thin">
        <color rgb="FF000000"/>
      </right>
      <top style="hair">
        <color rgb="FFFFFFFF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medium">
        <color rgb="FF666666"/>
      </left>
      <top/>
    </border>
    <border>
      <top/>
    </border>
    <border>
      <right/>
      <top/>
    </border>
    <border>
      <left style="medium">
        <color rgb="FFEFEFEF"/>
      </left>
      <top style="thin">
        <color rgb="FF000000"/>
      </top>
      <bottom style="medium">
        <color rgb="FFEFEFEF"/>
      </bottom>
    </border>
    <border>
      <top style="thin">
        <color rgb="FF000000"/>
      </top>
      <bottom style="medium">
        <color rgb="FFEFEFEF"/>
      </bottom>
    </border>
    <border>
      <right style="medium">
        <color rgb="FFEFEFEF"/>
      </right>
      <top style="thin">
        <color rgb="FF000000"/>
      </top>
      <bottom style="medium">
        <color rgb="FFEFEFEF"/>
      </bottom>
    </border>
    <border>
      <left style="medium">
        <color rgb="FFEFEFEF"/>
      </left>
      <top/>
      <bottom style="medium">
        <color rgb="FFEFEFEF"/>
      </bottom>
    </border>
    <border>
      <top/>
      <bottom style="medium">
        <color rgb="FFEFEFEF"/>
      </bottom>
    </border>
    <border>
      <right style="medium">
        <color rgb="FFEFEFEF"/>
      </right>
      <top/>
      <bottom style="medium">
        <color rgb="FFEFEFEF"/>
      </bottom>
    </border>
    <border>
      <left/>
      <right style="medium">
        <color rgb="FFEFEFEF"/>
      </right>
      <top/>
      <bottom/>
    </border>
    <border>
      <left/>
      <top/>
      <bottom style="medium">
        <color rgb="FFEFEFEF"/>
      </bottom>
    </border>
    <border>
      <left style="medium">
        <color rgb="FFEFEFEF"/>
      </left>
      <top/>
    </border>
    <border>
      <right style="medium">
        <color rgb="FFEFEFEF"/>
      </right>
      <top/>
    </border>
    <border>
      <left style="medium">
        <color rgb="FFEFEFEF"/>
      </left>
      <right style="medium">
        <color rgb="FFEFEFEF"/>
      </right>
      <top/>
    </border>
    <border>
      <left style="medium">
        <color rgb="FFEFEFEF"/>
      </left>
      <right/>
      <top/>
    </border>
    <border>
      <left style="medium">
        <color rgb="FFEFEFEF"/>
      </left>
      <right style="medium">
        <color rgb="FFEFEFEF"/>
      </right>
      <top/>
      <bottom/>
    </border>
    <border>
      <left style="medium">
        <color rgb="FF666666"/>
      </left>
    </border>
    <border>
      <right/>
    </border>
    <border>
      <left style="medium">
        <color rgb="FFEFEFEF"/>
      </left>
      <top style="medium">
        <color rgb="FFEFEFEF"/>
      </top>
      <bottom style="medium">
        <color rgb="FFEFEFEF"/>
      </bottom>
    </border>
    <border>
      <top style="medium">
        <color rgb="FFEFEFEF"/>
      </top>
      <bottom style="medium">
        <color rgb="FFEFEFEF"/>
      </bottom>
    </border>
    <border>
      <right style="medium">
        <color rgb="FFEFEFEF"/>
      </right>
      <top style="medium">
        <color rgb="FFEFEFEF"/>
      </top>
      <bottom style="medium">
        <color rgb="FFEFEFEF"/>
      </bottom>
    </border>
    <border>
      <left/>
      <top style="medium">
        <color rgb="FFEFEFEF"/>
      </top>
      <bottom style="medium">
        <color rgb="FFEFEFEF"/>
      </bottom>
    </border>
    <border>
      <left style="medium">
        <color rgb="FFEFEFEF"/>
      </left>
      <top style="medium">
        <color rgb="FFEFEFEF"/>
      </top>
    </border>
    <border>
      <right style="medium">
        <color rgb="FFEFEFEF"/>
      </right>
      <top style="medium">
        <color rgb="FFEFEFEF"/>
      </top>
    </border>
    <border>
      <left style="medium">
        <color rgb="FFEFEFEF"/>
      </left>
    </border>
    <border>
      <right style="medium">
        <color rgb="FFEFEFEF"/>
      </right>
    </border>
    <border>
      <left style="medium">
        <color rgb="FFEFEFEF"/>
      </left>
      <right style="medium">
        <color rgb="FFEFEFEF"/>
      </right>
    </border>
    <border>
      <left style="medium">
        <color rgb="FFEFEFEF"/>
      </left>
      <right style="medium">
        <color rgb="FFEFEFEF"/>
      </right>
      <top style="medium">
        <color rgb="FFEFEFEF"/>
      </top>
    </border>
    <border>
      <left style="medium">
        <color rgb="FFEFEFEF"/>
      </left>
      <right/>
    </border>
    <border>
      <left style="medium">
        <color rgb="FF666666"/>
      </left>
      <bottom style="medium">
        <color rgb="FFEFEFEF"/>
      </bottom>
    </border>
    <border>
      <bottom style="medium">
        <color rgb="FFEFEFEF"/>
      </bottom>
    </border>
    <border>
      <right/>
      <bottom style="medium">
        <color rgb="FFEFEFEF"/>
      </bottom>
    </border>
    <border>
      <left style="medium">
        <color rgb="FFEFEFEF"/>
      </left>
      <right/>
      <top style="medium">
        <color rgb="FFEFEFEF"/>
      </top>
      <bottom style="medium">
        <color rgb="FFEFEFEF"/>
      </bottom>
    </border>
    <border>
      <left/>
      <right/>
      <top style="medium">
        <color rgb="FFEFEFEF"/>
      </top>
      <bottom style="medium">
        <color rgb="FFEFEFEF"/>
      </bottom>
    </border>
    <border>
      <left/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bottom style="medium">
        <color rgb="FFEFEFEF"/>
      </bottom>
    </border>
    <border>
      <right style="medium">
        <color rgb="FFEFEFEF"/>
      </right>
      <bottom style="medium">
        <color rgb="FFEFEFEF"/>
      </bottom>
    </border>
    <border>
      <left style="medium">
        <color rgb="FFEFEFEF"/>
      </left>
      <right style="medium">
        <color rgb="FFEFEFEF"/>
      </right>
      <bottom style="medium">
        <color rgb="FFEFEFEF"/>
      </bottom>
    </border>
    <border>
      <left style="medium">
        <color rgb="FFEFEFEF"/>
      </left>
      <right/>
      <bottom style="medium">
        <color rgb="FFEFEFEF"/>
      </bottom>
    </border>
    <border>
      <left style="medium">
        <color rgb="FF666666"/>
      </left>
      <right style="medium">
        <color rgb="FFEFEFEF"/>
      </right>
      <top/>
    </border>
    <border>
      <left/>
      <right/>
      <top/>
      <bottom style="thin">
        <color rgb="FF666666"/>
      </bottom>
    </border>
    <border>
      <left/>
      <right style="medium">
        <color rgb="FF666666"/>
      </right>
      <top/>
      <bottom/>
    </border>
    <border>
      <left style="thin">
        <color rgb="FF000000"/>
      </left>
      <right/>
      <top/>
      <bottom style="medium">
        <color rgb="FFFF5959"/>
      </bottom>
    </border>
    <border>
      <left/>
      <right/>
      <top/>
      <bottom style="medium">
        <color rgb="FFF5AC78"/>
      </bottom>
    </border>
    <border>
      <left/>
      <right/>
      <top/>
      <bottom style="medium">
        <color rgb="FFFAE078"/>
      </bottom>
    </border>
    <border>
      <left/>
      <right/>
      <top/>
      <bottom style="medium">
        <color rgb="FF9DB7F5"/>
      </bottom>
    </border>
    <border>
      <left/>
      <right/>
      <top/>
      <bottom style="medium">
        <color rgb="FFA7DB8D"/>
      </bottom>
    </border>
    <border>
      <left/>
      <right/>
      <top/>
      <bottom style="medium">
        <color rgb="FFFA92B2"/>
      </bottom>
    </border>
    <border>
      <left/>
      <right/>
      <top/>
      <bottom style="medium">
        <color rgb="FFCC99FF"/>
      </bottom>
    </border>
    <border>
      <left style="medium">
        <color rgb="FF666666"/>
      </left>
      <right/>
      <top/>
      <bottom style="medium">
        <color rgb="FFFF5959"/>
      </bottom>
    </border>
    <border>
      <left/>
      <right style="medium">
        <color rgb="FF666666"/>
      </right>
      <top/>
      <bottom style="medium">
        <color rgb="FFCC99FF"/>
      </bottom>
    </border>
    <border>
      <left/>
      <right/>
      <top/>
      <bottom style="medium">
        <color rgb="FFFF5959"/>
      </bottom>
    </border>
    <border>
      <left/>
      <right style="dotted">
        <color rgb="FF666666"/>
      </right>
      <top/>
      <bottom style="thin">
        <color rgb="FF666666"/>
      </bottom>
    </border>
    <border>
      <left style="dotted">
        <color rgb="FF666666"/>
      </left>
      <right/>
      <top/>
      <bottom style="thin">
        <color rgb="FF666666"/>
      </bottom>
    </border>
    <border>
      <left style="medium">
        <color rgb="FF666666"/>
      </left>
      <right/>
      <top/>
      <bottom style="thin">
        <color rgb="FF666666"/>
      </bottom>
    </border>
    <border>
      <left/>
      <right style="medium">
        <color rgb="FF666666"/>
      </right>
      <top/>
      <bottom style="thin">
        <color rgb="FF666666"/>
      </bottom>
    </border>
    <border>
      <left style="medium">
        <color rgb="FF666666"/>
      </left>
      <right style="dotted">
        <color rgb="FFFFFFFF"/>
      </right>
      <top/>
      <bottom style="thin">
        <color rgb="FFEFEFEF"/>
      </bottom>
    </border>
    <border>
      <left style="dotted">
        <color rgb="FFFFFFFF"/>
      </left>
      <right style="medium">
        <color rgb="FFEFEFEF"/>
      </right>
      <top/>
      <bottom style="thin">
        <color rgb="FFEFEFEF"/>
      </bottom>
    </border>
    <border>
      <left/>
      <right style="dotted">
        <color rgb="FFFFFFFF"/>
      </right>
      <top/>
      <bottom style="thin">
        <color rgb="FFEFEFEF"/>
      </bottom>
    </border>
    <border>
      <left style="dotted">
        <color rgb="FFFFFFFF"/>
      </left>
      <right/>
      <top/>
      <bottom style="thin">
        <color rgb="FFEFEFEF"/>
      </bottom>
    </border>
    <border>
      <left style="medium">
        <color rgb="FF666666"/>
      </left>
      <right/>
      <top/>
      <bottom/>
    </border>
    <border>
      <left/>
      <right style="medium">
        <color rgb="FF666666"/>
      </right>
      <top/>
      <bottom style="medium">
        <color rgb="FF666666"/>
      </bottom>
    </border>
    <border>
      <left style="medium">
        <color rgb="FF666666"/>
      </left>
      <top/>
      <bottom style="medium">
        <color rgb="FF666666"/>
      </bottom>
    </border>
    <border>
      <right style="medium">
        <color rgb="FF666666"/>
      </right>
      <top/>
      <bottom style="medium">
        <color rgb="FF666666"/>
      </bottom>
    </border>
    <border>
      <left style="medium">
        <color rgb="FF666666"/>
      </left>
      <right style="thin">
        <color rgb="FF000000"/>
      </right>
      <top style="thin">
        <color rgb="FF000000"/>
      </top>
      <bottom style="thin">
        <color rgb="FF666666"/>
      </bottom>
    </border>
    <border>
      <left style="medium">
        <color rgb="FF666666"/>
      </left>
      <right style="medium">
        <color rgb="FF666666"/>
      </right>
      <bottom style="thin">
        <color rgb="FF666666"/>
      </bottom>
    </border>
    <border>
      <right style="medium">
        <color rgb="FF666666"/>
      </right>
    </border>
    <border>
      <bottom style="medium">
        <color rgb="FF9DB7F5"/>
      </bottom>
    </border>
    <border>
      <bottom style="medium">
        <color rgb="FFFF5959"/>
      </bottom>
    </border>
    <border>
      <left style="medium">
        <color rgb="FF666666"/>
      </left>
      <bottom style="thin">
        <color rgb="FF666666"/>
      </bottom>
    </border>
    <border>
      <right style="medium">
        <color rgb="FF666666"/>
      </right>
      <bottom style="thin">
        <color rgb="FF666666"/>
      </bottom>
    </border>
    <border>
      <bottom style="thin">
        <color rgb="FF666666"/>
      </bottom>
    </border>
    <border>
      <left style="medium">
        <color rgb="FF666666"/>
      </left>
      <right style="medium">
        <color rgb="FF666666"/>
      </right>
    </border>
    <border>
      <left style="medium">
        <color rgb="FF666666"/>
      </left>
      <right style="medium">
        <color rgb="FFEFEFEF"/>
      </right>
    </border>
    <border>
      <left/>
      <right/>
      <top style="thin">
        <color rgb="FF666666"/>
      </top>
      <bottom style="thin">
        <color rgb="FF666666"/>
      </bottom>
    </border>
    <border>
      <left style="thin">
        <color rgb="FF000000"/>
      </left>
      <right/>
      <top style="medium">
        <color rgb="FFFF5959"/>
      </top>
      <bottom style="medium">
        <color rgb="FFFF5959"/>
      </bottom>
    </border>
    <border>
      <left/>
      <right/>
      <top style="medium">
        <color rgb="FFF5AC78"/>
      </top>
      <bottom style="medium">
        <color rgb="FFF5AC78"/>
      </bottom>
    </border>
    <border>
      <left/>
      <right/>
      <top style="medium">
        <color rgb="FFFAE078"/>
      </top>
      <bottom style="medium">
        <color rgb="FFFAE078"/>
      </bottom>
    </border>
    <border>
      <left/>
      <right/>
      <top style="medium">
        <color rgb="FF9DB7F5"/>
      </top>
      <bottom style="medium">
        <color rgb="FF9DB7F5"/>
      </bottom>
    </border>
    <border>
      <left/>
      <right/>
      <top style="medium">
        <color rgb="FFA7DB8D"/>
      </top>
      <bottom style="medium">
        <color rgb="FFA7DB8D"/>
      </bottom>
    </border>
    <border>
      <left/>
      <right/>
      <top style="medium">
        <color rgb="FFFA92B2"/>
      </top>
      <bottom style="medium">
        <color rgb="FFFA92B2"/>
      </bottom>
    </border>
    <border>
      <left/>
      <right/>
      <top style="medium">
        <color rgb="FFCC99FF"/>
      </top>
      <bottom style="medium">
        <color rgb="FFCC99FF"/>
      </bottom>
    </border>
    <border>
      <left style="medium">
        <color rgb="FF666666"/>
      </left>
      <right/>
      <top style="medium">
        <color rgb="FFFF5959"/>
      </top>
      <bottom style="medium">
        <color rgb="FFFF5959"/>
      </bottom>
    </border>
    <border>
      <left/>
      <right style="medium">
        <color rgb="FF666666"/>
      </right>
      <top style="medium">
        <color rgb="FFCC99FF"/>
      </top>
      <bottom style="medium">
        <color rgb="FFCC99FF"/>
      </bottom>
    </border>
    <border>
      <left/>
      <right/>
      <top style="medium">
        <color rgb="FFFF5959"/>
      </top>
      <bottom style="medium">
        <color rgb="FFFF5959"/>
      </bottom>
    </border>
    <border>
      <left/>
      <right style="dotted">
        <color rgb="FF666666"/>
      </right>
      <top style="thin">
        <color rgb="FF666666"/>
      </top>
      <bottom style="thin">
        <color rgb="FF666666"/>
      </bottom>
    </border>
    <border>
      <left style="dotted">
        <color rgb="FF666666"/>
      </left>
      <right/>
      <top style="thin">
        <color rgb="FF666666"/>
      </top>
      <bottom style="thin">
        <color rgb="FF666666"/>
      </bottom>
    </border>
    <border>
      <left style="medium">
        <color rgb="FF666666"/>
      </left>
      <right/>
      <top style="thin">
        <color rgb="FF666666"/>
      </top>
      <bottom style="thin">
        <color rgb="FF666666"/>
      </bottom>
    </border>
    <border>
      <left/>
      <right style="medium">
        <color rgb="FF666666"/>
      </right>
      <top style="thin">
        <color rgb="FF666666"/>
      </top>
      <bottom style="thin">
        <color rgb="FF666666"/>
      </bottom>
    </border>
    <border>
      <left style="medium">
        <color rgb="FF666666"/>
      </left>
      <right style="dotted">
        <color rgb="FFFFFFFF"/>
      </right>
      <top style="thin">
        <color rgb="FFEFEFEF"/>
      </top>
      <bottom style="thin">
        <color rgb="FFEFEFEF"/>
      </bottom>
    </border>
    <border>
      <left style="dotted">
        <color rgb="FFFFFFFF"/>
      </left>
      <right style="medium">
        <color rgb="FFEFEFEF"/>
      </right>
      <top style="thin">
        <color rgb="FFEFEFEF"/>
      </top>
      <bottom style="thin">
        <color rgb="FFEFEFEF"/>
      </bottom>
    </border>
    <border>
      <left/>
      <right style="dotted">
        <color rgb="FFFFFFFF"/>
      </right>
      <top style="thin">
        <color rgb="FFEFEFEF"/>
      </top>
      <bottom style="thin">
        <color rgb="FFEFEFEF"/>
      </bottom>
    </border>
    <border>
      <left style="dotted">
        <color rgb="FFFFFFFF"/>
      </left>
      <right/>
      <top style="thin">
        <color rgb="FFEFEFEF"/>
      </top>
      <bottom style="thin">
        <color rgb="FFEFEFEF"/>
      </bottom>
    </border>
    <border>
      <left/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right style="medium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</border>
    <border>
      <left style="medium">
        <color rgb="FF666666"/>
      </left>
      <right style="medium">
        <color rgb="FF666666"/>
      </right>
      <top style="thin">
        <color rgb="FF666666"/>
      </top>
      <bottom style="thin">
        <color rgb="FF666666"/>
      </bottom>
    </border>
    <border>
      <top style="medium">
        <color rgb="FF9DB7F5"/>
      </top>
      <bottom style="medium">
        <color rgb="FF9DB7F5"/>
      </bottom>
    </border>
    <border>
      <top style="medium">
        <color rgb="FFFF5959"/>
      </top>
      <bottom style="medium">
        <color rgb="FFFF5959"/>
      </bottom>
    </border>
    <border>
      <left style="medium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/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left style="medium">
        <color rgb="FF666666"/>
      </left>
      <right style="dotted">
        <color rgb="FFFFFFFF"/>
      </right>
      <top style="thin">
        <color rgb="FFEFEFEF"/>
      </top>
      <bottom style="thin">
        <color rgb="FF666666"/>
      </bottom>
    </border>
    <border>
      <left/>
      <right style="dotted">
        <color rgb="FFFFFFFF"/>
      </right>
      <top style="thin">
        <color rgb="FFEFEFEF"/>
      </top>
      <bottom style="thin">
        <color rgb="FF666666"/>
      </bottom>
    </border>
    <border>
      <left style="medium">
        <color rgb="FF666666"/>
      </left>
      <right style="dotted">
        <color rgb="FF666666"/>
      </right>
      <top style="thin">
        <color rgb="FF666666"/>
      </top>
      <bottom style="thin">
        <color rgb="FF666666"/>
      </bottom>
    </border>
    <border>
      <left/>
      <right style="medium">
        <color rgb="FFEFEFEF"/>
      </right>
      <top style="thin">
        <color rgb="FFEFEFEF"/>
      </top>
      <bottom style="thin">
        <color rgb="FFEFEFEF"/>
      </bottom>
    </border>
    <border>
      <left/>
      <right/>
      <top style="thin">
        <color rgb="FFEFEFEF"/>
      </top>
      <bottom style="thin">
        <color rgb="FFEFEFEF"/>
      </bottom>
    </border>
    <border>
      <left style="medium">
        <color rgb="FF666666"/>
      </left>
      <right style="dotted">
        <color rgb="FFFFFFFF"/>
      </right>
      <top style="thin">
        <color rgb="FF666666"/>
      </top>
      <bottom style="thin">
        <color rgb="FFEFEFEF"/>
      </bottom>
    </border>
    <border>
      <left/>
      <right style="dotted">
        <color rgb="FFFFFFFF"/>
      </right>
      <top style="thin">
        <color rgb="FF666666"/>
      </top>
      <bottom style="thin">
        <color rgb="FFEFEFEF"/>
      </bottom>
    </border>
    <border>
      <left style="medium">
        <color rgb="FF666666"/>
      </left>
      <right style="dotted">
        <color rgb="FFFFFFFF"/>
      </right>
      <top style="thin">
        <color rgb="FF666666"/>
      </top>
      <bottom style="thin">
        <color rgb="FF666666"/>
      </bottom>
    </border>
    <border>
      <left style="dotted">
        <color rgb="FFFFFFFF"/>
      </left>
      <right style="medium">
        <color rgb="FFEFEFEF"/>
      </right>
      <top style="thin">
        <color rgb="FFEFEFEF"/>
      </top>
      <bottom style="thin">
        <color rgb="FF666666"/>
      </bottom>
    </border>
    <border>
      <left/>
      <right style="dotted">
        <color rgb="FFFFFFFF"/>
      </right>
      <top style="thin">
        <color rgb="FF666666"/>
      </top>
      <bottom style="thin">
        <color rgb="FF666666"/>
      </bottom>
    </border>
    <border>
      <left style="dotted">
        <color rgb="FFFFFFFF"/>
      </left>
      <right/>
      <top style="thin">
        <color rgb="FFEFEFEF"/>
      </top>
      <bottom style="thin">
        <color rgb="FF666666"/>
      </bottom>
    </border>
    <border>
      <left style="medium">
        <color rgb="FF666666"/>
      </left>
      <right style="dotted">
        <color rgb="FF666666"/>
      </right>
      <top style="thin">
        <color rgb="FF666666"/>
      </top>
      <bottom style="thin">
        <color rgb="FFEFEFEF"/>
      </bottom>
    </border>
    <border>
      <left style="medium">
        <color rgb="FF666666"/>
      </left>
      <right style="dotted">
        <color rgb="FF666666"/>
      </right>
      <top style="thin">
        <color rgb="FFEFEFEF"/>
      </top>
      <bottom style="thin">
        <color rgb="FFEFEFEF"/>
      </bottom>
    </border>
    <border>
      <left style="medium">
        <color rgb="FF666666"/>
      </left>
      <right style="dotted">
        <color rgb="FF666666"/>
      </right>
      <top style="thin">
        <color rgb="FFEFEFEF"/>
      </top>
      <bottom style="thin">
        <color rgb="FF666666"/>
      </bottom>
    </border>
    <border>
      <left/>
      <right/>
      <top style="thin">
        <color rgb="FF666666"/>
      </top>
      <bottom style="thin">
        <color rgb="FFEFEFEF"/>
      </bottom>
    </border>
    <border>
      <left/>
      <right/>
      <top style="thin">
        <color rgb="FFEFEFEF"/>
      </top>
      <bottom style="thin">
        <color rgb="FF666666"/>
      </bottom>
    </border>
    <border>
      <left style="medium">
        <color rgb="FF666666"/>
      </left>
      <right/>
      <top style="thin">
        <color rgb="FF666666"/>
      </top>
      <bottom style="thin">
        <color rgb="FFEFEFEF"/>
      </bottom>
    </border>
    <border>
      <left/>
      <right style="dotted">
        <color rgb="FF666666"/>
      </right>
      <top style="thin">
        <color rgb="FF666666"/>
      </top>
      <bottom style="thin">
        <color rgb="FFEFEFEF"/>
      </bottom>
    </border>
    <border>
      <left/>
      <right/>
      <top/>
      <bottom style="thin">
        <color rgb="FFEFEFEF"/>
      </bottom>
    </border>
    <border>
      <left style="medium">
        <color rgb="FF666666"/>
      </left>
      <right/>
      <top style="thin">
        <color rgb="FFEFEFEF"/>
      </top>
      <bottom style="thin">
        <color rgb="FF666666"/>
      </bottom>
    </border>
    <border>
      <left/>
      <right style="dotted">
        <color rgb="FF666666"/>
      </right>
      <top style="thin">
        <color rgb="FFEFEFEF"/>
      </top>
      <bottom style="thin">
        <color rgb="FF666666"/>
      </bottom>
    </border>
    <border>
      <left style="dotted">
        <color rgb="FFFFFFFF"/>
      </left>
      <right style="medium">
        <color rgb="FFEFEFEF"/>
      </right>
      <top style="thin">
        <color rgb="FF666666"/>
      </top>
      <bottom style="thin">
        <color rgb="FFEFEFEF"/>
      </bottom>
    </border>
    <border>
      <left style="dotted">
        <color rgb="FFFFFFFF"/>
      </left>
      <right/>
      <top style="thin">
        <color rgb="FF666666"/>
      </top>
      <bottom style="thin">
        <color rgb="FFEFEFEF"/>
      </bottom>
    </border>
    <border>
      <left style="dotted">
        <color rgb="FF666666"/>
      </left>
      <right/>
      <top/>
      <bottom style="thin">
        <color rgb="FFEFEFEF"/>
      </bottom>
    </border>
    <border>
      <left/>
      <right style="medium">
        <color rgb="FF666666"/>
      </right>
      <top style="thin">
        <color rgb="FF666666"/>
      </top>
      <bottom style="thin">
        <color rgb="FFEFEFEF"/>
      </bottom>
    </border>
    <border>
      <left style="dotted">
        <color rgb="FF666666"/>
      </left>
      <right/>
      <top style="thin">
        <color rgb="FFEFEFEF"/>
      </top>
      <bottom style="thin">
        <color rgb="FFEFEFEF"/>
      </bottom>
    </border>
    <border>
      <left/>
      <right style="medium">
        <color rgb="FF666666"/>
      </right>
      <top style="thin">
        <color rgb="FFEFEFEF"/>
      </top>
      <bottom style="thin">
        <color rgb="FFEFEFEF"/>
      </bottom>
    </border>
    <border>
      <left style="dotted">
        <color rgb="FF666666"/>
      </left>
      <right/>
      <top style="thin">
        <color rgb="FFEFEFEF"/>
      </top>
      <bottom style="thin">
        <color rgb="FF666666"/>
      </bottom>
    </border>
    <border>
      <left/>
      <right style="medium">
        <color rgb="FF666666"/>
      </right>
      <top style="thin">
        <color rgb="FFEFEFEF"/>
      </top>
      <bottom style="thin">
        <color rgb="FF666666"/>
      </bottom>
    </border>
    <border>
      <right style="hair">
        <color rgb="FF000000"/>
      </right>
      <top style="medium">
        <color rgb="FF9DB7F5"/>
      </top>
      <bottom style="medium">
        <color rgb="FF9DB7F5"/>
      </bottom>
    </border>
    <border>
      <top style="medium">
        <color rgb="FF9DB7F5"/>
      </top>
      <bottom style="medium">
        <color rgb="FF666666"/>
      </bottom>
    </border>
    <border>
      <right style="medium">
        <color rgb="FF666666"/>
      </right>
      <top style="medium">
        <color rgb="FF9DB7F5"/>
      </top>
      <bottom style="medium">
        <color rgb="FF666666"/>
      </bottom>
    </border>
    <border>
      <left/>
      <top style="medium">
        <color rgb="FF9DB7F5"/>
      </top>
      <bottom style="medium">
        <color rgb="FF666666"/>
      </bottom>
    </border>
    <border>
      <left style="dotted">
        <color rgb="FFFFFFFF"/>
      </left>
      <right/>
      <top style="thin">
        <color rgb="FF666666"/>
      </top>
      <bottom style="thin">
        <color rgb="FF666666"/>
      </bottom>
    </border>
    <border>
      <left style="dotted">
        <color rgb="FFFFFFFF"/>
      </left>
      <right style="medium">
        <color rgb="FFEFEFEF"/>
      </right>
      <top style="thin">
        <color rgb="FF666666"/>
      </top>
      <bottom style="thin">
        <color rgb="FF666666"/>
      </bottom>
    </border>
    <border>
      <left/>
      <right style="hair">
        <color rgb="FF000000"/>
      </right>
      <top style="medium">
        <color rgb="FF9DB7F5"/>
      </top>
      <bottom style="medium">
        <color rgb="FF9DB7F5"/>
      </bottom>
    </border>
    <border>
      <left/>
      <right style="medium">
        <color rgb="FFEFEFEF"/>
      </right>
      <top style="thin">
        <color rgb="FFEFEFEF"/>
      </top>
      <bottom style="thin">
        <color rgb="FF666666"/>
      </bottom>
    </border>
    <border>
      <left style="medium">
        <color rgb="FF666666"/>
      </left>
      <right style="medium">
        <color rgb="FFEFEFEF"/>
      </right>
      <bottom style="medium">
        <color rgb="FFEFEFEF"/>
      </bottom>
    </border>
    <border>
      <left/>
      <right/>
      <top style="thin">
        <color rgb="FF666666"/>
      </top>
      <bottom/>
    </border>
    <border>
      <left/>
      <right style="dotted">
        <color rgb="FF666666"/>
      </right>
      <top style="thin">
        <color rgb="FF666666"/>
      </top>
      <bottom/>
    </border>
    <border>
      <left style="dotted">
        <color rgb="FF666666"/>
      </left>
      <right/>
      <top style="thin">
        <color rgb="FF666666"/>
      </top>
      <bottom/>
    </border>
    <border>
      <left style="medium">
        <color rgb="FF666666"/>
      </left>
      <right/>
      <top style="thin">
        <color rgb="FF666666"/>
      </top>
      <bottom/>
    </border>
    <border>
      <left style="dotted">
        <color rgb="FF666666"/>
      </left>
      <right/>
      <top/>
      <bottom/>
    </border>
    <border>
      <left/>
      <right style="medium">
        <color rgb="FF666666"/>
      </right>
      <top style="thin">
        <color rgb="FF666666"/>
      </top>
      <bottom/>
    </border>
    <border>
      <left style="medium">
        <color rgb="FF666666"/>
      </left>
      <right style="dotted">
        <color rgb="FF666666"/>
      </right>
      <top style="thin">
        <color rgb="FF666666"/>
      </top>
      <bottom/>
    </border>
    <border>
      <right style="medium">
        <color rgb="FF666666"/>
      </right>
      <top style="thin">
        <color rgb="FF666666"/>
      </top>
    </border>
    <border>
      <left style="medium">
        <color rgb="FF666666"/>
      </left>
      <right style="medium">
        <color rgb="FF666666"/>
      </right>
      <top style="thin">
        <color rgb="FF666666"/>
      </top>
    </border>
    <border>
      <left style="medium">
        <color rgb="FF666666"/>
      </left>
      <top style="thin">
        <color rgb="FF666666"/>
      </top>
    </border>
    <border>
      <left style="medium">
        <color rgb="FF666666"/>
      </left>
      <right/>
      <top style="medium">
        <color rgb="FFEFEFEF"/>
      </top>
    </border>
    <border>
      <left/>
      <right/>
      <top style="medium">
        <color rgb="FF666666"/>
      </top>
      <bottom style="thin">
        <color rgb="FF666666"/>
      </bottom>
    </border>
    <border>
      <left/>
      <right style="dotted">
        <color rgb="FF666666"/>
      </right>
      <top style="medium">
        <color rgb="FF666666"/>
      </top>
      <bottom style="thin">
        <color rgb="FF666666"/>
      </bottom>
    </border>
    <border>
      <left style="dotted">
        <color rgb="FF666666"/>
      </left>
      <right/>
      <top style="medium">
        <color rgb="FF666666"/>
      </top>
      <bottom style="thin">
        <color rgb="FF666666"/>
      </bottom>
    </border>
    <border>
      <left style="medium">
        <color rgb="FF666666"/>
      </left>
      <right/>
      <top style="medium">
        <color rgb="FF666666"/>
      </top>
      <bottom style="thin">
        <color rgb="FF666666"/>
      </bottom>
    </border>
    <border>
      <left/>
      <right style="medium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right style="dotted">
        <color rgb="FF666666"/>
      </right>
      <top style="medium">
        <color rgb="FF666666"/>
      </top>
      <bottom style="thin">
        <color rgb="FF666666"/>
      </bottom>
    </border>
    <border>
      <left/>
      <right style="medium">
        <color rgb="FFEFEFEF"/>
      </right>
      <top style="medium">
        <color rgb="FF666666"/>
      </top>
      <bottom style="thin">
        <color rgb="FFEFEFEF"/>
      </bottom>
    </border>
    <border>
      <left/>
      <right style="dotted">
        <color rgb="FFFFFFFF"/>
      </right>
      <top style="medium">
        <color rgb="FF666666"/>
      </top>
      <bottom style="thin">
        <color rgb="FFEFEFEF"/>
      </bottom>
    </border>
    <border>
      <left style="dotted">
        <color rgb="FFFFFFFF"/>
      </left>
      <right/>
      <top style="medium">
        <color rgb="FF666666"/>
      </top>
      <bottom style="thin">
        <color rgb="FFEFEFEF"/>
      </bottom>
    </border>
    <border>
      <right style="medium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thin">
        <color rgb="FF666666"/>
      </bottom>
    </border>
    <border>
      <top style="medium">
        <color rgb="FF666666"/>
      </top>
      <bottom style="medium">
        <color rgb="FF9DB7F5"/>
      </bottom>
    </border>
    <border>
      <top style="medium">
        <color rgb="FF666666"/>
      </top>
      <bottom style="medium">
        <color rgb="FFFF5959"/>
      </bottom>
    </border>
    <border>
      <left style="medium">
        <color rgb="FF666666"/>
      </left>
      <top style="medium">
        <color rgb="FF666666"/>
      </top>
      <bottom style="thin">
        <color rgb="FF666666"/>
      </bottom>
    </border>
    <border>
      <top style="medium">
        <color rgb="FF666666"/>
      </top>
      <bottom style="thin">
        <color rgb="FF666666"/>
      </bottom>
    </border>
    <border>
      <left style="medium">
        <color rgb="FF666666"/>
      </left>
      <right/>
    </border>
    <border>
      <left style="medium">
        <color rgb="FF666666"/>
      </left>
      <right style="medium">
        <color rgb="FF666666"/>
      </right>
      <top style="thin">
        <color rgb="FF666666"/>
      </top>
      <bottom style="thin">
        <color rgb="FFEFEFEF"/>
      </bottom>
    </border>
    <border>
      <left style="medium">
        <color rgb="FF666666"/>
      </left>
      <right style="medium">
        <color rgb="FF666666"/>
      </right>
      <top style="thin">
        <color rgb="FFEFEFEF"/>
      </top>
      <bottom style="thin">
        <color rgb="FFEFEFEF"/>
      </bottom>
    </border>
    <border>
      <left style="medium">
        <color rgb="FF666666"/>
      </left>
      <right style="medium">
        <color rgb="FF666666"/>
      </right>
      <top style="thin">
        <color rgb="FFEFEFEF"/>
      </top>
      <bottom style="thin">
        <color rgb="FF666666"/>
      </bottom>
    </border>
    <border>
      <left style="dotted">
        <color rgb="FF666666"/>
      </left>
      <right/>
      <top style="thin">
        <color rgb="FF666666"/>
      </top>
      <bottom style="thin">
        <color rgb="FFEFEFEF"/>
      </bottom>
    </border>
    <border>
      <left style="medium">
        <color rgb="FF666666"/>
      </left>
      <right/>
      <bottom style="medium">
        <color rgb="FFEFEFEF"/>
      </bottom>
    </border>
    <border>
      <left style="medium">
        <color rgb="FF666666"/>
      </left>
      <right style="dotted">
        <color rgb="FFFFFFFF"/>
      </right>
      <top style="medium">
        <color rgb="FF666666"/>
      </top>
      <bottom style="thin">
        <color rgb="FFEFEFEF"/>
      </bottom>
    </border>
    <border>
      <left style="dotted">
        <color rgb="FFFFFFFF"/>
      </left>
      <right style="medium">
        <color rgb="FFEFEFEF"/>
      </right>
      <top style="medium">
        <color rgb="FF666666"/>
      </top>
      <bottom style="thin">
        <color rgb="FFEFEFEF"/>
      </bottom>
    </border>
    <border>
      <left/>
      <right style="dotted">
        <color rgb="FF666666"/>
      </right>
      <top style="thin">
        <color rgb="FFEFEFEF"/>
      </top>
      <bottom style="thin">
        <color rgb="FFEFEFEF"/>
      </bottom>
    </border>
    <border>
      <left style="dotted">
        <color rgb="FFFFFFFF"/>
      </left>
      <right/>
      <top/>
      <bottom style="thin">
        <color rgb="FF666666"/>
      </bottom>
    </border>
    <border>
      <left style="medium">
        <color rgb="FF666666"/>
      </left>
      <right/>
      <top style="thin">
        <color rgb="FFEFEFEF"/>
      </top>
      <bottom style="thin">
        <color rgb="FFEFEFEF"/>
      </bottom>
    </border>
    <border>
      <left/>
      <right style="medium">
        <color rgb="FFEFEFEF"/>
      </right>
      <top style="thin">
        <color rgb="FF666666"/>
      </top>
      <bottom style="thin">
        <color rgb="FFEFEFEF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EFEFEF"/>
      </bottom>
    </border>
    <border>
      <left style="medium">
        <color rgb="FF666666"/>
      </left>
      <right style="medium">
        <color rgb="FF666666"/>
      </right>
      <top style="medium">
        <color rgb="FFEFEFEF"/>
      </top>
      <bottom style="medium">
        <color rgb="FFEFEFEF"/>
      </bottom>
    </border>
    <border>
      <left style="medium">
        <color rgb="FF666666"/>
      </left>
      <right style="medium">
        <color rgb="FF666666"/>
      </right>
      <top style="medium">
        <color rgb="FFEFEFEF"/>
      </top>
      <bottom style="medium">
        <color rgb="FF666666"/>
      </bottom>
    </border>
    <border>
      <left/>
      <right/>
      <top style="medium">
        <color rgb="FF666666"/>
      </top>
      <bottom style="thin">
        <color rgb="FFEFEFEF"/>
      </bottom>
    </border>
    <border>
      <left style="medium">
        <color rgb="FF000000"/>
      </left>
      <right/>
      <top style="thin">
        <color rgb="FF666666"/>
      </top>
      <bottom style="thin">
        <color rgb="FF666666"/>
      </bottom>
    </border>
    <border>
      <left style="dotted">
        <color rgb="FFFFFFFF"/>
      </left>
      <right style="thin">
        <color rgb="FFFFFFFF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dotted">
        <color rgb="FFFFFFFF"/>
      </right>
      <top style="thin">
        <color rgb="FF666666"/>
      </top>
      <bottom style="thin">
        <color rgb="FF666666"/>
      </bottom>
    </border>
    <border>
      <left style="dotted">
        <color rgb="FFFFFFFF"/>
      </left>
      <right style="thin">
        <color rgb="FFFFFFFF"/>
      </right>
      <top style="thin">
        <color rgb="FFEFEFEF"/>
      </top>
      <bottom style="thin">
        <color rgb="FF666666"/>
      </bottom>
    </border>
    <border>
      <left style="thin">
        <color rgb="FFFFFFFF"/>
      </left>
      <right style="dotted">
        <color rgb="FFFFFFFF"/>
      </right>
      <top style="thin">
        <color rgb="FF666666"/>
      </top>
      <bottom style="thin">
        <color rgb="FFEFEFEF"/>
      </bottom>
    </border>
    <border>
      <left/>
      <right style="medium">
        <color rgb="FFEFEFEF"/>
      </right>
      <top style="thin">
        <color rgb="FF666666"/>
      </top>
      <bottom style="thin">
        <color rgb="FF666666"/>
      </bottom>
    </border>
    <border>
      <left style="medium">
        <color rgb="FF666666"/>
      </left>
      <right/>
      <bottom style="medium">
        <color rgb="FF666666"/>
      </bottom>
    </border>
    <border>
      <left/>
      <right/>
      <top style="thin">
        <color rgb="FF666666"/>
      </top>
      <bottom style="medium">
        <color rgb="FF666666"/>
      </bottom>
    </border>
    <border>
      <left/>
      <right/>
      <top style="medium">
        <color rgb="FFFF5959"/>
      </top>
      <bottom style="medium">
        <color rgb="FF666666"/>
      </bottom>
    </border>
    <border>
      <left/>
      <right/>
      <top style="medium">
        <color rgb="FFF5AC78"/>
      </top>
      <bottom style="medium">
        <color rgb="FF666666"/>
      </bottom>
    </border>
    <border>
      <left/>
      <right/>
      <top style="medium">
        <color rgb="FFFAE078"/>
      </top>
      <bottom style="medium">
        <color rgb="FF666666"/>
      </bottom>
    </border>
    <border>
      <left/>
      <right/>
      <top style="medium">
        <color rgb="FF9DB7F5"/>
      </top>
      <bottom style="medium">
        <color rgb="FF666666"/>
      </bottom>
    </border>
    <border>
      <left/>
      <right/>
      <top style="medium">
        <color rgb="FFA7DB8D"/>
      </top>
      <bottom style="medium">
        <color rgb="FF666666"/>
      </bottom>
    </border>
    <border>
      <left/>
      <right/>
      <top style="medium">
        <color rgb="FFFA92B2"/>
      </top>
      <bottom style="medium">
        <color rgb="FF666666"/>
      </bottom>
    </border>
    <border>
      <left/>
      <right/>
      <top style="medium">
        <color rgb="FFCC99FF"/>
      </top>
      <bottom style="medium">
        <color rgb="FF666666"/>
      </bottom>
    </border>
    <border>
      <left style="medium">
        <color rgb="FF666666"/>
      </left>
      <right/>
      <top style="medium">
        <color rgb="FFFF5959"/>
      </top>
      <bottom style="medium">
        <color rgb="FF666666"/>
      </bottom>
    </border>
    <border>
      <left/>
      <right style="medium">
        <color rgb="FF666666"/>
      </right>
      <top style="medium">
        <color rgb="FFCC99FF"/>
      </top>
      <bottom style="medium">
        <color rgb="FF666666"/>
      </bottom>
    </border>
    <border>
      <left/>
      <right style="dotted">
        <color rgb="FF666666"/>
      </right>
      <top style="thin">
        <color rgb="FF666666"/>
      </top>
      <bottom style="medium">
        <color rgb="FF666666"/>
      </bottom>
    </border>
    <border>
      <left style="dotted">
        <color rgb="FF666666"/>
      </left>
      <right/>
      <top style="thin">
        <color rgb="FF666666"/>
      </top>
      <bottom style="medium">
        <color rgb="FF666666"/>
      </bottom>
    </border>
    <border>
      <left style="medium">
        <color rgb="FF666666"/>
      </left>
      <right/>
      <top style="thin">
        <color rgb="FF666666"/>
      </top>
      <bottom style="medium">
        <color rgb="FF666666"/>
      </bottom>
    </border>
    <border>
      <left/>
      <right/>
      <top/>
      <bottom style="medium">
        <color rgb="FF666666"/>
      </bottom>
    </border>
    <border>
      <left style="dotted">
        <color rgb="FF666666"/>
      </left>
      <right/>
      <top/>
      <bottom style="medium">
        <color rgb="FF666666"/>
      </bottom>
    </border>
    <border>
      <left/>
      <right style="medium">
        <color rgb="FF666666"/>
      </right>
      <top style="thin">
        <color rgb="FF666666"/>
      </top>
      <bottom style="medium">
        <color rgb="FF666666"/>
      </bottom>
    </border>
    <border>
      <left style="medium">
        <color rgb="FF666666"/>
      </left>
      <right style="dotted">
        <color rgb="FF666666"/>
      </right>
      <top style="thin">
        <color rgb="FF666666"/>
      </top>
      <bottom style="medium">
        <color rgb="FF666666"/>
      </bottom>
    </border>
    <border>
      <left style="medium">
        <color rgb="FF666666"/>
      </left>
      <right/>
      <top/>
      <bottom style="medium">
        <color rgb="FF666666"/>
      </bottom>
    </border>
    <border>
      <right style="medium">
        <color rgb="FF666666"/>
      </right>
      <top style="thin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thin">
        <color rgb="FF666666"/>
      </top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medium">
        <color rgb="FF666666"/>
      </left>
      <bottom style="medium">
        <color rgb="FF666666"/>
      </bottom>
    </border>
    <border>
      <left style="medium">
        <color rgb="FF666666"/>
      </left>
      <top style="thin">
        <color rgb="FF666666"/>
      </top>
      <bottom style="medium">
        <color rgb="FF666666"/>
      </bottom>
    </border>
    <border>
      <top style="thin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top/>
    </border>
    <border>
      <right style="thin">
        <color rgb="FF000000"/>
      </right>
      <top/>
    </border>
    <border>
      <left/>
      <top style="thin">
        <color rgb="FF000000"/>
      </top>
      <bottom style="dotted">
        <color rgb="FF000000"/>
      </bottom>
    </border>
    <border>
      <right/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/>
      <bottom/>
    </border>
    <border>
      <left/>
      <bottom/>
    </border>
    <border>
      <bottom/>
    </border>
    <border>
      <right style="thin">
        <color rgb="FF000000"/>
      </right>
      <bottom/>
    </border>
    <border>
      <left/>
      <top style="dotted">
        <color rgb="FF000000"/>
      </top>
      <bottom style="dotted">
        <color rgb="FF000000"/>
      </bottom>
    </border>
    <border>
      <left/>
      <bottom style="thin">
        <color rgb="FF000000"/>
      </bottom>
    </border>
    <border>
      <right/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dotted">
        <color rgb="FF000000"/>
      </top>
      <bottom style="thin">
        <color rgb="FF000000"/>
      </bottom>
    </border>
    <border>
      <left/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dotted">
        <color rgb="FF000000"/>
      </top>
      <bottom/>
    </border>
    <border>
      <left/>
      <top style="dotted">
        <color rgb="FF000000"/>
      </top>
      <bottom/>
    </border>
    <border>
      <right/>
      <top style="dotted">
        <color rgb="FF000000"/>
      </top>
      <bottom/>
    </border>
    <border>
      <left/>
      <right/>
      <top style="dotted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right/>
      <top style="dotted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tted">
        <color rgb="FF000000"/>
      </left>
      <right/>
      <top style="dotted">
        <color rgb="FF000000"/>
      </top>
      <bottom style="thin">
        <color rgb="FF000000"/>
      </bottom>
    </border>
    <border>
      <left/>
      <right style="dotted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</border>
    <border>
      <left/>
      <top style="thin">
        <color rgb="FF000000"/>
      </top>
      <bottom style="dotted">
        <color rgb="FFFFFFFF"/>
      </bottom>
    </border>
    <border>
      <top style="thin">
        <color rgb="FF000000"/>
      </top>
      <bottom style="dotted">
        <color rgb="FFFFFFFF"/>
      </bottom>
    </border>
    <border>
      <right/>
      <top style="thin">
        <color rgb="FF000000"/>
      </top>
      <bottom style="dotted">
        <color rgb="FFFFFFFF"/>
      </bottom>
    </border>
    <border>
      <left/>
      <right style="thin">
        <color rgb="FF000000"/>
      </right>
      <top style="thin">
        <color rgb="FF000000"/>
      </top>
      <bottom style="dotted">
        <color rgb="FFFFFFFF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top style="dotted">
        <color rgb="FFFFFFFF"/>
      </top>
      <bottom style="dotted">
        <color rgb="FFFFFFFF"/>
      </bottom>
    </border>
    <border>
      <top style="dotted">
        <color rgb="FFFFFFFF"/>
      </top>
      <bottom style="dotted">
        <color rgb="FFFFFFFF"/>
      </bottom>
    </border>
    <border>
      <right/>
      <top style="dotted">
        <color rgb="FFFFFFFF"/>
      </top>
      <bottom style="dotted">
        <color rgb="FFFFFFFF"/>
      </bottom>
    </border>
    <border>
      <left/>
      <right style="thin">
        <color rgb="FF000000"/>
      </right>
      <top style="dotted">
        <color rgb="FFFFFFFF"/>
      </top>
      <bottom style="dotted">
        <color rgb="FFFFFFFF"/>
      </bottom>
    </border>
    <border>
      <left/>
      <top style="dotted">
        <color rgb="FFFFFFFF"/>
      </top>
      <bottom style="thin">
        <color rgb="FF000000"/>
      </bottom>
    </border>
    <border>
      <right/>
      <top style="dotted">
        <color rgb="FFFFFFFF"/>
      </top>
      <bottom style="thin">
        <color rgb="FF000000"/>
      </bottom>
    </border>
    <border>
      <left style="thin">
        <color rgb="FF000000"/>
      </left>
      <right/>
      <top style="dotted">
        <color rgb="FFFFFFFF"/>
      </top>
      <bottom/>
    </border>
    <border>
      <right style="thin">
        <color rgb="FF000000"/>
      </right>
      <top/>
      <bottom/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FFFFFF"/>
      </right>
      <top style="thin">
        <color rgb="FF000000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dotted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FFFFFF"/>
      </right>
      <top style="dotted">
        <color rgb="FF000000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dotted">
        <color rgb="FF000000"/>
      </top>
      <bottom style="dotted">
        <color rgb="FF000000"/>
      </bottom>
    </border>
    <border>
      <left style="thin">
        <color rgb="FFFFFFFF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FFFFFF"/>
      </right>
      <top style="dotted">
        <color rgb="FF000000"/>
      </top>
      <bottom style="dotted">
        <color rgb="FFFFFFFF"/>
      </bottom>
    </border>
    <border>
      <left style="thin">
        <color rgb="FFFFFFFF"/>
      </left>
      <right style="thin">
        <color rgb="FFFFFFFF"/>
      </right>
      <top style="dotted">
        <color rgb="FF000000"/>
      </top>
      <bottom style="dotted">
        <color rgb="FFFFFFFF"/>
      </bottom>
    </border>
    <border>
      <left style="thin">
        <color rgb="FFFFFFFF"/>
      </left>
      <right style="thin">
        <color rgb="FF000000"/>
      </right>
      <top style="dotted">
        <color rgb="FF000000"/>
      </top>
      <bottom style="dotted">
        <color rgb="FFFFFFFF"/>
      </bottom>
    </border>
    <border>
      <left style="thin">
        <color rgb="FF000000"/>
      </left>
      <right style="thin">
        <color rgb="FFFFFFFF"/>
      </right>
      <top style="dotted">
        <color rgb="FFFFFFFF"/>
      </top>
      <bottom style="dotted">
        <color rgb="FFFFFFFF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dotted">
        <color rgb="FFFFFFFF"/>
      </bottom>
    </border>
    <border>
      <left style="thin">
        <color rgb="FFFFFFFF"/>
      </left>
      <right style="thin">
        <color rgb="FF000000"/>
      </right>
      <top style="dotted">
        <color rgb="FFFFFFFF"/>
      </top>
      <bottom style="dotted">
        <color rgb="FFFFFFFF"/>
      </bottom>
    </border>
    <border>
      <left style="thin">
        <color rgb="FF000000"/>
      </left>
      <right/>
      <top style="dotted">
        <color rgb="FF000000"/>
      </top>
    </border>
    <border>
      <left/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FFFFFF"/>
      </right>
      <top style="dotted">
        <color rgb="FFFFFFFF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dotted">
        <color rgb="FF000000"/>
      </bottom>
    </border>
    <border>
      <left style="thin">
        <color rgb="FFFFFFFF"/>
      </left>
      <right style="thin">
        <color rgb="FF000000"/>
      </right>
      <top style="dotted">
        <color rgb="FFFFFFFF"/>
      </top>
      <bottom style="dotted">
        <color rgb="FF000000"/>
      </bottom>
    </border>
    <border>
      <left style="thin">
        <color rgb="FF000000"/>
      </left>
      <right/>
      <bottom style="dotted">
        <color rgb="FF000000"/>
      </bottom>
    </border>
    <border>
      <left/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FFFFFF"/>
      </right>
      <top style="dotted">
        <color rgb="FFFFFFFF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dotted">
        <color rgb="FFFFFFFF"/>
      </bottom>
    </border>
    <border>
      <left style="thin">
        <color rgb="FFFFFFFF"/>
      </left>
      <right/>
      <top style="thin">
        <color rgb="FF000000"/>
      </top>
      <bottom style="dotted">
        <color rgb="FFFFFFFF"/>
      </bottom>
    </border>
    <border>
      <left style="thin">
        <color rgb="FFFFFFFF"/>
      </left>
      <right/>
      <top style="dotted">
        <color rgb="FFFFFFFF"/>
      </top>
      <bottom style="dotted">
        <color rgb="FF000000"/>
      </bottom>
    </border>
    <border>
      <left/>
      <right style="thin">
        <color rgb="FFFFFFFF"/>
      </right>
      <top style="dotted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dotted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dotted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dotted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</border>
    <border>
      <left/>
      <right style="thin">
        <color rgb="FF000000"/>
      </right>
      <bottom/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/>
      <right style="double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dotted">
        <color rgb="FF000000"/>
      </top>
      <bottom/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/>
      <top/>
    </border>
    <border>
      <left style="double">
        <color rgb="FF000000"/>
      </left>
      <right style="thin">
        <color rgb="FF000000"/>
      </right>
      <top/>
      <bottom/>
    </border>
    <border>
      <left style="dotted">
        <color rgb="FF000000"/>
      </left>
    </border>
    <border>
      <right style="double">
        <color rgb="FF000000"/>
      </right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double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 style="double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double">
        <color rgb="FF000000"/>
      </bottom>
    </border>
    <border>
      <top style="dotted">
        <color rgb="FF000000"/>
      </top>
      <bottom style="double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</border>
    <border>
      <right style="double">
        <color rgb="FF000000"/>
      </right>
      <top style="dotted">
        <color rgb="FF000000"/>
      </top>
      <bottom style="double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/>
      <right/>
    </border>
    <border>
      <left/>
      <right/>
      <bottom/>
    </border>
    <border>
      <left style="thin">
        <color rgb="FF000000"/>
      </left>
      <right/>
      <bottom/>
    </border>
    <border>
      <left/>
      <right/>
      <top/>
    </border>
    <border>
      <left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/>
      <right style="thin">
        <color rgb="FF000000"/>
      </right>
      <top/>
    </border>
    <border>
      <left/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/>
      <bottom style="medium">
        <color rgb="FFFF5959"/>
      </bottom>
    </border>
    <border>
      <left style="dotted">
        <color rgb="FF000000"/>
      </left>
      <top/>
      <bottom style="medium">
        <color rgb="FFF5AC78"/>
      </bottom>
    </border>
    <border>
      <right style="dotted">
        <color rgb="FF000000"/>
      </right>
      <top/>
      <bottom style="medium">
        <color rgb="FFF5AC78"/>
      </bottom>
    </border>
    <border>
      <left style="dotted">
        <color rgb="FF000000"/>
      </left>
      <right style="dotted">
        <color rgb="FF000000"/>
      </right>
      <top/>
      <bottom style="medium">
        <color rgb="FFFAE078"/>
      </bottom>
    </border>
    <border>
      <left style="dotted">
        <color rgb="FF000000"/>
      </left>
      <right style="dotted">
        <color rgb="FF000000"/>
      </right>
      <top/>
      <bottom style="medium">
        <color rgb="FF9DB7F5"/>
      </bottom>
    </border>
    <border>
      <left style="dotted">
        <color rgb="FF000000"/>
      </left>
      <top/>
      <bottom style="medium">
        <color rgb="FFA7DB8D"/>
      </bottom>
    </border>
    <border>
      <right style="dotted">
        <color rgb="FF000000"/>
      </right>
      <top/>
      <bottom style="medium">
        <color rgb="FFA7DB8D"/>
      </bottom>
    </border>
    <border>
      <left style="dotted">
        <color rgb="FF000000"/>
      </left>
      <right style="dotted">
        <color rgb="FF000000"/>
      </right>
      <top/>
      <bottom style="medium">
        <color rgb="FFFA92B2"/>
      </bottom>
    </border>
    <border>
      <left style="dotted">
        <color rgb="FF000000"/>
      </left>
      <right style="thin">
        <color rgb="FF000000"/>
      </right>
      <top/>
      <bottom style="medium">
        <color rgb="FFCC99FF"/>
      </bottom>
    </border>
    <border>
      <left style="thin">
        <color rgb="FF000000"/>
      </left>
      <right style="dotted">
        <color rgb="FF000000"/>
      </right>
      <top style="medium">
        <color rgb="FFFF5959"/>
      </top>
      <bottom style="medium">
        <color rgb="FFFF5959"/>
      </bottom>
    </border>
    <border>
      <left style="dotted">
        <color rgb="FF000000"/>
      </left>
      <top style="medium">
        <color rgb="FFF5AC78"/>
      </top>
      <bottom style="medium">
        <color rgb="FFF5AC78"/>
      </bottom>
    </border>
    <border>
      <right style="dotted">
        <color rgb="FF000000"/>
      </right>
      <top style="medium">
        <color rgb="FFF5AC78"/>
      </top>
      <bottom style="medium">
        <color rgb="FFF5AC78"/>
      </bottom>
    </border>
    <border>
      <left style="dotted">
        <color rgb="FF000000"/>
      </left>
      <right style="dotted">
        <color rgb="FF000000"/>
      </right>
      <top style="medium">
        <color rgb="FFFAE078"/>
      </top>
      <bottom style="medium">
        <color rgb="FFFAE078"/>
      </bottom>
    </border>
    <border>
      <left style="dotted">
        <color rgb="FF000000"/>
      </left>
      <right style="dotted">
        <color rgb="FF000000"/>
      </right>
      <top style="medium">
        <color rgb="FF9DB7F5"/>
      </top>
      <bottom style="medium">
        <color rgb="FF9DB7F5"/>
      </bottom>
    </border>
    <border>
      <left style="dotted">
        <color rgb="FF000000"/>
      </left>
      <top style="medium">
        <color rgb="FFA7DB8D"/>
      </top>
      <bottom style="medium">
        <color rgb="FFA7DB8D"/>
      </bottom>
    </border>
    <border>
      <right style="dotted">
        <color rgb="FF000000"/>
      </right>
      <top style="medium">
        <color rgb="FFA7DB8D"/>
      </top>
      <bottom style="medium">
        <color rgb="FFA7DB8D"/>
      </bottom>
    </border>
    <border>
      <left style="dotted">
        <color rgb="FF000000"/>
      </left>
      <right style="dotted">
        <color rgb="FF000000"/>
      </right>
      <top style="medium">
        <color rgb="FFFA92B2"/>
      </top>
      <bottom style="medium">
        <color rgb="FFFA92B2"/>
      </bottom>
    </border>
    <border>
      <left style="dotted">
        <color rgb="FF000000"/>
      </left>
      <right style="thin">
        <color rgb="FF000000"/>
      </right>
      <top style="medium">
        <color rgb="FFCC99FF"/>
      </top>
      <bottom style="medium">
        <color rgb="FFCC99FF"/>
      </bottom>
    </border>
    <border>
      <left style="thin">
        <color rgb="FF000000"/>
      </left>
      <right style="dotted">
        <color rgb="FF000000"/>
      </right>
      <top style="medium">
        <color rgb="FFFF5959"/>
      </top>
      <bottom style="thin">
        <color rgb="FF000000"/>
      </bottom>
    </border>
    <border>
      <left style="dotted">
        <color rgb="FF000000"/>
      </left>
      <top style="medium">
        <color rgb="FFF5AC78"/>
      </top>
      <bottom style="thin">
        <color rgb="FF000000"/>
      </bottom>
    </border>
    <border>
      <right style="dotted">
        <color rgb="FF000000"/>
      </right>
      <top style="medium">
        <color rgb="FFF5AC78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FAE078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9DB7F5"/>
      </top>
      <bottom style="thin">
        <color rgb="FF000000"/>
      </bottom>
    </border>
    <border>
      <left style="dotted">
        <color rgb="FF000000"/>
      </left>
      <top style="medium">
        <color rgb="FFA7DB8D"/>
      </top>
      <bottom style="thin">
        <color rgb="FF000000"/>
      </bottom>
    </border>
    <border>
      <right style="dotted">
        <color rgb="FF000000"/>
      </right>
      <top style="medium">
        <color rgb="FFA7DB8D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FA92B2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medium">
        <color rgb="FFCC99FF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vertical="center"/>
    </xf>
    <xf borderId="6" fillId="0" fontId="1" numFmtId="0" xfId="0" applyBorder="1" applyFont="1"/>
    <xf borderId="6" fillId="0" fontId="5" numFmtId="0" xfId="0" applyBorder="1" applyFont="1"/>
    <xf borderId="0" fillId="0" fontId="6" numFmtId="0" xfId="0" applyFont="1"/>
    <xf borderId="7" fillId="3" fontId="7" numFmtId="0" xfId="0" applyAlignment="1" applyBorder="1" applyFill="1" applyFont="1">
      <alignment horizontal="center"/>
    </xf>
    <xf borderId="8" fillId="4" fontId="7" numFmtId="0" xfId="0" applyAlignment="1" applyBorder="1" applyFill="1" applyFont="1">
      <alignment horizontal="center"/>
    </xf>
    <xf borderId="8" fillId="5" fontId="7" numFmtId="0" xfId="0" applyAlignment="1" applyBorder="1" applyFill="1" applyFont="1">
      <alignment horizontal="center"/>
    </xf>
    <xf borderId="8" fillId="2" fontId="7" numFmtId="0" xfId="0" applyAlignment="1" applyBorder="1" applyFont="1">
      <alignment horizontal="center"/>
    </xf>
    <xf borderId="8" fillId="6" fontId="7" numFmtId="0" xfId="0" applyAlignment="1" applyBorder="1" applyFill="1" applyFont="1">
      <alignment horizontal="center"/>
    </xf>
    <xf borderId="8" fillId="7" fontId="7" numFmtId="0" xfId="0" applyAlignment="1" applyBorder="1" applyFill="1" applyFont="1">
      <alignment horizontal="center"/>
    </xf>
    <xf borderId="9" fillId="8" fontId="7" numFmtId="0" xfId="0" applyAlignment="1" applyBorder="1" applyFill="1" applyFont="1">
      <alignment horizontal="center"/>
    </xf>
    <xf borderId="0" fillId="0" fontId="1" numFmtId="0" xfId="0" applyFont="1"/>
    <xf borderId="10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6" fontId="1" numFmtId="0" xfId="0" applyAlignment="1" applyBorder="1" applyFont="1">
      <alignment horizontal="center"/>
    </xf>
    <xf borderId="16" fillId="0" fontId="1" numFmtId="0" xfId="0" applyBorder="1" applyFont="1"/>
    <xf borderId="17" fillId="0" fontId="5" numFmtId="0" xfId="0" applyBorder="1" applyFont="1"/>
    <xf borderId="3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8" fillId="0" fontId="8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20" fillId="0" fontId="7" numFmtId="0" xfId="0" applyAlignment="1" applyBorder="1" applyFont="1">
      <alignment horizontal="center"/>
    </xf>
    <xf borderId="21" fillId="0" fontId="7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24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19" fillId="0" fontId="1" numFmtId="0" xfId="0" applyBorder="1" applyFont="1"/>
    <xf borderId="20" fillId="0" fontId="1" numFmtId="0" xfId="0" applyBorder="1" applyFont="1"/>
    <xf borderId="25" fillId="0" fontId="1" numFmtId="0" xfId="0" applyBorder="1" applyFont="1"/>
    <xf borderId="23" fillId="0" fontId="1" numFmtId="0" xfId="0" applyBorder="1" applyFont="1"/>
    <xf borderId="11" fillId="0" fontId="5" numFmtId="0" xfId="0" applyBorder="1" applyFont="1"/>
    <xf borderId="23" fillId="0" fontId="7" numFmtId="0" xfId="0" applyBorder="1" applyFont="1"/>
    <xf borderId="26" fillId="0" fontId="7" numFmtId="0" xfId="0" applyAlignment="1" applyBorder="1" applyFont="1">
      <alignment horizontal="center"/>
    </xf>
    <xf borderId="26" fillId="9" fontId="7" numFmtId="0" xfId="0" applyAlignment="1" applyBorder="1" applyFill="1" applyFont="1">
      <alignment horizontal="center"/>
    </xf>
    <xf borderId="0" fillId="0" fontId="1" numFmtId="0" xfId="0" applyAlignment="1" applyFont="1">
      <alignment horizontal="left" shrinkToFit="0" wrapText="1"/>
    </xf>
    <xf borderId="27" fillId="0" fontId="1" numFmtId="10" xfId="0" applyAlignment="1" applyBorder="1" applyFont="1" applyNumberFormat="1">
      <alignment horizontal="left" shrinkToFit="0" wrapText="1"/>
    </xf>
    <xf borderId="24" fillId="0" fontId="7" numFmtId="0" xfId="0" applyBorder="1" applyFont="1"/>
    <xf borderId="28" fillId="0" fontId="7" numFmtId="0" xfId="0" applyBorder="1" applyFont="1"/>
    <xf borderId="26" fillId="0" fontId="9" numFmtId="0" xfId="0" applyAlignment="1" applyBorder="1" applyFont="1">
      <alignment horizontal="center"/>
    </xf>
    <xf borderId="26" fillId="0" fontId="1" numFmtId="0" xfId="0" applyBorder="1" applyFont="1"/>
    <xf borderId="28" fillId="0" fontId="9" numFmtId="0" xfId="0" applyAlignment="1" applyBorder="1" applyFont="1">
      <alignment horizontal="left" shrinkToFit="0" wrapText="1"/>
    </xf>
    <xf borderId="29" fillId="0" fontId="1" numFmtId="0" xfId="0" applyAlignment="1" applyBorder="1" applyFont="1">
      <alignment horizontal="left" shrinkToFit="0" wrapText="1"/>
    </xf>
    <xf borderId="30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left"/>
    </xf>
    <xf borderId="31" fillId="0" fontId="1" numFmtId="0" xfId="0" applyAlignment="1" applyBorder="1" applyFont="1">
      <alignment horizontal="center"/>
    </xf>
    <xf borderId="3" fillId="0" fontId="7" numFmtId="0" xfId="0" applyAlignment="1" applyBorder="1" applyFont="1">
      <alignment horizontal="center" vertical="center"/>
    </xf>
    <xf borderId="32" fillId="0" fontId="5" numFmtId="0" xfId="0" applyBorder="1" applyFont="1"/>
    <xf borderId="0" fillId="0" fontId="1" numFmtId="0" xfId="0" applyAlignment="1" applyFont="1">
      <alignment horizontal="left" vertical="center"/>
    </xf>
    <xf borderId="33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35" fillId="2" fontId="2" numFmtId="0" xfId="0" applyAlignment="1" applyBorder="1" applyFont="1">
      <alignment horizontal="center"/>
    </xf>
    <xf borderId="36" fillId="3" fontId="7" numFmtId="0" xfId="0" applyAlignment="1" applyBorder="1" applyFont="1">
      <alignment horizontal="center"/>
    </xf>
    <xf borderId="37" fillId="4" fontId="7" numFmtId="0" xfId="0" applyAlignment="1" applyBorder="1" applyFont="1">
      <alignment horizontal="center"/>
    </xf>
    <xf borderId="37" fillId="5" fontId="7" numFmtId="0" xfId="0" applyAlignment="1" applyBorder="1" applyFont="1">
      <alignment horizontal="center"/>
    </xf>
    <xf borderId="37" fillId="2" fontId="7" numFmtId="0" xfId="0" applyAlignment="1" applyBorder="1" applyFont="1">
      <alignment horizontal="center"/>
    </xf>
    <xf borderId="37" fillId="6" fontId="7" numFmtId="0" xfId="0" applyAlignment="1" applyBorder="1" applyFont="1">
      <alignment horizontal="center"/>
    </xf>
    <xf borderId="37" fillId="7" fontId="7" numFmtId="0" xfId="0" applyAlignment="1" applyBorder="1" applyFont="1">
      <alignment horizontal="center"/>
    </xf>
    <xf borderId="38" fillId="8" fontId="7" numFmtId="0" xfId="0" applyAlignment="1" applyBorder="1" applyFont="1">
      <alignment horizontal="center"/>
    </xf>
    <xf borderId="39" fillId="0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vertical="center"/>
    </xf>
    <xf borderId="43" fillId="6" fontId="1" numFmtId="0" xfId="0" applyAlignment="1" applyBorder="1" applyFont="1">
      <alignment horizontal="center"/>
    </xf>
    <xf borderId="44" fillId="2" fontId="1" numFmtId="0" xfId="0" applyAlignment="1" applyBorder="1" applyFont="1">
      <alignment horizontal="center"/>
    </xf>
    <xf borderId="45" fillId="10" fontId="1" numFmtId="0" xfId="0" applyBorder="1" applyFill="1" applyFont="1"/>
    <xf borderId="43" fillId="11" fontId="7" numFmtId="0" xfId="0" applyAlignment="1" applyBorder="1" applyFill="1" applyFont="1">
      <alignment horizontal="center"/>
    </xf>
    <xf borderId="45" fillId="11" fontId="7" numFmtId="0" xfId="0" applyAlignment="1" applyBorder="1" applyFont="1">
      <alignment horizontal="center"/>
    </xf>
    <xf borderId="43" fillId="12" fontId="7" numFmtId="0" xfId="0" applyAlignment="1" applyBorder="1" applyFill="1" applyFont="1">
      <alignment horizontal="center"/>
    </xf>
    <xf borderId="46" fillId="12" fontId="7" numFmtId="0" xfId="0" applyAlignment="1" applyBorder="1" applyFont="1">
      <alignment horizontal="center"/>
    </xf>
    <xf borderId="31" fillId="0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43" fillId="0" fontId="1" numFmtId="0" xfId="0" applyBorder="1" applyFont="1"/>
    <xf borderId="45" fillId="0" fontId="1" numFmtId="0" xfId="0" applyBorder="1" applyFont="1"/>
    <xf borderId="48" fillId="0" fontId="1" numFmtId="0" xfId="0" applyBorder="1" applyFont="1"/>
    <xf borderId="31" fillId="0" fontId="1" numFmtId="0" xfId="0" applyBorder="1" applyFont="1"/>
    <xf borderId="31" fillId="0" fontId="7" numFmtId="0" xfId="0" applyBorder="1" applyFont="1"/>
    <xf borderId="49" fillId="0" fontId="7" numFmtId="0" xfId="0" applyAlignment="1" applyBorder="1" applyFont="1">
      <alignment horizontal="center"/>
    </xf>
    <xf borderId="49" fillId="9" fontId="7" numFmtId="0" xfId="0" applyAlignment="1" applyBorder="1" applyFont="1">
      <alignment horizontal="center"/>
    </xf>
    <xf borderId="50" fillId="10" fontId="7" numFmtId="0" xfId="0" applyBorder="1" applyFont="1"/>
    <xf borderId="51" fillId="10" fontId="7" numFmtId="0" xfId="0" applyBorder="1" applyFont="1"/>
    <xf borderId="49" fillId="0" fontId="9" numFmtId="0" xfId="0" applyAlignment="1" applyBorder="1" applyFont="1">
      <alignment horizontal="center"/>
    </xf>
    <xf borderId="49" fillId="10" fontId="7" numFmtId="0" xfId="0" applyBorder="1" applyFont="1"/>
    <xf borderId="51" fillId="10" fontId="9" numFmtId="0" xfId="0" applyAlignment="1" applyBorder="1" applyFont="1">
      <alignment horizontal="left" shrinkToFit="0" wrapText="1"/>
    </xf>
    <xf borderId="51" fillId="10" fontId="1" numFmtId="0" xfId="0" applyBorder="1" applyFont="1"/>
    <xf borderId="22" fillId="0" fontId="1" numFmtId="9" xfId="0" applyAlignment="1" applyBorder="1" applyFont="1" applyNumberFormat="1">
      <alignment horizontal="center"/>
    </xf>
    <xf borderId="52" fillId="0" fontId="1" numFmtId="0" xfId="0" applyAlignment="1" applyBorder="1" applyFont="1">
      <alignment horizontal="center"/>
    </xf>
    <xf borderId="5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37" fillId="9" fontId="10" numFmtId="0" xfId="0" applyAlignment="1" applyBorder="1" applyFont="1">
      <alignment horizontal="center"/>
    </xf>
    <xf borderId="38" fillId="9" fontId="10" numFmtId="0" xfId="0" applyAlignment="1" applyBorder="1" applyFont="1">
      <alignment horizontal="center"/>
    </xf>
    <xf borderId="54" fillId="13" fontId="11" numFmtId="0" xfId="0" applyAlignment="1" applyBorder="1" applyFill="1" applyFont="1">
      <alignment horizontal="center" vertical="center"/>
    </xf>
    <xf borderId="29" fillId="6" fontId="1" numFmtId="0" xfId="0" applyAlignment="1" applyBorder="1" applyFont="1">
      <alignment horizontal="center"/>
    </xf>
    <xf borderId="47" fillId="0" fontId="5" numFmtId="0" xfId="0" applyBorder="1" applyFont="1"/>
    <xf borderId="45" fillId="2" fontId="1" numFmtId="0" xfId="0" applyAlignment="1" applyBorder="1" applyFont="1">
      <alignment horizontal="center"/>
    </xf>
    <xf borderId="43" fillId="0" fontId="7" numFmtId="0" xfId="0" applyAlignment="1" applyBorder="1" applyFont="1">
      <alignment horizontal="center"/>
    </xf>
    <xf borderId="45" fillId="0" fontId="7" numFmtId="0" xfId="0" applyAlignment="1" applyBorder="1" applyFont="1">
      <alignment horizontal="center"/>
    </xf>
    <xf borderId="55" fillId="0" fontId="7" numFmtId="0" xfId="0" applyAlignment="1" applyBorder="1" applyFont="1">
      <alignment horizontal="center"/>
    </xf>
    <xf borderId="47" fillId="0" fontId="7" numFmtId="0" xfId="0" applyBorder="1" applyFont="1"/>
    <xf borderId="22" fillId="0" fontId="7" numFmtId="0" xfId="0" applyBorder="1" applyFont="1"/>
    <xf borderId="49" fillId="0" fontId="7" numFmtId="0" xfId="0" applyBorder="1" applyFont="1"/>
    <xf borderId="22" fillId="0" fontId="9" numFmtId="0" xfId="0" applyAlignment="1" applyBorder="1" applyFont="1">
      <alignment horizontal="left" shrinkToFit="0" wrapText="1"/>
    </xf>
    <xf borderId="2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56" fillId="0" fontId="7" numFmtId="0" xfId="0" applyAlignment="1" applyBorder="1" applyFont="1">
      <alignment horizontal="center" vertical="center"/>
    </xf>
    <xf borderId="57" fillId="0" fontId="7" numFmtId="0" xfId="0" applyAlignment="1" applyBorder="1" applyFont="1">
      <alignment horizontal="center" vertical="center"/>
    </xf>
    <xf borderId="43" fillId="7" fontId="1" numFmtId="0" xfId="0" applyAlignment="1" applyBorder="1" applyFont="1">
      <alignment horizontal="center"/>
    </xf>
    <xf borderId="55" fillId="10" fontId="1" numFmtId="0" xfId="0" applyBorder="1" applyFont="1"/>
    <xf borderId="31" fillId="0" fontId="5" numFmtId="0" xfId="0" applyBorder="1" applyFont="1"/>
    <xf borderId="45" fillId="11" fontId="1" numFmtId="0" xfId="0" applyBorder="1" applyFont="1"/>
    <xf borderId="46" fillId="12" fontId="1" numFmtId="0" xfId="0" applyAlignment="1" applyBorder="1" applyFont="1">
      <alignment horizontal="center"/>
    </xf>
    <xf borderId="49" fillId="10" fontId="1" numFmtId="0" xfId="0" applyBorder="1" applyFont="1"/>
    <xf borderId="44" fillId="7" fontId="1" numFmtId="0" xfId="0" applyAlignment="1" applyBorder="1" applyFont="1">
      <alignment horizontal="center"/>
    </xf>
    <xf borderId="5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center"/>
    </xf>
    <xf borderId="58" fillId="0" fontId="1" numFmtId="0" xfId="0" applyAlignment="1" applyBorder="1" applyFont="1">
      <alignment horizontal="left" vertical="center"/>
    </xf>
    <xf borderId="59" fillId="0" fontId="1" numFmtId="0" xfId="0" applyAlignment="1" applyBorder="1" applyFont="1">
      <alignment horizontal="left" vertical="center"/>
    </xf>
    <xf borderId="60" fillId="0" fontId="1" numFmtId="0" xfId="0" applyAlignment="1" applyBorder="1" applyFont="1">
      <alignment horizontal="center"/>
    </xf>
    <xf borderId="22" fillId="0" fontId="5" numFmtId="0" xfId="0" applyBorder="1" applyFont="1"/>
    <xf borderId="61" fillId="0" fontId="1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4" fillId="6" fontId="2" numFmtId="0" xfId="0" applyAlignment="1" applyBorder="1" applyFont="1">
      <alignment horizontal="center"/>
    </xf>
    <xf borderId="43" fillId="5" fontId="1" numFmtId="0" xfId="0" applyAlignment="1" applyBorder="1" applyFont="1">
      <alignment horizontal="center"/>
    </xf>
    <xf borderId="55" fillId="13" fontId="1" numFmtId="0" xfId="0" applyBorder="1" applyFont="1"/>
    <xf borderId="62" fillId="0" fontId="1" numFmtId="0" xfId="0" applyAlignment="1" applyBorder="1" applyFont="1">
      <alignment horizontal="left" vertical="center"/>
    </xf>
    <xf borderId="63" fillId="0" fontId="1" numFmtId="0" xfId="0" applyAlignment="1" applyBorder="1" applyFont="1">
      <alignment horizontal="left" vertical="center"/>
    </xf>
    <xf borderId="64" fillId="0" fontId="1" numFmtId="0" xfId="0" applyAlignment="1" applyBorder="1" applyFont="1">
      <alignment horizontal="left" vertical="center"/>
    </xf>
    <xf borderId="65" fillId="0" fontId="1" numFmtId="0" xfId="0" applyAlignment="1" applyBorder="1" applyFont="1">
      <alignment horizontal="center"/>
    </xf>
    <xf borderId="49" fillId="0" fontId="1" numFmtId="0" xfId="0" applyBorder="1" applyFont="1"/>
    <xf borderId="0" fillId="0" fontId="12" numFmtId="0" xfId="0" applyFont="1"/>
    <xf borderId="29" fillId="2" fontId="1" numFmtId="0" xfId="0" applyAlignment="1" applyBorder="1" applyFont="1">
      <alignment horizontal="center"/>
    </xf>
    <xf borderId="43" fillId="3" fontId="1" numFmtId="0" xfId="0" applyAlignment="1" applyBorder="1" applyFont="1">
      <alignment horizontal="center"/>
    </xf>
    <xf borderId="66" fillId="0" fontId="1" numFmtId="0" xfId="0" applyBorder="1" applyFont="1"/>
    <xf borderId="67" fillId="0" fontId="1" numFmtId="0" xfId="0" applyBorder="1" applyFont="1"/>
    <xf borderId="51" fillId="10" fontId="1" numFmtId="0" xfId="0" applyBorder="1" applyFont="1"/>
    <xf borderId="3" fillId="0" fontId="13" numFmtId="0" xfId="0" applyAlignment="1" applyBorder="1" applyFont="1">
      <alignment horizontal="center" vertical="center"/>
    </xf>
    <xf borderId="29" fillId="5" fontId="1" numFmtId="0" xfId="0" applyAlignment="1" applyBorder="1" applyFont="1">
      <alignment horizontal="center"/>
    </xf>
    <xf borderId="3" fillId="0" fontId="1" numFmtId="0" xfId="0" applyBorder="1" applyFont="1"/>
    <xf borderId="61" fillId="0" fontId="1" numFmtId="0" xfId="0" applyBorder="1" applyFont="1"/>
    <xf borderId="61" fillId="9" fontId="14" numFmtId="0" xfId="0" applyBorder="1" applyFont="1"/>
    <xf borderId="22" fillId="0" fontId="1" numFmtId="0" xfId="0" applyBorder="1" applyFont="1"/>
    <xf borderId="58" fillId="0" fontId="2" numFmtId="0" xfId="0" applyAlignment="1" applyBorder="1" applyFont="1">
      <alignment horizontal="center"/>
    </xf>
    <xf borderId="37" fillId="9" fontId="13" numFmtId="0" xfId="0" applyAlignment="1" applyBorder="1" applyFont="1">
      <alignment horizontal="center"/>
    </xf>
    <xf borderId="68" fillId="13" fontId="13" numFmtId="0" xfId="0" applyAlignment="1" applyBorder="1" applyFont="1">
      <alignment horizontal="center" vertical="center"/>
    </xf>
    <xf borderId="69" fillId="13" fontId="11" numFmtId="0" xfId="0" applyAlignment="1" applyBorder="1" applyFont="1">
      <alignment horizontal="center" vertical="center"/>
    </xf>
    <xf borderId="17" fillId="0" fontId="1" numFmtId="0" xfId="0" applyBorder="1" applyFont="1"/>
    <xf borderId="50" fillId="10" fontId="9" numFmtId="0" xfId="0" applyAlignment="1" applyBorder="1" applyFont="1">
      <alignment horizontal="left" shrinkToFit="0" wrapText="1"/>
    </xf>
    <xf borderId="2" fillId="14" fontId="2" numFmtId="0" xfId="0" applyAlignment="1" applyBorder="1" applyFill="1" applyFont="1">
      <alignment horizontal="center"/>
    </xf>
    <xf borderId="4" fillId="14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70" fillId="13" fontId="11" numFmtId="0" xfId="0" applyAlignment="1" applyBorder="1" applyFont="1">
      <alignment horizontal="center" vertical="center"/>
    </xf>
    <xf borderId="29" fillId="4" fontId="1" numFmtId="0" xfId="0" applyAlignment="1" applyBorder="1" applyFont="1">
      <alignment horizontal="center"/>
    </xf>
    <xf borderId="47" fillId="0" fontId="9" numFmtId="0" xfId="0" applyAlignment="1" applyBorder="1" applyFont="1">
      <alignment horizontal="left" shrinkToFit="0" wrapText="1"/>
    </xf>
    <xf borderId="71" fillId="13" fontId="11" numFmtId="0" xfId="0" applyAlignment="1" applyBorder="1" applyFont="1">
      <alignment horizontal="center" vertical="center"/>
    </xf>
    <xf borderId="72" fillId="0" fontId="1" numFmtId="0" xfId="0" applyBorder="1" applyFont="1"/>
    <xf borderId="29" fillId="7" fontId="1" numFmtId="0" xfId="0" applyAlignment="1" applyBorder="1" applyFont="1">
      <alignment horizontal="center"/>
    </xf>
    <xf borderId="73" fillId="0" fontId="1" numFmtId="0" xfId="0" applyBorder="1" applyFont="1"/>
    <xf borderId="74" fillId="0" fontId="1" numFmtId="0" xfId="0" applyAlignment="1" applyBorder="1" applyFont="1">
      <alignment horizontal="center"/>
    </xf>
    <xf borderId="75" fillId="0" fontId="1" numFmtId="0" xfId="0" applyAlignment="1" applyBorder="1" applyFont="1">
      <alignment horizontal="center"/>
    </xf>
    <xf borderId="2" fillId="8" fontId="2" numFmtId="0" xfId="0" applyAlignment="1" applyBorder="1" applyFont="1">
      <alignment horizontal="center"/>
    </xf>
    <xf borderId="4" fillId="8" fontId="2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55" fillId="0" fontId="1" numFmtId="0" xfId="0" applyBorder="1" applyFont="1"/>
    <xf borderId="76" fillId="15" fontId="1" numFmtId="0" xfId="0" applyAlignment="1" applyBorder="1" applyFill="1" applyFont="1">
      <alignment horizontal="center"/>
    </xf>
    <xf borderId="18" fillId="0" fontId="1" numFmtId="0" xfId="0" applyAlignment="1" applyBorder="1" applyFont="1">
      <alignment horizontal="center"/>
    </xf>
    <xf borderId="77" fillId="13" fontId="11" numFmtId="0" xfId="0" applyAlignment="1" applyBorder="1" applyFont="1">
      <alignment horizontal="center" vertical="center"/>
    </xf>
    <xf borderId="60" fillId="0" fontId="1" numFmtId="0" xfId="0" applyBorder="1" applyFont="1"/>
    <xf borderId="67" fillId="0" fontId="7" numFmtId="0" xfId="0" applyBorder="1" applyFont="1"/>
    <xf borderId="18" fillId="0" fontId="15" numFmtId="0" xfId="0" applyAlignment="1" applyBorder="1" applyFont="1">
      <alignment horizontal="center"/>
    </xf>
    <xf borderId="29" fillId="0" fontId="1" numFmtId="0" xfId="0" applyBorder="1" applyFont="1"/>
    <xf borderId="78" fillId="9" fontId="14" numFmtId="0" xfId="0" applyBorder="1" applyFont="1"/>
    <xf borderId="66" fillId="9" fontId="14" numFmtId="0" xfId="0" applyBorder="1" applyFont="1"/>
    <xf borderId="43" fillId="4" fontId="1" numFmtId="0" xfId="0" applyAlignment="1" applyBorder="1" applyFont="1">
      <alignment horizontal="center"/>
    </xf>
    <xf borderId="65" fillId="0" fontId="1" numFmtId="0" xfId="0" applyBorder="1" applyFont="1"/>
    <xf borderId="17" fillId="0" fontId="7" numFmtId="0" xfId="0" applyBorder="1" applyFont="1"/>
    <xf borderId="79" fillId="13" fontId="11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80" fillId="0" fontId="7" numFmtId="0" xfId="0" applyAlignment="1" applyBorder="1" applyFont="1">
      <alignment horizontal="center" vertical="center"/>
    </xf>
    <xf borderId="0" fillId="0" fontId="1" numFmtId="9" xfId="0" applyAlignment="1" applyFont="1" applyNumberFormat="1">
      <alignment horizontal="left" shrinkToFit="0" wrapText="1"/>
    </xf>
    <xf borderId="29" fillId="3" fontId="1" numFmtId="0" xfId="0" applyAlignment="1" applyBorder="1" applyFont="1">
      <alignment horizontal="center"/>
    </xf>
    <xf borderId="29" fillId="0" fontId="1" numFmtId="0" xfId="0" applyAlignment="1" applyBorder="1" applyFont="1">
      <alignment horizontal="left"/>
    </xf>
    <xf borderId="22" fillId="0" fontId="16" numFmtId="0" xfId="0" applyAlignment="1" applyBorder="1" applyFont="1">
      <alignment horizontal="left"/>
    </xf>
    <xf borderId="22" fillId="0" fontId="17" numFmtId="0" xfId="0" applyAlignment="1" applyBorder="1" applyFont="1">
      <alignment horizontal="center"/>
    </xf>
    <xf borderId="22" fillId="0" fontId="18" numFmtId="9" xfId="0" applyAlignment="1" applyBorder="1" applyFont="1" applyNumberFormat="1">
      <alignment horizontal="center"/>
    </xf>
    <xf borderId="31" fillId="0" fontId="19" numFmtId="0" xfId="0" applyAlignment="1" applyBorder="1" applyFont="1">
      <alignment horizontal="center"/>
    </xf>
    <xf borderId="3" fillId="0" fontId="20" numFmtId="0" xfId="0" applyAlignment="1" applyBorder="1" applyFont="1">
      <alignment horizontal="center" vertical="center"/>
    </xf>
    <xf borderId="45" fillId="13" fontId="1" numFmtId="0" xfId="0" applyBorder="1" applyFont="1"/>
    <xf borderId="81" fillId="12" fontId="7" numFmtId="0" xfId="0" applyAlignment="1" applyBorder="1" applyFont="1">
      <alignment horizontal="center"/>
    </xf>
    <xf borderId="82" fillId="0" fontId="1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83" fillId="9" fontId="14" numFmtId="0" xfId="0" applyAlignment="1" applyBorder="1" applyFont="1">
      <alignment horizontal="center"/>
    </xf>
    <xf borderId="84" fillId="0" fontId="1" numFmtId="0" xfId="0" applyAlignment="1" applyBorder="1" applyFont="1">
      <alignment horizontal="center"/>
    </xf>
    <xf borderId="66" fillId="9" fontId="14" numFmtId="0" xfId="0" applyAlignment="1" applyBorder="1" applyFont="1">
      <alignment horizontal="center"/>
    </xf>
    <xf borderId="51" fillId="12" fontId="1" numFmtId="0" xfId="0" applyAlignment="1" applyBorder="1" applyFont="1">
      <alignment horizontal="center"/>
    </xf>
    <xf borderId="85" fillId="0" fontId="1" numFmtId="0" xfId="0" applyAlignment="1" applyBorder="1" applyFont="1">
      <alignment horizontal="center"/>
    </xf>
    <xf borderId="86" fillId="15" fontId="1" numFmtId="0" xfId="0" applyAlignment="1" applyBorder="1" applyFont="1">
      <alignment horizontal="center"/>
    </xf>
    <xf borderId="72" fillId="0" fontId="7" numFmtId="0" xfId="0" applyAlignment="1" applyBorder="1" applyFont="1">
      <alignment horizontal="center"/>
    </xf>
    <xf borderId="3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left" vertical="center"/>
    </xf>
    <xf borderId="87" fillId="0" fontId="1" numFmtId="0" xfId="0" applyAlignment="1" applyBorder="1" applyFont="1">
      <alignment horizontal="center"/>
    </xf>
    <xf borderId="43" fillId="2" fontId="1" numFmtId="0" xfId="0" applyAlignment="1" applyBorder="1" applyFont="1">
      <alignment horizontal="center"/>
    </xf>
    <xf borderId="83" fillId="0" fontId="1" numFmtId="0" xfId="0" applyAlignment="1" applyBorder="1" applyFont="1">
      <alignment horizontal="center"/>
    </xf>
    <xf borderId="88" fillId="13" fontId="11" numFmtId="0" xfId="0" applyAlignment="1" applyBorder="1" applyFont="1">
      <alignment horizontal="center" vertical="center"/>
    </xf>
    <xf borderId="55" fillId="0" fontId="21" numFmtId="0" xfId="0" applyAlignment="1" applyBorder="1" applyFont="1">
      <alignment horizontal="center"/>
    </xf>
    <xf borderId="89" fillId="0" fontId="1" numFmtId="0" xfId="0" applyAlignment="1" applyBorder="1" applyFont="1">
      <alignment horizontal="center"/>
    </xf>
    <xf borderId="51" fillId="15" fontId="14" numFmtId="0" xfId="0" applyAlignment="1" applyBorder="1" applyFont="1">
      <alignment horizontal="center"/>
    </xf>
    <xf borderId="51" fillId="15" fontId="1" numFmtId="0" xfId="0" applyAlignment="1" applyBorder="1" applyFont="1">
      <alignment horizontal="center"/>
    </xf>
    <xf borderId="46" fillId="12" fontId="21" numFmtId="0" xfId="0" applyAlignment="1" applyBorder="1" applyFont="1">
      <alignment horizontal="center"/>
    </xf>
    <xf borderId="66" fillId="0" fontId="1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90" fillId="9" fontId="14" numFmtId="0" xfId="0" applyBorder="1" applyFont="1"/>
    <xf borderId="45" fillId="5" fontId="1" numFmtId="0" xfId="0" applyAlignment="1" applyBorder="1" applyFont="1">
      <alignment horizontal="center"/>
    </xf>
    <xf borderId="58" fillId="0" fontId="1" numFmtId="0" xfId="0" applyBorder="1" applyFont="1"/>
    <xf borderId="91" fillId="0" fontId="1" numFmtId="0" xfId="0" applyBorder="1" applyFont="1"/>
    <xf borderId="92" fillId="9" fontId="14" numFmtId="0" xfId="0" applyBorder="1" applyFont="1"/>
    <xf borderId="93" fillId="0" fontId="1" numFmtId="0" xfId="0" applyBorder="1" applyFont="1"/>
    <xf borderId="94" fillId="0" fontId="1" numFmtId="0" xfId="0" applyBorder="1" applyFont="1"/>
    <xf borderId="95" fillId="9" fontId="14" numFmtId="0" xfId="0" applyBorder="1" applyFont="1"/>
    <xf borderId="50" fillId="10" fontId="1" numFmtId="0" xfId="0" applyAlignment="1" applyBorder="1" applyFont="1">
      <alignment horizontal="left" shrinkToFit="0" wrapText="1"/>
    </xf>
    <xf borderId="0" fillId="0" fontId="10" numFmtId="0" xfId="0" applyAlignment="1" applyFont="1">
      <alignment horizontal="left" vertical="center"/>
    </xf>
    <xf borderId="47" fillId="0" fontId="1" numFmtId="0" xfId="0" applyAlignment="1" applyBorder="1" applyFont="1">
      <alignment horizontal="left" shrinkToFit="0" wrapText="1"/>
    </xf>
    <xf borderId="96" fillId="10" fontId="7" numFmtId="0" xfId="0" applyBorder="1" applyFont="1"/>
    <xf borderId="2" fillId="16" fontId="2" numFmtId="0" xfId="0" applyAlignment="1" applyBorder="1" applyFill="1" applyFont="1">
      <alignment horizontal="center"/>
    </xf>
    <xf borderId="4" fillId="16" fontId="2" numFmtId="0" xfId="0" applyAlignment="1" applyBorder="1" applyFont="1">
      <alignment horizontal="center"/>
    </xf>
    <xf borderId="97" fillId="10" fontId="1" numFmtId="0" xfId="0" applyBorder="1" applyFont="1"/>
    <xf borderId="98" fillId="0" fontId="7" numFmtId="0" xfId="0" applyBorder="1" applyFont="1"/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99" fillId="0" fontId="1" numFmtId="0" xfId="0" applyBorder="1" applyFont="1"/>
    <xf borderId="5" fillId="0" fontId="1" numFmtId="0" xfId="0" applyBorder="1" applyFont="1"/>
    <xf borderId="100" fillId="10" fontId="1" numFmtId="0" xfId="0" applyBorder="1" applyFont="1"/>
    <xf borderId="27" fillId="0" fontId="1" numFmtId="0" xfId="0" applyAlignment="1" applyBorder="1" applyFont="1">
      <alignment horizontal="left" shrinkToFit="0" wrapText="1"/>
    </xf>
    <xf borderId="22" fillId="0" fontId="22" numFmtId="0" xfId="0" applyBorder="1" applyFont="1"/>
    <xf borderId="101" fillId="0" fontId="7" numFmtId="0" xfId="0" applyAlignment="1" applyBorder="1" applyFont="1">
      <alignment horizontal="center" vertical="center"/>
    </xf>
    <xf borderId="102" fillId="10" fontId="1" numFmtId="0" xfId="0" applyBorder="1" applyFont="1"/>
    <xf borderId="51" fillId="10" fontId="22" numFmtId="0" xfId="0" applyBorder="1" applyFont="1"/>
    <xf borderId="36" fillId="9" fontId="10" numFmtId="0" xfId="0" applyAlignment="1" applyBorder="1" applyFont="1">
      <alignment horizontal="center"/>
    </xf>
    <xf borderId="103" fillId="9" fontId="10" numFmtId="0" xfId="0" applyAlignment="1" applyBorder="1" applyFont="1">
      <alignment horizontal="center"/>
    </xf>
    <xf borderId="104" fillId="0" fontId="5" numFmtId="0" xfId="0" applyBorder="1" applyFont="1"/>
    <xf borderId="105" fillId="9" fontId="10" numFmtId="0" xfId="0" applyAlignment="1" applyBorder="1" applyFont="1">
      <alignment horizontal="center"/>
    </xf>
    <xf borderId="106" fillId="0" fontId="7" numFmtId="0" xfId="0" applyAlignment="1" applyBorder="1" applyFont="1">
      <alignment horizontal="center" vertical="center"/>
    </xf>
    <xf borderId="107" fillId="10" fontId="1" numFmtId="0" xfId="0" applyBorder="1" applyFont="1"/>
    <xf borderId="108" fillId="0" fontId="5" numFmtId="0" xfId="0" applyBorder="1" applyFont="1"/>
    <xf borderId="100" fillId="17" fontId="7" numFmtId="0" xfId="0" applyBorder="1" applyFill="1" applyFont="1"/>
    <xf borderId="96" fillId="10" fontId="1" numFmtId="0" xfId="0" applyBorder="1" applyFont="1"/>
    <xf borderId="44" fillId="4" fontId="1" numFmtId="0" xfId="0" applyAlignment="1" applyBorder="1" applyFont="1">
      <alignment horizontal="center"/>
    </xf>
    <xf borderId="3" fillId="0" fontId="15" numFmtId="0" xfId="0" applyAlignment="1" applyBorder="1" applyFont="1">
      <alignment horizontal="center"/>
    </xf>
    <xf borderId="109" fillId="0" fontId="1" numFmtId="0" xfId="0" applyBorder="1" applyFont="1"/>
    <xf borderId="110" fillId="0" fontId="1" numFmtId="0" xfId="0" applyBorder="1" applyFont="1"/>
    <xf borderId="111" fillId="0" fontId="1" numFmtId="0" xfId="0" applyBorder="1" applyFont="1"/>
    <xf borderId="112" fillId="0" fontId="1" numFmtId="0" xfId="0" applyBorder="1" applyFont="1"/>
    <xf borderId="98" fillId="0" fontId="1" numFmtId="0" xfId="0" applyBorder="1" applyFont="1"/>
    <xf borderId="113" fillId="0" fontId="1" numFmtId="0" xfId="0" applyBorder="1" applyFont="1"/>
    <xf borderId="114" fillId="0" fontId="1" numFmtId="0" xfId="0" applyBorder="1" applyFont="1"/>
    <xf borderId="99" fillId="0" fontId="7" numFmtId="0" xfId="0" applyBorder="1" applyFont="1"/>
    <xf borderId="52" fillId="0" fontId="1" numFmtId="0" xfId="0" applyBorder="1" applyFont="1"/>
    <xf borderId="53" fillId="0" fontId="1" numFmtId="0" xfId="0" applyBorder="1" applyFont="1"/>
    <xf borderId="18" fillId="0" fontId="7" numFmtId="0" xfId="0" applyBorder="1" applyFont="1"/>
    <xf borderId="115" fillId="0" fontId="1" numFmtId="0" xfId="0" applyBorder="1" applyFont="1"/>
    <xf borderId="116" fillId="9" fontId="14" numFmtId="0" xfId="0" applyBorder="1" applyFont="1"/>
    <xf borderId="44" fillId="6" fontId="1" numFmtId="0" xfId="0" applyAlignment="1" applyBorder="1" applyFont="1">
      <alignment horizontal="center"/>
    </xf>
    <xf borderId="117" fillId="0" fontId="7" numFmtId="0" xfId="0" applyAlignment="1" applyBorder="1" applyFont="1">
      <alignment horizontal="center"/>
    </xf>
    <xf borderId="118" fillId="12" fontId="7" numFmtId="0" xfId="0" applyAlignment="1" applyBorder="1" applyFont="1">
      <alignment horizontal="center"/>
    </xf>
    <xf borderId="119" fillId="9" fontId="14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18" fillId="0" fontId="1" numFmtId="0" xfId="0" applyBorder="1" applyFont="1"/>
    <xf borderId="120" fillId="0" fontId="1" numFmtId="0" xfId="0" applyBorder="1" applyFont="1"/>
    <xf borderId="51" fillId="8" fontId="7" numFmtId="0" xfId="0" applyBorder="1" applyFont="1"/>
    <xf borderId="121" fillId="10" fontId="1" numFmtId="0" xfId="0" applyBorder="1" applyFont="1"/>
    <xf borderId="97" fillId="10" fontId="7" numFmtId="0" xfId="0" applyBorder="1" applyFont="1"/>
    <xf borderId="2" fillId="18" fontId="2" numFmtId="0" xfId="0" applyAlignment="1" applyBorder="1" applyFill="1" applyFont="1">
      <alignment horizontal="center"/>
    </xf>
    <xf borderId="4" fillId="18" fontId="2" numFmtId="0" xfId="0" applyAlignment="1" applyBorder="1" applyFont="1">
      <alignment horizontal="center"/>
    </xf>
    <xf borderId="122" fillId="0" fontId="1" numFmtId="0" xfId="0" applyBorder="1" applyFont="1"/>
    <xf borderId="123" fillId="3" fontId="7" numFmtId="0" xfId="0" applyAlignment="1" applyBorder="1" applyFont="1">
      <alignment horizontal="center"/>
    </xf>
    <xf borderId="124" fillId="4" fontId="7" numFmtId="0" xfId="0" applyAlignment="1" applyBorder="1" applyFont="1">
      <alignment horizontal="center"/>
    </xf>
    <xf borderId="124" fillId="5" fontId="7" numFmtId="0" xfId="0" applyAlignment="1" applyBorder="1" applyFont="1">
      <alignment horizontal="center"/>
    </xf>
    <xf borderId="124" fillId="2" fontId="7" numFmtId="0" xfId="0" applyAlignment="1" applyBorder="1" applyFont="1">
      <alignment horizontal="center"/>
    </xf>
    <xf borderId="124" fillId="6" fontId="7" numFmtId="0" xfId="0" applyAlignment="1" applyBorder="1" applyFont="1">
      <alignment horizontal="center"/>
    </xf>
    <xf borderId="124" fillId="7" fontId="7" numFmtId="0" xfId="0" applyAlignment="1" applyBorder="1" applyFont="1">
      <alignment horizontal="center"/>
    </xf>
    <xf borderId="125" fillId="8" fontId="7" numFmtId="0" xfId="0" applyAlignment="1" applyBorder="1" applyFont="1">
      <alignment horizontal="center"/>
    </xf>
    <xf borderId="126" fillId="3" fontId="1" numFmtId="0" xfId="0" applyAlignment="1" applyBorder="1" applyFont="1">
      <alignment horizontal="center"/>
    </xf>
    <xf borderId="127" fillId="0" fontId="5" numFmtId="0" xfId="0" applyBorder="1" applyFont="1"/>
    <xf borderId="128" fillId="0" fontId="5" numFmtId="0" xfId="0" applyBorder="1" applyFont="1"/>
    <xf borderId="73" fillId="0" fontId="7" numFmtId="0" xfId="0" applyAlignment="1" applyBorder="1" applyFont="1">
      <alignment horizontal="center"/>
    </xf>
    <xf borderId="117" fillId="0" fontId="1" numFmtId="0" xfId="0" applyAlignment="1" applyBorder="1" applyFont="1">
      <alignment horizontal="center"/>
    </xf>
    <xf borderId="98" fillId="0" fontId="7" numFmtId="0" xfId="0" applyAlignment="1" applyBorder="1" applyFont="1">
      <alignment horizontal="center"/>
    </xf>
    <xf borderId="96" fillId="9" fontId="7" numFmtId="0" xfId="0" applyAlignment="1" applyBorder="1" applyFont="1">
      <alignment horizontal="center"/>
    </xf>
    <xf borderId="129" fillId="0" fontId="7" numFmtId="0" xfId="0" applyBorder="1" applyFont="1"/>
    <xf borderId="129" fillId="0" fontId="1" numFmtId="0" xfId="0" applyBorder="1" applyFont="1"/>
    <xf borderId="98" fillId="0" fontId="9" numFmtId="0" xfId="0" applyAlignment="1" applyBorder="1" applyFont="1">
      <alignment horizontal="center"/>
    </xf>
    <xf borderId="82" fillId="0" fontId="9" numFmtId="0" xfId="0" applyAlignment="1" applyBorder="1" applyFont="1">
      <alignment horizontal="left" shrinkToFit="0" wrapText="1"/>
    </xf>
    <xf borderId="129" fillId="0" fontId="9" numFmtId="0" xfId="0" applyAlignment="1" applyBorder="1" applyFont="1">
      <alignment horizontal="left" shrinkToFit="0" wrapText="1"/>
    </xf>
    <xf borderId="19" fillId="2" fontId="1" numFmtId="0" xfId="0" applyAlignment="1" applyBorder="1" applyFont="1">
      <alignment horizontal="center"/>
    </xf>
    <xf borderId="21" fillId="11" fontId="1" numFmtId="0" xfId="0" applyBorder="1" applyFont="1"/>
    <xf borderId="23" fillId="0" fontId="5" numFmtId="0" xfId="0" applyBorder="1" applyFont="1"/>
    <xf borderId="19" fillId="11" fontId="7" numFmtId="0" xfId="0" applyAlignment="1" applyBorder="1" applyFont="1">
      <alignment horizontal="center"/>
    </xf>
    <xf borderId="20" fillId="11" fontId="1" numFmtId="0" xfId="0" applyBorder="1" applyFont="1"/>
    <xf borderId="19" fillId="12" fontId="7" numFmtId="0" xfId="0" applyAlignment="1" applyBorder="1" applyFont="1">
      <alignment horizontal="center"/>
    </xf>
    <xf borderId="130" fillId="12" fontId="1" numFmtId="0" xfId="0" applyAlignment="1" applyBorder="1" applyFont="1">
      <alignment horizontal="center"/>
    </xf>
    <xf borderId="131" fillId="0" fontId="1" numFmtId="0" xfId="0" applyBorder="1" applyFont="1"/>
    <xf borderId="132" fillId="0" fontId="1" numFmtId="0" xfId="0" applyBorder="1" applyFont="1"/>
    <xf borderId="133" fillId="11" fontId="7" numFmtId="0" xfId="0" applyBorder="1" applyFont="1"/>
    <xf borderId="134" fillId="11" fontId="7" numFmtId="0" xfId="0" applyBorder="1" applyFont="1"/>
    <xf borderId="26" fillId="11" fontId="1" numFmtId="0" xfId="0" applyBorder="1" applyFont="1"/>
    <xf borderId="134" fillId="11" fontId="9" numFmtId="0" xfId="0" applyAlignment="1" applyBorder="1" applyFont="1">
      <alignment horizontal="left" shrinkToFit="0" wrapText="1"/>
    </xf>
    <xf borderId="135" fillId="0" fontId="1" numFmtId="0" xfId="0" applyBorder="1" applyFont="1"/>
    <xf borderId="55" fillId="2" fontId="1" numFmtId="0" xfId="0" applyAlignment="1" applyBorder="1" applyFont="1">
      <alignment horizontal="center"/>
    </xf>
    <xf borderId="136" fillId="0" fontId="1" numFmtId="0" xfId="0" applyBorder="1" applyFont="1"/>
    <xf borderId="50" fillId="11" fontId="7" numFmtId="0" xfId="0" applyBorder="1" applyFont="1"/>
    <xf borderId="51" fillId="11" fontId="7" numFmtId="0" xfId="0" applyBorder="1" applyFont="1"/>
    <xf borderId="49" fillId="11" fontId="7" numFmtId="0" xfId="0" applyBorder="1" applyFont="1"/>
    <xf borderId="51" fillId="11" fontId="9" numFmtId="0" xfId="0" applyAlignment="1" applyBorder="1" applyFont="1">
      <alignment horizontal="left" shrinkToFit="0" wrapText="1"/>
    </xf>
    <xf borderId="51" fillId="11" fontId="1" numFmtId="0" xfId="0" applyBorder="1" applyFont="1"/>
    <xf borderId="55" fillId="11" fontId="1" numFmtId="0" xfId="0" applyBorder="1" applyFont="1"/>
    <xf borderId="49" fillId="11" fontId="1" numFmtId="0" xfId="0" applyBorder="1" applyFont="1"/>
    <xf borderId="44" fillId="5" fontId="1" numFmtId="0" xfId="0" applyAlignment="1" applyBorder="1" applyFont="1">
      <alignment horizontal="center"/>
    </xf>
    <xf borderId="137" fillId="13" fontId="11" numFmtId="0" xfId="0" applyAlignment="1" applyBorder="1" applyFont="1">
      <alignment horizontal="center" vertical="center"/>
    </xf>
    <xf borderId="138" fillId="13" fontId="11" numFmtId="0" xfId="0" applyAlignment="1" applyBorder="1" applyFont="1">
      <alignment horizontal="center" vertical="center"/>
    </xf>
    <xf borderId="50" fillId="11" fontId="9" numFmtId="0" xfId="0" applyAlignment="1" applyBorder="1" applyFont="1">
      <alignment horizontal="left" shrinkToFit="0" wrapText="1"/>
    </xf>
    <xf borderId="61" fillId="9" fontId="14" numFmtId="0" xfId="0" applyAlignment="1" applyBorder="1" applyFont="1">
      <alignment horizontal="center"/>
    </xf>
    <xf borderId="129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left" shrinkToFit="0" wrapText="1"/>
    </xf>
    <xf borderId="139" fillId="12" fontId="7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7" fillId="0" fontId="1" numFmtId="0" xfId="0" applyAlignment="1" applyBorder="1" applyFont="1">
      <alignment horizontal="center"/>
    </xf>
    <xf borderId="59" fillId="0" fontId="1" numFmtId="0" xfId="0" applyBorder="1" applyFont="1"/>
    <xf borderId="10" fillId="0" fontId="2" numFmtId="0" xfId="0" applyAlignment="1" applyBorder="1" applyFont="1">
      <alignment horizontal="center"/>
    </xf>
    <xf borderId="51" fillId="12" fontId="7" numFmtId="0" xfId="0" applyAlignment="1" applyBorder="1" applyFont="1">
      <alignment horizontal="center"/>
    </xf>
    <xf borderId="85" fillId="0" fontId="1" numFmtId="0" xfId="0" applyBorder="1" applyFont="1"/>
    <xf borderId="3" fillId="0" fontId="3" numFmtId="0" xfId="0" applyAlignment="1" applyBorder="1" applyFont="1">
      <alignment horizontal="center" vertical="center"/>
    </xf>
    <xf borderId="140" fillId="12" fontId="1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141" fillId="9" fontId="14" numFmtId="0" xfId="0" applyAlignment="1" applyBorder="1" applyFont="1">
      <alignment horizontal="center"/>
    </xf>
    <xf borderId="142" fillId="0" fontId="1" numFmtId="0" xfId="0" applyBorder="1" applyFont="1"/>
    <xf borderId="143" fillId="9" fontId="14" numFmtId="0" xfId="0" applyBorder="1" applyFont="1"/>
    <xf borderId="144" fillId="9" fontId="14" numFmtId="0" xfId="0" applyAlignment="1" applyBorder="1" applyFont="1">
      <alignment horizontal="center"/>
    </xf>
    <xf borderId="145" fillId="0" fontId="1" numFmtId="0" xfId="0" applyBorder="1" applyFont="1"/>
    <xf borderId="16" fillId="0" fontId="1" numFmtId="0" xfId="0" applyAlignment="1" applyBorder="1" applyFont="1">
      <alignment horizontal="center"/>
    </xf>
    <xf borderId="121" fillId="11" fontId="1" numFmtId="0" xfId="0" applyBorder="1" applyFont="1"/>
    <xf borderId="97" fillId="11" fontId="1" numFmtId="0" xfId="0" applyBorder="1" applyFont="1"/>
    <xf borderId="97" fillId="9" fontId="7" numFmtId="0" xfId="0" applyAlignment="1" applyBorder="1" applyFont="1">
      <alignment horizontal="center"/>
    </xf>
    <xf borderId="96" fillId="11" fontId="1" numFmtId="0" xfId="0" applyBorder="1" applyFont="1"/>
    <xf borderId="146" fillId="0" fontId="1" numFmtId="0" xfId="0" applyBorder="1" applyFont="1"/>
    <xf borderId="50" fillId="11" fontId="1" numFmtId="0" xfId="0" applyAlignment="1" applyBorder="1" applyFont="1">
      <alignment horizontal="left" shrinkToFit="0" wrapText="1"/>
    </xf>
    <xf borderId="96" fillId="11" fontId="7" numFmtId="0" xfId="0" applyBorder="1" applyFont="1"/>
    <xf borderId="97" fillId="11" fontId="7" numFmtId="0" xfId="0" applyBorder="1" applyFont="1"/>
    <xf borderId="49" fillId="17" fontId="7" numFmtId="0" xfId="0" applyAlignment="1" applyBorder="1" applyFont="1">
      <alignment horizontal="center"/>
    </xf>
    <xf borderId="55" fillId="7" fontId="1" numFmtId="0" xfId="0" applyAlignment="1" applyBorder="1" applyFont="1">
      <alignment horizontal="center"/>
    </xf>
    <xf borderId="55" fillId="4" fontId="1" numFmtId="0" xfId="0" applyAlignment="1" applyBorder="1" applyFont="1">
      <alignment horizontal="center"/>
    </xf>
    <xf borderId="60" fillId="0" fontId="7" numFmtId="0" xfId="0" applyAlignment="1" applyBorder="1" applyFont="1">
      <alignment horizontal="center"/>
    </xf>
    <xf borderId="19" fillId="7" fontId="1" numFmtId="0" xfId="0" applyAlignment="1" applyBorder="1" applyFont="1">
      <alignment horizontal="center"/>
    </xf>
    <xf borderId="21" fillId="17" fontId="1" numFmtId="0" xfId="0" applyBorder="1" applyFont="1"/>
    <xf borderId="133" fillId="17" fontId="7" numFmtId="0" xfId="0" applyBorder="1" applyFont="1"/>
    <xf borderId="134" fillId="17" fontId="7" numFmtId="0" xfId="0" applyBorder="1" applyFont="1"/>
    <xf borderId="26" fillId="17" fontId="1" numFmtId="0" xfId="0" applyBorder="1" applyFont="1"/>
    <xf borderId="50" fillId="17" fontId="7" numFmtId="0" xfId="0" applyBorder="1" applyFont="1"/>
    <xf borderId="51" fillId="17" fontId="7" numFmtId="0" xfId="0" applyBorder="1" applyFont="1"/>
    <xf borderId="49" fillId="17" fontId="7" numFmtId="0" xfId="0" applyBorder="1" applyFont="1"/>
    <xf borderId="45" fillId="17" fontId="1" numFmtId="0" xfId="0" applyBorder="1" applyFont="1"/>
    <xf borderId="51" fillId="17" fontId="1" numFmtId="0" xfId="0" applyBorder="1" applyFont="1"/>
    <xf borderId="55" fillId="17" fontId="1" numFmtId="0" xfId="0" applyBorder="1" applyFont="1"/>
    <xf borderId="49" fillId="17" fontId="1" numFmtId="0" xfId="0" applyBorder="1" applyFont="1"/>
    <xf borderId="147" fillId="9" fontId="14" numFmtId="0" xfId="0" applyAlignment="1" applyBorder="1" applyFont="1">
      <alignment horizontal="center"/>
    </xf>
    <xf borderId="148" fillId="13" fontId="13" numFmtId="0" xfId="0" applyAlignment="1" applyBorder="1" applyFont="1">
      <alignment horizontal="center" vertical="center"/>
    </xf>
    <xf borderId="51" fillId="17" fontId="22" numFmtId="0" xfId="0" applyBorder="1" applyFont="1"/>
    <xf borderId="140" fillId="12" fontId="7" numFmtId="0" xfId="0" applyAlignment="1" applyBorder="1" applyFont="1">
      <alignment horizontal="center"/>
    </xf>
    <xf borderId="149" fillId="12" fontId="7" numFmtId="0" xfId="0" applyAlignment="1" applyBorder="1" applyFont="1">
      <alignment horizontal="center"/>
    </xf>
    <xf borderId="96" fillId="17" fontId="1" numFmtId="0" xfId="0" applyBorder="1" applyFont="1"/>
    <xf borderId="0" fillId="0" fontId="3" numFmtId="0" xfId="0" applyAlignment="1" applyFont="1">
      <alignment horizontal="right"/>
    </xf>
    <xf borderId="96" fillId="17" fontId="7" numFmtId="0" xfId="0" applyBorder="1" applyFont="1"/>
    <xf borderId="3" fillId="0" fontId="3" numFmtId="0" xfId="0" applyAlignment="1" applyBorder="1" applyFont="1">
      <alignment horizontal="right"/>
    </xf>
    <xf borderId="97" fillId="17" fontId="1" numFmtId="0" xfId="0" applyBorder="1" applyFont="1"/>
    <xf borderId="6" fillId="0" fontId="1" numFmtId="0" xfId="0" applyAlignment="1" applyBorder="1" applyFont="1">
      <alignment vertical="center"/>
    </xf>
    <xf borderId="150" fillId="9" fontId="10" numFmtId="0" xfId="0" applyAlignment="1" applyBorder="1" applyFont="1">
      <alignment horizontal="center"/>
    </xf>
    <xf borderId="4" fillId="9" fontId="23" numFmtId="0" xfId="0" applyAlignment="1" applyBorder="1" applyFont="1">
      <alignment horizontal="center"/>
    </xf>
    <xf borderId="4" fillId="9" fontId="10" numFmtId="0" xfId="0" applyAlignment="1" applyBorder="1" applyFont="1">
      <alignment horizontal="center"/>
    </xf>
    <xf borderId="76" fillId="9" fontId="23" numFmtId="0" xfId="0" applyAlignment="1" applyBorder="1" applyFont="1">
      <alignment horizontal="center"/>
    </xf>
    <xf borderId="151" fillId="0" fontId="1" numFmtId="0" xfId="0" applyAlignment="1" applyBorder="1" applyFont="1">
      <alignment horizontal="center"/>
    </xf>
    <xf borderId="152" fillId="9" fontId="10" numFmtId="0" xfId="0" applyAlignment="1" applyBorder="1" applyFont="1">
      <alignment horizontal="center"/>
    </xf>
    <xf borderId="97" fillId="17" fontId="7" numFmtId="0" xfId="0" applyBorder="1" applyFont="1"/>
    <xf borderId="44" fillId="13" fontId="1" numFmtId="0" xfId="0" applyBorder="1" applyFont="1"/>
    <xf borderId="153" fillId="9" fontId="10" numFmtId="0" xfId="0" applyAlignment="1" applyBorder="1" applyFont="1">
      <alignment horizontal="center"/>
    </xf>
    <xf borderId="154" fillId="17" fontId="1" numFmtId="0" xfId="0" applyBorder="1" applyFont="1"/>
    <xf borderId="47" fillId="0" fontId="1" numFmtId="0" xfId="0" applyBorder="1" applyFont="1"/>
    <xf borderId="50" fillId="17" fontId="1" numFmtId="0" xfId="0" applyBorder="1" applyFont="1"/>
    <xf borderId="36" fillId="9" fontId="13" numFmtId="0" xfId="0" applyAlignment="1" applyBorder="1" applyFont="1">
      <alignment horizontal="center"/>
    </xf>
    <xf borderId="155" fillId="13" fontId="14" numFmtId="0" xfId="0" applyAlignment="1" applyBorder="1" applyFont="1">
      <alignment horizontal="center"/>
    </xf>
    <xf borderId="156" fillId="0" fontId="5" numFmtId="0" xfId="0" applyBorder="1" applyFont="1"/>
    <xf borderId="157" fillId="0" fontId="5" numFmtId="0" xfId="0" applyBorder="1" applyFont="1"/>
    <xf borderId="158" fillId="17" fontId="14" numFmtId="0" xfId="0" applyAlignment="1" applyBorder="1" applyFont="1">
      <alignment horizontal="center"/>
    </xf>
    <xf borderId="159" fillId="0" fontId="5" numFmtId="0" xfId="0" applyBorder="1" applyFont="1"/>
    <xf borderId="85" fillId="0" fontId="5" numFmtId="0" xfId="0" applyBorder="1" applyFont="1"/>
    <xf borderId="160" fillId="13" fontId="11" numFmtId="0" xfId="0" applyAlignment="1" applyBorder="1" applyFont="1">
      <alignment horizontal="center" vertical="center"/>
    </xf>
    <xf borderId="5" fillId="0" fontId="7" numFmtId="0" xfId="0" applyBorder="1" applyFont="1"/>
    <xf borderId="121" fillId="19" fontId="1" numFmtId="0" xfId="0" applyBorder="1" applyFill="1" applyFont="1"/>
    <xf borderId="161" fillId="9" fontId="14" numFmtId="0" xfId="0" applyBorder="1" applyFont="1"/>
    <xf borderId="162" fillId="9" fontId="14" numFmtId="0" xfId="0" applyBorder="1" applyFont="1"/>
    <xf borderId="63" fillId="0" fontId="3" numFmtId="0" xfId="0" applyAlignment="1" applyBorder="1" applyFont="1">
      <alignment horizontal="right"/>
    </xf>
    <xf borderId="62" fillId="0" fontId="3" numFmtId="0" xfId="0" applyAlignment="1" applyBorder="1" applyFont="1">
      <alignment horizontal="left"/>
    </xf>
    <xf borderId="62" fillId="0" fontId="3" numFmtId="0" xfId="0" applyAlignment="1" applyBorder="1" applyFont="1">
      <alignment horizontal="center" vertical="center"/>
    </xf>
    <xf borderId="78" fillId="9" fontId="14" numFmtId="0" xfId="0" applyAlignment="1" applyBorder="1" applyFont="1">
      <alignment horizontal="center"/>
    </xf>
    <xf borderId="90" fillId="9" fontId="14" numFmtId="0" xfId="0" applyAlignment="1" applyBorder="1" applyFont="1">
      <alignment horizontal="center"/>
    </xf>
    <xf borderId="0" fillId="0" fontId="1" numFmtId="0" xfId="0" applyAlignment="1" applyFont="1">
      <alignment shrinkToFit="0" vertical="center" wrapText="1"/>
    </xf>
    <xf borderId="45" fillId="6" fontId="1" numFmtId="0" xfId="0" applyAlignment="1" applyBorder="1" applyFont="1">
      <alignment horizontal="center"/>
    </xf>
    <xf borderId="82" fillId="0" fontId="7" numFmtId="0" xfId="0" applyBorder="1" applyFont="1"/>
    <xf borderId="45" fillId="7" fontId="1" numFmtId="0" xfId="0" applyAlignment="1" applyBorder="1" applyFont="1">
      <alignment horizontal="center"/>
    </xf>
    <xf borderId="118" fillId="17" fontId="7" numFmtId="0" xfId="0" applyBorder="1" applyFont="1"/>
    <xf borderId="30" fillId="0" fontId="7" numFmtId="0" xfId="0" applyBorder="1" applyFont="1"/>
    <xf borderId="81" fillId="4" fontId="1" numFmtId="0" xfId="0" applyAlignment="1" applyBorder="1" applyFont="1">
      <alignment horizontal="center"/>
    </xf>
    <xf borderId="163" fillId="6" fontId="1" numFmtId="0" xfId="0" applyAlignment="1" applyBorder="1" applyFont="1">
      <alignment horizontal="center"/>
    </xf>
    <xf borderId="102" fillId="7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20" fontId="1" numFmtId="0" xfId="0" applyBorder="1" applyFill="1" applyFont="1"/>
    <xf borderId="133" fillId="20" fontId="7" numFmtId="0" xfId="0" applyBorder="1" applyFont="1"/>
    <xf borderId="134" fillId="20" fontId="7" numFmtId="0" xfId="0" applyBorder="1" applyFont="1"/>
    <xf borderId="26" fillId="20" fontId="1" numFmtId="0" xfId="0" applyBorder="1" applyFont="1"/>
    <xf borderId="0" fillId="0" fontId="1" numFmtId="0" xfId="0" applyAlignment="1" applyFont="1">
      <alignment vertical="center"/>
    </xf>
    <xf borderId="50" fillId="20" fontId="7" numFmtId="0" xfId="0" applyBorder="1" applyFont="1"/>
    <xf borderId="51" fillId="20" fontId="7" numFmtId="0" xfId="0" applyBorder="1" applyFont="1"/>
    <xf borderId="49" fillId="20" fontId="7" numFmtId="0" xfId="0" applyBorder="1" applyFont="1"/>
    <xf borderId="45" fillId="20" fontId="1" numFmtId="0" xfId="0" applyBorder="1" applyFont="1"/>
    <xf borderId="55" fillId="20" fontId="1" numFmtId="0" xfId="0" applyBorder="1" applyFont="1"/>
    <xf borderId="49" fillId="20" fontId="1" numFmtId="0" xfId="0" applyBorder="1" applyFont="1"/>
    <xf borderId="0" fillId="0" fontId="1" numFmtId="0" xfId="0" applyAlignment="1" applyFont="1">
      <alignment horizontal="center" shrinkToFit="0" vertical="center" wrapText="1"/>
    </xf>
    <xf borderId="51" fillId="20" fontId="1" numFmtId="0" xfId="0" applyBorder="1" applyFont="1"/>
    <xf borderId="118" fillId="2" fontId="1" numFmtId="0" xfId="0" applyAlignment="1" applyBorder="1" applyFont="1">
      <alignment horizontal="center"/>
    </xf>
    <xf borderId="50" fillId="2" fontId="1" numFmtId="0" xfId="0" applyAlignment="1" applyBorder="1" applyFont="1">
      <alignment horizontal="center"/>
    </xf>
    <xf borderId="100" fillId="17" fontId="1" numFmtId="0" xfId="0" applyBorder="1" applyFont="1"/>
    <xf borderId="164" fillId="0" fontId="1" numFmtId="0" xfId="0" applyBorder="1" applyFont="1"/>
    <xf borderId="165" fillId="0" fontId="1" numFmtId="0" xfId="0" applyBorder="1" applyFont="1"/>
    <xf borderId="166" fillId="9" fontId="14" numFmtId="0" xfId="0" applyBorder="1" applyFont="1"/>
    <xf borderId="96" fillId="20" fontId="1" numFmtId="0" xfId="0" applyBorder="1" applyFont="1"/>
    <xf borderId="97" fillId="20" fontId="1" numFmtId="0" xfId="0" applyBorder="1" applyFont="1"/>
    <xf borderId="50" fillId="20" fontId="1" numFmtId="0" xfId="0" applyBorder="1" applyFont="1"/>
    <xf borderId="51" fillId="20" fontId="22" numFmtId="0" xfId="0" applyBorder="1" applyFont="1"/>
    <xf borderId="167" fillId="0" fontId="1" numFmtId="0" xfId="0" applyBorder="1" applyFont="1"/>
    <xf borderId="168" fillId="0" fontId="1" numFmtId="0" xfId="0" applyBorder="1" applyFont="1"/>
    <xf borderId="169" fillId="0" fontId="1" numFmtId="0" xfId="0" applyBorder="1" applyFont="1"/>
    <xf borderId="121" fillId="20" fontId="1" numFmtId="0" xfId="0" applyBorder="1" applyFont="1"/>
    <xf borderId="97" fillId="20" fontId="7" numFmtId="0" xfId="0" applyBorder="1" applyFont="1"/>
    <xf borderId="170" fillId="13" fontId="11" numFmtId="0" xfId="0" applyAlignment="1" applyBorder="1" applyFont="1">
      <alignment horizontal="center" vertical="center"/>
    </xf>
    <xf borderId="96" fillId="20" fontId="7" numFmtId="0" xfId="0" applyBorder="1" applyFont="1"/>
    <xf borderId="121" fillId="20" fontId="7" numFmtId="0" xfId="0" applyBorder="1" applyFont="1"/>
    <xf borderId="22" fillId="0" fontId="7" numFmtId="0" xfId="0" applyAlignment="1" applyBorder="1" applyFont="1">
      <alignment horizontal="center"/>
    </xf>
    <xf borderId="15" fillId="12" fontId="7" numFmtId="0" xfId="0" applyAlignment="1" applyBorder="1" applyFont="1">
      <alignment horizontal="center"/>
    </xf>
    <xf borderId="100" fillId="9" fontId="14" numFmtId="0" xfId="0" applyBorder="1" applyFont="1"/>
    <xf borderId="171" fillId="0" fontId="1" numFmtId="0" xfId="0" applyAlignment="1" applyBorder="1" applyFont="1">
      <alignment horizontal="left" shrinkToFit="0" wrapText="1"/>
    </xf>
    <xf borderId="156" fillId="0" fontId="1" numFmtId="0" xfId="0" applyAlignment="1" applyBorder="1" applyFont="1">
      <alignment horizontal="center"/>
    </xf>
    <xf borderId="156" fillId="0" fontId="1" numFmtId="0" xfId="0" applyAlignment="1" applyBorder="1" applyFont="1">
      <alignment horizontal="left"/>
    </xf>
    <xf borderId="157" fillId="0" fontId="1" numFmtId="0" xfId="0" applyAlignment="1" applyBorder="1" applyFont="1">
      <alignment horizontal="center"/>
    </xf>
    <xf borderId="172" fillId="9" fontId="14" numFmtId="0" xfId="0" applyBorder="1" applyFont="1"/>
    <xf borderId="173" fillId="9" fontId="14" numFmtId="0" xfId="0" applyBorder="1" applyFont="1"/>
    <xf borderId="174" fillId="20" fontId="7" numFmtId="0" xfId="0" applyBorder="1" applyFont="1"/>
    <xf borderId="92" fillId="9" fontId="14" numFmtId="0" xfId="0" applyBorder="1" applyFont="1"/>
    <xf borderId="95" fillId="9" fontId="14" numFmtId="0" xfId="0" applyBorder="1" applyFont="1"/>
    <xf borderId="175" fillId="3" fontId="1" numFmtId="0" xfId="0" applyAlignment="1" applyBorder="1" applyFont="1">
      <alignment horizontal="center"/>
    </xf>
    <xf borderId="176" fillId="0" fontId="5" numFmtId="0" xfId="0" applyBorder="1" applyFont="1"/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177" fillId="3" fontId="7" numFmtId="0" xfId="0" applyAlignment="1" applyBorder="1" applyFont="1">
      <alignment horizontal="center"/>
    </xf>
    <xf borderId="178" fillId="4" fontId="7" numFmtId="0" xfId="0" applyAlignment="1" applyBorder="1" applyFont="1">
      <alignment horizontal="center"/>
    </xf>
    <xf borderId="178" fillId="5" fontId="7" numFmtId="0" xfId="0" applyAlignment="1" applyBorder="1" applyFont="1">
      <alignment horizontal="center"/>
    </xf>
    <xf borderId="178" fillId="2" fontId="7" numFmtId="0" xfId="0" applyAlignment="1" applyBorder="1" applyFont="1">
      <alignment horizontal="center"/>
    </xf>
    <xf borderId="178" fillId="6" fontId="7" numFmtId="0" xfId="0" applyAlignment="1" applyBorder="1" applyFont="1">
      <alignment horizontal="center"/>
    </xf>
    <xf borderId="178" fillId="7" fontId="7" numFmtId="0" xfId="0" applyAlignment="1" applyBorder="1" applyFont="1">
      <alignment horizontal="center"/>
    </xf>
    <xf borderId="179" fillId="8" fontId="7" numFmtId="0" xfId="0" applyAlignment="1" applyBorder="1" applyFont="1">
      <alignment horizontal="center"/>
    </xf>
    <xf borderId="180" fillId="0" fontId="7" numFmtId="0" xfId="0" applyAlignment="1" applyBorder="1" applyFont="1">
      <alignment horizontal="center" vertical="center"/>
    </xf>
    <xf borderId="181" fillId="0" fontId="7" numFmtId="0" xfId="0" applyAlignment="1" applyBorder="1" applyFont="1">
      <alignment horizontal="center" vertical="center"/>
    </xf>
    <xf borderId="182" fillId="0" fontId="7" numFmtId="0" xfId="0" applyAlignment="1" applyBorder="1" applyFont="1">
      <alignment horizontal="center" vertical="center"/>
    </xf>
    <xf borderId="171" fillId="3" fontId="1" numFmtId="0" xfId="0" applyAlignment="1" applyBorder="1" applyFont="1">
      <alignment horizontal="center"/>
    </xf>
    <xf borderId="183" fillId="0" fontId="7" numFmtId="0" xfId="0" applyAlignment="1" applyBorder="1" applyFont="1">
      <alignment horizontal="center"/>
    </xf>
    <xf borderId="184" fillId="0" fontId="1" numFmtId="0" xfId="0" applyBorder="1" applyFont="1"/>
    <xf borderId="185" fillId="0" fontId="1" numFmtId="0" xfId="0" applyAlignment="1" applyBorder="1" applyFont="1">
      <alignment horizontal="center"/>
    </xf>
    <xf borderId="157" fillId="0" fontId="1" numFmtId="0" xfId="0" applyAlignment="1" applyBorder="1" applyFont="1">
      <alignment horizontal="left" vertical="center"/>
    </xf>
    <xf borderId="186" fillId="0" fontId="1" numFmtId="0" xfId="0" applyAlignment="1" applyBorder="1" applyFont="1">
      <alignment horizontal="center"/>
    </xf>
    <xf borderId="184" fillId="0" fontId="1" numFmtId="0" xfId="0" applyAlignment="1" applyBorder="1" applyFont="1">
      <alignment horizontal="center"/>
    </xf>
    <xf borderId="183" fillId="0" fontId="1" numFmtId="0" xfId="0" applyBorder="1" applyFont="1"/>
    <xf borderId="157" fillId="0" fontId="1" numFmtId="0" xfId="0" applyBorder="1" applyFont="1"/>
    <xf borderId="187" fillId="0" fontId="7" numFmtId="0" xfId="0" applyAlignment="1" applyBorder="1" applyFont="1">
      <alignment horizontal="center"/>
    </xf>
    <xf borderId="187" fillId="9" fontId="7" numFmtId="0" xfId="0" applyAlignment="1" applyBorder="1" applyFont="1">
      <alignment horizontal="center"/>
    </xf>
    <xf borderId="156" fillId="0" fontId="7" numFmtId="0" xfId="0" applyBorder="1" applyFont="1"/>
    <xf borderId="156" fillId="0" fontId="1" numFmtId="0" xfId="0" applyBorder="1" applyFont="1"/>
    <xf borderId="187" fillId="0" fontId="9" numFmtId="0" xfId="0" applyAlignment="1" applyBorder="1" applyFont="1">
      <alignment horizontal="center"/>
    </xf>
    <xf borderId="187" fillId="0" fontId="7" numFmtId="0" xfId="0" applyBorder="1" applyFont="1"/>
    <xf borderId="5" fillId="0" fontId="3" numFmtId="0" xfId="0" applyAlignment="1" applyBorder="1" applyFont="1">
      <alignment horizontal="left" vertical="center"/>
    </xf>
    <xf borderId="0" fillId="0" fontId="2" numFmtId="0" xfId="0" applyFont="1"/>
    <xf borderId="4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24" numFmtId="0" xfId="0" applyFont="1"/>
    <xf borderId="0" fillId="0" fontId="1" numFmtId="0" xfId="0" applyFont="1"/>
    <xf borderId="4" fillId="9" fontId="7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88" fillId="18" fontId="25" numFmtId="0" xfId="0" applyAlignment="1" applyBorder="1" applyFont="1">
      <alignment horizontal="center" vertical="center"/>
    </xf>
    <xf borderId="189" fillId="0" fontId="5" numFmtId="0" xfId="0" applyBorder="1" applyFont="1"/>
    <xf borderId="190" fillId="0" fontId="5" numFmtId="0" xfId="0" applyBorder="1" applyFont="1"/>
    <xf borderId="4" fillId="18" fontId="25" numFmtId="0" xfId="0" applyAlignment="1" applyBorder="1" applyFont="1">
      <alignment horizontal="center" vertical="center"/>
    </xf>
    <xf borderId="191" fillId="18" fontId="25" numFmtId="0" xfId="0" applyAlignment="1" applyBorder="1" applyFont="1">
      <alignment horizontal="center" vertical="center"/>
    </xf>
    <xf borderId="192" fillId="0" fontId="5" numFmtId="0" xfId="0" applyBorder="1" applyFont="1"/>
    <xf borderId="193" fillId="0" fontId="5" numFmtId="0" xfId="0" applyBorder="1" applyFont="1"/>
    <xf borderId="194" fillId="18" fontId="25" numFmtId="0" xfId="0" applyAlignment="1" applyBorder="1" applyFont="1">
      <alignment horizontal="center" vertical="center"/>
    </xf>
    <xf borderId="195" fillId="0" fontId="5" numFmtId="0" xfId="0" applyBorder="1" applyFont="1"/>
    <xf borderId="196" fillId="0" fontId="5" numFmtId="0" xfId="0" applyBorder="1" applyFont="1"/>
    <xf borderId="197" fillId="18" fontId="25" numFmtId="0" xfId="0" applyAlignment="1" applyBorder="1" applyFont="1">
      <alignment horizontal="center" vertical="center"/>
    </xf>
    <xf borderId="198" fillId="18" fontId="25" numFmtId="0" xfId="0" applyAlignment="1" applyBorder="1" applyFont="1">
      <alignment horizontal="center" vertical="center"/>
    </xf>
    <xf borderId="194" fillId="18" fontId="25" numFmtId="0" xfId="0" applyAlignment="1" applyBorder="1" applyFont="1">
      <alignment horizontal="center" shrinkToFit="0" vertical="center" wrapText="1"/>
    </xf>
    <xf borderId="199" fillId="18" fontId="25" numFmtId="0" xfId="0" applyAlignment="1" applyBorder="1" applyFont="1">
      <alignment horizontal="center" vertical="center"/>
    </xf>
    <xf borderId="200" fillId="0" fontId="5" numFmtId="0" xfId="0" applyBorder="1" applyFont="1"/>
    <xf borderId="201" fillId="18" fontId="26" numFmtId="0" xfId="0" applyAlignment="1" applyBorder="1" applyFont="1">
      <alignment horizontal="center" vertical="center"/>
    </xf>
    <xf borderId="201" fillId="18" fontId="27" numFmtId="0" xfId="0" applyAlignment="1" applyBorder="1" applyFont="1">
      <alignment horizontal="center" vertical="center"/>
    </xf>
    <xf borderId="201" fillId="18" fontId="25" numFmtId="0" xfId="0" applyAlignment="1" applyBorder="1" applyFont="1">
      <alignment horizontal="center" vertical="center"/>
    </xf>
    <xf borderId="202" fillId="18" fontId="25" numFmtId="0" xfId="0" applyAlignment="1" applyBorder="1" applyFont="1">
      <alignment horizontal="center" vertical="center"/>
    </xf>
    <xf borderId="203" fillId="18" fontId="25" numFmtId="0" xfId="0" applyAlignment="1" applyBorder="1" applyFont="1">
      <alignment horizontal="center" vertical="center"/>
    </xf>
    <xf borderId="204" fillId="0" fontId="5" numFmtId="0" xfId="0" applyBorder="1" applyFont="1"/>
    <xf borderId="205" fillId="0" fontId="5" numFmtId="0" xfId="0" applyBorder="1" applyFont="1"/>
    <xf borderId="206" fillId="18" fontId="25" numFmtId="0" xfId="0" applyAlignment="1" applyBorder="1" applyFont="1">
      <alignment horizontal="center" vertical="center"/>
    </xf>
    <xf borderId="207" fillId="0" fontId="5" numFmtId="0" xfId="0" applyBorder="1" applyFont="1"/>
    <xf borderId="208" fillId="0" fontId="5" numFmtId="0" xfId="0" applyBorder="1" applyFont="1"/>
    <xf borderId="209" fillId="18" fontId="25" numFmtId="0" xfId="0" applyAlignment="1" applyBorder="1" applyFont="1">
      <alignment horizontal="center" vertical="center"/>
    </xf>
    <xf borderId="210" fillId="18" fontId="28" numFmtId="0" xfId="0" applyAlignment="1" applyBorder="1" applyFont="1">
      <alignment horizontal="center" shrinkToFit="0" vertical="center" wrapText="1"/>
    </xf>
    <xf borderId="211" fillId="0" fontId="5" numFmtId="0" xfId="0" applyBorder="1" applyFont="1"/>
    <xf borderId="212" fillId="0" fontId="5" numFmtId="0" xfId="0" applyBorder="1" applyFont="1"/>
    <xf borderId="213" fillId="0" fontId="5" numFmtId="0" xfId="0" applyBorder="1" applyFont="1"/>
    <xf borderId="214" fillId="0" fontId="5" numFmtId="0" xfId="0" applyBorder="1" applyFont="1"/>
    <xf borderId="215" fillId="18" fontId="25" numFmtId="0" xfId="0" applyAlignment="1" applyBorder="1" applyFont="1">
      <alignment horizontal="center" vertical="center"/>
    </xf>
    <xf borderId="216" fillId="0" fontId="5" numFmtId="0" xfId="0" applyBorder="1" applyFont="1"/>
    <xf borderId="217" fillId="0" fontId="5" numFmtId="0" xfId="0" applyBorder="1" applyFont="1"/>
    <xf borderId="218" fillId="0" fontId="5" numFmtId="0" xfId="0" applyBorder="1" applyFont="1"/>
    <xf borderId="219" fillId="0" fontId="5" numFmtId="0" xfId="0" applyBorder="1" applyFont="1"/>
    <xf borderId="220" fillId="3" fontId="29" numFmtId="0" xfId="0" applyAlignment="1" applyBorder="1" applyFont="1">
      <alignment horizontal="center" vertical="center"/>
    </xf>
    <xf borderId="221" fillId="4" fontId="29" numFmtId="0" xfId="0" applyAlignment="1" applyBorder="1" applyFont="1">
      <alignment horizontal="center" vertical="center"/>
    </xf>
    <xf borderId="221" fillId="5" fontId="29" numFmtId="0" xfId="0" applyAlignment="1" applyBorder="1" applyFont="1">
      <alignment horizontal="center" vertical="center"/>
    </xf>
    <xf borderId="221" fillId="6" fontId="29" numFmtId="0" xfId="0" applyAlignment="1" applyBorder="1" applyFont="1">
      <alignment horizontal="center" vertical="center"/>
    </xf>
    <xf borderId="221" fillId="2" fontId="29" numFmtId="0" xfId="0" applyAlignment="1" applyBorder="1" applyFont="1">
      <alignment horizontal="center" vertical="center"/>
    </xf>
    <xf borderId="221" fillId="7" fontId="29" numFmtId="0" xfId="0" applyAlignment="1" applyBorder="1" applyFont="1">
      <alignment horizontal="center" vertical="center"/>
    </xf>
    <xf borderId="222" fillId="8" fontId="29" numFmtId="0" xfId="0" applyAlignment="1" applyBorder="1" applyFont="1">
      <alignment horizontal="center" vertical="center"/>
    </xf>
    <xf borderId="221" fillId="3" fontId="29" numFmtId="0" xfId="0" applyAlignment="1" applyBorder="1" applyFont="1">
      <alignment horizontal="center" vertical="center"/>
    </xf>
    <xf borderId="222" fillId="18" fontId="25" numFmtId="0" xfId="0" applyAlignment="1" applyBorder="1" applyFont="1">
      <alignment horizontal="center" vertical="center"/>
    </xf>
    <xf borderId="223" fillId="18" fontId="25" numFmtId="0" xfId="0" applyAlignment="1" applyBorder="1" applyFont="1">
      <alignment horizontal="center" vertical="center"/>
    </xf>
    <xf borderId="224" fillId="0" fontId="5" numFmtId="0" xfId="0" applyBorder="1" applyFont="1"/>
    <xf borderId="225" fillId="0" fontId="5" numFmtId="0" xfId="0" applyBorder="1" applyFont="1"/>
    <xf borderId="226" fillId="0" fontId="5" numFmtId="0" xfId="0" applyBorder="1" applyFont="1"/>
    <xf borderId="227" fillId="0" fontId="5" numFmtId="0" xfId="0" applyBorder="1" applyFont="1"/>
    <xf borderId="228" fillId="18" fontId="25" numFmtId="0" xfId="0" applyAlignment="1" applyBorder="1" applyFont="1">
      <alignment textRotation="90" vertical="top"/>
    </xf>
    <xf borderId="229" fillId="13" fontId="1" numFmtId="0" xfId="0" applyAlignment="1" applyBorder="1" applyFont="1">
      <alignment shrinkToFit="0" vertical="center" wrapText="1"/>
    </xf>
    <xf borderId="229" fillId="13" fontId="2" numFmtId="0" xfId="0" applyAlignment="1" applyBorder="1" applyFont="1">
      <alignment horizontal="center" vertical="center"/>
    </xf>
    <xf borderId="230" fillId="13" fontId="1" numFmtId="0" xfId="0" applyAlignment="1" applyBorder="1" applyFont="1">
      <alignment horizontal="center" vertical="center"/>
    </xf>
    <xf borderId="231" fillId="13" fontId="29" numFmtId="0" xfId="0" applyAlignment="1" applyBorder="1" applyFont="1">
      <alignment horizontal="center" vertical="center"/>
    </xf>
    <xf borderId="232" fillId="13" fontId="29" numFmtId="0" xfId="0" applyAlignment="1" applyBorder="1" applyFont="1">
      <alignment horizontal="center" vertical="center"/>
    </xf>
    <xf borderId="233" fillId="13" fontId="29" numFmtId="0" xfId="0" applyAlignment="1" applyBorder="1" applyFont="1">
      <alignment horizontal="center" vertical="center"/>
    </xf>
    <xf borderId="234" fillId="13" fontId="29" numFmtId="0" xfId="0" applyAlignment="1" applyBorder="1" applyFont="1">
      <alignment horizontal="center" vertical="center"/>
    </xf>
    <xf borderId="235" fillId="13" fontId="29" numFmtId="0" xfId="0" applyAlignment="1" applyBorder="1" applyFont="1">
      <alignment horizontal="center" vertical="center"/>
    </xf>
    <xf borderId="236" fillId="13" fontId="29" numFmtId="0" xfId="0" applyAlignment="1" applyBorder="1" applyFont="1">
      <alignment horizontal="center" vertical="center"/>
    </xf>
    <xf borderId="237" fillId="13" fontId="29" numFmtId="0" xfId="0" applyAlignment="1" applyBorder="1" applyFont="1">
      <alignment horizontal="center" vertical="center"/>
    </xf>
    <xf borderId="238" fillId="13" fontId="29" numFmtId="0" xfId="0" applyAlignment="1" applyBorder="1" applyFont="1">
      <alignment horizontal="center" vertical="center"/>
    </xf>
    <xf borderId="239" fillId="13" fontId="29" numFmtId="0" xfId="0" applyAlignment="1" applyBorder="1" applyFont="1">
      <alignment horizontal="center" vertical="center"/>
    </xf>
    <xf borderId="240" fillId="13" fontId="29" numFmtId="0" xfId="0" applyAlignment="1" applyBorder="1" applyFont="1">
      <alignment horizontal="center" vertical="center"/>
    </xf>
    <xf borderId="229" fillId="13" fontId="1" numFmtId="0" xfId="0" applyAlignment="1" applyBorder="1" applyFont="1">
      <alignment horizontal="center" vertical="center"/>
    </xf>
    <xf borderId="241" fillId="13" fontId="1" numFmtId="0" xfId="0" applyAlignment="1" applyBorder="1" applyFont="1">
      <alignment horizontal="center" vertical="center"/>
    </xf>
    <xf borderId="242" fillId="13" fontId="1" numFmtId="0" xfId="0" applyAlignment="1" applyBorder="1" applyFont="1">
      <alignment horizontal="center" vertical="center"/>
    </xf>
    <xf borderId="243" fillId="13" fontId="1" numFmtId="0" xfId="0" applyAlignment="1" applyBorder="1" applyFont="1">
      <alignment horizontal="center" vertical="center"/>
    </xf>
    <xf borderId="229" fillId="13" fontId="1" numFmtId="0" xfId="0" applyAlignment="1" applyBorder="1" applyFont="1">
      <alignment horizontal="left" vertical="center"/>
    </xf>
    <xf borderId="243" fillId="13" fontId="1" numFmtId="0" xfId="0" applyBorder="1" applyFont="1"/>
    <xf borderId="244" fillId="13" fontId="1" numFmtId="0" xfId="0" applyAlignment="1" applyBorder="1" applyFont="1">
      <alignment horizontal="left" vertical="center"/>
    </xf>
    <xf borderId="241" fillId="13" fontId="1" numFmtId="0" xfId="0" applyAlignment="1" applyBorder="1" applyFont="1">
      <alignment vertical="center"/>
    </xf>
    <xf borderId="229" fillId="13" fontId="1" numFmtId="0" xfId="0" applyAlignment="1" applyBorder="1" applyFont="1">
      <alignment vertical="center"/>
    </xf>
    <xf borderId="245" fillId="13" fontId="1" numFmtId="0" xfId="0" applyAlignment="1" applyBorder="1" applyFont="1">
      <alignment vertical="center"/>
    </xf>
    <xf borderId="246" fillId="13" fontId="1" numFmtId="0" xfId="0" applyAlignment="1" applyBorder="1" applyFont="1">
      <alignment vertical="center"/>
    </xf>
    <xf borderId="247" fillId="13" fontId="1" numFmtId="0" xfId="0" applyAlignment="1" applyBorder="1" applyFont="1">
      <alignment vertical="center"/>
    </xf>
    <xf borderId="248" fillId="13" fontId="1" numFmtId="0" xfId="0" applyAlignment="1" applyBorder="1" applyFont="1">
      <alignment vertical="center"/>
    </xf>
    <xf borderId="249" fillId="13" fontId="1" numFmtId="0" xfId="0" applyAlignment="1" applyBorder="1" applyFont="1">
      <alignment horizontal="center" vertical="center"/>
    </xf>
    <xf borderId="243" fillId="13" fontId="9" numFmtId="0" xfId="0" applyAlignment="1" applyBorder="1" applyFont="1">
      <alignment horizontal="center" shrinkToFit="0" vertical="center" wrapText="1"/>
    </xf>
    <xf borderId="241" fillId="13" fontId="9" numFmtId="0" xfId="0" applyAlignment="1" applyBorder="1" applyFont="1">
      <alignment horizontal="left" shrinkToFit="0" vertical="center" wrapText="1"/>
    </xf>
    <xf borderId="229" fillId="13" fontId="9" numFmtId="0" xfId="0" applyAlignment="1" applyBorder="1" applyFont="1">
      <alignment horizontal="center" shrinkToFit="0" vertical="center" wrapText="1"/>
    </xf>
    <xf borderId="244" fillId="13" fontId="9" numFmtId="0" xfId="0" applyAlignment="1" applyBorder="1" applyFont="1">
      <alignment horizontal="left" shrinkToFit="0" vertical="center" wrapText="1"/>
    </xf>
    <xf borderId="250" fillId="13" fontId="30" numFmtId="0" xfId="0" applyAlignment="1" applyBorder="1" applyFont="1">
      <alignment horizontal="center" vertical="center"/>
    </xf>
    <xf borderId="251" fillId="13" fontId="30" numFmtId="0" xfId="0" applyAlignment="1" applyBorder="1" applyFont="1">
      <alignment vertical="center"/>
    </xf>
    <xf borderId="252" fillId="0" fontId="5" numFmtId="0" xfId="0" applyBorder="1" applyFont="1"/>
    <xf borderId="28" fillId="0" fontId="9" numFmtId="0" xfId="0" applyAlignment="1" applyBorder="1" applyFont="1">
      <alignment horizontal="center"/>
    </xf>
    <xf borderId="253" fillId="0" fontId="7" numFmtId="0" xfId="0" applyAlignment="1" applyBorder="1" applyFont="1">
      <alignment horizontal="center"/>
    </xf>
    <xf borderId="254" fillId="0" fontId="1" numFmtId="0" xfId="0" applyAlignment="1" applyBorder="1" applyFont="1">
      <alignment horizontal="center" vertical="center"/>
    </xf>
    <xf borderId="254" fillId="0" fontId="29" numFmtId="0" xfId="0" applyAlignment="1" applyBorder="1" applyFont="1">
      <alignment horizontal="center" vertical="center"/>
    </xf>
    <xf borderId="255" fillId="0" fontId="1" numFmtId="0" xfId="0" applyAlignment="1" applyBorder="1" applyFont="1">
      <alignment horizontal="center" vertical="center"/>
    </xf>
    <xf borderId="256" fillId="0" fontId="1" numFmtId="0" xfId="0" applyAlignment="1" applyBorder="1" applyFont="1">
      <alignment horizontal="left"/>
    </xf>
    <xf borderId="257" fillId="0" fontId="1" numFmtId="10" xfId="0" applyAlignment="1" applyBorder="1" applyFont="1" applyNumberFormat="1">
      <alignment horizontal="right"/>
    </xf>
    <xf borderId="204" fillId="0" fontId="1" numFmtId="0" xfId="0" applyAlignment="1" applyBorder="1" applyFont="1">
      <alignment horizontal="center" vertical="center"/>
    </xf>
    <xf borderId="258" fillId="0" fontId="7" numFmtId="0" xfId="0" applyBorder="1" applyFont="1"/>
    <xf borderId="259" fillId="0" fontId="7" numFmtId="0" xfId="0" applyBorder="1" applyFont="1"/>
    <xf borderId="260" fillId="0" fontId="1" numFmtId="0" xfId="0" applyAlignment="1" applyBorder="1" applyFont="1">
      <alignment vertical="center"/>
    </xf>
    <xf borderId="261" fillId="0" fontId="1" numFmtId="0" xfId="0" applyAlignment="1" applyBorder="1" applyFont="1">
      <alignment horizontal="center" vertical="center"/>
    </xf>
    <xf borderId="134" fillId="21" fontId="1" numFmtId="0" xfId="0" applyAlignment="1" applyBorder="1" applyFill="1" applyFont="1">
      <alignment horizontal="center"/>
    </xf>
    <xf borderId="262" fillId="0" fontId="5" numFmtId="0" xfId="0" applyBorder="1" applyFont="1"/>
    <xf borderId="263" fillId="19" fontId="1" numFmtId="0" xfId="0" applyAlignment="1" applyBorder="1" applyFont="1">
      <alignment shrinkToFit="0" vertical="center" wrapText="1"/>
    </xf>
    <xf borderId="263" fillId="19" fontId="2" numFmtId="0" xfId="0" applyAlignment="1" applyBorder="1" applyFont="1">
      <alignment horizontal="center" vertical="center"/>
    </xf>
    <xf borderId="230" fillId="19" fontId="1" numFmtId="0" xfId="0" applyAlignment="1" applyBorder="1" applyFont="1">
      <alignment horizontal="center" vertical="center"/>
    </xf>
    <xf borderId="264" fillId="19" fontId="29" numFmtId="0" xfId="0" applyAlignment="1" applyBorder="1" applyFont="1">
      <alignment horizontal="center" vertical="center"/>
    </xf>
    <xf borderId="265" fillId="19" fontId="29" numFmtId="0" xfId="0" applyAlignment="1" applyBorder="1" applyFont="1">
      <alignment horizontal="center" vertical="center"/>
    </xf>
    <xf borderId="266" fillId="19" fontId="29" numFmtId="0" xfId="0" applyAlignment="1" applyBorder="1" applyFont="1">
      <alignment horizontal="center" vertical="center"/>
    </xf>
    <xf borderId="267" fillId="19" fontId="29" numFmtId="0" xfId="0" applyAlignment="1" applyBorder="1" applyFont="1">
      <alignment horizontal="center" vertical="center"/>
    </xf>
    <xf borderId="268" fillId="19" fontId="29" numFmtId="0" xfId="0" applyAlignment="1" applyBorder="1" applyFont="1">
      <alignment horizontal="center" vertical="center"/>
    </xf>
    <xf borderId="269" fillId="19" fontId="29" numFmtId="0" xfId="0" applyAlignment="1" applyBorder="1" applyFont="1">
      <alignment horizontal="center" vertical="center"/>
    </xf>
    <xf borderId="270" fillId="19" fontId="29" numFmtId="0" xfId="0" applyAlignment="1" applyBorder="1" applyFont="1">
      <alignment horizontal="center" vertical="center"/>
    </xf>
    <xf borderId="271" fillId="19" fontId="29" numFmtId="0" xfId="0" applyAlignment="1" applyBorder="1" applyFont="1">
      <alignment horizontal="center" vertical="center"/>
    </xf>
    <xf borderId="272" fillId="19" fontId="29" numFmtId="0" xfId="0" applyAlignment="1" applyBorder="1" applyFont="1">
      <alignment horizontal="center" vertical="center"/>
    </xf>
    <xf borderId="273" fillId="19" fontId="29" numFmtId="0" xfId="0" applyAlignment="1" applyBorder="1" applyFont="1">
      <alignment horizontal="center" vertical="center"/>
    </xf>
    <xf borderId="263" fillId="19" fontId="1" numFmtId="0" xfId="0" applyAlignment="1" applyBorder="1" applyFont="1">
      <alignment horizontal="center" vertical="center"/>
    </xf>
    <xf borderId="274" fillId="19" fontId="1" numFmtId="0" xfId="0" applyAlignment="1" applyBorder="1" applyFont="1">
      <alignment horizontal="center" vertical="center"/>
    </xf>
    <xf borderId="275" fillId="19" fontId="1" numFmtId="0" xfId="0" applyAlignment="1" applyBorder="1" applyFont="1">
      <alignment horizontal="center" vertical="center"/>
    </xf>
    <xf borderId="276" fillId="19" fontId="1" numFmtId="0" xfId="0" applyAlignment="1" applyBorder="1" applyFont="1">
      <alignment horizontal="center" vertical="center"/>
    </xf>
    <xf borderId="229" fillId="19" fontId="1" numFmtId="0" xfId="0" applyAlignment="1" applyBorder="1" applyFont="1">
      <alignment horizontal="left" vertical="center"/>
    </xf>
    <xf borderId="276" fillId="19" fontId="1" numFmtId="0" xfId="0" applyBorder="1" applyFont="1"/>
    <xf borderId="242" fillId="19" fontId="1" numFmtId="0" xfId="0" applyAlignment="1" applyBorder="1" applyFont="1">
      <alignment horizontal="center" vertical="center"/>
    </xf>
    <xf borderId="277" fillId="19" fontId="1" numFmtId="0" xfId="0" applyAlignment="1" applyBorder="1" applyFont="1">
      <alignment horizontal="left" vertical="center"/>
    </xf>
    <xf borderId="274" fillId="19" fontId="1" numFmtId="0" xfId="0" applyAlignment="1" applyBorder="1" applyFont="1">
      <alignment vertical="center"/>
    </xf>
    <xf borderId="263" fillId="19" fontId="1" numFmtId="0" xfId="0" applyAlignment="1" applyBorder="1" applyFont="1">
      <alignment vertical="center"/>
    </xf>
    <xf borderId="278" fillId="19" fontId="1" numFmtId="0" xfId="0" applyAlignment="1" applyBorder="1" applyFont="1">
      <alignment vertical="center"/>
    </xf>
    <xf borderId="279" fillId="19" fontId="1" numFmtId="0" xfId="0" applyAlignment="1" applyBorder="1" applyFont="1">
      <alignment vertical="center"/>
    </xf>
    <xf borderId="280" fillId="19" fontId="1" numFmtId="0" xfId="0" applyAlignment="1" applyBorder="1" applyFont="1">
      <alignment vertical="center"/>
    </xf>
    <xf borderId="281" fillId="19" fontId="1" numFmtId="0" xfId="0" applyAlignment="1" applyBorder="1" applyFont="1">
      <alignment vertical="center"/>
    </xf>
    <xf borderId="249" fillId="19" fontId="1" numFmtId="0" xfId="0" applyAlignment="1" applyBorder="1" applyFont="1">
      <alignment horizontal="center" vertical="center"/>
    </xf>
    <xf borderId="276" fillId="19" fontId="9" numFmtId="0" xfId="0" applyAlignment="1" applyBorder="1" applyFont="1">
      <alignment horizontal="center" shrinkToFit="0" vertical="center" wrapText="1"/>
    </xf>
    <xf borderId="274" fillId="19" fontId="9" numFmtId="0" xfId="0" applyAlignment="1" applyBorder="1" applyFont="1">
      <alignment horizontal="left" shrinkToFit="0" vertical="center" wrapText="1"/>
    </xf>
    <xf borderId="277" fillId="19" fontId="1" numFmtId="0" xfId="0" applyAlignment="1" applyBorder="1" applyFont="1">
      <alignment vertical="center"/>
    </xf>
    <xf borderId="282" fillId="19" fontId="30" numFmtId="0" xfId="0" applyAlignment="1" applyBorder="1" applyFont="1">
      <alignment horizontal="center" vertical="center"/>
    </xf>
    <xf borderId="283" fillId="19" fontId="30" numFmtId="0" xfId="0" applyAlignment="1" applyBorder="1" applyFont="1">
      <alignment horizontal="center" vertical="center"/>
    </xf>
    <xf borderId="283" fillId="19" fontId="30" numFmtId="0" xfId="0" applyAlignment="1" applyBorder="1" applyFont="1">
      <alignment vertical="center"/>
    </xf>
    <xf borderId="284" fillId="0" fontId="9" numFmtId="0" xfId="0" applyAlignment="1" applyBorder="1" applyFont="1">
      <alignment horizontal="center" vertical="center"/>
    </xf>
    <xf borderId="285" fillId="0" fontId="1" numFmtId="0" xfId="0" applyAlignment="1" applyBorder="1" applyFont="1">
      <alignment horizontal="center"/>
    </xf>
    <xf borderId="286" fillId="0" fontId="1" numFmtId="0" xfId="0" applyAlignment="1" applyBorder="1" applyFont="1">
      <alignment horizontal="center" vertical="center"/>
    </xf>
    <xf borderId="286" fillId="0" fontId="29" numFmtId="0" xfId="0" applyAlignment="1" applyBorder="1" applyFont="1">
      <alignment horizontal="center" vertical="center"/>
    </xf>
    <xf borderId="287" fillId="0" fontId="1" numFmtId="0" xfId="0" applyAlignment="1" applyBorder="1" applyFont="1">
      <alignment horizontal="left"/>
    </xf>
    <xf borderId="288" fillId="0" fontId="1" numFmtId="10" xfId="0" applyAlignment="1" applyBorder="1" applyFont="1" applyNumberFormat="1">
      <alignment horizontal="right"/>
    </xf>
    <xf borderId="289" fillId="0" fontId="7" numFmtId="0" xfId="0" applyBorder="1" applyFont="1"/>
    <xf borderId="284" fillId="0" fontId="7" numFmtId="0" xfId="0" applyBorder="1" applyFont="1"/>
    <xf borderId="290" fillId="0" fontId="1" numFmtId="0" xfId="0" applyAlignment="1" applyBorder="1" applyFont="1">
      <alignment vertical="center"/>
    </xf>
    <xf borderId="290" fillId="0" fontId="1" numFmtId="0" xfId="0" applyAlignment="1" applyBorder="1" applyFont="1">
      <alignment horizontal="center" vertical="center"/>
    </xf>
    <xf borderId="263" fillId="13" fontId="1" numFmtId="0" xfId="0" applyAlignment="1" applyBorder="1" applyFont="1">
      <alignment shrinkToFit="0" vertical="center" wrapText="1"/>
    </xf>
    <xf borderId="263" fillId="13" fontId="2" numFmtId="0" xfId="0" applyAlignment="1" applyBorder="1" applyFont="1">
      <alignment horizontal="center" vertical="center"/>
    </xf>
    <xf borderId="264" fillId="13" fontId="29" numFmtId="0" xfId="0" applyAlignment="1" applyBorder="1" applyFont="1">
      <alignment horizontal="center" vertical="center"/>
    </xf>
    <xf borderId="265" fillId="13" fontId="29" numFmtId="0" xfId="0" applyAlignment="1" applyBorder="1" applyFont="1">
      <alignment horizontal="center" vertical="center"/>
    </xf>
    <xf borderId="266" fillId="13" fontId="29" numFmtId="0" xfId="0" applyAlignment="1" applyBorder="1" applyFont="1">
      <alignment horizontal="center" vertical="center"/>
    </xf>
    <xf borderId="267" fillId="13" fontId="29" numFmtId="0" xfId="0" applyAlignment="1" applyBorder="1" applyFont="1">
      <alignment horizontal="center" vertical="center"/>
    </xf>
    <xf borderId="268" fillId="13" fontId="29" numFmtId="0" xfId="0" applyAlignment="1" applyBorder="1" applyFont="1">
      <alignment horizontal="center" vertical="center"/>
    </xf>
    <xf borderId="269" fillId="13" fontId="29" numFmtId="0" xfId="0" applyAlignment="1" applyBorder="1" applyFont="1">
      <alignment horizontal="center" vertical="center"/>
    </xf>
    <xf borderId="270" fillId="13" fontId="29" numFmtId="0" xfId="0" applyAlignment="1" applyBorder="1" applyFont="1">
      <alignment horizontal="center" vertical="center"/>
    </xf>
    <xf borderId="271" fillId="13" fontId="29" numFmtId="0" xfId="0" applyAlignment="1" applyBorder="1" applyFont="1">
      <alignment horizontal="center" vertical="center"/>
    </xf>
    <xf borderId="272" fillId="13" fontId="29" numFmtId="0" xfId="0" applyAlignment="1" applyBorder="1" applyFont="1">
      <alignment horizontal="center" vertical="center"/>
    </xf>
    <xf borderId="273" fillId="13" fontId="29" numFmtId="0" xfId="0" applyAlignment="1" applyBorder="1" applyFont="1">
      <alignment horizontal="center" vertical="center"/>
    </xf>
    <xf borderId="263" fillId="13" fontId="1" numFmtId="0" xfId="0" applyAlignment="1" applyBorder="1" applyFont="1">
      <alignment horizontal="center" vertical="center"/>
    </xf>
    <xf borderId="274" fillId="13" fontId="1" numFmtId="0" xfId="0" applyAlignment="1" applyBorder="1" applyFont="1">
      <alignment horizontal="center" vertical="center"/>
    </xf>
    <xf borderId="275" fillId="13" fontId="1" numFmtId="0" xfId="0" applyAlignment="1" applyBorder="1" applyFont="1">
      <alignment horizontal="center" vertical="center"/>
    </xf>
    <xf borderId="276" fillId="13" fontId="1" numFmtId="0" xfId="0" applyAlignment="1" applyBorder="1" applyFont="1">
      <alignment horizontal="center" vertical="center"/>
    </xf>
    <xf borderId="276" fillId="13" fontId="1" numFmtId="0" xfId="0" applyBorder="1" applyFont="1"/>
    <xf borderId="277" fillId="13" fontId="1" numFmtId="0" xfId="0" applyAlignment="1" applyBorder="1" applyFont="1">
      <alignment horizontal="left" vertical="center"/>
    </xf>
    <xf borderId="274" fillId="13" fontId="1" numFmtId="0" xfId="0" applyAlignment="1" applyBorder="1" applyFont="1">
      <alignment vertical="center"/>
    </xf>
    <xf borderId="263" fillId="13" fontId="1" numFmtId="0" xfId="0" applyAlignment="1" applyBorder="1" applyFont="1">
      <alignment vertical="center"/>
    </xf>
    <xf borderId="278" fillId="13" fontId="1" numFmtId="0" xfId="0" applyAlignment="1" applyBorder="1" applyFont="1">
      <alignment vertical="center"/>
    </xf>
    <xf borderId="279" fillId="13" fontId="1" numFmtId="0" xfId="0" applyAlignment="1" applyBorder="1" applyFont="1">
      <alignment vertical="center"/>
    </xf>
    <xf borderId="280" fillId="13" fontId="1" numFmtId="0" xfId="0" applyAlignment="1" applyBorder="1" applyFont="1">
      <alignment vertical="center"/>
    </xf>
    <xf borderId="281" fillId="13" fontId="1" numFmtId="0" xfId="0" applyAlignment="1" applyBorder="1" applyFont="1">
      <alignment vertical="center"/>
    </xf>
    <xf borderId="276" fillId="13" fontId="9" numFmtId="0" xfId="0" applyAlignment="1" applyBorder="1" applyFont="1">
      <alignment horizontal="center" shrinkToFit="0" vertical="center" wrapText="1"/>
    </xf>
    <xf borderId="274" fillId="13" fontId="9" numFmtId="0" xfId="0" applyAlignment="1" applyBorder="1" applyFont="1">
      <alignment horizontal="left" shrinkToFit="0" vertical="center" wrapText="1"/>
    </xf>
    <xf borderId="263" fillId="13" fontId="9" numFmtId="0" xfId="0" applyAlignment="1" applyBorder="1" applyFont="1">
      <alignment horizontal="center" shrinkToFit="0" vertical="center" wrapText="1"/>
    </xf>
    <xf borderId="277" fillId="13" fontId="9" numFmtId="0" xfId="0" applyAlignment="1" applyBorder="1" applyFont="1">
      <alignment horizontal="left" shrinkToFit="0" vertical="center" wrapText="1"/>
    </xf>
    <xf borderId="291" fillId="13" fontId="30" numFmtId="0" xfId="0" applyAlignment="1" applyBorder="1" applyFont="1">
      <alignment horizontal="center" vertical="center"/>
    </xf>
    <xf borderId="292" fillId="0" fontId="5" numFmtId="0" xfId="0" applyBorder="1" applyFont="1"/>
    <xf borderId="283" fillId="13" fontId="30" numFmtId="0" xfId="0" applyAlignment="1" applyBorder="1" applyFont="1">
      <alignment horizontal="center" vertical="center"/>
    </xf>
    <xf borderId="263" fillId="19" fontId="9" numFmtId="0" xfId="0" applyAlignment="1" applyBorder="1" applyFont="1">
      <alignment horizontal="center" shrinkToFit="0" vertical="center" wrapText="1"/>
    </xf>
    <xf borderId="277" fillId="19" fontId="9" numFmtId="0" xfId="0" applyAlignment="1" applyBorder="1" applyFont="1">
      <alignment horizontal="left" shrinkToFit="0" vertical="center" wrapText="1"/>
    </xf>
    <xf borderId="293" fillId="19" fontId="30" numFmtId="0" xfId="0" applyAlignment="1" applyBorder="1" applyFont="1">
      <alignment vertical="center"/>
    </xf>
    <xf borderId="282" fillId="13" fontId="30" numFmtId="0" xfId="0" applyAlignment="1" applyBorder="1" applyFont="1">
      <alignment horizontal="center" vertical="center"/>
    </xf>
    <xf borderId="283" fillId="13" fontId="30" numFmtId="0" xfId="0" applyAlignment="1" applyBorder="1" applyFont="1">
      <alignment vertical="center"/>
    </xf>
    <xf borderId="242" fillId="18" fontId="1" numFmtId="0" xfId="0" applyAlignment="1" applyBorder="1" applyFont="1">
      <alignment horizontal="center" vertical="center"/>
    </xf>
    <xf borderId="291" fillId="19" fontId="30" numFmtId="0" xfId="0" applyAlignment="1" applyBorder="1" applyFont="1">
      <alignment horizontal="center" vertical="center"/>
    </xf>
    <xf borderId="294" fillId="0" fontId="5" numFmtId="0" xfId="0" applyBorder="1" applyFont="1"/>
    <xf borderId="293" fillId="13" fontId="30" numFmtId="0" xfId="0" applyAlignment="1" applyBorder="1" applyFont="1">
      <alignment vertical="center"/>
    </xf>
    <xf borderId="295" fillId="19" fontId="1" numFmtId="0" xfId="0" applyAlignment="1" applyBorder="1" applyFont="1">
      <alignment vertical="center"/>
    </xf>
    <xf borderId="296" fillId="19" fontId="1" numFmtId="0" xfId="0" applyAlignment="1" applyBorder="1" applyFont="1">
      <alignment vertical="center"/>
    </xf>
    <xf borderId="288" fillId="0" fontId="1" numFmtId="0" xfId="0" applyAlignment="1" applyBorder="1" applyFont="1">
      <alignment horizontal="right"/>
    </xf>
    <xf borderId="284" fillId="0" fontId="1" numFmtId="0" xfId="0" applyBorder="1" applyFont="1"/>
    <xf borderId="297" fillId="13" fontId="1" numFmtId="0" xfId="0" applyAlignment="1" applyBorder="1" applyFont="1">
      <alignment vertical="center"/>
    </xf>
    <xf borderId="298" fillId="13" fontId="1" numFmtId="0" xfId="0" applyAlignment="1" applyBorder="1" applyFont="1">
      <alignment vertical="center"/>
    </xf>
    <xf borderId="299" fillId="13" fontId="1" numFmtId="0" xfId="0" applyAlignment="1" applyBorder="1" applyFont="1">
      <alignment vertical="center"/>
    </xf>
    <xf borderId="300" fillId="19" fontId="1" numFmtId="0" xfId="0" applyAlignment="1" applyBorder="1" applyFont="1">
      <alignment vertical="center"/>
    </xf>
    <xf borderId="301" fillId="19" fontId="1" numFmtId="0" xfId="0" applyAlignment="1" applyBorder="1" applyFont="1">
      <alignment vertical="center"/>
    </xf>
    <xf borderId="295" fillId="13" fontId="1" numFmtId="0" xfId="0" applyAlignment="1" applyBorder="1" applyFont="1">
      <alignment vertical="center"/>
    </xf>
    <xf borderId="296" fillId="13" fontId="1" numFmtId="0" xfId="0" applyAlignment="1" applyBorder="1" applyFont="1">
      <alignment vertical="center"/>
    </xf>
    <xf borderId="297" fillId="19" fontId="1" numFmtId="0" xfId="0" applyAlignment="1" applyBorder="1" applyFont="1">
      <alignment vertical="center"/>
    </xf>
    <xf borderId="298" fillId="19" fontId="1" numFmtId="0" xfId="0" applyAlignment="1" applyBorder="1" applyFont="1">
      <alignment vertical="center"/>
    </xf>
    <xf borderId="299" fillId="19" fontId="1" numFmtId="0" xfId="0" applyAlignment="1" applyBorder="1" applyFont="1">
      <alignment vertical="center"/>
    </xf>
    <xf borderId="302" fillId="13" fontId="1" numFmtId="0" xfId="0" applyAlignment="1" applyBorder="1" applyFont="1">
      <alignment vertical="center"/>
    </xf>
    <xf borderId="303" fillId="13" fontId="1" numFmtId="0" xfId="0" applyAlignment="1" applyBorder="1" applyFont="1">
      <alignment vertical="center"/>
    </xf>
    <xf borderId="304" fillId="13" fontId="1" numFmtId="0" xfId="0" applyAlignment="1" applyBorder="1" applyFont="1">
      <alignment vertical="center"/>
    </xf>
    <xf borderId="305" fillId="13" fontId="1" numFmtId="0" xfId="0" applyAlignment="1" applyBorder="1" applyFont="1">
      <alignment vertical="center"/>
    </xf>
    <xf borderId="306" fillId="19" fontId="1" numFmtId="0" xfId="0" applyAlignment="1" applyBorder="1" applyFont="1">
      <alignment vertical="center"/>
    </xf>
    <xf borderId="307" fillId="13" fontId="1" numFmtId="0" xfId="0" applyAlignment="1" applyBorder="1" applyFont="1">
      <alignment vertical="center"/>
    </xf>
    <xf borderId="308" fillId="19" fontId="1" numFmtId="0" xfId="0" applyAlignment="1" applyBorder="1" applyFont="1">
      <alignment vertical="center"/>
    </xf>
    <xf borderId="309" fillId="13" fontId="1" numFmtId="0" xfId="0" applyAlignment="1" applyBorder="1" applyFont="1">
      <alignment vertical="center"/>
    </xf>
    <xf borderId="310" fillId="19" fontId="1" numFmtId="0" xfId="0" applyAlignment="1" applyBorder="1" applyFont="1">
      <alignment vertical="center"/>
    </xf>
    <xf borderId="287" fillId="0" fontId="1" numFmtId="9" xfId="0" applyAlignment="1" applyBorder="1" applyFont="1" applyNumberFormat="1">
      <alignment horizontal="left"/>
    </xf>
    <xf borderId="288" fillId="0" fontId="1" numFmtId="9" xfId="0" applyAlignment="1" applyBorder="1" applyFont="1" applyNumberFormat="1">
      <alignment horizontal="right"/>
    </xf>
    <xf borderId="311" fillId="18" fontId="1" numFmtId="0" xfId="0" applyAlignment="1" applyBorder="1" applyFont="1">
      <alignment horizontal="center" vertical="center"/>
    </xf>
    <xf borderId="312" fillId="13" fontId="1" numFmtId="0" xfId="0" applyAlignment="1" applyBorder="1" applyFont="1">
      <alignment horizontal="center" vertical="center"/>
    </xf>
    <xf borderId="311" fillId="18" fontId="1" numFmtId="0" xfId="0" applyBorder="1" applyFont="1"/>
    <xf borderId="313" fillId="18" fontId="1" numFmtId="0" xfId="0" applyAlignment="1" applyBorder="1" applyFont="1">
      <alignment horizontal="left" vertical="center"/>
    </xf>
    <xf borderId="314" fillId="18" fontId="1" numFmtId="0" xfId="0" applyAlignment="1" applyBorder="1" applyFont="1">
      <alignment horizontal="center" vertical="center"/>
    </xf>
    <xf borderId="315" fillId="19" fontId="1" numFmtId="0" xfId="0" applyAlignment="1" applyBorder="1" applyFont="1">
      <alignment horizontal="center" vertical="center"/>
    </xf>
    <xf borderId="314" fillId="18" fontId="1" numFmtId="0" xfId="0" applyBorder="1" applyFont="1"/>
    <xf borderId="310" fillId="18" fontId="1" numFmtId="0" xfId="0" applyAlignment="1" applyBorder="1" applyFont="1">
      <alignment horizontal="left" vertical="center"/>
    </xf>
    <xf borderId="300" fillId="13" fontId="1" numFmtId="0" xfId="0" applyAlignment="1" applyBorder="1" applyFont="1">
      <alignment vertical="center"/>
    </xf>
    <xf borderId="316" fillId="13" fontId="1" numFmtId="0" xfId="0" applyAlignment="1" applyBorder="1" applyFont="1">
      <alignment vertical="center"/>
    </xf>
    <xf borderId="301" fillId="13" fontId="1" numFmtId="0" xfId="0" applyAlignment="1" applyBorder="1" applyFont="1">
      <alignment vertical="center"/>
    </xf>
    <xf borderId="317" fillId="13" fontId="1" numFmtId="0" xfId="0" applyAlignment="1" applyBorder="1" applyFont="1">
      <alignment vertical="center"/>
    </xf>
    <xf borderId="318" fillId="18" fontId="1" numFmtId="0" xfId="0" applyAlignment="1" applyBorder="1" applyFont="1">
      <alignment horizontal="center" vertical="center"/>
    </xf>
    <xf borderId="319" fillId="19" fontId="1" numFmtId="0" xfId="0" applyAlignment="1" applyBorder="1" applyFont="1">
      <alignment horizontal="left" vertical="center"/>
    </xf>
    <xf borderId="303" fillId="19" fontId="1" numFmtId="0" xfId="0" applyAlignment="1" applyBorder="1" applyFont="1">
      <alignment vertical="center"/>
    </xf>
    <xf borderId="265" fillId="13" fontId="1" numFmtId="0" xfId="0" applyAlignment="1" applyBorder="1" applyFont="1">
      <alignment horizontal="center" vertical="center"/>
    </xf>
    <xf borderId="266" fillId="13" fontId="1" numFmtId="0" xfId="0" applyAlignment="1" applyBorder="1" applyFont="1">
      <alignment horizontal="center" vertical="center"/>
    </xf>
    <xf borderId="267" fillId="13" fontId="1" numFmtId="0" xfId="0" applyAlignment="1" applyBorder="1" applyFont="1">
      <alignment horizontal="center" vertical="center"/>
    </xf>
    <xf borderId="268" fillId="13" fontId="1" numFmtId="0" xfId="0" applyAlignment="1" applyBorder="1" applyFont="1">
      <alignment horizontal="center" vertical="center"/>
    </xf>
    <xf borderId="269" fillId="13" fontId="1" numFmtId="0" xfId="0" applyAlignment="1" applyBorder="1" applyFont="1">
      <alignment horizontal="center" vertical="center"/>
    </xf>
    <xf borderId="320" fillId="18" fontId="1" numFmtId="0" xfId="0" applyAlignment="1" applyBorder="1" applyFont="1">
      <alignment horizontal="center" vertical="center"/>
    </xf>
    <xf borderId="321" fillId="13" fontId="1" numFmtId="0" xfId="0" applyAlignment="1" applyBorder="1" applyFont="1">
      <alignment horizontal="left" vertical="center"/>
    </xf>
    <xf borderId="267" fillId="19" fontId="1" numFmtId="0" xfId="0" applyAlignment="1" applyBorder="1" applyFont="1">
      <alignment horizontal="center" vertical="center"/>
    </xf>
    <xf borderId="270" fillId="19" fontId="1" numFmtId="0" xfId="0" applyAlignment="1" applyBorder="1" applyFont="1">
      <alignment horizontal="center" vertical="center"/>
    </xf>
    <xf borderId="265" fillId="19" fontId="1" numFmtId="0" xfId="0" applyAlignment="1" applyBorder="1" applyFont="1">
      <alignment horizontal="center" vertical="center"/>
    </xf>
    <xf borderId="266" fillId="19" fontId="1" numFmtId="0" xfId="0" applyAlignment="1" applyBorder="1" applyFont="1">
      <alignment horizontal="center" vertical="center"/>
    </xf>
    <xf borderId="268" fillId="19" fontId="1" numFmtId="0" xfId="0" applyAlignment="1" applyBorder="1" applyFont="1">
      <alignment horizontal="center" vertical="center"/>
    </xf>
    <xf borderId="269" fillId="19" fontId="1" numFmtId="0" xfId="0" applyAlignment="1" applyBorder="1" applyFont="1">
      <alignment horizontal="center" vertical="center"/>
    </xf>
    <xf borderId="322" fillId="18" fontId="1" numFmtId="0" xfId="0" applyAlignment="1" applyBorder="1" applyFont="1">
      <alignment horizontal="center" vertical="center"/>
    </xf>
    <xf borderId="323" fillId="19" fontId="1" numFmtId="0" xfId="0" applyAlignment="1" applyBorder="1" applyFont="1">
      <alignment horizontal="left" vertical="center"/>
    </xf>
    <xf borderId="310" fillId="13" fontId="1" numFmtId="0" xfId="0" applyAlignment="1" applyBorder="1" applyFont="1">
      <alignment vertical="center"/>
    </xf>
    <xf borderId="316" fillId="19" fontId="1" numFmtId="0" xfId="0" applyAlignment="1" applyBorder="1" applyFont="1">
      <alignment vertical="center"/>
    </xf>
    <xf borderId="317" fillId="19" fontId="1" numFmtId="0" xfId="0" applyAlignment="1" applyBorder="1" applyFont="1">
      <alignment vertical="center"/>
    </xf>
    <xf borderId="276" fillId="19" fontId="1" numFmtId="0" xfId="0" applyAlignment="1" applyBorder="1" applyFont="1">
      <alignment horizontal="center" shrinkToFit="0" vertical="center" wrapText="1"/>
    </xf>
    <xf borderId="274" fillId="19" fontId="1" numFmtId="0" xfId="0" applyAlignment="1" applyBorder="1" applyFont="1">
      <alignment horizontal="left" shrinkToFit="0" vertical="center" wrapText="1"/>
    </xf>
    <xf borderId="276" fillId="13" fontId="1" numFmtId="0" xfId="0" applyAlignment="1" applyBorder="1" applyFont="1">
      <alignment horizontal="center" shrinkToFit="0" vertical="center" wrapText="1"/>
    </xf>
    <xf borderId="274" fillId="13" fontId="1" numFmtId="0" xfId="0" applyAlignment="1" applyBorder="1" applyFont="1">
      <alignment horizontal="left" shrinkToFit="0" vertical="center" wrapText="1"/>
    </xf>
    <xf borderId="306" fillId="13" fontId="1" numFmtId="0" xfId="0" applyAlignment="1" applyBorder="1" applyFont="1">
      <alignment vertical="center"/>
    </xf>
    <xf borderId="324" fillId="0" fontId="1" numFmtId="0" xfId="0" applyAlignment="1" applyBorder="1" applyFont="1">
      <alignment horizontal="left"/>
    </xf>
    <xf borderId="325" fillId="0" fontId="1" numFmtId="0" xfId="0" applyAlignment="1" applyBorder="1" applyFont="1">
      <alignment horizontal="center"/>
    </xf>
    <xf borderId="326" fillId="0" fontId="5" numFmtId="0" xfId="0" applyBorder="1" applyFont="1"/>
    <xf borderId="289" fillId="0" fontId="22" numFmtId="0" xfId="0" applyBorder="1" applyFont="1"/>
    <xf borderId="327" fillId="22" fontId="1" numFmtId="0" xfId="0" applyAlignment="1" applyBorder="1" applyFill="1" applyFont="1">
      <alignment horizontal="center"/>
    </xf>
    <xf borderId="273" fillId="13" fontId="1" numFmtId="0" xfId="0" applyAlignment="1" applyBorder="1" applyFont="1">
      <alignment horizontal="center" vertical="center"/>
    </xf>
    <xf borderId="276" fillId="18" fontId="1" numFmtId="0" xfId="0" applyBorder="1" applyFont="1"/>
    <xf borderId="229" fillId="18" fontId="1" numFmtId="0" xfId="0" applyAlignment="1" applyBorder="1" applyFont="1">
      <alignment horizontal="left" vertical="center"/>
    </xf>
    <xf borderId="328" fillId="13" fontId="1" numFmtId="0" xfId="0" applyAlignment="1" applyBorder="1" applyFont="1">
      <alignment vertical="center"/>
    </xf>
    <xf borderId="293" fillId="13" fontId="30" numFmtId="0" xfId="0" applyAlignment="1" applyBorder="1" applyFont="1">
      <alignment horizontal="center" vertical="center"/>
    </xf>
    <xf borderId="307" fillId="19" fontId="1" numFmtId="0" xfId="0" applyAlignment="1" applyBorder="1" applyFont="1">
      <alignment vertical="center"/>
    </xf>
    <xf borderId="308" fillId="13" fontId="1" numFmtId="0" xfId="0" applyAlignment="1" applyBorder="1" applyFont="1">
      <alignment vertical="center"/>
    </xf>
    <xf borderId="329" fillId="13" fontId="1" numFmtId="0" xfId="0" applyAlignment="1" applyBorder="1" applyFont="1">
      <alignment vertical="center"/>
    </xf>
    <xf borderId="275" fillId="18" fontId="1" numFmtId="0" xfId="0" applyAlignment="1" applyBorder="1" applyFont="1">
      <alignment horizontal="center" vertical="center"/>
    </xf>
    <xf borderId="273" fillId="19" fontId="1" numFmtId="0" xfId="0" applyAlignment="1" applyBorder="1" applyFont="1">
      <alignment horizontal="center" vertical="center"/>
    </xf>
    <xf borderId="288" fillId="0" fontId="1" numFmtId="10" xfId="0" applyAlignment="1" applyBorder="1" applyFont="1" applyNumberFormat="1">
      <alignment horizontal="right"/>
    </xf>
    <xf borderId="273" fillId="23" fontId="1" numFmtId="10" xfId="0" applyAlignment="1" applyBorder="1" applyFill="1" applyFont="1" applyNumberFormat="1">
      <alignment horizontal="right"/>
    </xf>
    <xf borderId="287" fillId="0" fontId="1" numFmtId="0" xfId="0" applyAlignment="1" applyBorder="1" applyFont="1">
      <alignment horizontal="left"/>
    </xf>
    <xf borderId="288" fillId="0" fontId="1" numFmtId="0" xfId="0" applyAlignment="1" applyBorder="1" applyFont="1">
      <alignment horizontal="right"/>
    </xf>
    <xf borderId="330" fillId="17" fontId="1" numFmtId="0" xfId="0" applyAlignment="1" applyBorder="1" applyFont="1">
      <alignment horizontal="left"/>
    </xf>
    <xf borderId="273" fillId="23" fontId="1" numFmtId="0" xfId="0" applyAlignment="1" applyBorder="1" applyFont="1">
      <alignment horizontal="right"/>
    </xf>
    <xf borderId="331" fillId="13" fontId="1" numFmtId="0" xfId="0" applyAlignment="1" applyBorder="1" applyFont="1">
      <alignment vertical="center"/>
    </xf>
    <xf borderId="324" fillId="0" fontId="1" numFmtId="0" xfId="0" applyAlignment="1" applyBorder="1" applyFont="1">
      <alignment horizontal="left"/>
    </xf>
    <xf borderId="332" fillId="0" fontId="5" numFmtId="0" xfId="0" applyBorder="1" applyFont="1"/>
    <xf borderId="333" fillId="13" fontId="1" numFmtId="0" xfId="0" applyAlignment="1" applyBorder="1" applyFont="1">
      <alignment shrinkToFit="0" vertical="center" wrapText="1"/>
    </xf>
    <xf borderId="333" fillId="13" fontId="2" numFmtId="0" xfId="0" applyAlignment="1" applyBorder="1" applyFont="1">
      <alignment horizontal="center" vertical="center"/>
    </xf>
    <xf borderId="333" fillId="13" fontId="1" numFmtId="0" xfId="0" applyAlignment="1" applyBorder="1" applyFont="1">
      <alignment horizontal="center" vertical="center"/>
    </xf>
    <xf borderId="334" fillId="13" fontId="1" numFmtId="0" xfId="0" applyAlignment="1" applyBorder="1" applyFont="1">
      <alignment horizontal="center" vertical="center"/>
    </xf>
    <xf borderId="335" fillId="13" fontId="1" numFmtId="0" xfId="0" applyAlignment="1" applyBorder="1" applyFont="1">
      <alignment horizontal="center" vertical="center"/>
    </xf>
    <xf borderId="333" fillId="13" fontId="1" numFmtId="0" xfId="0" applyAlignment="1" applyBorder="1" applyFont="1">
      <alignment vertical="center"/>
    </xf>
    <xf borderId="336" fillId="13" fontId="1" numFmtId="0" xfId="0" applyAlignment="1" applyBorder="1" applyFont="1">
      <alignment horizontal="center" vertical="center"/>
    </xf>
    <xf borderId="4" fillId="13" fontId="1" numFmtId="0" xfId="0" applyAlignment="1" applyBorder="1" applyFont="1">
      <alignment horizontal="left" vertical="center"/>
    </xf>
    <xf borderId="336" fillId="13" fontId="1" numFmtId="0" xfId="0" applyBorder="1" applyFont="1"/>
    <xf borderId="337" fillId="13" fontId="1" numFmtId="0" xfId="0" applyAlignment="1" applyBorder="1" applyFont="1">
      <alignment horizontal="center" vertical="center"/>
    </xf>
    <xf borderId="338" fillId="13" fontId="1" numFmtId="0" xfId="0" applyAlignment="1" applyBorder="1" applyFont="1">
      <alignment horizontal="left" vertical="center"/>
    </xf>
    <xf borderId="334" fillId="13" fontId="1" numFmtId="0" xfId="0" applyAlignment="1" applyBorder="1" applyFont="1">
      <alignment vertical="center"/>
    </xf>
    <xf borderId="339" fillId="13" fontId="1" numFmtId="0" xfId="0" applyAlignment="1" applyBorder="1" applyFont="1">
      <alignment vertical="center"/>
    </xf>
    <xf borderId="336" fillId="13" fontId="9" numFmtId="0" xfId="0" applyAlignment="1" applyBorder="1" applyFont="1">
      <alignment horizontal="center" shrinkToFit="0" vertical="center" wrapText="1"/>
    </xf>
    <xf borderId="334" fillId="13" fontId="1" numFmtId="0" xfId="0" applyAlignment="1" applyBorder="1" applyFont="1">
      <alignment horizontal="left" shrinkToFit="0" vertical="center" wrapText="1"/>
    </xf>
    <xf borderId="333" fillId="13" fontId="9" numFmtId="0" xfId="0" applyAlignment="1" applyBorder="1" applyFont="1">
      <alignment horizontal="center" shrinkToFit="0" vertical="center" wrapText="1"/>
    </xf>
    <xf borderId="338" fillId="13" fontId="9" numFmtId="0" xfId="0" applyAlignment="1" applyBorder="1" applyFont="1">
      <alignment horizontal="left" shrinkToFit="0" vertical="center" wrapText="1"/>
    </xf>
    <xf borderId="340" fillId="0" fontId="9" numFmtId="0" xfId="0" applyAlignment="1" applyBorder="1" applyFont="1">
      <alignment horizontal="center" vertical="center"/>
    </xf>
    <xf borderId="341" fillId="0" fontId="1" numFmtId="0" xfId="0" applyAlignment="1" applyBorder="1" applyFont="1">
      <alignment horizontal="center" vertical="center"/>
    </xf>
    <xf borderId="341" fillId="0" fontId="29" numFmtId="0" xfId="0" applyAlignment="1" applyBorder="1" applyFont="1">
      <alignment horizontal="center" vertical="center"/>
    </xf>
    <xf borderId="342" fillId="0" fontId="7" numFmtId="0" xfId="0" applyBorder="1" applyFont="1"/>
    <xf borderId="340" fillId="0" fontId="1" numFmtId="0" xfId="0" applyBorder="1" applyFont="1"/>
    <xf borderId="285" fillId="0" fontId="1" numFmtId="0" xfId="0" applyAlignment="1" applyBorder="1" applyFont="1">
      <alignment vertical="center"/>
    </xf>
    <xf borderId="285" fillId="0" fontId="1" numFmtId="0" xfId="0" applyAlignment="1" applyBorder="1" applyFont="1">
      <alignment horizontal="center" vertical="center"/>
    </xf>
    <xf borderId="343" fillId="18" fontId="31" numFmtId="0" xfId="0" applyAlignment="1" applyBorder="1" applyFont="1">
      <alignment horizontal="right" textRotation="90" vertical="top"/>
    </xf>
    <xf borderId="344" fillId="19" fontId="1" numFmtId="0" xfId="0" applyAlignment="1" applyBorder="1" applyFont="1">
      <alignment shrinkToFit="0" vertical="center" wrapText="1"/>
    </xf>
    <xf borderId="344" fillId="19" fontId="2" numFmtId="0" xfId="0" applyAlignment="1" applyBorder="1" applyFont="1">
      <alignment horizontal="center" vertical="center"/>
    </xf>
    <xf borderId="344" fillId="19" fontId="1" numFmtId="0" xfId="0" applyAlignment="1" applyBorder="1" applyFont="1">
      <alignment horizontal="center" vertical="center"/>
    </xf>
    <xf borderId="345" fillId="19" fontId="1" numFmtId="0" xfId="0" applyAlignment="1" applyBorder="1" applyFont="1">
      <alignment horizontal="center" vertical="center"/>
    </xf>
    <xf borderId="346" fillId="19" fontId="1" numFmtId="0" xfId="0" applyAlignment="1" applyBorder="1" applyFont="1">
      <alignment horizontal="center" vertical="center"/>
    </xf>
    <xf borderId="344" fillId="19" fontId="1" numFmtId="0" xfId="0" applyAlignment="1" applyBorder="1" applyFont="1">
      <alignment vertical="center"/>
    </xf>
    <xf borderId="347" fillId="19" fontId="1" numFmtId="0" xfId="0" applyAlignment="1" applyBorder="1" applyFont="1">
      <alignment horizontal="center" vertical="center"/>
    </xf>
    <xf borderId="344" fillId="19" fontId="1" numFmtId="0" xfId="0" applyAlignment="1" applyBorder="1" applyFont="1">
      <alignment horizontal="left" vertical="center"/>
    </xf>
    <xf borderId="347" fillId="19" fontId="1" numFmtId="0" xfId="0" applyBorder="1" applyFont="1"/>
    <xf borderId="348" fillId="19" fontId="1" numFmtId="0" xfId="0" applyAlignment="1" applyBorder="1" applyFont="1">
      <alignment horizontal="left" vertical="center"/>
    </xf>
    <xf borderId="345" fillId="19" fontId="1" numFmtId="0" xfId="0" applyAlignment="1" applyBorder="1" applyFont="1">
      <alignment vertical="center"/>
    </xf>
    <xf borderId="349" fillId="19" fontId="1" numFmtId="0" xfId="0" applyAlignment="1" applyBorder="1" applyFont="1">
      <alignment vertical="center"/>
    </xf>
    <xf borderId="350" fillId="19" fontId="1" numFmtId="0" xfId="0" applyAlignment="1" applyBorder="1" applyFont="1">
      <alignment vertical="center"/>
    </xf>
    <xf borderId="351" fillId="19" fontId="1" numFmtId="0" xfId="0" applyAlignment="1" applyBorder="1" applyFont="1">
      <alignment vertical="center"/>
    </xf>
    <xf borderId="352" fillId="19" fontId="1" numFmtId="0" xfId="0" applyAlignment="1" applyBorder="1" applyFont="1">
      <alignment vertical="center"/>
    </xf>
    <xf borderId="347" fillId="19" fontId="9" numFmtId="0" xfId="0" applyAlignment="1" applyBorder="1" applyFont="1">
      <alignment horizontal="center" shrinkToFit="0" vertical="center" wrapText="1"/>
    </xf>
    <xf borderId="345" fillId="19" fontId="9" numFmtId="0" xfId="0" applyAlignment="1" applyBorder="1" applyFont="1">
      <alignment horizontal="left" shrinkToFit="0" vertical="center" wrapText="1"/>
    </xf>
    <xf borderId="344" fillId="19" fontId="9" numFmtId="0" xfId="0" applyAlignment="1" applyBorder="1" applyFont="1">
      <alignment horizontal="center" shrinkToFit="0" vertical="center" wrapText="1"/>
    </xf>
    <xf borderId="348" fillId="19" fontId="9" numFmtId="0" xfId="0" applyAlignment="1" applyBorder="1" applyFont="1">
      <alignment horizontal="left" shrinkToFit="0" vertical="center" wrapText="1"/>
    </xf>
    <xf borderId="353" fillId="0" fontId="9" numFmtId="0" xfId="0" applyAlignment="1" applyBorder="1" applyFont="1">
      <alignment horizontal="center" vertical="center"/>
    </xf>
    <xf borderId="354" fillId="0" fontId="1" numFmtId="0" xfId="0" applyAlignment="1" applyBorder="1" applyFont="1">
      <alignment horizontal="center" vertical="center"/>
    </xf>
    <xf borderId="354" fillId="0" fontId="29" numFmtId="0" xfId="0" applyAlignment="1" applyBorder="1" applyFont="1">
      <alignment horizontal="center" vertical="center"/>
    </xf>
    <xf borderId="355" fillId="0" fontId="1" numFmtId="0" xfId="0" applyAlignment="1" applyBorder="1" applyFont="1">
      <alignment horizontal="left"/>
    </xf>
    <xf borderId="356" fillId="0" fontId="1" numFmtId="10" xfId="0" applyAlignment="1" applyBorder="1" applyFont="1" applyNumberFormat="1">
      <alignment horizontal="right"/>
    </xf>
    <xf borderId="357" fillId="0" fontId="7" numFmtId="0" xfId="0" applyBorder="1" applyFont="1"/>
    <xf borderId="353" fillId="0" fontId="7" numFmtId="0" xfId="0" applyBorder="1" applyFont="1"/>
    <xf borderId="358" fillId="0" fontId="1" numFmtId="0" xfId="0" applyAlignment="1" applyBorder="1" applyFont="1">
      <alignment vertical="center"/>
    </xf>
    <xf borderId="358" fillId="0" fontId="1" numFmtId="0" xfId="0" applyAlignment="1" applyBorder="1" applyFont="1">
      <alignment horizontal="center" vertical="center"/>
    </xf>
    <xf borderId="359" fillId="0" fontId="5" numFmtId="0" xfId="0" applyBorder="1" applyFont="1"/>
    <xf borderId="293" fillId="19" fontId="30" numFmtId="0" xfId="0" applyAlignment="1" applyBorder="1" applyFont="1">
      <alignment horizontal="center" vertical="center"/>
    </xf>
    <xf borderId="305" fillId="19" fontId="1" numFmtId="0" xfId="0" applyAlignment="1" applyBorder="1" applyFont="1">
      <alignment vertical="center"/>
    </xf>
    <xf borderId="263" fillId="19" fontId="2" numFmtId="0" xfId="0" applyAlignment="1" applyBorder="1" applyFont="1">
      <alignment horizontal="left" vertical="center"/>
    </xf>
    <xf borderId="309" fillId="19" fontId="1" numFmtId="0" xfId="0" applyAlignment="1" applyBorder="1" applyFont="1">
      <alignment vertical="center"/>
    </xf>
    <xf borderId="360" fillId="18" fontId="32" numFmtId="0" xfId="0" applyAlignment="1" applyBorder="1" applyFont="1">
      <alignment horizontal="center" vertical="center"/>
    </xf>
    <xf borderId="276" fillId="18" fontId="1" numFmtId="0" xfId="0" applyAlignment="1" applyBorder="1" applyFont="1">
      <alignment horizontal="center" vertical="center"/>
    </xf>
    <xf borderId="361" fillId="18" fontId="32" numFmtId="0" xfId="0" applyAlignment="1" applyBorder="1" applyFont="1">
      <alignment horizontal="center" vertical="center"/>
    </xf>
    <xf borderId="362" fillId="18" fontId="32" numFmtId="0" xfId="0" applyAlignment="1" applyBorder="1" applyFont="1">
      <alignment horizontal="center" vertical="center"/>
    </xf>
    <xf borderId="363" fillId="18" fontId="1" numFmtId="0" xfId="0" applyAlignment="1" applyBorder="1" applyFont="1">
      <alignment horizontal="center" vertical="center"/>
    </xf>
    <xf borderId="313" fillId="13" fontId="1" numFmtId="0" xfId="0" applyAlignment="1" applyBorder="1" applyFont="1">
      <alignment horizontal="left" vertical="center"/>
    </xf>
    <xf borderId="319" fillId="13" fontId="1" numFmtId="0" xfId="0" applyAlignment="1" applyBorder="1" applyFont="1">
      <alignment horizontal="left" vertical="center"/>
    </xf>
    <xf borderId="310" fillId="19" fontId="1" numFmtId="0" xfId="0" applyAlignment="1" applyBorder="1" applyFont="1">
      <alignment horizontal="left" vertical="center"/>
    </xf>
    <xf borderId="302" fillId="19" fontId="1" numFmtId="0" xfId="0" applyAlignment="1" applyBorder="1" applyFont="1">
      <alignment vertical="center"/>
    </xf>
    <xf borderId="329" fillId="19" fontId="1" numFmtId="0" xfId="0" applyAlignment="1" applyBorder="1" applyFont="1">
      <alignment vertical="center"/>
    </xf>
    <xf borderId="304" fillId="19" fontId="1" numFmtId="0" xfId="0" applyAlignment="1" applyBorder="1" applyFont="1">
      <alignment vertical="center"/>
    </xf>
    <xf borderId="328" fillId="19" fontId="1" numFmtId="0" xfId="0" applyAlignment="1" applyBorder="1" applyFont="1">
      <alignment vertical="center"/>
    </xf>
    <xf borderId="286" fillId="18" fontId="32" numFmtId="0" xfId="0" applyAlignment="1" applyBorder="1" applyFont="1">
      <alignment horizontal="center" vertical="center"/>
    </xf>
    <xf borderId="272" fillId="19" fontId="1" numFmtId="0" xfId="0" applyAlignment="1" applyBorder="1" applyFont="1">
      <alignment horizontal="center" vertical="center"/>
    </xf>
    <xf borderId="267" fillId="17" fontId="1" numFmtId="0" xfId="0" applyAlignment="1" applyBorder="1" applyFont="1">
      <alignment horizontal="left"/>
    </xf>
    <xf borderId="364" fillId="0" fontId="5" numFmtId="0" xfId="0" applyBorder="1" applyFont="1"/>
    <xf borderId="343" fillId="18" fontId="31" numFmtId="0" xfId="0" applyAlignment="1" applyBorder="1" applyFont="1">
      <alignment textRotation="90" vertical="top"/>
    </xf>
    <xf borderId="365" fillId="19" fontId="1" numFmtId="0" xfId="0" applyAlignment="1" applyBorder="1" applyFont="1">
      <alignment vertical="center"/>
    </xf>
    <xf borderId="366" fillId="19" fontId="1" numFmtId="0" xfId="0" applyAlignment="1" applyBorder="1" applyFont="1">
      <alignment vertical="center"/>
    </xf>
    <xf borderId="348" fillId="19" fontId="1" numFmtId="0" xfId="0" applyAlignment="1" applyBorder="1" applyFont="1">
      <alignment vertical="center"/>
    </xf>
    <xf borderId="277" fillId="13" fontId="1" numFmtId="0" xfId="0" applyAlignment="1" applyBorder="1" applyFont="1">
      <alignment vertical="center"/>
    </xf>
    <xf borderId="313" fillId="19" fontId="1" numFmtId="0" xfId="0" applyAlignment="1" applyBorder="1" applyFont="1">
      <alignment horizontal="left" vertical="center"/>
    </xf>
    <xf borderId="299" fillId="13" fontId="1" numFmtId="0" xfId="0" applyAlignment="1" applyBorder="1" applyFont="1">
      <alignment horizontal="left" vertical="center"/>
    </xf>
    <xf borderId="274" fillId="19" fontId="1" numFmtId="0" xfId="0" applyAlignment="1" applyBorder="1" applyFont="1">
      <alignment horizontal="left" vertical="center"/>
    </xf>
    <xf borderId="263" fillId="19" fontId="1" numFmtId="0" xfId="0" applyAlignment="1" applyBorder="1" applyFont="1">
      <alignment horizontal="left" vertical="center"/>
    </xf>
    <xf borderId="274" fillId="13" fontId="1" numFmtId="0" xfId="0" applyAlignment="1" applyBorder="1" applyFont="1">
      <alignment horizontal="left" vertical="center"/>
    </xf>
    <xf borderId="263" fillId="13" fontId="1" numFmtId="0" xfId="0" applyAlignment="1" applyBorder="1" applyFont="1">
      <alignment horizontal="left" vertical="center"/>
    </xf>
    <xf borderId="367" fillId="13" fontId="1" numFmtId="0" xfId="0" applyAlignment="1" applyBorder="1" applyFont="1">
      <alignment vertical="center"/>
    </xf>
    <xf borderId="247" fillId="18" fontId="1" numFmtId="0" xfId="0" applyAlignment="1" applyBorder="1" applyFont="1">
      <alignment horizontal="left" vertical="center"/>
    </xf>
    <xf borderId="368" fillId="18" fontId="1" numFmtId="0" xfId="0" applyAlignment="1" applyBorder="1" applyFont="1">
      <alignment horizontal="center" vertical="center"/>
    </xf>
    <xf borderId="369" fillId="18" fontId="1" numFmtId="0" xfId="0" applyBorder="1" applyFont="1"/>
    <xf borderId="299" fillId="18" fontId="1" numFmtId="0" xfId="0" applyAlignment="1" applyBorder="1" applyFont="1">
      <alignment horizontal="left" vertical="center"/>
    </xf>
    <xf borderId="370" fillId="13" fontId="1" numFmtId="0" xfId="0" applyAlignment="1" applyBorder="1" applyFont="1">
      <alignment vertical="center"/>
    </xf>
    <xf borderId="371" fillId="13" fontId="30" numFmtId="0" xfId="0" applyAlignment="1" applyBorder="1" applyFont="1">
      <alignment horizontal="center" vertical="center"/>
    </xf>
    <xf borderId="372" fillId="19" fontId="30" numFmtId="0" xfId="0" applyAlignment="1" applyBorder="1" applyFont="1">
      <alignment horizontal="center" vertical="center"/>
    </xf>
    <xf borderId="373" fillId="13" fontId="30" numFmtId="0" xfId="0" applyAlignment="1" applyBorder="1" applyFont="1">
      <alignment horizontal="center" vertical="center"/>
    </xf>
    <xf borderId="331" fillId="19" fontId="1" numFmtId="0" xfId="0" applyAlignment="1" applyBorder="1" applyFont="1">
      <alignment vertical="center"/>
    </xf>
    <xf borderId="267" fillId="17" fontId="1" numFmtId="9" xfId="0" applyAlignment="1" applyBorder="1" applyFont="1" applyNumberFormat="1">
      <alignment horizontal="left"/>
    </xf>
    <xf borderId="288" fillId="0" fontId="1" numFmtId="9" xfId="0" applyAlignment="1" applyBorder="1" applyFont="1" applyNumberFormat="1">
      <alignment horizontal="right"/>
    </xf>
    <xf borderId="334" fillId="13" fontId="1" numFmtId="0" xfId="0" applyAlignment="1" applyBorder="1" applyFont="1">
      <alignment horizontal="left" vertical="center"/>
    </xf>
    <xf borderId="333" fillId="13" fontId="1" numFmtId="0" xfId="0" applyAlignment="1" applyBorder="1" applyFont="1">
      <alignment horizontal="left" vertical="center"/>
    </xf>
    <xf borderId="338" fillId="13" fontId="1" numFmtId="0" xfId="0" applyAlignment="1" applyBorder="1" applyFont="1">
      <alignment vertical="center"/>
    </xf>
    <xf borderId="345" fillId="19" fontId="1" numFmtId="0" xfId="0" applyAlignment="1" applyBorder="1" applyFont="1">
      <alignment horizontal="left" vertical="center"/>
    </xf>
    <xf borderId="374" fillId="19" fontId="1" numFmtId="0" xfId="0" applyAlignment="1" applyBorder="1" applyFont="1">
      <alignment vertical="center"/>
    </xf>
    <xf borderId="375" fillId="19" fontId="1" numFmtId="0" xfId="0" applyAlignment="1" applyBorder="1" applyFont="1">
      <alignment vertical="center"/>
    </xf>
    <xf borderId="375" fillId="13" fontId="1" numFmtId="0" xfId="0" applyAlignment="1" applyBorder="1" applyFont="1">
      <alignment vertical="center"/>
    </xf>
    <xf borderId="376" fillId="13" fontId="1" numFmtId="0" xfId="0" applyAlignment="1" applyBorder="1" applyFont="1">
      <alignment vertical="center"/>
    </xf>
    <xf borderId="377" fillId="13" fontId="1" numFmtId="0" xfId="0" applyAlignment="1" applyBorder="1" applyFont="1">
      <alignment vertical="center"/>
    </xf>
    <xf borderId="378" fillId="13" fontId="1" numFmtId="0" xfId="0" applyAlignment="1" applyBorder="1" applyFont="1">
      <alignment vertical="center"/>
    </xf>
    <xf borderId="379" fillId="13" fontId="1" numFmtId="0" xfId="0" applyAlignment="1" applyBorder="1" applyFont="1">
      <alignment vertical="center"/>
    </xf>
    <xf borderId="273" fillId="23" fontId="1" numFmtId="9" xfId="0" applyAlignment="1" applyBorder="1" applyFont="1" applyNumberFormat="1">
      <alignment horizontal="right"/>
    </xf>
    <xf borderId="380" fillId="19" fontId="1" numFmtId="0" xfId="0" applyAlignment="1" applyBorder="1" applyFont="1">
      <alignment vertical="center"/>
    </xf>
    <xf borderId="287" fillId="0" fontId="1" numFmtId="9" xfId="0" applyAlignment="1" applyBorder="1" applyFont="1" applyNumberFormat="1">
      <alignment horizontal="left"/>
    </xf>
    <xf borderId="294" fillId="0" fontId="1" numFmtId="0" xfId="0" applyAlignment="1" applyBorder="1" applyFont="1">
      <alignment horizontal="center"/>
    </xf>
    <xf borderId="299" fillId="19" fontId="1" numFmtId="0" xfId="0" applyAlignment="1" applyBorder="1" applyFont="1">
      <alignment horizontal="left" vertical="center"/>
    </xf>
    <xf borderId="321" fillId="19" fontId="1" numFmtId="0" xfId="0" applyAlignment="1" applyBorder="1" applyFont="1">
      <alignment horizontal="left" vertical="center"/>
    </xf>
    <xf borderId="291" fillId="22" fontId="1" numFmtId="0" xfId="0" applyAlignment="1" applyBorder="1" applyFont="1">
      <alignment horizontal="center"/>
    </xf>
    <xf borderId="310" fillId="13" fontId="1" numFmtId="0" xfId="0" applyAlignment="1" applyBorder="1" applyFont="1">
      <alignment horizontal="left" vertical="center"/>
    </xf>
    <xf borderId="311" fillId="18" fontId="32" numFmtId="0" xfId="0" applyAlignment="1" applyBorder="1" applyFont="1">
      <alignment horizontal="center" vertical="center"/>
    </xf>
    <xf borderId="312" fillId="18" fontId="32" numFmtId="0" xfId="0" applyAlignment="1" applyBorder="1" applyFont="1">
      <alignment vertical="center"/>
    </xf>
    <xf borderId="314" fillId="18" fontId="32" numFmtId="0" xfId="0" applyAlignment="1" applyBorder="1" applyFont="1">
      <alignment horizontal="center" vertical="center"/>
    </xf>
    <xf borderId="315" fillId="18" fontId="32" numFmtId="0" xfId="0" applyAlignment="1" applyBorder="1" applyFont="1">
      <alignment vertical="center"/>
    </xf>
    <xf borderId="256" fillId="0" fontId="1" numFmtId="9" xfId="0" applyAlignment="1" applyBorder="1" applyFont="1" applyNumberFormat="1">
      <alignment horizontal="left"/>
    </xf>
    <xf borderId="257" fillId="0" fontId="1" numFmtId="0" xfId="0" applyAlignment="1" applyBorder="1" applyFont="1">
      <alignment horizontal="right"/>
    </xf>
    <xf borderId="327" fillId="22" fontId="1" numFmtId="0" xfId="0" applyAlignment="1" applyBorder="1" applyFont="1">
      <alignment horizontal="left"/>
    </xf>
    <xf borderId="294" fillId="0" fontId="1" numFmtId="0" xfId="0" applyAlignment="1" applyBorder="1" applyFont="1">
      <alignment horizontal="left"/>
    </xf>
    <xf borderId="291" fillId="22" fontId="1" numFmtId="0" xfId="0" applyAlignment="1" applyBorder="1" applyFont="1">
      <alignment horizontal="left"/>
    </xf>
    <xf borderId="381" fillId="0" fontId="5" numFmtId="0" xfId="0" applyBorder="1" applyFont="1"/>
    <xf borderId="382" fillId="13" fontId="1" numFmtId="0" xfId="0" applyAlignment="1" applyBorder="1" applyFont="1">
      <alignment shrinkToFit="0" vertical="center" wrapText="1"/>
    </xf>
    <xf borderId="382" fillId="13" fontId="2" numFmtId="0" xfId="0" applyAlignment="1" applyBorder="1" applyFont="1">
      <alignment horizontal="center" vertical="center"/>
    </xf>
    <xf borderId="250" fillId="13" fontId="1" numFmtId="0" xfId="0" applyAlignment="1" applyBorder="1" applyFont="1">
      <alignment horizontal="center" vertical="center"/>
    </xf>
    <xf borderId="383" fillId="13" fontId="29" numFmtId="0" xfId="0" applyAlignment="1" applyBorder="1" applyFont="1">
      <alignment horizontal="center" vertical="center"/>
    </xf>
    <xf borderId="384" fillId="13" fontId="29" numFmtId="0" xfId="0" applyAlignment="1" applyBorder="1" applyFont="1">
      <alignment horizontal="center" vertical="center"/>
    </xf>
    <xf borderId="385" fillId="13" fontId="29" numFmtId="0" xfId="0" applyAlignment="1" applyBorder="1" applyFont="1">
      <alignment horizontal="center" vertical="center"/>
    </xf>
    <xf borderId="386" fillId="13" fontId="29" numFmtId="0" xfId="0" applyAlignment="1" applyBorder="1" applyFont="1">
      <alignment horizontal="center" vertical="center"/>
    </xf>
    <xf borderId="387" fillId="13" fontId="29" numFmtId="0" xfId="0" applyAlignment="1" applyBorder="1" applyFont="1">
      <alignment horizontal="center" vertical="center"/>
    </xf>
    <xf borderId="388" fillId="13" fontId="29" numFmtId="0" xfId="0" applyAlignment="1" applyBorder="1" applyFont="1">
      <alignment horizontal="center" vertical="center"/>
    </xf>
    <xf borderId="389" fillId="13" fontId="29" numFmtId="0" xfId="0" applyAlignment="1" applyBorder="1" applyFont="1">
      <alignment horizontal="center" vertical="center"/>
    </xf>
    <xf borderId="390" fillId="13" fontId="29" numFmtId="0" xfId="0" applyAlignment="1" applyBorder="1" applyFont="1">
      <alignment horizontal="center" vertical="center"/>
    </xf>
    <xf borderId="391" fillId="13" fontId="29" numFmtId="0" xfId="0" applyAlignment="1" applyBorder="1" applyFont="1">
      <alignment horizontal="center" vertical="center"/>
    </xf>
    <xf borderId="382" fillId="13" fontId="1" numFmtId="0" xfId="0" applyAlignment="1" applyBorder="1" applyFont="1">
      <alignment horizontal="center" vertical="center"/>
    </xf>
    <xf borderId="392" fillId="13" fontId="1" numFmtId="0" xfId="0" applyAlignment="1" applyBorder="1" applyFont="1">
      <alignment horizontal="left" vertical="center"/>
    </xf>
    <xf borderId="393" fillId="13" fontId="1" numFmtId="0" xfId="0" applyAlignment="1" applyBorder="1" applyFont="1">
      <alignment horizontal="center" vertical="center"/>
    </xf>
    <xf borderId="382" fillId="13" fontId="1" numFmtId="0" xfId="0" applyAlignment="1" applyBorder="1" applyFont="1">
      <alignment horizontal="left" vertical="center"/>
    </xf>
    <xf borderId="394" fillId="13" fontId="1" numFmtId="0" xfId="0" applyAlignment="1" applyBorder="1" applyFont="1">
      <alignment horizontal="center" vertical="center"/>
    </xf>
    <xf borderId="395" fillId="13" fontId="1" numFmtId="0" xfId="0" applyAlignment="1" applyBorder="1" applyFont="1">
      <alignment horizontal="left" vertical="center"/>
    </xf>
    <xf borderId="394" fillId="13" fontId="1" numFmtId="0" xfId="0" applyBorder="1" applyFont="1"/>
    <xf borderId="396" fillId="13" fontId="1" numFmtId="0" xfId="0" applyAlignment="1" applyBorder="1" applyFont="1">
      <alignment horizontal="center" vertical="center"/>
    </xf>
    <xf borderId="397" fillId="13" fontId="1" numFmtId="0" xfId="0" applyAlignment="1" applyBorder="1" applyFont="1">
      <alignment horizontal="left" vertical="center"/>
    </xf>
    <xf borderId="392" fillId="13" fontId="1" numFmtId="0" xfId="0" applyAlignment="1" applyBorder="1" applyFont="1">
      <alignment vertical="center"/>
    </xf>
    <xf borderId="382" fillId="13" fontId="1" numFmtId="0" xfId="0" applyAlignment="1" applyBorder="1" applyFont="1">
      <alignment vertical="center"/>
    </xf>
    <xf borderId="398" fillId="13" fontId="1" numFmtId="0" xfId="0" applyAlignment="1" applyBorder="1" applyFont="1">
      <alignment vertical="center"/>
    </xf>
    <xf borderId="399" fillId="13" fontId="1" numFmtId="0" xfId="0" applyAlignment="1" applyBorder="1" applyFont="1">
      <alignment horizontal="center" vertical="center"/>
    </xf>
    <xf borderId="397" fillId="13" fontId="1" numFmtId="0" xfId="0" applyAlignment="1" applyBorder="1" applyFont="1">
      <alignment vertical="center"/>
    </xf>
    <xf borderId="400" fillId="0" fontId="9" numFmtId="0" xfId="0" applyAlignment="1" applyBorder="1" applyFont="1">
      <alignment horizontal="center" vertical="center"/>
    </xf>
    <xf borderId="401" fillId="0" fontId="1" numFmtId="0" xfId="0" applyAlignment="1" applyBorder="1" applyFont="1">
      <alignment horizontal="center" vertical="center"/>
    </xf>
    <xf borderId="402" fillId="0" fontId="1" numFmtId="0" xfId="0" applyAlignment="1" applyBorder="1" applyFont="1">
      <alignment horizontal="center" vertical="center"/>
    </xf>
    <xf borderId="403" fillId="0" fontId="1" numFmtId="0" xfId="0" applyAlignment="1" applyBorder="1" applyFont="1">
      <alignment horizontal="center" vertical="center"/>
    </xf>
    <xf borderId="404" fillId="0" fontId="7" numFmtId="0" xfId="0" applyBorder="1" applyFont="1"/>
    <xf borderId="400" fillId="0" fontId="1" numFmtId="0" xfId="0" applyBorder="1" applyFont="1"/>
    <xf borderId="405" fillId="0" fontId="1" numFmtId="0" xfId="0" applyAlignment="1" applyBorder="1" applyFont="1">
      <alignment vertical="center"/>
    </xf>
    <xf borderId="406" fillId="0" fontId="1" numFmtId="0" xfId="0" applyAlignment="1" applyBorder="1" applyFont="1">
      <alignment horizontal="center" vertical="center"/>
    </xf>
    <xf borderId="405" fillId="0" fontId="1" numFmtId="0" xfId="0" applyAlignment="1" applyBorder="1" applyFont="1">
      <alignment horizontal="center" vertical="center"/>
    </xf>
    <xf borderId="58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59" fillId="0" fontId="1" numFmtId="0" xfId="0" applyAlignment="1" applyBorder="1" applyFont="1">
      <alignment horizontal="center" vertical="center"/>
    </xf>
    <xf borderId="58" fillId="24" fontId="33" numFmtId="0" xfId="0" applyAlignment="1" applyBorder="1" applyFill="1" applyFont="1">
      <alignment vertical="center"/>
    </xf>
    <xf borderId="59" fillId="0" fontId="5" numFmtId="0" xfId="0" applyBorder="1" applyFont="1"/>
    <xf borderId="0" fillId="0" fontId="33" numFmtId="0" xfId="0" applyAlignment="1" applyFont="1">
      <alignment vertical="center"/>
    </xf>
    <xf borderId="407" fillId="18" fontId="14" numFmtId="0" xfId="0" applyAlignment="1" applyBorder="1" applyFont="1">
      <alignment vertical="center"/>
    </xf>
    <xf borderId="408" fillId="0" fontId="5" numFmtId="0" xfId="0" applyBorder="1" applyFont="1"/>
    <xf borderId="409" fillId="18" fontId="14" numFmtId="0" xfId="0" applyAlignment="1" applyBorder="1" applyFont="1">
      <alignment vertical="center"/>
    </xf>
    <xf borderId="410" fillId="0" fontId="5" numFmtId="0" xfId="0" applyBorder="1" applyFont="1"/>
    <xf borderId="411" fillId="0" fontId="5" numFmtId="0" xfId="0" applyBorder="1" applyFont="1"/>
    <xf borderId="10" fillId="18" fontId="14" numFmtId="0" xfId="0" applyAlignment="1" applyBorder="1" applyFont="1">
      <alignment vertical="center"/>
    </xf>
    <xf borderId="412" fillId="0" fontId="5" numFmtId="0" xfId="0" applyBorder="1" applyFont="1"/>
    <xf borderId="413" fillId="18" fontId="14" numFmtId="0" xfId="0" applyAlignment="1" applyBorder="1" applyFont="1">
      <alignment vertical="center"/>
    </xf>
    <xf borderId="10" fillId="18" fontId="14" numFmtId="0" xfId="0" applyAlignment="1" applyBorder="1" applyFont="1">
      <alignment horizontal="left" vertical="center"/>
    </xf>
    <xf borderId="407" fillId="18" fontId="14" numFmtId="0" xfId="0" applyAlignment="1" applyBorder="1" applyFont="1">
      <alignment horizontal="left" vertical="center"/>
    </xf>
    <xf borderId="414" fillId="18" fontId="1" numFmtId="0" xfId="0" applyAlignment="1" applyBorder="1" applyFont="1">
      <alignment vertical="center"/>
    </xf>
    <xf borderId="415" fillId="0" fontId="5" numFmtId="0" xfId="0" applyBorder="1" applyFont="1"/>
    <xf borderId="416" fillId="25" fontId="1" numFmtId="0" xfId="0" applyAlignment="1" applyBorder="1" applyFill="1" applyFont="1">
      <alignment vertical="center"/>
    </xf>
    <xf borderId="417" fillId="25" fontId="1" numFmtId="0" xfId="0" applyAlignment="1" applyBorder="1" applyFont="1">
      <alignment horizontal="left" vertical="center"/>
    </xf>
    <xf borderId="416" fillId="25" fontId="1" numFmtId="0" xfId="0" applyAlignment="1" applyBorder="1" applyFont="1">
      <alignment horizontal="center" vertical="center"/>
    </xf>
    <xf borderId="134" fillId="25" fontId="1" numFmtId="0" xfId="0" applyAlignment="1" applyBorder="1" applyFont="1">
      <alignment horizontal="center" vertical="center"/>
    </xf>
    <xf borderId="417" fillId="25" fontId="1" numFmtId="0" xfId="0" applyAlignment="1" applyBorder="1" applyFont="1">
      <alignment horizontal="center" vertical="center"/>
    </xf>
    <xf borderId="58" fillId="18" fontId="14" numFmtId="0" xfId="0" applyAlignment="1" applyBorder="1" applyFont="1">
      <alignment shrinkToFit="0" vertical="center" wrapText="1"/>
    </xf>
    <xf borderId="418" fillId="0" fontId="5" numFmtId="0" xfId="0" applyBorder="1" applyFont="1"/>
    <xf borderId="419" fillId="18" fontId="14" numFmtId="0" xfId="0" applyAlignment="1" applyBorder="1" applyFont="1">
      <alignment vertical="center"/>
    </xf>
    <xf borderId="1" fillId="0" fontId="5" numFmtId="0" xfId="0" applyBorder="1" applyFont="1"/>
    <xf borderId="131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vertical="center"/>
    </xf>
    <xf borderId="28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420" fillId="18" fontId="1" numFmtId="0" xfId="0" applyAlignment="1" applyBorder="1" applyFont="1">
      <alignment vertical="center"/>
    </xf>
    <xf borderId="421" fillId="0" fontId="5" numFmtId="0" xfId="0" applyBorder="1" applyFont="1"/>
    <xf borderId="131" fillId="0" fontId="1" numFmtId="0" xfId="0" applyAlignment="1" applyBorder="1" applyFont="1">
      <alignment vertical="center"/>
    </xf>
    <xf borderId="28" fillId="0" fontId="5" numFmtId="0" xfId="0" applyBorder="1" applyFont="1"/>
    <xf borderId="10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416" fillId="17" fontId="1" numFmtId="0" xfId="0" applyAlignment="1" applyBorder="1" applyFont="1">
      <alignment vertical="center"/>
    </xf>
    <xf borderId="422" fillId="17" fontId="1" numFmtId="0" xfId="0" applyAlignment="1" applyBorder="1" applyFont="1">
      <alignment vertical="center"/>
    </xf>
    <xf borderId="423" fillId="0" fontId="5" numFmtId="0" xfId="0" applyBorder="1" applyFont="1"/>
    <xf borderId="416" fillId="17" fontId="1" numFmtId="0" xfId="0" applyAlignment="1" applyBorder="1" applyFont="1">
      <alignment horizontal="center" vertical="center"/>
    </xf>
    <xf borderId="134" fillId="17" fontId="1" numFmtId="0" xfId="0" applyAlignment="1" applyBorder="1" applyFont="1">
      <alignment horizontal="center" vertical="center"/>
    </xf>
    <xf borderId="417" fillId="17" fontId="1" numFmtId="0" xfId="0" applyAlignment="1" applyBorder="1" applyFont="1">
      <alignment horizontal="center" vertical="center"/>
    </xf>
    <xf borderId="134" fillId="25" fontId="1" numFmtId="0" xfId="0" applyAlignment="1" applyBorder="1" applyFont="1">
      <alignment vertical="center"/>
    </xf>
    <xf borderId="58" fillId="18" fontId="14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63" fillId="0" fontId="5" numFmtId="0" xfId="0" applyBorder="1" applyFont="1"/>
    <xf borderId="64" fillId="0" fontId="5" numFmtId="0" xfId="0" applyBorder="1" applyFont="1"/>
    <xf borderId="407" fillId="7" fontId="1" numFmtId="0" xfId="0" applyAlignment="1" applyBorder="1" applyFont="1">
      <alignment vertical="center"/>
    </xf>
    <xf borderId="58" fillId="0" fontId="1" numFmtId="0" xfId="0" applyAlignment="1" applyBorder="1" applyFont="1">
      <alignment vertical="center"/>
    </xf>
    <xf borderId="35" fillId="24" fontId="1" numFmtId="0" xfId="0" applyAlignment="1" applyBorder="1" applyFont="1">
      <alignment horizontal="center" vertical="center"/>
    </xf>
    <xf borderId="92" fillId="24" fontId="1" numFmtId="0" xfId="0" applyAlignment="1" applyBorder="1" applyFont="1">
      <alignment horizontal="center" vertical="center"/>
    </xf>
    <xf borderId="424" fillId="24" fontId="1" numFmtId="0" xfId="0" applyAlignment="1" applyBorder="1" applyFont="1">
      <alignment horizontal="center" vertical="center"/>
    </xf>
    <xf borderId="116" fillId="24" fontId="1" numFmtId="0" xfId="0" applyAlignment="1" applyBorder="1" applyFont="1">
      <alignment horizontal="center" vertical="center"/>
    </xf>
    <xf borderId="10" fillId="14" fontId="1" numFmtId="0" xfId="0" applyAlignment="1" applyBorder="1" applyFont="1">
      <alignment vertical="center"/>
    </xf>
    <xf borderId="424" fillId="14" fontId="1" numFmtId="0" xfId="0" applyAlignment="1" applyBorder="1" applyFont="1">
      <alignment vertical="center"/>
    </xf>
    <xf borderId="116" fillId="14" fontId="1" numFmtId="0" xfId="0" applyAlignment="1" applyBorder="1" applyFont="1">
      <alignment vertical="center"/>
    </xf>
    <xf borderId="424" fillId="14" fontId="1" numFmtId="0" xfId="0" applyAlignment="1" applyBorder="1" applyFont="1">
      <alignment horizontal="center" vertical="center"/>
    </xf>
    <xf borderId="116" fillId="14" fontId="1" numFmtId="0" xfId="0" applyAlignment="1" applyBorder="1" applyFont="1">
      <alignment horizontal="center" vertical="center"/>
    </xf>
    <xf borderId="10" fillId="24" fontId="1" numFmtId="0" xfId="0" applyAlignment="1" applyBorder="1" applyFont="1">
      <alignment horizontal="left" vertical="center"/>
    </xf>
    <xf borderId="10" fillId="24" fontId="1" numFmtId="0" xfId="0" applyAlignment="1" applyBorder="1" applyFont="1">
      <alignment vertical="center"/>
    </xf>
    <xf borderId="120" fillId="0" fontId="1" numFmtId="0" xfId="0" applyAlignment="1" applyBorder="1" applyFont="1">
      <alignment vertical="center"/>
    </xf>
    <xf borderId="29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425" fillId="0" fontId="5" numFmtId="0" xfId="0" applyBorder="1" applyFont="1"/>
    <xf borderId="426" fillId="0" fontId="5" numFmtId="0" xfId="0" applyBorder="1" applyFont="1"/>
    <xf borderId="427" fillId="0" fontId="5" numFmtId="0" xfId="0" applyBorder="1" applyFont="1"/>
    <xf borderId="428" fillId="0" fontId="5" numFmtId="0" xfId="0" applyBorder="1" applyFont="1"/>
    <xf borderId="429" fillId="0" fontId="5" numFmtId="0" xfId="0" applyBorder="1" applyFont="1"/>
    <xf borderId="118" fillId="17" fontId="1" numFmtId="0" xfId="0" applyAlignment="1" applyBorder="1" applyFont="1">
      <alignment horizontal="center" vertical="center"/>
    </xf>
    <xf borderId="430" fillId="17" fontId="1" numFmtId="0" xfId="0" applyAlignment="1" applyBorder="1" applyFont="1">
      <alignment vertical="center"/>
    </xf>
    <xf borderId="51" fillId="17" fontId="1" numFmtId="0" xfId="0" applyAlignment="1" applyBorder="1" applyFont="1">
      <alignment horizontal="center" vertical="center"/>
    </xf>
    <xf borderId="100" fillId="17" fontId="1" numFmtId="0" xfId="0" applyAlignment="1" applyBorder="1" applyFont="1">
      <alignment horizontal="center" vertical="center"/>
    </xf>
    <xf borderId="431" fillId="0" fontId="5" numFmtId="0" xfId="0" applyBorder="1" applyFont="1"/>
    <xf borderId="62" fillId="0" fontId="5" numFmtId="0" xfId="0" applyBorder="1" applyFont="1"/>
    <xf borderId="118" fillId="11" fontId="1" numFmtId="0" xfId="0" applyAlignment="1" applyBorder="1" applyFont="1">
      <alignment vertical="center"/>
    </xf>
    <xf borderId="430" fillId="11" fontId="1" numFmtId="0" xfId="0" applyAlignment="1" applyBorder="1" applyFont="1">
      <alignment vertical="center"/>
    </xf>
    <xf borderId="29" fillId="11" fontId="1" numFmtId="0" xfId="0" applyAlignment="1" applyBorder="1" applyFont="1">
      <alignment horizontal="center" vertical="center"/>
    </xf>
    <xf borderId="10" fillId="14" fontId="1" numFmtId="0" xfId="0" applyAlignment="1" applyBorder="1" applyFont="1">
      <alignment horizontal="left" vertical="center"/>
    </xf>
    <xf borderId="30" fillId="0" fontId="1" numFmtId="0" xfId="0" applyAlignment="1" applyBorder="1" applyFont="1">
      <alignment vertical="center"/>
    </xf>
    <xf borderId="30" fillId="0" fontId="5" numFmtId="0" xfId="0" applyBorder="1" applyFont="1"/>
    <xf borderId="120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18" fillId="25" fontId="1" numFmtId="0" xfId="0" applyAlignment="1" applyBorder="1" applyFont="1">
      <alignment vertical="center"/>
    </xf>
    <xf borderId="51" fillId="25" fontId="1" numFmtId="0" xfId="0" applyAlignment="1" applyBorder="1" applyFont="1">
      <alignment vertical="center"/>
    </xf>
    <xf borderId="118" fillId="25" fontId="1" numFmtId="0" xfId="0" applyAlignment="1" applyBorder="1" applyFont="1">
      <alignment horizontal="center" vertical="center"/>
    </xf>
    <xf borderId="51" fillId="25" fontId="1" numFmtId="0" xfId="0" applyAlignment="1" applyBorder="1" applyFont="1">
      <alignment horizontal="center" vertical="center"/>
    </xf>
    <xf borderId="100" fillId="25" fontId="1" numFmtId="0" xfId="0" applyAlignment="1" applyBorder="1" applyFont="1">
      <alignment horizontal="center" vertical="center"/>
    </xf>
    <xf borderId="10" fillId="7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6" fillId="0" fontId="1" numFmtId="0" xfId="0" applyAlignment="1" applyBorder="1" applyFont="1">
      <alignment horizontal="center" vertical="center"/>
    </xf>
    <xf borderId="131" fillId="0" fontId="1" numFmtId="164" xfId="0" applyAlignment="1" applyBorder="1" applyFont="1" applyNumberFormat="1">
      <alignment horizontal="center" vertical="center"/>
    </xf>
    <xf borderId="120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vertical="center"/>
    </xf>
    <xf borderId="30" fillId="0" fontId="1" numFmtId="164" xfId="0" applyAlignment="1" applyBorder="1" applyFont="1" applyNumberFormat="1">
      <alignment horizontal="center" vertical="center"/>
    </xf>
    <xf borderId="100" fillId="25" fontId="1" numFmtId="0" xfId="0" applyAlignment="1" applyBorder="1" applyFont="1">
      <alignment horizontal="left" vertical="center"/>
    </xf>
    <xf borderId="63" fillId="0" fontId="1" numFmtId="0" xfId="0" applyAlignment="1" applyBorder="1" applyFont="1">
      <alignment vertical="center"/>
    </xf>
    <xf borderId="156" fillId="0" fontId="1" numFmtId="0" xfId="0" applyAlignment="1" applyBorder="1" applyFont="1">
      <alignment vertical="center"/>
    </xf>
    <xf borderId="17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63" fillId="0" fontId="1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center" vertical="center"/>
    </xf>
    <xf borderId="64" fillId="0" fontId="1" numFmtId="0" xfId="0" applyAlignment="1" applyBorder="1" applyFont="1">
      <alignment horizontal="center" vertical="center"/>
    </xf>
    <xf borderId="118" fillId="17" fontId="1" numFmtId="0" xfId="0" applyAlignment="1" applyBorder="1" applyFont="1">
      <alignment vertical="center"/>
    </xf>
    <xf borderId="432" fillId="0" fontId="5" numFmtId="0" xfId="0" applyBorder="1" applyFont="1"/>
    <xf borderId="10" fillId="26" fontId="1" numFmtId="0" xfId="0" applyAlignment="1" applyBorder="1" applyFill="1" applyFont="1">
      <alignment vertical="center"/>
    </xf>
    <xf borderId="424" fillId="26" fontId="1" numFmtId="0" xfId="0" applyAlignment="1" applyBorder="1" applyFont="1">
      <alignment horizontal="center" vertical="center"/>
    </xf>
    <xf borderId="116" fillId="26" fontId="1" numFmtId="0" xfId="0" applyAlignment="1" applyBorder="1" applyFont="1">
      <alignment horizontal="center" vertical="center"/>
    </xf>
    <xf borderId="407" fillId="27" fontId="1" numFmtId="0" xfId="0" applyAlignment="1" applyBorder="1" applyFill="1" applyFont="1">
      <alignment vertical="center"/>
    </xf>
    <xf borderId="409" fillId="27" fontId="34" numFmtId="0" xfId="0" applyAlignment="1" applyBorder="1" applyFont="1">
      <alignment horizontal="center" vertical="center"/>
    </xf>
    <xf borderId="62" fillId="0" fontId="1" numFmtId="0" xfId="0" applyAlignment="1" applyBorder="1" applyFont="1">
      <alignment vertical="center"/>
    </xf>
    <xf borderId="118" fillId="27" fontId="1" numFmtId="0" xfId="0" applyAlignment="1" applyBorder="1" applyFont="1">
      <alignment vertical="center"/>
    </xf>
    <xf borderId="51" fillId="27" fontId="1" numFmtId="0" xfId="0" applyAlignment="1" applyBorder="1" applyFont="1">
      <alignment vertical="center"/>
    </xf>
    <xf borderId="49" fillId="27" fontId="1" numFmtId="0" xfId="0" applyAlignment="1" applyBorder="1" applyFont="1">
      <alignment horizontal="center" vertical="center"/>
    </xf>
    <xf borderId="29" fillId="27" fontId="1" numFmtId="0" xfId="0" applyAlignment="1" applyBorder="1" applyFont="1">
      <alignment horizontal="center" vertical="center"/>
    </xf>
    <xf borderId="118" fillId="10" fontId="1" numFmtId="0" xfId="0" applyAlignment="1" applyBorder="1" applyFont="1">
      <alignment vertical="center"/>
    </xf>
    <xf borderId="51" fillId="10" fontId="1" numFmtId="0" xfId="0" applyAlignment="1" applyBorder="1" applyFont="1">
      <alignment vertical="center"/>
    </xf>
    <xf borderId="118" fillId="10" fontId="1" numFmtId="164" xfId="0" applyAlignment="1" applyBorder="1" applyFont="1" applyNumberFormat="1">
      <alignment horizontal="center" vertical="center"/>
    </xf>
    <xf borderId="118" fillId="10" fontId="1" numFmtId="0" xfId="0" applyAlignment="1" applyBorder="1" applyFont="1">
      <alignment horizontal="center" vertical="center"/>
    </xf>
    <xf borderId="51" fillId="10" fontId="1" numFmtId="0" xfId="0" applyAlignment="1" applyBorder="1" applyFont="1">
      <alignment horizontal="center" vertical="center"/>
    </xf>
    <xf borderId="100" fillId="10" fontId="1" numFmtId="0" xfId="0" applyAlignment="1" applyBorder="1" applyFont="1">
      <alignment horizontal="center" vertical="center"/>
    </xf>
    <xf borderId="100" fillId="25" fontId="1" numFmtId="0" xfId="0" applyAlignment="1" applyBorder="1" applyFont="1">
      <alignment vertical="center"/>
    </xf>
    <xf borderId="118" fillId="25" fontId="1" numFmtId="164" xfId="0" applyAlignment="1" applyBorder="1" applyFont="1" applyNumberFormat="1">
      <alignment horizontal="center" vertical="center"/>
    </xf>
    <xf borderId="100" fillId="10" fontId="1" numFmtId="0" xfId="0" applyAlignment="1" applyBorder="1" applyFont="1">
      <alignment vertical="center"/>
    </xf>
    <xf borderId="51" fillId="10" fontId="1" numFmtId="164" xfId="0" applyAlignment="1" applyBorder="1" applyFont="1" applyNumberFormat="1">
      <alignment horizontal="center" vertical="center"/>
    </xf>
    <xf borderId="100" fillId="10" fontId="1" numFmtId="0" xfId="0" applyAlignment="1" applyBorder="1" applyFont="1">
      <alignment horizontal="left" vertical="center"/>
    </xf>
    <xf borderId="166" fillId="17" fontId="1" numFmtId="0" xfId="0" applyAlignment="1" applyBorder="1" applyFont="1">
      <alignment vertical="center"/>
    </xf>
    <xf borderId="433" fillId="17" fontId="1" numFmtId="0" xfId="0" applyAlignment="1" applyBorder="1" applyFont="1">
      <alignment horizontal="center" vertical="center"/>
    </xf>
    <xf borderId="171" fillId="17" fontId="1" numFmtId="0" xfId="0" applyAlignment="1" applyBorder="1" applyFont="1">
      <alignment horizontal="center" vertical="center"/>
    </xf>
    <xf borderId="113" fillId="0" fontId="1" numFmtId="0" xfId="0" applyAlignment="1" applyBorder="1" applyFont="1">
      <alignment horizontal="center" vertical="center"/>
    </xf>
    <xf borderId="129" fillId="0" fontId="1" numFmtId="0" xfId="0" applyAlignment="1" applyBorder="1" applyFont="1">
      <alignment horizontal="center" vertical="center"/>
    </xf>
    <xf borderId="67" fillId="0" fontId="1" numFmtId="0" xfId="0" applyAlignment="1" applyBorder="1" applyFont="1">
      <alignment horizontal="center" vertical="center"/>
    </xf>
    <xf borderId="434" fillId="17" fontId="1" numFmtId="0" xfId="0" applyAlignment="1" applyBorder="1" applyFont="1">
      <alignment vertical="center"/>
    </xf>
    <xf borderId="435" fillId="17" fontId="1" numFmtId="0" xfId="0" applyAlignment="1" applyBorder="1" applyFont="1">
      <alignment horizontal="center" vertical="center"/>
    </xf>
    <xf borderId="174" fillId="17" fontId="1" numFmtId="0" xfId="0" applyAlignment="1" applyBorder="1" applyFont="1">
      <alignment horizontal="center" vertical="center"/>
    </xf>
    <xf borderId="162" fillId="17" fontId="1" numFmtId="0" xfId="0" applyAlignment="1" applyBorder="1" applyFont="1">
      <alignment horizontal="center" vertical="center"/>
    </xf>
    <xf borderId="51" fillId="17" fontId="1" numFmtId="0" xfId="0" applyAlignment="1" applyBorder="1" applyFont="1">
      <alignment vertical="center"/>
    </xf>
    <xf borderId="29" fillId="17" fontId="1" numFmtId="0" xfId="0" applyAlignment="1" applyBorder="1" applyFont="1">
      <alignment horizontal="center" vertical="center"/>
    </xf>
    <xf borderId="6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49" fillId="10" fontId="1" numFmtId="0" xfId="0" applyAlignment="1" applyBorder="1" applyFont="1">
      <alignment horizontal="center" vertical="center"/>
    </xf>
    <xf borderId="171" fillId="0" fontId="1" numFmtId="0" xfId="0" applyAlignment="1" applyBorder="1" applyFont="1">
      <alignment vertical="center"/>
    </xf>
    <xf borderId="187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vertical="center"/>
    </xf>
    <xf borderId="29" fillId="0" fontId="1" numFmtId="164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vertical="center"/>
    </xf>
    <xf borderId="22" fillId="0" fontId="1" numFmtId="164" xfId="0" applyAlignment="1" applyBorder="1" applyFont="1" applyNumberFormat="1">
      <alignment horizontal="center" vertical="center"/>
    </xf>
    <xf borderId="118" fillId="19" fontId="1" numFmtId="0" xfId="0" applyAlignment="1" applyBorder="1" applyFont="1">
      <alignment vertical="center"/>
    </xf>
    <xf borderId="51" fillId="19" fontId="1" numFmtId="0" xfId="0" applyAlignment="1" applyBorder="1" applyFont="1">
      <alignment vertical="center"/>
    </xf>
    <xf borderId="118" fillId="19" fontId="1" numFmtId="0" xfId="0" applyAlignment="1" applyBorder="1" applyFont="1">
      <alignment horizontal="center" vertical="center"/>
    </xf>
    <xf borderId="51" fillId="19" fontId="1" numFmtId="0" xfId="0" applyAlignment="1" applyBorder="1" applyFont="1">
      <alignment horizontal="center" vertical="center"/>
    </xf>
    <xf borderId="100" fillId="19" fontId="1" numFmtId="0" xfId="0" applyAlignment="1" applyBorder="1" applyFont="1">
      <alignment horizontal="center" vertical="center"/>
    </xf>
    <xf borderId="433" fillId="17" fontId="1" numFmtId="0" xfId="0" applyAlignment="1" applyBorder="1" applyFont="1">
      <alignment vertical="center"/>
    </xf>
    <xf borderId="436" fillId="17" fontId="1" numFmtId="0" xfId="0" applyAlignment="1" applyBorder="1" applyFont="1">
      <alignment vertical="center"/>
    </xf>
    <xf borderId="437" fillId="0" fontId="5" numFmtId="0" xfId="0" applyBorder="1" applyFont="1"/>
    <xf borderId="49" fillId="0" fontId="1" numFmtId="0" xfId="0" applyAlignment="1" applyBorder="1" applyFont="1">
      <alignment horizontal="center" vertical="center"/>
    </xf>
    <xf borderId="58" fillId="24" fontId="1" numFmtId="0" xfId="0" applyAlignment="1" applyBorder="1" applyFont="1">
      <alignment shrinkToFit="0" vertical="center" wrapText="1"/>
    </xf>
    <xf borderId="166" fillId="25" fontId="1" numFmtId="0" xfId="0" applyAlignment="1" applyBorder="1" applyFont="1">
      <alignment vertical="center"/>
    </xf>
    <xf borderId="433" fillId="25" fontId="1" numFmtId="164" xfId="0" applyAlignment="1" applyBorder="1" applyFont="1" applyNumberFormat="1">
      <alignment horizontal="center" vertical="center"/>
    </xf>
    <xf borderId="433" fillId="25" fontId="1" numFmtId="0" xfId="0" applyAlignment="1" applyBorder="1" applyFont="1">
      <alignment horizontal="center" vertical="center"/>
    </xf>
    <xf borderId="438" fillId="25" fontId="1" numFmtId="0" xfId="0" applyAlignment="1" applyBorder="1" applyFont="1">
      <alignment horizontal="center" vertical="center"/>
    </xf>
    <xf borderId="166" fillId="25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left" vertical="center"/>
    </xf>
    <xf borderId="174" fillId="17" fontId="1" numFmtId="0" xfId="0" applyAlignment="1" applyBorder="1" applyFont="1">
      <alignment vertical="center"/>
    </xf>
    <xf borderId="126" fillId="17" fontId="1" numFmtId="0" xfId="0" applyAlignment="1" applyBorder="1" applyFont="1">
      <alignment horizontal="center" vertical="center"/>
    </xf>
    <xf borderId="439" fillId="10" fontId="1" numFmtId="0" xfId="0" applyAlignment="1" applyBorder="1" applyFont="1">
      <alignment horizontal="center" vertical="center"/>
    </xf>
    <xf borderId="440" fillId="10" fontId="1" numFmtId="0" xfId="0" applyAlignment="1" applyBorder="1" applyFont="1">
      <alignment horizontal="center" vertical="center"/>
    </xf>
    <xf borderId="441" fillId="10" fontId="1" numFmtId="0" xfId="0" applyAlignment="1" applyBorder="1" applyFont="1">
      <alignment horizontal="center" vertical="center"/>
    </xf>
    <xf borderId="10" fillId="27" fontId="1" numFmtId="0" xfId="0" applyAlignment="1" applyBorder="1" applyFont="1">
      <alignment vertical="center"/>
    </xf>
    <xf borderId="430" fillId="17" fontId="1" numFmtId="0" xfId="0" applyAlignment="1" applyBorder="1" applyFont="1">
      <alignment horizontal="left" vertical="center"/>
    </xf>
    <xf borderId="100" fillId="17" fontId="1" numFmtId="0" xfId="0" applyAlignment="1" applyBorder="1" applyFont="1">
      <alignment vertical="center"/>
    </xf>
    <xf borderId="442" fillId="0" fontId="5" numFmtId="0" xfId="0" applyBorder="1" applyFont="1"/>
    <xf borderId="438" fillId="17" fontId="1" numFmtId="0" xfId="0" applyAlignment="1" applyBorder="1" applyFont="1">
      <alignment horizontal="center" vertical="center"/>
    </xf>
    <xf borderId="166" fillId="17" fontId="1" numFmtId="0" xfId="0" applyAlignment="1" applyBorder="1" applyFont="1">
      <alignment horizontal="center" vertical="center"/>
    </xf>
    <xf borderId="157" fillId="0" fontId="1" numFmtId="0" xfId="0" applyAlignment="1" applyBorder="1" applyFont="1">
      <alignment vertical="center"/>
    </xf>
    <xf borderId="129" fillId="0" fontId="1" numFmtId="0" xfId="0" applyAlignment="1" applyBorder="1" applyFont="1">
      <alignment vertical="center"/>
    </xf>
    <xf borderId="407" fillId="24" fontId="1" numFmtId="0" xfId="0" applyAlignment="1" applyBorder="1" applyFont="1">
      <alignment vertical="center"/>
    </xf>
    <xf borderId="156" fillId="0" fontId="1" numFmtId="0" xfId="0" applyAlignment="1" applyBorder="1" applyFont="1">
      <alignment horizontal="center" vertical="center"/>
    </xf>
    <xf borderId="157" fillId="0" fontId="1" numFmtId="0" xfId="0" applyAlignment="1" applyBorder="1" applyFont="1">
      <alignment horizontal="center" vertical="center"/>
    </xf>
    <xf borderId="433" fillId="25" fontId="1" numFmtId="0" xfId="0" applyAlignment="1" applyBorder="1" applyFont="1">
      <alignment vertical="center"/>
    </xf>
    <xf borderId="438" fillId="25" fontId="1" numFmtId="0" xfId="0" applyAlignment="1" applyBorder="1" applyFont="1">
      <alignment vertical="center"/>
    </xf>
    <xf borderId="435" fillId="10" fontId="1" numFmtId="0" xfId="0" applyAlignment="1" applyBorder="1" applyFont="1">
      <alignment vertical="center"/>
    </xf>
    <xf borderId="174" fillId="10" fontId="1" numFmtId="0" xfId="0" applyAlignment="1" applyBorder="1" applyFont="1">
      <alignment vertical="center"/>
    </xf>
    <xf borderId="435" fillId="10" fontId="1" numFmtId="164" xfId="0" applyAlignment="1" applyBorder="1" applyFont="1" applyNumberFormat="1">
      <alignment horizontal="center" vertical="center"/>
    </xf>
    <xf borderId="435" fillId="10" fontId="1" numFmtId="0" xfId="0" applyAlignment="1" applyBorder="1" applyFont="1">
      <alignment horizontal="center" vertical="center"/>
    </xf>
    <xf borderId="174" fillId="10" fontId="1" numFmtId="0" xfId="0" applyAlignment="1" applyBorder="1" applyFont="1">
      <alignment horizontal="center" vertical="center"/>
    </xf>
    <xf borderId="162" fillId="10" fontId="1" numFmtId="0" xfId="0" applyAlignment="1" applyBorder="1" applyFont="1">
      <alignment horizontal="center" vertical="center"/>
    </xf>
    <xf borderId="435" fillId="25" fontId="1" numFmtId="164" xfId="0" applyAlignment="1" applyBorder="1" applyFont="1" applyNumberFormat="1">
      <alignment horizontal="center" vertical="center"/>
    </xf>
    <xf borderId="435" fillId="25" fontId="1" numFmtId="0" xfId="0" applyAlignment="1" applyBorder="1" applyFont="1">
      <alignment horizontal="center" vertical="center"/>
    </xf>
    <xf borderId="174" fillId="25" fontId="1" numFmtId="0" xfId="0" applyAlignment="1" applyBorder="1" applyFont="1">
      <alignment horizontal="center" vertical="center"/>
    </xf>
    <xf borderId="162" fillId="25" fontId="1" numFmtId="0" xfId="0" applyAlignment="1" applyBorder="1" applyFont="1">
      <alignment horizontal="center" vertical="center"/>
    </xf>
    <xf borderId="171" fillId="0" fontId="1" numFmtId="0" xfId="0" applyAlignment="1" applyBorder="1" applyFont="1">
      <alignment horizontal="left" vertical="center"/>
    </xf>
    <xf borderId="166" fillId="10" fontId="1" numFmtId="0" xfId="0" applyAlignment="1" applyBorder="1" applyFont="1">
      <alignment vertical="center"/>
    </xf>
    <xf borderId="433" fillId="10" fontId="1" numFmtId="0" xfId="0" applyAlignment="1" applyBorder="1" applyFont="1">
      <alignment horizontal="center" vertical="center"/>
    </xf>
    <xf borderId="438" fillId="10" fontId="1" numFmtId="0" xfId="0" applyAlignment="1" applyBorder="1" applyFont="1">
      <alignment horizontal="center" vertical="center"/>
    </xf>
    <xf borderId="166" fillId="1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left" vertical="center"/>
    </xf>
    <xf borderId="129" fillId="0" fontId="5" numFmtId="0" xfId="0" applyBorder="1" applyFont="1"/>
    <xf borderId="67" fillId="0" fontId="5" numFmtId="0" xfId="0" applyBorder="1" applyFont="1"/>
    <xf borderId="10" fillId="8" fontId="1" numFmtId="0" xfId="0" applyAlignment="1" applyBorder="1" applyFont="1">
      <alignment vertical="center"/>
    </xf>
    <xf borderId="413" fillId="8" fontId="35" numFmtId="0" xfId="0" applyAlignment="1" applyBorder="1" applyFont="1">
      <alignment horizontal="center" vertical="center"/>
    </xf>
    <xf borderId="18" fillId="0" fontId="5" numFmtId="0" xfId="0" applyBorder="1" applyFont="1"/>
    <xf borderId="3" fillId="0" fontId="5" numFmtId="0" xfId="0" applyBorder="1" applyFont="1"/>
    <xf borderId="63" fillId="0" fontId="1" numFmtId="164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left" vertical="center"/>
    </xf>
    <xf borderId="100" fillId="19" fontId="1" numFmtId="0" xfId="0" applyAlignment="1" applyBorder="1" applyFont="1">
      <alignment vertical="center"/>
    </xf>
    <xf borderId="433" fillId="11" fontId="1" numFmtId="0" xfId="0" applyAlignment="1" applyBorder="1" applyFont="1">
      <alignment vertical="center"/>
    </xf>
    <xf borderId="434" fillId="11" fontId="1" numFmtId="0" xfId="0" applyAlignment="1" applyBorder="1" applyFont="1">
      <alignment vertical="center"/>
    </xf>
    <xf borderId="171" fillId="11" fontId="1" numFmtId="0" xfId="0" applyAlignment="1" applyBorder="1" applyFont="1">
      <alignment horizontal="center" vertical="center"/>
    </xf>
    <xf borderId="174" fillId="25" fontId="1" numFmtId="0" xfId="0" applyAlignment="1" applyBorder="1" applyFont="1">
      <alignment vertical="center"/>
    </xf>
    <xf borderId="171" fillId="10" fontId="1" numFmtId="0" xfId="0" applyAlignment="1" applyBorder="1" applyFont="1">
      <alignment horizontal="center" vertical="center"/>
    </xf>
    <xf borderId="434" fillId="17" fontId="1" numFmtId="0" xfId="0" applyAlignment="1" applyBorder="1" applyFont="1">
      <alignment horizontal="left" vertical="center"/>
    </xf>
    <xf borderId="438" fillId="19" fontId="1" numFmtId="0" xfId="0" applyAlignment="1" applyBorder="1" applyFont="1">
      <alignment vertical="center"/>
    </xf>
    <xf borderId="433" fillId="19" fontId="1" numFmtId="0" xfId="0" applyAlignment="1" applyBorder="1" applyFont="1">
      <alignment horizontal="center" vertical="center"/>
    </xf>
    <xf borderId="438" fillId="19" fontId="1" numFmtId="0" xfId="0" applyAlignment="1" applyBorder="1" applyFont="1">
      <alignment horizontal="center" vertical="center"/>
    </xf>
    <xf borderId="166" fillId="19" fontId="1" numFmtId="0" xfId="0" applyAlignment="1" applyBorder="1" applyFont="1">
      <alignment horizontal="center" vertical="center"/>
    </xf>
    <xf borderId="413" fillId="8" fontId="36" numFmtId="0" xfId="0" applyAlignment="1" applyBorder="1" applyFont="1">
      <alignment horizontal="center" vertical="center"/>
    </xf>
    <xf borderId="113" fillId="0" fontId="1" numFmtId="0" xfId="0" applyAlignment="1" applyBorder="1" applyFont="1">
      <alignment horizontal="left" vertical="center"/>
    </xf>
    <xf borderId="129" fillId="0" fontId="1" numFmtId="0" xfId="0" applyAlignment="1" applyBorder="1" applyFont="1">
      <alignment horizontal="left" vertical="center"/>
    </xf>
    <xf borderId="113" fillId="0" fontId="1" numFmtId="164" xfId="0" applyAlignment="1" applyBorder="1" applyFont="1" applyNumberFormat="1">
      <alignment horizontal="center" vertical="center"/>
    </xf>
    <xf borderId="438" fillId="17" fontId="1" numFmtId="0" xfId="0" applyAlignment="1" applyBorder="1" applyFont="1">
      <alignment vertical="center"/>
    </xf>
    <xf borderId="129" fillId="0" fontId="1" numFmtId="164" xfId="0" applyAlignment="1" applyBorder="1" applyFont="1" applyNumberFormat="1">
      <alignment horizontal="center" vertical="center"/>
    </xf>
    <xf borderId="430" fillId="11" fontId="1" numFmtId="0" xfId="0" applyAlignment="1" applyBorder="1" applyFont="1">
      <alignment horizontal="left" vertical="center"/>
    </xf>
    <xf borderId="166" fillId="17" fontId="1" numFmtId="0" xfId="0" applyAlignment="1" applyBorder="1" applyFont="1">
      <alignment horizontal="left" vertical="center"/>
    </xf>
    <xf borderId="62" fillId="0" fontId="1" numFmtId="164" xfId="0" applyAlignment="1" applyBorder="1" applyFont="1" applyNumberFormat="1">
      <alignment horizontal="center" vertical="center"/>
    </xf>
    <xf borderId="443" fillId="28" fontId="1" numFmtId="0" xfId="0" applyAlignment="1" applyBorder="1" applyFill="1" applyFont="1">
      <alignment vertical="center"/>
    </xf>
    <xf borderId="156" fillId="0" fontId="1" numFmtId="0" xfId="0" applyAlignment="1" applyBorder="1" applyFont="1">
      <alignment horizontal="left" vertical="center"/>
    </xf>
    <xf borderId="166" fillId="19" fontId="1" numFmtId="0" xfId="0" applyAlignment="1" applyBorder="1" applyFont="1">
      <alignment vertical="center"/>
    </xf>
    <xf borderId="100" fillId="13" fontId="1" numFmtId="0" xfId="0" applyAlignment="1" applyBorder="1" applyFont="1">
      <alignment vertical="center"/>
    </xf>
    <xf borderId="51" fillId="13" fontId="1" numFmtId="0" xfId="0" applyAlignment="1" applyBorder="1" applyFont="1">
      <alignment horizontal="center" vertical="center"/>
    </xf>
    <xf borderId="118" fillId="13" fontId="1" numFmtId="0" xfId="0" applyAlignment="1" applyBorder="1" applyFont="1">
      <alignment horizontal="center" vertical="center"/>
    </xf>
    <xf borderId="100" fillId="13" fontId="1" numFmtId="0" xfId="0" applyAlignment="1" applyBorder="1" applyFont="1">
      <alignment horizontal="center" vertical="center"/>
    </xf>
    <xf borderId="10" fillId="27" fontId="1" numFmtId="0" xfId="0" applyAlignment="1" applyBorder="1" applyFont="1">
      <alignment horizontal="center" vertical="center"/>
    </xf>
    <xf borderId="413" fillId="27" fontId="37" numFmtId="0" xfId="0" applyAlignment="1" applyBorder="1" applyFont="1">
      <alignment horizontal="center" vertical="center"/>
    </xf>
    <xf borderId="171" fillId="0" fontId="1" numFmtId="164" xfId="0" applyAlignment="1" applyBorder="1" applyFont="1" applyNumberFormat="1">
      <alignment horizontal="center" vertical="center"/>
    </xf>
    <xf borderId="58" fillId="18" fontId="14" numFmtId="0" xfId="0" applyAlignment="1" applyBorder="1" applyFont="1">
      <alignment horizontal="left" shrinkToFit="0" vertical="center" wrapText="1"/>
    </xf>
    <xf borderId="419" fillId="18" fontId="14" numFmtId="0" xfId="0" applyAlignment="1" applyBorder="1" applyFont="1">
      <alignment horizontal="left" vertical="center"/>
    </xf>
    <xf borderId="119" fillId="18" fontId="14" numFmtId="0" xfId="0" applyAlignment="1" applyBorder="1" applyFont="1">
      <alignment vertical="center"/>
    </xf>
    <xf borderId="424" fillId="18" fontId="14" numFmtId="0" xfId="0" applyAlignment="1" applyBorder="1" applyFont="1">
      <alignment vertical="center"/>
    </xf>
    <xf borderId="444" fillId="0" fontId="5" numFmtId="0" xfId="0" applyBorder="1" applyFont="1"/>
    <xf borderId="433" fillId="10" fontId="1" numFmtId="0" xfId="0" applyAlignment="1" applyBorder="1" applyFont="1">
      <alignment vertical="center"/>
    </xf>
    <xf borderId="126" fillId="10" fontId="1" numFmtId="0" xfId="0" applyAlignment="1" applyBorder="1" applyFont="1">
      <alignment horizontal="center" vertical="center"/>
    </xf>
    <xf borderId="58" fillId="24" fontId="7" numFmtId="0" xfId="0" applyAlignment="1" applyBorder="1" applyFont="1">
      <alignment horizontal="left" shrinkToFit="0" vertical="center" wrapText="1"/>
    </xf>
    <xf borderId="445" fillId="0" fontId="1" numFmtId="0" xfId="0" applyAlignment="1" applyBorder="1" applyFont="1">
      <alignment horizontal="center" vertical="center"/>
    </xf>
    <xf borderId="131" fillId="0" fontId="1" numFmtId="0" xfId="0" applyAlignment="1" applyBorder="1" applyFont="1">
      <alignment horizontal="left" vertical="center"/>
    </xf>
    <xf borderId="433" fillId="27" fontId="1" numFmtId="0" xfId="0" applyAlignment="1" applyBorder="1" applyFont="1">
      <alignment vertical="center"/>
    </xf>
    <xf borderId="438" fillId="27" fontId="1" numFmtId="0" xfId="0" applyAlignment="1" applyBorder="1" applyFont="1">
      <alignment vertical="center"/>
    </xf>
    <xf borderId="187" fillId="27" fontId="1" numFmtId="0" xfId="0" applyAlignment="1" applyBorder="1" applyFont="1">
      <alignment horizontal="center" vertical="center"/>
    </xf>
    <xf borderId="171" fillId="27" fontId="1" numFmtId="0" xfId="0" applyAlignment="1" applyBorder="1" applyFont="1">
      <alignment horizontal="center" vertical="center"/>
    </xf>
    <xf borderId="446" fillId="17" fontId="1" numFmtId="0" xfId="0" applyAlignment="1" applyBorder="1" applyFont="1">
      <alignment vertical="center"/>
    </xf>
    <xf borderId="447" fillId="0" fontId="5" numFmtId="0" xfId="0" applyBorder="1" applyFont="1"/>
    <xf borderId="448" fillId="0" fontId="5" numFmtId="0" xfId="0" applyBorder="1" applyFont="1"/>
    <xf borderId="449" fillId="17" fontId="1" numFmtId="0" xfId="0" applyAlignment="1" applyBorder="1" applyFont="1">
      <alignment horizontal="center" vertical="center"/>
    </xf>
    <xf borderId="450" fillId="17" fontId="1" numFmtId="0" xfId="0" applyAlignment="1" applyBorder="1" applyFont="1">
      <alignment horizontal="center" vertical="center"/>
    </xf>
    <xf borderId="51" fillId="25" fontId="1" numFmtId="164" xfId="0" applyAlignment="1" applyBorder="1" applyFont="1" applyNumberFormat="1">
      <alignment horizontal="center" vertical="center"/>
    </xf>
    <xf borderId="166" fillId="25" fontId="1" numFmtId="0" xfId="0" applyAlignment="1" applyBorder="1" applyFont="1">
      <alignment horizontal="left" vertical="center"/>
    </xf>
    <xf borderId="438" fillId="25" fontId="1" numFmtId="164" xfId="0" applyAlignment="1" applyBorder="1" applyFont="1" applyNumberFormat="1">
      <alignment horizontal="center" vertical="center"/>
    </xf>
    <xf borderId="10" fillId="18" fontId="32" numFmtId="0" xfId="0" applyAlignment="1" applyBorder="1" applyFont="1">
      <alignment shrinkToFit="0" vertical="center" wrapText="1"/>
    </xf>
    <xf borderId="407" fillId="24" fontId="7" numFmtId="0" xfId="0" applyAlignment="1" applyBorder="1" applyFont="1">
      <alignment horizontal="left" shrinkToFit="0" vertical="center" wrapText="1"/>
    </xf>
    <xf borderId="3" fillId="0" fontId="1" numFmtId="164" xfId="0" applyAlignment="1" applyBorder="1" applyFont="1" applyNumberFormat="1">
      <alignment horizontal="center" vertical="center"/>
    </xf>
    <xf borderId="61" fillId="24" fontId="7" numFmtId="0" xfId="0" applyAlignment="1" applyBorder="1" applyFont="1">
      <alignment horizontal="left" shrinkToFit="0" vertical="center" wrapText="1"/>
    </xf>
    <xf borderId="116" fillId="24" fontId="7" numFmtId="0" xfId="0" applyAlignment="1" applyBorder="1" applyFont="1">
      <alignment horizontal="center" shrinkToFit="0" vertical="center" wrapText="1"/>
    </xf>
    <xf borderId="433" fillId="27" fontId="1" numFmtId="0" xfId="0" applyAlignment="1" applyBorder="1" applyFont="1">
      <alignment horizontal="left" vertical="center"/>
    </xf>
    <xf borderId="58" fillId="18" fontId="32" numFmtId="0" xfId="0" applyAlignment="1" applyBorder="1" applyFont="1">
      <alignment horizontal="left" shrinkToFit="0" vertical="center" wrapText="1"/>
    </xf>
    <xf borderId="25" fillId="0" fontId="1" numFmtId="0" xfId="0" applyAlignment="1" applyBorder="1" applyFont="1">
      <alignment horizontal="center" vertical="center"/>
    </xf>
    <xf borderId="61" fillId="24" fontId="1" numFmtId="0" xfId="0" applyAlignment="1" applyBorder="1" applyFont="1">
      <alignment shrinkToFit="0" vertical="center" wrapText="1"/>
    </xf>
    <xf borderId="92" fillId="24" fontId="1" numFmtId="0" xfId="0" applyAlignment="1" applyBorder="1" applyFont="1">
      <alignment horizontal="center" shrinkToFit="0" vertical="center" wrapText="1"/>
    </xf>
    <xf borderId="113" fillId="0" fontId="1" numFmtId="0" xfId="0" applyAlignment="1" applyBorder="1" applyFont="1">
      <alignment vertical="center"/>
    </xf>
    <xf borderId="67" fillId="0" fontId="1" numFmtId="0" xfId="0" applyAlignment="1" applyBorder="1" applyFont="1">
      <alignment vertical="center"/>
    </xf>
    <xf borderId="61" fillId="28" fontId="1" numFmtId="0" xfId="0" applyAlignment="1" applyBorder="1" applyFont="1">
      <alignment shrinkToFit="0" vertical="center" wrapText="1"/>
    </xf>
    <xf borderId="61" fillId="29" fontId="1" numFmtId="0" xfId="0" applyAlignment="1" applyBorder="1" applyFill="1" applyFont="1">
      <alignment horizontal="center" shrinkToFit="0" vertical="center" wrapText="1"/>
    </xf>
    <xf borderId="451" fillId="28" fontId="1" numFmtId="0" xfId="0" applyAlignment="1" applyBorder="1" applyFont="1">
      <alignment shrinkToFit="0" vertical="center" wrapText="1"/>
    </xf>
    <xf borderId="430" fillId="11" fontId="1" numFmtId="0" xfId="0" applyAlignment="1" applyBorder="1" applyFont="1">
      <alignment horizontal="center" vertical="center"/>
    </xf>
    <xf borderId="62" fillId="0" fontId="1" numFmtId="0" xfId="0" applyAlignment="1" applyBorder="1" applyFont="1">
      <alignment shrinkToFit="0" vertical="center" wrapText="1"/>
    </xf>
    <xf borderId="62" fillId="0" fontId="1" numFmtId="0" xfId="0" applyAlignment="1" applyBorder="1" applyFont="1">
      <alignment horizontal="center" shrinkToFit="0" vertical="center" wrapText="1"/>
    </xf>
    <xf borderId="62" fillId="0" fontId="1" numFmtId="0" xfId="0" applyBorder="1" applyFont="1"/>
    <xf borderId="64" fillId="0" fontId="1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58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59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left" shrinkToFit="0" vertical="center" wrapText="1"/>
    </xf>
    <xf borderId="25" fillId="24" fontId="38" numFmtId="0" xfId="0" applyAlignment="1" applyBorder="1" applyFont="1">
      <alignment shrinkToFit="0" vertical="center" wrapText="1"/>
    </xf>
    <xf borderId="0" fillId="0" fontId="38" numFmtId="0" xfId="0" applyAlignment="1" applyFont="1">
      <alignment horizontal="left" shrinkToFit="0" vertical="center" wrapText="1"/>
    </xf>
    <xf borderId="10" fillId="18" fontId="14" numFmtId="0" xfId="0" applyAlignment="1" applyBorder="1" applyFont="1">
      <alignment horizontal="center" vertical="center"/>
    </xf>
    <xf borderId="413" fillId="18" fontId="14" numFmtId="0" xfId="0" applyAlignment="1" applyBorder="1" applyFont="1">
      <alignment horizontal="center" vertical="center"/>
    </xf>
    <xf borderId="452" fillId="18" fontId="14" numFmtId="0" xfId="0" applyAlignment="1" applyBorder="1" applyFont="1">
      <alignment horizontal="center" shrinkToFit="0" vertical="center" wrapText="1"/>
    </xf>
    <xf borderId="413" fillId="18" fontId="14" numFmtId="0" xfId="0" applyAlignment="1" applyBorder="1" applyFont="1">
      <alignment horizontal="center" shrinkToFit="0" vertical="center" wrapText="1"/>
    </xf>
    <xf borderId="413" fillId="18" fontId="14" numFmtId="0" xfId="0" applyAlignment="1" applyBorder="1" applyFont="1">
      <alignment horizontal="left" shrinkToFit="0" vertical="center" wrapText="1"/>
    </xf>
    <xf borderId="413" fillId="18" fontId="14" numFmtId="0" xfId="0" applyAlignment="1" applyBorder="1" applyFont="1">
      <alignment horizontal="left" vertical="center"/>
    </xf>
    <xf borderId="413" fillId="18" fontId="14" numFmtId="0" xfId="0" applyAlignment="1" applyBorder="1" applyFont="1">
      <alignment horizontal="right" vertical="top"/>
    </xf>
    <xf borderId="414" fillId="18" fontId="14" numFmtId="0" xfId="0" applyAlignment="1" applyBorder="1" applyFont="1">
      <alignment horizontal="left" vertical="center"/>
    </xf>
    <xf borderId="453" fillId="0" fontId="5" numFmtId="0" xfId="0" applyBorder="1" applyFont="1"/>
    <xf borderId="449" fillId="18" fontId="14" numFmtId="0" xfId="0" applyAlignment="1" applyBorder="1" applyFont="1">
      <alignment horizontal="center" vertical="center"/>
    </xf>
    <xf borderId="414" fillId="18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58" fillId="18" fontId="14" numFmtId="0" xfId="0" applyAlignment="1" applyBorder="1" applyFont="1">
      <alignment horizontal="center" vertical="center"/>
    </xf>
    <xf borderId="445" fillId="0" fontId="5" numFmtId="0" xfId="0" applyBorder="1" applyFont="1"/>
    <xf borderId="119" fillId="24" fontId="1" numFmtId="0" xfId="0" applyAlignment="1" applyBorder="1" applyFont="1">
      <alignment horizontal="center" vertical="center"/>
    </xf>
    <xf borderId="424" fillId="24" fontId="1" numFmtId="0" xfId="0" applyAlignment="1" applyBorder="1" applyFont="1">
      <alignment vertical="center"/>
    </xf>
    <xf borderId="413" fillId="24" fontId="14" numFmtId="0" xfId="0" applyAlignment="1" applyBorder="1" applyFont="1">
      <alignment horizontal="center" vertical="center"/>
    </xf>
    <xf borderId="116" fillId="24" fontId="39" numFmtId="0" xfId="0" applyAlignment="1" applyBorder="1" applyFont="1">
      <alignment horizontal="center" vertical="center"/>
    </xf>
    <xf borderId="413" fillId="24" fontId="1" numFmtId="0" xfId="0" applyAlignment="1" applyBorder="1" applyFont="1">
      <alignment vertical="center"/>
    </xf>
    <xf borderId="2" fillId="24" fontId="7" numFmtId="0" xfId="0" applyAlignment="1" applyBorder="1" applyFont="1">
      <alignment horizontal="center" shrinkToFit="0" vertical="center" wrapText="1"/>
    </xf>
    <xf borderId="409" fillId="24" fontId="7" numFmtId="0" xfId="0" applyAlignment="1" applyBorder="1" applyFont="1">
      <alignment shrinkToFit="0" vertical="center" wrapText="1"/>
    </xf>
    <xf borderId="92" fillId="24" fontId="40" numFmtId="0" xfId="0" applyAlignment="1" applyBorder="1" applyFont="1">
      <alignment horizontal="center" shrinkToFit="0" vertical="center" wrapText="1"/>
    </xf>
    <xf borderId="119" fillId="28" fontId="1" numFmtId="0" xfId="0" applyAlignment="1" applyBorder="1" applyFont="1">
      <alignment horizontal="center" vertical="center"/>
    </xf>
    <xf borderId="413" fillId="28" fontId="1" numFmtId="0" xfId="0" applyAlignment="1" applyBorder="1" applyFont="1">
      <alignment vertical="center"/>
    </xf>
    <xf borderId="116" fillId="28" fontId="41" numFmtId="0" xfId="0" applyAlignment="1" applyBorder="1" applyFont="1">
      <alignment horizontal="center" vertical="center"/>
    </xf>
    <xf borderId="119" fillId="24" fontId="1" numFmtId="0" xfId="0" applyAlignment="1" applyBorder="1" applyFont="1">
      <alignment vertical="center"/>
    </xf>
    <xf borderId="116" fillId="24" fontId="42" numFmtId="0" xfId="0" applyAlignment="1" applyBorder="1" applyFont="1">
      <alignment horizontal="center" vertical="center"/>
    </xf>
    <xf borderId="119" fillId="30" fontId="1" numFmtId="0" xfId="0" applyAlignment="1" applyBorder="1" applyFill="1" applyFont="1">
      <alignment vertical="center"/>
    </xf>
    <xf borderId="413" fillId="30" fontId="1" numFmtId="0" xfId="0" applyAlignment="1" applyBorder="1" applyFont="1">
      <alignment vertical="center"/>
    </xf>
    <xf borderId="116" fillId="30" fontId="43" numFmtId="0" xfId="0" applyAlignment="1" applyBorder="1" applyFont="1">
      <alignment horizontal="center" vertical="center"/>
    </xf>
    <xf borderId="119" fillId="28" fontId="1" numFmtId="0" xfId="0" applyAlignment="1" applyBorder="1" applyFont="1">
      <alignment horizontal="left" vertical="center"/>
    </xf>
    <xf borderId="10" fillId="18" fontId="14" numFmtId="0" xfId="0" applyAlignment="1" applyBorder="1" applyFont="1">
      <alignment horizontal="left" shrinkToFit="0" vertical="center" wrapText="1"/>
    </xf>
    <xf borderId="119" fillId="31" fontId="1" numFmtId="0" xfId="0" applyAlignment="1" applyBorder="1" applyFill="1" applyFont="1">
      <alignment horizontal="left" vertical="center"/>
    </xf>
    <xf borderId="409" fillId="31" fontId="1" numFmtId="0" xfId="0" applyAlignment="1" applyBorder="1" applyFont="1">
      <alignment horizontal="left" vertical="center"/>
    </xf>
    <xf borderId="92" fillId="31" fontId="44" numFmtId="0" xfId="0" applyAlignment="1" applyBorder="1" applyFont="1">
      <alignment horizontal="center" vertical="center"/>
    </xf>
    <xf borderId="2" fillId="31" fontId="1" numFmtId="0" xfId="0" applyAlignment="1" applyBorder="1" applyFont="1">
      <alignment horizontal="left" vertical="center"/>
    </xf>
    <xf borderId="2" fillId="28" fontId="1" numFmtId="0" xfId="0" applyAlignment="1" applyBorder="1" applyFont="1">
      <alignment vertical="center"/>
    </xf>
    <xf borderId="119" fillId="30" fontId="1" numFmtId="10" xfId="0" applyAlignment="1" applyBorder="1" applyFont="1" applyNumberFormat="1">
      <alignment vertical="center"/>
    </xf>
    <xf borderId="58" fillId="32" fontId="30" numFmtId="0" xfId="0" applyAlignment="1" applyBorder="1" applyFill="1" applyFont="1">
      <alignment horizontal="left" shrinkToFit="0" vertical="center" wrapText="1"/>
    </xf>
    <xf borderId="119" fillId="31" fontId="1" numFmtId="0" xfId="0" applyAlignment="1" applyBorder="1" applyFont="1">
      <alignment horizontal="left" shrinkToFit="0" vertical="center" wrapText="1"/>
    </xf>
    <xf borderId="413" fillId="31" fontId="1" numFmtId="0" xfId="0" applyAlignment="1" applyBorder="1" applyFont="1">
      <alignment horizontal="left" vertical="center"/>
    </xf>
    <xf borderId="116" fillId="31" fontId="45" numFmtId="0" xfId="0" applyAlignment="1" applyBorder="1" applyFont="1">
      <alignment horizontal="center" vertical="center"/>
    </xf>
    <xf borderId="119" fillId="28" fontId="1" numFmtId="0" xfId="0" applyAlignment="1" applyBorder="1" applyFont="1">
      <alignment vertical="center"/>
    </xf>
    <xf borderId="452" fillId="18" fontId="14" numFmtId="0" xfId="0" applyAlignment="1" applyBorder="1" applyFont="1">
      <alignment vertical="center"/>
    </xf>
    <xf borderId="413" fillId="24" fontId="1" numFmtId="0" xfId="0" applyAlignment="1" applyBorder="1" applyFont="1">
      <alignment horizontal="center" vertical="center"/>
    </xf>
    <xf borderId="2" fillId="24" fontId="1" numFmtId="0" xfId="0" applyAlignment="1" applyBorder="1" applyFont="1">
      <alignment vertical="center"/>
    </xf>
    <xf borderId="419" fillId="18" fontId="1" numFmtId="0" xfId="0" applyAlignment="1" applyBorder="1" applyFont="1">
      <alignment horizontal="center" vertical="center"/>
    </xf>
    <xf borderId="116" fillId="28" fontId="1" numFmtId="0" xfId="0" applyAlignment="1" applyBorder="1" applyFont="1">
      <alignment horizontal="center" vertical="center"/>
    </xf>
    <xf borderId="10" fillId="18" fontId="14" numFmtId="0" xfId="0" applyBorder="1" applyFont="1"/>
    <xf borderId="454" fillId="3" fontId="1" numFmtId="0" xfId="0" applyAlignment="1" applyBorder="1" applyFont="1">
      <alignment horizontal="center" shrinkToFit="0" vertical="center" wrapText="1"/>
    </xf>
    <xf borderId="413" fillId="3" fontId="1" numFmtId="0" xfId="0" applyAlignment="1" applyBorder="1" applyFont="1">
      <alignment vertical="center"/>
    </xf>
    <xf borderId="116" fillId="3" fontId="46" numFmtId="0" xfId="0" applyAlignment="1" applyBorder="1" applyFont="1">
      <alignment horizontal="center" vertical="center"/>
    </xf>
    <xf borderId="119" fillId="3" fontId="1" numFmtId="0" xfId="0" applyAlignment="1" applyBorder="1" applyFont="1">
      <alignment horizontal="center" shrinkToFit="0" vertical="center" wrapText="1"/>
    </xf>
    <xf borderId="119" fillId="3" fontId="1" numFmtId="0" xfId="0" applyAlignment="1" applyBorder="1" applyFont="1">
      <alignment horizontal="center" vertical="center"/>
    </xf>
    <xf borderId="10" fillId="18" fontId="14" numFmtId="0" xfId="0" applyAlignment="1" applyBorder="1" applyFont="1">
      <alignment shrinkToFit="0" wrapText="1"/>
    </xf>
    <xf borderId="2" fillId="3" fontId="1" numFmtId="0" xfId="0" applyAlignment="1" applyBorder="1" applyFont="1">
      <alignment vertical="center"/>
    </xf>
    <xf borderId="58" fillId="3" fontId="1" numFmtId="0" xfId="0" applyAlignment="1" applyBorder="1" applyFont="1">
      <alignment horizontal="center" shrinkToFit="0" vertical="center" wrapText="1"/>
    </xf>
    <xf borderId="116" fillId="3" fontId="47" numFmtId="0" xfId="0" applyAlignment="1" applyBorder="1" applyFont="1">
      <alignment horizontal="center"/>
    </xf>
    <xf borderId="119" fillId="18" fontId="14" numFmtId="0" xfId="0" applyAlignment="1" applyBorder="1" applyFont="1">
      <alignment horizontal="center" vertical="center"/>
    </xf>
    <xf borderId="116" fillId="18" fontId="14" numFmtId="0" xfId="0" applyAlignment="1" applyBorder="1" applyFont="1">
      <alignment horizontal="center"/>
    </xf>
    <xf borderId="17" fillId="0" fontId="1" numFmtId="0" xfId="0" applyAlignment="1" applyBorder="1" applyFont="1">
      <alignment vertical="center"/>
    </xf>
    <xf borderId="97" fillId="13" fontId="1" numFmtId="0" xfId="0" applyAlignment="1" applyBorder="1" applyFont="1">
      <alignment horizontal="center" vertical="center"/>
    </xf>
    <xf borderId="99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left" shrinkToFit="0" vertical="center" wrapText="1"/>
    </xf>
    <xf borderId="99" fillId="0" fontId="1" numFmtId="0" xfId="0" applyAlignment="1" applyBorder="1" applyFont="1">
      <alignment horizontal="center" shrinkToFit="0" vertical="center" wrapText="1"/>
    </xf>
    <xf borderId="139" fillId="31" fontId="1" numFmtId="0" xfId="0" applyAlignment="1" applyBorder="1" applyFont="1">
      <alignment vertical="center"/>
    </xf>
    <xf borderId="413" fillId="31" fontId="1" numFmtId="0" xfId="0" applyAlignment="1" applyBorder="1" applyFont="1">
      <alignment horizontal="left" shrinkToFit="0" vertical="center" wrapText="1"/>
    </xf>
    <xf borderId="64" fillId="0" fontId="1" numFmtId="0" xfId="0" applyAlignment="1" applyBorder="1" applyFont="1">
      <alignment horizontal="left" shrinkToFit="0" vertical="center" wrapText="1"/>
    </xf>
    <xf borderId="445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31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shrinkToFit="0" wrapText="1"/>
    </xf>
    <xf borderId="99" fillId="0" fontId="1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left" vertical="center"/>
    </xf>
    <xf borderId="99" fillId="0" fontId="1" numFmtId="0" xfId="0" applyAlignment="1" applyBorder="1" applyFont="1">
      <alignment horizontal="left" vertical="center"/>
    </xf>
    <xf borderId="416" fillId="33" fontId="1" numFmtId="0" xfId="0" applyAlignment="1" applyBorder="1" applyFill="1" applyFont="1">
      <alignment horizontal="center" vertical="center"/>
    </xf>
    <xf borderId="417" fillId="33" fontId="1" numFmtId="0" xfId="0" applyAlignment="1" applyBorder="1" applyFont="1">
      <alignment horizontal="center" vertical="center"/>
    </xf>
    <xf borderId="99" fillId="0" fontId="1" numFmtId="0" xfId="0" applyAlignment="1" applyBorder="1" applyFont="1">
      <alignment vertical="center"/>
    </xf>
    <xf borderId="139" fillId="8" fontId="1" numFmtId="0" xfId="0" applyAlignment="1" applyBorder="1" applyFont="1">
      <alignment horizontal="center" vertical="center"/>
    </xf>
    <xf borderId="413" fillId="8" fontId="1" numFmtId="0" xfId="0" applyAlignment="1" applyBorder="1" applyFont="1">
      <alignment vertical="center"/>
    </xf>
    <xf borderId="116" fillId="8" fontId="14" numFmtId="0" xfId="0" applyAlignment="1" applyBorder="1" applyFont="1">
      <alignment horizontal="center" vertical="center"/>
    </xf>
    <xf borderId="17" fillId="0" fontId="1" numFmtId="0" xfId="0" applyAlignment="1" applyBorder="1" applyFont="1">
      <alignment shrinkToFit="0" vertical="center" wrapText="1"/>
    </xf>
    <xf borderId="99" fillId="0" fontId="1" numFmtId="0" xfId="0" applyAlignment="1" applyBorder="1" applyFont="1">
      <alignment shrinkToFit="0" vertical="center" wrapText="1"/>
    </xf>
    <xf borderId="61" fillId="0" fontId="1" numFmtId="0" xfId="0" applyAlignment="1" applyBorder="1" applyFont="1">
      <alignment vertical="center"/>
    </xf>
    <xf borderId="72" fillId="0" fontId="1" numFmtId="0" xfId="0" applyAlignment="1" applyBorder="1" applyFont="1">
      <alignment horizontal="center" vertical="center"/>
    </xf>
    <xf borderId="65" fillId="0" fontId="1" numFmtId="0" xfId="0" applyAlignment="1" applyBorder="1" applyFont="1">
      <alignment vertical="center"/>
    </xf>
    <xf borderId="187" fillId="10" fontId="1" numFmtId="0" xfId="0" applyAlignment="1" applyBorder="1" applyFont="1">
      <alignment horizontal="center" vertical="center"/>
    </xf>
    <xf borderId="119" fillId="31" fontId="1" numFmtId="0" xfId="0" applyAlignment="1" applyBorder="1" applyFont="1">
      <alignment horizontal="center" shrinkToFit="0" vertical="center" wrapText="1"/>
    </xf>
    <xf borderId="2" fillId="14" fontId="1" numFmtId="0" xfId="0" applyAlignment="1" applyBorder="1" applyFont="1">
      <alignment horizontal="center" vertical="center"/>
    </xf>
    <xf borderId="413" fillId="14" fontId="1" numFmtId="0" xfId="0" applyAlignment="1" applyBorder="1" applyFont="1">
      <alignment vertical="center"/>
    </xf>
    <xf borderId="116" fillId="14" fontId="48" numFmtId="0" xfId="0" applyAlignment="1" applyBorder="1" applyFont="1">
      <alignment horizontal="center" vertical="center"/>
    </xf>
    <xf borderId="166" fillId="10" fontId="1" numFmtId="0" xfId="0" applyAlignment="1" applyBorder="1" applyFont="1">
      <alignment horizontal="left" shrinkToFit="0" vertical="center" wrapText="1"/>
    </xf>
    <xf borderId="187" fillId="10" fontId="1" numFmtId="0" xfId="0" applyAlignment="1" applyBorder="1" applyFont="1">
      <alignment horizontal="center" shrinkToFit="0" vertical="center" wrapText="1"/>
    </xf>
    <xf borderId="100" fillId="10" fontId="1" numFmtId="0" xfId="0" applyAlignment="1" applyBorder="1" applyFont="1">
      <alignment shrinkToFit="0" vertical="center" wrapText="1"/>
    </xf>
    <xf borderId="49" fillId="10" fontId="1" numFmtId="0" xfId="0" applyAlignment="1" applyBorder="1" applyFont="1">
      <alignment horizontal="center" shrinkToFit="0" vertical="center" wrapText="1"/>
    </xf>
    <xf borderId="49" fillId="17" fontId="1" numFmtId="0" xfId="0" applyAlignment="1" applyBorder="1" applyFont="1">
      <alignment horizontal="center" vertical="center"/>
    </xf>
    <xf borderId="100" fillId="11" fontId="1" numFmtId="0" xfId="0" applyAlignment="1" applyBorder="1" applyFont="1">
      <alignment vertical="center"/>
    </xf>
    <xf borderId="118" fillId="11" fontId="1" numFmtId="0" xfId="0" applyAlignment="1" applyBorder="1" applyFont="1">
      <alignment horizontal="center" vertical="center"/>
    </xf>
    <xf borderId="100" fillId="11" fontId="1" numFmtId="0" xfId="0" applyAlignment="1" applyBorder="1" applyFont="1">
      <alignment horizontal="center" vertical="center"/>
    </xf>
    <xf borderId="49" fillId="11" fontId="1" numFmtId="0" xfId="0" applyAlignment="1" applyBorder="1" applyFont="1">
      <alignment horizontal="center" vertical="center"/>
    </xf>
    <xf borderId="119" fillId="8" fontId="1" numFmtId="0" xfId="0" applyAlignment="1" applyBorder="1" applyFont="1">
      <alignment vertical="center"/>
    </xf>
    <xf borderId="116" fillId="8" fontId="49" numFmtId="0" xfId="0" applyAlignment="1" applyBorder="1" applyFont="1">
      <alignment horizontal="center" vertical="center"/>
    </xf>
    <xf borderId="433" fillId="33" fontId="1" numFmtId="0" xfId="0" applyAlignment="1" applyBorder="1" applyFont="1">
      <alignment vertical="center"/>
    </xf>
    <xf borderId="166" fillId="33" fontId="1" numFmtId="0" xfId="0" applyAlignment="1" applyBorder="1" applyFont="1">
      <alignment horizontal="left" vertical="center"/>
    </xf>
    <xf borderId="433" fillId="33" fontId="1" numFmtId="0" xfId="0" applyAlignment="1" applyBorder="1" applyFont="1">
      <alignment horizontal="center" vertical="center"/>
    </xf>
    <xf borderId="166" fillId="33" fontId="1" numFmtId="0" xfId="0" applyAlignment="1" applyBorder="1" applyFont="1">
      <alignment horizontal="center" vertical="center"/>
    </xf>
    <xf borderId="187" fillId="33" fontId="1" numFmtId="0" xfId="0" applyAlignment="1" applyBorder="1" applyFont="1">
      <alignment horizontal="center" vertical="center"/>
    </xf>
    <xf borderId="118" fillId="33" fontId="1" numFmtId="0" xfId="0" applyAlignment="1" applyBorder="1" applyFont="1">
      <alignment vertical="center"/>
    </xf>
    <xf borderId="100" fillId="33" fontId="1" numFmtId="0" xfId="0" applyAlignment="1" applyBorder="1" applyFont="1">
      <alignment horizontal="left" vertical="center"/>
    </xf>
    <xf borderId="118" fillId="33" fontId="1" numFmtId="0" xfId="0" applyAlignment="1" applyBorder="1" applyFont="1">
      <alignment horizontal="center" vertical="center"/>
    </xf>
    <xf borderId="100" fillId="33" fontId="1" numFmtId="0" xfId="0" applyAlignment="1" applyBorder="1" applyFont="1">
      <alignment horizontal="center" vertical="center"/>
    </xf>
    <xf borderId="49" fillId="33" fontId="1" numFmtId="0" xfId="0" applyAlignment="1" applyBorder="1" applyFont="1">
      <alignment horizontal="center" vertical="center"/>
    </xf>
    <xf borderId="100" fillId="10" fontId="1" numFmtId="0" xfId="0" applyAlignment="1" applyBorder="1" applyFont="1">
      <alignment horizontal="left" shrinkToFit="0" vertical="center" wrapText="1"/>
    </xf>
    <xf borderId="166" fillId="10" fontId="1" numFmtId="0" xfId="0" applyAlignment="1" applyBorder="1" applyFont="1">
      <alignment horizontal="left" vertical="center"/>
    </xf>
    <xf borderId="118" fillId="10" fontId="1" numFmtId="0" xfId="0" applyAlignment="1" applyBorder="1" applyFont="1">
      <alignment horizontal="center"/>
    </xf>
    <xf borderId="100" fillId="10" fontId="1" numFmtId="0" xfId="0" applyAlignment="1" applyBorder="1" applyFont="1">
      <alignment horizontal="center"/>
    </xf>
    <xf borderId="46" fillId="11" fontId="1" numFmtId="0" xfId="0" applyAlignment="1" applyBorder="1" applyFont="1">
      <alignment horizontal="center" vertical="center"/>
    </xf>
    <xf borderId="50" fillId="11" fontId="1" numFmtId="0" xfId="0" applyAlignment="1" applyBorder="1" applyFont="1">
      <alignment horizontal="center" vertical="center"/>
    </xf>
    <xf borderId="49" fillId="11" fontId="1" numFmtId="0" xfId="0" applyAlignment="1" applyBorder="1" applyFont="1">
      <alignment horizontal="center" shrinkToFit="0" vertical="center" wrapText="1"/>
    </xf>
    <xf borderId="166" fillId="10" fontId="1" numFmtId="0" xfId="0" applyAlignment="1" applyBorder="1" applyFont="1">
      <alignment shrinkToFit="0" wrapText="1"/>
    </xf>
    <xf borderId="187" fillId="10" fontId="1" numFmtId="0" xfId="0" applyAlignment="1" applyBorder="1" applyFont="1">
      <alignment horizontal="center" shrinkToFit="0" wrapText="1"/>
    </xf>
    <xf borderId="51" fillId="11" fontId="1" numFmtId="0" xfId="0" applyAlignment="1" applyBorder="1" applyFont="1">
      <alignment horizontal="left" vertical="center"/>
    </xf>
    <xf borderId="100" fillId="33" fontId="1" numFmtId="0" xfId="0" applyAlignment="1" applyBorder="1" applyFont="1">
      <alignment horizontal="left" shrinkToFit="0" vertical="center" wrapText="1"/>
    </xf>
    <xf borderId="49" fillId="33" fontId="1" numFmtId="0" xfId="0" applyAlignment="1" applyBorder="1" applyFont="1">
      <alignment horizontal="left" vertical="center"/>
    </xf>
    <xf borderId="49" fillId="10" fontId="1" numFmtId="0" xfId="0" applyAlignment="1" applyBorder="1" applyFont="1">
      <alignment horizontal="left" vertical="center"/>
    </xf>
    <xf borderId="187" fillId="17" fontId="1" numFmtId="0" xfId="0" applyAlignment="1" applyBorder="1" applyFont="1">
      <alignment horizontal="left" vertical="center"/>
    </xf>
    <xf borderId="166" fillId="33" fontId="1" numFmtId="0" xfId="0" applyAlignment="1" applyBorder="1" applyFont="1">
      <alignment vertical="center"/>
    </xf>
    <xf borderId="187" fillId="33" fontId="1" numFmtId="0" xfId="0" applyAlignment="1" applyBorder="1" applyFont="1">
      <alignment horizontal="left" vertical="center"/>
    </xf>
    <xf borderId="100" fillId="33" fontId="1" numFmtId="0" xfId="0" applyAlignment="1" applyBorder="1" applyFont="1">
      <alignment vertical="center"/>
    </xf>
    <xf borderId="455" fillId="17" fontId="1" numFmtId="0" xfId="0" applyAlignment="1" applyBorder="1" applyFont="1">
      <alignment horizontal="center" vertical="center"/>
    </xf>
    <xf borderId="456" fillId="17" fontId="1" numFmtId="0" xfId="0" applyAlignment="1" applyBorder="1" applyFont="1">
      <alignment horizontal="center" vertical="center"/>
    </xf>
    <xf borderId="2" fillId="8" fontId="1" numFmtId="0" xfId="0" applyAlignment="1" applyBorder="1" applyFont="1">
      <alignment vertical="center"/>
    </xf>
    <xf borderId="49" fillId="11" fontId="1" numFmtId="0" xfId="0" applyAlignment="1" applyBorder="1" applyFont="1">
      <alignment horizontal="left" vertical="center"/>
    </xf>
    <xf borderId="100" fillId="17" fontId="1" numFmtId="0" xfId="0" applyAlignment="1" applyBorder="1" applyFont="1">
      <alignment horizontal="left" shrinkToFit="0" vertical="center" wrapText="1"/>
    </xf>
    <xf borderId="49" fillId="17" fontId="1" numFmtId="0" xfId="0" applyAlignment="1" applyBorder="1" applyFont="1">
      <alignment vertical="center"/>
    </xf>
    <xf borderId="2" fillId="14" fontId="1" numFmtId="0" xfId="0" applyBorder="1" applyFont="1"/>
    <xf borderId="413" fillId="14" fontId="1" numFmtId="0" xfId="0" applyBorder="1" applyFont="1"/>
    <xf borderId="116" fillId="14" fontId="50" numFmtId="0" xfId="0" applyAlignment="1" applyBorder="1" applyFont="1">
      <alignment horizontal="center"/>
    </xf>
    <xf borderId="457" fillId="18" fontId="51" numFmtId="0" xfId="0" applyAlignment="1" applyBorder="1" applyFont="1">
      <alignment horizontal="center" shrinkToFit="0" vertical="center" wrapText="1"/>
    </xf>
    <xf borderId="433" fillId="34" fontId="1" numFmtId="0" xfId="0" applyAlignment="1" applyBorder="1" applyFill="1" applyFont="1">
      <alignment horizontal="center" vertical="center"/>
    </xf>
    <xf borderId="166" fillId="34" fontId="1" numFmtId="0" xfId="0" applyAlignment="1" applyBorder="1" applyFont="1">
      <alignment vertical="center"/>
    </xf>
    <xf borderId="166" fillId="34" fontId="1" numFmtId="0" xfId="0" applyAlignment="1" applyBorder="1" applyFont="1">
      <alignment horizontal="center" vertical="center"/>
    </xf>
    <xf borderId="187" fillId="34" fontId="1" numFmtId="0" xfId="0" applyAlignment="1" applyBorder="1" applyFont="1">
      <alignment horizontal="center" vertical="center"/>
    </xf>
    <xf borderId="118" fillId="34" fontId="1" numFmtId="0" xfId="0" applyAlignment="1" applyBorder="1" applyFont="1">
      <alignment horizontal="center" vertical="center"/>
    </xf>
    <xf borderId="100" fillId="34" fontId="1" numFmtId="0" xfId="0" applyAlignment="1" applyBorder="1" applyFont="1">
      <alignment vertical="center"/>
    </xf>
    <xf borderId="51" fillId="34" fontId="1" numFmtId="0" xfId="0" applyAlignment="1" applyBorder="1" applyFont="1">
      <alignment horizontal="center" vertical="center"/>
    </xf>
    <xf borderId="50" fillId="34" fontId="1" numFmtId="0" xfId="0" applyAlignment="1" applyBorder="1" applyFont="1">
      <alignment horizontal="center" vertical="center"/>
    </xf>
    <xf borderId="49" fillId="34" fontId="1" numFmtId="0" xfId="0" applyAlignment="1" applyBorder="1" applyFont="1">
      <alignment horizontal="center" vertical="center"/>
    </xf>
    <xf borderId="100" fillId="34" fontId="1" numFmtId="0" xfId="0" applyAlignment="1" applyBorder="1" applyFont="1">
      <alignment horizontal="center" vertical="center"/>
    </xf>
    <xf borderId="409" fillId="18" fontId="14" numFmtId="0" xfId="0" applyAlignment="1" applyBorder="1" applyFont="1">
      <alignment shrinkToFit="0" vertical="center" wrapText="1"/>
    </xf>
    <xf borderId="49" fillId="34" fontId="1" numFmtId="0" xfId="0" applyAlignment="1" applyBorder="1" applyFont="1">
      <alignment vertical="center"/>
    </xf>
    <xf borderId="100" fillId="34" fontId="1" numFmtId="0" xfId="0" applyAlignment="1" applyBorder="1" applyFont="1">
      <alignment shrinkToFit="0" vertical="center" wrapText="1"/>
    </xf>
    <xf borderId="49" fillId="34" fontId="1" numFmtId="0" xfId="0" applyAlignment="1" applyBorder="1" applyFont="1">
      <alignment shrinkToFit="0" vertical="center" wrapText="1"/>
    </xf>
    <xf borderId="49" fillId="34" fontId="1" numFmtId="0" xfId="0" applyAlignment="1" applyBorder="1" applyFont="1">
      <alignment horizontal="left" vertical="center"/>
    </xf>
    <xf borderId="43" fillId="22" fontId="1" numFmtId="0" xfId="0" applyAlignment="1" applyBorder="1" applyFont="1">
      <alignment horizontal="center" vertical="center"/>
    </xf>
    <xf borderId="45" fillId="22" fontId="1" numFmtId="0" xfId="0" applyAlignment="1" applyBorder="1" applyFont="1">
      <alignment vertical="center"/>
    </xf>
    <xf borderId="118" fillId="22" fontId="1" numFmtId="0" xfId="0" applyAlignment="1" applyBorder="1" applyFont="1">
      <alignment horizontal="center" vertical="center"/>
    </xf>
    <xf borderId="100" fillId="22" fontId="1" numFmtId="0" xfId="0" applyAlignment="1" applyBorder="1" applyFont="1">
      <alignment horizontal="center" vertical="center"/>
    </xf>
    <xf borderId="49" fillId="22" fontId="1" numFmtId="0" xfId="0" applyAlignment="1" applyBorder="1" applyFont="1">
      <alignment horizontal="left" vertical="center"/>
    </xf>
    <xf borderId="458" fillId="18" fontId="14" numFmtId="0" xfId="0" applyAlignment="1" applyBorder="1" applyFont="1">
      <alignment horizontal="center" shrinkToFit="0" vertical="center" wrapText="1"/>
    </xf>
    <xf borderId="459" fillId="18" fontId="14" numFmtId="0" xfId="0" applyAlignment="1" applyBorder="1" applyFont="1">
      <alignment horizontal="center" shrinkToFit="0" vertical="center" wrapText="1"/>
    </xf>
    <xf borderId="25" fillId="24" fontId="1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" fillId="24" fontId="1" numFmtId="0" xfId="0" applyAlignment="1" applyBorder="1" applyFont="1">
      <alignment horizontal="center" vertical="center"/>
    </xf>
    <xf borderId="157" fillId="0" fontId="1" numFmtId="0" xfId="0" applyAlignment="1" applyBorder="1" applyFont="1">
      <alignment shrinkToFit="0" vertical="center" wrapText="1"/>
    </xf>
    <xf borderId="187" fillId="0" fontId="1" numFmtId="0" xfId="0" applyAlignment="1" applyBorder="1" applyFont="1">
      <alignment horizontal="center" shrinkToFit="0" vertical="center" wrapText="1"/>
    </xf>
    <xf borderId="440" fillId="33" fontId="1" numFmtId="0" xfId="0" applyAlignment="1" applyBorder="1" applyFont="1">
      <alignment vertical="center"/>
    </xf>
    <xf borderId="49" fillId="33" fontId="1" numFmtId="0" xfId="0" applyAlignment="1" applyBorder="1" applyFont="1">
      <alignment horizontal="center" shrinkToFit="0" vertical="center" wrapText="1"/>
    </xf>
    <xf borderId="49" fillId="13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left" shrinkToFit="0" vertical="center" wrapText="1"/>
    </xf>
    <xf borderId="49" fillId="0" fontId="1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/>
    </xf>
    <xf borderId="55" fillId="0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171" fillId="0" fontId="1" numFmtId="0" xfId="0" applyAlignment="1" applyBorder="1" applyFont="1">
      <alignment horizontal="center"/>
    </xf>
    <xf borderId="445" fillId="0" fontId="1" numFmtId="0" xfId="0" applyAlignment="1" applyBorder="1" applyFont="1">
      <alignment vertical="center"/>
    </xf>
    <xf borderId="187" fillId="0" fontId="1" numFmtId="0" xfId="0" applyAlignment="1" applyBorder="1" applyFont="1">
      <alignment horizontal="left" vertical="center"/>
    </xf>
    <xf borderId="49" fillId="0" fontId="1" numFmtId="0" xfId="0" applyAlignment="1" applyBorder="1" applyFont="1">
      <alignment horizontal="left" vertical="center"/>
    </xf>
    <xf borderId="445" fillId="0" fontId="1" numFmtId="0" xfId="0" applyAlignment="1" applyBorder="1" applyFont="1">
      <alignment horizontal="left" vertical="center"/>
    </xf>
    <xf borderId="23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horizontal="center" shrinkToFit="0" wrapText="1"/>
    </xf>
    <xf borderId="119" fillId="8" fontId="1" numFmtId="0" xfId="0" applyAlignment="1" applyBorder="1" applyFont="1">
      <alignment horizontal="center" vertical="center"/>
    </xf>
    <xf borderId="118" fillId="20" fontId="1" numFmtId="0" xfId="0" applyAlignment="1" applyBorder="1" applyFont="1">
      <alignment horizontal="center" vertical="center"/>
    </xf>
    <xf borderId="100" fillId="20" fontId="1" numFmtId="0" xfId="0" applyAlignment="1" applyBorder="1" applyFont="1">
      <alignment vertical="center"/>
    </xf>
    <xf borderId="100" fillId="20" fontId="1" numFmtId="0" xfId="0" applyAlignment="1" applyBorder="1" applyFont="1">
      <alignment horizontal="center" vertical="center"/>
    </xf>
    <xf borderId="49" fillId="20" fontId="1" numFmtId="0" xfId="0" applyAlignment="1" applyBorder="1" applyFont="1">
      <alignment horizontal="center" vertical="center"/>
    </xf>
    <xf borderId="460" fillId="0" fontId="5" numFmtId="0" xfId="0" applyBorder="1" applyFont="1"/>
    <xf borderId="186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vertical="center"/>
    </xf>
    <xf borderId="31" fillId="0" fontId="1" numFmtId="0" xfId="0" applyAlignment="1" applyBorder="1" applyFont="1">
      <alignment shrinkToFit="0" vertical="center" wrapText="1"/>
    </xf>
    <xf borderId="49" fillId="0" fontId="1" numFmtId="0" xfId="0" applyAlignment="1" applyBorder="1" applyFont="1">
      <alignment shrinkToFit="0" vertical="center" wrapText="1"/>
    </xf>
    <xf borderId="141" fillId="3" fontId="1" numFmtId="0" xfId="0" applyAlignment="1" applyBorder="1" applyFont="1">
      <alignment horizontal="center" vertical="center"/>
    </xf>
    <xf borderId="461" fillId="3" fontId="1" numFmtId="0" xfId="0" applyAlignment="1" applyBorder="1" applyFont="1">
      <alignment vertical="center"/>
    </xf>
    <xf borderId="462" fillId="0" fontId="5" numFmtId="0" xfId="0" applyBorder="1" applyFont="1"/>
    <xf borderId="463" fillId="0" fontId="5" numFmtId="0" xfId="0" applyBorder="1" applyFont="1"/>
    <xf borderId="464" fillId="3" fontId="52" numFmtId="0" xfId="0" applyAlignment="1" applyBorder="1" applyFont="1">
      <alignment horizontal="center"/>
    </xf>
    <xf borderId="43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vertical="center"/>
    </xf>
    <xf borderId="465" fillId="0" fontId="5" numFmtId="0" xfId="0" applyBorder="1" applyFont="1"/>
    <xf borderId="466" fillId="0" fontId="5" numFmtId="0" xfId="0" applyBorder="1" applyFont="1"/>
    <xf borderId="467" fillId="0" fontId="5" numFmtId="0" xfId="0" applyBorder="1" applyFont="1"/>
    <xf borderId="119" fillId="30" fontId="1" numFmtId="0" xfId="0" applyAlignment="1" applyBorder="1" applyFont="1">
      <alignment horizontal="center" vertical="center"/>
    </xf>
    <xf borderId="139" fillId="33" fontId="1" numFmtId="0" xfId="0" applyAlignment="1" applyBorder="1" applyFont="1">
      <alignment horizontal="center" vertical="center"/>
    </xf>
    <xf borderId="166" fillId="33" fontId="1" numFmtId="0" xfId="0" applyAlignment="1" applyBorder="1" applyFont="1">
      <alignment horizontal="left" shrinkToFit="0" vertical="center" wrapText="1"/>
    </xf>
    <xf borderId="187" fillId="33" fontId="1" numFmtId="0" xfId="0" applyAlignment="1" applyBorder="1" applyFont="1">
      <alignment horizontal="center" shrinkToFit="0" vertical="center" wrapText="1"/>
    </xf>
    <xf borderId="100" fillId="25" fontId="1" numFmtId="0" xfId="0" applyAlignment="1" applyBorder="1" applyFont="1">
      <alignment horizontal="left" shrinkToFit="0" vertical="center" wrapText="1"/>
    </xf>
    <xf borderId="49" fillId="25" fontId="1" numFmtId="0" xfId="0" applyAlignment="1" applyBorder="1" applyFont="1">
      <alignment horizontal="center" shrinkToFit="0" vertical="center" wrapText="1"/>
    </xf>
    <xf borderId="166" fillId="11" fontId="1" numFmtId="0" xfId="0" applyAlignment="1" applyBorder="1" applyFont="1">
      <alignment vertical="center"/>
    </xf>
    <xf borderId="433" fillId="11" fontId="1" numFmtId="0" xfId="0" applyAlignment="1" applyBorder="1" applyFont="1">
      <alignment horizontal="center" vertical="center"/>
    </xf>
    <xf borderId="166" fillId="11" fontId="1" numFmtId="0" xfId="0" applyAlignment="1" applyBorder="1" applyFont="1">
      <alignment horizontal="center" vertical="center"/>
    </xf>
    <xf borderId="187" fillId="11" fontId="1" numFmtId="0" xfId="0" applyAlignment="1" applyBorder="1" applyFont="1">
      <alignment horizontal="center" vertical="center"/>
    </xf>
    <xf borderId="118" fillId="20" fontId="1" numFmtId="0" xfId="0" applyAlignment="1" applyBorder="1" applyFont="1">
      <alignment vertical="center"/>
    </xf>
    <xf borderId="100" fillId="11" fontId="1" numFmtId="0" xfId="0" applyAlignment="1" applyBorder="1" applyFont="1">
      <alignment horizontal="left" shrinkToFit="0" vertical="center" wrapText="1"/>
    </xf>
    <xf borderId="139" fillId="31" fontId="1" numFmtId="0" xfId="0" applyAlignment="1" applyBorder="1" applyFont="1">
      <alignment horizontal="left" vertical="center"/>
    </xf>
    <xf borderId="2" fillId="24" fontId="1" numFmtId="0" xfId="0" applyAlignment="1" applyBorder="1" applyFont="1">
      <alignment horizontal="left" vertical="center"/>
    </xf>
    <xf borderId="100" fillId="11" fontId="1" numFmtId="0" xfId="0" applyAlignment="1" applyBorder="1" applyFont="1">
      <alignment horizontal="left" vertical="center"/>
    </xf>
    <xf borderId="433" fillId="10" fontId="1" numFmtId="0" xfId="0" applyAlignment="1" applyBorder="1" applyFont="1">
      <alignment horizontal="center"/>
    </xf>
    <xf borderId="166" fillId="10" fontId="1" numFmtId="0" xfId="0" applyAlignment="1" applyBorder="1" applyFont="1">
      <alignment horizontal="center"/>
    </xf>
    <xf borderId="187" fillId="10" fontId="1" numFmtId="0" xfId="0" applyAlignment="1" applyBorder="1" applyFont="1">
      <alignment horizontal="left" vertical="center"/>
    </xf>
    <xf borderId="100" fillId="17" fontId="1" numFmtId="0" xfId="0" applyAlignment="1" applyBorder="1" applyFont="1">
      <alignment horizontal="left" vertical="center"/>
    </xf>
    <xf borderId="100" fillId="25" fontId="1" numFmtId="0" xfId="0" applyAlignment="1" applyBorder="1" applyFont="1">
      <alignment shrinkToFit="0" wrapText="1"/>
    </xf>
    <xf borderId="118" fillId="25" fontId="1" numFmtId="0" xfId="0" applyAlignment="1" applyBorder="1" applyFont="1">
      <alignment horizontal="center"/>
    </xf>
    <xf borderId="100" fillId="25" fontId="1" numFmtId="0" xfId="0" applyAlignment="1" applyBorder="1" applyFont="1">
      <alignment horizontal="center"/>
    </xf>
    <xf borderId="49" fillId="25" fontId="1" numFmtId="0" xfId="0" applyAlignment="1" applyBorder="1" applyFont="1">
      <alignment horizontal="center" shrinkToFit="0" wrapText="1"/>
    </xf>
    <xf borderId="166" fillId="34" fontId="1" numFmtId="0" xfId="0" applyAlignment="1" applyBorder="1" applyFont="1">
      <alignment shrinkToFit="0" vertical="center" wrapText="1"/>
    </xf>
    <xf borderId="187" fillId="34" fontId="1" numFmtId="0" xfId="0" applyAlignment="1" applyBorder="1" applyFont="1">
      <alignment shrinkToFit="0" vertical="center" wrapText="1"/>
    </xf>
    <xf borderId="119" fillId="3" fontId="1" numFmtId="0" xfId="0" applyAlignment="1" applyBorder="1" applyFont="1">
      <alignment vertical="center"/>
    </xf>
    <xf borderId="147" fillId="3" fontId="1" numFmtId="0" xfId="0" applyAlignment="1" applyBorder="1" applyFont="1">
      <alignment horizontal="center" vertical="center"/>
    </xf>
    <xf borderId="468" fillId="3" fontId="1" numFmtId="0" xfId="0" applyAlignment="1" applyBorder="1" applyFont="1">
      <alignment vertical="center"/>
    </xf>
    <xf borderId="469" fillId="0" fontId="5" numFmtId="0" xfId="0" applyBorder="1" applyFont="1"/>
    <xf borderId="470" fillId="0" fontId="5" numFmtId="0" xfId="0" applyBorder="1" applyFont="1"/>
    <xf borderId="471" fillId="3" fontId="53" numFmtId="0" xfId="0" applyAlignment="1" applyBorder="1" applyFont="1">
      <alignment horizontal="center"/>
    </xf>
    <xf borderId="0" fillId="0" fontId="14" numFmtId="0" xfId="0" applyAlignment="1" applyFont="1">
      <alignment horizontal="left" shrinkToFit="0" vertical="center" wrapText="1"/>
    </xf>
    <xf borderId="157" fillId="0" fontId="1" numFmtId="0" xfId="0" applyAlignment="1" applyBorder="1" applyFont="1">
      <alignment horizontal="left" shrinkToFit="0" vertical="center" wrapText="1"/>
    </xf>
    <xf borderId="454" fillId="33" fontId="1" numFmtId="0" xfId="0" applyAlignment="1" applyBorder="1" applyFont="1">
      <alignment vertical="center"/>
    </xf>
    <xf borderId="31" fillId="0" fontId="1" numFmtId="0" xfId="0" applyAlignment="1" applyBorder="1" applyFont="1">
      <alignment shrinkToFit="0" wrapText="1"/>
    </xf>
    <xf borderId="49" fillId="0" fontId="1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vertical="center"/>
    </xf>
    <xf borderId="144" fillId="3" fontId="1" numFmtId="0" xfId="0" applyAlignment="1" applyBorder="1" applyFont="1">
      <alignment horizontal="center" vertical="center"/>
    </xf>
    <xf borderId="472" fillId="3" fontId="1" numFmtId="0" xfId="0" applyAlignment="1" applyBorder="1" applyFont="1">
      <alignment vertical="center"/>
    </xf>
    <xf borderId="473" fillId="0" fontId="5" numFmtId="0" xfId="0" applyBorder="1" applyFont="1"/>
    <xf borderId="95" fillId="3" fontId="54" numFmtId="0" xfId="0" applyAlignment="1" applyBorder="1" applyFont="1">
      <alignment horizontal="center"/>
    </xf>
    <xf borderId="454" fillId="30" fontId="1" numFmtId="0" xfId="0" applyAlignment="1" applyBorder="1" applyFont="1">
      <alignment horizontal="center" vertical="center"/>
    </xf>
    <xf borderId="409" fillId="30" fontId="1" numFmtId="0" xfId="0" applyAlignment="1" applyBorder="1" applyFont="1">
      <alignment vertical="center"/>
    </xf>
    <xf borderId="166" fillId="25" fontId="1" numFmtId="0" xfId="0" applyAlignment="1" applyBorder="1" applyFont="1">
      <alignment horizontal="left" shrinkToFit="0" vertical="center" wrapText="1"/>
    </xf>
    <xf borderId="187" fillId="25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66" fillId="11" fontId="1" numFmtId="0" xfId="0" applyAlignment="1" applyBorder="1" applyFont="1">
      <alignment horizontal="left" shrinkToFit="0" vertical="center" wrapText="1"/>
    </xf>
    <xf borderId="187" fillId="11" fontId="1" numFmtId="0" xfId="0" applyAlignment="1" applyBorder="1" applyFont="1">
      <alignment horizontal="center" shrinkToFit="0" vertical="center" wrapText="1"/>
    </xf>
    <xf borderId="162" fillId="11" fontId="1" numFmtId="0" xfId="0" applyAlignment="1" applyBorder="1" applyFont="1">
      <alignment vertical="center"/>
    </xf>
    <xf borderId="455" fillId="11" fontId="1" numFmtId="0" xfId="0" applyAlignment="1" applyBorder="1" applyFont="1">
      <alignment horizontal="center" vertical="center"/>
    </xf>
    <xf borderId="456" fillId="11" fontId="1" numFmtId="0" xfId="0" applyAlignment="1" applyBorder="1" applyFont="1">
      <alignment horizontal="center" vertical="center"/>
    </xf>
    <xf borderId="96" fillId="11" fontId="1" numFmtId="0" xfId="0" applyAlignment="1" applyBorder="1" applyFont="1">
      <alignment horizontal="center" vertical="center"/>
    </xf>
    <xf borderId="438" fillId="11" fontId="1" numFmtId="0" xfId="0" applyAlignment="1" applyBorder="1" applyFont="1">
      <alignment horizontal="left" vertical="center"/>
    </xf>
    <xf borderId="49" fillId="17" fontId="1" numFmtId="0" xfId="0" applyAlignment="1" applyBorder="1" applyFont="1">
      <alignment horizontal="left" vertical="center"/>
    </xf>
    <xf borderId="46" fillId="17" fontId="1" numFmtId="0" xfId="0" applyAlignment="1" applyBorder="1" applyFont="1">
      <alignment horizontal="center" vertical="center"/>
    </xf>
    <xf borderId="50" fillId="17" fontId="1" numFmtId="0" xfId="0" applyAlignment="1" applyBorder="1" applyFont="1">
      <alignment horizontal="center" vertical="center"/>
    </xf>
    <xf borderId="187" fillId="11" fontId="1" numFmtId="0" xfId="0" applyAlignment="1" applyBorder="1" applyFont="1">
      <alignment horizontal="left" vertical="center"/>
    </xf>
    <xf borderId="166" fillId="17" fontId="1" numFmtId="0" xfId="0" applyAlignment="1" applyBorder="1" applyFont="1">
      <alignment horizontal="left" shrinkToFit="0" vertical="center" wrapText="1"/>
    </xf>
    <xf borderId="187" fillId="17" fontId="1" numFmtId="0" xfId="0" applyAlignment="1" applyBorder="1" applyFont="1">
      <alignment vertical="center"/>
    </xf>
    <xf borderId="187" fillId="34" fontId="1" numFmtId="0" xfId="0" applyAlignment="1" applyBorder="1" applyFont="1">
      <alignment vertical="center"/>
    </xf>
    <xf borderId="162" fillId="34" fontId="1" numFmtId="0" xfId="0" applyAlignment="1" applyBorder="1" applyFont="1">
      <alignment vertical="center"/>
    </xf>
    <xf borderId="96" fillId="34" fontId="1" numFmtId="0" xfId="0" applyAlignment="1" applyBorder="1" applyFont="1">
      <alignment horizontal="center" vertical="center"/>
    </xf>
    <xf borderId="187" fillId="34" fontId="1" numFmtId="0" xfId="0" applyAlignment="1" applyBorder="1" applyFont="1">
      <alignment horizontal="left" vertical="center"/>
    </xf>
    <xf borderId="3" fillId="0" fontId="13" numFmtId="0" xfId="0" applyAlignment="1" applyBorder="1" applyFont="1">
      <alignment horizontal="center"/>
    </xf>
    <xf borderId="183" fillId="22" fontId="1" numFmtId="0" xfId="0" applyAlignment="1" applyBorder="1" applyFont="1">
      <alignment horizontal="center" vertical="center"/>
    </xf>
    <xf borderId="184" fillId="22" fontId="1" numFmtId="0" xfId="0" applyAlignment="1" applyBorder="1" applyFont="1">
      <alignment vertical="center"/>
    </xf>
    <xf borderId="433" fillId="22" fontId="1" numFmtId="0" xfId="0" applyAlignment="1" applyBorder="1" applyFont="1">
      <alignment horizontal="center" vertical="center"/>
    </xf>
    <xf borderId="166" fillId="22" fontId="1" numFmtId="0" xfId="0" applyAlignment="1" applyBorder="1" applyFont="1">
      <alignment horizontal="center" vertical="center"/>
    </xf>
    <xf borderId="187" fillId="22" fontId="1" numFmtId="0" xfId="0" applyAlignment="1" applyBorder="1" applyFont="1">
      <alignment horizontal="left" vertical="center"/>
    </xf>
    <xf borderId="5" fillId="0" fontId="5" numFmtId="0" xfId="0" applyBorder="1" applyFont="1"/>
    <xf borderId="18" fillId="0" fontId="1" numFmtId="0" xfId="0" applyAlignment="1" applyBorder="1" applyFont="1">
      <alignment horizontal="center" vertical="center"/>
    </xf>
    <xf borderId="187" fillId="13" fontId="1" numFmtId="0" xfId="0" applyAlignment="1" applyBorder="1" applyFont="1">
      <alignment horizontal="center" vertical="center"/>
    </xf>
    <xf borderId="454" fillId="33" fontId="1" numFmtId="0" xfId="0" applyAlignment="1" applyBorder="1" applyFont="1">
      <alignment horizontal="center" vertical="center"/>
    </xf>
    <xf borderId="51" fillId="17" fontId="1" numFmtId="0" xfId="0" applyAlignment="1" applyBorder="1" applyFont="1">
      <alignment horizontal="left" shrinkToFit="0" vertical="center" wrapText="1"/>
    </xf>
    <xf borderId="100" fillId="17" fontId="1" numFmtId="0" xfId="0" applyAlignment="1" applyBorder="1" applyFont="1">
      <alignment horizontal="center" shrinkToFit="0" vertical="center" wrapText="1"/>
    </xf>
    <xf borderId="10" fillId="18" fontId="14" numFmtId="0" xfId="0" applyAlignment="1" applyBorder="1" applyFont="1">
      <alignment shrinkToFit="0" vertical="center" wrapText="1"/>
    </xf>
    <xf borderId="413" fillId="30" fontId="1" numFmtId="0" xfId="0" applyBorder="1" applyFont="1"/>
    <xf borderId="116" fillId="30" fontId="55" numFmtId="0" xfId="0" applyAlignment="1" applyBorder="1" applyFont="1">
      <alignment horizontal="center"/>
    </xf>
    <xf borderId="26" fillId="0" fontId="1" numFmtId="0" xfId="0" applyAlignment="1" applyBorder="1" applyFont="1">
      <alignment shrinkToFit="0" wrapText="1"/>
    </xf>
    <xf borderId="119" fillId="31" fontId="1" numFmtId="0" xfId="0" applyAlignment="1" applyBorder="1" applyFont="1">
      <alignment vertical="center"/>
    </xf>
    <xf borderId="185" fillId="0" fontId="1" numFmtId="0" xfId="0" applyAlignment="1" applyBorder="1" applyFont="1">
      <alignment horizontal="center" vertical="center"/>
    </xf>
    <xf borderId="433" fillId="20" fontId="1" numFmtId="0" xfId="0" applyAlignment="1" applyBorder="1" applyFont="1">
      <alignment horizontal="center" vertical="center"/>
    </xf>
    <xf borderId="166" fillId="20" fontId="1" numFmtId="0" xfId="0" applyAlignment="1" applyBorder="1" applyFont="1">
      <alignment vertical="center"/>
    </xf>
    <xf borderId="166" fillId="20" fontId="1" numFmtId="0" xfId="0" applyAlignment="1" applyBorder="1" applyFont="1">
      <alignment horizontal="center" vertical="center"/>
    </xf>
    <xf borderId="187" fillId="20" fontId="1" numFmtId="0" xfId="0" applyAlignment="1" applyBorder="1" applyFont="1">
      <alignment horizontal="center" vertical="center"/>
    </xf>
    <xf borderId="141" fillId="3" fontId="1" numFmtId="0" xfId="0" applyAlignment="1" applyBorder="1" applyFont="1">
      <alignment horizontal="center" shrinkToFit="0" vertical="center" wrapText="1"/>
    </xf>
    <xf borderId="414" fillId="30" fontId="1" numFmtId="0" xfId="0" applyAlignment="1" applyBorder="1" applyFont="1">
      <alignment vertical="center"/>
    </xf>
    <xf borderId="58" fillId="7" fontId="14" numFmtId="0" xfId="0" applyAlignment="1" applyBorder="1" applyFont="1">
      <alignment shrinkToFit="0" vertical="center" wrapText="1"/>
    </xf>
    <xf borderId="457" fillId="7" fontId="56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166" fillId="11" fontId="1" numFmtId="0" xfId="0" applyAlignment="1" applyBorder="1" applyFont="1">
      <alignment horizontal="left" vertical="center"/>
    </xf>
    <xf borderId="100" fillId="10" fontId="1" numFmtId="0" xfId="0" applyAlignment="1" applyBorder="1" applyFont="1">
      <alignment shrinkToFit="0" wrapText="1"/>
    </xf>
    <xf borderId="49" fillId="10" fontId="1" numFmtId="0" xfId="0" applyAlignment="1" applyBorder="1" applyFont="1">
      <alignment horizontal="center" shrinkToFit="0" wrapText="1"/>
    </xf>
    <xf borderId="187" fillId="10" fontId="1" numFmtId="0" xfId="0" applyAlignment="1" applyBorder="1" applyFont="1">
      <alignment shrinkToFit="0" wrapText="1"/>
    </xf>
    <xf borderId="433" fillId="20" fontId="1" numFmtId="0" xfId="0" applyAlignment="1" applyBorder="1" applyFont="1">
      <alignment vertical="center"/>
    </xf>
    <xf borderId="166" fillId="25" fontId="1" numFmtId="0" xfId="0" applyAlignment="1" applyBorder="1" applyFont="1">
      <alignment shrinkToFit="0" wrapText="1"/>
    </xf>
    <xf borderId="433" fillId="25" fontId="1" numFmtId="0" xfId="0" applyAlignment="1" applyBorder="1" applyFont="1">
      <alignment horizontal="center"/>
    </xf>
    <xf borderId="166" fillId="25" fontId="1" numFmtId="0" xfId="0" applyAlignment="1" applyBorder="1" applyFont="1">
      <alignment horizontal="center"/>
    </xf>
    <xf borderId="187" fillId="25" fontId="1" numFmtId="0" xfId="0" applyAlignment="1" applyBorder="1" applyFont="1">
      <alignment horizontal="center" shrinkToFit="0" wrapText="1"/>
    </xf>
    <xf borderId="100" fillId="11" fontId="1" numFmtId="0" xfId="0" applyAlignment="1" applyBorder="1" applyFont="1">
      <alignment shrinkToFit="0" wrapText="1"/>
    </xf>
    <xf borderId="118" fillId="11" fontId="1" numFmtId="0" xfId="0" applyAlignment="1" applyBorder="1" applyFont="1">
      <alignment horizontal="center"/>
    </xf>
    <xf borderId="100" fillId="11" fontId="1" numFmtId="0" xfId="0" applyAlignment="1" applyBorder="1" applyFont="1">
      <alignment horizontal="center"/>
    </xf>
    <xf borderId="49" fillId="11" fontId="1" numFmtId="0" xfId="0" applyAlignment="1" applyBorder="1" applyFont="1">
      <alignment horizontal="center" shrinkToFit="0" wrapText="1"/>
    </xf>
    <xf borderId="157" fillId="0" fontId="1" numFmtId="0" xfId="0" applyAlignment="1" applyBorder="1" applyFont="1">
      <alignment shrinkToFit="0" wrapText="1"/>
    </xf>
    <xf borderId="187" fillId="0" fontId="1" numFmtId="0" xfId="0" applyAlignment="1" applyBorder="1" applyFont="1">
      <alignment horizontal="center" shrinkToFit="0" wrapText="1"/>
    </xf>
    <xf borderId="413" fillId="18" fontId="14" numFmtId="0" xfId="0" applyBorder="1" applyFont="1"/>
    <xf borderId="474" fillId="3" fontId="1" numFmtId="0" xfId="0" applyAlignment="1" applyBorder="1" applyFont="1">
      <alignment horizontal="center" vertical="center"/>
    </xf>
    <xf borderId="409" fillId="18" fontId="14" numFmtId="0" xfId="0" applyAlignment="1" applyBorder="1" applyFont="1">
      <alignment horizontal="left" shrinkToFit="0" vertical="center" wrapText="1"/>
    </xf>
    <xf borderId="116" fillId="8" fontId="7" numFmtId="0" xfId="0" applyAlignment="1" applyBorder="1" applyFont="1">
      <alignment horizontal="center" vertical="center"/>
    </xf>
    <xf borderId="438" fillId="17" fontId="1" numFmtId="0" xfId="0" applyAlignment="1" applyBorder="1" applyFont="1">
      <alignment horizontal="left" shrinkToFit="0" vertical="center" wrapText="1"/>
    </xf>
    <xf borderId="166" fillId="17" fontId="1" numFmtId="0" xfId="0" applyAlignment="1" applyBorder="1" applyFont="1">
      <alignment horizontal="center" shrinkToFit="0" vertical="center" wrapText="1"/>
    </xf>
    <xf borderId="166" fillId="11" fontId="1" numFmtId="0" xfId="0" applyAlignment="1" applyBorder="1" applyFont="1">
      <alignment shrinkToFit="0" wrapText="1"/>
    </xf>
    <xf borderId="433" fillId="11" fontId="1" numFmtId="0" xfId="0" applyAlignment="1" applyBorder="1" applyFont="1">
      <alignment horizontal="center"/>
    </xf>
    <xf borderId="166" fillId="11" fontId="1" numFmtId="0" xfId="0" applyAlignment="1" applyBorder="1" applyFont="1">
      <alignment horizontal="center"/>
    </xf>
    <xf borderId="187" fillId="11" fontId="1" numFmtId="0" xfId="0" applyAlignment="1" applyBorder="1" applyFont="1">
      <alignment horizontal="center" shrinkToFit="0" wrapText="1"/>
    </xf>
    <xf borderId="51" fillId="33" fontId="1" numFmtId="0" xfId="0" applyAlignment="1" applyBorder="1" applyFont="1">
      <alignment vertical="center"/>
    </xf>
    <xf borderId="11" fillId="0" fontId="1" numFmtId="0" xfId="0" applyAlignment="1" applyBorder="1" applyFont="1">
      <alignment shrinkToFit="0" wrapText="1"/>
    </xf>
    <xf borderId="61" fillId="0" fontId="1" numFmtId="0" xfId="0" applyAlignment="1" applyBorder="1" applyFont="1">
      <alignment shrinkToFit="0" wrapText="1"/>
    </xf>
    <xf borderId="2" fillId="8" fontId="1" numFmtId="0" xfId="0" applyAlignment="1" applyBorder="1" applyFont="1">
      <alignment horizontal="center" vertical="center"/>
    </xf>
    <xf borderId="139" fillId="33" fontId="1" numFmtId="0" xfId="0" applyAlignment="1" applyBorder="1" applyFont="1">
      <alignment vertical="center"/>
    </xf>
    <xf borderId="2" fillId="14" fontId="1" numFmtId="0" xfId="0" applyAlignment="1" applyBorder="1" applyFont="1">
      <alignment vertical="center"/>
    </xf>
    <xf borderId="424" fillId="24" fontId="57" numFmtId="0" xfId="0" applyAlignment="1" applyBorder="1" applyFont="1">
      <alignment horizontal="center" vertical="center"/>
    </xf>
    <xf borderId="49" fillId="20" fontId="1" numFmtId="0" xfId="0" applyAlignment="1" applyBorder="1" applyFont="1">
      <alignment horizontal="left" vertical="center"/>
    </xf>
    <xf borderId="162" fillId="11" fontId="1" numFmtId="0" xfId="0" applyAlignment="1" applyBorder="1" applyFont="1">
      <alignment horizontal="left" shrinkToFit="0" vertical="center" wrapText="1"/>
    </xf>
    <xf borderId="61" fillId="0" fontId="1" numFmtId="0" xfId="0" applyAlignment="1" applyBorder="1" applyFont="1">
      <alignment horizontal="left" vertical="center"/>
    </xf>
    <xf borderId="452" fillId="18" fontId="14" numFmtId="0" xfId="0" applyBorder="1" applyFont="1"/>
    <xf borderId="49" fillId="17" fontId="1" numFmtId="0" xfId="0" applyAlignment="1" applyBorder="1" applyFont="1">
      <alignment horizontal="center" shrinkToFit="0" vertical="center" wrapText="1"/>
    </xf>
    <xf borderId="457" fillId="7" fontId="1" numFmtId="0" xfId="0" applyAlignment="1" applyBorder="1" applyFont="1">
      <alignment horizontal="center" vertical="center"/>
    </xf>
    <xf borderId="162" fillId="11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10" fillId="18" fontId="14" numFmtId="0" xfId="0" applyAlignment="1" applyBorder="1" applyFont="1">
      <alignment horizontal="left"/>
    </xf>
    <xf borderId="409" fillId="28" fontId="1" numFmtId="0" xfId="0" applyAlignment="1" applyBorder="1" applyFont="1">
      <alignment vertical="center"/>
    </xf>
    <xf borderId="92" fillId="28" fontId="58" numFmtId="0" xfId="0" applyAlignment="1" applyBorder="1" applyFont="1">
      <alignment horizontal="center" vertical="center"/>
    </xf>
    <xf borderId="450" fillId="10" fontId="1" numFmtId="0" xfId="0" applyAlignment="1" applyBorder="1" applyFont="1">
      <alignment horizontal="left" vertical="center"/>
    </xf>
    <xf borderId="451" fillId="10" fontId="1" numFmtId="0" xfId="0" applyAlignment="1" applyBorder="1" applyFont="1">
      <alignment horizontal="center" vertical="center"/>
    </xf>
    <xf borderId="119" fillId="30" fontId="1" numFmtId="10" xfId="0" applyAlignment="1" applyBorder="1" applyFont="1" applyNumberFormat="1">
      <alignment horizontal="center" vertical="center"/>
    </xf>
    <xf borderId="413" fillId="30" fontId="1" numFmtId="10" xfId="0" applyAlignment="1" applyBorder="1" applyFont="1" applyNumberFormat="1">
      <alignment vertical="center"/>
    </xf>
    <xf borderId="63" fillId="0" fontId="1" numFmtId="0" xfId="0" applyAlignment="1" applyBorder="1" applyFont="1">
      <alignment horizontal="center"/>
    </xf>
    <xf borderId="64" fillId="0" fontId="1" numFmtId="0" xfId="0" applyAlignment="1" applyBorder="1" applyFont="1">
      <alignment horizontal="center"/>
    </xf>
    <xf borderId="61" fillId="0" fontId="1" numFmtId="0" xfId="0" applyAlignment="1" applyBorder="1" applyFont="1">
      <alignment horizontal="center" shrinkToFit="0" vertical="center" wrapText="1"/>
    </xf>
    <xf borderId="116" fillId="31" fontId="14" numFmtId="0" xfId="0" applyAlignment="1" applyBorder="1" applyFont="1">
      <alignment horizontal="center" vertical="center"/>
    </xf>
    <xf borderId="64" fillId="0" fontId="1" numFmtId="0" xfId="0" applyAlignment="1" applyBorder="1" applyFont="1">
      <alignment shrinkToFit="0" vertical="center" wrapText="1"/>
    </xf>
    <xf borderId="96" fillId="13" fontId="1" numFmtId="0" xfId="0" applyAlignment="1" applyBorder="1" applyFont="1">
      <alignment horizontal="center" vertical="center"/>
    </xf>
    <xf borderId="454" fillId="10" fontId="1" numFmtId="0" xfId="0" applyAlignment="1" applyBorder="1" applyFont="1">
      <alignment horizontal="center" vertical="center"/>
    </xf>
    <xf borderId="4" fillId="28" fontId="1" numFmtId="0" xfId="0" applyAlignment="1" applyBorder="1" applyFont="1">
      <alignment vertical="center"/>
    </xf>
    <xf borderId="10" fillId="32" fontId="30" numFmtId="0" xfId="0" applyAlignment="1" applyBorder="1" applyFont="1">
      <alignment vertical="center"/>
    </xf>
    <xf borderId="147" fillId="3" fontId="1" numFmtId="0" xfId="0" applyAlignment="1" applyBorder="1" applyFont="1">
      <alignment horizontal="center"/>
    </xf>
    <xf borderId="435" fillId="33" fontId="1" numFmtId="0" xfId="0" applyAlignment="1" applyBorder="1" applyFont="1">
      <alignment horizontal="center" vertical="center"/>
    </xf>
    <xf borderId="162" fillId="33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left" vertical="center"/>
    </xf>
    <xf borderId="187" fillId="17" fontId="1" numFmtId="0" xfId="0" applyAlignment="1" applyBorder="1" applyFont="1">
      <alignment horizontal="center" vertical="center"/>
    </xf>
    <xf borderId="26" fillId="13" fontId="7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87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left" vertical="center"/>
    </xf>
    <xf borderId="141" fillId="3" fontId="1" numFmtId="0" xfId="0" applyAlignment="1" applyBorder="1" applyFont="1">
      <alignment horizontal="center"/>
    </xf>
    <xf borderId="187" fillId="10" fontId="7" numFmtId="0" xfId="0" applyAlignment="1" applyBorder="1" applyFont="1">
      <alignment horizontal="center" vertical="center"/>
    </xf>
    <xf borderId="187" fillId="17" fontId="1" numFmtId="0" xfId="0" applyAlignment="1" applyBorder="1" applyFont="1">
      <alignment horizontal="center" shrinkToFit="0" vertical="center" wrapText="1"/>
    </xf>
    <xf borderId="119" fillId="24" fontId="1" numFmtId="0" xfId="0" applyAlignment="1" applyBorder="1" applyFont="1">
      <alignment horizontal="left" vertical="center"/>
    </xf>
    <xf borderId="4" fillId="24" fontId="1" numFmtId="0" xfId="0" applyAlignment="1" applyBorder="1" applyFont="1">
      <alignment vertical="center"/>
    </xf>
    <xf borderId="450" fillId="33" fontId="1" numFmtId="0" xfId="0" applyAlignment="1" applyBorder="1" applyFont="1">
      <alignment vertical="center"/>
    </xf>
    <xf borderId="451" fillId="33" fontId="1" numFmtId="0" xfId="0" applyAlignment="1" applyBorder="1" applyFont="1">
      <alignment horizontal="left" vertical="center"/>
    </xf>
    <xf borderId="116" fillId="18" fontId="14" numFmtId="0" xfId="0" applyAlignment="1" applyBorder="1" applyFont="1">
      <alignment vertical="center"/>
    </xf>
    <xf borderId="413" fillId="18" fontId="14" numFmtId="0" xfId="0" applyAlignment="1" applyBorder="1" applyFont="1">
      <alignment shrinkToFit="0" wrapText="1"/>
    </xf>
    <xf borderId="147" fillId="3" fontId="1" numFmtId="10" xfId="0" applyAlignment="1" applyBorder="1" applyFont="1" applyNumberFormat="1">
      <alignment horizontal="center" vertical="center"/>
    </xf>
    <xf borderId="144" fillId="3" fontId="1" numFmtId="0" xfId="0" applyAlignment="1" applyBorder="1" applyFont="1">
      <alignment horizontal="center" shrinkToFit="0" vertical="center" wrapText="1"/>
    </xf>
    <xf borderId="61" fillId="14" fontId="1" numFmtId="0" xfId="0" applyAlignment="1" applyBorder="1" applyFont="1">
      <alignment shrinkToFit="0" vertical="center" wrapText="1"/>
    </xf>
    <xf borderId="116" fillId="13" fontId="1" numFmtId="0" xfId="0" applyAlignment="1" applyBorder="1" applyFont="1">
      <alignment shrinkToFit="0" vertical="center" wrapText="1"/>
    </xf>
    <xf borderId="61" fillId="13" fontId="1" numFmtId="0" xfId="0" applyAlignment="1" applyBorder="1" applyFont="1">
      <alignment horizontal="center" shrinkToFit="0" vertical="center" wrapText="1"/>
    </xf>
    <xf borderId="61" fillId="30" fontId="1" numFmtId="0" xfId="0" applyAlignment="1" applyBorder="1" applyFont="1">
      <alignment shrinkToFit="0" vertical="center" wrapText="1"/>
    </xf>
    <xf borderId="445" fillId="0" fontId="1" numFmtId="0" xfId="0" applyAlignment="1" applyBorder="1" applyFont="1">
      <alignment shrinkToFit="0" vertical="center" wrapText="1"/>
    </xf>
    <xf borderId="407" fillId="18" fontId="14" numFmtId="0" xfId="0" applyAlignment="1" applyBorder="1" applyFont="1">
      <alignment shrinkToFit="0" vertical="center" wrapText="1"/>
    </xf>
    <xf borderId="61" fillId="31" fontId="1" numFmtId="0" xfId="0" applyAlignment="1" applyBorder="1" applyFont="1">
      <alignment shrinkToFit="0" vertical="center" wrapText="1"/>
    </xf>
    <xf borderId="64" fillId="0" fontId="1" numFmtId="0" xfId="0" applyAlignment="1" applyBorder="1" applyFont="1">
      <alignment shrinkToFit="0" wrapText="1"/>
    </xf>
    <xf borderId="445" fillId="0" fontId="1" numFmtId="0" xfId="0" applyAlignment="1" applyBorder="1" applyFont="1">
      <alignment horizontal="center" shrinkToFit="0" wrapText="1"/>
    </xf>
    <xf borderId="61" fillId="8" fontId="1" numFmtId="0" xfId="0" applyAlignment="1" applyBorder="1" applyFont="1">
      <alignment shrinkToFit="0" vertical="center" wrapText="1"/>
    </xf>
    <xf borderId="35" fillId="7" fontId="59" numFmtId="0" xfId="0" applyAlignment="1" applyBorder="1" applyFont="1">
      <alignment horizontal="center" vertical="center"/>
    </xf>
    <xf borderId="61" fillId="3" fontId="1" numFmtId="0" xfId="0" applyAlignment="1" applyBorder="1" applyFont="1">
      <alignment shrinkToFit="0" vertical="center" wrapText="1"/>
    </xf>
    <xf borderId="407" fillId="18" fontId="14" numFmtId="0" xfId="0" applyAlignment="1" applyBorder="1" applyFont="1">
      <alignment horizontal="center"/>
    </xf>
    <xf borderId="63" fillId="0" fontId="13" numFmtId="0" xfId="0" applyAlignment="1" applyBorder="1" applyFont="1">
      <alignment horizontal="center"/>
    </xf>
    <xf borderId="446" fillId="18" fontId="14" numFmtId="0" xfId="0" applyAlignment="1" applyBorder="1" applyFont="1">
      <alignment horizontal="center" vertical="center"/>
    </xf>
    <xf borderId="475" fillId="0" fontId="5" numFmtId="0" xfId="0" applyBorder="1" applyFont="1"/>
    <xf borderId="443" fillId="18" fontId="14" numFmtId="0" xfId="0" applyAlignment="1" applyBorder="1" applyFont="1">
      <alignment horizontal="center" vertical="center"/>
    </xf>
    <xf borderId="63" fillId="0" fontId="1" numFmtId="0" xfId="0" applyAlignment="1" applyBorder="1" applyFont="1">
      <alignment shrinkToFit="0" vertical="center" wrapText="1"/>
    </xf>
    <xf borderId="62" fillId="0" fontId="1" numFmtId="0" xfId="0" applyAlignment="1" applyBorder="1" applyFont="1">
      <alignment horizontal="center"/>
    </xf>
    <xf borderId="62" fillId="0" fontId="1" numFmtId="0" xfId="0" applyAlignment="1" applyBorder="1" applyFont="1">
      <alignment horizontal="left" shrinkToFit="0" vertical="center" wrapText="1"/>
    </xf>
    <xf borderId="2" fillId="18" fontId="14" numFmtId="0" xfId="0" applyAlignment="1" applyBorder="1" applyFont="1">
      <alignment horizontal="center"/>
    </xf>
    <xf borderId="78" fillId="2" fontId="1" numFmtId="0" xfId="0" applyAlignment="1" applyBorder="1" applyFont="1">
      <alignment horizontal="center"/>
    </xf>
    <xf borderId="92" fillId="2" fontId="1" numFmtId="0" xfId="0" applyAlignment="1" applyBorder="1" applyFont="1">
      <alignment horizontal="center"/>
    </xf>
    <xf borderId="78" fillId="3" fontId="1" numFmtId="0" xfId="0" applyAlignment="1" applyBorder="1" applyFont="1">
      <alignment horizontal="center"/>
    </xf>
    <xf borderId="78" fillId="6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78" fillId="14" fontId="1" numFmtId="0" xfId="0" applyAlignment="1" applyBorder="1" applyFont="1">
      <alignment horizontal="center"/>
    </xf>
    <xf borderId="78" fillId="5" fontId="1" numFmtId="0" xfId="0" applyAlignment="1" applyBorder="1" applyFont="1">
      <alignment horizontal="center"/>
    </xf>
    <xf borderId="78" fillId="8" fontId="1" numFmtId="0" xfId="0" applyAlignment="1" applyBorder="1" applyFont="1">
      <alignment horizontal="center"/>
    </xf>
    <xf borderId="78" fillId="7" fontId="1" numFmtId="0" xfId="0" applyAlignment="1" applyBorder="1" applyFont="1">
      <alignment horizontal="center"/>
    </xf>
    <xf borderId="78" fillId="16" fontId="1" numFmtId="0" xfId="0" applyAlignment="1" applyBorder="1" applyFont="1">
      <alignment horizontal="center"/>
    </xf>
    <xf borderId="78" fillId="18" fontId="14" numFmtId="0" xfId="0" applyAlignment="1" applyBorder="1" applyFont="1">
      <alignment horizontal="center"/>
    </xf>
    <xf borderId="76" fillId="18" fontId="14" numFmtId="0" xfId="0" applyAlignment="1" applyBorder="1" applyFont="1">
      <alignment horizontal="center"/>
    </xf>
    <xf borderId="121" fillId="2" fontId="1" numFmtId="0" xfId="0" applyAlignment="1" applyBorder="1" applyFont="1">
      <alignment horizontal="center"/>
    </xf>
    <xf borderId="121" fillId="3" fontId="1" numFmtId="0" xfId="0" applyAlignment="1" applyBorder="1" applyFont="1">
      <alignment horizontal="center"/>
    </xf>
    <xf borderId="121" fillId="6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21" fillId="14" fontId="1" numFmtId="0" xfId="0" applyAlignment="1" applyBorder="1" applyFont="1">
      <alignment horizontal="center"/>
    </xf>
    <xf borderId="121" fillId="5" fontId="1" numFmtId="0" xfId="0" applyAlignment="1" applyBorder="1" applyFont="1">
      <alignment horizontal="center"/>
    </xf>
    <xf borderId="121" fillId="8" fontId="1" numFmtId="0" xfId="0" applyAlignment="1" applyBorder="1" applyFont="1">
      <alignment horizontal="center"/>
    </xf>
    <xf borderId="121" fillId="7" fontId="1" numFmtId="0" xfId="0" applyAlignment="1" applyBorder="1" applyFont="1">
      <alignment horizontal="center"/>
    </xf>
    <xf borderId="121" fillId="16" fontId="1" numFmtId="0" xfId="0" applyAlignment="1" applyBorder="1" applyFont="1">
      <alignment horizontal="center"/>
    </xf>
    <xf borderId="121" fillId="18" fontId="14" numFmtId="0" xfId="0" applyAlignment="1" applyBorder="1" applyFont="1">
      <alignment horizontal="center"/>
    </xf>
    <xf borderId="445" fillId="0" fontId="1" numFmtId="0" xfId="0" applyAlignment="1" applyBorder="1" applyFont="1">
      <alignment horizontal="center"/>
    </xf>
    <xf borderId="5" fillId="0" fontId="60" numFmtId="0" xfId="0" applyAlignment="1" applyBorder="1" applyFont="1">
      <alignment horizontal="center" shrinkToFit="0" textRotation="90" vertical="center" wrapText="1"/>
    </xf>
    <xf borderId="26" fillId="0" fontId="9" numFmtId="0" xfId="0" applyAlignment="1" applyBorder="1" applyFont="1">
      <alignment horizontal="left" shrinkToFit="0" wrapText="1"/>
    </xf>
    <xf borderId="25" fillId="0" fontId="9" numFmtId="0" xfId="0" applyAlignment="1" applyBorder="1" applyFont="1">
      <alignment horizontal="left" shrinkToFit="0" wrapText="1"/>
    </xf>
    <xf borderId="61" fillId="0" fontId="9" numFmtId="0" xfId="0" applyAlignment="1" applyBorder="1" applyFont="1">
      <alignment horizontal="left" shrinkToFit="0" wrapText="1"/>
    </xf>
    <xf borderId="26" fillId="19" fontId="9" numFmtId="0" xfId="0" applyAlignment="1" applyBorder="1" applyFont="1">
      <alignment horizontal="left" shrinkToFit="0" wrapText="1"/>
    </xf>
    <xf borderId="97" fillId="19" fontId="61" numFmtId="0" xfId="0" applyAlignment="1" applyBorder="1" applyFont="1">
      <alignment shrinkToFit="0" wrapText="1"/>
    </xf>
    <xf borderId="122" fillId="0" fontId="9" numFmtId="0" xfId="0" applyAlignment="1" applyBorder="1" applyFont="1">
      <alignment horizontal="left" shrinkToFit="0" wrapText="1"/>
    </xf>
    <xf borderId="115" fillId="0" fontId="9" numFmtId="0" xfId="0" applyAlignment="1" applyBorder="1" applyFont="1">
      <alignment horizontal="left" shrinkToFit="0" wrapText="1"/>
    </xf>
    <xf borderId="11" fillId="0" fontId="9" numFmtId="0" xfId="0" applyAlignment="1" applyBorder="1" applyFont="1">
      <alignment horizontal="left" shrinkToFit="0" wrapText="1"/>
    </xf>
    <xf borderId="139" fillId="10" fontId="1" numFmtId="0" xfId="0" applyBorder="1" applyFont="1"/>
    <xf borderId="61" fillId="10" fontId="1" numFmtId="0" xfId="0" applyBorder="1" applyFont="1"/>
    <xf borderId="76" fillId="23" fontId="1" numFmtId="0" xfId="0" applyBorder="1" applyFont="1"/>
    <xf borderId="121" fillId="23" fontId="1" numFmtId="0" xfId="0" applyBorder="1" applyFont="1"/>
    <xf borderId="121" fillId="17" fontId="1" numFmtId="0" xfId="0" applyBorder="1" applyFont="1"/>
    <xf borderId="121" fillId="25" fontId="1" numFmtId="0" xfId="0" applyBorder="1" applyFont="1"/>
    <xf borderId="121" fillId="34" fontId="1" numFmtId="0" xfId="0" applyBorder="1" applyFont="1"/>
    <xf borderId="121" fillId="22" fontId="1" numFmtId="0" xfId="0" applyBorder="1" applyFont="1"/>
    <xf borderId="121" fillId="35" fontId="1" numFmtId="0" xfId="0" applyBorder="1" applyFill="1" applyFont="1"/>
    <xf borderId="66" fillId="35" fontId="1" numFmtId="0" xfId="0" applyBorder="1" applyFont="1"/>
    <xf borderId="61" fillId="22" fontId="1" numFmtId="0" xfId="0" applyBorder="1" applyFont="1"/>
    <xf borderId="66" fillId="25" fontId="1" numFmtId="0" xfId="0" applyBorder="1" applyFont="1"/>
    <xf borderId="49" fillId="0" fontId="9" numFmtId="0" xfId="0" applyAlignment="1" applyBorder="1" applyFont="1">
      <alignment horizontal="left" shrinkToFit="0" wrapText="1"/>
    </xf>
    <xf borderId="99" fillId="0" fontId="9" numFmtId="0" xfId="0" applyAlignment="1" applyBorder="1" applyFont="1">
      <alignment horizontal="left" shrinkToFit="0" wrapText="1"/>
    </xf>
    <xf borderId="49" fillId="19" fontId="9" numFmtId="0" xfId="0" applyAlignment="1" applyBorder="1" applyFont="1">
      <alignment horizontal="left" shrinkToFit="0" wrapText="1"/>
    </xf>
    <xf borderId="96" fillId="19" fontId="9" numFmtId="0" xfId="0" applyAlignment="1" applyBorder="1" applyFont="1">
      <alignment horizontal="left" shrinkToFit="0" wrapText="1"/>
    </xf>
    <xf borderId="5" fillId="0" fontId="9" numFmtId="0" xfId="0" applyAlignment="1" applyBorder="1" applyFont="1">
      <alignment horizontal="left" shrinkToFit="0" wrapText="1"/>
    </xf>
    <xf borderId="78" fillId="35" fontId="1" numFmtId="0" xfId="0" applyBorder="1" applyFont="1"/>
    <xf borderId="98" fillId="0" fontId="9" numFmtId="0" xfId="0" applyAlignment="1" applyBorder="1" applyFont="1">
      <alignment horizontal="left" shrinkToFit="0" wrapText="1"/>
    </xf>
    <xf borderId="97" fillId="19" fontId="9" numFmtId="0" xfId="0" applyAlignment="1" applyBorder="1" applyFont="1">
      <alignment horizontal="left" shrinkToFit="0" wrapText="1"/>
    </xf>
    <xf borderId="61" fillId="19" fontId="61" numFmtId="0" xfId="0" applyAlignment="1" applyBorder="1" applyFont="1">
      <alignment shrinkToFit="0" wrapText="1"/>
    </xf>
    <xf borderId="48" fillId="0" fontId="9" numFmtId="0" xfId="0" applyAlignment="1" applyBorder="1" applyFont="1">
      <alignment horizontal="left" shrinkToFit="0" wrapText="1"/>
    </xf>
    <xf borderId="122" fillId="19" fontId="61" numFmtId="0" xfId="0" applyAlignment="1" applyBorder="1" applyFont="1">
      <alignment shrinkToFit="0" wrapText="1"/>
    </xf>
    <xf borderId="116" fillId="19" fontId="61" numFmtId="0" xfId="0" applyAlignment="1" applyBorder="1" applyFont="1">
      <alignment shrinkToFit="0" wrapText="1"/>
    </xf>
    <xf borderId="61" fillId="34" fontId="1" numFmtId="0" xfId="0" applyBorder="1" applyFont="1"/>
    <xf borderId="61" fillId="19" fontId="9" numFmtId="0" xfId="0" applyAlignment="1" applyBorder="1" applyFont="1">
      <alignment horizontal="left" shrinkToFit="0" wrapText="1"/>
    </xf>
    <xf borderId="121" fillId="19" fontId="61" numFmtId="0" xfId="0" applyAlignment="1" applyBorder="1" applyFont="1">
      <alignment shrinkToFit="0" wrapText="1"/>
    </xf>
    <xf borderId="122" fillId="17" fontId="1" numFmtId="0" xfId="0" applyBorder="1" applyFont="1"/>
    <xf borderId="116" fillId="17" fontId="1" numFmtId="0" xfId="0" applyBorder="1" applyFont="1"/>
    <xf borderId="78" fillId="25" fontId="1" numFmtId="0" xfId="0" applyBorder="1" applyFont="1"/>
    <xf borderId="61" fillId="20" fontId="1" numFmtId="0" xfId="0" applyBorder="1" applyFont="1"/>
    <xf borderId="66" fillId="0" fontId="9" numFmtId="0" xfId="0" applyAlignment="1" applyBorder="1" applyFont="1">
      <alignment horizontal="left" shrinkToFit="0" wrapText="1"/>
    </xf>
    <xf borderId="49" fillId="0" fontId="1" numFmtId="0" xfId="0" applyAlignment="1" applyBorder="1" applyFont="1">
      <alignment horizontal="left" shrinkToFit="0" wrapText="1"/>
    </xf>
    <xf borderId="78" fillId="11" fontId="1" numFmtId="0" xfId="0" applyBorder="1" applyFont="1"/>
    <xf borderId="61" fillId="17" fontId="1" numFmtId="0" xfId="0" applyBorder="1" applyFont="1"/>
    <xf borderId="61" fillId="23" fontId="1" numFmtId="0" xfId="0" applyBorder="1" applyFont="1"/>
    <xf borderId="61" fillId="11" fontId="1" numFmtId="0" xfId="0" applyBorder="1" applyFont="1"/>
    <xf borderId="132" fillId="0" fontId="9" numFmtId="0" xfId="0" applyAlignment="1" applyBorder="1" applyFont="1">
      <alignment horizontal="left" shrinkToFit="0" wrapText="1"/>
    </xf>
    <xf borderId="59" fillId="0" fontId="9" numFmtId="0" xfId="0" applyAlignment="1" applyBorder="1" applyFont="1">
      <alignment horizontal="left" shrinkToFit="0" wrapText="1"/>
    </xf>
    <xf borderId="476" fillId="11" fontId="1" numFmtId="0" xfId="0" applyBorder="1" applyFont="1"/>
    <xf borderId="116" fillId="23" fontId="1" numFmtId="0" xfId="0" applyBorder="1" applyFont="1"/>
    <xf borderId="136" fillId="20" fontId="1" numFmtId="0" xfId="0" applyBorder="1" applyFont="1"/>
    <xf borderId="95" fillId="35" fontId="1" numFmtId="0" xfId="0" applyBorder="1" applyFont="1"/>
    <xf borderId="61" fillId="35" fontId="1" numFmtId="0" xfId="0" applyBorder="1" applyFont="1"/>
    <xf borderId="78" fillId="17" fontId="1" numFmtId="0" xfId="0" applyBorder="1" applyFont="1"/>
    <xf borderId="99" fillId="0" fontId="1" numFmtId="0" xfId="0" applyAlignment="1" applyBorder="1" applyFont="1">
      <alignment horizontal="left" shrinkToFit="0" wrapText="1"/>
    </xf>
    <xf borderId="85" fillId="0" fontId="9" numFmtId="0" xfId="0" applyAlignment="1" applyBorder="1" applyFont="1">
      <alignment horizontal="left" shrinkToFit="0" wrapText="1"/>
    </xf>
    <xf borderId="122" fillId="11" fontId="1" numFmtId="0" xfId="0" applyBorder="1" applyFont="1"/>
    <xf borderId="122" fillId="34" fontId="1" numFmtId="0" xfId="0" applyBorder="1" applyFont="1"/>
    <xf borderId="476" fillId="10" fontId="1" numFmtId="0" xfId="0" applyBorder="1" applyFont="1"/>
    <xf borderId="66" fillId="22" fontId="1" numFmtId="0" xfId="0" applyBorder="1" applyFont="1"/>
    <xf borderId="11" fillId="0" fontId="1" numFmtId="0" xfId="0" applyAlignment="1" applyBorder="1" applyFont="1">
      <alignment horizontal="left" shrinkToFit="0" wrapText="1"/>
    </xf>
    <xf borderId="61" fillId="25" fontId="1" numFmtId="0" xfId="0" applyBorder="1" applyFont="1"/>
    <xf borderId="122" fillId="10" fontId="1" numFmtId="0" xfId="0" applyBorder="1" applyFont="1"/>
    <xf borderId="187" fillId="0" fontId="9" numFmtId="0" xfId="0" applyAlignment="1" applyBorder="1" applyFont="1">
      <alignment horizontal="left" shrinkToFit="0" wrapText="1"/>
    </xf>
    <xf borderId="445" fillId="0" fontId="9" numFmtId="0" xfId="0" applyAlignment="1" applyBorder="1" applyFont="1">
      <alignment horizontal="left" shrinkToFit="0" wrapText="1"/>
    </xf>
    <xf borderId="187" fillId="19" fontId="9" numFmtId="0" xfId="0" applyAlignment="1" applyBorder="1" applyFont="1">
      <alignment horizontal="left" shrinkToFit="0" wrapText="1"/>
    </xf>
    <xf borderId="451" fillId="19" fontId="1" numFmtId="0" xfId="0" applyBorder="1" applyFont="1"/>
    <xf borderId="25" fillId="0" fontId="60" numFmtId="0" xfId="0" applyAlignment="1" applyBorder="1" applyFont="1">
      <alignment horizontal="center" textRotation="90" vertical="center"/>
    </xf>
    <xf borderId="449" fillId="2" fontId="1" numFmtId="0" xfId="0" applyAlignment="1" applyBorder="1" applyFont="1">
      <alignment horizontal="center"/>
    </xf>
    <xf borderId="61" fillId="2" fontId="1" numFmtId="0" xfId="0" applyAlignment="1" applyBorder="1" applyFont="1">
      <alignment horizontal="center"/>
    </xf>
    <xf borderId="61" fillId="3" fontId="1" numFmtId="0" xfId="0" applyAlignment="1" applyBorder="1" applyFont="1">
      <alignment horizontal="center"/>
    </xf>
    <xf borderId="61" fillId="6" fontId="1" numFmtId="0" xfId="0" applyAlignment="1" applyBorder="1" applyFont="1">
      <alignment horizontal="center"/>
    </xf>
    <xf borderId="61" fillId="14" fontId="1" numFmtId="0" xfId="0" applyAlignment="1" applyBorder="1" applyFont="1">
      <alignment horizontal="center"/>
    </xf>
    <xf borderId="61" fillId="5" fontId="1" numFmtId="0" xfId="0" applyAlignment="1" applyBorder="1" applyFont="1">
      <alignment horizontal="center"/>
    </xf>
    <xf borderId="61" fillId="8" fontId="1" numFmtId="0" xfId="0" applyAlignment="1" applyBorder="1" applyFont="1">
      <alignment horizontal="center"/>
    </xf>
    <xf borderId="61" fillId="7" fontId="1" numFmtId="0" xfId="0" applyAlignment="1" applyBorder="1" applyFont="1">
      <alignment horizontal="center"/>
    </xf>
    <xf borderId="61" fillId="16" fontId="1" numFmtId="0" xfId="0" applyAlignment="1" applyBorder="1" applyFont="1">
      <alignment horizontal="center"/>
    </xf>
    <xf borderId="61" fillId="18" fontId="14" numFmtId="0" xfId="0" applyAlignment="1" applyBorder="1" applyFont="1">
      <alignment horizontal="center"/>
    </xf>
    <xf borderId="99" fillId="0" fontId="9" numFmtId="0" xfId="0" applyAlignment="1" applyBorder="1" applyFont="1">
      <alignment shrinkToFit="0" wrapText="1"/>
    </xf>
    <xf borderId="97" fillId="3" fontId="14" numFmtId="0" xfId="0" applyAlignment="1" applyBorder="1" applyFont="1">
      <alignment shrinkToFit="0" wrapText="1"/>
    </xf>
    <xf borderId="49" fillId="23" fontId="1" numFmtId="0" xfId="0" applyBorder="1" applyFont="1"/>
    <xf borderId="49" fillId="19" fontId="1" numFmtId="0" xfId="0" applyBorder="1" applyFont="1"/>
    <xf borderId="49" fillId="25" fontId="1" numFmtId="0" xfId="0" applyBorder="1" applyFont="1"/>
    <xf borderId="49" fillId="34" fontId="1" numFmtId="0" xfId="0" applyBorder="1" applyFont="1"/>
    <xf borderId="49" fillId="22" fontId="1" numFmtId="0" xfId="0" applyBorder="1" applyFont="1"/>
    <xf borderId="49" fillId="35" fontId="1" numFmtId="0" xfId="0" applyBorder="1" applyFont="1"/>
    <xf borderId="49" fillId="22" fontId="13" numFmtId="0" xfId="0" applyBorder="1" applyFont="1"/>
    <xf borderId="49" fillId="0" fontId="9" numFmtId="0" xfId="0" applyAlignment="1" applyBorder="1" applyFont="1">
      <alignment shrinkToFit="0" wrapText="1"/>
    </xf>
    <xf borderId="49" fillId="0" fontId="62" numFmtId="0" xfId="0" applyAlignment="1" applyBorder="1" applyFont="1">
      <alignment shrinkToFit="0" wrapText="1"/>
    </xf>
    <xf borderId="98" fillId="0" fontId="9" numFmtId="0" xfId="0" applyAlignment="1" applyBorder="1" applyFont="1">
      <alignment shrinkToFit="0" wrapText="1"/>
    </xf>
    <xf borderId="477" fillId="9" fontId="14" numFmtId="0" xfId="0" applyBorder="1" applyFont="1"/>
    <xf borderId="96" fillId="23" fontId="1" numFmtId="0" xfId="0" applyBorder="1" applyFont="1"/>
    <xf borderId="136" fillId="9" fontId="14" numFmtId="0" xfId="0" applyBorder="1" applyFont="1"/>
    <xf borderId="97" fillId="25" fontId="1" numFmtId="0" xfId="0" applyBorder="1" applyFont="1"/>
    <xf borderId="96" fillId="25" fontId="1" numFmtId="0" xfId="0" applyBorder="1" applyFont="1"/>
    <xf borderId="96" fillId="22" fontId="1" numFmtId="0" xfId="0" applyBorder="1" applyFont="1"/>
    <xf borderId="97" fillId="23" fontId="1" numFmtId="0" xfId="0" applyBorder="1" applyFont="1"/>
    <xf borderId="96" fillId="34" fontId="1" numFmtId="0" xfId="0" applyBorder="1" applyFont="1"/>
    <xf borderId="90" fillId="9" fontId="14" numFmtId="0" xfId="0" applyAlignment="1" applyBorder="1" applyFont="1">
      <alignment shrinkToFit="0" wrapText="1"/>
    </xf>
    <xf borderId="61" fillId="9" fontId="14" numFmtId="0" xfId="0" applyAlignment="1" applyBorder="1" applyFont="1">
      <alignment shrinkToFit="0" wrapText="1"/>
    </xf>
    <xf borderId="61" fillId="9" fontId="63" numFmtId="0" xfId="0" applyAlignment="1" applyBorder="1" applyFont="1">
      <alignment shrinkToFit="0" wrapText="1"/>
    </xf>
    <xf borderId="66" fillId="9" fontId="14" numFmtId="0" xfId="0" applyAlignment="1" applyBorder="1" applyFont="1">
      <alignment shrinkToFit="0" wrapText="1"/>
    </xf>
    <xf borderId="97" fillId="22" fontId="1" numFmtId="0" xfId="0" applyBorder="1" applyFont="1"/>
    <xf borderId="97" fillId="34" fontId="1" numFmtId="0" xfId="0" applyBorder="1" applyFont="1"/>
    <xf borderId="97" fillId="35" fontId="1" numFmtId="0" xfId="0" applyBorder="1" applyFont="1"/>
    <xf borderId="122" fillId="9" fontId="14" numFmtId="0" xfId="0" applyBorder="1" applyFont="1"/>
    <xf borderId="96" fillId="35" fontId="1" numFmtId="0" xfId="0" applyBorder="1" applyFont="1"/>
    <xf borderId="476" fillId="9" fontId="14" numFmtId="0" xfId="0" applyBorder="1" applyFont="1"/>
    <xf borderId="96" fillId="19" fontId="1" numFmtId="0" xfId="0" applyBorder="1" applyFont="1"/>
    <xf borderId="49" fillId="9" fontId="14" numFmtId="0" xfId="0" applyBorder="1" applyFont="1"/>
    <xf borderId="97" fillId="19" fontId="1" numFmtId="0" xfId="0" applyBorder="1" applyFont="1"/>
    <xf borderId="66" fillId="9" fontId="63" numFmtId="0" xfId="0" applyAlignment="1" applyBorder="1" applyFont="1">
      <alignment shrinkToFit="0" wrapText="1"/>
    </xf>
    <xf borderId="49" fillId="0" fontId="14" numFmtId="0" xfId="0" applyAlignment="1" applyBorder="1" applyFont="1">
      <alignment shrinkToFit="0" wrapText="1"/>
    </xf>
    <xf borderId="187" fillId="10" fontId="1" numFmtId="0" xfId="0" applyBorder="1" applyFont="1"/>
    <xf borderId="187" fillId="23" fontId="1" numFmtId="0" xfId="0" applyBorder="1" applyFont="1"/>
    <xf borderId="187" fillId="17" fontId="1" numFmtId="0" xfId="0" applyBorder="1" applyFont="1"/>
    <xf borderId="187" fillId="19" fontId="1" numFmtId="0" xfId="0" applyBorder="1" applyFont="1"/>
    <xf borderId="187" fillId="25" fontId="1" numFmtId="0" xfId="0" applyBorder="1" applyFont="1"/>
    <xf borderId="187" fillId="11" fontId="1" numFmtId="0" xfId="0" applyBorder="1" applyFont="1"/>
    <xf borderId="187" fillId="20" fontId="1" numFmtId="0" xfId="0" applyBorder="1" applyFont="1"/>
    <xf borderId="187" fillId="34" fontId="1" numFmtId="0" xfId="0" applyBorder="1" applyFont="1"/>
    <xf borderId="187" fillId="22" fontId="1" numFmtId="0" xfId="0" applyBorder="1" applyFont="1"/>
    <xf borderId="187" fillId="35" fontId="1" numFmtId="0" xfId="0" applyBorder="1" applyFont="1"/>
    <xf borderId="187" fillId="0" fontId="1" numFmtId="0" xfId="0" applyBorder="1" applyFont="1"/>
    <xf borderId="4" fillId="2" fontId="1" numFmtId="0" xfId="0" applyAlignment="1" applyBorder="1" applyFont="1">
      <alignment horizontal="center"/>
    </xf>
    <xf borderId="78" fillId="18" fontId="63" numFmtId="0" xfId="0" applyAlignment="1" applyBorder="1" applyFont="1">
      <alignment horizontal="center"/>
    </xf>
    <xf borderId="4" fillId="18" fontId="63" numFmtId="0" xfId="0" applyAlignment="1" applyBorder="1" applyFont="1">
      <alignment horizontal="center"/>
    </xf>
    <xf borderId="49" fillId="10" fontId="64" numFmtId="0" xfId="0" applyBorder="1" applyFont="1"/>
    <xf borderId="49" fillId="10" fontId="9" numFmtId="0" xfId="0" applyBorder="1" applyFont="1"/>
    <xf borderId="49" fillId="23" fontId="9" numFmtId="0" xfId="0" applyBorder="1" applyFont="1"/>
    <xf borderId="49" fillId="17" fontId="9" numFmtId="0" xfId="0" applyBorder="1" applyFont="1"/>
    <xf borderId="49" fillId="0" fontId="9" numFmtId="0" xfId="0" applyBorder="1" applyFont="1"/>
    <xf borderId="49" fillId="20" fontId="9" numFmtId="0" xfId="0" applyBorder="1" applyFont="1"/>
    <xf borderId="49" fillId="34" fontId="9" numFmtId="0" xfId="0" applyBorder="1" applyFont="1"/>
    <xf borderId="49" fillId="22" fontId="9" numFmtId="0" xfId="0" applyBorder="1" applyFont="1"/>
    <xf borderId="49" fillId="35" fontId="9" numFmtId="0" xfId="0" applyBorder="1" applyFont="1"/>
    <xf borderId="96" fillId="17" fontId="9" numFmtId="0" xfId="0" applyBorder="1" applyFont="1"/>
    <xf borderId="97" fillId="17" fontId="9" numFmtId="0" xfId="0" applyBorder="1" applyFont="1"/>
    <xf borderId="98" fillId="0" fontId="9" numFmtId="0" xfId="0" applyBorder="1" applyFont="1"/>
    <xf borderId="96" fillId="10" fontId="9" numFmtId="0" xfId="0" applyBorder="1" applyFont="1"/>
    <xf borderId="96" fillId="23" fontId="9" numFmtId="0" xfId="0" applyBorder="1" applyFont="1"/>
    <xf borderId="99" fillId="0" fontId="9" numFmtId="0" xfId="0" applyBorder="1" applyFont="1"/>
    <xf borderId="97" fillId="10" fontId="9" numFmtId="0" xfId="0" applyBorder="1" applyFont="1"/>
    <xf borderId="97" fillId="23" fontId="9" numFmtId="0" xfId="0" applyBorder="1" applyFont="1"/>
    <xf borderId="96" fillId="20" fontId="9" numFmtId="0" xfId="0" applyBorder="1" applyFont="1"/>
    <xf borderId="97" fillId="20" fontId="9" numFmtId="0" xfId="0" applyBorder="1" applyFont="1"/>
    <xf borderId="96" fillId="35" fontId="9" numFmtId="0" xfId="0" applyBorder="1" applyFont="1"/>
    <xf borderId="61" fillId="18" fontId="63" numFmtId="0" xfId="0" applyAlignment="1" applyBorder="1" applyFont="1">
      <alignment horizontal="center"/>
    </xf>
    <xf borderId="97" fillId="35" fontId="9" numFmtId="0" xfId="0" applyBorder="1" applyFont="1"/>
    <xf borderId="445" fillId="0" fontId="1" numFmtId="0" xfId="0" applyBorder="1" applyFont="1"/>
    <xf borderId="59" fillId="0" fontId="1" numFmtId="0" xfId="0" applyAlignment="1" applyBorder="1" applyFont="1">
      <alignment shrinkToFit="0" vertical="center" wrapText="1"/>
    </xf>
    <xf borderId="58" fillId="29" fontId="38" numFmtId="0" xfId="0" applyAlignment="1" applyBorder="1" applyFont="1">
      <alignment horizontal="left" vertical="center"/>
    </xf>
    <xf borderId="58" fillId="29" fontId="38" numFmtId="0" xfId="0" applyAlignment="1" applyBorder="1" applyFont="1">
      <alignment horizontal="left" shrinkToFit="0" vertical="center" wrapText="1"/>
    </xf>
    <xf borderId="61" fillId="24" fontId="1" numFmtId="0" xfId="0" applyAlignment="1" applyBorder="1" applyFont="1">
      <alignment horizontal="center" shrinkToFit="0" vertical="center" wrapText="1"/>
    </xf>
    <xf borderId="61" fillId="29" fontId="1" numFmtId="0" xfId="0" applyAlignment="1" applyBorder="1" applyFont="1">
      <alignment horizontal="left" shrinkToFit="0" vertical="center" wrapText="1"/>
    </xf>
    <xf borderId="61" fillId="29" fontId="1" numFmtId="0" xfId="0" applyAlignment="1" applyBorder="1" applyFont="1">
      <alignment shrinkToFit="0" vertical="center" wrapText="1"/>
    </xf>
    <xf borderId="118" fillId="12" fontId="1" numFmtId="0" xfId="0" applyBorder="1" applyFont="1"/>
    <xf borderId="100" fillId="12" fontId="1" numFmtId="0" xfId="0" applyBorder="1" applyFont="1"/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shrinkToFit="0" vertical="center" wrapText="1"/>
    </xf>
    <xf borderId="61" fillId="12" fontId="1" numFmtId="0" xfId="0" applyAlignment="1" applyBorder="1" applyFont="1">
      <alignment horizontal="center" shrinkToFit="0" vertical="center" wrapText="1"/>
    </xf>
    <xf borderId="61" fillId="10" fontId="1" numFmtId="0" xfId="0" applyAlignment="1" applyBorder="1" applyFont="1">
      <alignment horizontal="center" shrinkToFit="0" vertical="center" wrapText="1"/>
    </xf>
    <xf borderId="451" fillId="12" fontId="1" numFmtId="0" xfId="0" applyAlignment="1" applyBorder="1" applyFont="1">
      <alignment vertical="center"/>
    </xf>
    <xf borderId="451" fillId="12" fontId="1" numFmtId="0" xfId="0" applyAlignment="1" applyBorder="1" applyFont="1">
      <alignment shrinkToFit="0" vertical="center" wrapText="1"/>
    </xf>
    <xf borderId="10" fillId="29" fontId="1" numFmtId="0" xfId="0" applyAlignment="1" applyBorder="1" applyFont="1">
      <alignment horizontal="left" vertical="center"/>
    </xf>
    <xf borderId="10" fillId="29" fontId="1" numFmtId="0" xfId="0" applyAlignment="1" applyBorder="1" applyFont="1">
      <alignment horizontal="left" shrinkToFit="0" vertical="center" wrapText="1"/>
    </xf>
    <xf borderId="58" fillId="0" fontId="1" numFmtId="0" xfId="0" applyAlignment="1" applyBorder="1" applyFont="1">
      <alignment shrinkToFit="0" vertical="center" wrapText="1"/>
    </xf>
    <xf borderId="58" fillId="29" fontId="1" numFmtId="0" xfId="0" applyAlignment="1" applyBorder="1" applyFont="1">
      <alignment horizontal="left" shrinkToFit="0" vertical="center" wrapText="1"/>
    </xf>
    <xf borderId="118" fillId="12" fontId="1" numFmtId="0" xfId="0" applyAlignment="1" applyBorder="1" applyFont="1">
      <alignment horizontal="left" vertical="center"/>
    </xf>
    <xf borderId="100" fillId="12" fontId="1" numFmtId="0" xfId="0" applyAlignment="1" applyBorder="1" applyFont="1">
      <alignment horizontal="left" vertical="center"/>
    </xf>
    <xf borderId="433" fillId="12" fontId="1" numFmtId="0" xfId="0" applyBorder="1" applyFont="1"/>
    <xf borderId="166" fillId="12" fontId="1" numFmtId="0" xfId="0" applyBorder="1" applyFont="1"/>
    <xf borderId="29" fillId="0" fontId="1" numFmtId="0" xfId="0" applyAlignment="1" applyBorder="1" applyFont="1">
      <alignment horizontal="left" vertical="center"/>
    </xf>
    <xf borderId="478" fillId="12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29" fontId="1" numFmtId="0" xfId="0" applyBorder="1" applyFont="1"/>
    <xf borderId="99" fillId="0" fontId="1" numFmtId="0" xfId="0" applyAlignment="1" applyBorder="1" applyFont="1">
      <alignment horizontal="left" shrinkToFit="0" vertical="center" wrapText="1"/>
    </xf>
    <xf borderId="49" fillId="12" fontId="1" numFmtId="0" xfId="0" applyAlignment="1" applyBorder="1" applyFont="1">
      <alignment horizontal="left" shrinkToFit="0" vertical="center" wrapText="1"/>
    </xf>
    <xf borderId="49" fillId="10" fontId="1" numFmtId="0" xfId="0" applyAlignment="1" applyBorder="1" applyFont="1">
      <alignment horizontal="left" shrinkToFit="0" vertical="center" wrapText="1"/>
    </xf>
    <xf borderId="49" fillId="0" fontId="1" numFmtId="0" xfId="0" applyAlignment="1" applyBorder="1" applyFont="1">
      <alignment horizontal="left" shrinkToFit="0" vertical="center" wrapText="1"/>
    </xf>
    <xf borderId="433" fillId="12" fontId="1" numFmtId="0" xfId="0" applyAlignment="1" applyBorder="1" applyFont="1">
      <alignment horizontal="left" vertical="center"/>
    </xf>
    <xf borderId="166" fillId="12" fontId="1" numFmtId="0" xfId="0" applyAlignment="1" applyBorder="1" applyFont="1">
      <alignment horizontal="left" vertical="center"/>
    </xf>
    <xf borderId="121" fillId="12" fontId="1" numFmtId="0" xfId="0" applyAlignment="1" applyBorder="1" applyFont="1">
      <alignment shrinkToFit="0" vertical="center" wrapText="1"/>
    </xf>
    <xf borderId="187" fillId="0" fontId="1" numFmtId="0" xfId="0" applyAlignment="1" applyBorder="1" applyFont="1">
      <alignment horizontal="left" shrinkToFit="0" vertical="center" wrapText="1"/>
    </xf>
    <xf borderId="58" fillId="12" fontId="1" numFmtId="0" xfId="0" applyAlignment="1" applyBorder="1" applyFont="1">
      <alignment shrinkToFit="0" vertical="center" wrapText="1"/>
    </xf>
    <xf borderId="58" fillId="0" fontId="7" numFmtId="0" xfId="0" applyAlignment="1" applyBorder="1" applyFont="1">
      <alignment horizontal="left" shrinkToFit="0" vertical="center" wrapText="1"/>
    </xf>
    <xf borderId="59" fillId="0" fontId="1" numFmtId="0" xfId="0" applyAlignment="1" applyBorder="1" applyFont="1">
      <alignment horizontal="left" shrinkToFit="0" vertical="center" wrapText="1"/>
    </xf>
    <xf borderId="58" fillId="24" fontId="38" numFmtId="0" xfId="0" applyAlignment="1" applyBorder="1" applyFont="1">
      <alignment horizontal="left" shrinkToFit="0" vertical="center" wrapText="1"/>
    </xf>
    <xf borderId="10" fillId="24" fontId="1" numFmtId="0" xfId="0" applyAlignment="1" applyBorder="1" applyFont="1">
      <alignment horizontal="left" shrinkToFit="0" vertical="center" wrapText="1"/>
    </xf>
    <xf borderId="10" fillId="10" fontId="1" numFmtId="0" xfId="0" applyAlignment="1" applyBorder="1" applyFont="1">
      <alignment horizontal="left" shrinkToFit="0" vertical="center" wrapText="1"/>
    </xf>
    <xf borderId="61" fillId="10" fontId="1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31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26" fillId="0" fontId="1" numFmtId="9" xfId="0" applyAlignment="1" applyBorder="1" applyFont="1" applyNumberFormat="1">
      <alignment horizontal="center" shrinkToFit="0" vertical="center" wrapText="1"/>
    </xf>
    <xf borderId="479" fillId="18" fontId="14" numFmtId="0" xfId="0" applyAlignment="1" applyBorder="1" applyFont="1">
      <alignment horizontal="left" shrinkToFit="0" vertical="center" wrapText="1"/>
    </xf>
    <xf borderId="480" fillId="18" fontId="14" numFmtId="0" xfId="0" applyAlignment="1" applyBorder="1" applyFont="1">
      <alignment horizontal="left" shrinkToFit="0" vertical="center" wrapText="1"/>
    </xf>
    <xf borderId="481" fillId="18" fontId="14" numFmtId="0" xfId="0" applyAlignment="1" applyBorder="1" applyFont="1">
      <alignment horizontal="center" shrinkToFit="0" vertical="center" wrapText="1"/>
    </xf>
    <xf borderId="118" fillId="10" fontId="1" numFmtId="0" xfId="0" applyAlignment="1" applyBorder="1" applyFont="1">
      <alignment horizontal="center" shrinkToFit="0" vertical="center" wrapText="1"/>
    </xf>
    <xf borderId="120" fillId="0" fontId="5" numFmtId="0" xfId="0" applyBorder="1" applyFont="1"/>
    <xf borderId="49" fillId="10" fontId="1" numFmtId="9" xfId="0" applyAlignment="1" applyBorder="1" applyFont="1" applyNumberFormat="1">
      <alignment horizontal="center" shrinkToFit="0" vertical="center" wrapText="1"/>
    </xf>
    <xf borderId="430" fillId="10" fontId="1" numFmtId="0" xfId="0" applyAlignment="1" applyBorder="1" applyFont="1">
      <alignment horizontal="left" shrinkToFit="0" vertical="center" wrapText="1"/>
    </xf>
    <xf borderId="113" fillId="0" fontId="1" numFmtId="0" xfId="0" applyAlignment="1" applyBorder="1" applyFont="1">
      <alignment horizontal="center" shrinkToFit="0" vertical="center" wrapText="1"/>
    </xf>
    <xf borderId="67" fillId="0" fontId="1" numFmtId="0" xfId="0" applyAlignment="1" applyBorder="1" applyFont="1">
      <alignment horizontal="left" shrinkToFit="0" vertical="center" wrapText="1"/>
    </xf>
    <xf borderId="61" fillId="10" fontId="1" numFmtId="0" xfId="0" applyAlignment="1" applyBorder="1" applyFont="1">
      <alignment horizontal="center"/>
    </xf>
    <xf borderId="49" fillId="0" fontId="1" numFmtId="9" xfId="0" applyAlignment="1" applyBorder="1" applyFont="1" applyNumberFormat="1">
      <alignment horizontal="center" shrinkToFit="0" vertical="center" wrapText="1"/>
    </xf>
    <xf borderId="482" fillId="18" fontId="14" numFmtId="0" xfId="0" applyAlignment="1" applyBorder="1" applyFont="1">
      <alignment horizontal="left" shrinkToFit="0" vertical="center" wrapText="1"/>
    </xf>
    <xf borderId="483" fillId="18" fontId="14" numFmtId="0" xfId="0" applyAlignment="1" applyBorder="1" applyFont="1">
      <alignment horizontal="left" shrinkToFit="0" vertical="center" wrapText="1"/>
    </xf>
    <xf borderId="484" fillId="18" fontId="14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485" fillId="18" fontId="14" numFmtId="0" xfId="0" applyAlignment="1" applyBorder="1" applyFont="1">
      <alignment horizontal="left" shrinkToFit="0" vertical="center" wrapText="1"/>
    </xf>
    <xf borderId="486" fillId="18" fontId="14" numFmtId="0" xfId="0" applyAlignment="1" applyBorder="1" applyFont="1">
      <alignment horizontal="left" shrinkToFit="0" vertical="center" wrapText="1"/>
    </xf>
    <xf borderId="487" fillId="18" fontId="14" numFmtId="0" xfId="0" applyAlignment="1" applyBorder="1" applyFont="1">
      <alignment horizontal="center" shrinkToFit="0" vertical="center" wrapText="1"/>
    </xf>
    <xf borderId="171" fillId="0" fontId="1" numFmtId="0" xfId="0" applyAlignment="1" applyBorder="1" applyFont="1">
      <alignment horizontal="center" shrinkToFit="0" vertical="center" wrapText="1"/>
    </xf>
    <xf borderId="156" fillId="0" fontId="1" numFmtId="0" xfId="0" applyAlignment="1" applyBorder="1" applyFont="1">
      <alignment horizontal="left" shrinkToFit="0" vertical="center" wrapText="1"/>
    </xf>
    <xf borderId="58" fillId="24" fontId="1" numFmtId="0" xfId="0" applyAlignment="1" applyBorder="1" applyFont="1">
      <alignment horizontal="left" shrinkToFit="0" vertical="center" wrapText="1"/>
    </xf>
    <xf borderId="488" fillId="18" fontId="14" numFmtId="0" xfId="0" applyAlignment="1" applyBorder="1" applyFont="1">
      <alignment horizontal="left" shrinkToFit="0" vertical="center" wrapText="1"/>
    </xf>
    <xf borderId="489" fillId="18" fontId="14" numFmtId="0" xfId="0" applyAlignment="1" applyBorder="1" applyFont="1">
      <alignment horizontal="left" shrinkToFit="0" vertical="center" wrapText="1"/>
    </xf>
    <xf borderId="490" fillId="18" fontId="14" numFmtId="0" xfId="0" applyAlignment="1" applyBorder="1" applyFont="1">
      <alignment horizontal="center" shrinkToFit="0" vertical="center" wrapText="1"/>
    </xf>
    <xf borderId="491" fillId="10" fontId="1" numFmtId="0" xfId="0" applyAlignment="1" applyBorder="1" applyFont="1">
      <alignment horizontal="center" shrinkToFit="0" vertical="center" wrapText="1"/>
    </xf>
    <xf borderId="492" fillId="10" fontId="1" numFmtId="0" xfId="0" applyAlignment="1" applyBorder="1" applyFont="1">
      <alignment horizontal="left" shrinkToFit="0" vertical="center" wrapText="1"/>
    </xf>
    <xf borderId="493" fillId="18" fontId="14" numFmtId="0" xfId="0" applyAlignment="1" applyBorder="1" applyFont="1">
      <alignment horizontal="left" shrinkToFit="0" vertical="center" wrapText="1"/>
    </xf>
    <xf borderId="494" fillId="18" fontId="14" numFmtId="0" xfId="0" applyAlignment="1" applyBorder="1" applyFont="1">
      <alignment horizontal="left" shrinkToFit="0" vertical="center" wrapText="1"/>
    </xf>
    <xf borderId="495" fillId="18" fontId="14" numFmtId="0" xfId="0" applyAlignment="1" applyBorder="1" applyFont="1">
      <alignment horizontal="center" shrinkToFit="0" vertical="center" wrapText="1"/>
    </xf>
    <xf borderId="496" fillId="0" fontId="5" numFmtId="0" xfId="0" applyBorder="1" applyFont="1"/>
    <xf borderId="497" fillId="0" fontId="5" numFmtId="0" xfId="0" applyBorder="1" applyFont="1"/>
    <xf borderId="51" fillId="10" fontId="1" numFmtId="0" xfId="0" applyAlignment="1" applyBorder="1" applyFont="1">
      <alignment horizontal="left" shrinkToFit="0" vertical="center" wrapText="1"/>
    </xf>
    <xf borderId="433" fillId="10" fontId="1" numFmtId="0" xfId="0" applyAlignment="1" applyBorder="1" applyFont="1">
      <alignment horizontal="center" shrinkToFit="0" vertical="center" wrapText="1"/>
    </xf>
    <xf borderId="438" fillId="10" fontId="1" numFmtId="0" xfId="0" applyAlignment="1" applyBorder="1" applyFont="1">
      <alignment horizontal="left" shrinkToFit="0" vertical="center" wrapText="1"/>
    </xf>
    <xf borderId="433" fillId="10" fontId="1" numFmtId="0" xfId="0" applyAlignment="1" applyBorder="1" applyFont="1">
      <alignment horizontal="left" shrinkToFit="0" vertical="center" wrapText="1"/>
    </xf>
    <xf borderId="49" fillId="0" fontId="1" numFmtId="0" xfId="0" applyAlignment="1" applyBorder="1" applyFont="1">
      <alignment horizontal="center"/>
    </xf>
    <xf borderId="407" fillId="29" fontId="1" numFmtId="0" xfId="0" applyAlignment="1" applyBorder="1" applyFont="1">
      <alignment horizontal="center" shrinkToFit="0" vertical="center" wrapText="1"/>
    </xf>
    <xf borderId="407" fillId="24" fontId="1" numFmtId="0" xfId="0" applyAlignment="1" applyBorder="1" applyFont="1">
      <alignment horizontal="center" shrinkToFit="0" vertical="center" wrapText="1"/>
    </xf>
    <xf borderId="498" fillId="0" fontId="5" numFmtId="0" xfId="0" applyBorder="1" applyFont="1"/>
    <xf borderId="67" fillId="0" fontId="1" numFmtId="0" xfId="0" applyAlignment="1" applyBorder="1" applyFont="1">
      <alignment shrinkToFit="0" vertical="center" wrapText="1"/>
    </xf>
    <xf borderId="49" fillId="10" fontId="1" numFmtId="0" xfId="0" applyAlignment="1" applyBorder="1" applyFont="1">
      <alignment horizontal="center"/>
    </xf>
    <xf borderId="482" fillId="18" fontId="14" numFmtId="0" xfId="0" applyBorder="1" applyFont="1"/>
    <xf borderId="49" fillId="1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49" fillId="0" fontId="1" numFmtId="9" xfId="0" applyAlignment="1" applyBorder="1" applyFont="1" applyNumberFormat="1">
      <alignment horizontal="center"/>
    </xf>
    <xf borderId="118" fillId="18" fontId="14" numFmtId="0" xfId="0" applyAlignment="1" applyBorder="1" applyFont="1">
      <alignment horizontal="left" shrinkToFit="0" vertical="center" wrapText="1"/>
    </xf>
    <xf borderId="118" fillId="12" fontId="1" numFmtId="0" xfId="0" applyAlignment="1" applyBorder="1" applyFont="1">
      <alignment horizontal="center" shrinkToFit="0" vertical="center" wrapText="1"/>
    </xf>
    <xf borderId="430" fillId="12" fontId="1" numFmtId="0" xfId="0" applyAlignment="1" applyBorder="1" applyFont="1">
      <alignment horizontal="left" shrinkToFit="0" vertical="center" wrapText="1"/>
    </xf>
    <xf borderId="51" fillId="10" fontId="1" numFmtId="0" xfId="0" applyAlignment="1" applyBorder="1" applyFont="1">
      <alignment horizontal="center" shrinkToFit="0" vertical="center" wrapText="1"/>
    </xf>
    <xf borderId="113" fillId="10" fontId="1" numFmtId="0" xfId="0" applyAlignment="1" applyBorder="1" applyFont="1">
      <alignment shrinkToFit="0" vertical="center" wrapText="1"/>
    </xf>
    <xf borderId="49" fillId="10" fontId="1" numFmtId="9" xfId="0" applyAlignment="1" applyBorder="1" applyFont="1" applyNumberFormat="1">
      <alignment horizontal="center"/>
    </xf>
    <xf borderId="483" fillId="18" fontId="14" numFmtId="0" xfId="0" applyBorder="1" applyFont="1"/>
    <xf borderId="22" fillId="0" fontId="1" numFmtId="0" xfId="0" applyAlignment="1" applyBorder="1" applyFont="1">
      <alignment horizontal="center" shrinkToFit="0" vertical="center" wrapText="1"/>
    </xf>
    <xf borderId="120" fillId="0" fontId="1" numFmtId="0" xfId="0" applyAlignment="1" applyBorder="1" applyFont="1">
      <alignment horizontal="left" shrinkToFit="0" vertical="center" wrapText="1"/>
    </xf>
    <xf borderId="49" fillId="18" fontId="14" numFmtId="0" xfId="0" applyAlignment="1" applyBorder="1" applyFont="1">
      <alignment horizontal="left" shrinkToFit="0" vertical="center" wrapText="1"/>
    </xf>
    <xf borderId="29" fillId="10" fontId="1" numFmtId="0" xfId="0" applyAlignment="1" applyBorder="1" applyFont="1">
      <alignment horizontal="left" shrinkToFit="0" vertical="center" wrapText="1"/>
    </xf>
    <xf borderId="492" fillId="10" fontId="1" numFmtId="0" xfId="0" applyAlignment="1" applyBorder="1" applyFont="1">
      <alignment shrinkToFit="0" vertical="center" wrapText="1"/>
    </xf>
    <xf borderId="113" fillId="0" fontId="1" numFmtId="0" xfId="0" applyAlignment="1" applyBorder="1" applyFont="1">
      <alignment shrinkToFit="0" vertical="center" wrapText="1"/>
    </xf>
    <xf borderId="171" fillId="0" fontId="1" numFmtId="0" xfId="0" applyAlignment="1" applyBorder="1" applyFont="1">
      <alignment horizontal="left" shrinkToFit="0" vertical="center" wrapText="1"/>
    </xf>
    <xf borderId="482" fillId="18" fontId="14" numFmtId="0" xfId="0" applyAlignment="1" applyBorder="1" applyFont="1">
      <alignment shrinkToFit="0" vertical="center" wrapText="1"/>
    </xf>
    <xf borderId="483" fillId="18" fontId="14" numFmtId="0" xfId="0" applyAlignment="1" applyBorder="1" applyFont="1">
      <alignment shrinkToFit="0" vertical="center" wrapText="1"/>
    </xf>
    <xf borderId="10" fillId="10" fontId="1" numFmtId="0" xfId="0" applyAlignment="1" applyBorder="1" applyFont="1">
      <alignment shrinkToFit="0" vertical="center" wrapText="1"/>
    </xf>
    <xf borderId="61" fillId="10" fontId="1" numFmtId="0" xfId="0" applyAlignment="1" applyBorder="1" applyFont="1">
      <alignment shrinkToFit="0" vertical="center" wrapText="1"/>
    </xf>
    <xf borderId="485" fillId="18" fontId="14" numFmtId="0" xfId="0" applyAlignment="1" applyBorder="1" applyFont="1">
      <alignment shrinkToFit="0" vertical="center" wrapText="1"/>
    </xf>
    <xf borderId="486" fillId="18" fontId="14" numFmtId="0" xfId="0" applyAlignment="1" applyBorder="1" applyFont="1">
      <alignment shrinkToFit="0" vertical="center" wrapText="1"/>
    </xf>
    <xf borderId="488" fillId="18" fontId="14" numFmtId="0" xfId="0" applyAlignment="1" applyBorder="1" applyFont="1">
      <alignment shrinkToFit="0" vertical="center" wrapText="1"/>
    </xf>
    <xf borderId="489" fillId="18" fontId="14" numFmtId="0" xfId="0" applyAlignment="1" applyBorder="1" applyFont="1">
      <alignment shrinkToFit="0" vertical="center" wrapText="1"/>
    </xf>
    <xf borderId="63" fillId="0" fontId="1" numFmtId="0" xfId="0" applyAlignment="1" applyBorder="1" applyFont="1">
      <alignment horizontal="left" shrinkToFit="0" vertical="center" wrapText="1"/>
    </xf>
    <xf borderId="131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493" fillId="18" fontId="14" numFmtId="0" xfId="0" applyAlignment="1" applyBorder="1" applyFont="1">
      <alignment shrinkToFit="0" vertical="center" wrapText="1"/>
    </xf>
    <xf borderId="494" fillId="18" fontId="14" numFmtId="0" xfId="0" applyAlignment="1" applyBorder="1" applyFont="1">
      <alignment shrinkToFit="0" vertical="center" wrapText="1"/>
    </xf>
    <xf borderId="433" fillId="12" fontId="1" numFmtId="0" xfId="0" applyAlignment="1" applyBorder="1" applyFont="1">
      <alignment horizontal="center" shrinkToFit="0" vertical="center" wrapText="1"/>
    </xf>
    <xf borderId="434" fillId="12" fontId="1" numFmtId="0" xfId="0" applyAlignment="1" applyBorder="1" applyFont="1">
      <alignment horizontal="left" shrinkToFit="0" vertical="center" wrapText="1"/>
    </xf>
    <xf borderId="438" fillId="10" fontId="1" numFmtId="0" xfId="0" applyAlignment="1" applyBorder="1" applyFont="1">
      <alignment horizontal="center" shrinkToFit="0" vertical="center" wrapText="1"/>
    </xf>
    <xf borderId="434" fillId="10" fontId="1" numFmtId="0" xfId="0" applyAlignment="1" applyBorder="1" applyFont="1">
      <alignment horizontal="left" shrinkToFit="0" vertical="center" wrapText="1"/>
    </xf>
    <xf borderId="118" fillId="10" fontId="1" numFmtId="0" xfId="0" applyAlignment="1" applyBorder="1" applyFont="1">
      <alignment shrinkToFit="0" vertical="center" wrapText="1"/>
    </xf>
    <xf borderId="118" fillId="18" fontId="14" numFmtId="0" xfId="0" applyAlignment="1" applyBorder="1" applyFont="1">
      <alignment shrinkToFit="0" vertical="center" wrapText="1"/>
    </xf>
    <xf borderId="499" fillId="18" fontId="14" numFmtId="0" xfId="0" applyAlignment="1" applyBorder="1" applyFont="1">
      <alignment shrinkToFit="0" vertical="center" wrapText="1"/>
    </xf>
    <xf borderId="187" fillId="10" fontId="1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shrinkToFit="0" vertical="center" wrapText="1"/>
    </xf>
    <xf borderId="58" fillId="10" fontId="1" numFmtId="0" xfId="0" applyAlignment="1" applyBorder="1" applyFont="1">
      <alignment horizontal="left" shrinkToFit="0" vertical="center" wrapText="1"/>
    </xf>
    <xf borderId="26" fillId="10" fontId="1" numFmtId="0" xfId="0" applyAlignment="1" applyBorder="1" applyFont="1">
      <alignment horizontal="left" shrinkToFit="0" vertical="center" wrapText="1"/>
    </xf>
    <xf borderId="479" fillId="18" fontId="14" numFmtId="0" xfId="0" applyAlignment="1" applyBorder="1" applyFont="1">
      <alignment horizontal="center" shrinkToFit="0" vertical="center" wrapText="1"/>
    </xf>
    <xf borderId="500" fillId="18" fontId="14" numFmtId="0" xfId="0" applyAlignment="1" applyBorder="1" applyFont="1">
      <alignment horizontal="center" shrinkToFit="0" vertical="center" wrapText="1"/>
    </xf>
    <xf borderId="501" fillId="18" fontId="14" numFmtId="9" xfId="0" applyAlignment="1" applyBorder="1" applyFont="1" applyNumberFormat="1">
      <alignment horizontal="center" shrinkToFit="0" vertical="center" wrapText="1"/>
    </xf>
    <xf borderId="416" fillId="22" fontId="30" numFmtId="0" xfId="0" applyAlignment="1" applyBorder="1" applyFont="1">
      <alignment horizontal="center" shrinkToFit="0" vertical="center" wrapText="1"/>
    </xf>
    <xf borderId="26" fillId="10" fontId="1" numFmtId="0" xfId="0" applyAlignment="1" applyBorder="1" applyFont="1">
      <alignment horizontal="center" shrinkToFit="0" vertical="center" wrapText="1"/>
    </xf>
    <xf borderId="494" fillId="18" fontId="14" numFmtId="0" xfId="0" applyAlignment="1" applyBorder="1" applyFont="1">
      <alignment horizontal="center" shrinkToFit="0" vertical="center" wrapText="1"/>
    </xf>
    <xf borderId="502" fillId="18" fontId="14" numFmtId="9" xfId="0" applyAlignment="1" applyBorder="1" applyFont="1" applyNumberFormat="1">
      <alignment horizontal="center" shrinkToFit="0" vertical="center" wrapText="1"/>
    </xf>
    <xf borderId="118" fillId="10" fontId="1" numFmtId="9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horizontal="left" shrinkToFit="0" vertical="center" wrapText="1"/>
    </xf>
    <xf borderId="49" fillId="18" fontId="14" numFmtId="0" xfId="0" applyAlignment="1" applyBorder="1" applyFont="1">
      <alignment horizontal="center" shrinkToFit="0" vertical="center" wrapText="1"/>
    </xf>
    <xf borderId="49" fillId="18" fontId="14" numFmtId="0" xfId="0" applyAlignment="1" applyBorder="1" applyFont="1">
      <alignment shrinkToFit="0" vertical="center" wrapText="1"/>
    </xf>
    <xf borderId="187" fillId="18" fontId="14" numFmtId="0" xfId="0" applyAlignment="1" applyBorder="1" applyFont="1">
      <alignment horizontal="center" shrinkToFit="0" vertical="center" wrapText="1"/>
    </xf>
    <xf borderId="187" fillId="22" fontId="30" numFmtId="0" xfId="0" applyAlignment="1" applyBorder="1" applyFont="1">
      <alignment horizontal="center" shrinkToFit="0" vertical="center" wrapText="1"/>
    </xf>
    <xf borderId="187" fillId="18" fontId="14" numFmtId="9" xfId="0" applyAlignment="1" applyBorder="1" applyFont="1" applyNumberFormat="1">
      <alignment horizontal="center" shrinkToFit="0" vertical="center" wrapText="1"/>
    </xf>
    <xf borderId="503" fillId="18" fontId="14" numFmtId="0" xfId="0" applyAlignment="1" applyBorder="1" applyFont="1">
      <alignment horizontal="left" shrinkToFit="0" vertical="center" wrapText="1"/>
    </xf>
    <xf borderId="504" fillId="18" fontId="14" numFmtId="0" xfId="0" applyAlignment="1" applyBorder="1" applyFont="1">
      <alignment horizontal="left" shrinkToFit="0" vertical="center" wrapText="1"/>
    </xf>
    <xf borderId="505" fillId="18" fontId="14" numFmtId="0" xfId="0" applyAlignment="1" applyBorder="1" applyFont="1">
      <alignment horizontal="center" shrinkToFit="0" vertical="center" wrapText="1"/>
    </xf>
    <xf borderId="113" fillId="0" fontId="1" numFmtId="0" xfId="0" applyAlignment="1" applyBorder="1" applyFont="1">
      <alignment horizontal="left" shrinkToFit="0" vertical="center" wrapText="1"/>
    </xf>
    <xf borderId="10" fillId="0" fontId="65" numFmtId="0" xfId="0" applyAlignment="1" applyBorder="1" applyFont="1">
      <alignment horizontal="center" shrinkToFit="0" vertical="center" wrapText="1"/>
    </xf>
    <xf borderId="506" fillId="18" fontId="14" numFmtId="0" xfId="0" applyAlignment="1" applyBorder="1" applyFont="1">
      <alignment horizontal="left" shrinkToFit="0" vertical="center" wrapText="1"/>
    </xf>
    <xf borderId="507" fillId="18" fontId="14" numFmtId="0" xfId="0" applyAlignment="1" applyBorder="1" applyFont="1">
      <alignment horizontal="left" shrinkToFit="0" vertical="center" wrapText="1"/>
    </xf>
    <xf borderId="508" fillId="18" fontId="14" numFmtId="0" xfId="0" applyAlignment="1" applyBorder="1" applyFont="1">
      <alignment horizontal="center" shrinkToFit="0" vertical="center" wrapText="1"/>
    </xf>
    <xf borderId="187" fillId="0" fontId="1" numFmtId="9" xfId="0" applyAlignment="1" applyBorder="1" applyFont="1" applyNumberFormat="1">
      <alignment horizontal="center" shrinkToFit="0" vertical="center" wrapText="1"/>
    </xf>
    <xf borderId="119" fillId="24" fontId="1" numFmtId="0" xfId="0" applyAlignment="1" applyBorder="1" applyFont="1">
      <alignment horizontal="left" shrinkToFit="0" vertical="center" wrapText="1"/>
    </xf>
    <xf borderId="413" fillId="24" fontId="1" numFmtId="0" xfId="0" applyAlignment="1" applyBorder="1" applyFont="1">
      <alignment horizontal="left" shrinkToFit="0" vertical="center" wrapText="1"/>
    </xf>
    <xf borderId="424" fillId="24" fontId="1" numFmtId="0" xfId="0" applyAlignment="1" applyBorder="1" applyFont="1">
      <alignment horizontal="left" shrinkToFit="0" vertical="center" wrapText="1"/>
    </xf>
    <xf borderId="116" fillId="24" fontId="1" numFmtId="0" xfId="0" applyAlignment="1" applyBorder="1" applyFont="1">
      <alignment horizontal="left" shrinkToFit="0" vertical="center" wrapText="1"/>
    </xf>
    <xf borderId="458" fillId="24" fontId="12" numFmtId="0" xfId="0" applyAlignment="1" applyBorder="1" applyFont="1">
      <alignment horizontal="center" vertical="center"/>
    </xf>
    <xf borderId="92" fillId="24" fontId="1" numFmtId="0" xfId="0" applyAlignment="1" applyBorder="1" applyFont="1">
      <alignment vertical="center"/>
    </xf>
    <xf borderId="116" fillId="24" fontId="1" numFmtId="0" xfId="0" applyAlignment="1" applyBorder="1" applyFont="1">
      <alignment vertical="center"/>
    </xf>
    <xf borderId="58" fillId="24" fontId="1" numFmtId="0" xfId="0" applyAlignment="1" applyBorder="1" applyFont="1">
      <alignment horizontal="left" shrinkToFit="0" vertical="top" wrapText="1"/>
    </xf>
    <xf borderId="457" fillId="24" fontId="1" numFmtId="0" xfId="0" applyAlignment="1" applyBorder="1" applyFont="1">
      <alignment horizontal="left" shrinkToFit="0" vertical="center" wrapText="1"/>
    </xf>
    <xf borderId="58" fillId="24" fontId="1" numFmtId="0" xfId="0" applyAlignment="1" applyBorder="1" applyFont="1">
      <alignment horizontal="left" vertical="top"/>
    </xf>
    <xf borderId="457" fillId="24" fontId="1" numFmtId="0" xfId="0" applyAlignment="1" applyBorder="1" applyFont="1">
      <alignment horizontal="left" vertical="center"/>
    </xf>
    <xf borderId="58" fillId="24" fontId="1" numFmtId="0" xfId="0" applyAlignment="1" applyBorder="1" applyFont="1">
      <alignment horizontal="left" vertical="center"/>
    </xf>
    <xf borderId="175" fillId="10" fontId="1" numFmtId="0" xfId="0" applyAlignment="1" applyBorder="1" applyFont="1">
      <alignment horizontal="left" shrinkToFit="0" vertical="center" wrapText="1"/>
    </xf>
    <xf borderId="131" fillId="10" fontId="1" numFmtId="0" xfId="0" applyAlignment="1" applyBorder="1" applyFont="1">
      <alignment horizontal="left" shrinkToFit="0" vertical="center" wrapText="1"/>
    </xf>
    <xf borderId="509" fillId="0" fontId="1" numFmtId="0" xfId="0" applyAlignment="1" applyBorder="1" applyFont="1">
      <alignment vertical="center"/>
    </xf>
    <xf borderId="509" fillId="0" fontId="1" numFmtId="0" xfId="0" applyAlignment="1" applyBorder="1" applyFont="1">
      <alignment shrinkToFit="0" vertical="center" wrapText="1"/>
    </xf>
    <xf borderId="510" fillId="0" fontId="5" numFmtId="0" xfId="0" applyBorder="1" applyFont="1"/>
    <xf borderId="511" fillId="0" fontId="1" numFmtId="0" xfId="0" applyAlignment="1" applyBorder="1" applyFont="1">
      <alignment shrinkToFit="0" vertical="center" wrapText="1"/>
    </xf>
    <xf borderId="424" fillId="18" fontId="1" numFmtId="0" xfId="0" applyAlignment="1" applyBorder="1" applyFont="1">
      <alignment horizontal="center" vertical="center"/>
    </xf>
    <xf borderId="171" fillId="10" fontId="1" numFmtId="0" xfId="0" applyAlignment="1" applyBorder="1" applyFont="1">
      <alignment horizontal="left" shrinkToFit="0" vertical="center" wrapText="1"/>
    </xf>
    <xf borderId="10" fillId="24" fontId="1" numFmtId="0" xfId="0" applyAlignment="1" applyBorder="1" applyFont="1">
      <alignment shrinkToFit="0" wrapText="1"/>
    </xf>
    <xf borderId="10" fillId="24" fontId="1" numFmtId="0" xfId="0" applyAlignment="1" applyBorder="1" applyFont="1">
      <alignment shrinkToFit="0" vertical="center" wrapText="1"/>
    </xf>
    <xf borderId="512" fillId="10" fontId="1" numFmtId="0" xfId="0" applyAlignment="1" applyBorder="1" applyFont="1">
      <alignment shrinkToFit="0" vertical="center" wrapText="1"/>
    </xf>
    <xf borderId="513" fillId="10" fontId="1" numFmtId="0" xfId="0" applyAlignment="1" applyBorder="1" applyFont="1">
      <alignment shrinkToFit="0" vertical="center" wrapText="1"/>
    </xf>
    <xf borderId="514" fillId="0" fontId="5" numFmtId="0" xfId="0" applyBorder="1" applyFont="1"/>
    <xf borderId="515" fillId="0" fontId="5" numFmtId="0" xfId="0" applyBorder="1" applyFont="1"/>
    <xf borderId="516" fillId="0" fontId="5" numFmtId="0" xfId="0" applyBorder="1" applyFont="1"/>
    <xf borderId="131" fillId="0" fontId="1" numFmtId="0" xfId="0" applyAlignment="1" applyBorder="1" applyFont="1">
      <alignment horizontal="left" shrinkToFit="0" vertical="center" wrapText="1"/>
    </xf>
    <xf borderId="2" fillId="10" fontId="1" numFmtId="0" xfId="0" applyAlignment="1" applyBorder="1" applyFont="1">
      <alignment horizontal="center" vertical="center"/>
    </xf>
    <xf borderId="35" fillId="10" fontId="1" numFmtId="0" xfId="0" applyAlignment="1" applyBorder="1" applyFont="1">
      <alignment horizontal="center" vertical="center"/>
    </xf>
    <xf borderId="513" fillId="0" fontId="1" numFmtId="0" xfId="0" applyAlignment="1" applyBorder="1" applyFont="1">
      <alignment shrinkToFit="0" vertical="center" wrapText="1"/>
    </xf>
    <xf borderId="517" fillId="10" fontId="1" numFmtId="0" xfId="0" applyAlignment="1" applyBorder="1" applyFont="1">
      <alignment horizontal="center" vertical="center"/>
    </xf>
    <xf borderId="443" fillId="24" fontId="1" numFmtId="0" xfId="0" applyAlignment="1" applyBorder="1" applyFont="1">
      <alignment horizontal="right" shrinkToFit="0" vertical="center" wrapText="1"/>
    </xf>
    <xf borderId="518" fillId="10" fontId="1" numFmtId="0" xfId="0" applyAlignment="1" applyBorder="1" applyFont="1">
      <alignment shrinkToFit="0" vertical="center" wrapText="1"/>
    </xf>
    <xf borderId="454" fillId="24" fontId="1" numFmtId="0" xfId="0" applyAlignment="1" applyBorder="1" applyFont="1">
      <alignment horizontal="center"/>
    </xf>
    <xf borderId="414" fillId="24" fontId="1" numFmtId="0" xfId="0" applyAlignment="1" applyBorder="1" applyFont="1">
      <alignment horizontal="right" vertical="center"/>
    </xf>
    <xf borderId="519" fillId="0" fontId="5" numFmtId="0" xfId="0" applyBorder="1" applyFont="1"/>
    <xf borderId="510" fillId="0" fontId="1" numFmtId="0" xfId="0" applyAlignment="1" applyBorder="1" applyFont="1">
      <alignment horizontal="center" vertical="center"/>
    </xf>
    <xf borderId="92" fillId="24" fontId="1" numFmtId="0" xfId="0" applyAlignment="1" applyBorder="1" applyFont="1">
      <alignment horizontal="left" vertical="center"/>
    </xf>
    <xf borderId="520" fillId="24" fontId="12" numFmtId="0" xfId="0" applyAlignment="1" applyBorder="1" applyFont="1">
      <alignment horizontal="center" vertical="center"/>
    </xf>
    <xf borderId="414" fillId="24" fontId="1" numFmtId="0" xfId="0" applyAlignment="1" applyBorder="1" applyFont="1">
      <alignment vertical="center"/>
    </xf>
    <xf borderId="449" fillId="24" fontId="1" numFmtId="0" xfId="0" applyAlignment="1" applyBorder="1" applyFont="1">
      <alignment horizontal="center" vertical="center"/>
    </xf>
    <xf borderId="76" fillId="24" fontId="1" numFmtId="0" xfId="0" applyAlignment="1" applyBorder="1" applyFont="1">
      <alignment horizontal="left" vertical="center"/>
    </xf>
    <xf borderId="92" fillId="10" fontId="1" numFmtId="0" xfId="0" applyAlignment="1" applyBorder="1" applyFont="1">
      <alignment horizontal="center" vertical="center"/>
    </xf>
    <xf borderId="416" fillId="10" fontId="1" numFmtId="0" xfId="0" applyAlignment="1" applyBorder="1" applyFont="1">
      <alignment horizontal="center" vertical="center"/>
    </xf>
    <xf borderId="134" fillId="10" fontId="1" numFmtId="0" xfId="0" applyAlignment="1" applyBorder="1" applyFont="1">
      <alignment horizontal="center" vertical="center"/>
    </xf>
    <xf borderId="417" fillId="10" fontId="1" numFmtId="0" xfId="0" applyAlignment="1" applyBorder="1" applyFont="1">
      <alignment horizontal="center" vertical="center"/>
    </xf>
    <xf borderId="119" fillId="10" fontId="1" numFmtId="0" xfId="0" applyAlignment="1" applyBorder="1" applyFont="1">
      <alignment horizontal="center" vertical="center"/>
    </xf>
    <xf borderId="414" fillId="10" fontId="1" numFmtId="0" xfId="0" applyAlignment="1" applyBorder="1" applyFont="1">
      <alignment horizontal="left" vertical="center"/>
    </xf>
    <xf borderId="521" fillId="10" fontId="1" numFmtId="0" xfId="0" applyAlignment="1" applyBorder="1" applyFont="1">
      <alignment vertical="center"/>
    </xf>
    <xf borderId="119" fillId="18" fontId="1" numFmtId="0" xfId="0" applyAlignment="1" applyBorder="1" applyFont="1">
      <alignment horizontal="center" vertical="center"/>
    </xf>
    <xf borderId="512" fillId="0" fontId="1" numFmtId="0" xfId="0" applyAlignment="1" applyBorder="1" applyFont="1">
      <alignment vertical="center"/>
    </xf>
    <xf borderId="522" fillId="0" fontId="1" numFmtId="0" xfId="0" applyAlignment="1" applyBorder="1" applyFont="1">
      <alignment vertical="center"/>
    </xf>
    <xf borderId="523" fillId="0" fontId="5" numFmtId="0" xfId="0" applyBorder="1" applyFont="1"/>
    <xf borderId="512" fillId="0" fontId="1" numFmtId="0" xfId="0" applyAlignment="1" applyBorder="1" applyFont="1">
      <alignment shrinkToFit="0" vertical="center" wrapText="1"/>
    </xf>
    <xf borderId="413" fillId="10" fontId="1" numFmtId="0" xfId="0" applyAlignment="1" applyBorder="1" applyFont="1">
      <alignment vertical="center"/>
    </xf>
    <xf borderId="414" fillId="10" fontId="1" numFmtId="0" xfId="0" applyAlignment="1" applyBorder="1" applyFont="1">
      <alignment vertical="center"/>
    </xf>
    <xf borderId="512" fillId="10" fontId="1" numFmtId="0" xfId="0" applyAlignment="1" applyBorder="1" applyFont="1">
      <alignment vertical="center"/>
    </xf>
    <xf borderId="524" fillId="0" fontId="1" numFmtId="0" xfId="0" applyAlignment="1" applyBorder="1" applyFont="1">
      <alignment horizontal="center" vertical="center"/>
    </xf>
    <xf borderId="28" fillId="0" fontId="1" numFmtId="9" xfId="0" applyAlignment="1" applyBorder="1" applyFont="1" applyNumberFormat="1">
      <alignment horizontal="center" vertical="center"/>
    </xf>
    <xf borderId="525" fillId="0" fontId="1" numFmtId="0" xfId="0" applyAlignment="1" applyBorder="1" applyFont="1">
      <alignment horizontal="center" vertical="center"/>
    </xf>
    <xf borderId="526" fillId="0" fontId="1" numFmtId="0" xfId="0" applyAlignment="1" applyBorder="1" applyFont="1">
      <alignment horizontal="center" vertical="center"/>
    </xf>
    <xf borderId="527" fillId="0" fontId="1" numFmtId="0" xfId="0" applyAlignment="1" applyBorder="1" applyFont="1">
      <alignment horizontal="center" vertical="center"/>
    </xf>
    <xf borderId="113" fillId="10" fontId="1" numFmtId="0" xfId="0" applyAlignment="1" applyBorder="1" applyFont="1">
      <alignment horizontal="left" shrinkToFit="0" vertical="center" wrapText="1"/>
    </xf>
    <xf borderId="61" fillId="10" fontId="1" numFmtId="0" xfId="0" applyAlignment="1" applyBorder="1" applyFont="1">
      <alignment horizontal="center" vertical="center"/>
    </xf>
    <xf borderId="29" fillId="0" fontId="7" numFmtId="0" xfId="0" applyAlignment="1" applyBorder="1" applyFont="1">
      <alignment vertical="center"/>
    </xf>
    <xf borderId="44" fillId="0" fontId="1" numFmtId="0" xfId="0" applyAlignment="1" applyBorder="1" applyFont="1">
      <alignment horizontal="center" vertical="center"/>
    </xf>
    <xf borderId="22" fillId="0" fontId="1" numFmtId="9" xfId="0" applyAlignment="1" applyBorder="1" applyFont="1" applyNumberFormat="1">
      <alignment horizontal="center" vertical="center"/>
    </xf>
    <xf borderId="528" fillId="0" fontId="1" numFmtId="0" xfId="0" applyAlignment="1" applyBorder="1" applyFont="1">
      <alignment horizontal="center" vertical="center"/>
    </xf>
    <xf borderId="75" fillId="0" fontId="1" numFmtId="0" xfId="0" applyAlignment="1" applyBorder="1" applyFont="1">
      <alignment horizontal="center" vertical="center"/>
    </xf>
    <xf borderId="529" fillId="0" fontId="1" numFmtId="0" xfId="0" applyAlignment="1" applyBorder="1" applyFont="1">
      <alignment horizontal="center" vertical="center"/>
    </xf>
    <xf borderId="156" fillId="0" fontId="1" numFmtId="9" xfId="0" applyAlignment="1" applyBorder="1" applyFont="1" applyNumberFormat="1">
      <alignment horizontal="center" vertical="center"/>
    </xf>
    <xf borderId="530" fillId="10" fontId="1" numFmtId="0" xfId="0" applyAlignment="1" applyBorder="1" applyFont="1">
      <alignment vertical="center"/>
    </xf>
    <xf borderId="531" fillId="0" fontId="1" numFmtId="0" xfId="0" applyAlignment="1" applyBorder="1" applyFont="1">
      <alignment vertical="center"/>
    </xf>
    <xf borderId="532" fillId="0" fontId="1" numFmtId="0" xfId="0" applyAlignment="1" applyBorder="1" applyFont="1">
      <alignment vertical="center"/>
    </xf>
    <xf borderId="533" fillId="0" fontId="5" numFmtId="0" xfId="0" applyBorder="1" applyFont="1"/>
    <xf borderId="534" fillId="0" fontId="1" numFmtId="0" xfId="0" applyAlignment="1" applyBorder="1" applyFont="1">
      <alignment horizontal="center" vertical="center"/>
    </xf>
    <xf borderId="533" fillId="0" fontId="1" numFmtId="0" xfId="0" applyAlignment="1" applyBorder="1" applyFont="1">
      <alignment horizontal="center" vertical="center"/>
    </xf>
    <xf borderId="533" fillId="0" fontId="1" numFmtId="9" xfId="0" applyAlignment="1" applyBorder="1" applyFont="1" applyNumberFormat="1">
      <alignment horizontal="center" vertical="center"/>
    </xf>
    <xf borderId="535" fillId="0" fontId="1" numFmtId="0" xfId="0" applyAlignment="1" applyBorder="1" applyFont="1">
      <alignment horizontal="center" vertical="center"/>
    </xf>
    <xf borderId="536" fillId="0" fontId="1" numFmtId="0" xfId="0" applyAlignment="1" applyBorder="1" applyFont="1">
      <alignment horizontal="center" vertical="center"/>
    </xf>
    <xf borderId="30" fillId="0" fontId="1" numFmtId="9" xfId="0" applyAlignment="1" applyBorder="1" applyFont="1" applyNumberFormat="1">
      <alignment horizontal="center" vertical="center"/>
    </xf>
    <xf borderId="531" fillId="10" fontId="1" numFmtId="0" xfId="0" applyAlignment="1" applyBorder="1" applyFont="1">
      <alignment vertical="center"/>
    </xf>
    <xf borderId="537" fillId="0" fontId="5" numFmtId="0" xfId="0" applyBorder="1" applyFont="1"/>
    <xf borderId="529" fillId="18" fontId="1" numFmtId="0" xfId="0" applyAlignment="1" applyBorder="1" applyFont="1">
      <alignment horizontal="center" vertical="center"/>
    </xf>
    <xf borderId="531" fillId="10" fontId="1" numFmtId="0" xfId="0" applyAlignment="1" applyBorder="1" applyFont="1">
      <alignment shrinkToFit="0" vertical="center" wrapText="1"/>
    </xf>
    <xf borderId="120" fillId="0" fontId="1" numFmtId="0" xfId="0" applyAlignment="1" applyBorder="1" applyFont="1">
      <alignment horizontal="left" vertical="center"/>
    </xf>
    <xf borderId="2" fillId="24" fontId="1" numFmtId="0" xfId="0" applyAlignment="1" applyBorder="1" applyFont="1">
      <alignment horizontal="center" shrinkToFit="0" vertical="center" wrapText="1"/>
    </xf>
    <xf borderId="35" fillId="24" fontId="1" numFmtId="0" xfId="0" applyAlignment="1" applyBorder="1" applyFont="1">
      <alignment horizontal="center" shrinkToFit="0" vertical="center" wrapText="1"/>
    </xf>
    <xf borderId="457" fillId="24" fontId="1" numFmtId="0" xfId="0" applyAlignment="1" applyBorder="1" applyFont="1">
      <alignment shrinkToFit="0" vertical="center" wrapText="1"/>
    </xf>
    <xf borderId="116" fillId="24" fontId="1" numFmtId="0" xfId="0" applyAlignment="1" applyBorder="1" applyFont="1">
      <alignment shrinkToFit="0" vertical="center" wrapText="1"/>
    </xf>
    <xf borderId="538" fillId="10" fontId="1" numFmtId="0" xfId="0" applyAlignment="1" applyBorder="1" applyFont="1">
      <alignment shrinkToFit="0" vertical="center" wrapText="1"/>
    </xf>
    <xf borderId="120" fillId="0" fontId="1" numFmtId="0" xfId="0" applyAlignment="1" applyBorder="1" applyFont="1">
      <alignment shrinkToFit="0" vertical="center" wrapText="1"/>
    </xf>
    <xf borderId="120" fillId="0" fontId="66" numFmtId="0" xfId="0" applyAlignment="1" applyBorder="1" applyFont="1">
      <alignment horizontal="center"/>
    </xf>
    <xf borderId="30" fillId="0" fontId="1" numFmtId="0" xfId="0" applyBorder="1" applyFont="1"/>
    <xf borderId="454" fillId="24" fontId="1" numFmtId="0" xfId="0" applyAlignment="1" applyBorder="1" applyFont="1">
      <alignment horizontal="center" shrinkToFit="0" vertical="center" wrapText="1"/>
    </xf>
    <xf borderId="449" fillId="24" fontId="1" numFmtId="0" xfId="0" applyAlignment="1" applyBorder="1" applyFont="1">
      <alignment horizontal="center" shrinkToFit="0" vertical="center" wrapText="1"/>
    </xf>
    <xf borderId="175" fillId="10" fontId="1" numFmtId="0" xfId="0" applyAlignment="1" applyBorder="1" applyFont="1">
      <alignment shrinkToFit="0" vertical="center" wrapText="1"/>
    </xf>
    <xf borderId="118" fillId="10" fontId="67" numFmtId="0" xfId="0" applyAlignment="1" applyBorder="1" applyFont="1">
      <alignment horizontal="center"/>
    </xf>
    <xf borderId="430" fillId="10" fontId="1" numFmtId="0" xfId="0" applyBorder="1" applyFont="1"/>
    <xf borderId="171" fillId="10" fontId="1" numFmtId="0" xfId="0" applyAlignment="1" applyBorder="1" applyFont="1">
      <alignment shrinkToFit="0" vertical="center" wrapText="1"/>
    </xf>
    <xf borderId="539" fillId="0" fontId="1" numFmtId="0" xfId="0" applyAlignment="1" applyBorder="1" applyFont="1">
      <alignment horizontal="center" vertical="center"/>
    </xf>
    <xf borderId="29" fillId="0" fontId="68" numFmtId="0" xfId="0" applyAlignment="1" applyBorder="1" applyFont="1">
      <alignment horizontal="center"/>
    </xf>
    <xf borderId="118" fillId="10" fontId="69" numFmtId="0" xfId="0" applyAlignment="1" applyBorder="1" applyFont="1">
      <alignment horizontal="center" shrinkToFit="0" vertical="center" wrapText="1"/>
    </xf>
    <xf borderId="29" fillId="0" fontId="70" numFmtId="0" xfId="0" applyAlignment="1" applyBorder="1" applyFont="1">
      <alignment horizontal="center" shrinkToFit="0" vertical="center" wrapText="1"/>
    </xf>
    <xf borderId="171" fillId="0" fontId="1" numFmtId="0" xfId="0" applyAlignment="1" applyBorder="1" applyFont="1">
      <alignment shrinkToFit="0" vertical="center" wrapText="1"/>
    </xf>
    <xf borderId="76" fillId="10" fontId="1" numFmtId="0" xfId="0" applyAlignment="1" applyBorder="1" applyFont="1">
      <alignment vertical="center"/>
    </xf>
    <xf borderId="29" fillId="10" fontId="1" numFmtId="0" xfId="0" applyAlignment="1" applyBorder="1" applyFont="1">
      <alignment vertical="center"/>
    </xf>
    <xf borderId="22" fillId="0" fontId="1" numFmtId="0" xfId="0" applyBorder="1" applyFont="1"/>
    <xf borderId="449" fillId="24" fontId="71" numFmtId="0" xfId="0" applyAlignment="1" applyBorder="1" applyFont="1">
      <alignment horizontal="center" vertical="center"/>
    </xf>
    <xf borderId="119" fillId="24" fontId="1" numFmtId="0" xfId="0" applyAlignment="1" applyBorder="1" applyFont="1">
      <alignment horizontal="center" shrinkToFit="0" vertical="center" wrapText="1"/>
    </xf>
    <xf borderId="44" fillId="18" fontId="1" numFmtId="0" xfId="0" applyAlignment="1" applyBorder="1" applyFont="1">
      <alignment horizontal="center" vertical="center"/>
    </xf>
    <xf borderId="518" fillId="10" fontId="1" numFmtId="0" xfId="0" applyBorder="1" applyFont="1"/>
    <xf borderId="446" fillId="10" fontId="1" numFmtId="0" xfId="0" applyAlignment="1" applyBorder="1" applyFont="1">
      <alignment shrinkToFit="0" vertical="center" wrapText="1"/>
    </xf>
    <xf borderId="175" fillId="10" fontId="1" numFmtId="0" xfId="0" applyAlignment="1" applyBorder="1" applyFont="1">
      <alignment vertical="center"/>
    </xf>
    <xf borderId="443" fillId="10" fontId="1" numFmtId="0" xfId="0" applyAlignment="1" applyBorder="1" applyFont="1">
      <alignment shrinkToFit="0" vertical="center" wrapText="1"/>
    </xf>
    <xf borderId="413" fillId="24" fontId="1" numFmtId="0" xfId="0" applyAlignment="1" applyBorder="1" applyFont="1">
      <alignment shrinkToFit="0" vertical="center" wrapText="1"/>
    </xf>
    <xf borderId="126" fillId="10" fontId="1" numFmtId="0" xfId="0" applyAlignment="1" applyBorder="1" applyFont="1">
      <alignment shrinkToFit="0" vertical="center" wrapText="1"/>
    </xf>
    <xf borderId="131" fillId="10" fontId="1" numFmtId="0" xfId="0" applyAlignment="1" applyBorder="1" applyFont="1">
      <alignment shrinkToFit="0" vertical="center" wrapText="1"/>
    </xf>
    <xf borderId="443" fillId="18" fontId="14" numFmtId="0" xfId="0" applyAlignment="1" applyBorder="1" applyFont="1">
      <alignment vertical="center"/>
    </xf>
    <xf borderId="2" fillId="24" fontId="12" numFmtId="0" xfId="0" applyAlignment="1" applyBorder="1" applyFont="1">
      <alignment horizontal="center" vertical="center"/>
    </xf>
    <xf borderId="424" fillId="24" fontId="1" numFmtId="0" xfId="0" applyAlignment="1" applyBorder="1" applyFont="1">
      <alignment horizontal="center" shrinkToFit="0" vertical="center" wrapText="1"/>
    </xf>
    <xf borderId="515" fillId="0" fontId="1" numFmtId="0" xfId="0" applyAlignment="1" applyBorder="1" applyFont="1">
      <alignment shrinkToFit="0" vertical="center" wrapText="1"/>
    </xf>
    <xf borderId="454" fillId="24" fontId="12" numFmtId="0" xfId="0" applyAlignment="1" applyBorder="1" applyFont="1">
      <alignment horizontal="center" vertical="center"/>
    </xf>
    <xf borderId="3" fillId="0" fontId="1" numFmtId="0" xfId="0" applyAlignment="1" applyBorder="1" applyFont="1">
      <alignment shrinkToFit="0" vertical="center" wrapText="1"/>
    </xf>
    <xf borderId="2" fillId="10" fontId="1" numFmtId="0" xfId="0" applyAlignment="1" applyBorder="1" applyFont="1">
      <alignment horizontal="center"/>
    </xf>
    <xf borderId="35" fillId="10" fontId="1" numFmtId="0" xfId="0" applyAlignment="1" applyBorder="1" applyFont="1">
      <alignment horizontal="center"/>
    </xf>
    <xf borderId="126" fillId="10" fontId="1" numFmtId="0" xfId="0" applyAlignment="1" applyBorder="1" applyFont="1">
      <alignment horizontal="left" shrinkToFit="0" vertical="center" wrapText="1"/>
    </xf>
    <xf borderId="407" fillId="10" fontId="1" numFmtId="0" xfId="0" applyAlignment="1" applyBorder="1" applyFont="1">
      <alignment shrinkToFit="0" vertical="center" wrapText="1"/>
    </xf>
    <xf borderId="29" fillId="18" fontId="14" numFmtId="0" xfId="0" applyAlignment="1" applyBorder="1" applyFont="1">
      <alignment vertical="center"/>
    </xf>
    <xf borderId="29" fillId="10" fontId="1" numFmtId="0" xfId="0" applyAlignment="1" applyBorder="1" applyFont="1">
      <alignment horizontal="left" vertical="center"/>
    </xf>
    <xf borderId="531" fillId="0" fontId="1" numFmtId="0" xfId="0" applyAlignment="1" applyBorder="1" applyFont="1">
      <alignment shrinkToFit="0" vertical="center" wrapText="1"/>
    </xf>
    <xf borderId="443" fillId="10" fontId="1" numFmtId="0" xfId="0" applyAlignment="1" applyBorder="1" applyFont="1">
      <alignment horizontal="left" shrinkToFit="0" vertical="center" wrapText="1"/>
    </xf>
    <xf borderId="25" fillId="24" fontId="38" numFmtId="0" xfId="0" applyAlignment="1" applyBorder="1" applyFont="1">
      <alignment horizontal="left" shrinkToFit="0" vertical="center" wrapText="1"/>
    </xf>
    <xf borderId="61" fillId="24" fontId="1" numFmtId="0" xfId="0" applyAlignment="1" applyBorder="1" applyFont="1">
      <alignment horizontal="left" shrinkToFit="0" vertical="center" wrapText="1"/>
    </xf>
    <xf borderId="61" fillId="0" fontId="1" numFmtId="0" xfId="0" applyAlignment="1" applyBorder="1" applyFont="1">
      <alignment horizontal="left" shrinkToFit="0" vertical="center" wrapText="1"/>
    </xf>
    <xf borderId="458" fillId="24" fontId="1" numFmtId="0" xfId="0" applyAlignment="1" applyBorder="1" applyFont="1">
      <alignment horizontal="left" vertical="top"/>
    </xf>
    <xf borderId="459" fillId="24" fontId="1" numFmtId="0" xfId="0" applyAlignment="1" applyBorder="1" applyFont="1">
      <alignment horizontal="left" vertical="center"/>
    </xf>
    <xf borderId="413" fillId="24" fontId="1" numFmtId="0" xfId="0" applyBorder="1" applyFont="1"/>
    <xf borderId="459" fillId="24" fontId="1" numFmtId="0" xfId="0" applyAlignment="1" applyBorder="1" applyFont="1">
      <alignment horizontal="center" vertical="center"/>
    </xf>
    <xf borderId="458" fillId="24" fontId="1" numFmtId="0" xfId="0" applyAlignment="1" applyBorder="1" applyFont="1">
      <alignment horizontal="left" vertical="center"/>
    </xf>
    <xf borderId="458" fillId="24" fontId="1" numFmtId="0" xfId="0" applyAlignment="1" applyBorder="1" applyFont="1">
      <alignment horizontal="left"/>
    </xf>
    <xf borderId="540" fillId="0" fontId="5" numFmtId="0" xfId="0" applyBorder="1" applyFont="1"/>
    <xf borderId="541" fillId="0" fontId="5" numFmtId="0" xfId="0" applyBorder="1" applyFont="1"/>
    <xf borderId="25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horizontal="left" shrinkToFit="0" vertical="center" wrapText="1"/>
    </xf>
    <xf borderId="407" fillId="24" fontId="14" numFmtId="0" xfId="0" applyAlignment="1" applyBorder="1" applyFont="1">
      <alignment horizontal="center" shrinkToFit="0" vertical="center" wrapText="1"/>
    </xf>
    <xf borderId="10" fillId="24" fontId="14" numFmtId="0" xfId="0" applyAlignment="1" applyBorder="1" applyFont="1">
      <alignment horizontal="center" shrinkToFit="0" vertical="center" wrapText="1"/>
    </xf>
    <xf borderId="542" fillId="0" fontId="5" numFmtId="0" xfId="0" applyBorder="1" applyFont="1"/>
    <xf borderId="543" fillId="24" fontId="1" numFmtId="0" xfId="0" applyAlignment="1" applyBorder="1" applyFont="1">
      <alignment horizontal="center" vertical="center"/>
    </xf>
    <xf borderId="99" fillId="0" fontId="5" numFmtId="0" xfId="0" applyBorder="1" applyFont="1"/>
    <xf borderId="520" fillId="10" fontId="1" numFmtId="0" xfId="0" applyAlignment="1" applyBorder="1" applyFont="1">
      <alignment horizontal="center" shrinkToFit="0" vertical="center" wrapText="1"/>
    </xf>
    <xf borderId="2" fillId="10" fontId="1" numFmtId="0" xfId="0" applyAlignment="1" applyBorder="1" applyFont="1">
      <alignment horizontal="center" shrinkToFit="0" vertical="center" wrapText="1"/>
    </xf>
    <xf borderId="92" fillId="10" fontId="1" numFmtId="0" xfId="0" applyAlignment="1" applyBorder="1" applyFont="1">
      <alignment horizontal="center" shrinkToFit="0" vertical="center" wrapText="1"/>
    </xf>
    <xf borderId="420" fillId="10" fontId="1" numFmtId="0" xfId="0" applyAlignment="1" applyBorder="1" applyFont="1">
      <alignment horizontal="center" shrinkToFit="0" vertical="center" wrapText="1"/>
    </xf>
    <xf borderId="446" fillId="24" fontId="14" numFmtId="0" xfId="0" applyAlignment="1" applyBorder="1" applyFont="1">
      <alignment horizontal="right"/>
    </xf>
    <xf borderId="187" fillId="0" fontId="1" numFmtId="0" xfId="0" applyAlignment="1" applyBorder="1" applyFont="1">
      <alignment shrinkToFit="0" vertical="center" wrapText="1"/>
    </xf>
    <xf borderId="98" fillId="0" fontId="1" numFmtId="0" xfId="0" applyAlignment="1" applyBorder="1" applyFont="1">
      <alignment horizontal="left" shrinkToFit="0" vertical="center" wrapText="1"/>
    </xf>
    <xf borderId="440" fillId="10" fontId="1" numFmtId="0" xfId="0" applyAlignment="1" applyBorder="1" applyFont="1">
      <alignment horizontal="center" shrinkToFit="0" vertical="center" wrapText="1"/>
    </xf>
    <xf borderId="439" fillId="1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7" fillId="0" fontId="1" numFmtId="0" xfId="0" applyAlignment="1" applyBorder="1" applyFont="1">
      <alignment horizontal="center" shrinkToFit="0" vertical="center" wrapText="1"/>
    </xf>
    <xf borderId="98" fillId="10" fontId="1" numFmtId="0" xfId="0" applyAlignment="1" applyBorder="1" applyFont="1">
      <alignment horizontal="left" shrinkToFit="0" vertical="center" wrapText="1"/>
    </xf>
    <xf borderId="61" fillId="0" fontId="1" numFmtId="0" xfId="0" applyAlignment="1" applyBorder="1" applyFont="1">
      <alignment shrinkToFit="0" vertical="center" wrapText="1"/>
    </xf>
    <xf borderId="492" fillId="10" fontId="1" numFmtId="0" xfId="0" applyAlignment="1" applyBorder="1" applyFont="1">
      <alignment horizontal="center" shrinkToFit="0" vertical="center" wrapText="1"/>
    </xf>
    <xf borderId="544" fillId="0" fontId="5" numFmtId="0" xfId="0" applyBorder="1" applyFont="1"/>
    <xf borderId="25" fillId="0" fontId="1" numFmtId="0" xfId="0" applyAlignment="1" applyBorder="1" applyFont="1">
      <alignment horizontal="left" shrinkToFit="0" vertical="center" wrapText="1"/>
    </xf>
    <xf borderId="545" fillId="18" fontId="1" numFmtId="0" xfId="0" applyAlignment="1" applyBorder="1" applyFont="1">
      <alignment horizontal="center" vertical="center"/>
    </xf>
    <xf borderId="478" fillId="10" fontId="1" numFmtId="0" xfId="0" applyAlignment="1" applyBorder="1" applyFont="1">
      <alignment horizontal="left" shrinkToFit="0" vertical="center" wrapText="1"/>
    </xf>
    <xf borderId="407" fillId="24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478" fillId="10" fontId="1" numFmtId="0" xfId="0" applyAlignment="1" applyBorder="1" applyFont="1">
      <alignment horizontal="center" shrinkToFit="0" vertical="center" wrapText="1"/>
    </xf>
    <xf borderId="538" fillId="10" fontId="1" numFmtId="0" xfId="0" applyAlignment="1" applyBorder="1" applyFont="1">
      <alignment horizontal="center" shrinkToFit="0" vertical="center" wrapText="1"/>
    </xf>
    <xf borderId="435" fillId="10" fontId="1" numFmtId="0" xfId="0" applyAlignment="1" applyBorder="1" applyFont="1">
      <alignment horizontal="center" shrinkToFit="0" vertical="center" wrapText="1"/>
    </xf>
    <xf borderId="162" fillId="10" fontId="1" numFmtId="0" xfId="0" applyAlignment="1" applyBorder="1" applyFont="1">
      <alignment horizontal="center" shrinkToFit="0" vertical="center" wrapText="1"/>
    </xf>
    <xf borderId="63" fillId="0" fontId="1" numFmtId="0" xfId="0" applyBorder="1" applyFont="1"/>
    <xf borderId="64" fillId="0" fontId="1" numFmtId="0" xfId="0" applyBorder="1" applyFont="1"/>
    <xf borderId="454" fillId="10" fontId="1" numFmtId="0" xfId="0" applyBorder="1" applyFont="1"/>
    <xf borderId="450" fillId="10" fontId="1" numFmtId="0" xfId="0" applyAlignment="1" applyBorder="1" applyFont="1">
      <alignment horizontal="center" vertical="center"/>
    </xf>
    <xf borderId="98" fillId="10" fontId="1" numFmtId="0" xfId="0" applyAlignment="1" applyBorder="1" applyFont="1">
      <alignment shrinkToFit="0" vertical="center" wrapText="1"/>
    </xf>
    <xf borderId="98" fillId="0" fontId="1" numFmtId="0" xfId="0" applyAlignment="1" applyBorder="1" applyFont="1">
      <alignment shrinkToFit="0" vertical="center" wrapText="1"/>
    </xf>
    <xf borderId="454" fillId="10" fontId="1" numFmtId="0" xfId="0" applyAlignment="1" applyBorder="1" applyFont="1">
      <alignment horizontal="left" shrinkToFit="0" vertical="center" wrapText="1"/>
    </xf>
    <xf borderId="450" fillId="10" fontId="1" numFmtId="0" xfId="0" applyAlignment="1" applyBorder="1" applyFont="1">
      <alignment horizontal="center" shrinkToFit="0" vertical="center" wrapText="1"/>
    </xf>
    <xf borderId="546" fillId="10" fontId="1" numFmtId="0" xfId="0" applyAlignment="1" applyBorder="1" applyFont="1">
      <alignment horizontal="center" shrinkToFit="0" vertical="center" wrapText="1"/>
    </xf>
    <xf borderId="187" fillId="1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97" fillId="10" fontId="1" numFmtId="0" xfId="0" applyAlignment="1" applyBorder="1" applyFont="1">
      <alignment horizontal="left" shrinkToFit="0" vertical="center" wrapText="1"/>
    </xf>
    <xf borderId="10" fillId="0" fontId="1" numFmtId="0" xfId="0" applyBorder="1" applyFont="1"/>
    <xf borderId="119" fillId="10" fontId="1" numFmtId="0" xfId="0" applyBorder="1" applyFont="1"/>
    <xf borderId="116" fillId="10" fontId="1" numFmtId="0" xfId="0" applyAlignment="1" applyBorder="1" applyFont="1">
      <alignment horizontal="center" vertical="center"/>
    </xf>
    <xf borderId="10" fillId="24" fontId="1" numFmtId="0" xfId="0" applyBorder="1" applyFont="1"/>
    <xf borderId="1" fillId="0" fontId="1" numFmtId="9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58" fillId="18" fontId="72" numFmtId="0" xfId="0" applyAlignment="1" applyBorder="1" applyFont="1">
      <alignment vertical="center"/>
    </xf>
    <xf borderId="419" fillId="18" fontId="73" numFmtId="0" xfId="0" applyAlignment="1" applyBorder="1" applyFont="1">
      <alignment horizontal="center" vertical="center"/>
    </xf>
    <xf borderId="457" fillId="18" fontId="14" numFmtId="0" xfId="0" applyAlignment="1" applyBorder="1" applyFont="1">
      <alignment horizontal="center" vertical="center"/>
    </xf>
    <xf borderId="10" fillId="18" fontId="25" numFmtId="0" xfId="0" applyAlignment="1" applyBorder="1" applyFont="1">
      <alignment horizontal="center"/>
    </xf>
    <xf borderId="547" fillId="0" fontId="5" numFmtId="0" xfId="0" applyBorder="1" applyFont="1"/>
    <xf borderId="407" fillId="18" fontId="25" numFmtId="0" xfId="0" applyAlignment="1" applyBorder="1" applyFont="1">
      <alignment horizontal="center"/>
    </xf>
    <xf borderId="409" fillId="18" fontId="25" numFmtId="0" xfId="0" applyAlignment="1" applyBorder="1" applyFont="1">
      <alignment horizontal="center"/>
    </xf>
    <xf borderId="19" fillId="0" fontId="1" numFmtId="0" xfId="0" applyAlignment="1" applyBorder="1" applyFont="1">
      <alignment horizontal="center" shrinkToFit="0" wrapText="1"/>
    </xf>
    <xf borderId="524" fillId="0" fontId="1" numFmtId="0" xfId="0" applyAlignment="1" applyBorder="1" applyFont="1">
      <alignment shrinkToFit="0" wrapText="1"/>
    </xf>
    <xf borderId="524" fillId="0" fontId="1" numFmtId="0" xfId="0" applyAlignment="1" applyBorder="1" applyFont="1">
      <alignment horizontal="center" shrinkToFit="0" wrapText="1"/>
    </xf>
    <xf borderId="524" fillId="0" fontId="1" numFmtId="9" xfId="0" applyAlignment="1" applyBorder="1" applyFont="1" applyNumberFormat="1">
      <alignment horizontal="center" shrinkToFit="0" wrapText="1"/>
    </xf>
    <xf borderId="21" fillId="0" fontId="1" numFmtId="0" xfId="0" applyAlignment="1" applyBorder="1" applyFont="1">
      <alignment horizontal="center" shrinkToFit="0" wrapText="1"/>
    </xf>
    <xf borderId="524" fillId="0" fontId="1" numFmtId="0" xfId="0" applyBorder="1" applyFont="1"/>
    <xf borderId="20" fillId="0" fontId="1" numFmtId="0" xfId="0" applyAlignment="1" applyBorder="1" applyFont="1">
      <alignment horizontal="center" shrinkToFit="0" wrapText="1"/>
    </xf>
    <xf borderId="43" fillId="0" fontId="1" numFmtId="0" xfId="0" applyAlignment="1" applyBorder="1" applyFont="1">
      <alignment horizontal="center"/>
    </xf>
    <xf borderId="44" fillId="0" fontId="1" numFmtId="0" xfId="0" applyBorder="1" applyFont="1"/>
    <xf borderId="44" fillId="0" fontId="1" numFmtId="0" xfId="0" applyAlignment="1" applyBorder="1" applyFont="1">
      <alignment horizontal="center"/>
    </xf>
    <xf borderId="44" fillId="0" fontId="1" numFmtId="9" xfId="0" applyAlignment="1" applyBorder="1" applyFont="1" applyNumberFormat="1">
      <alignment horizontal="center"/>
    </xf>
    <xf borderId="10" fillId="18" fontId="25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shrinkToFit="0" wrapText="1"/>
    </xf>
    <xf borderId="44" fillId="0" fontId="1" numFmtId="0" xfId="0" applyAlignment="1" applyBorder="1" applyFont="1">
      <alignment shrinkToFit="0" wrapText="1"/>
    </xf>
    <xf borderId="44" fillId="0" fontId="1" numFmtId="0" xfId="0" applyAlignment="1" applyBorder="1" applyFont="1">
      <alignment horizontal="center" shrinkToFit="0" wrapText="1"/>
    </xf>
    <xf borderId="44" fillId="0" fontId="1" numFmtId="9" xfId="0" applyAlignment="1" applyBorder="1" applyFont="1" applyNumberFormat="1">
      <alignment horizontal="center" shrinkToFit="0" wrapText="1"/>
    </xf>
    <xf borderId="55" fillId="0" fontId="1" numFmtId="0" xfId="0" applyAlignment="1" applyBorder="1" applyFont="1">
      <alignment horizontal="center" shrinkToFit="0" wrapText="1"/>
    </xf>
    <xf borderId="45" fillId="0" fontId="1" numFmtId="0" xfId="0" applyAlignment="1" applyBorder="1" applyFont="1">
      <alignment horizontal="center" shrinkToFit="0" wrapText="1"/>
    </xf>
    <xf borderId="10" fillId="5" fontId="2" numFmtId="0" xfId="0" applyAlignment="1" applyBorder="1" applyFont="1">
      <alignment horizontal="center" vertical="center"/>
    </xf>
    <xf borderId="548" fillId="0" fontId="1" numFmtId="0" xfId="0" applyAlignment="1" applyBorder="1" applyFont="1">
      <alignment horizontal="center" vertical="center"/>
    </xf>
    <xf borderId="549" fillId="0" fontId="1" numFmtId="0" xfId="0" applyAlignment="1" applyBorder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550" fillId="0" fontId="1" numFmtId="0" xfId="0" applyAlignment="1" applyBorder="1" applyFont="1">
      <alignment horizontal="center" vertical="center"/>
    </xf>
    <xf borderId="10" fillId="6" fontId="2" numFmtId="0" xfId="0" applyAlignment="1" applyBorder="1" applyFont="1">
      <alignment horizontal="center" vertical="center"/>
    </xf>
    <xf borderId="451" fillId="18" fontId="32" numFmtId="0" xfId="0" applyAlignment="1" applyBorder="1" applyFont="1">
      <alignment vertical="center"/>
    </xf>
    <xf borderId="551" fillId="18" fontId="74" numFmtId="0" xfId="0" applyAlignment="1" applyBorder="1" applyFont="1">
      <alignment horizontal="center" vertical="center"/>
    </xf>
    <xf borderId="552" fillId="18" fontId="74" numFmtId="0" xfId="0" applyAlignment="1" applyBorder="1" applyFont="1">
      <alignment horizontal="center" vertical="center"/>
    </xf>
    <xf borderId="553" fillId="0" fontId="5" numFmtId="0" xfId="0" applyBorder="1" applyFont="1"/>
    <xf borderId="554" fillId="18" fontId="74" numFmtId="0" xfId="0" applyAlignment="1" applyBorder="1" applyFont="1">
      <alignment horizontal="center" vertical="center"/>
    </xf>
    <xf borderId="555" fillId="18" fontId="74" numFmtId="0" xfId="0" applyAlignment="1" applyBorder="1" applyFont="1">
      <alignment horizontal="center" vertical="center"/>
    </xf>
    <xf borderId="556" fillId="18" fontId="74" numFmtId="0" xfId="0" applyAlignment="1" applyBorder="1" applyFont="1">
      <alignment horizontal="center" vertical="center"/>
    </xf>
    <xf borderId="557" fillId="0" fontId="5" numFmtId="0" xfId="0" applyBorder="1" applyFont="1"/>
    <xf borderId="558" fillId="18" fontId="74" numFmtId="0" xfId="0" applyAlignment="1" applyBorder="1" applyFont="1">
      <alignment horizontal="center" vertical="center"/>
    </xf>
    <xf borderId="559" fillId="18" fontId="74" numFmtId="0" xfId="0" applyAlignment="1" applyBorder="1" applyFont="1">
      <alignment horizontal="center" vertical="center"/>
    </xf>
    <xf borderId="454" fillId="5" fontId="2" numFmtId="0" xfId="0" applyAlignment="1" applyBorder="1" applyFont="1">
      <alignment horizontal="center"/>
    </xf>
    <xf borderId="560" fillId="13" fontId="29" numFmtId="0" xfId="0" applyAlignment="1" applyBorder="1" applyFont="1">
      <alignment horizontal="center" vertical="center"/>
    </xf>
    <xf borderId="561" fillId="13" fontId="29" numFmtId="0" xfId="0" applyAlignment="1" applyBorder="1" applyFont="1">
      <alignment horizontal="center" vertical="center"/>
    </xf>
    <xf borderId="562" fillId="0" fontId="5" numFmtId="0" xfId="0" applyBorder="1" applyFont="1"/>
    <xf borderId="563" fillId="13" fontId="29" numFmtId="0" xfId="0" applyAlignment="1" applyBorder="1" applyFont="1">
      <alignment horizontal="center" vertical="center"/>
    </xf>
    <xf borderId="564" fillId="13" fontId="29" numFmtId="0" xfId="0" applyAlignment="1" applyBorder="1" applyFont="1">
      <alignment horizontal="center" vertical="center"/>
    </xf>
    <xf borderId="565" fillId="13" fontId="29" numFmtId="0" xfId="0" applyAlignment="1" applyBorder="1" applyFont="1">
      <alignment horizontal="center" vertical="center"/>
    </xf>
    <xf borderId="566" fillId="0" fontId="5" numFmtId="0" xfId="0" applyBorder="1" applyFont="1"/>
    <xf borderId="567" fillId="13" fontId="29" numFmtId="0" xfId="0" applyAlignment="1" applyBorder="1" applyFont="1">
      <alignment horizontal="center" vertical="center"/>
    </xf>
    <xf borderId="568" fillId="13" fontId="29" numFmtId="0" xfId="0" applyAlignment="1" applyBorder="1" applyFont="1">
      <alignment horizontal="center" vertical="center"/>
    </xf>
    <xf borderId="119" fillId="4" fontId="2" numFmtId="0" xfId="0" applyAlignment="1" applyBorder="1" applyFont="1">
      <alignment horizontal="center"/>
    </xf>
    <xf borderId="119" fillId="6" fontId="2" numFmtId="0" xfId="0" applyAlignment="1" applyBorder="1" applyFont="1">
      <alignment horizontal="center"/>
    </xf>
    <xf borderId="569" fillId="13" fontId="1" numFmtId="0" xfId="0" applyAlignment="1" applyBorder="1" applyFont="1">
      <alignment horizontal="center" vertical="center"/>
    </xf>
    <xf borderId="570" fillId="13" fontId="1" numFmtId="0" xfId="0" applyAlignment="1" applyBorder="1" applyFont="1">
      <alignment horizontal="center" vertical="center"/>
    </xf>
    <xf borderId="571" fillId="0" fontId="5" numFmtId="0" xfId="0" applyBorder="1" applyFont="1"/>
    <xf borderId="572" fillId="13" fontId="1" numFmtId="0" xfId="0" applyAlignment="1" applyBorder="1" applyFont="1">
      <alignment horizontal="center" vertical="center"/>
    </xf>
    <xf borderId="573" fillId="13" fontId="1" numFmtId="0" xfId="0" applyAlignment="1" applyBorder="1" applyFont="1">
      <alignment horizontal="center" vertical="center"/>
    </xf>
    <xf borderId="574" fillId="13" fontId="1" numFmtId="0" xfId="0" applyAlignment="1" applyBorder="1" applyFont="1">
      <alignment horizontal="center" vertical="center"/>
    </xf>
    <xf borderId="575" fillId="0" fontId="5" numFmtId="0" xfId="0" applyBorder="1" applyFont="1"/>
    <xf borderId="576" fillId="13" fontId="1" numFmtId="0" xfId="0" applyAlignment="1" applyBorder="1" applyFont="1">
      <alignment horizontal="center" vertical="center"/>
    </xf>
    <xf borderId="577" fillId="13" fontId="29" numFmtId="0" xfId="0" applyAlignment="1" applyBorder="1" applyFont="1">
      <alignment horizontal="center" vertical="center"/>
    </xf>
    <xf borderId="24" fillId="0" fontId="5" numFmtId="0" xfId="0" applyBorder="1" applyFont="1"/>
    <xf borderId="47" fillId="0" fontId="1" numFmtId="0" xfId="0" applyAlignment="1" applyBorder="1" applyFont="1">
      <alignment horizontal="center" shrinkToFit="0" wrapText="1"/>
    </xf>
    <xf borderId="186" fillId="0" fontId="5" numFmtId="0" xfId="0" applyBorder="1" applyFont="1"/>
    <xf borderId="44" fillId="0" fontId="1" numFmtId="9" xfId="0" applyBorder="1" applyFont="1" applyNumberFormat="1"/>
    <xf borderId="44" fillId="0" fontId="1" numFmtId="0" xfId="0" applyAlignment="1" applyBorder="1" applyFont="1">
      <alignment horizontal="left"/>
    </xf>
    <xf borderId="43" fillId="0" fontId="9" numFmtId="0" xfId="0" applyAlignment="1" applyBorder="1" applyFont="1">
      <alignment horizontal="center" shrinkToFit="0" wrapText="1"/>
    </xf>
    <xf borderId="44" fillId="0" fontId="9" numFmtId="0" xfId="0" applyAlignment="1" applyBorder="1" applyFont="1">
      <alignment horizontal="left" shrinkToFit="0" wrapText="1"/>
    </xf>
    <xf borderId="44" fillId="0" fontId="9" numFmtId="0" xfId="0" applyAlignment="1" applyBorder="1" applyFont="1">
      <alignment horizontal="center" shrinkToFit="0" wrapText="1"/>
    </xf>
    <xf borderId="44" fillId="0" fontId="9" numFmtId="9" xfId="0" applyAlignment="1" applyBorder="1" applyFont="1" applyNumberFormat="1">
      <alignment horizontal="left" shrinkToFit="0" wrapText="1"/>
    </xf>
    <xf borderId="55" fillId="0" fontId="9" numFmtId="0" xfId="0" applyAlignment="1" applyBorder="1" applyFont="1">
      <alignment horizontal="left" shrinkToFit="0" wrapText="1"/>
    </xf>
    <xf borderId="578" fillId="0" fontId="1" numFmtId="0" xfId="0" applyAlignment="1" applyBorder="1" applyFont="1">
      <alignment horizontal="center" vertical="center"/>
    </xf>
    <xf borderId="44" fillId="0" fontId="1" numFmtId="9" xfId="0" applyAlignment="1" applyBorder="1" applyFont="1" applyNumberFormat="1">
      <alignment horizontal="left"/>
    </xf>
    <xf borderId="55" fillId="0" fontId="1" numFmtId="0" xfId="0" applyAlignment="1" applyBorder="1" applyFont="1">
      <alignment horizontal="left"/>
    </xf>
    <xf borderId="44" fillId="0" fontId="1" numFmtId="9" xfId="0" applyAlignment="1" applyBorder="1" applyFont="1" applyNumberFormat="1">
      <alignment horizontal="left" shrinkToFit="0" wrapText="1"/>
    </xf>
    <xf borderId="55" fillId="0" fontId="1" numFmtId="0" xfId="0" applyAlignment="1" applyBorder="1" applyFont="1">
      <alignment horizontal="left" shrinkToFit="0" wrapText="1"/>
    </xf>
    <xf borderId="22" fillId="0" fontId="1" numFmtId="0" xfId="0" applyAlignment="1" applyBorder="1" applyFont="1">
      <alignment horizontal="center" shrinkToFit="0" wrapText="1"/>
    </xf>
    <xf borderId="407" fillId="18" fontId="25" numFmtId="0" xfId="0" applyAlignment="1" applyBorder="1" applyFont="1">
      <alignment horizontal="center" vertical="center"/>
    </xf>
    <xf borderId="183" fillId="0" fontId="1" numFmtId="0" xfId="0" applyAlignment="1" applyBorder="1" applyFont="1">
      <alignment horizontal="center"/>
    </xf>
    <xf borderId="529" fillId="0" fontId="1" numFmtId="9" xfId="0" applyBorder="1" applyFont="1" applyNumberFormat="1"/>
    <xf borderId="529" fillId="0" fontId="1" numFmtId="9" xfId="0" applyAlignment="1" applyBorder="1" applyFont="1" applyNumberFormat="1">
      <alignment horizontal="center"/>
    </xf>
    <xf borderId="529" fillId="0" fontId="1" numFmtId="0" xfId="0" applyBorder="1" applyFont="1"/>
    <xf borderId="529" fillId="0" fontId="1" numFmtId="0" xfId="0" applyAlignment="1" applyBorder="1" applyFont="1">
      <alignment horizontal="center"/>
    </xf>
    <xf borderId="171" fillId="0" fontId="1" numFmtId="0" xfId="0" applyAlignment="1" applyBorder="1" applyFont="1">
      <alignment horizontal="left"/>
    </xf>
    <xf borderId="62" fillId="0" fontId="1" numFmtId="9" xfId="0" applyBorder="1" applyFont="1" applyNumberFormat="1"/>
  </cellXfs>
  <cellStyles count="1">
    <cellStyle xfId="0" name="Normal" builtinId="0"/>
  </cellStyles>
  <dxfs count="4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5959"/>
          <bgColor rgb="FFFF5959"/>
        </patternFill>
      </fill>
      <border/>
    </dxf>
    <dxf>
      <font/>
      <fill>
        <patternFill patternType="solid">
          <fgColor rgb="FFF5AC78"/>
          <bgColor rgb="FFF5AC78"/>
        </patternFill>
      </fill>
      <border/>
    </dxf>
    <dxf>
      <font/>
      <fill>
        <patternFill patternType="solid">
          <fgColor rgb="FFFAE078"/>
          <bgColor rgb="FFFAE078"/>
        </patternFill>
      </fill>
      <border/>
    </dxf>
    <dxf>
      <font/>
      <fill>
        <patternFill patternType="solid">
          <fgColor rgb="FF9DB7F5"/>
          <bgColor rgb="FF9DB7F5"/>
        </patternFill>
      </fill>
      <border/>
    </dxf>
    <dxf>
      <font/>
      <fill>
        <patternFill patternType="solid">
          <fgColor rgb="FFA7DB8D"/>
          <bgColor rgb="FFA7DB8D"/>
        </patternFill>
      </fill>
      <border/>
    </dxf>
    <dxf>
      <font/>
      <fill>
        <patternFill patternType="solid">
          <fgColor rgb="FFFA92B2"/>
          <bgColor rgb="FFFA92B2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FF5959"/>
      </font>
      <fill>
        <patternFill patternType="solid">
          <fgColor rgb="FF000000"/>
          <bgColor rgb="FF000000"/>
        </patternFill>
      </fill>
      <border/>
    </dxf>
    <dxf>
      <font>
        <color rgb="FF8BC34A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EFEFEF"/>
      </font>
      <fill>
        <patternFill patternType="solid">
          <fgColor rgb="FF666666"/>
          <bgColor rgb="FF666666"/>
        </patternFill>
      </fill>
      <border/>
    </dxf>
    <dxf>
      <font>
        <color rgb="FFEFEFEF"/>
      </font>
      <fill>
        <patternFill patternType="solid">
          <fgColor rgb="FFB7B7B7"/>
          <bgColor rgb="FFB7B7B7"/>
        </patternFill>
      </fill>
      <border/>
    </dxf>
    <dxf>
      <font>
        <color rgb="FFFFFFFF"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E9F7"/>
          <bgColor rgb="FFFFE9F7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color rgb="FF000000"/>
      </font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>
        <color rgb="FF000000"/>
      </font>
      <fill>
        <patternFill patternType="solid">
          <fgColor rgb="FFFA92B2"/>
          <bgColor rgb="FFFA92B2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none"/>
      </fill>
      <border/>
    </dxf>
    <dxf>
      <font>
        <b/>
      </font>
      <fill>
        <patternFill patternType="solid">
          <fgColor rgb="FFF46524"/>
          <bgColor rgb="FFF46524"/>
        </patternFill>
      </fill>
      <border/>
    </dxf>
    <dxf>
      <font>
        <b/>
      </font>
      <fill>
        <patternFill patternType="solid">
          <fgColor rgb="FF8BC34A"/>
          <bgColor rgb="FF8BC34A"/>
        </patternFill>
      </fill>
      <border/>
    </dxf>
    <dxf>
      <font>
        <b/>
      </font>
      <fill>
        <patternFill patternType="solid">
          <fgColor rgb="FF5B95F9"/>
          <bgColor rgb="FF5B95F9"/>
        </patternFill>
      </fill>
      <border/>
    </dxf>
    <dxf>
      <font>
        <b/>
      </font>
      <fill>
        <patternFill patternType="solid">
          <fgColor rgb="FFF7CB4D"/>
          <bgColor rgb="FFF7CB4D"/>
        </patternFill>
      </fill>
      <border/>
    </dxf>
    <dxf>
      <font>
        <b/>
      </font>
      <fill>
        <patternFill patternType="solid">
          <fgColor rgb="FFCCA677"/>
          <bgColor rgb="FFCCA677"/>
        </patternFill>
      </fill>
      <border/>
    </dxf>
    <dxf>
      <font>
        <b/>
      </font>
      <fill>
        <patternFill patternType="solid">
          <fgColor rgb="FFBDBDBD"/>
          <bgColor rgb="FFBDBDBD"/>
        </patternFill>
      </fill>
      <border/>
    </dxf>
    <dxf>
      <font>
        <b/>
      </font>
      <fill>
        <patternFill patternType="none"/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</dxfs>
  <tableStyles count="32">
    <tableStyle count="2" pivot="0" name="data-style">
      <tableStyleElement dxfId="1" type="firstRowStripe"/>
      <tableStyleElement dxfId="2" type="secondRowStripe"/>
    </tableStyle>
    <tableStyle count="2" pivot="0" name="data-style 2">
      <tableStyleElement dxfId="2" type="firstRowStripe"/>
      <tableStyleElement dxfId="1" type="secondRowStripe"/>
    </tableStyle>
    <tableStyle count="2" pivot="0" name="data-style 3">
      <tableStyleElement dxfId="2" type="firstRowStripe"/>
      <tableStyleElement dxfId="1" type="secondRowStripe"/>
    </tableStyle>
    <tableStyle count="3" pivot="0" name="STATS-style">
      <tableStyleElement dxfId="1" type="headerRow"/>
      <tableStyleElement dxfId="2" type="firstRowStripe"/>
      <tableStyleElement dxfId="1" type="secondRowStripe"/>
    </tableStyle>
    <tableStyle count="3" pivot="0" name="STATS-style 2">
      <tableStyleElement dxfId="1" type="headerRow"/>
      <tableStyleElement dxfId="15" type="firstRowStripe"/>
      <tableStyleElement dxfId="1" type="secondRowStripe"/>
    </tableStyle>
    <tableStyle count="3" pivot="0" name="STATS-style 3">
      <tableStyleElement dxfId="1" type="headerRow"/>
      <tableStyleElement dxfId="16" type="firstRowStripe"/>
      <tableStyleElement dxfId="1" type="secondRowStripe"/>
    </tableStyle>
    <tableStyle count="3" pivot="0" name="STATS-style 4">
      <tableStyleElement dxfId="1" type="headerRow"/>
      <tableStyleElement dxfId="17" type="firstRowStripe"/>
      <tableStyleElement dxfId="1" type="secondRowStripe"/>
    </tableStyle>
    <tableStyle count="3" pivot="0" name="STATS-style 5">
      <tableStyleElement dxfId="1" type="headerRow"/>
      <tableStyleElement dxfId="2" type="firstRowStripe"/>
      <tableStyleElement dxfId="1" type="secondRowStripe"/>
    </tableStyle>
    <tableStyle count="3" pivot="0" name="STATS-style 6">
      <tableStyleElement dxfId="1" type="headerRow"/>
      <tableStyleElement dxfId="16" type="firstRowStripe"/>
      <tableStyleElement dxfId="1" type="secondRowStripe"/>
    </tableStyle>
    <tableStyle count="3" pivot="0" name="STATS-style 7">
      <tableStyleElement dxfId="1" type="headerRow"/>
      <tableStyleElement dxfId="17" type="firstRowStripe"/>
      <tableStyleElement dxfId="1" type="secondRowStripe"/>
    </tableStyle>
    <tableStyle count="3" pivot="0" name="STATS-style 8">
      <tableStyleElement dxfId="16" type="headerRow"/>
      <tableStyleElement dxfId="1" type="firstRowStripe"/>
      <tableStyleElement dxfId="16" type="secondRowStripe"/>
    </tableStyle>
    <tableStyle count="3" pivot="0" name="STATS-style 9">
      <tableStyleElement dxfId="17" type="headerRow"/>
      <tableStyleElement dxfId="1" type="firstRowStripe"/>
      <tableStyleElement dxfId="17" type="secondRowStripe"/>
    </tableStyle>
    <tableStyle count="3" pivot="0" name="STATS-style 10">
      <tableStyleElement dxfId="1" type="headerRow"/>
      <tableStyleElement dxfId="16" type="firstRowStripe"/>
      <tableStyleElement dxfId="1" type="secondRowStripe"/>
    </tableStyle>
    <tableStyle count="3" pivot="0" name="STATS-style 11">
      <tableStyleElement dxfId="16" type="headerRow"/>
      <tableStyleElement dxfId="1" type="firstRowStripe"/>
      <tableStyleElement dxfId="16" type="secondRowStripe"/>
    </tableStyle>
    <tableStyle count="3" pivot="0" name="STATS-style 12">
      <tableStyleElement dxfId="16" type="headerRow"/>
      <tableStyleElement dxfId="1" type="firstRowStripe"/>
      <tableStyleElement dxfId="16" type="secondRowStripe"/>
    </tableStyle>
    <tableStyle count="3" pivot="0" name="STATS-style 13">
      <tableStyleElement dxfId="17" type="headerRow"/>
      <tableStyleElement dxfId="1" type="firstRowStripe"/>
      <tableStyleElement dxfId="17" type="secondRowStripe"/>
    </tableStyle>
    <tableStyle count="3" pivot="0" name="STATS-style 14">
      <tableStyleElement dxfId="16" type="headerRow"/>
      <tableStyleElement dxfId="1" type="firstRowStripe"/>
      <tableStyleElement dxfId="16" type="secondRowStripe"/>
    </tableStyle>
    <tableStyle count="3" pivot="0" name="STATS-style 15">
      <tableStyleElement dxfId="17" type="headerRow"/>
      <tableStyleElement dxfId="1" type="firstRowStripe"/>
      <tableStyleElement dxfId="17" type="secondRowStripe"/>
    </tableStyle>
    <tableStyle count="3" pivot="0" name="STATS-style 16">
      <tableStyleElement dxfId="16" type="headerRow"/>
      <tableStyleElement dxfId="1" type="firstRowStripe"/>
      <tableStyleElement dxfId="16" type="secondRowStripe"/>
    </tableStyle>
    <tableStyle count="3" pivot="0" name="STATS-style 17">
      <tableStyleElement dxfId="17" type="headerRow"/>
      <tableStyleElement dxfId="1" type="firstRowStripe"/>
      <tableStyleElement dxfId="17" type="secondRowStripe"/>
    </tableStyle>
    <tableStyle count="3" pivot="0" name="STATS-style 18">
      <tableStyleElement dxfId="16" type="headerRow"/>
      <tableStyleElement dxfId="1" type="firstRowStripe"/>
      <tableStyleElement dxfId="16" type="secondRowStripe"/>
    </tableStyle>
    <tableStyle count="3" pivot="0" name="STATS-style 19">
      <tableStyleElement dxfId="17" type="headerRow"/>
      <tableStyleElement dxfId="1" type="firstRowStripe"/>
      <tableStyleElement dxfId="17" type="secondRowStripe"/>
    </tableStyle>
    <tableStyle count="3" pivot="0" name="STATS-style 20">
      <tableStyleElement dxfId="1" type="headerRow"/>
      <tableStyleElement dxfId="16" type="firstRowStripe"/>
      <tableStyleElement dxfId="1" type="secondRowStripe"/>
    </tableStyle>
    <tableStyle count="3" pivot="0" name="STATS-style 21">
      <tableStyleElement dxfId="1" type="headerRow"/>
      <tableStyleElement dxfId="17" type="firstRowStripe"/>
      <tableStyleElement dxfId="1" type="secondRowStripe"/>
    </tableStyle>
    <tableStyle count="3" pivot="0" name="STATS-style 22">
      <tableStyleElement dxfId="1" type="headerRow"/>
      <tableStyleElement dxfId="16" type="firstRowStripe"/>
      <tableStyleElement dxfId="1" type="secondRowStripe"/>
    </tableStyle>
    <tableStyle count="3" pivot="0" name="STATS-style 23">
      <tableStyleElement dxfId="1" type="headerRow"/>
      <tableStyleElement dxfId="17" type="firstRowStripe"/>
      <tableStyleElement dxfId="1" type="secondRowStripe"/>
    </tableStyle>
    <tableStyle count="3" pivot="0" name="STATS-style 24">
      <tableStyleElement dxfId="16" type="headerRow"/>
      <tableStyleElement dxfId="1" type="firstRowStripe"/>
      <tableStyleElement dxfId="16" type="secondRowStripe"/>
    </tableStyle>
    <tableStyle count="3" pivot="0" name="STATS-style 25">
      <tableStyleElement dxfId="17" type="headerRow"/>
      <tableStyleElement dxfId="1" type="firstRowStripe"/>
      <tableStyleElement dxfId="17" type="secondRowStripe"/>
    </tableStyle>
    <tableStyle count="3" pivot="0" name="STATS-style 26">
      <tableStyleElement dxfId="1" type="headerRow"/>
      <tableStyleElement dxfId="16" type="firstRowStripe"/>
      <tableStyleElement dxfId="1" type="secondRowStripe"/>
    </tableStyle>
    <tableStyle count="3" pivot="0" name="STATS-style 27">
      <tableStyleElement dxfId="1" type="headerRow"/>
      <tableStyleElement dxfId="17" type="firstRowStripe"/>
      <tableStyleElement dxfId="1" type="secondRowStripe"/>
    </tableStyle>
    <tableStyle count="3" pivot="0" name="STATS-style 28">
      <tableStyleElement dxfId="16" type="headerRow"/>
      <tableStyleElement dxfId="1" type="firstRowStripe"/>
      <tableStyleElement dxfId="16" type="secondRowStripe"/>
    </tableStyle>
    <tableStyle count="3" pivot="0" name="STATS-style 29">
      <tableStyleElement dxfId="17" type="headerRow"/>
      <tableStyleElement dxfId="1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.png"/><Relationship Id="rId42" Type="http://schemas.openxmlformats.org/officeDocument/2006/relationships/image" Target="../media/image51.png"/><Relationship Id="rId41" Type="http://schemas.openxmlformats.org/officeDocument/2006/relationships/image" Target="../media/image54.png"/><Relationship Id="rId44" Type="http://schemas.openxmlformats.org/officeDocument/2006/relationships/image" Target="../media/image18.png"/><Relationship Id="rId43" Type="http://schemas.openxmlformats.org/officeDocument/2006/relationships/image" Target="../media/image49.png"/><Relationship Id="rId46" Type="http://schemas.openxmlformats.org/officeDocument/2006/relationships/image" Target="../media/image16.png"/><Relationship Id="rId45" Type="http://schemas.openxmlformats.org/officeDocument/2006/relationships/image" Target="../media/image31.png"/><Relationship Id="rId1" Type="http://schemas.openxmlformats.org/officeDocument/2006/relationships/image" Target="../media/image2.png"/><Relationship Id="rId2" Type="http://schemas.openxmlformats.org/officeDocument/2006/relationships/image" Target="../media/image27.png"/><Relationship Id="rId3" Type="http://schemas.openxmlformats.org/officeDocument/2006/relationships/image" Target="../media/image22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48" Type="http://schemas.openxmlformats.org/officeDocument/2006/relationships/image" Target="../media/image28.png"/><Relationship Id="rId47" Type="http://schemas.openxmlformats.org/officeDocument/2006/relationships/image" Target="../media/image44.png"/><Relationship Id="rId49" Type="http://schemas.openxmlformats.org/officeDocument/2006/relationships/image" Target="../media/image24.png"/><Relationship Id="rId5" Type="http://schemas.openxmlformats.org/officeDocument/2006/relationships/image" Target="../media/image19.png"/><Relationship Id="rId6" Type="http://schemas.openxmlformats.org/officeDocument/2006/relationships/image" Target="../media/image1.png"/><Relationship Id="rId7" Type="http://schemas.openxmlformats.org/officeDocument/2006/relationships/image" Target="../media/image41.png"/><Relationship Id="rId8" Type="http://schemas.openxmlformats.org/officeDocument/2006/relationships/image" Target="../media/image11.png"/><Relationship Id="rId31" Type="http://schemas.openxmlformats.org/officeDocument/2006/relationships/image" Target="../media/image13.png"/><Relationship Id="rId30" Type="http://schemas.openxmlformats.org/officeDocument/2006/relationships/image" Target="../media/image40.png"/><Relationship Id="rId33" Type="http://schemas.openxmlformats.org/officeDocument/2006/relationships/image" Target="../media/image37.png"/><Relationship Id="rId32" Type="http://schemas.openxmlformats.org/officeDocument/2006/relationships/image" Target="../media/image50.png"/><Relationship Id="rId35" Type="http://schemas.openxmlformats.org/officeDocument/2006/relationships/image" Target="../media/image45.png"/><Relationship Id="rId34" Type="http://schemas.openxmlformats.org/officeDocument/2006/relationships/image" Target="../media/image17.png"/><Relationship Id="rId37" Type="http://schemas.openxmlformats.org/officeDocument/2006/relationships/image" Target="../media/image55.png"/><Relationship Id="rId36" Type="http://schemas.openxmlformats.org/officeDocument/2006/relationships/image" Target="../media/image34.png"/><Relationship Id="rId39" Type="http://schemas.openxmlformats.org/officeDocument/2006/relationships/image" Target="../media/image43.png"/><Relationship Id="rId38" Type="http://schemas.openxmlformats.org/officeDocument/2006/relationships/image" Target="../media/image53.png"/><Relationship Id="rId20" Type="http://schemas.openxmlformats.org/officeDocument/2006/relationships/image" Target="../media/image25.png"/><Relationship Id="rId22" Type="http://schemas.openxmlformats.org/officeDocument/2006/relationships/image" Target="../media/image15.png"/><Relationship Id="rId21" Type="http://schemas.openxmlformats.org/officeDocument/2006/relationships/image" Target="../media/image12.png"/><Relationship Id="rId24" Type="http://schemas.openxmlformats.org/officeDocument/2006/relationships/image" Target="../media/image36.png"/><Relationship Id="rId23" Type="http://schemas.openxmlformats.org/officeDocument/2006/relationships/image" Target="../media/image39.png"/><Relationship Id="rId26" Type="http://schemas.openxmlformats.org/officeDocument/2006/relationships/image" Target="../media/image47.png"/><Relationship Id="rId25" Type="http://schemas.openxmlformats.org/officeDocument/2006/relationships/image" Target="../media/image9.png"/><Relationship Id="rId28" Type="http://schemas.openxmlformats.org/officeDocument/2006/relationships/image" Target="../media/image48.png"/><Relationship Id="rId27" Type="http://schemas.openxmlformats.org/officeDocument/2006/relationships/image" Target="../media/image5.png"/><Relationship Id="rId29" Type="http://schemas.openxmlformats.org/officeDocument/2006/relationships/image" Target="../media/image29.png"/><Relationship Id="rId51" Type="http://schemas.openxmlformats.org/officeDocument/2006/relationships/image" Target="../media/image14.png"/><Relationship Id="rId50" Type="http://schemas.openxmlformats.org/officeDocument/2006/relationships/image" Target="../media/image33.png"/><Relationship Id="rId53" Type="http://schemas.openxmlformats.org/officeDocument/2006/relationships/image" Target="../media/image26.png"/><Relationship Id="rId52" Type="http://schemas.openxmlformats.org/officeDocument/2006/relationships/image" Target="../media/image42.png"/><Relationship Id="rId11" Type="http://schemas.openxmlformats.org/officeDocument/2006/relationships/image" Target="../media/image3.png"/><Relationship Id="rId55" Type="http://schemas.openxmlformats.org/officeDocument/2006/relationships/image" Target="../media/image38.png"/><Relationship Id="rId10" Type="http://schemas.openxmlformats.org/officeDocument/2006/relationships/image" Target="../media/image32.png"/><Relationship Id="rId54" Type="http://schemas.openxmlformats.org/officeDocument/2006/relationships/image" Target="../media/image52.png"/><Relationship Id="rId13" Type="http://schemas.openxmlformats.org/officeDocument/2006/relationships/image" Target="../media/image7.png"/><Relationship Id="rId57" Type="http://schemas.openxmlformats.org/officeDocument/2006/relationships/image" Target="../media/image35.png"/><Relationship Id="rId12" Type="http://schemas.openxmlformats.org/officeDocument/2006/relationships/image" Target="../media/image21.png"/><Relationship Id="rId56" Type="http://schemas.openxmlformats.org/officeDocument/2006/relationships/image" Target="../media/image46.png"/><Relationship Id="rId15" Type="http://schemas.openxmlformats.org/officeDocument/2006/relationships/image" Target="../media/image4.png"/><Relationship Id="rId14" Type="http://schemas.openxmlformats.org/officeDocument/2006/relationships/image" Target="../media/image56.png"/><Relationship Id="rId58" Type="http://schemas.openxmlformats.org/officeDocument/2006/relationships/image" Target="../media/image58.png"/><Relationship Id="rId17" Type="http://schemas.openxmlformats.org/officeDocument/2006/relationships/image" Target="../media/image20.png"/><Relationship Id="rId16" Type="http://schemas.openxmlformats.org/officeDocument/2006/relationships/image" Target="../media/image23.png"/><Relationship Id="rId19" Type="http://schemas.openxmlformats.org/officeDocument/2006/relationships/image" Target="../media/image8.png"/><Relationship Id="rId18" Type="http://schemas.openxmlformats.org/officeDocument/2006/relationships/image" Target="../media/image57.png"/></Relationships>
</file>

<file path=xl/drawings/_rels/drawing2.xml.rels><?xml version="1.0" encoding="UTF-8" standalone="yes"?><Relationships xmlns="http://schemas.openxmlformats.org/package/2006/relationships"><Relationship Id="rId190" Type="http://schemas.openxmlformats.org/officeDocument/2006/relationships/image" Target="../media/image261.png"/><Relationship Id="rId194" Type="http://schemas.openxmlformats.org/officeDocument/2006/relationships/image" Target="../media/image240.png"/><Relationship Id="rId193" Type="http://schemas.openxmlformats.org/officeDocument/2006/relationships/image" Target="../media/image236.png"/><Relationship Id="rId192" Type="http://schemas.openxmlformats.org/officeDocument/2006/relationships/image" Target="../media/image242.png"/><Relationship Id="rId191" Type="http://schemas.openxmlformats.org/officeDocument/2006/relationships/image" Target="../media/image252.png"/><Relationship Id="rId187" Type="http://schemas.openxmlformats.org/officeDocument/2006/relationships/image" Target="../media/image272.png"/><Relationship Id="rId186" Type="http://schemas.openxmlformats.org/officeDocument/2006/relationships/image" Target="../media/image273.png"/><Relationship Id="rId185" Type="http://schemas.openxmlformats.org/officeDocument/2006/relationships/image" Target="../media/image271.png"/><Relationship Id="rId184" Type="http://schemas.openxmlformats.org/officeDocument/2006/relationships/image" Target="../media/image256.png"/><Relationship Id="rId189" Type="http://schemas.openxmlformats.org/officeDocument/2006/relationships/image" Target="../media/image269.png"/><Relationship Id="rId188" Type="http://schemas.openxmlformats.org/officeDocument/2006/relationships/image" Target="../media/image208.png"/><Relationship Id="rId183" Type="http://schemas.openxmlformats.org/officeDocument/2006/relationships/image" Target="../media/image253.png"/><Relationship Id="rId182" Type="http://schemas.openxmlformats.org/officeDocument/2006/relationships/image" Target="../media/image262.png"/><Relationship Id="rId181" Type="http://schemas.openxmlformats.org/officeDocument/2006/relationships/image" Target="../media/image265.png"/><Relationship Id="rId180" Type="http://schemas.openxmlformats.org/officeDocument/2006/relationships/image" Target="../media/image203.png"/><Relationship Id="rId176" Type="http://schemas.openxmlformats.org/officeDocument/2006/relationships/image" Target="../media/image227.png"/><Relationship Id="rId297" Type="http://schemas.openxmlformats.org/officeDocument/2006/relationships/image" Target="../media/image355.png"/><Relationship Id="rId175" Type="http://schemas.openxmlformats.org/officeDocument/2006/relationships/image" Target="../media/image201.png"/><Relationship Id="rId296" Type="http://schemas.openxmlformats.org/officeDocument/2006/relationships/image" Target="../media/image353.png"/><Relationship Id="rId174" Type="http://schemas.openxmlformats.org/officeDocument/2006/relationships/image" Target="../media/image260.png"/><Relationship Id="rId295" Type="http://schemas.openxmlformats.org/officeDocument/2006/relationships/image" Target="../media/image346.png"/><Relationship Id="rId173" Type="http://schemas.openxmlformats.org/officeDocument/2006/relationships/image" Target="../media/image221.png"/><Relationship Id="rId294" Type="http://schemas.openxmlformats.org/officeDocument/2006/relationships/image" Target="../media/image381.png"/><Relationship Id="rId179" Type="http://schemas.openxmlformats.org/officeDocument/2006/relationships/image" Target="../media/image243.png"/><Relationship Id="rId178" Type="http://schemas.openxmlformats.org/officeDocument/2006/relationships/image" Target="../media/image279.png"/><Relationship Id="rId299" Type="http://schemas.openxmlformats.org/officeDocument/2006/relationships/image" Target="../media/image343.png"/><Relationship Id="rId177" Type="http://schemas.openxmlformats.org/officeDocument/2006/relationships/image" Target="../media/image238.png"/><Relationship Id="rId298" Type="http://schemas.openxmlformats.org/officeDocument/2006/relationships/image" Target="../media/image387.png"/><Relationship Id="rId198" Type="http://schemas.openxmlformats.org/officeDocument/2006/relationships/image" Target="../media/image248.png"/><Relationship Id="rId197" Type="http://schemas.openxmlformats.org/officeDocument/2006/relationships/image" Target="../media/image214.png"/><Relationship Id="rId196" Type="http://schemas.openxmlformats.org/officeDocument/2006/relationships/image" Target="../media/image211.png"/><Relationship Id="rId195" Type="http://schemas.openxmlformats.org/officeDocument/2006/relationships/image" Target="../media/image239.png"/><Relationship Id="rId199" Type="http://schemas.openxmlformats.org/officeDocument/2006/relationships/image" Target="../media/image216.png"/><Relationship Id="rId150" Type="http://schemas.openxmlformats.org/officeDocument/2006/relationships/image" Target="../media/image204.png"/><Relationship Id="rId271" Type="http://schemas.openxmlformats.org/officeDocument/2006/relationships/image" Target="../media/image308.png"/><Relationship Id="rId392" Type="http://schemas.openxmlformats.org/officeDocument/2006/relationships/image" Target="../media/image479.png"/><Relationship Id="rId270" Type="http://schemas.openxmlformats.org/officeDocument/2006/relationships/image" Target="../media/image323.png"/><Relationship Id="rId391" Type="http://schemas.openxmlformats.org/officeDocument/2006/relationships/image" Target="../media/image437.png"/><Relationship Id="rId390" Type="http://schemas.openxmlformats.org/officeDocument/2006/relationships/image" Target="../media/image464.png"/><Relationship Id="rId1" Type="http://schemas.openxmlformats.org/officeDocument/2006/relationships/image" Target="../media/image61.png"/><Relationship Id="rId2" Type="http://schemas.openxmlformats.org/officeDocument/2006/relationships/image" Target="../media/image73.png"/><Relationship Id="rId3" Type="http://schemas.openxmlformats.org/officeDocument/2006/relationships/image" Target="../media/image78.png"/><Relationship Id="rId149" Type="http://schemas.openxmlformats.org/officeDocument/2006/relationships/image" Target="../media/image258.png"/><Relationship Id="rId4" Type="http://schemas.openxmlformats.org/officeDocument/2006/relationships/image" Target="../media/image87.png"/><Relationship Id="rId148" Type="http://schemas.openxmlformats.org/officeDocument/2006/relationships/image" Target="../media/image223.png"/><Relationship Id="rId269" Type="http://schemas.openxmlformats.org/officeDocument/2006/relationships/image" Target="../media/image300.png"/><Relationship Id="rId9" Type="http://schemas.openxmlformats.org/officeDocument/2006/relationships/image" Target="../media/image80.png"/><Relationship Id="rId143" Type="http://schemas.openxmlformats.org/officeDocument/2006/relationships/image" Target="../media/image171.png"/><Relationship Id="rId264" Type="http://schemas.openxmlformats.org/officeDocument/2006/relationships/image" Target="../media/image345.png"/><Relationship Id="rId385" Type="http://schemas.openxmlformats.org/officeDocument/2006/relationships/image" Target="../media/image444.png"/><Relationship Id="rId142" Type="http://schemas.openxmlformats.org/officeDocument/2006/relationships/image" Target="../media/image219.png"/><Relationship Id="rId263" Type="http://schemas.openxmlformats.org/officeDocument/2006/relationships/image" Target="../media/image310.png"/><Relationship Id="rId384" Type="http://schemas.openxmlformats.org/officeDocument/2006/relationships/image" Target="../media/image414.png"/><Relationship Id="rId141" Type="http://schemas.openxmlformats.org/officeDocument/2006/relationships/image" Target="../media/image182.png"/><Relationship Id="rId262" Type="http://schemas.openxmlformats.org/officeDocument/2006/relationships/image" Target="../media/image318.png"/><Relationship Id="rId383" Type="http://schemas.openxmlformats.org/officeDocument/2006/relationships/image" Target="../media/image433.png"/><Relationship Id="rId140" Type="http://schemas.openxmlformats.org/officeDocument/2006/relationships/image" Target="../media/image228.png"/><Relationship Id="rId261" Type="http://schemas.openxmlformats.org/officeDocument/2006/relationships/image" Target="../media/image367.png"/><Relationship Id="rId382" Type="http://schemas.openxmlformats.org/officeDocument/2006/relationships/image" Target="../media/image453.png"/><Relationship Id="rId5" Type="http://schemas.openxmlformats.org/officeDocument/2006/relationships/image" Target="../media/image69.png"/><Relationship Id="rId147" Type="http://schemas.openxmlformats.org/officeDocument/2006/relationships/image" Target="../media/image237.png"/><Relationship Id="rId268" Type="http://schemas.openxmlformats.org/officeDocument/2006/relationships/image" Target="../media/image327.png"/><Relationship Id="rId389" Type="http://schemas.openxmlformats.org/officeDocument/2006/relationships/image" Target="../media/image406.png"/><Relationship Id="rId6" Type="http://schemas.openxmlformats.org/officeDocument/2006/relationships/image" Target="../media/image67.png"/><Relationship Id="rId146" Type="http://schemas.openxmlformats.org/officeDocument/2006/relationships/image" Target="../media/image218.png"/><Relationship Id="rId267" Type="http://schemas.openxmlformats.org/officeDocument/2006/relationships/image" Target="../media/image361.png"/><Relationship Id="rId388" Type="http://schemas.openxmlformats.org/officeDocument/2006/relationships/image" Target="../media/image449.png"/><Relationship Id="rId7" Type="http://schemas.openxmlformats.org/officeDocument/2006/relationships/image" Target="../media/image60.png"/><Relationship Id="rId145" Type="http://schemas.openxmlformats.org/officeDocument/2006/relationships/image" Target="../media/image249.png"/><Relationship Id="rId266" Type="http://schemas.openxmlformats.org/officeDocument/2006/relationships/image" Target="../media/image339.png"/><Relationship Id="rId387" Type="http://schemas.openxmlformats.org/officeDocument/2006/relationships/image" Target="../media/image426.png"/><Relationship Id="rId8" Type="http://schemas.openxmlformats.org/officeDocument/2006/relationships/image" Target="../media/image59.png"/><Relationship Id="rId144" Type="http://schemas.openxmlformats.org/officeDocument/2006/relationships/image" Target="../media/image226.png"/><Relationship Id="rId265" Type="http://schemas.openxmlformats.org/officeDocument/2006/relationships/image" Target="../media/image328.png"/><Relationship Id="rId386" Type="http://schemas.openxmlformats.org/officeDocument/2006/relationships/image" Target="../media/image481.png"/><Relationship Id="rId260" Type="http://schemas.openxmlformats.org/officeDocument/2006/relationships/image" Target="../media/image331.png"/><Relationship Id="rId381" Type="http://schemas.openxmlformats.org/officeDocument/2006/relationships/image" Target="../media/image441.png"/><Relationship Id="rId380" Type="http://schemas.openxmlformats.org/officeDocument/2006/relationships/image" Target="../media/image443.png"/><Relationship Id="rId139" Type="http://schemas.openxmlformats.org/officeDocument/2006/relationships/image" Target="../media/image230.png"/><Relationship Id="rId138" Type="http://schemas.openxmlformats.org/officeDocument/2006/relationships/image" Target="../media/image233.png"/><Relationship Id="rId259" Type="http://schemas.openxmlformats.org/officeDocument/2006/relationships/image" Target="../media/image342.png"/><Relationship Id="rId137" Type="http://schemas.openxmlformats.org/officeDocument/2006/relationships/image" Target="../media/image194.png"/><Relationship Id="rId258" Type="http://schemas.openxmlformats.org/officeDocument/2006/relationships/image" Target="../media/image305.png"/><Relationship Id="rId379" Type="http://schemas.openxmlformats.org/officeDocument/2006/relationships/image" Target="../media/image396.png"/><Relationship Id="rId132" Type="http://schemas.openxmlformats.org/officeDocument/2006/relationships/image" Target="../media/image184.png"/><Relationship Id="rId253" Type="http://schemas.openxmlformats.org/officeDocument/2006/relationships/image" Target="../media/image312.png"/><Relationship Id="rId374" Type="http://schemas.openxmlformats.org/officeDocument/2006/relationships/image" Target="../media/image442.png"/><Relationship Id="rId495" Type="http://schemas.openxmlformats.org/officeDocument/2006/relationships/image" Target="../media/image560.png"/><Relationship Id="rId131" Type="http://schemas.openxmlformats.org/officeDocument/2006/relationships/image" Target="../media/image179.png"/><Relationship Id="rId252" Type="http://schemas.openxmlformats.org/officeDocument/2006/relationships/image" Target="../media/image291.png"/><Relationship Id="rId373" Type="http://schemas.openxmlformats.org/officeDocument/2006/relationships/image" Target="../media/image460.png"/><Relationship Id="rId494" Type="http://schemas.openxmlformats.org/officeDocument/2006/relationships/image" Target="../media/image556.png"/><Relationship Id="rId130" Type="http://schemas.openxmlformats.org/officeDocument/2006/relationships/image" Target="../media/image193.png"/><Relationship Id="rId251" Type="http://schemas.openxmlformats.org/officeDocument/2006/relationships/image" Target="../media/image315.png"/><Relationship Id="rId372" Type="http://schemas.openxmlformats.org/officeDocument/2006/relationships/image" Target="../media/image382.png"/><Relationship Id="rId493" Type="http://schemas.openxmlformats.org/officeDocument/2006/relationships/image" Target="../media/image555.png"/><Relationship Id="rId250" Type="http://schemas.openxmlformats.org/officeDocument/2006/relationships/image" Target="../media/image322.png"/><Relationship Id="rId371" Type="http://schemas.openxmlformats.org/officeDocument/2006/relationships/image" Target="../media/image415.png"/><Relationship Id="rId492" Type="http://schemas.openxmlformats.org/officeDocument/2006/relationships/image" Target="../media/image523.png"/><Relationship Id="rId136" Type="http://schemas.openxmlformats.org/officeDocument/2006/relationships/image" Target="../media/image175.png"/><Relationship Id="rId257" Type="http://schemas.openxmlformats.org/officeDocument/2006/relationships/image" Target="../media/image329.png"/><Relationship Id="rId378" Type="http://schemas.openxmlformats.org/officeDocument/2006/relationships/image" Target="../media/image408.png"/><Relationship Id="rId499" Type="http://schemas.openxmlformats.org/officeDocument/2006/relationships/image" Target="../media/image570.png"/><Relationship Id="rId135" Type="http://schemas.openxmlformats.org/officeDocument/2006/relationships/image" Target="../media/image180.png"/><Relationship Id="rId256" Type="http://schemas.openxmlformats.org/officeDocument/2006/relationships/image" Target="../media/image314.png"/><Relationship Id="rId377" Type="http://schemas.openxmlformats.org/officeDocument/2006/relationships/image" Target="../media/image435.png"/><Relationship Id="rId498" Type="http://schemas.openxmlformats.org/officeDocument/2006/relationships/image" Target="../media/image529.png"/><Relationship Id="rId134" Type="http://schemas.openxmlformats.org/officeDocument/2006/relationships/image" Target="../media/image170.png"/><Relationship Id="rId255" Type="http://schemas.openxmlformats.org/officeDocument/2006/relationships/image" Target="../media/image335.png"/><Relationship Id="rId376" Type="http://schemas.openxmlformats.org/officeDocument/2006/relationships/image" Target="../media/image450.png"/><Relationship Id="rId497" Type="http://schemas.openxmlformats.org/officeDocument/2006/relationships/image" Target="../media/image545.png"/><Relationship Id="rId133" Type="http://schemas.openxmlformats.org/officeDocument/2006/relationships/image" Target="../media/image213.png"/><Relationship Id="rId254" Type="http://schemas.openxmlformats.org/officeDocument/2006/relationships/image" Target="../media/image299.png"/><Relationship Id="rId375" Type="http://schemas.openxmlformats.org/officeDocument/2006/relationships/image" Target="../media/image407.png"/><Relationship Id="rId496" Type="http://schemas.openxmlformats.org/officeDocument/2006/relationships/image" Target="../media/image566.png"/><Relationship Id="rId172" Type="http://schemas.openxmlformats.org/officeDocument/2006/relationships/image" Target="../media/image241.png"/><Relationship Id="rId293" Type="http://schemas.openxmlformats.org/officeDocument/2006/relationships/image" Target="../media/image439.png"/><Relationship Id="rId171" Type="http://schemas.openxmlformats.org/officeDocument/2006/relationships/image" Target="../media/image215.png"/><Relationship Id="rId292" Type="http://schemas.openxmlformats.org/officeDocument/2006/relationships/image" Target="../media/image376.png"/><Relationship Id="rId170" Type="http://schemas.openxmlformats.org/officeDocument/2006/relationships/image" Target="../media/image187.png"/><Relationship Id="rId291" Type="http://schemas.openxmlformats.org/officeDocument/2006/relationships/image" Target="../media/image316.png"/><Relationship Id="rId290" Type="http://schemas.openxmlformats.org/officeDocument/2006/relationships/image" Target="../media/image383.png"/><Relationship Id="rId165" Type="http://schemas.openxmlformats.org/officeDocument/2006/relationships/image" Target="../media/image245.png"/><Relationship Id="rId286" Type="http://schemas.openxmlformats.org/officeDocument/2006/relationships/image" Target="../media/image344.png"/><Relationship Id="rId164" Type="http://schemas.openxmlformats.org/officeDocument/2006/relationships/image" Target="../media/image231.png"/><Relationship Id="rId285" Type="http://schemas.openxmlformats.org/officeDocument/2006/relationships/image" Target="../media/image320.png"/><Relationship Id="rId163" Type="http://schemas.openxmlformats.org/officeDocument/2006/relationships/image" Target="../media/image225.png"/><Relationship Id="rId284" Type="http://schemas.openxmlformats.org/officeDocument/2006/relationships/image" Target="../media/image352.png"/><Relationship Id="rId162" Type="http://schemas.openxmlformats.org/officeDocument/2006/relationships/image" Target="../media/image198.png"/><Relationship Id="rId283" Type="http://schemas.openxmlformats.org/officeDocument/2006/relationships/image" Target="../media/image317.png"/><Relationship Id="rId169" Type="http://schemas.openxmlformats.org/officeDocument/2006/relationships/image" Target="../media/image191.png"/><Relationship Id="rId168" Type="http://schemas.openxmlformats.org/officeDocument/2006/relationships/image" Target="../media/image224.png"/><Relationship Id="rId289" Type="http://schemas.openxmlformats.org/officeDocument/2006/relationships/image" Target="../media/image319.png"/><Relationship Id="rId167" Type="http://schemas.openxmlformats.org/officeDocument/2006/relationships/image" Target="../media/image197.png"/><Relationship Id="rId288" Type="http://schemas.openxmlformats.org/officeDocument/2006/relationships/image" Target="../media/image354.png"/><Relationship Id="rId166" Type="http://schemas.openxmlformats.org/officeDocument/2006/relationships/image" Target="../media/image247.png"/><Relationship Id="rId287" Type="http://schemas.openxmlformats.org/officeDocument/2006/relationships/image" Target="../media/image349.png"/><Relationship Id="rId161" Type="http://schemas.openxmlformats.org/officeDocument/2006/relationships/image" Target="../media/image217.png"/><Relationship Id="rId282" Type="http://schemas.openxmlformats.org/officeDocument/2006/relationships/image" Target="../media/image309.png"/><Relationship Id="rId160" Type="http://schemas.openxmlformats.org/officeDocument/2006/relationships/image" Target="../media/image196.png"/><Relationship Id="rId281" Type="http://schemas.openxmlformats.org/officeDocument/2006/relationships/image" Target="../media/image332.png"/><Relationship Id="rId280" Type="http://schemas.openxmlformats.org/officeDocument/2006/relationships/image" Target="../media/image337.png"/><Relationship Id="rId159" Type="http://schemas.openxmlformats.org/officeDocument/2006/relationships/image" Target="../media/image173.png"/><Relationship Id="rId154" Type="http://schemas.openxmlformats.org/officeDocument/2006/relationships/image" Target="../media/image268.png"/><Relationship Id="rId275" Type="http://schemas.openxmlformats.org/officeDocument/2006/relationships/image" Target="../media/image325.png"/><Relationship Id="rId396" Type="http://schemas.openxmlformats.org/officeDocument/2006/relationships/image" Target="../media/image424.png"/><Relationship Id="rId153" Type="http://schemas.openxmlformats.org/officeDocument/2006/relationships/image" Target="../media/image246.png"/><Relationship Id="rId274" Type="http://schemas.openxmlformats.org/officeDocument/2006/relationships/image" Target="../media/image306.png"/><Relationship Id="rId395" Type="http://schemas.openxmlformats.org/officeDocument/2006/relationships/image" Target="../media/image494.png"/><Relationship Id="rId152" Type="http://schemas.openxmlformats.org/officeDocument/2006/relationships/image" Target="../media/image199.png"/><Relationship Id="rId273" Type="http://schemas.openxmlformats.org/officeDocument/2006/relationships/image" Target="../media/image375.png"/><Relationship Id="rId394" Type="http://schemas.openxmlformats.org/officeDocument/2006/relationships/image" Target="../media/image446.png"/><Relationship Id="rId151" Type="http://schemas.openxmlformats.org/officeDocument/2006/relationships/image" Target="../media/image192.png"/><Relationship Id="rId272" Type="http://schemas.openxmlformats.org/officeDocument/2006/relationships/image" Target="../media/image369.png"/><Relationship Id="rId393" Type="http://schemas.openxmlformats.org/officeDocument/2006/relationships/image" Target="../media/image491.png"/><Relationship Id="rId158" Type="http://schemas.openxmlformats.org/officeDocument/2006/relationships/image" Target="../media/image212.png"/><Relationship Id="rId279" Type="http://schemas.openxmlformats.org/officeDocument/2006/relationships/image" Target="../media/image303.png"/><Relationship Id="rId157" Type="http://schemas.openxmlformats.org/officeDocument/2006/relationships/image" Target="../media/image206.png"/><Relationship Id="rId278" Type="http://schemas.openxmlformats.org/officeDocument/2006/relationships/image" Target="../media/image302.png"/><Relationship Id="rId399" Type="http://schemas.openxmlformats.org/officeDocument/2006/relationships/image" Target="../media/image438.png"/><Relationship Id="rId156" Type="http://schemas.openxmlformats.org/officeDocument/2006/relationships/image" Target="../media/image183.png"/><Relationship Id="rId277" Type="http://schemas.openxmlformats.org/officeDocument/2006/relationships/image" Target="../media/image333.png"/><Relationship Id="rId398" Type="http://schemas.openxmlformats.org/officeDocument/2006/relationships/image" Target="../media/image428.png"/><Relationship Id="rId155" Type="http://schemas.openxmlformats.org/officeDocument/2006/relationships/image" Target="../media/image202.png"/><Relationship Id="rId276" Type="http://schemas.openxmlformats.org/officeDocument/2006/relationships/image" Target="../media/image403.png"/><Relationship Id="rId397" Type="http://schemas.openxmlformats.org/officeDocument/2006/relationships/image" Target="../media/image434.png"/><Relationship Id="rId40" Type="http://schemas.openxmlformats.org/officeDocument/2006/relationships/image" Target="../media/image92.png"/><Relationship Id="rId42" Type="http://schemas.openxmlformats.org/officeDocument/2006/relationships/image" Target="../media/image101.png"/><Relationship Id="rId41" Type="http://schemas.openxmlformats.org/officeDocument/2006/relationships/image" Target="../media/image85.png"/><Relationship Id="rId44" Type="http://schemas.openxmlformats.org/officeDocument/2006/relationships/image" Target="../media/image74.png"/><Relationship Id="rId43" Type="http://schemas.openxmlformats.org/officeDocument/2006/relationships/image" Target="../media/image72.png"/><Relationship Id="rId46" Type="http://schemas.openxmlformats.org/officeDocument/2006/relationships/image" Target="../media/image77.png"/><Relationship Id="rId45" Type="http://schemas.openxmlformats.org/officeDocument/2006/relationships/image" Target="../media/image84.png"/><Relationship Id="rId503" Type="http://schemas.openxmlformats.org/officeDocument/2006/relationships/image" Target="../media/image535.png"/><Relationship Id="rId502" Type="http://schemas.openxmlformats.org/officeDocument/2006/relationships/image" Target="../media/image531.png"/><Relationship Id="rId501" Type="http://schemas.openxmlformats.org/officeDocument/2006/relationships/image" Target="../media/image546.png"/><Relationship Id="rId500" Type="http://schemas.openxmlformats.org/officeDocument/2006/relationships/image" Target="../media/image568.png"/><Relationship Id="rId505" Type="http://schemas.openxmlformats.org/officeDocument/2006/relationships/image" Target="../media/image558.png"/><Relationship Id="rId504" Type="http://schemas.openxmlformats.org/officeDocument/2006/relationships/image" Target="../media/image576.png"/><Relationship Id="rId48" Type="http://schemas.openxmlformats.org/officeDocument/2006/relationships/image" Target="../media/image98.png"/><Relationship Id="rId47" Type="http://schemas.openxmlformats.org/officeDocument/2006/relationships/image" Target="../media/image161.png"/><Relationship Id="rId49" Type="http://schemas.openxmlformats.org/officeDocument/2006/relationships/image" Target="../media/image90.png"/><Relationship Id="rId31" Type="http://schemas.openxmlformats.org/officeDocument/2006/relationships/image" Target="../media/image121.png"/><Relationship Id="rId30" Type="http://schemas.openxmlformats.org/officeDocument/2006/relationships/image" Target="../media/image81.png"/><Relationship Id="rId33" Type="http://schemas.openxmlformats.org/officeDocument/2006/relationships/image" Target="../media/image86.png"/><Relationship Id="rId32" Type="http://schemas.openxmlformats.org/officeDocument/2006/relationships/image" Target="../media/image70.png"/><Relationship Id="rId35" Type="http://schemas.openxmlformats.org/officeDocument/2006/relationships/image" Target="../media/image127.png"/><Relationship Id="rId34" Type="http://schemas.openxmlformats.org/officeDocument/2006/relationships/image" Target="../media/image95.png"/><Relationship Id="rId37" Type="http://schemas.openxmlformats.org/officeDocument/2006/relationships/image" Target="../media/image112.png"/><Relationship Id="rId36" Type="http://schemas.openxmlformats.org/officeDocument/2006/relationships/image" Target="../media/image103.png"/><Relationship Id="rId39" Type="http://schemas.openxmlformats.org/officeDocument/2006/relationships/image" Target="../media/image108.png"/><Relationship Id="rId38" Type="http://schemas.openxmlformats.org/officeDocument/2006/relationships/image" Target="../media/image119.png"/><Relationship Id="rId20" Type="http://schemas.openxmlformats.org/officeDocument/2006/relationships/image" Target="../media/image99.png"/><Relationship Id="rId22" Type="http://schemas.openxmlformats.org/officeDocument/2006/relationships/image" Target="../media/image107.png"/><Relationship Id="rId21" Type="http://schemas.openxmlformats.org/officeDocument/2006/relationships/image" Target="../media/image71.png"/><Relationship Id="rId24" Type="http://schemas.openxmlformats.org/officeDocument/2006/relationships/image" Target="../media/image97.png"/><Relationship Id="rId23" Type="http://schemas.openxmlformats.org/officeDocument/2006/relationships/image" Target="../media/image64.png"/><Relationship Id="rId409" Type="http://schemas.openxmlformats.org/officeDocument/2006/relationships/image" Target="../media/image470.png"/><Relationship Id="rId404" Type="http://schemas.openxmlformats.org/officeDocument/2006/relationships/image" Target="../media/image452.png"/><Relationship Id="rId403" Type="http://schemas.openxmlformats.org/officeDocument/2006/relationships/image" Target="../media/image515.png"/><Relationship Id="rId402" Type="http://schemas.openxmlformats.org/officeDocument/2006/relationships/image" Target="../media/image421.png"/><Relationship Id="rId401" Type="http://schemas.openxmlformats.org/officeDocument/2006/relationships/image" Target="../media/image458.png"/><Relationship Id="rId408" Type="http://schemas.openxmlformats.org/officeDocument/2006/relationships/image" Target="../media/image506.png"/><Relationship Id="rId407" Type="http://schemas.openxmlformats.org/officeDocument/2006/relationships/image" Target="../media/image472.png"/><Relationship Id="rId406" Type="http://schemas.openxmlformats.org/officeDocument/2006/relationships/image" Target="../media/image493.png"/><Relationship Id="rId405" Type="http://schemas.openxmlformats.org/officeDocument/2006/relationships/image" Target="../media/image487.png"/><Relationship Id="rId26" Type="http://schemas.openxmlformats.org/officeDocument/2006/relationships/image" Target="../media/image124.png"/><Relationship Id="rId25" Type="http://schemas.openxmlformats.org/officeDocument/2006/relationships/image" Target="../media/image76.png"/><Relationship Id="rId28" Type="http://schemas.openxmlformats.org/officeDocument/2006/relationships/image" Target="../media/image68.png"/><Relationship Id="rId27" Type="http://schemas.openxmlformats.org/officeDocument/2006/relationships/image" Target="../media/image63.png"/><Relationship Id="rId400" Type="http://schemas.openxmlformats.org/officeDocument/2006/relationships/image" Target="../media/image416.png"/><Relationship Id="rId29" Type="http://schemas.openxmlformats.org/officeDocument/2006/relationships/image" Target="../media/image89.png"/><Relationship Id="rId11" Type="http://schemas.openxmlformats.org/officeDocument/2006/relationships/image" Target="../media/image105.png"/><Relationship Id="rId10" Type="http://schemas.openxmlformats.org/officeDocument/2006/relationships/image" Target="../media/image143.png"/><Relationship Id="rId13" Type="http://schemas.openxmlformats.org/officeDocument/2006/relationships/image" Target="../media/image66.png"/><Relationship Id="rId12" Type="http://schemas.openxmlformats.org/officeDocument/2006/relationships/image" Target="../media/image115.png"/><Relationship Id="rId15" Type="http://schemas.openxmlformats.org/officeDocument/2006/relationships/image" Target="../media/image62.png"/><Relationship Id="rId14" Type="http://schemas.openxmlformats.org/officeDocument/2006/relationships/image" Target="../media/image65.png"/><Relationship Id="rId17" Type="http://schemas.openxmlformats.org/officeDocument/2006/relationships/image" Target="../media/image122.png"/><Relationship Id="rId16" Type="http://schemas.openxmlformats.org/officeDocument/2006/relationships/image" Target="../media/image100.png"/><Relationship Id="rId19" Type="http://schemas.openxmlformats.org/officeDocument/2006/relationships/image" Target="../media/image142.png"/><Relationship Id="rId18" Type="http://schemas.openxmlformats.org/officeDocument/2006/relationships/image" Target="../media/image79.png"/><Relationship Id="rId84" Type="http://schemas.openxmlformats.org/officeDocument/2006/relationships/image" Target="../media/image129.png"/><Relationship Id="rId83" Type="http://schemas.openxmlformats.org/officeDocument/2006/relationships/image" Target="../media/image145.png"/><Relationship Id="rId86" Type="http://schemas.openxmlformats.org/officeDocument/2006/relationships/image" Target="../media/image159.png"/><Relationship Id="rId85" Type="http://schemas.openxmlformats.org/officeDocument/2006/relationships/image" Target="../media/image154.png"/><Relationship Id="rId88" Type="http://schemas.openxmlformats.org/officeDocument/2006/relationships/image" Target="../media/image186.png"/><Relationship Id="rId87" Type="http://schemas.openxmlformats.org/officeDocument/2006/relationships/image" Target="../media/image169.png"/><Relationship Id="rId89" Type="http://schemas.openxmlformats.org/officeDocument/2006/relationships/image" Target="../media/image106.png"/><Relationship Id="rId80" Type="http://schemas.openxmlformats.org/officeDocument/2006/relationships/image" Target="../media/image120.png"/><Relationship Id="rId82" Type="http://schemas.openxmlformats.org/officeDocument/2006/relationships/image" Target="../media/image220.png"/><Relationship Id="rId81" Type="http://schemas.openxmlformats.org/officeDocument/2006/relationships/image" Target="../media/image209.png"/><Relationship Id="rId73" Type="http://schemas.openxmlformats.org/officeDocument/2006/relationships/image" Target="../media/image178.png"/><Relationship Id="rId72" Type="http://schemas.openxmlformats.org/officeDocument/2006/relationships/image" Target="../media/image134.png"/><Relationship Id="rId75" Type="http://schemas.openxmlformats.org/officeDocument/2006/relationships/image" Target="../media/image126.png"/><Relationship Id="rId74" Type="http://schemas.openxmlformats.org/officeDocument/2006/relationships/image" Target="../media/image131.png"/><Relationship Id="rId77" Type="http://schemas.openxmlformats.org/officeDocument/2006/relationships/image" Target="../media/image102.png"/><Relationship Id="rId76" Type="http://schemas.openxmlformats.org/officeDocument/2006/relationships/image" Target="../media/image139.png"/><Relationship Id="rId79" Type="http://schemas.openxmlformats.org/officeDocument/2006/relationships/image" Target="../media/image176.png"/><Relationship Id="rId78" Type="http://schemas.openxmlformats.org/officeDocument/2006/relationships/image" Target="../media/image135.png"/><Relationship Id="rId71" Type="http://schemas.openxmlformats.org/officeDocument/2006/relationships/image" Target="../media/image148.png"/><Relationship Id="rId70" Type="http://schemas.openxmlformats.org/officeDocument/2006/relationships/image" Target="../media/image150.png"/><Relationship Id="rId62" Type="http://schemas.openxmlformats.org/officeDocument/2006/relationships/image" Target="../media/image93.png"/><Relationship Id="rId61" Type="http://schemas.openxmlformats.org/officeDocument/2006/relationships/image" Target="../media/image146.png"/><Relationship Id="rId64" Type="http://schemas.openxmlformats.org/officeDocument/2006/relationships/image" Target="../media/image109.png"/><Relationship Id="rId63" Type="http://schemas.openxmlformats.org/officeDocument/2006/relationships/image" Target="../media/image140.png"/><Relationship Id="rId66" Type="http://schemas.openxmlformats.org/officeDocument/2006/relationships/image" Target="../media/image111.png"/><Relationship Id="rId65" Type="http://schemas.openxmlformats.org/officeDocument/2006/relationships/image" Target="../media/image117.png"/><Relationship Id="rId68" Type="http://schemas.openxmlformats.org/officeDocument/2006/relationships/image" Target="../media/image91.png"/><Relationship Id="rId67" Type="http://schemas.openxmlformats.org/officeDocument/2006/relationships/image" Target="../media/image114.png"/><Relationship Id="rId60" Type="http://schemas.openxmlformats.org/officeDocument/2006/relationships/image" Target="../media/image96.png"/><Relationship Id="rId69" Type="http://schemas.openxmlformats.org/officeDocument/2006/relationships/image" Target="../media/image136.png"/><Relationship Id="rId51" Type="http://schemas.openxmlformats.org/officeDocument/2006/relationships/image" Target="../media/image75.png"/><Relationship Id="rId50" Type="http://schemas.openxmlformats.org/officeDocument/2006/relationships/image" Target="../media/image113.png"/><Relationship Id="rId53" Type="http://schemas.openxmlformats.org/officeDocument/2006/relationships/image" Target="../media/image82.png"/><Relationship Id="rId52" Type="http://schemas.openxmlformats.org/officeDocument/2006/relationships/image" Target="../media/image94.png"/><Relationship Id="rId55" Type="http://schemas.openxmlformats.org/officeDocument/2006/relationships/image" Target="../media/image104.png"/><Relationship Id="rId54" Type="http://schemas.openxmlformats.org/officeDocument/2006/relationships/image" Target="../media/image88.png"/><Relationship Id="rId57" Type="http://schemas.openxmlformats.org/officeDocument/2006/relationships/image" Target="../media/image133.png"/><Relationship Id="rId56" Type="http://schemas.openxmlformats.org/officeDocument/2006/relationships/image" Target="../media/image195.png"/><Relationship Id="rId59" Type="http://schemas.openxmlformats.org/officeDocument/2006/relationships/image" Target="../media/image118.png"/><Relationship Id="rId58" Type="http://schemas.openxmlformats.org/officeDocument/2006/relationships/image" Target="../media/image83.png"/><Relationship Id="rId107" Type="http://schemas.openxmlformats.org/officeDocument/2006/relationships/image" Target="../media/image200.png"/><Relationship Id="rId228" Type="http://schemas.openxmlformats.org/officeDocument/2006/relationships/image" Target="../media/image251.png"/><Relationship Id="rId349" Type="http://schemas.openxmlformats.org/officeDocument/2006/relationships/image" Target="../media/image518.png"/><Relationship Id="rId106" Type="http://schemas.openxmlformats.org/officeDocument/2006/relationships/image" Target="../media/image130.png"/><Relationship Id="rId227" Type="http://schemas.openxmlformats.org/officeDocument/2006/relationships/image" Target="../media/image250.png"/><Relationship Id="rId348" Type="http://schemas.openxmlformats.org/officeDocument/2006/relationships/image" Target="../media/image436.png"/><Relationship Id="rId469" Type="http://schemas.openxmlformats.org/officeDocument/2006/relationships/image" Target="../media/image520.png"/><Relationship Id="rId105" Type="http://schemas.openxmlformats.org/officeDocument/2006/relationships/image" Target="../media/image168.png"/><Relationship Id="rId226" Type="http://schemas.openxmlformats.org/officeDocument/2006/relationships/image" Target="../media/image296.png"/><Relationship Id="rId347" Type="http://schemas.openxmlformats.org/officeDocument/2006/relationships/image" Target="../media/image384.png"/><Relationship Id="rId468" Type="http://schemas.openxmlformats.org/officeDocument/2006/relationships/image" Target="../media/image497.png"/><Relationship Id="rId104" Type="http://schemas.openxmlformats.org/officeDocument/2006/relationships/image" Target="../media/image156.png"/><Relationship Id="rId225" Type="http://schemas.openxmlformats.org/officeDocument/2006/relationships/image" Target="../media/image274.png"/><Relationship Id="rId346" Type="http://schemas.openxmlformats.org/officeDocument/2006/relationships/image" Target="../media/image412.png"/><Relationship Id="rId467" Type="http://schemas.openxmlformats.org/officeDocument/2006/relationships/image" Target="../media/image512.png"/><Relationship Id="rId109" Type="http://schemas.openxmlformats.org/officeDocument/2006/relationships/image" Target="../media/image155.png"/><Relationship Id="rId108" Type="http://schemas.openxmlformats.org/officeDocument/2006/relationships/image" Target="../media/image172.png"/><Relationship Id="rId229" Type="http://schemas.openxmlformats.org/officeDocument/2006/relationships/image" Target="../media/image281.png"/><Relationship Id="rId220" Type="http://schemas.openxmlformats.org/officeDocument/2006/relationships/image" Target="../media/image313.png"/><Relationship Id="rId341" Type="http://schemas.openxmlformats.org/officeDocument/2006/relationships/image" Target="../media/image402.png"/><Relationship Id="rId462" Type="http://schemas.openxmlformats.org/officeDocument/2006/relationships/image" Target="../media/image504.png"/><Relationship Id="rId340" Type="http://schemas.openxmlformats.org/officeDocument/2006/relationships/image" Target="../media/image378.png"/><Relationship Id="rId461" Type="http://schemas.openxmlformats.org/officeDocument/2006/relationships/image" Target="../media/image524.png"/><Relationship Id="rId460" Type="http://schemas.openxmlformats.org/officeDocument/2006/relationships/image" Target="../media/image540.png"/><Relationship Id="rId103" Type="http://schemas.openxmlformats.org/officeDocument/2006/relationships/image" Target="../media/image149.png"/><Relationship Id="rId224" Type="http://schemas.openxmlformats.org/officeDocument/2006/relationships/image" Target="../media/image301.png"/><Relationship Id="rId345" Type="http://schemas.openxmlformats.org/officeDocument/2006/relationships/image" Target="../media/image413.png"/><Relationship Id="rId466" Type="http://schemas.openxmlformats.org/officeDocument/2006/relationships/image" Target="../media/image537.png"/><Relationship Id="rId102" Type="http://schemas.openxmlformats.org/officeDocument/2006/relationships/image" Target="../media/image147.png"/><Relationship Id="rId223" Type="http://schemas.openxmlformats.org/officeDocument/2006/relationships/image" Target="../media/image267.png"/><Relationship Id="rId344" Type="http://schemas.openxmlformats.org/officeDocument/2006/relationships/image" Target="../media/image430.png"/><Relationship Id="rId465" Type="http://schemas.openxmlformats.org/officeDocument/2006/relationships/image" Target="../media/image548.png"/><Relationship Id="rId101" Type="http://schemas.openxmlformats.org/officeDocument/2006/relationships/image" Target="../media/image166.png"/><Relationship Id="rId222" Type="http://schemas.openxmlformats.org/officeDocument/2006/relationships/image" Target="../media/image277.png"/><Relationship Id="rId343" Type="http://schemas.openxmlformats.org/officeDocument/2006/relationships/image" Target="../media/image411.png"/><Relationship Id="rId464" Type="http://schemas.openxmlformats.org/officeDocument/2006/relationships/image" Target="../media/image517.png"/><Relationship Id="rId100" Type="http://schemas.openxmlformats.org/officeDocument/2006/relationships/image" Target="../media/image123.png"/><Relationship Id="rId221" Type="http://schemas.openxmlformats.org/officeDocument/2006/relationships/image" Target="../media/image326.png"/><Relationship Id="rId342" Type="http://schemas.openxmlformats.org/officeDocument/2006/relationships/image" Target="../media/image410.png"/><Relationship Id="rId463" Type="http://schemas.openxmlformats.org/officeDocument/2006/relationships/image" Target="../media/image484.png"/><Relationship Id="rId217" Type="http://schemas.openxmlformats.org/officeDocument/2006/relationships/image" Target="../media/image275.png"/><Relationship Id="rId338" Type="http://schemas.openxmlformats.org/officeDocument/2006/relationships/image" Target="../media/image391.png"/><Relationship Id="rId459" Type="http://schemas.openxmlformats.org/officeDocument/2006/relationships/image" Target="../media/image468.png"/><Relationship Id="rId216" Type="http://schemas.openxmlformats.org/officeDocument/2006/relationships/image" Target="../media/image244.png"/><Relationship Id="rId337" Type="http://schemas.openxmlformats.org/officeDocument/2006/relationships/image" Target="../media/image351.png"/><Relationship Id="rId458" Type="http://schemas.openxmlformats.org/officeDocument/2006/relationships/image" Target="../media/image544.png"/><Relationship Id="rId215" Type="http://schemas.openxmlformats.org/officeDocument/2006/relationships/image" Target="../media/image304.png"/><Relationship Id="rId336" Type="http://schemas.openxmlformats.org/officeDocument/2006/relationships/image" Target="../media/image423.png"/><Relationship Id="rId457" Type="http://schemas.openxmlformats.org/officeDocument/2006/relationships/image" Target="../media/image473.png"/><Relationship Id="rId214" Type="http://schemas.openxmlformats.org/officeDocument/2006/relationships/image" Target="../media/image321.png"/><Relationship Id="rId335" Type="http://schemas.openxmlformats.org/officeDocument/2006/relationships/image" Target="../media/image417.png"/><Relationship Id="rId456" Type="http://schemas.openxmlformats.org/officeDocument/2006/relationships/image" Target="../media/image530.png"/><Relationship Id="rId219" Type="http://schemas.openxmlformats.org/officeDocument/2006/relationships/image" Target="../media/image259.png"/><Relationship Id="rId218" Type="http://schemas.openxmlformats.org/officeDocument/2006/relationships/image" Target="../media/image270.png"/><Relationship Id="rId339" Type="http://schemas.openxmlformats.org/officeDocument/2006/relationships/image" Target="../media/image420.png"/><Relationship Id="rId330" Type="http://schemas.openxmlformats.org/officeDocument/2006/relationships/image" Target="../media/image419.png"/><Relationship Id="rId451" Type="http://schemas.openxmlformats.org/officeDocument/2006/relationships/image" Target="../media/image507.png"/><Relationship Id="rId450" Type="http://schemas.openxmlformats.org/officeDocument/2006/relationships/image" Target="../media/image471.png"/><Relationship Id="rId213" Type="http://schemas.openxmlformats.org/officeDocument/2006/relationships/image" Target="../media/image234.png"/><Relationship Id="rId334" Type="http://schemas.openxmlformats.org/officeDocument/2006/relationships/image" Target="../media/image401.png"/><Relationship Id="rId455" Type="http://schemas.openxmlformats.org/officeDocument/2006/relationships/image" Target="../media/image476.png"/><Relationship Id="rId212" Type="http://schemas.openxmlformats.org/officeDocument/2006/relationships/image" Target="../media/image222.png"/><Relationship Id="rId333" Type="http://schemas.openxmlformats.org/officeDocument/2006/relationships/image" Target="../media/image365.png"/><Relationship Id="rId454" Type="http://schemas.openxmlformats.org/officeDocument/2006/relationships/image" Target="../media/image496.png"/><Relationship Id="rId211" Type="http://schemas.openxmlformats.org/officeDocument/2006/relationships/image" Target="../media/image232.png"/><Relationship Id="rId332" Type="http://schemas.openxmlformats.org/officeDocument/2006/relationships/image" Target="../media/image400.png"/><Relationship Id="rId453" Type="http://schemas.openxmlformats.org/officeDocument/2006/relationships/image" Target="../media/image533.png"/><Relationship Id="rId210" Type="http://schemas.openxmlformats.org/officeDocument/2006/relationships/image" Target="../media/image278.png"/><Relationship Id="rId331" Type="http://schemas.openxmlformats.org/officeDocument/2006/relationships/image" Target="../media/image357.png"/><Relationship Id="rId452" Type="http://schemas.openxmlformats.org/officeDocument/2006/relationships/image" Target="../media/image498.png"/><Relationship Id="rId370" Type="http://schemas.openxmlformats.org/officeDocument/2006/relationships/image" Target="../media/image455.png"/><Relationship Id="rId491" Type="http://schemas.openxmlformats.org/officeDocument/2006/relationships/image" Target="../media/image563.png"/><Relationship Id="rId490" Type="http://schemas.openxmlformats.org/officeDocument/2006/relationships/image" Target="../media/image503.png"/><Relationship Id="rId129" Type="http://schemas.openxmlformats.org/officeDocument/2006/relationships/image" Target="../media/image181.png"/><Relationship Id="rId128" Type="http://schemas.openxmlformats.org/officeDocument/2006/relationships/image" Target="../media/image190.png"/><Relationship Id="rId249" Type="http://schemas.openxmlformats.org/officeDocument/2006/relationships/image" Target="../media/image336.png"/><Relationship Id="rId127" Type="http://schemas.openxmlformats.org/officeDocument/2006/relationships/image" Target="../media/image163.png"/><Relationship Id="rId248" Type="http://schemas.openxmlformats.org/officeDocument/2006/relationships/image" Target="../media/image280.png"/><Relationship Id="rId369" Type="http://schemas.openxmlformats.org/officeDocument/2006/relationships/image" Target="../media/image425.png"/><Relationship Id="rId126" Type="http://schemas.openxmlformats.org/officeDocument/2006/relationships/image" Target="../media/image158.png"/><Relationship Id="rId247" Type="http://schemas.openxmlformats.org/officeDocument/2006/relationships/image" Target="../media/image295.png"/><Relationship Id="rId368" Type="http://schemas.openxmlformats.org/officeDocument/2006/relationships/image" Target="../media/image459.png"/><Relationship Id="rId489" Type="http://schemas.openxmlformats.org/officeDocument/2006/relationships/image" Target="../media/image522.png"/><Relationship Id="rId121" Type="http://schemas.openxmlformats.org/officeDocument/2006/relationships/image" Target="../media/image160.png"/><Relationship Id="rId242" Type="http://schemas.openxmlformats.org/officeDocument/2006/relationships/image" Target="../media/image288.png"/><Relationship Id="rId363" Type="http://schemas.openxmlformats.org/officeDocument/2006/relationships/image" Target="../media/image418.png"/><Relationship Id="rId484" Type="http://schemas.openxmlformats.org/officeDocument/2006/relationships/image" Target="../media/image525.png"/><Relationship Id="rId120" Type="http://schemas.openxmlformats.org/officeDocument/2006/relationships/image" Target="../media/image207.png"/><Relationship Id="rId241" Type="http://schemas.openxmlformats.org/officeDocument/2006/relationships/image" Target="../media/image287.png"/><Relationship Id="rId362" Type="http://schemas.openxmlformats.org/officeDocument/2006/relationships/image" Target="../media/image489.png"/><Relationship Id="rId483" Type="http://schemas.openxmlformats.org/officeDocument/2006/relationships/image" Target="../media/image554.png"/><Relationship Id="rId240" Type="http://schemas.openxmlformats.org/officeDocument/2006/relationships/image" Target="../media/image263.png"/><Relationship Id="rId361" Type="http://schemas.openxmlformats.org/officeDocument/2006/relationships/image" Target="../media/image422.png"/><Relationship Id="rId482" Type="http://schemas.openxmlformats.org/officeDocument/2006/relationships/image" Target="../media/image536.png"/><Relationship Id="rId360" Type="http://schemas.openxmlformats.org/officeDocument/2006/relationships/image" Target="../media/image404.png"/><Relationship Id="rId481" Type="http://schemas.openxmlformats.org/officeDocument/2006/relationships/image" Target="../media/image527.png"/><Relationship Id="rId125" Type="http://schemas.openxmlformats.org/officeDocument/2006/relationships/image" Target="../media/image188.png"/><Relationship Id="rId246" Type="http://schemas.openxmlformats.org/officeDocument/2006/relationships/image" Target="../media/image297.png"/><Relationship Id="rId367" Type="http://schemas.openxmlformats.org/officeDocument/2006/relationships/image" Target="../media/image405.png"/><Relationship Id="rId488" Type="http://schemas.openxmlformats.org/officeDocument/2006/relationships/image" Target="../media/image534.png"/><Relationship Id="rId124" Type="http://schemas.openxmlformats.org/officeDocument/2006/relationships/image" Target="../media/image174.png"/><Relationship Id="rId245" Type="http://schemas.openxmlformats.org/officeDocument/2006/relationships/image" Target="../media/image307.png"/><Relationship Id="rId366" Type="http://schemas.openxmlformats.org/officeDocument/2006/relationships/image" Target="../media/image432.png"/><Relationship Id="rId487" Type="http://schemas.openxmlformats.org/officeDocument/2006/relationships/image" Target="../media/image569.png"/><Relationship Id="rId123" Type="http://schemas.openxmlformats.org/officeDocument/2006/relationships/image" Target="../media/image151.png"/><Relationship Id="rId244" Type="http://schemas.openxmlformats.org/officeDocument/2006/relationships/image" Target="../media/image392.png"/><Relationship Id="rId365" Type="http://schemas.openxmlformats.org/officeDocument/2006/relationships/image" Target="../media/image399.png"/><Relationship Id="rId486" Type="http://schemas.openxmlformats.org/officeDocument/2006/relationships/image" Target="../media/image538.png"/><Relationship Id="rId122" Type="http://schemas.openxmlformats.org/officeDocument/2006/relationships/image" Target="../media/image210.png"/><Relationship Id="rId243" Type="http://schemas.openxmlformats.org/officeDocument/2006/relationships/image" Target="../media/image282.png"/><Relationship Id="rId364" Type="http://schemas.openxmlformats.org/officeDocument/2006/relationships/image" Target="../media/image386.png"/><Relationship Id="rId485" Type="http://schemas.openxmlformats.org/officeDocument/2006/relationships/image" Target="../media/image549.png"/><Relationship Id="rId95" Type="http://schemas.openxmlformats.org/officeDocument/2006/relationships/image" Target="../media/image153.png"/><Relationship Id="rId94" Type="http://schemas.openxmlformats.org/officeDocument/2006/relationships/image" Target="../media/image152.png"/><Relationship Id="rId97" Type="http://schemas.openxmlformats.org/officeDocument/2006/relationships/image" Target="../media/image116.png"/><Relationship Id="rId96" Type="http://schemas.openxmlformats.org/officeDocument/2006/relationships/image" Target="../media/image110.png"/><Relationship Id="rId99" Type="http://schemas.openxmlformats.org/officeDocument/2006/relationships/image" Target="../media/image144.png"/><Relationship Id="rId480" Type="http://schemas.openxmlformats.org/officeDocument/2006/relationships/image" Target="../media/image532.png"/><Relationship Id="rId98" Type="http://schemas.openxmlformats.org/officeDocument/2006/relationships/image" Target="../media/image128.png"/><Relationship Id="rId91" Type="http://schemas.openxmlformats.org/officeDocument/2006/relationships/image" Target="../media/image138.png"/><Relationship Id="rId90" Type="http://schemas.openxmlformats.org/officeDocument/2006/relationships/image" Target="../media/image132.png"/><Relationship Id="rId93" Type="http://schemas.openxmlformats.org/officeDocument/2006/relationships/image" Target="../media/image125.png"/><Relationship Id="rId92" Type="http://schemas.openxmlformats.org/officeDocument/2006/relationships/image" Target="../media/image137.png"/><Relationship Id="rId118" Type="http://schemas.openxmlformats.org/officeDocument/2006/relationships/image" Target="../media/image157.png"/><Relationship Id="rId239" Type="http://schemas.openxmlformats.org/officeDocument/2006/relationships/image" Target="../media/image298.png"/><Relationship Id="rId117" Type="http://schemas.openxmlformats.org/officeDocument/2006/relationships/image" Target="../media/image167.png"/><Relationship Id="rId238" Type="http://schemas.openxmlformats.org/officeDocument/2006/relationships/image" Target="../media/image285.png"/><Relationship Id="rId359" Type="http://schemas.openxmlformats.org/officeDocument/2006/relationships/image" Target="../media/image409.png"/><Relationship Id="rId116" Type="http://schemas.openxmlformats.org/officeDocument/2006/relationships/image" Target="../media/image141.png"/><Relationship Id="rId237" Type="http://schemas.openxmlformats.org/officeDocument/2006/relationships/image" Target="../media/image311.png"/><Relationship Id="rId358" Type="http://schemas.openxmlformats.org/officeDocument/2006/relationships/image" Target="../media/image451.png"/><Relationship Id="rId479" Type="http://schemas.openxmlformats.org/officeDocument/2006/relationships/image" Target="../media/image526.png"/><Relationship Id="rId115" Type="http://schemas.openxmlformats.org/officeDocument/2006/relationships/image" Target="../media/image185.png"/><Relationship Id="rId236" Type="http://schemas.openxmlformats.org/officeDocument/2006/relationships/image" Target="../media/image293.png"/><Relationship Id="rId357" Type="http://schemas.openxmlformats.org/officeDocument/2006/relationships/image" Target="../media/image370.png"/><Relationship Id="rId478" Type="http://schemas.openxmlformats.org/officeDocument/2006/relationships/image" Target="../media/image513.png"/><Relationship Id="rId119" Type="http://schemas.openxmlformats.org/officeDocument/2006/relationships/image" Target="../media/image165.png"/><Relationship Id="rId110" Type="http://schemas.openxmlformats.org/officeDocument/2006/relationships/image" Target="../media/image164.png"/><Relationship Id="rId231" Type="http://schemas.openxmlformats.org/officeDocument/2006/relationships/image" Target="../media/image284.png"/><Relationship Id="rId352" Type="http://schemas.openxmlformats.org/officeDocument/2006/relationships/image" Target="../media/image372.png"/><Relationship Id="rId473" Type="http://schemas.openxmlformats.org/officeDocument/2006/relationships/image" Target="../media/image574.png"/><Relationship Id="rId230" Type="http://schemas.openxmlformats.org/officeDocument/2006/relationships/image" Target="../media/image290.png"/><Relationship Id="rId351" Type="http://schemas.openxmlformats.org/officeDocument/2006/relationships/image" Target="../media/image385.png"/><Relationship Id="rId472" Type="http://schemas.openxmlformats.org/officeDocument/2006/relationships/image" Target="../media/image495.png"/><Relationship Id="rId350" Type="http://schemas.openxmlformats.org/officeDocument/2006/relationships/image" Target="../media/image388.png"/><Relationship Id="rId471" Type="http://schemas.openxmlformats.org/officeDocument/2006/relationships/image" Target="../media/image511.png"/><Relationship Id="rId470" Type="http://schemas.openxmlformats.org/officeDocument/2006/relationships/image" Target="../media/image562.png"/><Relationship Id="rId114" Type="http://schemas.openxmlformats.org/officeDocument/2006/relationships/image" Target="../media/image205.png"/><Relationship Id="rId235" Type="http://schemas.openxmlformats.org/officeDocument/2006/relationships/image" Target="../media/image254.png"/><Relationship Id="rId356" Type="http://schemas.openxmlformats.org/officeDocument/2006/relationships/image" Target="../media/image429.png"/><Relationship Id="rId477" Type="http://schemas.openxmlformats.org/officeDocument/2006/relationships/image" Target="../media/image551.png"/><Relationship Id="rId113" Type="http://schemas.openxmlformats.org/officeDocument/2006/relationships/image" Target="../media/image177.png"/><Relationship Id="rId234" Type="http://schemas.openxmlformats.org/officeDocument/2006/relationships/image" Target="../media/image257.png"/><Relationship Id="rId355" Type="http://schemas.openxmlformats.org/officeDocument/2006/relationships/image" Target="../media/image467.png"/><Relationship Id="rId476" Type="http://schemas.openxmlformats.org/officeDocument/2006/relationships/image" Target="../media/image499.png"/><Relationship Id="rId112" Type="http://schemas.openxmlformats.org/officeDocument/2006/relationships/image" Target="../media/image189.png"/><Relationship Id="rId233" Type="http://schemas.openxmlformats.org/officeDocument/2006/relationships/image" Target="../media/image266.png"/><Relationship Id="rId354" Type="http://schemas.openxmlformats.org/officeDocument/2006/relationships/image" Target="../media/image366.png"/><Relationship Id="rId475" Type="http://schemas.openxmlformats.org/officeDocument/2006/relationships/image" Target="../media/image510.png"/><Relationship Id="rId111" Type="http://schemas.openxmlformats.org/officeDocument/2006/relationships/image" Target="../media/image162.png"/><Relationship Id="rId232" Type="http://schemas.openxmlformats.org/officeDocument/2006/relationships/image" Target="../media/image292.png"/><Relationship Id="rId353" Type="http://schemas.openxmlformats.org/officeDocument/2006/relationships/image" Target="../media/image379.png"/><Relationship Id="rId474" Type="http://schemas.openxmlformats.org/officeDocument/2006/relationships/image" Target="../media/image565.png"/><Relationship Id="rId305" Type="http://schemas.openxmlformats.org/officeDocument/2006/relationships/image" Target="../media/image377.png"/><Relationship Id="rId426" Type="http://schemas.openxmlformats.org/officeDocument/2006/relationships/image" Target="../media/image465.png"/><Relationship Id="rId304" Type="http://schemas.openxmlformats.org/officeDocument/2006/relationships/image" Target="../media/image397.png"/><Relationship Id="rId425" Type="http://schemas.openxmlformats.org/officeDocument/2006/relationships/image" Target="../media/image509.png"/><Relationship Id="rId303" Type="http://schemas.openxmlformats.org/officeDocument/2006/relationships/image" Target="../media/image380.png"/><Relationship Id="rId424" Type="http://schemas.openxmlformats.org/officeDocument/2006/relationships/image" Target="../media/image508.png"/><Relationship Id="rId302" Type="http://schemas.openxmlformats.org/officeDocument/2006/relationships/image" Target="../media/image394.png"/><Relationship Id="rId423" Type="http://schemas.openxmlformats.org/officeDocument/2006/relationships/image" Target="../media/image480.png"/><Relationship Id="rId309" Type="http://schemas.openxmlformats.org/officeDocument/2006/relationships/image" Target="../media/image341.png"/><Relationship Id="rId308" Type="http://schemas.openxmlformats.org/officeDocument/2006/relationships/image" Target="../media/image371.png"/><Relationship Id="rId429" Type="http://schemas.openxmlformats.org/officeDocument/2006/relationships/image" Target="../media/image445.png"/><Relationship Id="rId307" Type="http://schemas.openxmlformats.org/officeDocument/2006/relationships/image" Target="../media/image373.png"/><Relationship Id="rId428" Type="http://schemas.openxmlformats.org/officeDocument/2006/relationships/image" Target="../media/image456.png"/><Relationship Id="rId306" Type="http://schemas.openxmlformats.org/officeDocument/2006/relationships/image" Target="../media/image358.png"/><Relationship Id="rId427" Type="http://schemas.openxmlformats.org/officeDocument/2006/relationships/image" Target="../media/image475.png"/><Relationship Id="rId301" Type="http://schemas.openxmlformats.org/officeDocument/2006/relationships/image" Target="../media/image440.png"/><Relationship Id="rId422" Type="http://schemas.openxmlformats.org/officeDocument/2006/relationships/image" Target="../media/image469.png"/><Relationship Id="rId300" Type="http://schemas.openxmlformats.org/officeDocument/2006/relationships/image" Target="../media/image368.png"/><Relationship Id="rId421" Type="http://schemas.openxmlformats.org/officeDocument/2006/relationships/image" Target="../media/image461.png"/><Relationship Id="rId420" Type="http://schemas.openxmlformats.org/officeDocument/2006/relationships/image" Target="../media/image478.png"/><Relationship Id="rId415" Type="http://schemas.openxmlformats.org/officeDocument/2006/relationships/image" Target="../media/image457.png"/><Relationship Id="rId414" Type="http://schemas.openxmlformats.org/officeDocument/2006/relationships/image" Target="../media/image490.png"/><Relationship Id="rId413" Type="http://schemas.openxmlformats.org/officeDocument/2006/relationships/image" Target="../media/image454.png"/><Relationship Id="rId412" Type="http://schemas.openxmlformats.org/officeDocument/2006/relationships/image" Target="../media/image447.png"/><Relationship Id="rId419" Type="http://schemas.openxmlformats.org/officeDocument/2006/relationships/image" Target="../media/image463.png"/><Relationship Id="rId418" Type="http://schemas.openxmlformats.org/officeDocument/2006/relationships/image" Target="../media/image488.png"/><Relationship Id="rId417" Type="http://schemas.openxmlformats.org/officeDocument/2006/relationships/image" Target="../media/image431.png"/><Relationship Id="rId416" Type="http://schemas.openxmlformats.org/officeDocument/2006/relationships/image" Target="../media/image492.png"/><Relationship Id="rId411" Type="http://schemas.openxmlformats.org/officeDocument/2006/relationships/image" Target="../media/image557.png"/><Relationship Id="rId410" Type="http://schemas.openxmlformats.org/officeDocument/2006/relationships/image" Target="../media/image483.png"/><Relationship Id="rId206" Type="http://schemas.openxmlformats.org/officeDocument/2006/relationships/image" Target="../media/image276.png"/><Relationship Id="rId327" Type="http://schemas.openxmlformats.org/officeDocument/2006/relationships/image" Target="../media/image374.png"/><Relationship Id="rId448" Type="http://schemas.openxmlformats.org/officeDocument/2006/relationships/image" Target="../media/image485.png"/><Relationship Id="rId205" Type="http://schemas.openxmlformats.org/officeDocument/2006/relationships/image" Target="../media/image286.png"/><Relationship Id="rId326" Type="http://schemas.openxmlformats.org/officeDocument/2006/relationships/image" Target="../media/image363.png"/><Relationship Id="rId447" Type="http://schemas.openxmlformats.org/officeDocument/2006/relationships/image" Target="../media/image474.png"/><Relationship Id="rId204" Type="http://schemas.openxmlformats.org/officeDocument/2006/relationships/image" Target="../media/image289.png"/><Relationship Id="rId325" Type="http://schemas.openxmlformats.org/officeDocument/2006/relationships/image" Target="../media/image398.png"/><Relationship Id="rId446" Type="http://schemas.openxmlformats.org/officeDocument/2006/relationships/image" Target="../media/image539.png"/><Relationship Id="rId203" Type="http://schemas.openxmlformats.org/officeDocument/2006/relationships/image" Target="../media/image229.png"/><Relationship Id="rId324" Type="http://schemas.openxmlformats.org/officeDocument/2006/relationships/image" Target="../media/image334.png"/><Relationship Id="rId445" Type="http://schemas.openxmlformats.org/officeDocument/2006/relationships/image" Target="../media/image477.png"/><Relationship Id="rId209" Type="http://schemas.openxmlformats.org/officeDocument/2006/relationships/image" Target="../media/image324.png"/><Relationship Id="rId208" Type="http://schemas.openxmlformats.org/officeDocument/2006/relationships/image" Target="../media/image255.png"/><Relationship Id="rId329" Type="http://schemas.openxmlformats.org/officeDocument/2006/relationships/image" Target="../media/image389.png"/><Relationship Id="rId207" Type="http://schemas.openxmlformats.org/officeDocument/2006/relationships/image" Target="../media/image283.png"/><Relationship Id="rId328" Type="http://schemas.openxmlformats.org/officeDocument/2006/relationships/image" Target="../media/image395.png"/><Relationship Id="rId449" Type="http://schemas.openxmlformats.org/officeDocument/2006/relationships/image" Target="../media/image501.png"/><Relationship Id="rId440" Type="http://schemas.openxmlformats.org/officeDocument/2006/relationships/image" Target="../media/image519.png"/><Relationship Id="rId202" Type="http://schemas.openxmlformats.org/officeDocument/2006/relationships/image" Target="../media/image235.png"/><Relationship Id="rId323" Type="http://schemas.openxmlformats.org/officeDocument/2006/relationships/image" Target="../media/image359.png"/><Relationship Id="rId444" Type="http://schemas.openxmlformats.org/officeDocument/2006/relationships/image" Target="../media/image516.png"/><Relationship Id="rId201" Type="http://schemas.openxmlformats.org/officeDocument/2006/relationships/image" Target="../media/image294.png"/><Relationship Id="rId322" Type="http://schemas.openxmlformats.org/officeDocument/2006/relationships/image" Target="../media/image347.png"/><Relationship Id="rId443" Type="http://schemas.openxmlformats.org/officeDocument/2006/relationships/image" Target="../media/image462.png"/><Relationship Id="rId200" Type="http://schemas.openxmlformats.org/officeDocument/2006/relationships/image" Target="../media/image264.png"/><Relationship Id="rId321" Type="http://schemas.openxmlformats.org/officeDocument/2006/relationships/image" Target="../media/image340.png"/><Relationship Id="rId442" Type="http://schemas.openxmlformats.org/officeDocument/2006/relationships/image" Target="../media/image502.png"/><Relationship Id="rId320" Type="http://schemas.openxmlformats.org/officeDocument/2006/relationships/image" Target="../media/image350.png"/><Relationship Id="rId441" Type="http://schemas.openxmlformats.org/officeDocument/2006/relationships/image" Target="../media/image547.png"/><Relationship Id="rId316" Type="http://schemas.openxmlformats.org/officeDocument/2006/relationships/image" Target="../media/image362.png"/><Relationship Id="rId437" Type="http://schemas.openxmlformats.org/officeDocument/2006/relationships/image" Target="../media/image541.png"/><Relationship Id="rId315" Type="http://schemas.openxmlformats.org/officeDocument/2006/relationships/image" Target="../media/image393.png"/><Relationship Id="rId436" Type="http://schemas.openxmlformats.org/officeDocument/2006/relationships/image" Target="../media/image482.png"/><Relationship Id="rId314" Type="http://schemas.openxmlformats.org/officeDocument/2006/relationships/image" Target="../media/image348.png"/><Relationship Id="rId435" Type="http://schemas.openxmlformats.org/officeDocument/2006/relationships/image" Target="../media/image466.png"/><Relationship Id="rId313" Type="http://schemas.openxmlformats.org/officeDocument/2006/relationships/image" Target="../media/image360.png"/><Relationship Id="rId434" Type="http://schemas.openxmlformats.org/officeDocument/2006/relationships/image" Target="../media/image521.png"/><Relationship Id="rId319" Type="http://schemas.openxmlformats.org/officeDocument/2006/relationships/image" Target="../media/image364.png"/><Relationship Id="rId318" Type="http://schemas.openxmlformats.org/officeDocument/2006/relationships/image" Target="../media/image356.png"/><Relationship Id="rId439" Type="http://schemas.openxmlformats.org/officeDocument/2006/relationships/image" Target="../media/image542.png"/><Relationship Id="rId317" Type="http://schemas.openxmlformats.org/officeDocument/2006/relationships/image" Target="../media/image330.png"/><Relationship Id="rId438" Type="http://schemas.openxmlformats.org/officeDocument/2006/relationships/image" Target="../media/image505.png"/><Relationship Id="rId312" Type="http://schemas.openxmlformats.org/officeDocument/2006/relationships/image" Target="../media/image338.png"/><Relationship Id="rId433" Type="http://schemas.openxmlformats.org/officeDocument/2006/relationships/image" Target="../media/image514.png"/><Relationship Id="rId311" Type="http://schemas.openxmlformats.org/officeDocument/2006/relationships/image" Target="../media/image390.png"/><Relationship Id="rId432" Type="http://schemas.openxmlformats.org/officeDocument/2006/relationships/image" Target="../media/image448.png"/><Relationship Id="rId310" Type="http://schemas.openxmlformats.org/officeDocument/2006/relationships/image" Target="../media/image427.png"/><Relationship Id="rId431" Type="http://schemas.openxmlformats.org/officeDocument/2006/relationships/image" Target="../media/image486.png"/><Relationship Id="rId430" Type="http://schemas.openxmlformats.org/officeDocument/2006/relationships/image" Target="../media/image50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2.png"/><Relationship Id="rId2" Type="http://schemas.openxmlformats.org/officeDocument/2006/relationships/image" Target="../media/image528.png"/><Relationship Id="rId3" Type="http://schemas.openxmlformats.org/officeDocument/2006/relationships/image" Target="../media/image567.png"/><Relationship Id="rId4" Type="http://schemas.openxmlformats.org/officeDocument/2006/relationships/image" Target="../media/image543.png"/><Relationship Id="rId9" Type="http://schemas.openxmlformats.org/officeDocument/2006/relationships/image" Target="../media/image550.png"/><Relationship Id="rId5" Type="http://schemas.openxmlformats.org/officeDocument/2006/relationships/image" Target="../media/image553.png"/><Relationship Id="rId6" Type="http://schemas.openxmlformats.org/officeDocument/2006/relationships/image" Target="../media/image552.png"/><Relationship Id="rId7" Type="http://schemas.openxmlformats.org/officeDocument/2006/relationships/image" Target="../media/image575.png"/><Relationship Id="rId8" Type="http://schemas.openxmlformats.org/officeDocument/2006/relationships/image" Target="../media/image561.png"/><Relationship Id="rId20" Type="http://schemas.openxmlformats.org/officeDocument/2006/relationships/image" Target="../media/image579.png"/><Relationship Id="rId11" Type="http://schemas.openxmlformats.org/officeDocument/2006/relationships/image" Target="../media/image571.png"/><Relationship Id="rId10" Type="http://schemas.openxmlformats.org/officeDocument/2006/relationships/image" Target="../media/image578.png"/><Relationship Id="rId13" Type="http://schemas.openxmlformats.org/officeDocument/2006/relationships/image" Target="../media/image573.png"/><Relationship Id="rId12" Type="http://schemas.openxmlformats.org/officeDocument/2006/relationships/image" Target="../media/image559.png"/><Relationship Id="rId15" Type="http://schemas.openxmlformats.org/officeDocument/2006/relationships/image" Target="../media/image529.png"/><Relationship Id="rId14" Type="http://schemas.openxmlformats.org/officeDocument/2006/relationships/image" Target="../media/image582.png"/><Relationship Id="rId17" Type="http://schemas.openxmlformats.org/officeDocument/2006/relationships/image" Target="../media/image564.png"/><Relationship Id="rId16" Type="http://schemas.openxmlformats.org/officeDocument/2006/relationships/image" Target="../media/image577.png"/><Relationship Id="rId19" Type="http://schemas.openxmlformats.org/officeDocument/2006/relationships/image" Target="../media/image581.png"/><Relationship Id="rId18" Type="http://schemas.openxmlformats.org/officeDocument/2006/relationships/image" Target="../media/image58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5.png"/><Relationship Id="rId2" Type="http://schemas.openxmlformats.org/officeDocument/2006/relationships/image" Target="../media/image589.png"/><Relationship Id="rId3" Type="http://schemas.openxmlformats.org/officeDocument/2006/relationships/image" Target="../media/image614.png"/><Relationship Id="rId4" Type="http://schemas.openxmlformats.org/officeDocument/2006/relationships/image" Target="../media/image597.png"/><Relationship Id="rId9" Type="http://schemas.openxmlformats.org/officeDocument/2006/relationships/image" Target="../media/image586.png"/><Relationship Id="rId5" Type="http://schemas.openxmlformats.org/officeDocument/2006/relationships/image" Target="../media/image585.png"/><Relationship Id="rId6" Type="http://schemas.openxmlformats.org/officeDocument/2006/relationships/image" Target="../media/image602.png"/><Relationship Id="rId7" Type="http://schemas.openxmlformats.org/officeDocument/2006/relationships/image" Target="../media/image584.png"/><Relationship Id="rId8" Type="http://schemas.openxmlformats.org/officeDocument/2006/relationships/image" Target="../media/image594.png"/><Relationship Id="rId40" Type="http://schemas.openxmlformats.org/officeDocument/2006/relationships/image" Target="../media/image598.png"/><Relationship Id="rId42" Type="http://schemas.openxmlformats.org/officeDocument/2006/relationships/image" Target="../media/image612.png"/><Relationship Id="rId41" Type="http://schemas.openxmlformats.org/officeDocument/2006/relationships/image" Target="../media/image600.png"/><Relationship Id="rId44" Type="http://schemas.openxmlformats.org/officeDocument/2006/relationships/image" Target="../media/image624.png"/><Relationship Id="rId43" Type="http://schemas.openxmlformats.org/officeDocument/2006/relationships/image" Target="../media/image620.png"/><Relationship Id="rId46" Type="http://schemas.openxmlformats.org/officeDocument/2006/relationships/image" Target="../media/image623.png"/><Relationship Id="rId45" Type="http://schemas.openxmlformats.org/officeDocument/2006/relationships/image" Target="../media/image638.png"/><Relationship Id="rId48" Type="http://schemas.openxmlformats.org/officeDocument/2006/relationships/image" Target="../media/image650.png"/><Relationship Id="rId47" Type="http://schemas.openxmlformats.org/officeDocument/2006/relationships/image" Target="../media/image608.png"/><Relationship Id="rId49" Type="http://schemas.openxmlformats.org/officeDocument/2006/relationships/image" Target="../media/image646.png"/><Relationship Id="rId31" Type="http://schemas.openxmlformats.org/officeDocument/2006/relationships/image" Target="../media/image591.png"/><Relationship Id="rId30" Type="http://schemas.openxmlformats.org/officeDocument/2006/relationships/image" Target="../media/image604.png"/><Relationship Id="rId33" Type="http://schemas.openxmlformats.org/officeDocument/2006/relationships/image" Target="../media/image633.png"/><Relationship Id="rId32" Type="http://schemas.openxmlformats.org/officeDocument/2006/relationships/image" Target="../media/image610.png"/><Relationship Id="rId35" Type="http://schemas.openxmlformats.org/officeDocument/2006/relationships/image" Target="../media/image629.png"/><Relationship Id="rId34" Type="http://schemas.openxmlformats.org/officeDocument/2006/relationships/image" Target="../media/image607.png"/><Relationship Id="rId37" Type="http://schemas.openxmlformats.org/officeDocument/2006/relationships/image" Target="../media/image619.png"/><Relationship Id="rId36" Type="http://schemas.openxmlformats.org/officeDocument/2006/relationships/image" Target="../media/image590.png"/><Relationship Id="rId39" Type="http://schemas.openxmlformats.org/officeDocument/2006/relationships/image" Target="../media/image618.png"/><Relationship Id="rId38" Type="http://schemas.openxmlformats.org/officeDocument/2006/relationships/image" Target="../media/image626.png"/><Relationship Id="rId20" Type="http://schemas.openxmlformats.org/officeDocument/2006/relationships/image" Target="../media/image611.png"/><Relationship Id="rId22" Type="http://schemas.openxmlformats.org/officeDocument/2006/relationships/image" Target="../media/image613.png"/><Relationship Id="rId21" Type="http://schemas.openxmlformats.org/officeDocument/2006/relationships/image" Target="../media/image625.png"/><Relationship Id="rId24" Type="http://schemas.openxmlformats.org/officeDocument/2006/relationships/image" Target="../media/image592.png"/><Relationship Id="rId23" Type="http://schemas.openxmlformats.org/officeDocument/2006/relationships/image" Target="../media/image588.png"/><Relationship Id="rId26" Type="http://schemas.openxmlformats.org/officeDocument/2006/relationships/image" Target="../media/image617.png"/><Relationship Id="rId25" Type="http://schemas.openxmlformats.org/officeDocument/2006/relationships/image" Target="../media/image644.png"/><Relationship Id="rId28" Type="http://schemas.openxmlformats.org/officeDocument/2006/relationships/image" Target="../media/image583.png"/><Relationship Id="rId27" Type="http://schemas.openxmlformats.org/officeDocument/2006/relationships/image" Target="../media/image615.png"/><Relationship Id="rId29" Type="http://schemas.openxmlformats.org/officeDocument/2006/relationships/image" Target="../media/image603.png"/><Relationship Id="rId11" Type="http://schemas.openxmlformats.org/officeDocument/2006/relationships/image" Target="../media/image609.png"/><Relationship Id="rId10" Type="http://schemas.openxmlformats.org/officeDocument/2006/relationships/image" Target="../media/image587.png"/><Relationship Id="rId13" Type="http://schemas.openxmlformats.org/officeDocument/2006/relationships/image" Target="../media/image596.png"/><Relationship Id="rId12" Type="http://schemas.openxmlformats.org/officeDocument/2006/relationships/image" Target="../media/image593.png"/><Relationship Id="rId15" Type="http://schemas.openxmlformats.org/officeDocument/2006/relationships/image" Target="../media/image637.png"/><Relationship Id="rId14" Type="http://schemas.openxmlformats.org/officeDocument/2006/relationships/image" Target="../media/image621.png"/><Relationship Id="rId17" Type="http://schemas.openxmlformats.org/officeDocument/2006/relationships/image" Target="../media/image605.png"/><Relationship Id="rId16" Type="http://schemas.openxmlformats.org/officeDocument/2006/relationships/image" Target="../media/image622.png"/><Relationship Id="rId19" Type="http://schemas.openxmlformats.org/officeDocument/2006/relationships/image" Target="../media/image606.png"/><Relationship Id="rId18" Type="http://schemas.openxmlformats.org/officeDocument/2006/relationships/image" Target="../media/image599.png"/><Relationship Id="rId84" Type="http://schemas.openxmlformats.org/officeDocument/2006/relationships/image" Target="../media/image664.png"/><Relationship Id="rId83" Type="http://schemas.openxmlformats.org/officeDocument/2006/relationships/image" Target="../media/image662.png"/><Relationship Id="rId86" Type="http://schemas.openxmlformats.org/officeDocument/2006/relationships/image" Target="../media/image667.png"/><Relationship Id="rId85" Type="http://schemas.openxmlformats.org/officeDocument/2006/relationships/image" Target="../media/image674.png"/><Relationship Id="rId88" Type="http://schemas.openxmlformats.org/officeDocument/2006/relationships/image" Target="../media/image669.png"/><Relationship Id="rId87" Type="http://schemas.openxmlformats.org/officeDocument/2006/relationships/image" Target="../media/image666.png"/><Relationship Id="rId89" Type="http://schemas.openxmlformats.org/officeDocument/2006/relationships/image" Target="../media/image668.png"/><Relationship Id="rId80" Type="http://schemas.openxmlformats.org/officeDocument/2006/relationships/image" Target="../media/image661.png"/><Relationship Id="rId82" Type="http://schemas.openxmlformats.org/officeDocument/2006/relationships/image" Target="../media/image671.png"/><Relationship Id="rId81" Type="http://schemas.openxmlformats.org/officeDocument/2006/relationships/image" Target="../media/image665.png"/><Relationship Id="rId73" Type="http://schemas.openxmlformats.org/officeDocument/2006/relationships/image" Target="../media/image658.png"/><Relationship Id="rId72" Type="http://schemas.openxmlformats.org/officeDocument/2006/relationships/image" Target="../media/image640.png"/><Relationship Id="rId75" Type="http://schemas.openxmlformats.org/officeDocument/2006/relationships/image" Target="../media/image657.png"/><Relationship Id="rId74" Type="http://schemas.openxmlformats.org/officeDocument/2006/relationships/image" Target="../media/image652.png"/><Relationship Id="rId77" Type="http://schemas.openxmlformats.org/officeDocument/2006/relationships/image" Target="../media/image654.png"/><Relationship Id="rId76" Type="http://schemas.openxmlformats.org/officeDocument/2006/relationships/image" Target="../media/image659.png"/><Relationship Id="rId79" Type="http://schemas.openxmlformats.org/officeDocument/2006/relationships/image" Target="../media/image656.png"/><Relationship Id="rId78" Type="http://schemas.openxmlformats.org/officeDocument/2006/relationships/image" Target="../media/image663.png"/><Relationship Id="rId71" Type="http://schemas.openxmlformats.org/officeDocument/2006/relationships/image" Target="../media/image655.png"/><Relationship Id="rId70" Type="http://schemas.openxmlformats.org/officeDocument/2006/relationships/image" Target="../media/image639.png"/><Relationship Id="rId62" Type="http://schemas.openxmlformats.org/officeDocument/2006/relationships/image" Target="../media/image642.png"/><Relationship Id="rId61" Type="http://schemas.openxmlformats.org/officeDocument/2006/relationships/image" Target="../media/image630.png"/><Relationship Id="rId64" Type="http://schemas.openxmlformats.org/officeDocument/2006/relationships/image" Target="../media/image643.png"/><Relationship Id="rId63" Type="http://schemas.openxmlformats.org/officeDocument/2006/relationships/image" Target="../media/image636.png"/><Relationship Id="rId66" Type="http://schemas.openxmlformats.org/officeDocument/2006/relationships/image" Target="../media/image653.png"/><Relationship Id="rId65" Type="http://schemas.openxmlformats.org/officeDocument/2006/relationships/image" Target="../media/image648.png"/><Relationship Id="rId68" Type="http://schemas.openxmlformats.org/officeDocument/2006/relationships/image" Target="../media/image660.png"/><Relationship Id="rId67" Type="http://schemas.openxmlformats.org/officeDocument/2006/relationships/image" Target="../media/image651.png"/><Relationship Id="rId60" Type="http://schemas.openxmlformats.org/officeDocument/2006/relationships/image" Target="../media/image649.png"/><Relationship Id="rId69" Type="http://schemas.openxmlformats.org/officeDocument/2006/relationships/image" Target="../media/image647.png"/><Relationship Id="rId51" Type="http://schemas.openxmlformats.org/officeDocument/2006/relationships/image" Target="../media/image641.png"/><Relationship Id="rId50" Type="http://schemas.openxmlformats.org/officeDocument/2006/relationships/image" Target="../media/image601.png"/><Relationship Id="rId53" Type="http://schemas.openxmlformats.org/officeDocument/2006/relationships/image" Target="../media/image631.png"/><Relationship Id="rId52" Type="http://schemas.openxmlformats.org/officeDocument/2006/relationships/image" Target="../media/image616.png"/><Relationship Id="rId55" Type="http://schemas.openxmlformats.org/officeDocument/2006/relationships/image" Target="../media/image627.png"/><Relationship Id="rId54" Type="http://schemas.openxmlformats.org/officeDocument/2006/relationships/image" Target="../media/image634.png"/><Relationship Id="rId57" Type="http://schemas.openxmlformats.org/officeDocument/2006/relationships/image" Target="../media/image635.png"/><Relationship Id="rId56" Type="http://schemas.openxmlformats.org/officeDocument/2006/relationships/image" Target="../media/image645.png"/><Relationship Id="rId59" Type="http://schemas.openxmlformats.org/officeDocument/2006/relationships/image" Target="../media/image628.png"/><Relationship Id="rId58" Type="http://schemas.openxmlformats.org/officeDocument/2006/relationships/image" Target="../media/image632.png"/><Relationship Id="rId103" Type="http://schemas.openxmlformats.org/officeDocument/2006/relationships/image" Target="../media/image681.png"/><Relationship Id="rId102" Type="http://schemas.openxmlformats.org/officeDocument/2006/relationships/image" Target="../media/image683.png"/><Relationship Id="rId101" Type="http://schemas.openxmlformats.org/officeDocument/2006/relationships/image" Target="../media/image581.png"/><Relationship Id="rId100" Type="http://schemas.openxmlformats.org/officeDocument/2006/relationships/image" Target="../media/image529.png"/><Relationship Id="rId95" Type="http://schemas.openxmlformats.org/officeDocument/2006/relationships/image" Target="../media/image677.png"/><Relationship Id="rId94" Type="http://schemas.openxmlformats.org/officeDocument/2006/relationships/image" Target="../media/image675.png"/><Relationship Id="rId97" Type="http://schemas.openxmlformats.org/officeDocument/2006/relationships/image" Target="../media/image679.png"/><Relationship Id="rId96" Type="http://schemas.openxmlformats.org/officeDocument/2006/relationships/image" Target="../media/image678.png"/><Relationship Id="rId99" Type="http://schemas.openxmlformats.org/officeDocument/2006/relationships/image" Target="../media/image682.png"/><Relationship Id="rId98" Type="http://schemas.openxmlformats.org/officeDocument/2006/relationships/image" Target="../media/image680.png"/><Relationship Id="rId91" Type="http://schemas.openxmlformats.org/officeDocument/2006/relationships/image" Target="../media/image672.png"/><Relationship Id="rId90" Type="http://schemas.openxmlformats.org/officeDocument/2006/relationships/image" Target="../media/image670.png"/><Relationship Id="rId93" Type="http://schemas.openxmlformats.org/officeDocument/2006/relationships/image" Target="../media/image676.png"/><Relationship Id="rId92" Type="http://schemas.openxmlformats.org/officeDocument/2006/relationships/image" Target="../media/image67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4.png"/><Relationship Id="rId2" Type="http://schemas.openxmlformats.org/officeDocument/2006/relationships/image" Target="../media/image36.png"/><Relationship Id="rId3" Type="http://schemas.openxmlformats.org/officeDocument/2006/relationships/image" Target="../media/image47.png"/><Relationship Id="rId4" Type="http://schemas.openxmlformats.org/officeDocument/2006/relationships/image" Target="../media/image16.png"/><Relationship Id="rId9" Type="http://schemas.openxmlformats.org/officeDocument/2006/relationships/image" Target="../media/image40.png"/><Relationship Id="rId5" Type="http://schemas.openxmlformats.org/officeDocument/2006/relationships/image" Target="../media/image15.png"/><Relationship Id="rId6" Type="http://schemas.openxmlformats.org/officeDocument/2006/relationships/image" Target="../media/image33.png"/><Relationship Id="rId7" Type="http://schemas.openxmlformats.org/officeDocument/2006/relationships/image" Target="../media/image51.png"/><Relationship Id="rId8" Type="http://schemas.openxmlformats.org/officeDocument/2006/relationships/image" Target="../media/image17.png"/><Relationship Id="rId11" Type="http://schemas.openxmlformats.org/officeDocument/2006/relationships/image" Target="../media/image34.png"/><Relationship Id="rId10" Type="http://schemas.openxmlformats.org/officeDocument/2006/relationships/image" Target="../media/image18.png"/><Relationship Id="rId13" Type="http://schemas.openxmlformats.org/officeDocument/2006/relationships/image" Target="../media/image48.png"/><Relationship Id="rId12" Type="http://schemas.openxmlformats.org/officeDocument/2006/relationships/image" Target="../media/image28.png"/><Relationship Id="rId15" Type="http://schemas.openxmlformats.org/officeDocument/2006/relationships/image" Target="../media/image46.png"/><Relationship Id="rId14" Type="http://schemas.openxmlformats.org/officeDocument/2006/relationships/image" Target="../media/image42.png"/><Relationship Id="rId17" Type="http://schemas.openxmlformats.org/officeDocument/2006/relationships/image" Target="../media/image50.png"/><Relationship Id="rId16" Type="http://schemas.openxmlformats.org/officeDocument/2006/relationships/image" Target="../media/image5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7.png"/><Relationship Id="rId2" Type="http://schemas.openxmlformats.org/officeDocument/2006/relationships/image" Target="../media/image598.png"/><Relationship Id="rId3" Type="http://schemas.openxmlformats.org/officeDocument/2006/relationships/image" Target="../media/image600.png"/><Relationship Id="rId4" Type="http://schemas.openxmlformats.org/officeDocument/2006/relationships/image" Target="../media/image612.png"/><Relationship Id="rId9" Type="http://schemas.openxmlformats.org/officeDocument/2006/relationships/image" Target="../media/image610.png"/><Relationship Id="rId5" Type="http://schemas.openxmlformats.org/officeDocument/2006/relationships/image" Target="../media/image663.png"/><Relationship Id="rId6" Type="http://schemas.openxmlformats.org/officeDocument/2006/relationships/image" Target="../media/image102.png"/><Relationship Id="rId7" Type="http://schemas.openxmlformats.org/officeDocument/2006/relationships/image" Target="../media/image685.png"/><Relationship Id="rId8" Type="http://schemas.openxmlformats.org/officeDocument/2006/relationships/image" Target="../media/image418.png"/><Relationship Id="rId11" Type="http://schemas.openxmlformats.org/officeDocument/2006/relationships/image" Target="../media/image530.png"/><Relationship Id="rId10" Type="http://schemas.openxmlformats.org/officeDocument/2006/relationships/image" Target="../media/image509.png"/><Relationship Id="rId13" Type="http://schemas.openxmlformats.org/officeDocument/2006/relationships/image" Target="../media/image539.png"/><Relationship Id="rId12" Type="http://schemas.openxmlformats.org/officeDocument/2006/relationships/image" Target="../media/image422.png"/><Relationship Id="rId14" Type="http://schemas.openxmlformats.org/officeDocument/2006/relationships/image" Target="../media/image18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0</xdr:row>
      <xdr:rowOff>0</xdr:rowOff>
    </xdr:from>
    <xdr:ext cx="161925" cy="161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138</xdr:col>
      <xdr:colOff>0</xdr:colOff>
      <xdr:row>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</xdr:row>
      <xdr:rowOff>0</xdr:rowOff>
    </xdr:from>
    <xdr:ext cx="161925" cy="1619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138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</xdr:row>
      <xdr:rowOff>0</xdr:rowOff>
    </xdr:from>
    <xdr:ext cx="161925" cy="16192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138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</xdr:row>
      <xdr:rowOff>0</xdr:rowOff>
    </xdr:from>
    <xdr:ext cx="161925" cy="161925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4</xdr:row>
      <xdr:rowOff>0</xdr:rowOff>
    </xdr:from>
    <xdr:ext cx="161925" cy="1619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5</xdr:row>
      <xdr:rowOff>0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6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6</xdr:row>
      <xdr:rowOff>0</xdr:rowOff>
    </xdr:from>
    <xdr:ext cx="161925" cy="161925"/>
    <xdr:pic>
      <xdr:nvPicPr>
        <xdr:cNvPr id="0" name="image3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7</xdr:row>
      <xdr:rowOff>0</xdr:rowOff>
    </xdr:from>
    <xdr:ext cx="161925" cy="16192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8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8</xdr:row>
      <xdr:rowOff>0</xdr:rowOff>
    </xdr:from>
    <xdr:ext cx="161925" cy="161925"/>
    <xdr:pic>
      <xdr:nvPicPr>
        <xdr:cNvPr id="0" name="image2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9</xdr:row>
      <xdr:rowOff>0</xdr:rowOff>
    </xdr:from>
    <xdr:ext cx="161925" cy="1619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10</xdr:row>
      <xdr:rowOff>0</xdr:rowOff>
    </xdr:from>
    <xdr:ext cx="161925" cy="161925"/>
    <xdr:pic>
      <xdr:nvPicPr>
        <xdr:cNvPr id="0" name="image5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11</xdr:row>
      <xdr:rowOff>0</xdr:rowOff>
    </xdr:from>
    <xdr:ext cx="161925" cy="1619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12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12</xdr:row>
      <xdr:rowOff>0</xdr:rowOff>
    </xdr:from>
    <xdr:ext cx="161925" cy="161925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13</xdr:row>
      <xdr:rowOff>0</xdr:rowOff>
    </xdr:from>
    <xdr:ext cx="161925" cy="161925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14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14</xdr:row>
      <xdr:rowOff>0</xdr:rowOff>
    </xdr:from>
    <xdr:ext cx="161925" cy="1619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15</xdr:row>
      <xdr:rowOff>0</xdr:rowOff>
    </xdr:from>
    <xdr:ext cx="161925" cy="161925"/>
    <xdr:pic>
      <xdr:nvPicPr>
        <xdr:cNvPr id="0" name="image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16</xdr:row>
      <xdr:rowOff>0</xdr:rowOff>
    </xdr:from>
    <xdr:ext cx="161925" cy="161925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17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17</xdr:row>
      <xdr:rowOff>0</xdr:rowOff>
    </xdr:from>
    <xdr:ext cx="161925" cy="161925"/>
    <xdr:pic>
      <xdr:nvPicPr>
        <xdr:cNvPr id="0" name="image1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18</xdr:row>
      <xdr:rowOff>0</xdr:rowOff>
    </xdr:from>
    <xdr:ext cx="161925" cy="161925"/>
    <xdr:pic>
      <xdr:nvPicPr>
        <xdr:cNvPr id="0" name="image3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19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19</xdr:row>
      <xdr:rowOff>0</xdr:rowOff>
    </xdr:from>
    <xdr:ext cx="161925" cy="161925"/>
    <xdr:pic>
      <xdr:nvPicPr>
        <xdr:cNvPr id="0" name="image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20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20</xdr:row>
      <xdr:rowOff>0</xdr:rowOff>
    </xdr:from>
    <xdr:ext cx="161925" cy="161925"/>
    <xdr:pic>
      <xdr:nvPicPr>
        <xdr:cNvPr id="0" name="image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21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21</xdr:row>
      <xdr:rowOff>0</xdr:rowOff>
    </xdr:from>
    <xdr:ext cx="161925" cy="161925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22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22</xdr:row>
      <xdr:rowOff>0</xdr:rowOff>
    </xdr:from>
    <xdr:ext cx="161925" cy="161925"/>
    <xdr:pic>
      <xdr:nvPicPr>
        <xdr:cNvPr id="0" name="image1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23</xdr:row>
      <xdr:rowOff>0</xdr:rowOff>
    </xdr:from>
    <xdr:ext cx="161925" cy="161925"/>
    <xdr:pic>
      <xdr:nvPicPr>
        <xdr:cNvPr id="0" name="image3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24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24</xdr:row>
      <xdr:rowOff>0</xdr:rowOff>
    </xdr:from>
    <xdr:ext cx="161925" cy="161925"/>
    <xdr:pic>
      <xdr:nvPicPr>
        <xdr:cNvPr id="0" name="image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25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25</xdr:row>
      <xdr:rowOff>0</xdr:rowOff>
    </xdr:from>
    <xdr:ext cx="161925" cy="161925"/>
    <xdr:pic>
      <xdr:nvPicPr>
        <xdr:cNvPr id="0" name="image5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26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26</xdr:row>
      <xdr:rowOff>0</xdr:rowOff>
    </xdr:from>
    <xdr:ext cx="161925" cy="161925"/>
    <xdr:pic>
      <xdr:nvPicPr>
        <xdr:cNvPr id="0" name="image4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27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27</xdr:row>
      <xdr:rowOff>0</xdr:rowOff>
    </xdr:from>
    <xdr:ext cx="161925" cy="161925"/>
    <xdr:pic>
      <xdr:nvPicPr>
        <xdr:cNvPr id="0" name="image5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28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28</xdr:row>
      <xdr:rowOff>0</xdr:rowOff>
    </xdr:from>
    <xdr:ext cx="161925" cy="161925"/>
    <xdr:pic>
      <xdr:nvPicPr>
        <xdr:cNvPr id="0" name="image4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29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29</xdr:row>
      <xdr:rowOff>0</xdr:rowOff>
    </xdr:from>
    <xdr:ext cx="161925" cy="161925"/>
    <xdr:pic>
      <xdr:nvPicPr>
        <xdr:cNvPr id="0" name="image3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30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30</xdr:row>
      <xdr:rowOff>0</xdr:rowOff>
    </xdr:from>
    <xdr:ext cx="161925" cy="161925"/>
    <xdr:pic>
      <xdr:nvPicPr>
        <xdr:cNvPr id="0" name="image4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31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31</xdr:row>
      <xdr:rowOff>0</xdr:rowOff>
    </xdr:from>
    <xdr:ext cx="161925" cy="161925"/>
    <xdr:pic>
      <xdr:nvPicPr>
        <xdr:cNvPr id="0" name="image2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32</xdr:row>
      <xdr:rowOff>0</xdr:rowOff>
    </xdr:from>
    <xdr:ext cx="161925" cy="161925"/>
    <xdr:pic>
      <xdr:nvPicPr>
        <xdr:cNvPr id="0" name="image1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33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33</xdr:row>
      <xdr:rowOff>0</xdr:rowOff>
    </xdr:from>
    <xdr:ext cx="161925" cy="161925"/>
    <xdr:pic>
      <xdr:nvPicPr>
        <xdr:cNvPr id="0" name="image2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34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34</xdr:row>
      <xdr:rowOff>0</xdr:rowOff>
    </xdr:from>
    <xdr:ext cx="161925" cy="161925"/>
    <xdr:pic>
      <xdr:nvPicPr>
        <xdr:cNvPr id="0" name="image3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130</xdr:col>
      <xdr:colOff>0</xdr:colOff>
      <xdr:row>35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133</xdr:col>
      <xdr:colOff>0</xdr:colOff>
      <xdr:row>35</xdr:row>
      <xdr:rowOff>0</xdr:rowOff>
    </xdr:from>
    <xdr:ext cx="161925" cy="161925"/>
    <xdr:pic>
      <xdr:nvPicPr>
        <xdr:cNvPr id="0" name="image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136</xdr:col>
      <xdr:colOff>0</xdr:colOff>
      <xdr:row>372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136</xdr:col>
      <xdr:colOff>0</xdr:colOff>
      <xdr:row>380</xdr:row>
      <xdr:rowOff>0</xdr:rowOff>
    </xdr:from>
    <xdr:ext cx="33337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136</xdr:col>
      <xdr:colOff>0</xdr:colOff>
      <xdr:row>393</xdr:row>
      <xdr:rowOff>0</xdr:rowOff>
    </xdr:from>
    <xdr:ext cx="333375" cy="20002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342900" cy="171450"/>
    <xdr:pic>
      <xdr:nvPicPr>
        <xdr:cNvPr id="0" name="image6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42900" cy="171450"/>
    <xdr:pic>
      <xdr:nvPicPr>
        <xdr:cNvPr id="0" name="image7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342900" cy="171450"/>
    <xdr:pic>
      <xdr:nvPicPr>
        <xdr:cNvPr id="0" name="image7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342900" cy="171450"/>
    <xdr:pic>
      <xdr:nvPicPr>
        <xdr:cNvPr id="0" name="image8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342900" cy="171450"/>
    <xdr:pic>
      <xdr:nvPicPr>
        <xdr:cNvPr id="0" name="image6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342900" cy="171450"/>
    <xdr:pic>
      <xdr:nvPicPr>
        <xdr:cNvPr id="0" name="image6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342900" cy="171450"/>
    <xdr:pic>
      <xdr:nvPicPr>
        <xdr:cNvPr id="0" name="image6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42900" cy="171450"/>
    <xdr:pic>
      <xdr:nvPicPr>
        <xdr:cNvPr id="0" name="image5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342900" cy="171450"/>
    <xdr:pic>
      <xdr:nvPicPr>
        <xdr:cNvPr id="0" name="image8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342900" cy="171450"/>
    <xdr:pic>
      <xdr:nvPicPr>
        <xdr:cNvPr id="0" name="image14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342900" cy="171450"/>
    <xdr:pic>
      <xdr:nvPicPr>
        <xdr:cNvPr id="0" name="image10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42900" cy="171450"/>
    <xdr:pic>
      <xdr:nvPicPr>
        <xdr:cNvPr id="0" name="image1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342900" cy="171450"/>
    <xdr:pic>
      <xdr:nvPicPr>
        <xdr:cNvPr id="0" name="image6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342900" cy="171450"/>
    <xdr:pic>
      <xdr:nvPicPr>
        <xdr:cNvPr id="0" name="image6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342900" cy="171450"/>
    <xdr:pic>
      <xdr:nvPicPr>
        <xdr:cNvPr id="0" name="image6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342900" cy="171450"/>
    <xdr:pic>
      <xdr:nvPicPr>
        <xdr:cNvPr id="0" name="image10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342900" cy="171450"/>
    <xdr:pic>
      <xdr:nvPicPr>
        <xdr:cNvPr id="0" name="image1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42900" cy="171450"/>
    <xdr:pic>
      <xdr:nvPicPr>
        <xdr:cNvPr id="0" name="image7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342900" cy="171450"/>
    <xdr:pic>
      <xdr:nvPicPr>
        <xdr:cNvPr id="0" name="image1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342900" cy="171450"/>
    <xdr:pic>
      <xdr:nvPicPr>
        <xdr:cNvPr id="0" name="image9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342900" cy="171450"/>
    <xdr:pic>
      <xdr:nvPicPr>
        <xdr:cNvPr id="0" name="image7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342900" cy="171450"/>
    <xdr:pic>
      <xdr:nvPicPr>
        <xdr:cNvPr id="0" name="image10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342900" cy="171450"/>
    <xdr:pic>
      <xdr:nvPicPr>
        <xdr:cNvPr id="0" name="image6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342900" cy="171450"/>
    <xdr:pic>
      <xdr:nvPicPr>
        <xdr:cNvPr id="0" name="image9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342900" cy="171450"/>
    <xdr:pic>
      <xdr:nvPicPr>
        <xdr:cNvPr id="0" name="image7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342900" cy="171450"/>
    <xdr:pic>
      <xdr:nvPicPr>
        <xdr:cNvPr id="0" name="image1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342900" cy="171450"/>
    <xdr:pic>
      <xdr:nvPicPr>
        <xdr:cNvPr id="0" name="image6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342900" cy="171450"/>
    <xdr:pic>
      <xdr:nvPicPr>
        <xdr:cNvPr id="0" name="image6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342900" cy="171450"/>
    <xdr:pic>
      <xdr:nvPicPr>
        <xdr:cNvPr id="0" name="image8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342900" cy="171450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342900" cy="171450"/>
    <xdr:pic>
      <xdr:nvPicPr>
        <xdr:cNvPr id="0" name="image12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342900" cy="171450"/>
    <xdr:pic>
      <xdr:nvPicPr>
        <xdr:cNvPr id="0" name="image7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342900" cy="171450"/>
    <xdr:pic>
      <xdr:nvPicPr>
        <xdr:cNvPr id="0" name="image8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342900" cy="171450"/>
    <xdr:pic>
      <xdr:nvPicPr>
        <xdr:cNvPr id="0" name="image9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342900" cy="171450"/>
    <xdr:pic>
      <xdr:nvPicPr>
        <xdr:cNvPr id="0" name="image12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342900" cy="171450"/>
    <xdr:pic>
      <xdr:nvPicPr>
        <xdr:cNvPr id="0" name="image10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342900" cy="171450"/>
    <xdr:pic>
      <xdr:nvPicPr>
        <xdr:cNvPr id="0" name="image11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342900" cy="171450"/>
    <xdr:pic>
      <xdr:nvPicPr>
        <xdr:cNvPr id="0" name="image11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342900" cy="171450"/>
    <xdr:pic>
      <xdr:nvPicPr>
        <xdr:cNvPr id="0" name="image10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342900" cy="171450"/>
    <xdr:pic>
      <xdr:nvPicPr>
        <xdr:cNvPr id="0" name="image9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42900" cy="171450"/>
    <xdr:pic>
      <xdr:nvPicPr>
        <xdr:cNvPr id="0" name="image8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342900" cy="171450"/>
    <xdr:pic>
      <xdr:nvPicPr>
        <xdr:cNvPr id="0" name="image10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342900" cy="171450"/>
    <xdr:pic>
      <xdr:nvPicPr>
        <xdr:cNvPr id="0" name="image7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42900" cy="171450"/>
    <xdr:pic>
      <xdr:nvPicPr>
        <xdr:cNvPr id="0" name="image7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342900" cy="171450"/>
    <xdr:pic>
      <xdr:nvPicPr>
        <xdr:cNvPr id="0" name="image8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342900" cy="171450"/>
    <xdr:pic>
      <xdr:nvPicPr>
        <xdr:cNvPr id="0" name="image7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342900" cy="171450"/>
    <xdr:pic>
      <xdr:nvPicPr>
        <xdr:cNvPr id="0" name="image161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342900" cy="171450"/>
    <xdr:pic>
      <xdr:nvPicPr>
        <xdr:cNvPr id="0" name="image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342900" cy="171450"/>
    <xdr:pic>
      <xdr:nvPicPr>
        <xdr:cNvPr id="0" name="image90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342900" cy="171450"/>
    <xdr:pic>
      <xdr:nvPicPr>
        <xdr:cNvPr id="0" name="image11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342900" cy="171450"/>
    <xdr:pic>
      <xdr:nvPicPr>
        <xdr:cNvPr id="0" name="image7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342900" cy="171450"/>
    <xdr:pic>
      <xdr:nvPicPr>
        <xdr:cNvPr id="0" name="image9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342900" cy="171450"/>
    <xdr:pic>
      <xdr:nvPicPr>
        <xdr:cNvPr id="0" name="image8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342900" cy="171450"/>
    <xdr:pic>
      <xdr:nvPicPr>
        <xdr:cNvPr id="0" name="image8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342900" cy="171450"/>
    <xdr:pic>
      <xdr:nvPicPr>
        <xdr:cNvPr id="0" name="image10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342900" cy="171450"/>
    <xdr:pic>
      <xdr:nvPicPr>
        <xdr:cNvPr id="0" name="image19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342900" cy="171450"/>
    <xdr:pic>
      <xdr:nvPicPr>
        <xdr:cNvPr id="0" name="image13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342900" cy="171450"/>
    <xdr:pic>
      <xdr:nvPicPr>
        <xdr:cNvPr id="0" name="image8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342900" cy="171450"/>
    <xdr:pic>
      <xdr:nvPicPr>
        <xdr:cNvPr id="0" name="image11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342900" cy="171450"/>
    <xdr:pic>
      <xdr:nvPicPr>
        <xdr:cNvPr id="0" name="image9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342900" cy="171450"/>
    <xdr:pic>
      <xdr:nvPicPr>
        <xdr:cNvPr id="0" name="image14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342900" cy="171450"/>
    <xdr:pic>
      <xdr:nvPicPr>
        <xdr:cNvPr id="0" name="image93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342900" cy="171450"/>
    <xdr:pic>
      <xdr:nvPicPr>
        <xdr:cNvPr id="0" name="image14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342900" cy="171450"/>
    <xdr:pic>
      <xdr:nvPicPr>
        <xdr:cNvPr id="0" name="image10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342900" cy="171450"/>
    <xdr:pic>
      <xdr:nvPicPr>
        <xdr:cNvPr id="0" name="image11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342900" cy="171450"/>
    <xdr:pic>
      <xdr:nvPicPr>
        <xdr:cNvPr id="0" name="image11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342900" cy="171450"/>
    <xdr:pic>
      <xdr:nvPicPr>
        <xdr:cNvPr id="0" name="image11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342900" cy="171450"/>
    <xdr:pic>
      <xdr:nvPicPr>
        <xdr:cNvPr id="0" name="image9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342900" cy="171450"/>
    <xdr:pic>
      <xdr:nvPicPr>
        <xdr:cNvPr id="0" name="image13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342900" cy="171450"/>
    <xdr:pic>
      <xdr:nvPicPr>
        <xdr:cNvPr id="0" name="image15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342900" cy="171450"/>
    <xdr:pic>
      <xdr:nvPicPr>
        <xdr:cNvPr id="0" name="image14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342900" cy="171450"/>
    <xdr:pic>
      <xdr:nvPicPr>
        <xdr:cNvPr id="0" name="image13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342900" cy="171450"/>
    <xdr:pic>
      <xdr:nvPicPr>
        <xdr:cNvPr id="0" name="image17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342900" cy="171450"/>
    <xdr:pic>
      <xdr:nvPicPr>
        <xdr:cNvPr id="0" name="image13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342900" cy="171450"/>
    <xdr:pic>
      <xdr:nvPicPr>
        <xdr:cNvPr id="0" name="image126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342900" cy="171450"/>
    <xdr:pic>
      <xdr:nvPicPr>
        <xdr:cNvPr id="0" name="image13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342900" cy="171450"/>
    <xdr:pic>
      <xdr:nvPicPr>
        <xdr:cNvPr id="0" name="image10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342900" cy="171450"/>
    <xdr:pic>
      <xdr:nvPicPr>
        <xdr:cNvPr id="0" name="image135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342900" cy="171450"/>
    <xdr:pic>
      <xdr:nvPicPr>
        <xdr:cNvPr id="0" name="image17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342900" cy="171450"/>
    <xdr:pic>
      <xdr:nvPicPr>
        <xdr:cNvPr id="0" name="image12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342900" cy="171450"/>
    <xdr:pic>
      <xdr:nvPicPr>
        <xdr:cNvPr id="0" name="image20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342900" cy="171450"/>
    <xdr:pic>
      <xdr:nvPicPr>
        <xdr:cNvPr id="0" name="image22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342900" cy="171450"/>
    <xdr:pic>
      <xdr:nvPicPr>
        <xdr:cNvPr id="0" name="image14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342900" cy="171450"/>
    <xdr:pic>
      <xdr:nvPicPr>
        <xdr:cNvPr id="0" name="image12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342900" cy="171450"/>
    <xdr:pic>
      <xdr:nvPicPr>
        <xdr:cNvPr id="0" name="image15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342900" cy="171450"/>
    <xdr:pic>
      <xdr:nvPicPr>
        <xdr:cNvPr id="0" name="image1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342900" cy="171450"/>
    <xdr:pic>
      <xdr:nvPicPr>
        <xdr:cNvPr id="0" name="image16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342900" cy="171450"/>
    <xdr:pic>
      <xdr:nvPicPr>
        <xdr:cNvPr id="0" name="image18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342900" cy="171450"/>
    <xdr:pic>
      <xdr:nvPicPr>
        <xdr:cNvPr id="0" name="image106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342900" cy="171450"/>
    <xdr:pic>
      <xdr:nvPicPr>
        <xdr:cNvPr id="0" name="image132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342900" cy="171450"/>
    <xdr:pic>
      <xdr:nvPicPr>
        <xdr:cNvPr id="0" name="image13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342900" cy="171450"/>
    <xdr:pic>
      <xdr:nvPicPr>
        <xdr:cNvPr id="0" name="image137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342900" cy="171450"/>
    <xdr:pic>
      <xdr:nvPicPr>
        <xdr:cNvPr id="0" name="image12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342900" cy="171450"/>
    <xdr:pic>
      <xdr:nvPicPr>
        <xdr:cNvPr id="0" name="image15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342900" cy="171450"/>
    <xdr:pic>
      <xdr:nvPicPr>
        <xdr:cNvPr id="0" name="image15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342900" cy="171450"/>
    <xdr:pic>
      <xdr:nvPicPr>
        <xdr:cNvPr id="0" name="image110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342900" cy="171450"/>
    <xdr:pic>
      <xdr:nvPicPr>
        <xdr:cNvPr id="0" name="image11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342900" cy="171450"/>
    <xdr:pic>
      <xdr:nvPicPr>
        <xdr:cNvPr id="0" name="image12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342900" cy="171450"/>
    <xdr:pic>
      <xdr:nvPicPr>
        <xdr:cNvPr id="0" name="image14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342900" cy="171450"/>
    <xdr:pic>
      <xdr:nvPicPr>
        <xdr:cNvPr id="0" name="image12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342900" cy="171450"/>
    <xdr:pic>
      <xdr:nvPicPr>
        <xdr:cNvPr id="0" name="image16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342900" cy="171450"/>
    <xdr:pic>
      <xdr:nvPicPr>
        <xdr:cNvPr id="0" name="image14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342900" cy="171450"/>
    <xdr:pic>
      <xdr:nvPicPr>
        <xdr:cNvPr id="0" name="image149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342900" cy="171450"/>
    <xdr:pic>
      <xdr:nvPicPr>
        <xdr:cNvPr id="0" name="image156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342900" cy="171450"/>
    <xdr:pic>
      <xdr:nvPicPr>
        <xdr:cNvPr id="0" name="image16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342900" cy="171450"/>
    <xdr:pic>
      <xdr:nvPicPr>
        <xdr:cNvPr id="0" name="image130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342900" cy="171450"/>
    <xdr:pic>
      <xdr:nvPicPr>
        <xdr:cNvPr id="0" name="image20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342900" cy="171450"/>
    <xdr:pic>
      <xdr:nvPicPr>
        <xdr:cNvPr id="0" name="image17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342900" cy="171450"/>
    <xdr:pic>
      <xdr:nvPicPr>
        <xdr:cNvPr id="0" name="image1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342900" cy="171450"/>
    <xdr:pic>
      <xdr:nvPicPr>
        <xdr:cNvPr id="0" name="image1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342900" cy="171450"/>
    <xdr:pic>
      <xdr:nvPicPr>
        <xdr:cNvPr id="0" name="image162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342900" cy="171450"/>
    <xdr:pic>
      <xdr:nvPicPr>
        <xdr:cNvPr id="0" name="image189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342900" cy="171450"/>
    <xdr:pic>
      <xdr:nvPicPr>
        <xdr:cNvPr id="0" name="image17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342900" cy="171450"/>
    <xdr:pic>
      <xdr:nvPicPr>
        <xdr:cNvPr id="0" name="image205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342900" cy="171450"/>
    <xdr:pic>
      <xdr:nvPicPr>
        <xdr:cNvPr id="0" name="image18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342900" cy="171450"/>
    <xdr:pic>
      <xdr:nvPicPr>
        <xdr:cNvPr id="0" name="image141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342900" cy="171450"/>
    <xdr:pic>
      <xdr:nvPicPr>
        <xdr:cNvPr id="0" name="image16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342900" cy="171450"/>
    <xdr:pic>
      <xdr:nvPicPr>
        <xdr:cNvPr id="0" name="image157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342900" cy="171450"/>
    <xdr:pic>
      <xdr:nvPicPr>
        <xdr:cNvPr id="0" name="image1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342900" cy="171450"/>
    <xdr:pic>
      <xdr:nvPicPr>
        <xdr:cNvPr id="0" name="image20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342900" cy="171450"/>
    <xdr:pic>
      <xdr:nvPicPr>
        <xdr:cNvPr id="0" name="image160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342900" cy="171450"/>
    <xdr:pic>
      <xdr:nvPicPr>
        <xdr:cNvPr id="0" name="image21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342900" cy="171450"/>
    <xdr:pic>
      <xdr:nvPicPr>
        <xdr:cNvPr id="0" name="image15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342900" cy="171450"/>
    <xdr:pic>
      <xdr:nvPicPr>
        <xdr:cNvPr id="0" name="image174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342900" cy="171450"/>
    <xdr:pic>
      <xdr:nvPicPr>
        <xdr:cNvPr id="0" name="image18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342900" cy="171450"/>
    <xdr:pic>
      <xdr:nvPicPr>
        <xdr:cNvPr id="0" name="image158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342900" cy="171450"/>
    <xdr:pic>
      <xdr:nvPicPr>
        <xdr:cNvPr id="0" name="image163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342900" cy="171450"/>
    <xdr:pic>
      <xdr:nvPicPr>
        <xdr:cNvPr id="0" name="image190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342900" cy="171450"/>
    <xdr:pic>
      <xdr:nvPicPr>
        <xdr:cNvPr id="0" name="image181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342900" cy="171450"/>
    <xdr:pic>
      <xdr:nvPicPr>
        <xdr:cNvPr id="0" name="image193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342900" cy="171450"/>
    <xdr:pic>
      <xdr:nvPicPr>
        <xdr:cNvPr id="0" name="image179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342900" cy="171450"/>
    <xdr:pic>
      <xdr:nvPicPr>
        <xdr:cNvPr id="0" name="image184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342900" cy="171450"/>
    <xdr:pic>
      <xdr:nvPicPr>
        <xdr:cNvPr id="0" name="image213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342900" cy="171450"/>
    <xdr:pic>
      <xdr:nvPicPr>
        <xdr:cNvPr id="0" name="image170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342900" cy="171450"/>
    <xdr:pic>
      <xdr:nvPicPr>
        <xdr:cNvPr id="0" name="image180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342900" cy="171450"/>
    <xdr:pic>
      <xdr:nvPicPr>
        <xdr:cNvPr id="0" name="image175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342900" cy="171450"/>
    <xdr:pic>
      <xdr:nvPicPr>
        <xdr:cNvPr id="0" name="image194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342900" cy="171450"/>
    <xdr:pic>
      <xdr:nvPicPr>
        <xdr:cNvPr id="0" name="image233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342900" cy="171450"/>
    <xdr:pic>
      <xdr:nvPicPr>
        <xdr:cNvPr id="0" name="image230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342900" cy="171450"/>
    <xdr:pic>
      <xdr:nvPicPr>
        <xdr:cNvPr id="0" name="image228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342900" cy="171450"/>
    <xdr:pic>
      <xdr:nvPicPr>
        <xdr:cNvPr id="0" name="image182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342900" cy="171450"/>
    <xdr:pic>
      <xdr:nvPicPr>
        <xdr:cNvPr id="0" name="image21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342900" cy="171450"/>
    <xdr:pic>
      <xdr:nvPicPr>
        <xdr:cNvPr id="0" name="image171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342900" cy="171450"/>
    <xdr:pic>
      <xdr:nvPicPr>
        <xdr:cNvPr id="0" name="image226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342900" cy="171450"/>
    <xdr:pic>
      <xdr:nvPicPr>
        <xdr:cNvPr id="0" name="image249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342900" cy="171450"/>
    <xdr:pic>
      <xdr:nvPicPr>
        <xdr:cNvPr id="0" name="image21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342900" cy="171450"/>
    <xdr:pic>
      <xdr:nvPicPr>
        <xdr:cNvPr id="0" name="image237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342900" cy="171450"/>
    <xdr:pic>
      <xdr:nvPicPr>
        <xdr:cNvPr id="0" name="image22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342900" cy="171450"/>
    <xdr:pic>
      <xdr:nvPicPr>
        <xdr:cNvPr id="0" name="image258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342900" cy="171450"/>
    <xdr:pic>
      <xdr:nvPicPr>
        <xdr:cNvPr id="0" name="image204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342900" cy="171450"/>
    <xdr:pic>
      <xdr:nvPicPr>
        <xdr:cNvPr id="0" name="image192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342900" cy="171450"/>
    <xdr:pic>
      <xdr:nvPicPr>
        <xdr:cNvPr id="0" name="image199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342900" cy="171450"/>
    <xdr:pic>
      <xdr:nvPicPr>
        <xdr:cNvPr id="0" name="image246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156</xdr:row>
      <xdr:rowOff>0</xdr:rowOff>
    </xdr:from>
    <xdr:ext cx="342900" cy="171450"/>
    <xdr:pic>
      <xdr:nvPicPr>
        <xdr:cNvPr id="0" name="image268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342900" cy="171450"/>
    <xdr:pic>
      <xdr:nvPicPr>
        <xdr:cNvPr id="0" name="image202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342900" cy="171450"/>
    <xdr:pic>
      <xdr:nvPicPr>
        <xdr:cNvPr id="0" name="image18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342900" cy="171450"/>
    <xdr:pic>
      <xdr:nvPicPr>
        <xdr:cNvPr id="0" name="image206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342900" cy="171450"/>
    <xdr:pic>
      <xdr:nvPicPr>
        <xdr:cNvPr id="0" name="image212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342900" cy="171450"/>
    <xdr:pic>
      <xdr:nvPicPr>
        <xdr:cNvPr id="0" name="image173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342900" cy="171450"/>
    <xdr:pic>
      <xdr:nvPicPr>
        <xdr:cNvPr id="0" name="image196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342900" cy="171450"/>
    <xdr:pic>
      <xdr:nvPicPr>
        <xdr:cNvPr id="0" name="image217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342900" cy="171450"/>
    <xdr:pic>
      <xdr:nvPicPr>
        <xdr:cNvPr id="0" name="image198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342900" cy="171450"/>
    <xdr:pic>
      <xdr:nvPicPr>
        <xdr:cNvPr id="0" name="image225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166</xdr:row>
      <xdr:rowOff>0</xdr:rowOff>
    </xdr:from>
    <xdr:ext cx="342900" cy="171450"/>
    <xdr:pic>
      <xdr:nvPicPr>
        <xdr:cNvPr id="0" name="image231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342900" cy="171450"/>
    <xdr:pic>
      <xdr:nvPicPr>
        <xdr:cNvPr id="0" name="image245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342900" cy="171450"/>
    <xdr:pic>
      <xdr:nvPicPr>
        <xdr:cNvPr id="0" name="image247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169</xdr:row>
      <xdr:rowOff>0</xdr:rowOff>
    </xdr:from>
    <xdr:ext cx="342900" cy="171450"/>
    <xdr:pic>
      <xdr:nvPicPr>
        <xdr:cNvPr id="0" name="image197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342900" cy="171450"/>
    <xdr:pic>
      <xdr:nvPicPr>
        <xdr:cNvPr id="0" name="image224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342900" cy="171450"/>
    <xdr:pic>
      <xdr:nvPicPr>
        <xdr:cNvPr id="0" name="image191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342900" cy="171450"/>
    <xdr:pic>
      <xdr:nvPicPr>
        <xdr:cNvPr id="0" name="image187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342900" cy="171450"/>
    <xdr:pic>
      <xdr:nvPicPr>
        <xdr:cNvPr id="0" name="image215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342900" cy="171450"/>
    <xdr:pic>
      <xdr:nvPicPr>
        <xdr:cNvPr id="0" name="image241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342900" cy="171450"/>
    <xdr:pic>
      <xdr:nvPicPr>
        <xdr:cNvPr id="0" name="image221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176</xdr:row>
      <xdr:rowOff>0</xdr:rowOff>
    </xdr:from>
    <xdr:ext cx="342900" cy="171450"/>
    <xdr:pic>
      <xdr:nvPicPr>
        <xdr:cNvPr id="0" name="image260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342900" cy="171450"/>
    <xdr:pic>
      <xdr:nvPicPr>
        <xdr:cNvPr id="0" name="image201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342900" cy="171450"/>
    <xdr:pic>
      <xdr:nvPicPr>
        <xdr:cNvPr id="0" name="image227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179</xdr:row>
      <xdr:rowOff>0</xdr:rowOff>
    </xdr:from>
    <xdr:ext cx="342900" cy="171450"/>
    <xdr:pic>
      <xdr:nvPicPr>
        <xdr:cNvPr id="0" name="image238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342900" cy="171450"/>
    <xdr:pic>
      <xdr:nvPicPr>
        <xdr:cNvPr id="0" name="image279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</xdr:row>
      <xdr:rowOff>0</xdr:rowOff>
    </xdr:from>
    <xdr:ext cx="342900" cy="171450"/>
    <xdr:pic>
      <xdr:nvPicPr>
        <xdr:cNvPr id="0" name="image243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182</xdr:row>
      <xdr:rowOff>0</xdr:rowOff>
    </xdr:from>
    <xdr:ext cx="342900" cy="171450"/>
    <xdr:pic>
      <xdr:nvPicPr>
        <xdr:cNvPr id="0" name="image203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342900" cy="171450"/>
    <xdr:pic>
      <xdr:nvPicPr>
        <xdr:cNvPr id="0" name="image265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342900" cy="171450"/>
    <xdr:pic>
      <xdr:nvPicPr>
        <xdr:cNvPr id="0" name="image262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342900" cy="171450"/>
    <xdr:pic>
      <xdr:nvPicPr>
        <xdr:cNvPr id="0" name="image253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342900" cy="171450"/>
    <xdr:pic>
      <xdr:nvPicPr>
        <xdr:cNvPr id="0" name="image256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342900" cy="171450"/>
    <xdr:pic>
      <xdr:nvPicPr>
        <xdr:cNvPr id="0" name="image271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342900" cy="171450"/>
    <xdr:pic>
      <xdr:nvPicPr>
        <xdr:cNvPr id="0" name="image273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342900" cy="171450"/>
    <xdr:pic>
      <xdr:nvPicPr>
        <xdr:cNvPr id="0" name="image272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342900" cy="171450"/>
    <xdr:pic>
      <xdr:nvPicPr>
        <xdr:cNvPr id="0" name="image208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342900" cy="171450"/>
    <xdr:pic>
      <xdr:nvPicPr>
        <xdr:cNvPr id="0" name="image269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342900" cy="171450"/>
    <xdr:pic>
      <xdr:nvPicPr>
        <xdr:cNvPr id="0" name="image261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193</xdr:row>
      <xdr:rowOff>0</xdr:rowOff>
    </xdr:from>
    <xdr:ext cx="342900" cy="171450"/>
    <xdr:pic>
      <xdr:nvPicPr>
        <xdr:cNvPr id="0" name="image252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342900" cy="171450"/>
    <xdr:pic>
      <xdr:nvPicPr>
        <xdr:cNvPr id="0" name="image242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342900" cy="171450"/>
    <xdr:pic>
      <xdr:nvPicPr>
        <xdr:cNvPr id="0" name="image236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342900" cy="171450"/>
    <xdr:pic>
      <xdr:nvPicPr>
        <xdr:cNvPr id="0" name="image240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197</xdr:row>
      <xdr:rowOff>0</xdr:rowOff>
    </xdr:from>
    <xdr:ext cx="342900" cy="171450"/>
    <xdr:pic>
      <xdr:nvPicPr>
        <xdr:cNvPr id="0" name="image239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342900" cy="171450"/>
    <xdr:pic>
      <xdr:nvPicPr>
        <xdr:cNvPr id="0" name="image211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342900" cy="171450"/>
    <xdr:pic>
      <xdr:nvPicPr>
        <xdr:cNvPr id="0" name="image214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342900" cy="171450"/>
    <xdr:pic>
      <xdr:nvPicPr>
        <xdr:cNvPr id="0" name="image248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342900" cy="171450"/>
    <xdr:pic>
      <xdr:nvPicPr>
        <xdr:cNvPr id="0" name="image216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342900" cy="171450"/>
    <xdr:pic>
      <xdr:nvPicPr>
        <xdr:cNvPr id="0" name="image26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342900" cy="171450"/>
    <xdr:pic>
      <xdr:nvPicPr>
        <xdr:cNvPr id="0" name="image294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204</xdr:row>
      <xdr:rowOff>0</xdr:rowOff>
    </xdr:from>
    <xdr:ext cx="342900" cy="171450"/>
    <xdr:pic>
      <xdr:nvPicPr>
        <xdr:cNvPr id="0" name="image235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342900" cy="171450"/>
    <xdr:pic>
      <xdr:nvPicPr>
        <xdr:cNvPr id="0" name="image229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342900" cy="171450"/>
    <xdr:pic>
      <xdr:nvPicPr>
        <xdr:cNvPr id="0" name="image28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342900" cy="171450"/>
    <xdr:pic>
      <xdr:nvPicPr>
        <xdr:cNvPr id="0" name="image286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342900" cy="171450"/>
    <xdr:pic>
      <xdr:nvPicPr>
        <xdr:cNvPr id="0" name="image276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342900" cy="171450"/>
    <xdr:pic>
      <xdr:nvPicPr>
        <xdr:cNvPr id="0" name="image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342900" cy="171450"/>
    <xdr:pic>
      <xdr:nvPicPr>
        <xdr:cNvPr id="0" name="image255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342900" cy="171450"/>
    <xdr:pic>
      <xdr:nvPicPr>
        <xdr:cNvPr id="0" name="image324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342900" cy="171450"/>
    <xdr:pic>
      <xdr:nvPicPr>
        <xdr:cNvPr id="0" name="image278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342900" cy="171450"/>
    <xdr:pic>
      <xdr:nvPicPr>
        <xdr:cNvPr id="0" name="image232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342900" cy="171450"/>
    <xdr:pic>
      <xdr:nvPicPr>
        <xdr:cNvPr id="0" name="image222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342900" cy="171450"/>
    <xdr:pic>
      <xdr:nvPicPr>
        <xdr:cNvPr id="0" name="image234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342900" cy="171450"/>
    <xdr:pic>
      <xdr:nvPicPr>
        <xdr:cNvPr id="0" name="image321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217</xdr:row>
      <xdr:rowOff>0</xdr:rowOff>
    </xdr:from>
    <xdr:ext cx="342900" cy="171450"/>
    <xdr:pic>
      <xdr:nvPicPr>
        <xdr:cNvPr id="0" name="image304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342900" cy="171450"/>
    <xdr:pic>
      <xdr:nvPicPr>
        <xdr:cNvPr id="0" name="image244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342900" cy="171450"/>
    <xdr:pic>
      <xdr:nvPicPr>
        <xdr:cNvPr id="0" name="image275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342900" cy="171450"/>
    <xdr:pic>
      <xdr:nvPicPr>
        <xdr:cNvPr id="0" name="image270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342900" cy="171450"/>
    <xdr:pic>
      <xdr:nvPicPr>
        <xdr:cNvPr id="0" name="image259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342900" cy="171450"/>
    <xdr:pic>
      <xdr:nvPicPr>
        <xdr:cNvPr id="0" name="image313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342900" cy="171450"/>
    <xdr:pic>
      <xdr:nvPicPr>
        <xdr:cNvPr id="0" name="image32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342900" cy="171450"/>
    <xdr:pic>
      <xdr:nvPicPr>
        <xdr:cNvPr id="0" name="image27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342900" cy="171450"/>
    <xdr:pic>
      <xdr:nvPicPr>
        <xdr:cNvPr id="0" name="image267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342900" cy="171450"/>
    <xdr:pic>
      <xdr:nvPicPr>
        <xdr:cNvPr id="0" name="image301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227</xdr:row>
      <xdr:rowOff>0</xdr:rowOff>
    </xdr:from>
    <xdr:ext cx="342900" cy="171450"/>
    <xdr:pic>
      <xdr:nvPicPr>
        <xdr:cNvPr id="0" name="image274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342900" cy="171450"/>
    <xdr:pic>
      <xdr:nvPicPr>
        <xdr:cNvPr id="0" name="image296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342900" cy="171450"/>
    <xdr:pic>
      <xdr:nvPicPr>
        <xdr:cNvPr id="0" name="image250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342900" cy="171450"/>
    <xdr:pic>
      <xdr:nvPicPr>
        <xdr:cNvPr id="0" name="image251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342900" cy="171450"/>
    <xdr:pic>
      <xdr:nvPicPr>
        <xdr:cNvPr id="0" name="image281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342900" cy="171450"/>
    <xdr:pic>
      <xdr:nvPicPr>
        <xdr:cNvPr id="0" name="image290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342900" cy="171450"/>
    <xdr:pic>
      <xdr:nvPicPr>
        <xdr:cNvPr id="0" name="image284.pn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342900" cy="171450"/>
    <xdr:pic>
      <xdr:nvPicPr>
        <xdr:cNvPr id="0" name="image292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342900" cy="171450"/>
    <xdr:pic>
      <xdr:nvPicPr>
        <xdr:cNvPr id="0" name="image266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342900" cy="171450"/>
    <xdr:pic>
      <xdr:nvPicPr>
        <xdr:cNvPr id="0" name="image257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342900" cy="171450"/>
    <xdr:pic>
      <xdr:nvPicPr>
        <xdr:cNvPr id="0" name="image254.pn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342900" cy="171450"/>
    <xdr:pic>
      <xdr:nvPicPr>
        <xdr:cNvPr id="0" name="image293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342900" cy="171450"/>
    <xdr:pic>
      <xdr:nvPicPr>
        <xdr:cNvPr id="0" name="image311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342900" cy="171450"/>
    <xdr:pic>
      <xdr:nvPicPr>
        <xdr:cNvPr id="0" name="image285.pn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342900" cy="171450"/>
    <xdr:pic>
      <xdr:nvPicPr>
        <xdr:cNvPr id="0" name="image298.pn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342900" cy="171450"/>
    <xdr:pic>
      <xdr:nvPicPr>
        <xdr:cNvPr id="0" name="image263.pn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243</xdr:row>
      <xdr:rowOff>0</xdr:rowOff>
    </xdr:from>
    <xdr:ext cx="342900" cy="171450"/>
    <xdr:pic>
      <xdr:nvPicPr>
        <xdr:cNvPr id="0" name="image287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342900" cy="171450"/>
    <xdr:pic>
      <xdr:nvPicPr>
        <xdr:cNvPr id="0" name="image288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342900" cy="171450"/>
    <xdr:pic>
      <xdr:nvPicPr>
        <xdr:cNvPr id="0" name="image282.pn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342900" cy="171450"/>
    <xdr:pic>
      <xdr:nvPicPr>
        <xdr:cNvPr id="0" name="image392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342900" cy="171450"/>
    <xdr:pic>
      <xdr:nvPicPr>
        <xdr:cNvPr id="0" name="image307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342900" cy="171450"/>
    <xdr:pic>
      <xdr:nvPicPr>
        <xdr:cNvPr id="0" name="image297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342900" cy="171450"/>
    <xdr:pic>
      <xdr:nvPicPr>
        <xdr:cNvPr id="0" name="image295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342900" cy="171450"/>
    <xdr:pic>
      <xdr:nvPicPr>
        <xdr:cNvPr id="0" name="image280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342900" cy="171450"/>
    <xdr:pic>
      <xdr:nvPicPr>
        <xdr:cNvPr id="0" name="image336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342900" cy="171450"/>
    <xdr:pic>
      <xdr:nvPicPr>
        <xdr:cNvPr id="0" name="image322.pn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342900" cy="171450"/>
    <xdr:pic>
      <xdr:nvPicPr>
        <xdr:cNvPr id="0" name="image315.pn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342900" cy="171450"/>
    <xdr:pic>
      <xdr:nvPicPr>
        <xdr:cNvPr id="0" name="image291.pn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342900" cy="171450"/>
    <xdr:pic>
      <xdr:nvPicPr>
        <xdr:cNvPr id="0" name="image312.pn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342900" cy="171450"/>
    <xdr:pic>
      <xdr:nvPicPr>
        <xdr:cNvPr id="0" name="image299.pn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342900" cy="171450"/>
    <xdr:pic>
      <xdr:nvPicPr>
        <xdr:cNvPr id="0" name="image335.pn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342900" cy="171450"/>
    <xdr:pic>
      <xdr:nvPicPr>
        <xdr:cNvPr id="0" name="image314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342900" cy="171450"/>
    <xdr:pic>
      <xdr:nvPicPr>
        <xdr:cNvPr id="0" name="image329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342900" cy="171450"/>
    <xdr:pic>
      <xdr:nvPicPr>
        <xdr:cNvPr id="0" name="image305.pn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342900" cy="171450"/>
    <xdr:pic>
      <xdr:nvPicPr>
        <xdr:cNvPr id="0" name="image342.pn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262</xdr:row>
      <xdr:rowOff>0</xdr:rowOff>
    </xdr:from>
    <xdr:ext cx="342900" cy="171450"/>
    <xdr:pic>
      <xdr:nvPicPr>
        <xdr:cNvPr id="0" name="image331.pn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263</xdr:row>
      <xdr:rowOff>0</xdr:rowOff>
    </xdr:from>
    <xdr:ext cx="342900" cy="171450"/>
    <xdr:pic>
      <xdr:nvPicPr>
        <xdr:cNvPr id="0" name="image367.pn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264</xdr:row>
      <xdr:rowOff>0</xdr:rowOff>
    </xdr:from>
    <xdr:ext cx="342900" cy="171450"/>
    <xdr:pic>
      <xdr:nvPicPr>
        <xdr:cNvPr id="0" name="image318.pn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342900" cy="171450"/>
    <xdr:pic>
      <xdr:nvPicPr>
        <xdr:cNvPr id="0" name="image310.pn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342900" cy="171450"/>
    <xdr:pic>
      <xdr:nvPicPr>
        <xdr:cNvPr id="0" name="image345.pn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267</xdr:row>
      <xdr:rowOff>0</xdr:rowOff>
    </xdr:from>
    <xdr:ext cx="342900" cy="171450"/>
    <xdr:pic>
      <xdr:nvPicPr>
        <xdr:cNvPr id="0" name="image328.pn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342900" cy="171450"/>
    <xdr:pic>
      <xdr:nvPicPr>
        <xdr:cNvPr id="0" name="image339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342900" cy="171450"/>
    <xdr:pic>
      <xdr:nvPicPr>
        <xdr:cNvPr id="0" name="image361.pn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342900" cy="171450"/>
    <xdr:pic>
      <xdr:nvPicPr>
        <xdr:cNvPr id="0" name="image327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342900" cy="171450"/>
    <xdr:pic>
      <xdr:nvPicPr>
        <xdr:cNvPr id="0" name="image300.pn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342900" cy="171450"/>
    <xdr:pic>
      <xdr:nvPicPr>
        <xdr:cNvPr id="0" name="image323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273</xdr:row>
      <xdr:rowOff>0</xdr:rowOff>
    </xdr:from>
    <xdr:ext cx="342900" cy="171450"/>
    <xdr:pic>
      <xdr:nvPicPr>
        <xdr:cNvPr id="0" name="image308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274</xdr:row>
      <xdr:rowOff>0</xdr:rowOff>
    </xdr:from>
    <xdr:ext cx="342900" cy="171450"/>
    <xdr:pic>
      <xdr:nvPicPr>
        <xdr:cNvPr id="0" name="image369.pn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342900" cy="171450"/>
    <xdr:pic>
      <xdr:nvPicPr>
        <xdr:cNvPr id="0" name="image375.pn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342900" cy="171450"/>
    <xdr:pic>
      <xdr:nvPicPr>
        <xdr:cNvPr id="0" name="image306.pn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342900" cy="171450"/>
    <xdr:pic>
      <xdr:nvPicPr>
        <xdr:cNvPr id="0" name="image325.pn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342900" cy="171450"/>
    <xdr:pic>
      <xdr:nvPicPr>
        <xdr:cNvPr id="0" name="image403.pn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279</xdr:row>
      <xdr:rowOff>0</xdr:rowOff>
    </xdr:from>
    <xdr:ext cx="342900" cy="171450"/>
    <xdr:pic>
      <xdr:nvPicPr>
        <xdr:cNvPr id="0" name="image333.pn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342900" cy="171450"/>
    <xdr:pic>
      <xdr:nvPicPr>
        <xdr:cNvPr id="0" name="image302.pn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342900" cy="171450"/>
    <xdr:pic>
      <xdr:nvPicPr>
        <xdr:cNvPr id="0" name="image303.pn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282</xdr:row>
      <xdr:rowOff>0</xdr:rowOff>
    </xdr:from>
    <xdr:ext cx="342900" cy="171450"/>
    <xdr:pic>
      <xdr:nvPicPr>
        <xdr:cNvPr id="0" name="image337.pn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342900" cy="171450"/>
    <xdr:pic>
      <xdr:nvPicPr>
        <xdr:cNvPr id="0" name="image332.pn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342900" cy="171450"/>
    <xdr:pic>
      <xdr:nvPicPr>
        <xdr:cNvPr id="0" name="image309.pn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342900" cy="171450"/>
    <xdr:pic>
      <xdr:nvPicPr>
        <xdr:cNvPr id="0" name="image317.pn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342900" cy="171450"/>
    <xdr:pic>
      <xdr:nvPicPr>
        <xdr:cNvPr id="0" name="image352.pn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287</xdr:row>
      <xdr:rowOff>0</xdr:rowOff>
    </xdr:from>
    <xdr:ext cx="342900" cy="171450"/>
    <xdr:pic>
      <xdr:nvPicPr>
        <xdr:cNvPr id="0" name="image320.pn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342900" cy="171450"/>
    <xdr:pic>
      <xdr:nvPicPr>
        <xdr:cNvPr id="0" name="image344.pn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342900" cy="171450"/>
    <xdr:pic>
      <xdr:nvPicPr>
        <xdr:cNvPr id="0" name="image349.pn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342900" cy="171450"/>
    <xdr:pic>
      <xdr:nvPicPr>
        <xdr:cNvPr id="0" name="image354.pn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291</xdr:row>
      <xdr:rowOff>0</xdr:rowOff>
    </xdr:from>
    <xdr:ext cx="342900" cy="171450"/>
    <xdr:pic>
      <xdr:nvPicPr>
        <xdr:cNvPr id="0" name="image319.pn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292</xdr:row>
      <xdr:rowOff>0</xdr:rowOff>
    </xdr:from>
    <xdr:ext cx="342900" cy="171450"/>
    <xdr:pic>
      <xdr:nvPicPr>
        <xdr:cNvPr id="0" name="image383.pn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342900" cy="171450"/>
    <xdr:pic>
      <xdr:nvPicPr>
        <xdr:cNvPr id="0" name="image316.pn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294</xdr:row>
      <xdr:rowOff>0</xdr:rowOff>
    </xdr:from>
    <xdr:ext cx="342900" cy="171450"/>
    <xdr:pic>
      <xdr:nvPicPr>
        <xdr:cNvPr id="0" name="image376.pn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295</xdr:row>
      <xdr:rowOff>0</xdr:rowOff>
    </xdr:from>
    <xdr:ext cx="342900" cy="171450"/>
    <xdr:pic>
      <xdr:nvPicPr>
        <xdr:cNvPr id="0" name="image439.pn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342900" cy="171450"/>
    <xdr:pic>
      <xdr:nvPicPr>
        <xdr:cNvPr id="0" name="image381.pn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342900" cy="171450"/>
    <xdr:pic>
      <xdr:nvPicPr>
        <xdr:cNvPr id="0" name="image346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342900" cy="171450"/>
    <xdr:pic>
      <xdr:nvPicPr>
        <xdr:cNvPr id="0" name="image353.pn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342900" cy="171450"/>
    <xdr:pic>
      <xdr:nvPicPr>
        <xdr:cNvPr id="0" name="image355.pn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342900" cy="171450"/>
    <xdr:pic>
      <xdr:nvPicPr>
        <xdr:cNvPr id="0" name="image387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342900" cy="171450"/>
    <xdr:pic>
      <xdr:nvPicPr>
        <xdr:cNvPr id="0" name="image343.pn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342900" cy="171450"/>
    <xdr:pic>
      <xdr:nvPicPr>
        <xdr:cNvPr id="0" name="image368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342900" cy="171450"/>
    <xdr:pic>
      <xdr:nvPicPr>
        <xdr:cNvPr id="0" name="image440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342900" cy="171450"/>
    <xdr:pic>
      <xdr:nvPicPr>
        <xdr:cNvPr id="0" name="image394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342900" cy="171450"/>
    <xdr:pic>
      <xdr:nvPicPr>
        <xdr:cNvPr id="0" name="image380.pn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342900" cy="171450"/>
    <xdr:pic>
      <xdr:nvPicPr>
        <xdr:cNvPr id="0" name="image397.pn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307</xdr:row>
      <xdr:rowOff>0</xdr:rowOff>
    </xdr:from>
    <xdr:ext cx="342900" cy="171450"/>
    <xdr:pic>
      <xdr:nvPicPr>
        <xdr:cNvPr id="0" name="image377.pn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342900" cy="171450"/>
    <xdr:pic>
      <xdr:nvPicPr>
        <xdr:cNvPr id="0" name="image358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342900" cy="171450"/>
    <xdr:pic>
      <xdr:nvPicPr>
        <xdr:cNvPr id="0" name="image373.pn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342900" cy="171450"/>
    <xdr:pic>
      <xdr:nvPicPr>
        <xdr:cNvPr id="0" name="image371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311</xdr:row>
      <xdr:rowOff>0</xdr:rowOff>
    </xdr:from>
    <xdr:ext cx="342900" cy="171450"/>
    <xdr:pic>
      <xdr:nvPicPr>
        <xdr:cNvPr id="0" name="image341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312</xdr:row>
      <xdr:rowOff>0</xdr:rowOff>
    </xdr:from>
    <xdr:ext cx="342900" cy="171450"/>
    <xdr:pic>
      <xdr:nvPicPr>
        <xdr:cNvPr id="0" name="image427.pn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342900" cy="171450"/>
    <xdr:pic>
      <xdr:nvPicPr>
        <xdr:cNvPr id="0" name="image390.pn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314</xdr:row>
      <xdr:rowOff>0</xdr:rowOff>
    </xdr:from>
    <xdr:ext cx="342900" cy="171450"/>
    <xdr:pic>
      <xdr:nvPicPr>
        <xdr:cNvPr id="0" name="image338.pn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342900" cy="171450"/>
    <xdr:pic>
      <xdr:nvPicPr>
        <xdr:cNvPr id="0" name="image360.pn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342900" cy="171450"/>
    <xdr:pic>
      <xdr:nvPicPr>
        <xdr:cNvPr id="0" name="image348.pn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317</xdr:row>
      <xdr:rowOff>0</xdr:rowOff>
    </xdr:from>
    <xdr:ext cx="342900" cy="171450"/>
    <xdr:pic>
      <xdr:nvPicPr>
        <xdr:cNvPr id="0" name="image393.pn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342900" cy="171450"/>
    <xdr:pic>
      <xdr:nvPicPr>
        <xdr:cNvPr id="0" name="image362.pn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342900" cy="171450"/>
    <xdr:pic>
      <xdr:nvPicPr>
        <xdr:cNvPr id="0" name="image330.pn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342900" cy="171450"/>
    <xdr:pic>
      <xdr:nvPicPr>
        <xdr:cNvPr id="0" name="image356.pn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321</xdr:row>
      <xdr:rowOff>0</xdr:rowOff>
    </xdr:from>
    <xdr:ext cx="342900" cy="171450"/>
    <xdr:pic>
      <xdr:nvPicPr>
        <xdr:cNvPr id="0" name="image364.pn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322</xdr:row>
      <xdr:rowOff>0</xdr:rowOff>
    </xdr:from>
    <xdr:ext cx="342900" cy="171450"/>
    <xdr:pic>
      <xdr:nvPicPr>
        <xdr:cNvPr id="0" name="image350.pn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323</xdr:row>
      <xdr:rowOff>0</xdr:rowOff>
    </xdr:from>
    <xdr:ext cx="342900" cy="171450"/>
    <xdr:pic>
      <xdr:nvPicPr>
        <xdr:cNvPr id="0" name="image340.pn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342900" cy="171450"/>
    <xdr:pic>
      <xdr:nvPicPr>
        <xdr:cNvPr id="0" name="image347.pn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342900" cy="171450"/>
    <xdr:pic>
      <xdr:nvPicPr>
        <xdr:cNvPr id="0" name="image359.pn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342900" cy="171450"/>
    <xdr:pic>
      <xdr:nvPicPr>
        <xdr:cNvPr id="0" name="image334.pn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342900" cy="171450"/>
    <xdr:pic>
      <xdr:nvPicPr>
        <xdr:cNvPr id="0" name="image398.pn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342900" cy="171450"/>
    <xdr:pic>
      <xdr:nvPicPr>
        <xdr:cNvPr id="0" name="image363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342900" cy="171450"/>
    <xdr:pic>
      <xdr:nvPicPr>
        <xdr:cNvPr id="0" name="image374.pn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342900" cy="171450"/>
    <xdr:pic>
      <xdr:nvPicPr>
        <xdr:cNvPr id="0" name="image395.pn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342900" cy="171450"/>
    <xdr:pic>
      <xdr:nvPicPr>
        <xdr:cNvPr id="0" name="image389.pn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342900" cy="171450"/>
    <xdr:pic>
      <xdr:nvPicPr>
        <xdr:cNvPr id="0" name="image419.pn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333</xdr:row>
      <xdr:rowOff>0</xdr:rowOff>
    </xdr:from>
    <xdr:ext cx="342900" cy="171450"/>
    <xdr:pic>
      <xdr:nvPicPr>
        <xdr:cNvPr id="0" name="image357.pn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334</xdr:row>
      <xdr:rowOff>0</xdr:rowOff>
    </xdr:from>
    <xdr:ext cx="342900" cy="171450"/>
    <xdr:pic>
      <xdr:nvPicPr>
        <xdr:cNvPr id="0" name="image400.pn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335</xdr:row>
      <xdr:rowOff>0</xdr:rowOff>
    </xdr:from>
    <xdr:ext cx="342900" cy="171450"/>
    <xdr:pic>
      <xdr:nvPicPr>
        <xdr:cNvPr id="0" name="image365.pn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342900" cy="171450"/>
    <xdr:pic>
      <xdr:nvPicPr>
        <xdr:cNvPr id="0" name="image401.pn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342900" cy="171450"/>
    <xdr:pic>
      <xdr:nvPicPr>
        <xdr:cNvPr id="0" name="image417.pn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342900" cy="171450"/>
    <xdr:pic>
      <xdr:nvPicPr>
        <xdr:cNvPr id="0" name="image423.pn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342900" cy="171450"/>
    <xdr:pic>
      <xdr:nvPicPr>
        <xdr:cNvPr id="0" name="image351.pn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342900" cy="171450"/>
    <xdr:pic>
      <xdr:nvPicPr>
        <xdr:cNvPr id="0" name="image391.pn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342900" cy="171450"/>
    <xdr:pic>
      <xdr:nvPicPr>
        <xdr:cNvPr id="0" name="image420.pn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342900" cy="171450"/>
    <xdr:pic>
      <xdr:nvPicPr>
        <xdr:cNvPr id="0" name="image378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343</xdr:row>
      <xdr:rowOff>0</xdr:rowOff>
    </xdr:from>
    <xdr:ext cx="342900" cy="171450"/>
    <xdr:pic>
      <xdr:nvPicPr>
        <xdr:cNvPr id="0" name="image402.pn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344</xdr:row>
      <xdr:rowOff>0</xdr:rowOff>
    </xdr:from>
    <xdr:ext cx="342900" cy="171450"/>
    <xdr:pic>
      <xdr:nvPicPr>
        <xdr:cNvPr id="0" name="image410.pn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345</xdr:row>
      <xdr:rowOff>0</xdr:rowOff>
    </xdr:from>
    <xdr:ext cx="342900" cy="171450"/>
    <xdr:pic>
      <xdr:nvPicPr>
        <xdr:cNvPr id="0" name="image411.pn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342900" cy="171450"/>
    <xdr:pic>
      <xdr:nvPicPr>
        <xdr:cNvPr id="0" name="image430.pn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342900" cy="171450"/>
    <xdr:pic>
      <xdr:nvPicPr>
        <xdr:cNvPr id="0" name="image413.pn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342900" cy="171450"/>
    <xdr:pic>
      <xdr:nvPicPr>
        <xdr:cNvPr id="0" name="image412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342900" cy="171450"/>
    <xdr:pic>
      <xdr:nvPicPr>
        <xdr:cNvPr id="0" name="image384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342900" cy="171450"/>
    <xdr:pic>
      <xdr:nvPicPr>
        <xdr:cNvPr id="0" name="image436.pn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351</xdr:row>
      <xdr:rowOff>0</xdr:rowOff>
    </xdr:from>
    <xdr:ext cx="342900" cy="171450"/>
    <xdr:pic>
      <xdr:nvPicPr>
        <xdr:cNvPr id="0" name="image518.pn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352</xdr:row>
      <xdr:rowOff>0</xdr:rowOff>
    </xdr:from>
    <xdr:ext cx="342900" cy="171450"/>
    <xdr:pic>
      <xdr:nvPicPr>
        <xdr:cNvPr id="0" name="image388.pn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342900" cy="171450"/>
    <xdr:pic>
      <xdr:nvPicPr>
        <xdr:cNvPr id="0" name="image385.pn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342900" cy="171450"/>
    <xdr:pic>
      <xdr:nvPicPr>
        <xdr:cNvPr id="0" name="image372.pn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355</xdr:row>
      <xdr:rowOff>0</xdr:rowOff>
    </xdr:from>
    <xdr:ext cx="342900" cy="171450"/>
    <xdr:pic>
      <xdr:nvPicPr>
        <xdr:cNvPr id="0" name="image379.pn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342900" cy="171450"/>
    <xdr:pic>
      <xdr:nvPicPr>
        <xdr:cNvPr id="0" name="image366.pn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342900" cy="171450"/>
    <xdr:pic>
      <xdr:nvPicPr>
        <xdr:cNvPr id="0" name="image467.pn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342900" cy="171450"/>
    <xdr:pic>
      <xdr:nvPicPr>
        <xdr:cNvPr id="0" name="image429.pn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342900" cy="171450"/>
    <xdr:pic>
      <xdr:nvPicPr>
        <xdr:cNvPr id="0" name="image370.pn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360</xdr:row>
      <xdr:rowOff>0</xdr:rowOff>
    </xdr:from>
    <xdr:ext cx="342900" cy="171450"/>
    <xdr:pic>
      <xdr:nvPicPr>
        <xdr:cNvPr id="0" name="image451.pn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361</xdr:row>
      <xdr:rowOff>0</xdr:rowOff>
    </xdr:from>
    <xdr:ext cx="342900" cy="171450"/>
    <xdr:pic>
      <xdr:nvPicPr>
        <xdr:cNvPr id="0" name="image409.pn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362</xdr:row>
      <xdr:rowOff>0</xdr:rowOff>
    </xdr:from>
    <xdr:ext cx="342900" cy="171450"/>
    <xdr:pic>
      <xdr:nvPicPr>
        <xdr:cNvPr id="0" name="image404.pn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363</xdr:row>
      <xdr:rowOff>0</xdr:rowOff>
    </xdr:from>
    <xdr:ext cx="342900" cy="171450"/>
    <xdr:pic>
      <xdr:nvPicPr>
        <xdr:cNvPr id="0" name="image422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364</xdr:row>
      <xdr:rowOff>0</xdr:rowOff>
    </xdr:from>
    <xdr:ext cx="342900" cy="171450"/>
    <xdr:pic>
      <xdr:nvPicPr>
        <xdr:cNvPr id="0" name="image489.pn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365</xdr:row>
      <xdr:rowOff>0</xdr:rowOff>
    </xdr:from>
    <xdr:ext cx="342900" cy="171450"/>
    <xdr:pic>
      <xdr:nvPicPr>
        <xdr:cNvPr id="0" name="image418.pn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342900" cy="171450"/>
    <xdr:pic>
      <xdr:nvPicPr>
        <xdr:cNvPr id="0" name="image386.pn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342900" cy="171450"/>
    <xdr:pic>
      <xdr:nvPicPr>
        <xdr:cNvPr id="0" name="image399.pn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342900" cy="171450"/>
    <xdr:pic>
      <xdr:nvPicPr>
        <xdr:cNvPr id="0" name="image432.pn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342900" cy="171450"/>
    <xdr:pic>
      <xdr:nvPicPr>
        <xdr:cNvPr id="0" name="image405.pn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342900" cy="171450"/>
    <xdr:pic>
      <xdr:nvPicPr>
        <xdr:cNvPr id="0" name="image459.pn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371</xdr:row>
      <xdr:rowOff>0</xdr:rowOff>
    </xdr:from>
    <xdr:ext cx="342900" cy="171450"/>
    <xdr:pic>
      <xdr:nvPicPr>
        <xdr:cNvPr id="0" name="image425.pn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372</xdr:row>
      <xdr:rowOff>0</xdr:rowOff>
    </xdr:from>
    <xdr:ext cx="342900" cy="171450"/>
    <xdr:pic>
      <xdr:nvPicPr>
        <xdr:cNvPr id="0" name="image455.pn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373</xdr:row>
      <xdr:rowOff>0</xdr:rowOff>
    </xdr:from>
    <xdr:ext cx="342900" cy="171450"/>
    <xdr:pic>
      <xdr:nvPicPr>
        <xdr:cNvPr id="0" name="image415.pn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374</xdr:row>
      <xdr:rowOff>0</xdr:rowOff>
    </xdr:from>
    <xdr:ext cx="342900" cy="171450"/>
    <xdr:pic>
      <xdr:nvPicPr>
        <xdr:cNvPr id="0" name="image382.pn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375</xdr:row>
      <xdr:rowOff>0</xdr:rowOff>
    </xdr:from>
    <xdr:ext cx="342900" cy="171450"/>
    <xdr:pic>
      <xdr:nvPicPr>
        <xdr:cNvPr id="0" name="image460.pn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342900" cy="171450"/>
    <xdr:pic>
      <xdr:nvPicPr>
        <xdr:cNvPr id="0" name="image442.pn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342900" cy="171450"/>
    <xdr:pic>
      <xdr:nvPicPr>
        <xdr:cNvPr id="0" name="image407.pn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378</xdr:row>
      <xdr:rowOff>0</xdr:rowOff>
    </xdr:from>
    <xdr:ext cx="342900" cy="171450"/>
    <xdr:pic>
      <xdr:nvPicPr>
        <xdr:cNvPr id="0" name="image450.pn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379</xdr:row>
      <xdr:rowOff>0</xdr:rowOff>
    </xdr:from>
    <xdr:ext cx="342900" cy="171450"/>
    <xdr:pic>
      <xdr:nvPicPr>
        <xdr:cNvPr id="0" name="image435.pn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342900" cy="171450"/>
    <xdr:pic>
      <xdr:nvPicPr>
        <xdr:cNvPr id="0" name="image408.pn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381</xdr:row>
      <xdr:rowOff>0</xdr:rowOff>
    </xdr:from>
    <xdr:ext cx="342900" cy="171450"/>
    <xdr:pic>
      <xdr:nvPicPr>
        <xdr:cNvPr id="0" name="image396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382</xdr:row>
      <xdr:rowOff>0</xdr:rowOff>
    </xdr:from>
    <xdr:ext cx="342900" cy="171450"/>
    <xdr:pic>
      <xdr:nvPicPr>
        <xdr:cNvPr id="0" name="image443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383</xdr:row>
      <xdr:rowOff>0</xdr:rowOff>
    </xdr:from>
    <xdr:ext cx="342900" cy="171450"/>
    <xdr:pic>
      <xdr:nvPicPr>
        <xdr:cNvPr id="0" name="image441.pn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</xdr:row>
      <xdr:rowOff>0</xdr:rowOff>
    </xdr:from>
    <xdr:ext cx="342900" cy="171450"/>
    <xdr:pic>
      <xdr:nvPicPr>
        <xdr:cNvPr id="0" name="image453.pn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</xdr:row>
      <xdr:rowOff>0</xdr:rowOff>
    </xdr:from>
    <xdr:ext cx="342900" cy="171450"/>
    <xdr:pic>
      <xdr:nvPicPr>
        <xdr:cNvPr id="0" name="image433.pn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386</xdr:row>
      <xdr:rowOff>0</xdr:rowOff>
    </xdr:from>
    <xdr:ext cx="342900" cy="171450"/>
    <xdr:pic>
      <xdr:nvPicPr>
        <xdr:cNvPr id="0" name="image414.pn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342900" cy="171450"/>
    <xdr:pic>
      <xdr:nvPicPr>
        <xdr:cNvPr id="0" name="image444.pn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388</xdr:row>
      <xdr:rowOff>0</xdr:rowOff>
    </xdr:from>
    <xdr:ext cx="342900" cy="171450"/>
    <xdr:pic>
      <xdr:nvPicPr>
        <xdr:cNvPr id="0" name="image481.pn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389</xdr:row>
      <xdr:rowOff>0</xdr:rowOff>
    </xdr:from>
    <xdr:ext cx="342900" cy="171450"/>
    <xdr:pic>
      <xdr:nvPicPr>
        <xdr:cNvPr id="0" name="image426.pn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342900" cy="171450"/>
    <xdr:pic>
      <xdr:nvPicPr>
        <xdr:cNvPr id="0" name="image449.pn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391</xdr:row>
      <xdr:rowOff>0</xdr:rowOff>
    </xdr:from>
    <xdr:ext cx="342900" cy="171450"/>
    <xdr:pic>
      <xdr:nvPicPr>
        <xdr:cNvPr id="0" name="image406.pn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392</xdr:row>
      <xdr:rowOff>0</xdr:rowOff>
    </xdr:from>
    <xdr:ext cx="342900" cy="171450"/>
    <xdr:pic>
      <xdr:nvPicPr>
        <xdr:cNvPr id="0" name="image464.pn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393</xdr:row>
      <xdr:rowOff>0</xdr:rowOff>
    </xdr:from>
    <xdr:ext cx="342900" cy="171450"/>
    <xdr:pic>
      <xdr:nvPicPr>
        <xdr:cNvPr id="0" name="image437.pn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394</xdr:row>
      <xdr:rowOff>0</xdr:rowOff>
    </xdr:from>
    <xdr:ext cx="342900" cy="171450"/>
    <xdr:pic>
      <xdr:nvPicPr>
        <xdr:cNvPr id="0" name="image479.pn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395</xdr:row>
      <xdr:rowOff>0</xdr:rowOff>
    </xdr:from>
    <xdr:ext cx="342900" cy="171450"/>
    <xdr:pic>
      <xdr:nvPicPr>
        <xdr:cNvPr id="0" name="image491.pn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396</xdr:row>
      <xdr:rowOff>0</xdr:rowOff>
    </xdr:from>
    <xdr:ext cx="342900" cy="171450"/>
    <xdr:pic>
      <xdr:nvPicPr>
        <xdr:cNvPr id="0" name="image446.pn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342900" cy="171450"/>
    <xdr:pic>
      <xdr:nvPicPr>
        <xdr:cNvPr id="0" name="image49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398</xdr:row>
      <xdr:rowOff>0</xdr:rowOff>
    </xdr:from>
    <xdr:ext cx="342900" cy="171450"/>
    <xdr:pic>
      <xdr:nvPicPr>
        <xdr:cNvPr id="0" name="image424.pn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399</xdr:row>
      <xdr:rowOff>0</xdr:rowOff>
    </xdr:from>
    <xdr:ext cx="342900" cy="171450"/>
    <xdr:pic>
      <xdr:nvPicPr>
        <xdr:cNvPr id="0" name="image434.pn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342900" cy="171450"/>
    <xdr:pic>
      <xdr:nvPicPr>
        <xdr:cNvPr id="0" name="image428.pn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401</xdr:row>
      <xdr:rowOff>0</xdr:rowOff>
    </xdr:from>
    <xdr:ext cx="342900" cy="171450"/>
    <xdr:pic>
      <xdr:nvPicPr>
        <xdr:cNvPr id="0" name="image438.pn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402</xdr:row>
      <xdr:rowOff>0</xdr:rowOff>
    </xdr:from>
    <xdr:ext cx="342900" cy="171450"/>
    <xdr:pic>
      <xdr:nvPicPr>
        <xdr:cNvPr id="0" name="image416.pn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403</xdr:row>
      <xdr:rowOff>0</xdr:rowOff>
    </xdr:from>
    <xdr:ext cx="342900" cy="171450"/>
    <xdr:pic>
      <xdr:nvPicPr>
        <xdr:cNvPr id="0" name="image458.pn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404</xdr:row>
      <xdr:rowOff>0</xdr:rowOff>
    </xdr:from>
    <xdr:ext cx="342900" cy="171450"/>
    <xdr:pic>
      <xdr:nvPicPr>
        <xdr:cNvPr id="0" name="image421.pn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405</xdr:row>
      <xdr:rowOff>0</xdr:rowOff>
    </xdr:from>
    <xdr:ext cx="342900" cy="171450"/>
    <xdr:pic>
      <xdr:nvPicPr>
        <xdr:cNvPr id="0" name="image515.pn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342900" cy="171450"/>
    <xdr:pic>
      <xdr:nvPicPr>
        <xdr:cNvPr id="0" name="image452.pn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407</xdr:row>
      <xdr:rowOff>0</xdr:rowOff>
    </xdr:from>
    <xdr:ext cx="342900" cy="171450"/>
    <xdr:pic>
      <xdr:nvPicPr>
        <xdr:cNvPr id="0" name="image487.pn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408</xdr:row>
      <xdr:rowOff>0</xdr:rowOff>
    </xdr:from>
    <xdr:ext cx="342900" cy="171450"/>
    <xdr:pic>
      <xdr:nvPicPr>
        <xdr:cNvPr id="0" name="image493.pn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409</xdr:row>
      <xdr:rowOff>0</xdr:rowOff>
    </xdr:from>
    <xdr:ext cx="342900" cy="171450"/>
    <xdr:pic>
      <xdr:nvPicPr>
        <xdr:cNvPr id="0" name="image472.pn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410</xdr:row>
      <xdr:rowOff>0</xdr:rowOff>
    </xdr:from>
    <xdr:ext cx="342900" cy="171450"/>
    <xdr:pic>
      <xdr:nvPicPr>
        <xdr:cNvPr id="0" name="image506.pn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411</xdr:row>
      <xdr:rowOff>0</xdr:rowOff>
    </xdr:from>
    <xdr:ext cx="342900" cy="171450"/>
    <xdr:pic>
      <xdr:nvPicPr>
        <xdr:cNvPr id="0" name="image470.pn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342900" cy="171450"/>
    <xdr:pic>
      <xdr:nvPicPr>
        <xdr:cNvPr id="0" name="image483.pn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413</xdr:row>
      <xdr:rowOff>0</xdr:rowOff>
    </xdr:from>
    <xdr:ext cx="342900" cy="171450"/>
    <xdr:pic>
      <xdr:nvPicPr>
        <xdr:cNvPr id="0" name="image557.pn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414</xdr:row>
      <xdr:rowOff>0</xdr:rowOff>
    </xdr:from>
    <xdr:ext cx="342900" cy="171450"/>
    <xdr:pic>
      <xdr:nvPicPr>
        <xdr:cNvPr id="0" name="image447.pn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415</xdr:row>
      <xdr:rowOff>0</xdr:rowOff>
    </xdr:from>
    <xdr:ext cx="342900" cy="171450"/>
    <xdr:pic>
      <xdr:nvPicPr>
        <xdr:cNvPr id="0" name="image454.pn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0</xdr:rowOff>
    </xdr:from>
    <xdr:ext cx="342900" cy="171450"/>
    <xdr:pic>
      <xdr:nvPicPr>
        <xdr:cNvPr id="0" name="image490.pn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417</xdr:row>
      <xdr:rowOff>0</xdr:rowOff>
    </xdr:from>
    <xdr:ext cx="342900" cy="171450"/>
    <xdr:pic>
      <xdr:nvPicPr>
        <xdr:cNvPr id="0" name="image457.png"/>
        <xdr:cNvPicPr preferRelativeResize="0"/>
      </xdr:nvPicPr>
      <xdr:blipFill>
        <a:blip cstate="print" r:embed="rId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418</xdr:row>
      <xdr:rowOff>0</xdr:rowOff>
    </xdr:from>
    <xdr:ext cx="342900" cy="171450"/>
    <xdr:pic>
      <xdr:nvPicPr>
        <xdr:cNvPr id="0" name="image492.png"/>
        <xdr:cNvPicPr preferRelativeResize="0"/>
      </xdr:nvPicPr>
      <xdr:blipFill>
        <a:blip cstate="print" r:embed="rId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419</xdr:row>
      <xdr:rowOff>0</xdr:rowOff>
    </xdr:from>
    <xdr:ext cx="342900" cy="171450"/>
    <xdr:pic>
      <xdr:nvPicPr>
        <xdr:cNvPr id="0" name="image431.pn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342900" cy="171450"/>
    <xdr:pic>
      <xdr:nvPicPr>
        <xdr:cNvPr id="0" name="image488.pn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421</xdr:row>
      <xdr:rowOff>0</xdr:rowOff>
    </xdr:from>
    <xdr:ext cx="342900" cy="171450"/>
    <xdr:pic>
      <xdr:nvPicPr>
        <xdr:cNvPr id="0" name="image463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342900" cy="171450"/>
    <xdr:pic>
      <xdr:nvPicPr>
        <xdr:cNvPr id="0" name="image478.pn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423</xdr:row>
      <xdr:rowOff>0</xdr:rowOff>
    </xdr:from>
    <xdr:ext cx="342900" cy="171450"/>
    <xdr:pic>
      <xdr:nvPicPr>
        <xdr:cNvPr id="0" name="image461.pn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424</xdr:row>
      <xdr:rowOff>0</xdr:rowOff>
    </xdr:from>
    <xdr:ext cx="342900" cy="171450"/>
    <xdr:pic>
      <xdr:nvPicPr>
        <xdr:cNvPr id="0" name="image469.png"/>
        <xdr:cNvPicPr preferRelativeResize="0"/>
      </xdr:nvPicPr>
      <xdr:blipFill>
        <a:blip cstate="print" r:embed="rId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425</xdr:row>
      <xdr:rowOff>0</xdr:rowOff>
    </xdr:from>
    <xdr:ext cx="342900" cy="171450"/>
    <xdr:pic>
      <xdr:nvPicPr>
        <xdr:cNvPr id="0" name="image480.png"/>
        <xdr:cNvPicPr preferRelativeResize="0"/>
      </xdr:nvPicPr>
      <xdr:blipFill>
        <a:blip cstate="print" r:embed="rId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342900" cy="171450"/>
    <xdr:pic>
      <xdr:nvPicPr>
        <xdr:cNvPr id="0" name="image508.pn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427</xdr:row>
      <xdr:rowOff>0</xdr:rowOff>
    </xdr:from>
    <xdr:ext cx="342900" cy="171450"/>
    <xdr:pic>
      <xdr:nvPicPr>
        <xdr:cNvPr id="0" name="image509.png"/>
        <xdr:cNvPicPr preferRelativeResize="0"/>
      </xdr:nvPicPr>
      <xdr:blipFill>
        <a:blip cstate="print" r:embed="rId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342900" cy="171450"/>
    <xdr:pic>
      <xdr:nvPicPr>
        <xdr:cNvPr id="0" name="image465.png"/>
        <xdr:cNvPicPr preferRelativeResize="0"/>
      </xdr:nvPicPr>
      <xdr:blipFill>
        <a:blip cstate="print" r:embed="rId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342900" cy="171450"/>
    <xdr:pic>
      <xdr:nvPicPr>
        <xdr:cNvPr id="0" name="image475.png"/>
        <xdr:cNvPicPr preferRelativeResize="0"/>
      </xdr:nvPicPr>
      <xdr:blipFill>
        <a:blip cstate="print" r:embed="rId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342900" cy="171450"/>
    <xdr:pic>
      <xdr:nvPicPr>
        <xdr:cNvPr id="0" name="image456.png"/>
        <xdr:cNvPicPr preferRelativeResize="0"/>
      </xdr:nvPicPr>
      <xdr:blipFill>
        <a:blip cstate="print" r:embed="rId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342900" cy="171450"/>
    <xdr:pic>
      <xdr:nvPicPr>
        <xdr:cNvPr id="0" name="image445.pn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342900" cy="171450"/>
    <xdr:pic>
      <xdr:nvPicPr>
        <xdr:cNvPr id="0" name="image500.pn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433</xdr:row>
      <xdr:rowOff>0</xdr:rowOff>
    </xdr:from>
    <xdr:ext cx="342900" cy="171450"/>
    <xdr:pic>
      <xdr:nvPicPr>
        <xdr:cNvPr id="0" name="image486.pn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434</xdr:row>
      <xdr:rowOff>0</xdr:rowOff>
    </xdr:from>
    <xdr:ext cx="342900" cy="171450"/>
    <xdr:pic>
      <xdr:nvPicPr>
        <xdr:cNvPr id="0" name="image448.pn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435</xdr:row>
      <xdr:rowOff>0</xdr:rowOff>
    </xdr:from>
    <xdr:ext cx="342900" cy="171450"/>
    <xdr:pic>
      <xdr:nvPicPr>
        <xdr:cNvPr id="0" name="image514.pn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342900" cy="171450"/>
    <xdr:pic>
      <xdr:nvPicPr>
        <xdr:cNvPr id="0" name="image521.png"/>
        <xdr:cNvPicPr preferRelativeResize="0"/>
      </xdr:nvPicPr>
      <xdr:blipFill>
        <a:blip cstate="print" r:embed="rId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437</xdr:row>
      <xdr:rowOff>0</xdr:rowOff>
    </xdr:from>
    <xdr:ext cx="342900" cy="171450"/>
    <xdr:pic>
      <xdr:nvPicPr>
        <xdr:cNvPr id="0" name="image466.png"/>
        <xdr:cNvPicPr preferRelativeResize="0"/>
      </xdr:nvPicPr>
      <xdr:blipFill>
        <a:blip cstate="print" r:embed="rId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438</xdr:row>
      <xdr:rowOff>0</xdr:rowOff>
    </xdr:from>
    <xdr:ext cx="342900" cy="171450"/>
    <xdr:pic>
      <xdr:nvPicPr>
        <xdr:cNvPr id="0" name="image482.png"/>
        <xdr:cNvPicPr preferRelativeResize="0"/>
      </xdr:nvPicPr>
      <xdr:blipFill>
        <a:blip cstate="print" r:embed="rId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342900" cy="171450"/>
    <xdr:pic>
      <xdr:nvPicPr>
        <xdr:cNvPr id="0" name="image541.png"/>
        <xdr:cNvPicPr preferRelativeResize="0"/>
      </xdr:nvPicPr>
      <xdr:blipFill>
        <a:blip cstate="print" r:embed="rId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342900" cy="171450"/>
    <xdr:pic>
      <xdr:nvPicPr>
        <xdr:cNvPr id="0" name="image505.png"/>
        <xdr:cNvPicPr preferRelativeResize="0"/>
      </xdr:nvPicPr>
      <xdr:blipFill>
        <a:blip cstate="print" r:embed="rId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342900" cy="171450"/>
    <xdr:pic>
      <xdr:nvPicPr>
        <xdr:cNvPr id="0" name="image542.png"/>
        <xdr:cNvPicPr preferRelativeResize="0"/>
      </xdr:nvPicPr>
      <xdr:blipFill>
        <a:blip cstate="print" r:embed="rId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442</xdr:row>
      <xdr:rowOff>0</xdr:rowOff>
    </xdr:from>
    <xdr:ext cx="342900" cy="171450"/>
    <xdr:pic>
      <xdr:nvPicPr>
        <xdr:cNvPr id="0" name="image519.png"/>
        <xdr:cNvPicPr preferRelativeResize="0"/>
      </xdr:nvPicPr>
      <xdr:blipFill>
        <a:blip cstate="print" r:embed="rId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342900" cy="171450"/>
    <xdr:pic>
      <xdr:nvPicPr>
        <xdr:cNvPr id="0" name="image547.pn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444</xdr:row>
      <xdr:rowOff>0</xdr:rowOff>
    </xdr:from>
    <xdr:ext cx="342900" cy="171450"/>
    <xdr:pic>
      <xdr:nvPicPr>
        <xdr:cNvPr id="0" name="image502.pn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445</xdr:row>
      <xdr:rowOff>0</xdr:rowOff>
    </xdr:from>
    <xdr:ext cx="342900" cy="171450"/>
    <xdr:pic>
      <xdr:nvPicPr>
        <xdr:cNvPr id="0" name="image462.pn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342900" cy="171450"/>
    <xdr:pic>
      <xdr:nvPicPr>
        <xdr:cNvPr id="0" name="image516.pn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447</xdr:row>
      <xdr:rowOff>0</xdr:rowOff>
    </xdr:from>
    <xdr:ext cx="342900" cy="171450"/>
    <xdr:pic>
      <xdr:nvPicPr>
        <xdr:cNvPr id="0" name="image477.pn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448</xdr:row>
      <xdr:rowOff>0</xdr:rowOff>
    </xdr:from>
    <xdr:ext cx="342900" cy="171450"/>
    <xdr:pic>
      <xdr:nvPicPr>
        <xdr:cNvPr id="0" name="image539.pn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449</xdr:row>
      <xdr:rowOff>0</xdr:rowOff>
    </xdr:from>
    <xdr:ext cx="342900" cy="171450"/>
    <xdr:pic>
      <xdr:nvPicPr>
        <xdr:cNvPr id="0" name="image474.pn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450</xdr:row>
      <xdr:rowOff>0</xdr:rowOff>
    </xdr:from>
    <xdr:ext cx="342900" cy="171450"/>
    <xdr:pic>
      <xdr:nvPicPr>
        <xdr:cNvPr id="0" name="image485.pn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451</xdr:row>
      <xdr:rowOff>0</xdr:rowOff>
    </xdr:from>
    <xdr:ext cx="342900" cy="171450"/>
    <xdr:pic>
      <xdr:nvPicPr>
        <xdr:cNvPr id="0" name="image501.pn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452</xdr:row>
      <xdr:rowOff>0</xdr:rowOff>
    </xdr:from>
    <xdr:ext cx="342900" cy="171450"/>
    <xdr:pic>
      <xdr:nvPicPr>
        <xdr:cNvPr id="0" name="image471.pn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453</xdr:row>
      <xdr:rowOff>0</xdr:rowOff>
    </xdr:from>
    <xdr:ext cx="342900" cy="171450"/>
    <xdr:pic>
      <xdr:nvPicPr>
        <xdr:cNvPr id="0" name="image507.pn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342900" cy="171450"/>
    <xdr:pic>
      <xdr:nvPicPr>
        <xdr:cNvPr id="0" name="image498.pn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342900" cy="171450"/>
    <xdr:pic>
      <xdr:nvPicPr>
        <xdr:cNvPr id="0" name="image533.pn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342900" cy="171450"/>
    <xdr:pic>
      <xdr:nvPicPr>
        <xdr:cNvPr id="0" name="image496.pn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457</xdr:row>
      <xdr:rowOff>0</xdr:rowOff>
    </xdr:from>
    <xdr:ext cx="342900" cy="171450"/>
    <xdr:pic>
      <xdr:nvPicPr>
        <xdr:cNvPr id="0" name="image476.pn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458</xdr:row>
      <xdr:rowOff>0</xdr:rowOff>
    </xdr:from>
    <xdr:ext cx="342900" cy="171450"/>
    <xdr:pic>
      <xdr:nvPicPr>
        <xdr:cNvPr id="0" name="image530.pn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459</xdr:row>
      <xdr:rowOff>0</xdr:rowOff>
    </xdr:from>
    <xdr:ext cx="342900" cy="171450"/>
    <xdr:pic>
      <xdr:nvPicPr>
        <xdr:cNvPr id="0" name="image473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460</xdr:row>
      <xdr:rowOff>0</xdr:rowOff>
    </xdr:from>
    <xdr:ext cx="342900" cy="171450"/>
    <xdr:pic>
      <xdr:nvPicPr>
        <xdr:cNvPr id="0" name="image544.pn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461</xdr:row>
      <xdr:rowOff>0</xdr:rowOff>
    </xdr:from>
    <xdr:ext cx="342900" cy="171450"/>
    <xdr:pic>
      <xdr:nvPicPr>
        <xdr:cNvPr id="0" name="image468.png"/>
        <xdr:cNvPicPr preferRelativeResize="0"/>
      </xdr:nvPicPr>
      <xdr:blipFill>
        <a:blip cstate="print" r:embed="rId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462</xdr:row>
      <xdr:rowOff>0</xdr:rowOff>
    </xdr:from>
    <xdr:ext cx="342900" cy="171450"/>
    <xdr:pic>
      <xdr:nvPicPr>
        <xdr:cNvPr id="0" name="image540.png"/>
        <xdr:cNvPicPr preferRelativeResize="0"/>
      </xdr:nvPicPr>
      <xdr:blipFill>
        <a:blip cstate="print" r:embed="rId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463</xdr:row>
      <xdr:rowOff>0</xdr:rowOff>
    </xdr:from>
    <xdr:ext cx="342900" cy="171450"/>
    <xdr:pic>
      <xdr:nvPicPr>
        <xdr:cNvPr id="0" name="image524.png"/>
        <xdr:cNvPicPr preferRelativeResize="0"/>
      </xdr:nvPicPr>
      <xdr:blipFill>
        <a:blip cstate="print" r:embed="rId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464</xdr:row>
      <xdr:rowOff>0</xdr:rowOff>
    </xdr:from>
    <xdr:ext cx="342900" cy="171450"/>
    <xdr:pic>
      <xdr:nvPicPr>
        <xdr:cNvPr id="0" name="image504.pn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465</xdr:row>
      <xdr:rowOff>0</xdr:rowOff>
    </xdr:from>
    <xdr:ext cx="342900" cy="171450"/>
    <xdr:pic>
      <xdr:nvPicPr>
        <xdr:cNvPr id="0" name="image484.png"/>
        <xdr:cNvPicPr preferRelativeResize="0"/>
      </xdr:nvPicPr>
      <xdr:blipFill>
        <a:blip cstate="print" r:embed="rId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342900" cy="171450"/>
    <xdr:pic>
      <xdr:nvPicPr>
        <xdr:cNvPr id="0" name="image517.png"/>
        <xdr:cNvPicPr preferRelativeResize="0"/>
      </xdr:nvPicPr>
      <xdr:blipFill>
        <a:blip cstate="print" r:embed="rId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342900" cy="171450"/>
    <xdr:pic>
      <xdr:nvPicPr>
        <xdr:cNvPr id="0" name="image548.png"/>
        <xdr:cNvPicPr preferRelativeResize="0"/>
      </xdr:nvPicPr>
      <xdr:blipFill>
        <a:blip cstate="print" r:embed="rId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0</xdr:rowOff>
    </xdr:from>
    <xdr:ext cx="342900" cy="171450"/>
    <xdr:pic>
      <xdr:nvPicPr>
        <xdr:cNvPr id="0" name="image537.pn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469</xdr:row>
      <xdr:rowOff>0</xdr:rowOff>
    </xdr:from>
    <xdr:ext cx="342900" cy="171450"/>
    <xdr:pic>
      <xdr:nvPicPr>
        <xdr:cNvPr id="0" name="image512.pn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342900" cy="171450"/>
    <xdr:pic>
      <xdr:nvPicPr>
        <xdr:cNvPr id="0" name="image497.png"/>
        <xdr:cNvPicPr preferRelativeResize="0"/>
      </xdr:nvPicPr>
      <xdr:blipFill>
        <a:blip cstate="print" r:embed="rId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471</xdr:row>
      <xdr:rowOff>0</xdr:rowOff>
    </xdr:from>
    <xdr:ext cx="342900" cy="171450"/>
    <xdr:pic>
      <xdr:nvPicPr>
        <xdr:cNvPr id="0" name="image520.pn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472</xdr:row>
      <xdr:rowOff>0</xdr:rowOff>
    </xdr:from>
    <xdr:ext cx="342900" cy="171450"/>
    <xdr:pic>
      <xdr:nvPicPr>
        <xdr:cNvPr id="0" name="image562.png"/>
        <xdr:cNvPicPr preferRelativeResize="0"/>
      </xdr:nvPicPr>
      <xdr:blipFill>
        <a:blip cstate="print" r:embed="rId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342900" cy="171450"/>
    <xdr:pic>
      <xdr:nvPicPr>
        <xdr:cNvPr id="0" name="image511.png"/>
        <xdr:cNvPicPr preferRelativeResize="0"/>
      </xdr:nvPicPr>
      <xdr:blipFill>
        <a:blip cstate="print" r:embed="rId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474</xdr:row>
      <xdr:rowOff>0</xdr:rowOff>
    </xdr:from>
    <xdr:ext cx="342900" cy="171450"/>
    <xdr:pic>
      <xdr:nvPicPr>
        <xdr:cNvPr id="0" name="image495.png"/>
        <xdr:cNvPicPr preferRelativeResize="0"/>
      </xdr:nvPicPr>
      <xdr:blipFill>
        <a:blip cstate="print" r:embed="rId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475</xdr:row>
      <xdr:rowOff>0</xdr:rowOff>
    </xdr:from>
    <xdr:ext cx="342900" cy="171450"/>
    <xdr:pic>
      <xdr:nvPicPr>
        <xdr:cNvPr id="0" name="image574.pn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342900" cy="171450"/>
    <xdr:pic>
      <xdr:nvPicPr>
        <xdr:cNvPr id="0" name="image565.pn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342900" cy="171450"/>
    <xdr:pic>
      <xdr:nvPicPr>
        <xdr:cNvPr id="0" name="image510.png"/>
        <xdr:cNvPicPr preferRelativeResize="0"/>
      </xdr:nvPicPr>
      <xdr:blipFill>
        <a:blip cstate="print" r:embed="rId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478</xdr:row>
      <xdr:rowOff>0</xdr:rowOff>
    </xdr:from>
    <xdr:ext cx="342900" cy="171450"/>
    <xdr:pic>
      <xdr:nvPicPr>
        <xdr:cNvPr id="0" name="image499.png"/>
        <xdr:cNvPicPr preferRelativeResize="0"/>
      </xdr:nvPicPr>
      <xdr:blipFill>
        <a:blip cstate="print" r:embed="rId4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479</xdr:row>
      <xdr:rowOff>0</xdr:rowOff>
    </xdr:from>
    <xdr:ext cx="342900" cy="171450"/>
    <xdr:pic>
      <xdr:nvPicPr>
        <xdr:cNvPr id="0" name="image551.png"/>
        <xdr:cNvPicPr preferRelativeResize="0"/>
      </xdr:nvPicPr>
      <xdr:blipFill>
        <a:blip cstate="print" r:embed="rId4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342900" cy="171450"/>
    <xdr:pic>
      <xdr:nvPicPr>
        <xdr:cNvPr id="0" name="image513.png"/>
        <xdr:cNvPicPr preferRelativeResize="0"/>
      </xdr:nvPicPr>
      <xdr:blipFill>
        <a:blip cstate="print" r:embed="rId4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481</xdr:row>
      <xdr:rowOff>0</xdr:rowOff>
    </xdr:from>
    <xdr:ext cx="342900" cy="171450"/>
    <xdr:pic>
      <xdr:nvPicPr>
        <xdr:cNvPr id="0" name="image526.png"/>
        <xdr:cNvPicPr preferRelativeResize="0"/>
      </xdr:nvPicPr>
      <xdr:blipFill>
        <a:blip cstate="print" r:embed="rId4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482</xdr:row>
      <xdr:rowOff>0</xdr:rowOff>
    </xdr:from>
    <xdr:ext cx="342900" cy="171450"/>
    <xdr:pic>
      <xdr:nvPicPr>
        <xdr:cNvPr id="0" name="image532.png"/>
        <xdr:cNvPicPr preferRelativeResize="0"/>
      </xdr:nvPicPr>
      <xdr:blipFill>
        <a:blip cstate="print" r:embed="rId4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483</xdr:row>
      <xdr:rowOff>0</xdr:rowOff>
    </xdr:from>
    <xdr:ext cx="342900" cy="171450"/>
    <xdr:pic>
      <xdr:nvPicPr>
        <xdr:cNvPr id="0" name="image527.png"/>
        <xdr:cNvPicPr preferRelativeResize="0"/>
      </xdr:nvPicPr>
      <xdr:blipFill>
        <a:blip cstate="print" r:embed="rId4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484</xdr:row>
      <xdr:rowOff>0</xdr:rowOff>
    </xdr:from>
    <xdr:ext cx="342900" cy="171450"/>
    <xdr:pic>
      <xdr:nvPicPr>
        <xdr:cNvPr id="0" name="image536.png"/>
        <xdr:cNvPicPr preferRelativeResize="0"/>
      </xdr:nvPicPr>
      <xdr:blipFill>
        <a:blip cstate="print" r:embed="rId4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485</xdr:row>
      <xdr:rowOff>0</xdr:rowOff>
    </xdr:from>
    <xdr:ext cx="342900" cy="171450"/>
    <xdr:pic>
      <xdr:nvPicPr>
        <xdr:cNvPr id="0" name="image554.png"/>
        <xdr:cNvPicPr preferRelativeResize="0"/>
      </xdr:nvPicPr>
      <xdr:blipFill>
        <a:blip cstate="print" r:embed="rId4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486</xdr:row>
      <xdr:rowOff>0</xdr:rowOff>
    </xdr:from>
    <xdr:ext cx="342900" cy="171450"/>
    <xdr:pic>
      <xdr:nvPicPr>
        <xdr:cNvPr id="0" name="image525.png"/>
        <xdr:cNvPicPr preferRelativeResize="0"/>
      </xdr:nvPicPr>
      <xdr:blipFill>
        <a:blip cstate="print" r:embed="rId4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487</xdr:row>
      <xdr:rowOff>0</xdr:rowOff>
    </xdr:from>
    <xdr:ext cx="342900" cy="171450"/>
    <xdr:pic>
      <xdr:nvPicPr>
        <xdr:cNvPr id="0" name="image549.png"/>
        <xdr:cNvPicPr preferRelativeResize="0"/>
      </xdr:nvPicPr>
      <xdr:blipFill>
        <a:blip cstate="print" r:embed="rId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342900" cy="171450"/>
    <xdr:pic>
      <xdr:nvPicPr>
        <xdr:cNvPr id="0" name="image538.png"/>
        <xdr:cNvPicPr preferRelativeResize="0"/>
      </xdr:nvPicPr>
      <xdr:blipFill>
        <a:blip cstate="print" r:embed="rId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342900" cy="171450"/>
    <xdr:pic>
      <xdr:nvPicPr>
        <xdr:cNvPr id="0" name="image569.png"/>
        <xdr:cNvPicPr preferRelativeResize="0"/>
      </xdr:nvPicPr>
      <xdr:blipFill>
        <a:blip cstate="print" r:embed="rId4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342900" cy="171450"/>
    <xdr:pic>
      <xdr:nvPicPr>
        <xdr:cNvPr id="0" name="image534.png"/>
        <xdr:cNvPicPr preferRelativeResize="0"/>
      </xdr:nvPicPr>
      <xdr:blipFill>
        <a:blip cstate="print" r:embed="rId4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491</xdr:row>
      <xdr:rowOff>0</xdr:rowOff>
    </xdr:from>
    <xdr:ext cx="342900" cy="171450"/>
    <xdr:pic>
      <xdr:nvPicPr>
        <xdr:cNvPr id="0" name="image522.png"/>
        <xdr:cNvPicPr preferRelativeResize="0"/>
      </xdr:nvPicPr>
      <xdr:blipFill>
        <a:blip cstate="print" r:embed="rId4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492</xdr:row>
      <xdr:rowOff>0</xdr:rowOff>
    </xdr:from>
    <xdr:ext cx="342900" cy="171450"/>
    <xdr:pic>
      <xdr:nvPicPr>
        <xdr:cNvPr id="0" name="image503.png"/>
        <xdr:cNvPicPr preferRelativeResize="0"/>
      </xdr:nvPicPr>
      <xdr:blipFill>
        <a:blip cstate="print" r:embed="rId4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342900" cy="171450"/>
    <xdr:pic>
      <xdr:nvPicPr>
        <xdr:cNvPr id="0" name="image563.png"/>
        <xdr:cNvPicPr preferRelativeResize="0"/>
      </xdr:nvPicPr>
      <xdr:blipFill>
        <a:blip cstate="print" r:embed="rId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494</xdr:row>
      <xdr:rowOff>0</xdr:rowOff>
    </xdr:from>
    <xdr:ext cx="342900" cy="171450"/>
    <xdr:pic>
      <xdr:nvPicPr>
        <xdr:cNvPr id="0" name="image523.png"/>
        <xdr:cNvPicPr preferRelativeResize="0"/>
      </xdr:nvPicPr>
      <xdr:blipFill>
        <a:blip cstate="print" r:embed="rId4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495</xdr:row>
      <xdr:rowOff>0</xdr:rowOff>
    </xdr:from>
    <xdr:ext cx="342900" cy="171450"/>
    <xdr:pic>
      <xdr:nvPicPr>
        <xdr:cNvPr id="0" name="image555.png"/>
        <xdr:cNvPicPr preferRelativeResize="0"/>
      </xdr:nvPicPr>
      <xdr:blipFill>
        <a:blip cstate="print" r:embed="rId4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342900" cy="171450"/>
    <xdr:pic>
      <xdr:nvPicPr>
        <xdr:cNvPr id="0" name="image556.png"/>
        <xdr:cNvPicPr preferRelativeResize="0"/>
      </xdr:nvPicPr>
      <xdr:blipFill>
        <a:blip cstate="print" r:embed="rId4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497</xdr:row>
      <xdr:rowOff>0</xdr:rowOff>
    </xdr:from>
    <xdr:ext cx="342900" cy="171450"/>
    <xdr:pic>
      <xdr:nvPicPr>
        <xdr:cNvPr id="0" name="image560.png"/>
        <xdr:cNvPicPr preferRelativeResize="0"/>
      </xdr:nvPicPr>
      <xdr:blipFill>
        <a:blip cstate="print" r:embed="rId4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498</xdr:row>
      <xdr:rowOff>0</xdr:rowOff>
    </xdr:from>
    <xdr:ext cx="342900" cy="171450"/>
    <xdr:pic>
      <xdr:nvPicPr>
        <xdr:cNvPr id="0" name="image566.png"/>
        <xdr:cNvPicPr preferRelativeResize="0"/>
      </xdr:nvPicPr>
      <xdr:blipFill>
        <a:blip cstate="print" r:embed="rId4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499</xdr:row>
      <xdr:rowOff>0</xdr:rowOff>
    </xdr:from>
    <xdr:ext cx="342900" cy="171450"/>
    <xdr:pic>
      <xdr:nvPicPr>
        <xdr:cNvPr id="0" name="image545.png"/>
        <xdr:cNvPicPr preferRelativeResize="0"/>
      </xdr:nvPicPr>
      <xdr:blipFill>
        <a:blip cstate="print" r:embed="rId4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500</xdr:row>
      <xdr:rowOff>0</xdr:rowOff>
    </xdr:from>
    <xdr:ext cx="342900" cy="171450"/>
    <xdr:pic>
      <xdr:nvPicPr>
        <xdr:cNvPr id="0" name="image529.png"/>
        <xdr:cNvPicPr preferRelativeResize="0"/>
      </xdr:nvPicPr>
      <xdr:blipFill>
        <a:blip cstate="print" r:embed="rId4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501</xdr:row>
      <xdr:rowOff>0</xdr:rowOff>
    </xdr:from>
    <xdr:ext cx="342900" cy="171450"/>
    <xdr:pic>
      <xdr:nvPicPr>
        <xdr:cNvPr id="0" name="image570.png"/>
        <xdr:cNvPicPr preferRelativeResize="0"/>
      </xdr:nvPicPr>
      <xdr:blipFill>
        <a:blip cstate="print" r:embed="rId4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502</xdr:row>
      <xdr:rowOff>0</xdr:rowOff>
    </xdr:from>
    <xdr:ext cx="342900" cy="171450"/>
    <xdr:pic>
      <xdr:nvPicPr>
        <xdr:cNvPr id="0" name="image568.png"/>
        <xdr:cNvPicPr preferRelativeResize="0"/>
      </xdr:nvPicPr>
      <xdr:blipFill>
        <a:blip cstate="print" r:embed="rId5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342900" cy="171450"/>
    <xdr:pic>
      <xdr:nvPicPr>
        <xdr:cNvPr id="0" name="image546.png"/>
        <xdr:cNvPicPr preferRelativeResize="0"/>
      </xdr:nvPicPr>
      <xdr:blipFill>
        <a:blip cstate="print" r:embed="rId5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342900" cy="171450"/>
    <xdr:pic>
      <xdr:nvPicPr>
        <xdr:cNvPr id="0" name="image531.png"/>
        <xdr:cNvPicPr preferRelativeResize="0"/>
      </xdr:nvPicPr>
      <xdr:blipFill>
        <a:blip cstate="print" r:embed="rId5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505</xdr:row>
      <xdr:rowOff>0</xdr:rowOff>
    </xdr:from>
    <xdr:ext cx="342900" cy="171450"/>
    <xdr:pic>
      <xdr:nvPicPr>
        <xdr:cNvPr id="0" name="image535.png"/>
        <xdr:cNvPicPr preferRelativeResize="0"/>
      </xdr:nvPicPr>
      <xdr:blipFill>
        <a:blip cstate="print" r:embed="rId5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342900" cy="171450"/>
    <xdr:pic>
      <xdr:nvPicPr>
        <xdr:cNvPr id="0" name="image576.png"/>
        <xdr:cNvPicPr preferRelativeResize="0"/>
      </xdr:nvPicPr>
      <xdr:blipFill>
        <a:blip cstate="print" r:embed="rId5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342900" cy="171450"/>
    <xdr:pic>
      <xdr:nvPicPr>
        <xdr:cNvPr id="0" name="image558.png"/>
        <xdr:cNvPicPr preferRelativeResize="0"/>
      </xdr:nvPicPr>
      <xdr:blipFill>
        <a:blip cstate="print" r:embed="rId5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</xdr:row>
      <xdr:rowOff>0</xdr:rowOff>
    </xdr:from>
    <xdr:ext cx="361950" cy="57150"/>
    <xdr:pic>
      <xdr:nvPicPr>
        <xdr:cNvPr id="0" name="image56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</xdr:row>
      <xdr:rowOff>0</xdr:rowOff>
    </xdr:from>
    <xdr:ext cx="361950" cy="57150"/>
    <xdr:pic>
      <xdr:nvPicPr>
        <xdr:cNvPr id="0" name="image56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1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83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1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118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132</xdr:col>
      <xdr:colOff>0</xdr:colOff>
      <xdr:row>1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153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160</xdr:col>
      <xdr:colOff>0</xdr:colOff>
      <xdr:row>1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167</xdr:col>
      <xdr:colOff>0</xdr:colOff>
      <xdr:row>1</xdr:row>
      <xdr:rowOff>0</xdr:rowOff>
    </xdr:from>
    <xdr:ext cx="361950" cy="57150"/>
    <xdr:pic>
      <xdr:nvPicPr>
        <xdr:cNvPr id="0" name="image5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174</xdr:col>
      <xdr:colOff>0</xdr:colOff>
      <xdr:row>1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1</xdr:row>
      <xdr:rowOff>0</xdr:rowOff>
    </xdr:from>
    <xdr:ext cx="361950" cy="57150"/>
    <xdr:pic>
      <xdr:nvPicPr>
        <xdr:cNvPr id="0" name="image57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195</xdr:col>
      <xdr:colOff>0</xdr:colOff>
      <xdr:row>1</xdr:row>
      <xdr:rowOff>0</xdr:rowOff>
    </xdr:from>
    <xdr:ext cx="361950" cy="57150"/>
    <xdr:pic>
      <xdr:nvPicPr>
        <xdr:cNvPr id="0" name="image5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202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209</xdr:col>
      <xdr:colOff>0</xdr:colOff>
      <xdr:row>1</xdr:row>
      <xdr:rowOff>0</xdr:rowOff>
    </xdr:from>
    <xdr:ext cx="361950" cy="57150"/>
    <xdr:pic>
      <xdr:nvPicPr>
        <xdr:cNvPr id="0" name="image55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216</xdr:col>
      <xdr:colOff>0</xdr:colOff>
      <xdr:row>1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223</xdr:col>
      <xdr:colOff>0</xdr:colOff>
      <xdr:row>1</xdr:row>
      <xdr:rowOff>0</xdr:rowOff>
    </xdr:from>
    <xdr:ext cx="361950" cy="57150"/>
    <xdr:pic>
      <xdr:nvPicPr>
        <xdr:cNvPr id="0" name="image5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237</xdr:col>
      <xdr:colOff>0</xdr:colOff>
      <xdr:row>1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244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258</xdr:col>
      <xdr:colOff>0</xdr:colOff>
      <xdr:row>1</xdr:row>
      <xdr:rowOff>0</xdr:rowOff>
    </xdr:from>
    <xdr:ext cx="361950" cy="57150"/>
    <xdr:pic>
      <xdr:nvPicPr>
        <xdr:cNvPr id="0" name="image57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265</xdr:col>
      <xdr:colOff>0</xdr:colOff>
      <xdr:row>1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279</xdr:col>
      <xdr:colOff>0</xdr:colOff>
      <xdr:row>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293</xdr:col>
      <xdr:colOff>0</xdr:colOff>
      <xdr:row>1</xdr:row>
      <xdr:rowOff>0</xdr:rowOff>
    </xdr:from>
    <xdr:ext cx="361950" cy="57150"/>
    <xdr:pic>
      <xdr:nvPicPr>
        <xdr:cNvPr id="0" name="image5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307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1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321</xdr:col>
      <xdr:colOff>0</xdr:colOff>
      <xdr:row>1</xdr:row>
      <xdr:rowOff>0</xdr:rowOff>
    </xdr:from>
    <xdr:ext cx="361950" cy="57150"/>
    <xdr:pic>
      <xdr:nvPicPr>
        <xdr:cNvPr id="0" name="image57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328</xdr:col>
      <xdr:colOff>0</xdr:colOff>
      <xdr:row>1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335</xdr:col>
      <xdr:colOff>0</xdr:colOff>
      <xdr:row>1</xdr:row>
      <xdr:rowOff>0</xdr:rowOff>
    </xdr:from>
    <xdr:ext cx="361950" cy="57150"/>
    <xdr:pic>
      <xdr:nvPicPr>
        <xdr:cNvPr id="0" name="image5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256</xdr:col>
      <xdr:colOff>0</xdr:colOff>
      <xdr:row>4</xdr:row>
      <xdr:rowOff>0</xdr:rowOff>
    </xdr:from>
    <xdr:ext cx="342900" cy="171450"/>
    <xdr:pic>
      <xdr:nvPicPr>
        <xdr:cNvPr id="0" name="image52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300</xdr:col>
      <xdr:colOff>0</xdr:colOff>
      <xdr:row>4</xdr:row>
      <xdr:rowOff>0</xdr:rowOff>
    </xdr:from>
    <xdr:ext cx="361950" cy="57150"/>
    <xdr:pic>
      <xdr:nvPicPr>
        <xdr:cNvPr id="0" name="image57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5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258</xdr:col>
      <xdr:colOff>0</xdr:colOff>
      <xdr:row>6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293</xdr:col>
      <xdr:colOff>0</xdr:colOff>
      <xdr:row>6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139</xdr:col>
      <xdr:colOff>0</xdr:colOff>
      <xdr:row>7</xdr:row>
      <xdr:rowOff>0</xdr:rowOff>
    </xdr:from>
    <xdr:ext cx="361950" cy="57150"/>
    <xdr:pic>
      <xdr:nvPicPr>
        <xdr:cNvPr id="0" name="image57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8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181</xdr:col>
      <xdr:colOff>0</xdr:colOff>
      <xdr:row>9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279</xdr:col>
      <xdr:colOff>0</xdr:colOff>
      <xdr:row>11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237</xdr:col>
      <xdr:colOff>0</xdr:colOff>
      <xdr:row>12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244</xdr:col>
      <xdr:colOff>0</xdr:colOff>
      <xdr:row>12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12</xdr:row>
      <xdr:rowOff>0</xdr:rowOff>
    </xdr:from>
    <xdr:ext cx="361950" cy="57150"/>
    <xdr:pic>
      <xdr:nvPicPr>
        <xdr:cNvPr id="0" name="image56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335</xdr:col>
      <xdr:colOff>0</xdr:colOff>
      <xdr:row>12</xdr:row>
      <xdr:rowOff>0</xdr:rowOff>
    </xdr:from>
    <xdr:ext cx="361950" cy="57150"/>
    <xdr:pic>
      <xdr:nvPicPr>
        <xdr:cNvPr id="0" name="image5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361950" cy="57150"/>
    <xdr:pic>
      <xdr:nvPicPr>
        <xdr:cNvPr id="0" name="image5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14</xdr:row>
      <xdr:rowOff>0</xdr:rowOff>
    </xdr:from>
    <xdr:ext cx="361950" cy="57150"/>
    <xdr:pic>
      <xdr:nvPicPr>
        <xdr:cNvPr id="0" name="image56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14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125</xdr:col>
      <xdr:colOff>0</xdr:colOff>
      <xdr:row>15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223</xdr:col>
      <xdr:colOff>0</xdr:colOff>
      <xdr:row>15</xdr:row>
      <xdr:rowOff>0</xdr:rowOff>
    </xdr:from>
    <xdr:ext cx="361950" cy="57150"/>
    <xdr:pic>
      <xdr:nvPicPr>
        <xdr:cNvPr id="0" name="image5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174</xdr:col>
      <xdr:colOff>0</xdr:colOff>
      <xdr:row>16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195</xdr:col>
      <xdr:colOff>0</xdr:colOff>
      <xdr:row>16</xdr:row>
      <xdr:rowOff>0</xdr:rowOff>
    </xdr:from>
    <xdr:ext cx="361950" cy="57150"/>
    <xdr:pic>
      <xdr:nvPicPr>
        <xdr:cNvPr id="0" name="image5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16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0</xdr:colOff>
      <xdr:row>17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17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132</xdr:col>
      <xdr:colOff>0</xdr:colOff>
      <xdr:row>17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139</xdr:col>
      <xdr:colOff>0</xdr:colOff>
      <xdr:row>17</xdr:row>
      <xdr:rowOff>0</xdr:rowOff>
    </xdr:from>
    <xdr:ext cx="361950" cy="57150"/>
    <xdr:pic>
      <xdr:nvPicPr>
        <xdr:cNvPr id="0" name="image57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18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251</xdr:col>
      <xdr:colOff>0</xdr:colOff>
      <xdr:row>18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300</xdr:col>
      <xdr:colOff>0</xdr:colOff>
      <xdr:row>18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19</xdr:row>
      <xdr:rowOff>0</xdr:rowOff>
    </xdr:from>
    <xdr:ext cx="361950" cy="57150"/>
    <xdr:pic>
      <xdr:nvPicPr>
        <xdr:cNvPr id="0" name="image58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153</xdr:col>
      <xdr:colOff>0</xdr:colOff>
      <xdr:row>19</xdr:row>
      <xdr:rowOff>0</xdr:rowOff>
    </xdr:from>
    <xdr:ext cx="361950" cy="57150"/>
    <xdr:pic>
      <xdr:nvPicPr>
        <xdr:cNvPr id="0" name="image56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286</xdr:col>
      <xdr:colOff>0</xdr:colOff>
      <xdr:row>19</xdr:row>
      <xdr:rowOff>0</xdr:rowOff>
    </xdr:from>
    <xdr:ext cx="361950" cy="57150"/>
    <xdr:pic>
      <xdr:nvPicPr>
        <xdr:cNvPr id="0" name="image5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307</xdr:col>
      <xdr:colOff>0</xdr:colOff>
      <xdr:row>19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0</xdr:colOff>
      <xdr:row>20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0</xdr:colOff>
      <xdr:row>21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265</xdr:col>
      <xdr:colOff>0</xdr:colOff>
      <xdr:row>21</xdr:row>
      <xdr:rowOff>0</xdr:rowOff>
    </xdr:from>
    <xdr:ext cx="361950" cy="57150"/>
    <xdr:pic>
      <xdr:nvPicPr>
        <xdr:cNvPr id="0" name="image5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279</xdr:col>
      <xdr:colOff>0</xdr:colOff>
      <xdr:row>21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328</xdr:col>
      <xdr:colOff>0</xdr:colOff>
      <xdr:row>21</xdr:row>
      <xdr:rowOff>0</xdr:rowOff>
    </xdr:from>
    <xdr:ext cx="361950" cy="57150"/>
    <xdr:pic>
      <xdr:nvPicPr>
        <xdr:cNvPr id="0" name="image5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22</xdr:row>
      <xdr:rowOff>0</xdr:rowOff>
    </xdr:from>
    <xdr:ext cx="361950" cy="57150"/>
    <xdr:pic>
      <xdr:nvPicPr>
        <xdr:cNvPr id="0" name="image57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118</xdr:col>
      <xdr:colOff>0</xdr:colOff>
      <xdr:row>22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258</xdr:col>
      <xdr:colOff>0</xdr:colOff>
      <xdr:row>22</xdr:row>
      <xdr:rowOff>0</xdr:rowOff>
    </xdr:from>
    <xdr:ext cx="361950" cy="5715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321</xdr:col>
      <xdr:colOff>0</xdr:colOff>
      <xdr:row>22</xdr:row>
      <xdr:rowOff>0</xdr:rowOff>
    </xdr:from>
    <xdr:ext cx="361950" cy="57150"/>
    <xdr:pic>
      <xdr:nvPicPr>
        <xdr:cNvPr id="0" name="image5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23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244</xdr:col>
      <xdr:colOff>0</xdr:colOff>
      <xdr:row>23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305</xdr:col>
      <xdr:colOff>0</xdr:colOff>
      <xdr:row>23</xdr:row>
      <xdr:rowOff>0</xdr:rowOff>
    </xdr:from>
    <xdr:ext cx="342900" cy="171450"/>
    <xdr:pic>
      <xdr:nvPicPr>
        <xdr:cNvPr id="0" name="image58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24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153</xdr:col>
      <xdr:colOff>0</xdr:colOff>
      <xdr:row>24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25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25</xdr:row>
      <xdr:rowOff>0</xdr:rowOff>
    </xdr:from>
    <xdr:ext cx="361950" cy="57150"/>
    <xdr:pic>
      <xdr:nvPicPr>
        <xdr:cNvPr id="0" name="image5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0</xdr:colOff>
      <xdr:row>26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160</xdr:col>
      <xdr:colOff>0</xdr:colOff>
      <xdr:row>26</xdr:row>
      <xdr:rowOff>0</xdr:rowOff>
    </xdr:from>
    <xdr:ext cx="361950" cy="57150"/>
    <xdr:pic>
      <xdr:nvPicPr>
        <xdr:cNvPr id="0" name="image57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139</xdr:col>
      <xdr:colOff>0</xdr:colOff>
      <xdr:row>27</xdr:row>
      <xdr:rowOff>0</xdr:rowOff>
    </xdr:from>
    <xdr:ext cx="361950" cy="57150"/>
    <xdr:pic>
      <xdr:nvPicPr>
        <xdr:cNvPr id="0" name="image57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223</xdr:col>
      <xdr:colOff>0</xdr:colOff>
      <xdr:row>27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300</xdr:col>
      <xdr:colOff>0</xdr:colOff>
      <xdr:row>27</xdr:row>
      <xdr:rowOff>0</xdr:rowOff>
    </xdr:from>
    <xdr:ext cx="361950" cy="57150"/>
    <xdr:pic>
      <xdr:nvPicPr>
        <xdr:cNvPr id="0" name="image57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28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251</xdr:col>
      <xdr:colOff>0</xdr:colOff>
      <xdr:row>29</xdr:row>
      <xdr:rowOff>0</xdr:rowOff>
    </xdr:from>
    <xdr:ext cx="361950" cy="57150"/>
    <xdr:pic>
      <xdr:nvPicPr>
        <xdr:cNvPr id="0" name="image57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30</xdr:row>
      <xdr:rowOff>0</xdr:rowOff>
    </xdr:from>
    <xdr:ext cx="361950" cy="57150"/>
    <xdr:pic>
      <xdr:nvPicPr>
        <xdr:cNvPr id="0" name="image5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30</xdr:row>
      <xdr:rowOff>0</xdr:rowOff>
    </xdr:from>
    <xdr:ext cx="361950" cy="57150"/>
    <xdr:pic>
      <xdr:nvPicPr>
        <xdr:cNvPr id="0" name="image5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31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97</xdr:col>
      <xdr:colOff>0</xdr:colOff>
      <xdr:row>33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251</xdr:col>
      <xdr:colOff>0</xdr:colOff>
      <xdr:row>35</xdr:row>
      <xdr:rowOff>0</xdr:rowOff>
    </xdr:from>
    <xdr:ext cx="361950" cy="57150"/>
    <xdr:pic>
      <xdr:nvPicPr>
        <xdr:cNvPr id="0" name="image5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244</xdr:col>
      <xdr:colOff>0</xdr:colOff>
      <xdr:row>36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279</xdr:col>
      <xdr:colOff>0</xdr:colOff>
      <xdr:row>37</xdr:row>
      <xdr:rowOff>0</xdr:rowOff>
    </xdr:from>
    <xdr:ext cx="361950" cy="57150"/>
    <xdr:pic>
      <xdr:nvPicPr>
        <xdr:cNvPr id="0" name="image5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386</xdr:col>
      <xdr:colOff>0</xdr:colOff>
      <xdr:row>1</xdr:row>
      <xdr:rowOff>0</xdr:rowOff>
    </xdr:from>
    <xdr:ext cx="342900" cy="9525"/>
    <xdr:pic>
      <xdr:nvPicPr>
        <xdr:cNvPr id="0" name="image59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1</xdr:row>
      <xdr:rowOff>0</xdr:rowOff>
    </xdr:from>
    <xdr:ext cx="342900" cy="19050"/>
    <xdr:pic>
      <xdr:nvPicPr>
        <xdr:cNvPr id="0" name="image58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3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3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3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80</xdr:col>
      <xdr:colOff>0</xdr:colOff>
      <xdr:row>3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3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3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3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128</xdr:col>
      <xdr:colOff>0</xdr:colOff>
      <xdr:row>3</xdr:row>
      <xdr:rowOff>0</xdr:rowOff>
    </xdr:from>
    <xdr:ext cx="342900" cy="171450"/>
    <xdr:pic>
      <xdr:nvPicPr>
        <xdr:cNvPr id="0" name="image59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3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3</xdr:row>
      <xdr:rowOff>0</xdr:rowOff>
    </xdr:from>
    <xdr:ext cx="342900" cy="171450"/>
    <xdr:pic>
      <xdr:nvPicPr>
        <xdr:cNvPr id="0" name="image6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3</xdr:row>
      <xdr:rowOff>0</xdr:rowOff>
    </xdr:from>
    <xdr:ext cx="342900" cy="171450"/>
    <xdr:pic>
      <xdr:nvPicPr>
        <xdr:cNvPr id="0" name="image6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3</xdr:row>
      <xdr:rowOff>0</xdr:rowOff>
    </xdr:from>
    <xdr:ext cx="342900" cy="171450"/>
    <xdr:pic>
      <xdr:nvPicPr>
        <xdr:cNvPr id="0" name="image6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3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3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3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3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3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3</xdr:row>
      <xdr:rowOff>0</xdr:rowOff>
    </xdr:from>
    <xdr:ext cx="342900" cy="171450"/>
    <xdr:pic>
      <xdr:nvPicPr>
        <xdr:cNvPr id="0" name="image6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3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0</xdr:colOff>
      <xdr:row>3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248</xdr:col>
      <xdr:colOff>0</xdr:colOff>
      <xdr:row>3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3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3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284</xdr:col>
      <xdr:colOff>0</xdr:colOff>
      <xdr:row>3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296</xdr:col>
      <xdr:colOff>0</xdr:colOff>
      <xdr:row>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3</xdr:row>
      <xdr:rowOff>0</xdr:rowOff>
    </xdr:from>
    <xdr:ext cx="342900" cy="171450"/>
    <xdr:pic>
      <xdr:nvPicPr>
        <xdr:cNvPr id="0" name="image6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3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3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338</xdr:col>
      <xdr:colOff>0</xdr:colOff>
      <xdr:row>3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3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362</xdr:col>
      <xdr:colOff>0</xdr:colOff>
      <xdr:row>3</xdr:row>
      <xdr:rowOff>0</xdr:rowOff>
    </xdr:from>
    <xdr:ext cx="342900" cy="171450"/>
    <xdr:pic>
      <xdr:nvPicPr>
        <xdr:cNvPr id="0" name="image6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374</xdr:col>
      <xdr:colOff>0</xdr:colOff>
      <xdr:row>3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3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404</xdr:col>
      <xdr:colOff>0</xdr:colOff>
      <xdr:row>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410</xdr:col>
      <xdr:colOff>0</xdr:colOff>
      <xdr:row>3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3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428</xdr:col>
      <xdr:colOff>0</xdr:colOff>
      <xdr:row>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434</xdr:col>
      <xdr:colOff>0</xdr:colOff>
      <xdr:row>3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440</xdr:col>
      <xdr:colOff>0</xdr:colOff>
      <xdr:row>3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454</xdr:col>
      <xdr:colOff>0</xdr:colOff>
      <xdr:row>3</xdr:row>
      <xdr:rowOff>0</xdr:rowOff>
    </xdr:from>
    <xdr:ext cx="180975" cy="85725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460</xdr:col>
      <xdr:colOff>0</xdr:colOff>
      <xdr:row>3</xdr:row>
      <xdr:rowOff>0</xdr:rowOff>
    </xdr:from>
    <xdr:ext cx="180975" cy="85725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466</xdr:col>
      <xdr:colOff>0</xdr:colOff>
      <xdr:row>3</xdr:row>
      <xdr:rowOff>0</xdr:rowOff>
    </xdr:from>
    <xdr:ext cx="180975" cy="85725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472</xdr:col>
      <xdr:colOff>0</xdr:colOff>
      <xdr:row>3</xdr:row>
      <xdr:rowOff>0</xdr:rowOff>
    </xdr:from>
    <xdr:ext cx="180975" cy="85725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478</xdr:col>
      <xdr:colOff>0</xdr:colOff>
      <xdr:row>3</xdr:row>
      <xdr:rowOff>0</xdr:rowOff>
    </xdr:from>
    <xdr:ext cx="180975" cy="85725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488</xdr:col>
      <xdr:colOff>0</xdr:colOff>
      <xdr:row>3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3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3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3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3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3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3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3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602</xdr:col>
      <xdr:colOff>0</xdr:colOff>
      <xdr:row>3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626</xdr:col>
      <xdr:colOff>0</xdr:colOff>
      <xdr:row>3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632</xdr:col>
      <xdr:colOff>0</xdr:colOff>
      <xdr:row>3</xdr:row>
      <xdr:rowOff>0</xdr:rowOff>
    </xdr:from>
    <xdr:ext cx="342900" cy="171450"/>
    <xdr:pic>
      <xdr:nvPicPr>
        <xdr:cNvPr id="0" name="image6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3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3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662</xdr:col>
      <xdr:colOff>0</xdr:colOff>
      <xdr:row>3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668</xdr:col>
      <xdr:colOff>0</xdr:colOff>
      <xdr:row>3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3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680</xdr:col>
      <xdr:colOff>0</xdr:colOff>
      <xdr:row>3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686</xdr:col>
      <xdr:colOff>0</xdr:colOff>
      <xdr:row>3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698</xdr:col>
      <xdr:colOff>0</xdr:colOff>
      <xdr:row>3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704</xdr:col>
      <xdr:colOff>0</xdr:colOff>
      <xdr:row>3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722</xdr:col>
      <xdr:colOff>0</xdr:colOff>
      <xdr:row>3</xdr:row>
      <xdr:rowOff>0</xdr:rowOff>
    </xdr:from>
    <xdr:ext cx="342900" cy="171450"/>
    <xdr:pic>
      <xdr:nvPicPr>
        <xdr:cNvPr id="0" name="image64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728</xdr:col>
      <xdr:colOff>0</xdr:colOff>
      <xdr:row>3</xdr:row>
      <xdr:rowOff>0</xdr:rowOff>
    </xdr:from>
    <xdr:ext cx="342900" cy="171450"/>
    <xdr:pic>
      <xdr:nvPicPr>
        <xdr:cNvPr id="0" name="image60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734</xdr:col>
      <xdr:colOff>0</xdr:colOff>
      <xdr:row>3</xdr:row>
      <xdr:rowOff>0</xdr:rowOff>
    </xdr:from>
    <xdr:ext cx="342900" cy="171450"/>
    <xdr:pic>
      <xdr:nvPicPr>
        <xdr:cNvPr id="0" name="image64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740</xdr:col>
      <xdr:colOff>0</xdr:colOff>
      <xdr:row>3</xdr:row>
      <xdr:rowOff>0</xdr:rowOff>
    </xdr:from>
    <xdr:ext cx="342900" cy="171450"/>
    <xdr:pic>
      <xdr:nvPicPr>
        <xdr:cNvPr id="0" name="image61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746</xdr:col>
      <xdr:colOff>0</xdr:colOff>
      <xdr:row>3</xdr:row>
      <xdr:rowOff>0</xdr:rowOff>
    </xdr:from>
    <xdr:ext cx="342900" cy="171450"/>
    <xdr:pic>
      <xdr:nvPicPr>
        <xdr:cNvPr id="0" name="image63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4</xdr:row>
      <xdr:rowOff>0</xdr:rowOff>
    </xdr:from>
    <xdr:ext cx="342900" cy="171450"/>
    <xdr:pic>
      <xdr:nvPicPr>
        <xdr:cNvPr id="0" name="image63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164</xdr:col>
      <xdr:colOff>0</xdr:colOff>
      <xdr:row>4</xdr:row>
      <xdr:rowOff>0</xdr:rowOff>
    </xdr:from>
    <xdr:ext cx="342900" cy="171450"/>
    <xdr:pic>
      <xdr:nvPicPr>
        <xdr:cNvPr id="0" name="image62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4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302</xdr:col>
      <xdr:colOff>0</xdr:colOff>
      <xdr:row>4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0</xdr:colOff>
      <xdr:row>4</xdr:row>
      <xdr:rowOff>0</xdr:rowOff>
    </xdr:from>
    <xdr:ext cx="342900" cy="171450"/>
    <xdr:pic>
      <xdr:nvPicPr>
        <xdr:cNvPr id="0" name="image6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548</xdr:col>
      <xdr:colOff>0</xdr:colOff>
      <xdr:row>4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5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5</xdr:row>
      <xdr:rowOff>0</xdr:rowOff>
    </xdr:from>
    <xdr:ext cx="342900" cy="171450"/>
    <xdr:pic>
      <xdr:nvPicPr>
        <xdr:cNvPr id="0" name="image64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5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122</xdr:col>
      <xdr:colOff>0</xdr:colOff>
      <xdr:row>5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134</xdr:col>
      <xdr:colOff>0</xdr:colOff>
      <xdr:row>5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5</xdr:row>
      <xdr:rowOff>0</xdr:rowOff>
    </xdr:from>
    <xdr:ext cx="342900" cy="171450"/>
    <xdr:pic>
      <xdr:nvPicPr>
        <xdr:cNvPr id="0" name="image62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5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218</xdr:col>
      <xdr:colOff>0</xdr:colOff>
      <xdr:row>5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5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278</xdr:col>
      <xdr:colOff>0</xdr:colOff>
      <xdr:row>5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5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5</xdr:row>
      <xdr:rowOff>0</xdr:rowOff>
    </xdr:from>
    <xdr:ext cx="342900" cy="171450"/>
    <xdr:pic>
      <xdr:nvPicPr>
        <xdr:cNvPr id="0" name="image64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5</xdr:row>
      <xdr:rowOff>0</xdr:rowOff>
    </xdr:from>
    <xdr:ext cx="342900" cy="171450"/>
    <xdr:pic>
      <xdr:nvPicPr>
        <xdr:cNvPr id="0" name="image63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500</xdr:col>
      <xdr:colOff>0</xdr:colOff>
      <xdr:row>5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512</xdr:col>
      <xdr:colOff>0</xdr:colOff>
      <xdr:row>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5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524</xdr:col>
      <xdr:colOff>0</xdr:colOff>
      <xdr:row>5</xdr:row>
      <xdr:rowOff>0</xdr:rowOff>
    </xdr:from>
    <xdr:ext cx="342900" cy="171450"/>
    <xdr:pic>
      <xdr:nvPicPr>
        <xdr:cNvPr id="0" name="image63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5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692</xdr:col>
      <xdr:colOff>0</xdr:colOff>
      <xdr:row>5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6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6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6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6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344</xdr:col>
      <xdr:colOff>0</xdr:colOff>
      <xdr:row>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452</xdr:col>
      <xdr:colOff>0</xdr:colOff>
      <xdr:row>6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458</xdr:col>
      <xdr:colOff>0</xdr:colOff>
      <xdr:row>6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464</xdr:col>
      <xdr:colOff>0</xdr:colOff>
      <xdr:row>6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470</xdr:col>
      <xdr:colOff>0</xdr:colOff>
      <xdr:row>6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476</xdr:col>
      <xdr:colOff>0</xdr:colOff>
      <xdr:row>6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542</xdr:col>
      <xdr:colOff>0</xdr:colOff>
      <xdr:row>6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6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6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6</xdr:row>
      <xdr:rowOff>0</xdr:rowOff>
    </xdr:from>
    <xdr:ext cx="342900" cy="171450"/>
    <xdr:pic>
      <xdr:nvPicPr>
        <xdr:cNvPr id="0" name="image63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7</xdr:row>
      <xdr:rowOff>0</xdr:rowOff>
    </xdr:from>
    <xdr:ext cx="342900" cy="171450"/>
    <xdr:pic>
      <xdr:nvPicPr>
        <xdr:cNvPr id="0" name="image64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7</xdr:row>
      <xdr:rowOff>0</xdr:rowOff>
    </xdr:from>
    <xdr:ext cx="342900" cy="171450"/>
    <xdr:pic>
      <xdr:nvPicPr>
        <xdr:cNvPr id="0" name="image6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7</xdr:row>
      <xdr:rowOff>0</xdr:rowOff>
    </xdr:from>
    <xdr:ext cx="342900" cy="171450"/>
    <xdr:pic>
      <xdr:nvPicPr>
        <xdr:cNvPr id="0" name="image6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7</xdr:row>
      <xdr:rowOff>0</xdr:rowOff>
    </xdr:from>
    <xdr:ext cx="342900" cy="171450"/>
    <xdr:pic>
      <xdr:nvPicPr>
        <xdr:cNvPr id="0" name="image64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296</xdr:col>
      <xdr:colOff>0</xdr:colOff>
      <xdr:row>7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7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374</xdr:col>
      <xdr:colOff>0</xdr:colOff>
      <xdr:row>7</xdr:row>
      <xdr:rowOff>0</xdr:rowOff>
    </xdr:from>
    <xdr:ext cx="342900" cy="171450"/>
    <xdr:pic>
      <xdr:nvPicPr>
        <xdr:cNvPr id="0" name="image6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7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416</xdr:col>
      <xdr:colOff>0</xdr:colOff>
      <xdr:row>7</xdr:row>
      <xdr:rowOff>0</xdr:rowOff>
    </xdr:from>
    <xdr:ext cx="342900" cy="171450"/>
    <xdr:pic>
      <xdr:nvPicPr>
        <xdr:cNvPr id="0" name="image61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7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428</xdr:col>
      <xdr:colOff>0</xdr:colOff>
      <xdr:row>7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446</xdr:col>
      <xdr:colOff>0</xdr:colOff>
      <xdr:row>7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7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7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7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7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7</xdr:row>
      <xdr:rowOff>0</xdr:rowOff>
    </xdr:from>
    <xdr:ext cx="342900" cy="171450"/>
    <xdr:pic>
      <xdr:nvPicPr>
        <xdr:cNvPr id="0" name="image6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626</xdr:col>
      <xdr:colOff>0</xdr:colOff>
      <xdr:row>7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7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7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7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668</xdr:col>
      <xdr:colOff>0</xdr:colOff>
      <xdr:row>7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7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698</xdr:col>
      <xdr:colOff>0</xdr:colOff>
      <xdr:row>7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7</xdr:row>
      <xdr:rowOff>0</xdr:rowOff>
    </xdr:from>
    <xdr:ext cx="342900" cy="171450"/>
    <xdr:pic>
      <xdr:nvPicPr>
        <xdr:cNvPr id="0" name="image64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8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8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80</xdr:col>
      <xdr:colOff>0</xdr:colOff>
      <xdr:row>8</xdr:row>
      <xdr:rowOff>0</xdr:rowOff>
    </xdr:from>
    <xdr:ext cx="342900" cy="171450"/>
    <xdr:pic>
      <xdr:nvPicPr>
        <xdr:cNvPr id="0" name="image6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8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128</xdr:col>
      <xdr:colOff>0</xdr:colOff>
      <xdr:row>8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182</xdr:col>
      <xdr:colOff>0</xdr:colOff>
      <xdr:row>8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8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8</xdr:row>
      <xdr:rowOff>0</xdr:rowOff>
    </xdr:from>
    <xdr:ext cx="342900" cy="171450"/>
    <xdr:pic>
      <xdr:nvPicPr>
        <xdr:cNvPr id="0" name="image64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8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8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8</xdr:row>
      <xdr:rowOff>0</xdr:rowOff>
    </xdr:from>
    <xdr:ext cx="342900" cy="171450"/>
    <xdr:pic>
      <xdr:nvPicPr>
        <xdr:cNvPr id="0" name="image63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8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338</xdr:col>
      <xdr:colOff>0</xdr:colOff>
      <xdr:row>8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8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500</xdr:col>
      <xdr:colOff>0</xdr:colOff>
      <xdr:row>8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8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8</xdr:row>
      <xdr:rowOff>0</xdr:rowOff>
    </xdr:from>
    <xdr:ext cx="342900" cy="171450"/>
    <xdr:pic>
      <xdr:nvPicPr>
        <xdr:cNvPr id="0" name="image64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704</xdr:col>
      <xdr:colOff>0</xdr:colOff>
      <xdr:row>8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8</xdr:row>
      <xdr:rowOff>0</xdr:rowOff>
    </xdr:from>
    <xdr:ext cx="342900" cy="171450"/>
    <xdr:pic>
      <xdr:nvPicPr>
        <xdr:cNvPr id="0" name="image6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9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9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9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254</xdr:col>
      <xdr:colOff>0</xdr:colOff>
      <xdr:row>9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278</xdr:col>
      <xdr:colOff>0</xdr:colOff>
      <xdr:row>9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332</xdr:col>
      <xdr:colOff>0</xdr:colOff>
      <xdr:row>9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398</xdr:col>
      <xdr:colOff>0</xdr:colOff>
      <xdr:row>9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434</xdr:col>
      <xdr:colOff>0</xdr:colOff>
      <xdr:row>9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482</xdr:col>
      <xdr:colOff>0</xdr:colOff>
      <xdr:row>9</xdr:row>
      <xdr:rowOff>0</xdr:rowOff>
    </xdr:from>
    <xdr:ext cx="342900" cy="171450"/>
    <xdr:pic>
      <xdr:nvPicPr>
        <xdr:cNvPr id="0" name="image6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512</xdr:col>
      <xdr:colOff>0</xdr:colOff>
      <xdr:row>9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9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9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9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614</xdr:col>
      <xdr:colOff>0</xdr:colOff>
      <xdr:row>9</xdr:row>
      <xdr:rowOff>0</xdr:rowOff>
    </xdr:from>
    <xdr:ext cx="342900" cy="171450"/>
    <xdr:pic>
      <xdr:nvPicPr>
        <xdr:cNvPr id="0" name="image64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662</xdr:col>
      <xdr:colOff>0</xdr:colOff>
      <xdr:row>9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10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10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134</xdr:col>
      <xdr:colOff>0</xdr:colOff>
      <xdr:row>10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10</xdr:row>
      <xdr:rowOff>0</xdr:rowOff>
    </xdr:from>
    <xdr:ext cx="342900" cy="171450"/>
    <xdr:pic>
      <xdr:nvPicPr>
        <xdr:cNvPr id="0" name="image6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164</xdr:col>
      <xdr:colOff>0</xdr:colOff>
      <xdr:row>10</xdr:row>
      <xdr:rowOff>0</xdr:rowOff>
    </xdr:from>
    <xdr:ext cx="342900" cy="171450"/>
    <xdr:pic>
      <xdr:nvPicPr>
        <xdr:cNvPr id="0" name="image6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10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10</xdr:row>
      <xdr:rowOff>0</xdr:rowOff>
    </xdr:from>
    <xdr:ext cx="342900" cy="171450"/>
    <xdr:pic>
      <xdr:nvPicPr>
        <xdr:cNvPr id="0" name="image62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10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0</xdr:colOff>
      <xdr:row>10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10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284</xdr:col>
      <xdr:colOff>0</xdr:colOff>
      <xdr:row>10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10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344</xdr:col>
      <xdr:colOff>0</xdr:colOff>
      <xdr:row>10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362</xdr:col>
      <xdr:colOff>0</xdr:colOff>
      <xdr:row>10</xdr:row>
      <xdr:rowOff>0</xdr:rowOff>
    </xdr:from>
    <xdr:ext cx="342900" cy="171450"/>
    <xdr:pic>
      <xdr:nvPicPr>
        <xdr:cNvPr id="0" name="image63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10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404</xdr:col>
      <xdr:colOff>0</xdr:colOff>
      <xdr:row>10</xdr:row>
      <xdr:rowOff>0</xdr:rowOff>
    </xdr:from>
    <xdr:ext cx="342900" cy="171450"/>
    <xdr:pic>
      <xdr:nvPicPr>
        <xdr:cNvPr id="0" name="image65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410</xdr:col>
      <xdr:colOff>0</xdr:colOff>
      <xdr:row>10</xdr:row>
      <xdr:rowOff>0</xdr:rowOff>
    </xdr:from>
    <xdr:ext cx="342900" cy="171450"/>
    <xdr:pic>
      <xdr:nvPicPr>
        <xdr:cNvPr id="0" name="image65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440</xdr:col>
      <xdr:colOff>0</xdr:colOff>
      <xdr:row>10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10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632</xdr:col>
      <xdr:colOff>0</xdr:colOff>
      <xdr:row>10</xdr:row>
      <xdr:rowOff>0</xdr:rowOff>
    </xdr:from>
    <xdr:ext cx="342900" cy="171450"/>
    <xdr:pic>
      <xdr:nvPicPr>
        <xdr:cNvPr id="0" name="image6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10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10</xdr:row>
      <xdr:rowOff>0</xdr:rowOff>
    </xdr:from>
    <xdr:ext cx="342900" cy="171450"/>
    <xdr:pic>
      <xdr:nvPicPr>
        <xdr:cNvPr id="0" name="image64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722</xdr:col>
      <xdr:colOff>0</xdr:colOff>
      <xdr:row>10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728</xdr:col>
      <xdr:colOff>0</xdr:colOff>
      <xdr:row>10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734</xdr:col>
      <xdr:colOff>0</xdr:colOff>
      <xdr:row>10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740</xdr:col>
      <xdr:colOff>0</xdr:colOff>
      <xdr:row>10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746</xdr:col>
      <xdr:colOff>0</xdr:colOff>
      <xdr:row>10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10</xdr:row>
      <xdr:rowOff>0</xdr:rowOff>
    </xdr:from>
    <xdr:ext cx="342900" cy="171450"/>
    <xdr:pic>
      <xdr:nvPicPr>
        <xdr:cNvPr id="0" name="image6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11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11</xdr:row>
      <xdr:rowOff>0</xdr:rowOff>
    </xdr:from>
    <xdr:ext cx="342900" cy="171450"/>
    <xdr:pic>
      <xdr:nvPicPr>
        <xdr:cNvPr id="0" name="image6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11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11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302</xdr:col>
      <xdr:colOff>0</xdr:colOff>
      <xdr:row>11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11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374</xdr:col>
      <xdr:colOff>0</xdr:colOff>
      <xdr:row>11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488</xdr:col>
      <xdr:colOff>0</xdr:colOff>
      <xdr:row>11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494</xdr:col>
      <xdr:colOff>0</xdr:colOff>
      <xdr:row>11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11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11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590</xdr:col>
      <xdr:colOff>0</xdr:colOff>
      <xdr:row>11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11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11</xdr:row>
      <xdr:rowOff>0</xdr:rowOff>
    </xdr:from>
    <xdr:ext cx="342900" cy="171450"/>
    <xdr:pic>
      <xdr:nvPicPr>
        <xdr:cNvPr id="0" name="image6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11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692</xdr:col>
      <xdr:colOff>0</xdr:colOff>
      <xdr:row>11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11</xdr:row>
      <xdr:rowOff>0</xdr:rowOff>
    </xdr:from>
    <xdr:ext cx="342900" cy="171450"/>
    <xdr:pic>
      <xdr:nvPicPr>
        <xdr:cNvPr id="0" name="image6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12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12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12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12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218</xdr:col>
      <xdr:colOff>0</xdr:colOff>
      <xdr:row>12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12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12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278</xdr:col>
      <xdr:colOff>0</xdr:colOff>
      <xdr:row>12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12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296</xdr:col>
      <xdr:colOff>0</xdr:colOff>
      <xdr:row>12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12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12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12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500</xdr:col>
      <xdr:colOff>0</xdr:colOff>
      <xdr:row>12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12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12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12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12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602</xdr:col>
      <xdr:colOff>0</xdr:colOff>
      <xdr:row>12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626</xdr:col>
      <xdr:colOff>0</xdr:colOff>
      <xdr:row>12</xdr:row>
      <xdr:rowOff>0</xdr:rowOff>
    </xdr:from>
    <xdr:ext cx="342900" cy="171450"/>
    <xdr:pic>
      <xdr:nvPicPr>
        <xdr:cNvPr id="0" name="image6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12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686</xdr:col>
      <xdr:colOff>0</xdr:colOff>
      <xdr:row>12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12</xdr:row>
      <xdr:rowOff>0</xdr:rowOff>
    </xdr:from>
    <xdr:ext cx="342900" cy="171450"/>
    <xdr:pic>
      <xdr:nvPicPr>
        <xdr:cNvPr id="0" name="image60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13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13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128</xdr:col>
      <xdr:colOff>0</xdr:colOff>
      <xdr:row>13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13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13</xdr:row>
      <xdr:rowOff>0</xdr:rowOff>
    </xdr:from>
    <xdr:ext cx="342900" cy="171450"/>
    <xdr:pic>
      <xdr:nvPicPr>
        <xdr:cNvPr id="0" name="image6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13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13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13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13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13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332</xdr:col>
      <xdr:colOff>0</xdr:colOff>
      <xdr:row>13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13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13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13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482</xdr:col>
      <xdr:colOff>0</xdr:colOff>
      <xdr:row>13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13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512</xdr:col>
      <xdr:colOff>0</xdr:colOff>
      <xdr:row>13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13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13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578</xdr:col>
      <xdr:colOff>0</xdr:colOff>
      <xdr:row>13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614</xdr:col>
      <xdr:colOff>0</xdr:colOff>
      <xdr:row>13</xdr:row>
      <xdr:rowOff>0</xdr:rowOff>
    </xdr:from>
    <xdr:ext cx="342900" cy="171450"/>
    <xdr:pic>
      <xdr:nvPicPr>
        <xdr:cNvPr id="0" name="image64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662</xdr:col>
      <xdr:colOff>0</xdr:colOff>
      <xdr:row>13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698</xdr:col>
      <xdr:colOff>0</xdr:colOff>
      <xdr:row>13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704</xdr:col>
      <xdr:colOff>0</xdr:colOff>
      <xdr:row>13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14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14</xdr:row>
      <xdr:rowOff>0</xdr:rowOff>
    </xdr:from>
    <xdr:ext cx="342900" cy="171450"/>
    <xdr:pic>
      <xdr:nvPicPr>
        <xdr:cNvPr id="0" name="image67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14</xdr:row>
      <xdr:rowOff>0</xdr:rowOff>
    </xdr:from>
    <xdr:ext cx="342900" cy="171450"/>
    <xdr:pic>
      <xdr:nvPicPr>
        <xdr:cNvPr id="0" name="image66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164</xdr:col>
      <xdr:colOff>0</xdr:colOff>
      <xdr:row>14</xdr:row>
      <xdr:rowOff>0</xdr:rowOff>
    </xdr:from>
    <xdr:ext cx="342900" cy="171450"/>
    <xdr:pic>
      <xdr:nvPicPr>
        <xdr:cNvPr id="0" name="image6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14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14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14</xdr:row>
      <xdr:rowOff>0</xdr:rowOff>
    </xdr:from>
    <xdr:ext cx="342900" cy="171450"/>
    <xdr:pic>
      <xdr:nvPicPr>
        <xdr:cNvPr id="0" name="image6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338</xdr:col>
      <xdr:colOff>0</xdr:colOff>
      <xdr:row>14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446</xdr:col>
      <xdr:colOff>0</xdr:colOff>
      <xdr:row>14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452</xdr:col>
      <xdr:colOff>0</xdr:colOff>
      <xdr:row>14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458</xdr:col>
      <xdr:colOff>0</xdr:colOff>
      <xdr:row>14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464</xdr:col>
      <xdr:colOff>0</xdr:colOff>
      <xdr:row>14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470</xdr:col>
      <xdr:colOff>0</xdr:colOff>
      <xdr:row>14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476</xdr:col>
      <xdr:colOff>0</xdr:colOff>
      <xdr:row>14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548</xdr:col>
      <xdr:colOff>0</xdr:colOff>
      <xdr:row>14</xdr:row>
      <xdr:rowOff>0</xdr:rowOff>
    </xdr:from>
    <xdr:ext cx="342900" cy="171450"/>
    <xdr:pic>
      <xdr:nvPicPr>
        <xdr:cNvPr id="0" name="image67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590</xdr:col>
      <xdr:colOff>0</xdr:colOff>
      <xdr:row>14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14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14</xdr:row>
      <xdr:rowOff>0</xdr:rowOff>
    </xdr:from>
    <xdr:ext cx="342900" cy="171450"/>
    <xdr:pic>
      <xdr:nvPicPr>
        <xdr:cNvPr id="0" name="image66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15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15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15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15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15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15</xdr:row>
      <xdr:rowOff>0</xdr:rowOff>
    </xdr:from>
    <xdr:ext cx="342900" cy="171450"/>
    <xdr:pic>
      <xdr:nvPicPr>
        <xdr:cNvPr id="0" name="image60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134</xdr:col>
      <xdr:colOff>0</xdr:colOff>
      <xdr:row>15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182</xdr:col>
      <xdr:colOff>0</xdr:colOff>
      <xdr:row>15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15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15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344</xdr:col>
      <xdr:colOff>0</xdr:colOff>
      <xdr:row>15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0</xdr:colOff>
      <xdr:row>15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15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15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398</xdr:col>
      <xdr:colOff>0</xdr:colOff>
      <xdr:row>15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434</xdr:col>
      <xdr:colOff>0</xdr:colOff>
      <xdr:row>15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524</xdr:col>
      <xdr:colOff>0</xdr:colOff>
      <xdr:row>15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542</xdr:col>
      <xdr:colOff>0</xdr:colOff>
      <xdr:row>15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15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15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15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15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15</xdr:row>
      <xdr:rowOff>0</xdr:rowOff>
    </xdr:from>
    <xdr:ext cx="342900" cy="171450"/>
    <xdr:pic>
      <xdr:nvPicPr>
        <xdr:cNvPr id="0" name="image6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15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15</xdr:row>
      <xdr:rowOff>0</xdr:rowOff>
    </xdr:from>
    <xdr:ext cx="342900" cy="171450"/>
    <xdr:pic>
      <xdr:nvPicPr>
        <xdr:cNvPr id="0" name="image63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342900" cy="171450"/>
    <xdr:pic>
      <xdr:nvPicPr>
        <xdr:cNvPr id="0" name="image64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16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16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16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16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16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16</xdr:row>
      <xdr:rowOff>0</xdr:rowOff>
    </xdr:from>
    <xdr:ext cx="342900" cy="171450"/>
    <xdr:pic>
      <xdr:nvPicPr>
        <xdr:cNvPr id="0" name="image67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16</xdr:row>
      <xdr:rowOff>0</xdr:rowOff>
    </xdr:from>
    <xdr:ext cx="342900" cy="171450"/>
    <xdr:pic>
      <xdr:nvPicPr>
        <xdr:cNvPr id="0" name="image6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16</xdr:row>
      <xdr:rowOff>0</xdr:rowOff>
    </xdr:from>
    <xdr:ext cx="342900" cy="171450"/>
    <xdr:pic>
      <xdr:nvPicPr>
        <xdr:cNvPr id="0" name="image6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16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254</xdr:col>
      <xdr:colOff>0</xdr:colOff>
      <xdr:row>16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296</xdr:col>
      <xdr:colOff>0</xdr:colOff>
      <xdr:row>16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332</xdr:col>
      <xdr:colOff>0</xdr:colOff>
      <xdr:row>16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404</xdr:col>
      <xdr:colOff>0</xdr:colOff>
      <xdr:row>16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410</xdr:col>
      <xdr:colOff>0</xdr:colOff>
      <xdr:row>16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16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428</xdr:col>
      <xdr:colOff>0</xdr:colOff>
      <xdr:row>16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488</xdr:col>
      <xdr:colOff>0</xdr:colOff>
      <xdr:row>16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16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16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16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16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16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16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578</xdr:col>
      <xdr:colOff>0</xdr:colOff>
      <xdr:row>16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602</xdr:col>
      <xdr:colOff>0</xdr:colOff>
      <xdr:row>16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16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16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16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16</xdr:row>
      <xdr:rowOff>0</xdr:rowOff>
    </xdr:from>
    <xdr:ext cx="342900" cy="171450"/>
    <xdr:pic>
      <xdr:nvPicPr>
        <xdr:cNvPr id="0" name="image66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17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17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17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17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17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17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17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0</xdr:colOff>
      <xdr:row>17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17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17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278</xdr:col>
      <xdr:colOff>0</xdr:colOff>
      <xdr:row>17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302</xdr:col>
      <xdr:colOff>0</xdr:colOff>
      <xdr:row>17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17</xdr:row>
      <xdr:rowOff>0</xdr:rowOff>
    </xdr:from>
    <xdr:ext cx="342900" cy="171450"/>
    <xdr:pic>
      <xdr:nvPicPr>
        <xdr:cNvPr id="0" name="image58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17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17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494</xdr:col>
      <xdr:colOff>0</xdr:colOff>
      <xdr:row>17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500</xdr:col>
      <xdr:colOff>0</xdr:colOff>
      <xdr:row>17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614</xdr:col>
      <xdr:colOff>0</xdr:colOff>
      <xdr:row>17</xdr:row>
      <xdr:rowOff>0</xdr:rowOff>
    </xdr:from>
    <xdr:ext cx="342900" cy="171450"/>
    <xdr:pic>
      <xdr:nvPicPr>
        <xdr:cNvPr id="0" name="image64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632</xdr:col>
      <xdr:colOff>0</xdr:colOff>
      <xdr:row>17</xdr:row>
      <xdr:rowOff>0</xdr:rowOff>
    </xdr:from>
    <xdr:ext cx="342900" cy="171450"/>
    <xdr:pic>
      <xdr:nvPicPr>
        <xdr:cNvPr id="0" name="image6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668</xdr:col>
      <xdr:colOff>0</xdr:colOff>
      <xdr:row>17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686</xdr:col>
      <xdr:colOff>0</xdr:colOff>
      <xdr:row>17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710</xdr:col>
      <xdr:colOff>0</xdr:colOff>
      <xdr:row>17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716</xdr:col>
      <xdr:colOff>0</xdr:colOff>
      <xdr:row>17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722</xdr:col>
      <xdr:colOff>0</xdr:colOff>
      <xdr:row>17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728</xdr:col>
      <xdr:colOff>0</xdr:colOff>
      <xdr:row>17</xdr:row>
      <xdr:rowOff>0</xdr:rowOff>
    </xdr:from>
    <xdr:ext cx="342900" cy="171450"/>
    <xdr:pic>
      <xdr:nvPicPr>
        <xdr:cNvPr id="0" name="image6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734</xdr:col>
      <xdr:colOff>0</xdr:colOff>
      <xdr:row>17</xdr:row>
      <xdr:rowOff>0</xdr:rowOff>
    </xdr:from>
    <xdr:ext cx="342900" cy="171450"/>
    <xdr:pic>
      <xdr:nvPicPr>
        <xdr:cNvPr id="0" name="image63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740</xdr:col>
      <xdr:colOff>0</xdr:colOff>
      <xdr:row>17</xdr:row>
      <xdr:rowOff>0</xdr:rowOff>
    </xdr:from>
    <xdr:ext cx="342900" cy="171450"/>
    <xdr:pic>
      <xdr:nvPicPr>
        <xdr:cNvPr id="0" name="image6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746</xdr:col>
      <xdr:colOff>0</xdr:colOff>
      <xdr:row>17</xdr:row>
      <xdr:rowOff>0</xdr:rowOff>
    </xdr:from>
    <xdr:ext cx="342900" cy="171450"/>
    <xdr:pic>
      <xdr:nvPicPr>
        <xdr:cNvPr id="0" name="image66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18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18</xdr:row>
      <xdr:rowOff>0</xdr:rowOff>
    </xdr:from>
    <xdr:ext cx="342900" cy="171450"/>
    <xdr:pic>
      <xdr:nvPicPr>
        <xdr:cNvPr id="0" name="image67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18</xdr:row>
      <xdr:rowOff>0</xdr:rowOff>
    </xdr:from>
    <xdr:ext cx="342900" cy="171450"/>
    <xdr:pic>
      <xdr:nvPicPr>
        <xdr:cNvPr id="0" name="image6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18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18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18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18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18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18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374</xdr:col>
      <xdr:colOff>0</xdr:colOff>
      <xdr:row>18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416</xdr:col>
      <xdr:colOff>0</xdr:colOff>
      <xdr:row>18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440</xdr:col>
      <xdr:colOff>0</xdr:colOff>
      <xdr:row>18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18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590</xdr:col>
      <xdr:colOff>0</xdr:colOff>
      <xdr:row>18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18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662</xdr:col>
      <xdr:colOff>0</xdr:colOff>
      <xdr:row>18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698</xdr:col>
      <xdr:colOff>0</xdr:colOff>
      <xdr:row>18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18</xdr:row>
      <xdr:rowOff>0</xdr:rowOff>
    </xdr:from>
    <xdr:ext cx="342900" cy="171450"/>
    <xdr:pic>
      <xdr:nvPicPr>
        <xdr:cNvPr id="0" name="image64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19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19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128</xdr:col>
      <xdr:colOff>0</xdr:colOff>
      <xdr:row>19</xdr:row>
      <xdr:rowOff>0</xdr:rowOff>
    </xdr:from>
    <xdr:ext cx="342900" cy="171450"/>
    <xdr:pic>
      <xdr:nvPicPr>
        <xdr:cNvPr id="0" name="image6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218</xdr:col>
      <xdr:colOff>0</xdr:colOff>
      <xdr:row>19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19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248</xdr:col>
      <xdr:colOff>0</xdr:colOff>
      <xdr:row>19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19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19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338</xdr:col>
      <xdr:colOff>0</xdr:colOff>
      <xdr:row>19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344</xdr:col>
      <xdr:colOff>0</xdr:colOff>
      <xdr:row>19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19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19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19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494</xdr:col>
      <xdr:colOff>0</xdr:colOff>
      <xdr:row>19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512</xdr:col>
      <xdr:colOff>0</xdr:colOff>
      <xdr:row>19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19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19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578</xdr:col>
      <xdr:colOff>0</xdr:colOff>
      <xdr:row>19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19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626</xdr:col>
      <xdr:colOff>0</xdr:colOff>
      <xdr:row>19</xdr:row>
      <xdr:rowOff>0</xdr:rowOff>
    </xdr:from>
    <xdr:ext cx="342900" cy="171450"/>
    <xdr:pic>
      <xdr:nvPicPr>
        <xdr:cNvPr id="0" name="image6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19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19</xdr:row>
      <xdr:rowOff>0</xdr:rowOff>
    </xdr:from>
    <xdr:ext cx="342900" cy="171450"/>
    <xdr:pic>
      <xdr:nvPicPr>
        <xdr:cNvPr id="0" name="image67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342900" cy="171450"/>
    <xdr:pic>
      <xdr:nvPicPr>
        <xdr:cNvPr id="0" name="image59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20</xdr:row>
      <xdr:rowOff>0</xdr:rowOff>
    </xdr:from>
    <xdr:ext cx="342900" cy="171450"/>
    <xdr:pic>
      <xdr:nvPicPr>
        <xdr:cNvPr id="0" name="image63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20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20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20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20</xdr:row>
      <xdr:rowOff>0</xdr:rowOff>
    </xdr:from>
    <xdr:ext cx="342900" cy="171450"/>
    <xdr:pic>
      <xdr:nvPicPr>
        <xdr:cNvPr id="0" name="image67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182</xdr:col>
      <xdr:colOff>0</xdr:colOff>
      <xdr:row>20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20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20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284</xdr:col>
      <xdr:colOff>0</xdr:colOff>
      <xdr:row>20</xdr:row>
      <xdr:rowOff>0</xdr:rowOff>
    </xdr:from>
    <xdr:ext cx="342900" cy="171450"/>
    <xdr:pic>
      <xdr:nvPicPr>
        <xdr:cNvPr id="0" name="image64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332</xdr:col>
      <xdr:colOff>0</xdr:colOff>
      <xdr:row>20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0</xdr:colOff>
      <xdr:row>20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20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20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20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602</xdr:col>
      <xdr:colOff>0</xdr:colOff>
      <xdr:row>20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20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20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20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20</xdr:row>
      <xdr:rowOff>0</xdr:rowOff>
    </xdr:from>
    <xdr:ext cx="342900" cy="171450"/>
    <xdr:pic>
      <xdr:nvPicPr>
        <xdr:cNvPr id="0" name="image63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21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21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21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21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21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21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21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302</xdr:col>
      <xdr:colOff>0</xdr:colOff>
      <xdr:row>21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398</xdr:col>
      <xdr:colOff>0</xdr:colOff>
      <xdr:row>21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21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434</xdr:col>
      <xdr:colOff>0</xdr:colOff>
      <xdr:row>21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446</xdr:col>
      <xdr:colOff>0</xdr:colOff>
      <xdr:row>21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21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524</xdr:col>
      <xdr:colOff>0</xdr:colOff>
      <xdr:row>21</xdr:row>
      <xdr:rowOff>0</xdr:rowOff>
    </xdr:from>
    <xdr:ext cx="342900" cy="171450"/>
    <xdr:pic>
      <xdr:nvPicPr>
        <xdr:cNvPr id="0" name="image6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21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21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21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21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22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22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22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22</xdr:row>
      <xdr:rowOff>0</xdr:rowOff>
    </xdr:from>
    <xdr:ext cx="342900" cy="171450"/>
    <xdr:pic>
      <xdr:nvPicPr>
        <xdr:cNvPr id="0" name="image67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22</xdr:row>
      <xdr:rowOff>0</xdr:rowOff>
    </xdr:from>
    <xdr:ext cx="342900" cy="171450"/>
    <xdr:pic>
      <xdr:nvPicPr>
        <xdr:cNvPr id="0" name="image6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254</xdr:col>
      <xdr:colOff>0</xdr:colOff>
      <xdr:row>22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22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22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22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344</xdr:col>
      <xdr:colOff>0</xdr:colOff>
      <xdr:row>22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362</xdr:col>
      <xdr:colOff>0</xdr:colOff>
      <xdr:row>22</xdr:row>
      <xdr:rowOff>0</xdr:rowOff>
    </xdr:from>
    <xdr:ext cx="342900" cy="171450"/>
    <xdr:pic>
      <xdr:nvPicPr>
        <xdr:cNvPr id="0" name="image66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22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416</xdr:col>
      <xdr:colOff>0</xdr:colOff>
      <xdr:row>22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428</xdr:col>
      <xdr:colOff>0</xdr:colOff>
      <xdr:row>22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452</xdr:col>
      <xdr:colOff>0</xdr:colOff>
      <xdr:row>22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458</xdr:col>
      <xdr:colOff>0</xdr:colOff>
      <xdr:row>22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464</xdr:col>
      <xdr:colOff>0</xdr:colOff>
      <xdr:row>22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470</xdr:col>
      <xdr:colOff>0</xdr:colOff>
      <xdr:row>22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476</xdr:col>
      <xdr:colOff>0</xdr:colOff>
      <xdr:row>22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488</xdr:col>
      <xdr:colOff>0</xdr:colOff>
      <xdr:row>22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22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22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22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22</xdr:row>
      <xdr:rowOff>0</xdr:rowOff>
    </xdr:from>
    <xdr:ext cx="342900" cy="171450"/>
    <xdr:pic>
      <xdr:nvPicPr>
        <xdr:cNvPr id="0" name="image62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662</xdr:col>
      <xdr:colOff>0</xdr:colOff>
      <xdr:row>22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668</xdr:col>
      <xdr:colOff>0</xdr:colOff>
      <xdr:row>22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680</xdr:col>
      <xdr:colOff>0</xdr:colOff>
      <xdr:row>22</xdr:row>
      <xdr:rowOff>0</xdr:rowOff>
    </xdr:from>
    <xdr:ext cx="342900" cy="171450"/>
    <xdr:pic>
      <xdr:nvPicPr>
        <xdr:cNvPr id="0" name="image64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686</xdr:col>
      <xdr:colOff>0</xdr:colOff>
      <xdr:row>22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22</xdr:row>
      <xdr:rowOff>0</xdr:rowOff>
    </xdr:from>
    <xdr:ext cx="342900" cy="171450"/>
    <xdr:pic>
      <xdr:nvPicPr>
        <xdr:cNvPr id="0" name="image67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23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23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23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23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122</xdr:col>
      <xdr:colOff>0</xdr:colOff>
      <xdr:row>23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134</xdr:col>
      <xdr:colOff>0</xdr:colOff>
      <xdr:row>23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23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23</xdr:row>
      <xdr:rowOff>0</xdr:rowOff>
    </xdr:from>
    <xdr:ext cx="342900" cy="171450"/>
    <xdr:pic>
      <xdr:nvPicPr>
        <xdr:cNvPr id="0" name="image64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23</xdr:row>
      <xdr:rowOff>0</xdr:rowOff>
    </xdr:from>
    <xdr:ext cx="342900" cy="171450"/>
    <xdr:pic>
      <xdr:nvPicPr>
        <xdr:cNvPr id="0" name="image67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23</xdr:row>
      <xdr:rowOff>0</xdr:rowOff>
    </xdr:from>
    <xdr:ext cx="342900" cy="171450"/>
    <xdr:pic>
      <xdr:nvPicPr>
        <xdr:cNvPr id="0" name="image64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23</xdr:row>
      <xdr:rowOff>0</xdr:rowOff>
    </xdr:from>
    <xdr:ext cx="342900" cy="171450"/>
    <xdr:pic>
      <xdr:nvPicPr>
        <xdr:cNvPr id="0" name="image66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23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23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23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23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23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23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23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23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23</xdr:row>
      <xdr:rowOff>0</xdr:rowOff>
    </xdr:from>
    <xdr:ext cx="342900" cy="171450"/>
    <xdr:pic>
      <xdr:nvPicPr>
        <xdr:cNvPr id="0" name="image61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24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24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24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24</xdr:row>
      <xdr:rowOff>0</xdr:rowOff>
    </xdr:from>
    <xdr:ext cx="342900" cy="171450"/>
    <xdr:pic>
      <xdr:nvPicPr>
        <xdr:cNvPr id="0" name="image6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24</xdr:row>
      <xdr:rowOff>0</xdr:rowOff>
    </xdr:from>
    <xdr:ext cx="342900" cy="171450"/>
    <xdr:pic>
      <xdr:nvPicPr>
        <xdr:cNvPr id="0" name="image64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24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24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24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24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410</xdr:col>
      <xdr:colOff>0</xdr:colOff>
      <xdr:row>24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494</xdr:col>
      <xdr:colOff>0</xdr:colOff>
      <xdr:row>24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24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512</xdr:col>
      <xdr:colOff>0</xdr:colOff>
      <xdr:row>24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24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542</xdr:col>
      <xdr:colOff>0</xdr:colOff>
      <xdr:row>24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24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24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614</xdr:col>
      <xdr:colOff>0</xdr:colOff>
      <xdr:row>24</xdr:row>
      <xdr:rowOff>0</xdr:rowOff>
    </xdr:from>
    <xdr:ext cx="342900" cy="171450"/>
    <xdr:pic>
      <xdr:nvPicPr>
        <xdr:cNvPr id="0" name="image67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24</xdr:row>
      <xdr:rowOff>0</xdr:rowOff>
    </xdr:from>
    <xdr:ext cx="342900" cy="171450"/>
    <xdr:pic>
      <xdr:nvPicPr>
        <xdr:cNvPr id="0" name="image62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24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24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704</xdr:col>
      <xdr:colOff>0</xdr:colOff>
      <xdr:row>24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710</xdr:col>
      <xdr:colOff>0</xdr:colOff>
      <xdr:row>24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716</xdr:col>
      <xdr:colOff>0</xdr:colOff>
      <xdr:row>24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722</xdr:col>
      <xdr:colOff>0</xdr:colOff>
      <xdr:row>24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728</xdr:col>
      <xdr:colOff>0</xdr:colOff>
      <xdr:row>24</xdr:row>
      <xdr:rowOff>0</xdr:rowOff>
    </xdr:from>
    <xdr:ext cx="342900" cy="171450"/>
    <xdr:pic>
      <xdr:nvPicPr>
        <xdr:cNvPr id="0" name="image63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734</xdr:col>
      <xdr:colOff>0</xdr:colOff>
      <xdr:row>24</xdr:row>
      <xdr:rowOff>0</xdr:rowOff>
    </xdr:from>
    <xdr:ext cx="342900" cy="171450"/>
    <xdr:pic>
      <xdr:nvPicPr>
        <xdr:cNvPr id="0" name="image6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740</xdr:col>
      <xdr:colOff>0</xdr:colOff>
      <xdr:row>24</xdr:row>
      <xdr:rowOff>0</xdr:rowOff>
    </xdr:from>
    <xdr:ext cx="342900" cy="171450"/>
    <xdr:pic>
      <xdr:nvPicPr>
        <xdr:cNvPr id="0" name="image66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746</xdr:col>
      <xdr:colOff>0</xdr:colOff>
      <xdr:row>24</xdr:row>
      <xdr:rowOff>0</xdr:rowOff>
    </xdr:from>
    <xdr:ext cx="342900" cy="171450"/>
    <xdr:pic>
      <xdr:nvPicPr>
        <xdr:cNvPr id="0" name="image66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24</xdr:row>
      <xdr:rowOff>0</xdr:rowOff>
    </xdr:from>
    <xdr:ext cx="342900" cy="171450"/>
    <xdr:pic>
      <xdr:nvPicPr>
        <xdr:cNvPr id="0" name="image6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25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25</xdr:row>
      <xdr:rowOff>0</xdr:rowOff>
    </xdr:from>
    <xdr:ext cx="342900" cy="171450"/>
    <xdr:pic>
      <xdr:nvPicPr>
        <xdr:cNvPr id="0" name="image64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25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25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25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182</xdr:col>
      <xdr:colOff>0</xdr:colOff>
      <xdr:row>25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25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25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25</xdr:row>
      <xdr:rowOff>0</xdr:rowOff>
    </xdr:from>
    <xdr:ext cx="342900" cy="171450"/>
    <xdr:pic>
      <xdr:nvPicPr>
        <xdr:cNvPr id="0" name="image67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0</xdr:colOff>
      <xdr:row>25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302</xdr:col>
      <xdr:colOff>0</xdr:colOff>
      <xdr:row>25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25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338</xdr:col>
      <xdr:colOff>0</xdr:colOff>
      <xdr:row>25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362</xdr:col>
      <xdr:colOff>0</xdr:colOff>
      <xdr:row>25</xdr:row>
      <xdr:rowOff>0</xdr:rowOff>
    </xdr:from>
    <xdr:ext cx="342900" cy="171450"/>
    <xdr:pic>
      <xdr:nvPicPr>
        <xdr:cNvPr id="0" name="image66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404</xdr:col>
      <xdr:colOff>0</xdr:colOff>
      <xdr:row>25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25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440</xdr:col>
      <xdr:colOff>0</xdr:colOff>
      <xdr:row>25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500</xdr:col>
      <xdr:colOff>0</xdr:colOff>
      <xdr:row>25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25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25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25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25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25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26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26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26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26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26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26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248</xdr:col>
      <xdr:colOff>0</xdr:colOff>
      <xdr:row>26</xdr:row>
      <xdr:rowOff>0</xdr:rowOff>
    </xdr:from>
    <xdr:ext cx="342900" cy="171450"/>
    <xdr:pic>
      <xdr:nvPicPr>
        <xdr:cNvPr id="0" name="image66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296</xdr:col>
      <xdr:colOff>0</xdr:colOff>
      <xdr:row>26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26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26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0</xdr:colOff>
      <xdr:row>26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482</xdr:col>
      <xdr:colOff>0</xdr:colOff>
      <xdr:row>26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26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26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626</xdr:col>
      <xdr:colOff>0</xdr:colOff>
      <xdr:row>26</xdr:row>
      <xdr:rowOff>0</xdr:rowOff>
    </xdr:from>
    <xdr:ext cx="342900" cy="171450"/>
    <xdr:pic>
      <xdr:nvPicPr>
        <xdr:cNvPr id="0" name="image6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680</xdr:col>
      <xdr:colOff>0</xdr:colOff>
      <xdr:row>26</xdr:row>
      <xdr:rowOff>0</xdr:rowOff>
    </xdr:from>
    <xdr:ext cx="342900" cy="171450"/>
    <xdr:pic>
      <xdr:nvPicPr>
        <xdr:cNvPr id="0" name="image64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26</xdr:row>
      <xdr:rowOff>0</xdr:rowOff>
    </xdr:from>
    <xdr:ext cx="342900" cy="171450"/>
    <xdr:pic>
      <xdr:nvPicPr>
        <xdr:cNvPr id="0" name="image63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27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27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27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27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27</xdr:row>
      <xdr:rowOff>0</xdr:rowOff>
    </xdr:from>
    <xdr:ext cx="342900" cy="171450"/>
    <xdr:pic>
      <xdr:nvPicPr>
        <xdr:cNvPr id="0" name="image5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134</xdr:col>
      <xdr:colOff>0</xdr:colOff>
      <xdr:row>27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27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164</xdr:col>
      <xdr:colOff>0</xdr:colOff>
      <xdr:row>27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27</xdr:row>
      <xdr:rowOff>0</xdr:rowOff>
    </xdr:from>
    <xdr:ext cx="342900" cy="171450"/>
    <xdr:pic>
      <xdr:nvPicPr>
        <xdr:cNvPr id="0" name="image60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27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27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27</xdr:row>
      <xdr:rowOff>0</xdr:rowOff>
    </xdr:from>
    <xdr:ext cx="342900" cy="171450"/>
    <xdr:pic>
      <xdr:nvPicPr>
        <xdr:cNvPr id="0" name="image64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27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27</xdr:row>
      <xdr:rowOff>0</xdr:rowOff>
    </xdr:from>
    <xdr:ext cx="342900" cy="171450"/>
    <xdr:pic>
      <xdr:nvPicPr>
        <xdr:cNvPr id="0" name="image63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27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27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416</xdr:col>
      <xdr:colOff>0</xdr:colOff>
      <xdr:row>27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27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27</xdr:row>
      <xdr:rowOff>0</xdr:rowOff>
    </xdr:from>
    <xdr:ext cx="342900" cy="171450"/>
    <xdr:pic>
      <xdr:nvPicPr>
        <xdr:cNvPr id="0" name="image6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27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686</xdr:col>
      <xdr:colOff>0</xdr:colOff>
      <xdr:row>27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27</xdr:row>
      <xdr:rowOff>0</xdr:rowOff>
    </xdr:from>
    <xdr:ext cx="342900" cy="171450"/>
    <xdr:pic>
      <xdr:nvPicPr>
        <xdr:cNvPr id="0" name="image67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28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28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122</xdr:col>
      <xdr:colOff>0</xdr:colOff>
      <xdr:row>28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28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28</xdr:row>
      <xdr:rowOff>0</xdr:rowOff>
    </xdr:from>
    <xdr:ext cx="342900" cy="171450"/>
    <xdr:pic>
      <xdr:nvPicPr>
        <xdr:cNvPr id="0" name="image64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28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28</xdr:row>
      <xdr:rowOff>0</xdr:rowOff>
    </xdr:from>
    <xdr:ext cx="342900" cy="171450"/>
    <xdr:pic>
      <xdr:nvPicPr>
        <xdr:cNvPr id="0" name="image6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344</xdr:col>
      <xdr:colOff>0</xdr:colOff>
      <xdr:row>28</xdr:row>
      <xdr:rowOff>0</xdr:rowOff>
    </xdr:from>
    <xdr:ext cx="342900" cy="171450"/>
    <xdr:pic>
      <xdr:nvPicPr>
        <xdr:cNvPr id="0" name="image66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28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428</xdr:col>
      <xdr:colOff>0</xdr:colOff>
      <xdr:row>28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488</xdr:col>
      <xdr:colOff>0</xdr:colOff>
      <xdr:row>28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28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524</xdr:col>
      <xdr:colOff>0</xdr:colOff>
      <xdr:row>28</xdr:row>
      <xdr:rowOff>0</xdr:rowOff>
    </xdr:from>
    <xdr:ext cx="342900" cy="171450"/>
    <xdr:pic>
      <xdr:nvPicPr>
        <xdr:cNvPr id="0" name="image63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28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28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614</xdr:col>
      <xdr:colOff>0</xdr:colOff>
      <xdr:row>28</xdr:row>
      <xdr:rowOff>0</xdr:rowOff>
    </xdr:from>
    <xdr:ext cx="342900" cy="171450"/>
    <xdr:pic>
      <xdr:nvPicPr>
        <xdr:cNvPr id="0" name="image67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698</xdr:col>
      <xdr:colOff>0</xdr:colOff>
      <xdr:row>28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704</xdr:col>
      <xdr:colOff>0</xdr:colOff>
      <xdr:row>28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28</xdr:row>
      <xdr:rowOff>0</xdr:rowOff>
    </xdr:from>
    <xdr:ext cx="342900" cy="171450"/>
    <xdr:pic>
      <xdr:nvPicPr>
        <xdr:cNvPr id="0" name="image66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29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29</xdr:row>
      <xdr:rowOff>0</xdr:rowOff>
    </xdr:from>
    <xdr:ext cx="342900" cy="171450"/>
    <xdr:pic>
      <xdr:nvPicPr>
        <xdr:cNvPr id="0" name="image6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182</xdr:col>
      <xdr:colOff>0</xdr:colOff>
      <xdr:row>29</xdr:row>
      <xdr:rowOff>0</xdr:rowOff>
    </xdr:from>
    <xdr:ext cx="342900" cy="171450"/>
    <xdr:pic>
      <xdr:nvPicPr>
        <xdr:cNvPr id="0" name="image66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29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218</xdr:col>
      <xdr:colOff>0</xdr:colOff>
      <xdr:row>29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230</xdr:col>
      <xdr:colOff>0</xdr:colOff>
      <xdr:row>29</xdr:row>
      <xdr:rowOff>0</xdr:rowOff>
    </xdr:from>
    <xdr:ext cx="342900" cy="171450"/>
    <xdr:pic>
      <xdr:nvPicPr>
        <xdr:cNvPr id="0" name="image65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29</xdr:row>
      <xdr:rowOff>0</xdr:rowOff>
    </xdr:from>
    <xdr:ext cx="342900" cy="171450"/>
    <xdr:pic>
      <xdr:nvPicPr>
        <xdr:cNvPr id="0" name="image67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278</xdr:col>
      <xdr:colOff>0</xdr:colOff>
      <xdr:row>29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338</xdr:col>
      <xdr:colOff>0</xdr:colOff>
      <xdr:row>29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434</xdr:col>
      <xdr:colOff>0</xdr:colOff>
      <xdr:row>29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494</xdr:col>
      <xdr:colOff>0</xdr:colOff>
      <xdr:row>29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29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29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29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602</xdr:col>
      <xdr:colOff>0</xdr:colOff>
      <xdr:row>29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29</xdr:row>
      <xdr:rowOff>0</xdr:rowOff>
    </xdr:from>
    <xdr:ext cx="342900" cy="171450"/>
    <xdr:pic>
      <xdr:nvPicPr>
        <xdr:cNvPr id="0" name="image6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29</xdr:row>
      <xdr:rowOff>0</xdr:rowOff>
    </xdr:from>
    <xdr:ext cx="342900" cy="171450"/>
    <xdr:pic>
      <xdr:nvPicPr>
        <xdr:cNvPr id="0" name="image67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692</xdr:col>
      <xdr:colOff>0</xdr:colOff>
      <xdr:row>29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30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30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134</xdr:col>
      <xdr:colOff>0</xdr:colOff>
      <xdr:row>30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30</xdr:row>
      <xdr:rowOff>0</xdr:rowOff>
    </xdr:from>
    <xdr:ext cx="342900" cy="171450"/>
    <xdr:pic>
      <xdr:nvPicPr>
        <xdr:cNvPr id="0" name="image65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30</xdr:row>
      <xdr:rowOff>0</xdr:rowOff>
    </xdr:from>
    <xdr:ext cx="342900" cy="171450"/>
    <xdr:pic>
      <xdr:nvPicPr>
        <xdr:cNvPr id="0" name="image6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30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30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296</xdr:col>
      <xdr:colOff>0</xdr:colOff>
      <xdr:row>30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30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30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30</xdr:row>
      <xdr:rowOff>0</xdr:rowOff>
    </xdr:from>
    <xdr:ext cx="342900" cy="171450"/>
    <xdr:pic>
      <xdr:nvPicPr>
        <xdr:cNvPr id="0" name="image59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30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374</xdr:col>
      <xdr:colOff>0</xdr:colOff>
      <xdr:row>30</xdr:row>
      <xdr:rowOff>0</xdr:rowOff>
    </xdr:from>
    <xdr:ext cx="342900" cy="171450"/>
    <xdr:pic>
      <xdr:nvPicPr>
        <xdr:cNvPr id="0" name="image59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398</xdr:col>
      <xdr:colOff>0</xdr:colOff>
      <xdr:row>30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30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452</xdr:col>
      <xdr:colOff>0</xdr:colOff>
      <xdr:row>30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458</xdr:col>
      <xdr:colOff>0</xdr:colOff>
      <xdr:row>30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464</xdr:col>
      <xdr:colOff>0</xdr:colOff>
      <xdr:row>30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470</xdr:col>
      <xdr:colOff>0</xdr:colOff>
      <xdr:row>30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476</xdr:col>
      <xdr:colOff>0</xdr:colOff>
      <xdr:row>30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30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30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578</xdr:col>
      <xdr:colOff>0</xdr:colOff>
      <xdr:row>30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30</xdr:row>
      <xdr:rowOff>0</xdr:rowOff>
    </xdr:from>
    <xdr:ext cx="342900" cy="171450"/>
    <xdr:pic>
      <xdr:nvPicPr>
        <xdr:cNvPr id="0" name="image63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30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31</xdr:row>
      <xdr:rowOff>0</xdr:rowOff>
    </xdr:from>
    <xdr:ext cx="342900" cy="171450"/>
    <xdr:pic>
      <xdr:nvPicPr>
        <xdr:cNvPr id="0" name="image64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31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31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31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31</xdr:row>
      <xdr:rowOff>0</xdr:rowOff>
    </xdr:from>
    <xdr:ext cx="342900" cy="171450"/>
    <xdr:pic>
      <xdr:nvPicPr>
        <xdr:cNvPr id="0" name="image67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31</xdr:row>
      <xdr:rowOff>0</xdr:rowOff>
    </xdr:from>
    <xdr:ext cx="342900" cy="171450"/>
    <xdr:pic>
      <xdr:nvPicPr>
        <xdr:cNvPr id="0" name="image67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31</xdr:row>
      <xdr:rowOff>0</xdr:rowOff>
    </xdr:from>
    <xdr:ext cx="342900" cy="171450"/>
    <xdr:pic>
      <xdr:nvPicPr>
        <xdr:cNvPr id="0" name="image62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31</xdr:row>
      <xdr:rowOff>0</xdr:rowOff>
    </xdr:from>
    <xdr:ext cx="342900" cy="171450"/>
    <xdr:pic>
      <xdr:nvPicPr>
        <xdr:cNvPr id="0" name="image65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31</xdr:row>
      <xdr:rowOff>0</xdr:rowOff>
    </xdr:from>
    <xdr:ext cx="342900" cy="171450"/>
    <xdr:pic>
      <xdr:nvPicPr>
        <xdr:cNvPr id="0" name="image63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284</xdr:col>
      <xdr:colOff>0</xdr:colOff>
      <xdr:row>31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302</xdr:col>
      <xdr:colOff>0</xdr:colOff>
      <xdr:row>31</xdr:row>
      <xdr:rowOff>0</xdr:rowOff>
    </xdr:from>
    <xdr:ext cx="342900" cy="171450"/>
    <xdr:pic>
      <xdr:nvPicPr>
        <xdr:cNvPr id="0" name="image67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0</xdr:colOff>
      <xdr:row>31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31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410</xdr:col>
      <xdr:colOff>0</xdr:colOff>
      <xdr:row>31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416</xdr:col>
      <xdr:colOff>0</xdr:colOff>
      <xdr:row>31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482</xdr:col>
      <xdr:colOff>0</xdr:colOff>
      <xdr:row>31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31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602</xdr:col>
      <xdr:colOff>0</xdr:colOff>
      <xdr:row>31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31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31</xdr:row>
      <xdr:rowOff>0</xdr:rowOff>
    </xdr:from>
    <xdr:ext cx="342900" cy="171450"/>
    <xdr:pic>
      <xdr:nvPicPr>
        <xdr:cNvPr id="0" name="image6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632</xdr:col>
      <xdr:colOff>0</xdr:colOff>
      <xdr:row>31</xdr:row>
      <xdr:rowOff>0</xdr:rowOff>
    </xdr:from>
    <xdr:ext cx="342900" cy="171450"/>
    <xdr:pic>
      <xdr:nvPicPr>
        <xdr:cNvPr id="0" name="image6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680</xdr:col>
      <xdr:colOff>0</xdr:colOff>
      <xdr:row>31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710</xdr:col>
      <xdr:colOff>0</xdr:colOff>
      <xdr:row>31</xdr:row>
      <xdr:rowOff>0</xdr:rowOff>
    </xdr:from>
    <xdr:ext cx="342900" cy="171450"/>
    <xdr:pic>
      <xdr:nvPicPr>
        <xdr:cNvPr id="0" name="image6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716</xdr:col>
      <xdr:colOff>0</xdr:colOff>
      <xdr:row>31</xdr:row>
      <xdr:rowOff>0</xdr:rowOff>
    </xdr:from>
    <xdr:ext cx="342900" cy="171450"/>
    <xdr:pic>
      <xdr:nvPicPr>
        <xdr:cNvPr id="0" name="image58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722</xdr:col>
      <xdr:colOff>0</xdr:colOff>
      <xdr:row>31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728</xdr:col>
      <xdr:colOff>0</xdr:colOff>
      <xdr:row>31</xdr:row>
      <xdr:rowOff>0</xdr:rowOff>
    </xdr:from>
    <xdr:ext cx="342900" cy="171450"/>
    <xdr:pic>
      <xdr:nvPicPr>
        <xdr:cNvPr id="0" name="image66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734</xdr:col>
      <xdr:colOff>0</xdr:colOff>
      <xdr:row>31</xdr:row>
      <xdr:rowOff>0</xdr:rowOff>
    </xdr:from>
    <xdr:ext cx="342900" cy="171450"/>
    <xdr:pic>
      <xdr:nvPicPr>
        <xdr:cNvPr id="0" name="image67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740</xdr:col>
      <xdr:colOff>0</xdr:colOff>
      <xdr:row>31</xdr:row>
      <xdr:rowOff>0</xdr:rowOff>
    </xdr:from>
    <xdr:ext cx="342900" cy="171450"/>
    <xdr:pic>
      <xdr:nvPicPr>
        <xdr:cNvPr id="0" name="image67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746</xdr:col>
      <xdr:colOff>0</xdr:colOff>
      <xdr:row>31</xdr:row>
      <xdr:rowOff>0</xdr:rowOff>
    </xdr:from>
    <xdr:ext cx="342900" cy="171450"/>
    <xdr:pic>
      <xdr:nvPicPr>
        <xdr:cNvPr id="0" name="image6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31</xdr:row>
      <xdr:rowOff>0</xdr:rowOff>
    </xdr:from>
    <xdr:ext cx="342900" cy="171450"/>
    <xdr:pic>
      <xdr:nvPicPr>
        <xdr:cNvPr id="0" name="image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32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32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32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110</xdr:col>
      <xdr:colOff>0</xdr:colOff>
      <xdr:row>32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122</xdr:col>
      <xdr:colOff>0</xdr:colOff>
      <xdr:row>32</xdr:row>
      <xdr:rowOff>0</xdr:rowOff>
    </xdr:from>
    <xdr:ext cx="342900" cy="171450"/>
    <xdr:pic>
      <xdr:nvPicPr>
        <xdr:cNvPr id="0" name="image64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140</xdr:col>
      <xdr:colOff>0</xdr:colOff>
      <xdr:row>32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32</xdr:row>
      <xdr:rowOff>0</xdr:rowOff>
    </xdr:from>
    <xdr:ext cx="342900" cy="171450"/>
    <xdr:pic>
      <xdr:nvPicPr>
        <xdr:cNvPr id="0" name="image64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0</xdr:colOff>
      <xdr:row>32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254</xdr:col>
      <xdr:colOff>0</xdr:colOff>
      <xdr:row>32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326</xdr:col>
      <xdr:colOff>0</xdr:colOff>
      <xdr:row>32</xdr:row>
      <xdr:rowOff>0</xdr:rowOff>
    </xdr:from>
    <xdr:ext cx="342900" cy="171450"/>
    <xdr:pic>
      <xdr:nvPicPr>
        <xdr:cNvPr id="0" name="image67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32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392</xdr:col>
      <xdr:colOff>0</xdr:colOff>
      <xdr:row>32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440</xdr:col>
      <xdr:colOff>0</xdr:colOff>
      <xdr:row>32</xdr:row>
      <xdr:rowOff>0</xdr:rowOff>
    </xdr:from>
    <xdr:ext cx="342900" cy="171450"/>
    <xdr:pic>
      <xdr:nvPicPr>
        <xdr:cNvPr id="0" name="image60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500</xdr:col>
      <xdr:colOff>0</xdr:colOff>
      <xdr:row>32</xdr:row>
      <xdr:rowOff>0</xdr:rowOff>
    </xdr:from>
    <xdr:ext cx="342900" cy="171450"/>
    <xdr:pic>
      <xdr:nvPicPr>
        <xdr:cNvPr id="0" name="image61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506</xdr:col>
      <xdr:colOff>0</xdr:colOff>
      <xdr:row>32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32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32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32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32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614</xdr:col>
      <xdr:colOff>0</xdr:colOff>
      <xdr:row>32</xdr:row>
      <xdr:rowOff>0</xdr:rowOff>
    </xdr:from>
    <xdr:ext cx="342900" cy="171450"/>
    <xdr:pic>
      <xdr:nvPicPr>
        <xdr:cNvPr id="0" name="image67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32</xdr:row>
      <xdr:rowOff>0</xdr:rowOff>
    </xdr:from>
    <xdr:ext cx="342900" cy="171450"/>
    <xdr:pic>
      <xdr:nvPicPr>
        <xdr:cNvPr id="0" name="image63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32</xdr:row>
      <xdr:rowOff>0</xdr:rowOff>
    </xdr:from>
    <xdr:ext cx="342900" cy="171450"/>
    <xdr:pic>
      <xdr:nvPicPr>
        <xdr:cNvPr id="0" name="image67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32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32</xdr:row>
      <xdr:rowOff>0</xdr:rowOff>
    </xdr:from>
    <xdr:ext cx="342900" cy="171450"/>
    <xdr:pic>
      <xdr:nvPicPr>
        <xdr:cNvPr id="0" name="image59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0</xdr:colOff>
      <xdr:row>33</xdr:row>
      <xdr:rowOff>0</xdr:rowOff>
    </xdr:from>
    <xdr:ext cx="342900" cy="171450"/>
    <xdr:pic>
      <xdr:nvPicPr>
        <xdr:cNvPr id="0" name="image6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152</xdr:col>
      <xdr:colOff>0</xdr:colOff>
      <xdr:row>33</xdr:row>
      <xdr:rowOff>0</xdr:rowOff>
    </xdr:from>
    <xdr:ext cx="342900" cy="171450"/>
    <xdr:pic>
      <xdr:nvPicPr>
        <xdr:cNvPr id="0" name="image6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33</xdr:row>
      <xdr:rowOff>0</xdr:rowOff>
    </xdr:from>
    <xdr:ext cx="342900" cy="171450"/>
    <xdr:pic>
      <xdr:nvPicPr>
        <xdr:cNvPr id="0" name="image6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33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314</xdr:col>
      <xdr:colOff>0</xdr:colOff>
      <xdr:row>33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380</xdr:col>
      <xdr:colOff>0</xdr:colOff>
      <xdr:row>33</xdr:row>
      <xdr:rowOff>0</xdr:rowOff>
    </xdr:from>
    <xdr:ext cx="342900" cy="171450"/>
    <xdr:pic>
      <xdr:nvPicPr>
        <xdr:cNvPr id="0" name="image6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404</xdr:col>
      <xdr:colOff>0</xdr:colOff>
      <xdr:row>33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542</xdr:col>
      <xdr:colOff>0</xdr:colOff>
      <xdr:row>33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584</xdr:col>
      <xdr:colOff>0</xdr:colOff>
      <xdr:row>33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590</xdr:col>
      <xdr:colOff>0</xdr:colOff>
      <xdr:row>33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686</xdr:col>
      <xdr:colOff>0</xdr:colOff>
      <xdr:row>33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698</xdr:col>
      <xdr:colOff>0</xdr:colOff>
      <xdr:row>33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34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0</xdr:colOff>
      <xdr:row>34</xdr:row>
      <xdr:rowOff>0</xdr:rowOff>
    </xdr:from>
    <xdr:ext cx="342900" cy="171450"/>
    <xdr:pic>
      <xdr:nvPicPr>
        <xdr:cNvPr id="0" name="image66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104</xdr:col>
      <xdr:colOff>0</xdr:colOff>
      <xdr:row>34</xdr:row>
      <xdr:rowOff>0</xdr:rowOff>
    </xdr:from>
    <xdr:ext cx="342900" cy="171450"/>
    <xdr:pic>
      <xdr:nvPicPr>
        <xdr:cNvPr id="0" name="image63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116</xdr:col>
      <xdr:colOff>0</xdr:colOff>
      <xdr:row>34</xdr:row>
      <xdr:rowOff>0</xdr:rowOff>
    </xdr:from>
    <xdr:ext cx="342900" cy="171450"/>
    <xdr:pic>
      <xdr:nvPicPr>
        <xdr:cNvPr id="0" name="image67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158</xdr:col>
      <xdr:colOff>0</xdr:colOff>
      <xdr:row>34</xdr:row>
      <xdr:rowOff>0</xdr:rowOff>
    </xdr:from>
    <xdr:ext cx="342900" cy="171450"/>
    <xdr:pic>
      <xdr:nvPicPr>
        <xdr:cNvPr id="0" name="image68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164</xdr:col>
      <xdr:colOff>0</xdr:colOff>
      <xdr:row>34</xdr:row>
      <xdr:rowOff>0</xdr:rowOff>
    </xdr:from>
    <xdr:ext cx="342900" cy="171450"/>
    <xdr:pic>
      <xdr:nvPicPr>
        <xdr:cNvPr id="0" name="image6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176</xdr:col>
      <xdr:colOff>0</xdr:colOff>
      <xdr:row>34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206</xdr:col>
      <xdr:colOff>0</xdr:colOff>
      <xdr:row>34</xdr:row>
      <xdr:rowOff>0</xdr:rowOff>
    </xdr:from>
    <xdr:ext cx="342900" cy="171450"/>
    <xdr:pic>
      <xdr:nvPicPr>
        <xdr:cNvPr id="0" name="image67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218</xdr:col>
      <xdr:colOff>0</xdr:colOff>
      <xdr:row>34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260</xdr:col>
      <xdr:colOff>0</xdr:colOff>
      <xdr:row>34</xdr:row>
      <xdr:rowOff>0</xdr:rowOff>
    </xdr:from>
    <xdr:ext cx="342900" cy="171450"/>
    <xdr:pic>
      <xdr:nvPicPr>
        <xdr:cNvPr id="0" name="image6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34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308</xdr:col>
      <xdr:colOff>0</xdr:colOff>
      <xdr:row>34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422</xdr:col>
      <xdr:colOff>0</xdr:colOff>
      <xdr:row>34</xdr:row>
      <xdr:rowOff>0</xdr:rowOff>
    </xdr:from>
    <xdr:ext cx="342900" cy="171450"/>
    <xdr:pic>
      <xdr:nvPicPr>
        <xdr:cNvPr id="0" name="image60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428</xdr:col>
      <xdr:colOff>0</xdr:colOff>
      <xdr:row>34</xdr:row>
      <xdr:rowOff>0</xdr:rowOff>
    </xdr:from>
    <xdr:ext cx="342900" cy="171450"/>
    <xdr:pic>
      <xdr:nvPicPr>
        <xdr:cNvPr id="0" name="image6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488</xdr:col>
      <xdr:colOff>0</xdr:colOff>
      <xdr:row>34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530</xdr:col>
      <xdr:colOff>0</xdr:colOff>
      <xdr:row>34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536</xdr:col>
      <xdr:colOff>0</xdr:colOff>
      <xdr:row>34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34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578</xdr:col>
      <xdr:colOff>0</xdr:colOff>
      <xdr:row>34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596</xdr:col>
      <xdr:colOff>0</xdr:colOff>
      <xdr:row>34</xdr:row>
      <xdr:rowOff>0</xdr:rowOff>
    </xdr:from>
    <xdr:ext cx="342900" cy="171450"/>
    <xdr:pic>
      <xdr:nvPicPr>
        <xdr:cNvPr id="0" name="image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34</xdr:row>
      <xdr:rowOff>0</xdr:rowOff>
    </xdr:from>
    <xdr:ext cx="342900" cy="171450"/>
    <xdr:pic>
      <xdr:nvPicPr>
        <xdr:cNvPr id="0" name="image61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35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0</xdr:colOff>
      <xdr:row>35</xdr:row>
      <xdr:rowOff>0</xdr:rowOff>
    </xdr:from>
    <xdr:ext cx="342900" cy="171450"/>
    <xdr:pic>
      <xdr:nvPicPr>
        <xdr:cNvPr id="0" name="image65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35</xdr:row>
      <xdr:rowOff>0</xdr:rowOff>
    </xdr:from>
    <xdr:ext cx="342900" cy="171450"/>
    <xdr:pic>
      <xdr:nvPicPr>
        <xdr:cNvPr id="0" name="image66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35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194</xdr:col>
      <xdr:colOff>0</xdr:colOff>
      <xdr:row>35</xdr:row>
      <xdr:rowOff>0</xdr:rowOff>
    </xdr:from>
    <xdr:ext cx="342900" cy="171450"/>
    <xdr:pic>
      <xdr:nvPicPr>
        <xdr:cNvPr id="0" name="image62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35</xdr:row>
      <xdr:rowOff>0</xdr:rowOff>
    </xdr:from>
    <xdr:ext cx="342900" cy="171450"/>
    <xdr:pic>
      <xdr:nvPicPr>
        <xdr:cNvPr id="0" name="image63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212</xdr:col>
      <xdr:colOff>0</xdr:colOff>
      <xdr:row>35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332</xdr:col>
      <xdr:colOff>0</xdr:colOff>
      <xdr:row>35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356</xdr:col>
      <xdr:colOff>0</xdr:colOff>
      <xdr:row>35</xdr:row>
      <xdr:rowOff>0</xdr:rowOff>
    </xdr:from>
    <xdr:ext cx="342900" cy="171450"/>
    <xdr:pic>
      <xdr:nvPicPr>
        <xdr:cNvPr id="0" name="image59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368</xdr:col>
      <xdr:colOff>0</xdr:colOff>
      <xdr:row>35</xdr:row>
      <xdr:rowOff>0</xdr:rowOff>
    </xdr:from>
    <xdr:ext cx="342900" cy="171450"/>
    <xdr:pic>
      <xdr:nvPicPr>
        <xdr:cNvPr id="0" name="image6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560</xdr:col>
      <xdr:colOff>0</xdr:colOff>
      <xdr:row>35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572</xdr:col>
      <xdr:colOff>0</xdr:colOff>
      <xdr:row>35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608</xdr:col>
      <xdr:colOff>0</xdr:colOff>
      <xdr:row>35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632</xdr:col>
      <xdr:colOff>0</xdr:colOff>
      <xdr:row>35</xdr:row>
      <xdr:rowOff>0</xdr:rowOff>
    </xdr:from>
    <xdr:ext cx="342900" cy="171450"/>
    <xdr:pic>
      <xdr:nvPicPr>
        <xdr:cNvPr id="0" name="image68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35</xdr:row>
      <xdr:rowOff>0</xdr:rowOff>
    </xdr:from>
    <xdr:ext cx="342900" cy="171450"/>
    <xdr:pic>
      <xdr:nvPicPr>
        <xdr:cNvPr id="0" name="image6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650</xdr:col>
      <xdr:colOff>0</xdr:colOff>
      <xdr:row>35</xdr:row>
      <xdr:rowOff>0</xdr:rowOff>
    </xdr:from>
    <xdr:ext cx="342900" cy="171450"/>
    <xdr:pic>
      <xdr:nvPicPr>
        <xdr:cNvPr id="0" name="image67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656</xdr:col>
      <xdr:colOff>0</xdr:colOff>
      <xdr:row>35</xdr:row>
      <xdr:rowOff>0</xdr:rowOff>
    </xdr:from>
    <xdr:ext cx="342900" cy="171450"/>
    <xdr:pic>
      <xdr:nvPicPr>
        <xdr:cNvPr id="0" name="image62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662</xdr:col>
      <xdr:colOff>0</xdr:colOff>
      <xdr:row>35</xdr:row>
      <xdr:rowOff>0</xdr:rowOff>
    </xdr:from>
    <xdr:ext cx="342900" cy="171450"/>
    <xdr:pic>
      <xdr:nvPicPr>
        <xdr:cNvPr id="0" name="image6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692</xdr:col>
      <xdr:colOff>0</xdr:colOff>
      <xdr:row>35</xdr:row>
      <xdr:rowOff>0</xdr:rowOff>
    </xdr:from>
    <xdr:ext cx="342900" cy="171450"/>
    <xdr:pic>
      <xdr:nvPicPr>
        <xdr:cNvPr id="0" name="image6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35</xdr:row>
      <xdr:rowOff>0</xdr:rowOff>
    </xdr:from>
    <xdr:ext cx="342900" cy="171450"/>
    <xdr:pic>
      <xdr:nvPicPr>
        <xdr:cNvPr id="0" name="image62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</xdr:row>
      <xdr:rowOff>0</xdr:rowOff>
    </xdr:from>
    <xdr:ext cx="342900" cy="171450"/>
    <xdr:pic>
      <xdr:nvPicPr>
        <xdr:cNvPr id="0" name="image59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36</xdr:row>
      <xdr:rowOff>0</xdr:rowOff>
    </xdr:from>
    <xdr:ext cx="342900" cy="171450"/>
    <xdr:pic>
      <xdr:nvPicPr>
        <xdr:cNvPr id="0" name="image6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36</xdr:row>
      <xdr:rowOff>0</xdr:rowOff>
    </xdr:from>
    <xdr:ext cx="342900" cy="171450"/>
    <xdr:pic>
      <xdr:nvPicPr>
        <xdr:cNvPr id="0" name="image6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0</xdr:colOff>
      <xdr:row>36</xdr:row>
      <xdr:rowOff>0</xdr:rowOff>
    </xdr:from>
    <xdr:ext cx="342900" cy="171450"/>
    <xdr:pic>
      <xdr:nvPicPr>
        <xdr:cNvPr id="0" name="image6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146</xdr:col>
      <xdr:colOff>0</xdr:colOff>
      <xdr:row>36</xdr:row>
      <xdr:rowOff>0</xdr:rowOff>
    </xdr:from>
    <xdr:ext cx="342900" cy="171450"/>
    <xdr:pic>
      <xdr:nvPicPr>
        <xdr:cNvPr id="0" name="image65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170</xdr:col>
      <xdr:colOff>0</xdr:colOff>
      <xdr:row>36</xdr:row>
      <xdr:rowOff>0</xdr:rowOff>
    </xdr:from>
    <xdr:ext cx="342900" cy="171450"/>
    <xdr:pic>
      <xdr:nvPicPr>
        <xdr:cNvPr id="0" name="image59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188</xdr:col>
      <xdr:colOff>0</xdr:colOff>
      <xdr:row>36</xdr:row>
      <xdr:rowOff>0</xdr:rowOff>
    </xdr:from>
    <xdr:ext cx="342900" cy="171450"/>
    <xdr:pic>
      <xdr:nvPicPr>
        <xdr:cNvPr id="0" name="image6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0</xdr:colOff>
      <xdr:row>36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0</xdr:colOff>
      <xdr:row>36</xdr:row>
      <xdr:rowOff>0</xdr:rowOff>
    </xdr:from>
    <xdr:ext cx="342900" cy="171450"/>
    <xdr:pic>
      <xdr:nvPicPr>
        <xdr:cNvPr id="0" name="image6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362</xdr:col>
      <xdr:colOff>0</xdr:colOff>
      <xdr:row>36</xdr:row>
      <xdr:rowOff>0</xdr:rowOff>
    </xdr:from>
    <xdr:ext cx="342900" cy="171450"/>
    <xdr:pic>
      <xdr:nvPicPr>
        <xdr:cNvPr id="0" name="image52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374</xdr:col>
      <xdr:colOff>0</xdr:colOff>
      <xdr:row>36</xdr:row>
      <xdr:rowOff>0</xdr:rowOff>
    </xdr:from>
    <xdr:ext cx="342900" cy="171450"/>
    <xdr:pic>
      <xdr:nvPicPr>
        <xdr:cNvPr id="0" name="image64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482</xdr:col>
      <xdr:colOff>0</xdr:colOff>
      <xdr:row>36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518</xdr:col>
      <xdr:colOff>0</xdr:colOff>
      <xdr:row>36</xdr:row>
      <xdr:rowOff>0</xdr:rowOff>
    </xdr:from>
    <xdr:ext cx="342900" cy="171450"/>
    <xdr:pic>
      <xdr:nvPicPr>
        <xdr:cNvPr id="0" name="image5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566</xdr:col>
      <xdr:colOff>0</xdr:colOff>
      <xdr:row>36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590</xdr:col>
      <xdr:colOff>0</xdr:colOff>
      <xdr:row>36</xdr:row>
      <xdr:rowOff>0</xdr:rowOff>
    </xdr:from>
    <xdr:ext cx="342900" cy="171450"/>
    <xdr:pic>
      <xdr:nvPicPr>
        <xdr:cNvPr id="0" name="image58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620</xdr:col>
      <xdr:colOff>0</xdr:colOff>
      <xdr:row>36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638</xdr:col>
      <xdr:colOff>0</xdr:colOff>
      <xdr:row>36</xdr:row>
      <xdr:rowOff>0</xdr:rowOff>
    </xdr:from>
    <xdr:ext cx="342900" cy="171450"/>
    <xdr:pic>
      <xdr:nvPicPr>
        <xdr:cNvPr id="0" name="image62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36</xdr:row>
      <xdr:rowOff>0</xdr:rowOff>
    </xdr:from>
    <xdr:ext cx="342900" cy="171450"/>
    <xdr:pic>
      <xdr:nvPicPr>
        <xdr:cNvPr id="0" name="image5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668</xdr:col>
      <xdr:colOff>0</xdr:colOff>
      <xdr:row>36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680</xdr:col>
      <xdr:colOff>0</xdr:colOff>
      <xdr:row>36</xdr:row>
      <xdr:rowOff>0</xdr:rowOff>
    </xdr:from>
    <xdr:ext cx="342900" cy="171450"/>
    <xdr:pic>
      <xdr:nvPicPr>
        <xdr:cNvPr id="0" name="image5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752</xdr:col>
      <xdr:colOff>0</xdr:colOff>
      <xdr:row>36</xdr:row>
      <xdr:rowOff>0</xdr:rowOff>
    </xdr:from>
    <xdr:ext cx="342900" cy="171450"/>
    <xdr:pic>
      <xdr:nvPicPr>
        <xdr:cNvPr id="0" name="image61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37</xdr:row>
      <xdr:rowOff>0</xdr:rowOff>
    </xdr:from>
    <xdr:ext cx="342900" cy="171450"/>
    <xdr:pic>
      <xdr:nvPicPr>
        <xdr:cNvPr id="0" name="image60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164</xdr:col>
      <xdr:colOff>0</xdr:colOff>
      <xdr:row>37</xdr:row>
      <xdr:rowOff>0</xdr:rowOff>
    </xdr:from>
    <xdr:ext cx="342900" cy="171450"/>
    <xdr:pic>
      <xdr:nvPicPr>
        <xdr:cNvPr id="0" name="image60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290</xdr:col>
      <xdr:colOff>0</xdr:colOff>
      <xdr:row>37</xdr:row>
      <xdr:rowOff>0</xdr:rowOff>
    </xdr:from>
    <xdr:ext cx="342900" cy="171450"/>
    <xdr:pic>
      <xdr:nvPicPr>
        <xdr:cNvPr id="0" name="image58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386</xdr:col>
      <xdr:colOff>0</xdr:colOff>
      <xdr:row>37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494</xdr:col>
      <xdr:colOff>0</xdr:colOff>
      <xdr:row>37</xdr:row>
      <xdr:rowOff>0</xdr:rowOff>
    </xdr:from>
    <xdr:ext cx="342900" cy="171450"/>
    <xdr:pic>
      <xdr:nvPicPr>
        <xdr:cNvPr id="0" name="image64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554</xdr:col>
      <xdr:colOff>0</xdr:colOff>
      <xdr:row>37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37</xdr:row>
      <xdr:rowOff>0</xdr:rowOff>
    </xdr:from>
    <xdr:ext cx="342900" cy="171450"/>
    <xdr:pic>
      <xdr:nvPicPr>
        <xdr:cNvPr id="0" name="image6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674</xdr:col>
      <xdr:colOff>0</xdr:colOff>
      <xdr:row>37</xdr:row>
      <xdr:rowOff>0</xdr:rowOff>
    </xdr:from>
    <xdr:ext cx="342900" cy="171450"/>
    <xdr:pic>
      <xdr:nvPicPr>
        <xdr:cNvPr id="0" name="image6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92</xdr:col>
      <xdr:colOff>0</xdr:colOff>
      <xdr:row>38</xdr:row>
      <xdr:rowOff>0</xdr:rowOff>
    </xdr:from>
    <xdr:ext cx="342900" cy="171450"/>
    <xdr:pic>
      <xdr:nvPicPr>
        <xdr:cNvPr id="0" name="image58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38</xdr:row>
      <xdr:rowOff>0</xdr:rowOff>
    </xdr:from>
    <xdr:ext cx="342900" cy="171450"/>
    <xdr:pic>
      <xdr:nvPicPr>
        <xdr:cNvPr id="0" name="image6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38</xdr:row>
      <xdr:rowOff>0</xdr:rowOff>
    </xdr:from>
    <xdr:ext cx="342900" cy="19050"/>
    <xdr:pic>
      <xdr:nvPicPr>
        <xdr:cNvPr id="0" name="image683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644</xdr:col>
      <xdr:colOff>0</xdr:colOff>
      <xdr:row>38</xdr:row>
      <xdr:rowOff>0</xdr:rowOff>
    </xdr:from>
    <xdr:ext cx="342900" cy="171450"/>
    <xdr:pic>
      <xdr:nvPicPr>
        <xdr:cNvPr id="0" name="image5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39</xdr:row>
      <xdr:rowOff>0</xdr:rowOff>
    </xdr:from>
    <xdr:ext cx="342900" cy="171450"/>
    <xdr:pic>
      <xdr:nvPicPr>
        <xdr:cNvPr id="0" name="image58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320</xdr:col>
      <xdr:colOff>0</xdr:colOff>
      <xdr:row>39</xdr:row>
      <xdr:rowOff>0</xdr:rowOff>
    </xdr:from>
    <xdr:ext cx="342900" cy="19050"/>
    <xdr:pic>
      <xdr:nvPicPr>
        <xdr:cNvPr id="0" name="image681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93</xdr:col>
      <xdr:colOff>0</xdr:colOff>
      <xdr:row>1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0</xdr:colOff>
      <xdr:row>1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109</xdr:col>
      <xdr:colOff>0</xdr:colOff>
      <xdr:row>1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117</xdr:col>
      <xdr:colOff>0</xdr:colOff>
      <xdr:row>1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4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208</xdr:col>
      <xdr:colOff>0</xdr:colOff>
      <xdr:row>4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216</xdr:col>
      <xdr:colOff>0</xdr:colOff>
      <xdr:row>4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4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232</xdr:col>
      <xdr:colOff>0</xdr:colOff>
      <xdr:row>4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240</xdr:col>
      <xdr:colOff>0</xdr:colOff>
      <xdr:row>4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248</xdr:col>
      <xdr:colOff>0</xdr:colOff>
      <xdr:row>4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256</xdr:col>
      <xdr:colOff>0</xdr:colOff>
      <xdr:row>4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93</xdr:col>
      <xdr:colOff>0</xdr:colOff>
      <xdr:row>16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101</xdr:col>
      <xdr:colOff>0</xdr:colOff>
      <xdr:row>16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109</xdr:col>
      <xdr:colOff>0</xdr:colOff>
      <xdr:row>16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117</xdr:col>
      <xdr:colOff>0</xdr:colOff>
      <xdr:row>16</xdr:row>
      <xdr:rowOff>0</xdr:rowOff>
    </xdr:from>
    <xdr:ext cx="200025" cy="200025"/>
    <xdr:pic>
      <xdr:nvPicPr>
        <xdr:cNvPr id="0" name="image68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200</xdr:col>
      <xdr:colOff>0</xdr:colOff>
      <xdr:row>19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208</xdr:col>
      <xdr:colOff>0</xdr:colOff>
      <xdr:row>19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216</xdr:col>
      <xdr:colOff>0</xdr:colOff>
      <xdr:row>19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224</xdr:col>
      <xdr:colOff>0</xdr:colOff>
      <xdr:row>19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232</xdr:col>
      <xdr:colOff>0</xdr:colOff>
      <xdr:row>19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240</xdr:col>
      <xdr:colOff>0</xdr:colOff>
      <xdr:row>19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248</xdr:col>
      <xdr:colOff>0</xdr:colOff>
      <xdr:row>19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256</xdr:col>
      <xdr:colOff>0</xdr:colOff>
      <xdr:row>19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11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11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95275" cy="152400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13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95275" cy="152400"/>
    <xdr:pic>
      <xdr:nvPicPr>
        <xdr:cNvPr id="0" name="image4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14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15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17</xdr:row>
      <xdr:rowOff>0</xdr:rowOff>
    </xdr:from>
    <xdr:ext cx="342900" cy="171450"/>
    <xdr:pic>
      <xdr:nvPicPr>
        <xdr:cNvPr id="0" name="image6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19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19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19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19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95275" cy="152400"/>
    <xdr:pic>
      <xdr:nvPicPr>
        <xdr:cNvPr id="0" name="image5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95275" cy="152400"/>
    <xdr:pic>
      <xdr:nvPicPr>
        <xdr:cNvPr id="0" name="image53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21</xdr:row>
      <xdr:rowOff>0</xdr:rowOff>
    </xdr:from>
    <xdr:ext cx="342900" cy="171450"/>
    <xdr:pic>
      <xdr:nvPicPr>
        <xdr:cNvPr id="0" name="image68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25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25</xdr:row>
      <xdr:rowOff>0</xdr:rowOff>
    </xdr:from>
    <xdr:ext cx="342900" cy="171450"/>
    <xdr:pic>
      <xdr:nvPicPr>
        <xdr:cNvPr id="0" name="image6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95275" cy="152400"/>
    <xdr:pic>
      <xdr:nvPicPr>
        <xdr:cNvPr id="0" name="image42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27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27</xdr:row>
      <xdr:rowOff>0</xdr:rowOff>
    </xdr:from>
    <xdr:ext cx="342900" cy="171450"/>
    <xdr:pic>
      <xdr:nvPicPr>
        <xdr:cNvPr id="0" name="image6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95275" cy="152400"/>
    <xdr:pic>
      <xdr:nvPicPr>
        <xdr:cNvPr id="0" name="image53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29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29</xdr:row>
      <xdr:rowOff>0</xdr:rowOff>
    </xdr:from>
    <xdr:ext cx="342900" cy="171450"/>
    <xdr:pic>
      <xdr:nvPicPr>
        <xdr:cNvPr id="0" name="image6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30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30</xdr:row>
      <xdr:rowOff>0</xdr:rowOff>
    </xdr:from>
    <xdr:ext cx="342900" cy="171450"/>
    <xdr:pic>
      <xdr:nvPicPr>
        <xdr:cNvPr id="0" name="image5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33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33</xdr:row>
      <xdr:rowOff>0</xdr:rowOff>
    </xdr:from>
    <xdr:ext cx="342900" cy="171450"/>
    <xdr:pic>
      <xdr:nvPicPr>
        <xdr:cNvPr id="0" name="image6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95275" cy="152400"/>
    <xdr:pic>
      <xdr:nvPicPr>
        <xdr:cNvPr id="0" name="image18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Y1:CZ506" displayName="Table_1" name="Table_1" id="1">
  <tableColumns count="2">
    <tableColumn name="Column1" id="1"/>
    <tableColumn name="Column2" id="2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DG252:DH389" displayName="Table_2" name="Table_2" id="2">
  <tableColumns count="2">
    <tableColumn name="Column1" id="1"/>
    <tableColumn name="Column2" id="2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DG390:DH506" displayName="Table_3" name="Table_3" id="3">
  <tableColumns count="2">
    <tableColumn name="Column1" id="1"/>
    <tableColumn name="Column2" id="2"/>
  </tableColumns>
  <tableStyleInfo name="data-style 3" showColumnStripes="0" showFirstColumn="1" showLastColumn="1" showRowStripes="1"/>
</table>
</file>

<file path=xl/tables/table4.xml><?xml version="1.0" encoding="utf-8"?>
<table xmlns="http://schemas.openxmlformats.org/spreadsheetml/2006/main" ref="BD4:BD508" displayName="Table_4" name="Table_4" id="4">
  <tableColumns count="1">
    <tableColumn name="중간느림" id="1"/>
  </tableColumns>
  <tableStyleInfo name="STATS-style" showColumnStripes="0" showFirstColumn="1" showLastColumn="1" showRowStripes="1"/>
</table>
</file>

<file path=xl/tables/table5.xml><?xml version="1.0" encoding="utf-8"?>
<table xmlns="http://schemas.openxmlformats.org/spreadsheetml/2006/main" xmlns:ns1="http://customooxmlschemas.google.com/" headerRowCount="0" ref="BI4:BI508" displayName="Table_5" name="Table_5" id="5">
  <tableColumns count="1">
    <tableColumn name="Column1" id="1"/>
  </tableColumns>
  <tableStyleInfo name="STATS-style 2" showColumnStripes="0" showFirstColumn="1" showLastColumn="1" showRowStripes="1"/>
  <extLst>
    <ext uri="GoogleSheetsCustomDataVersion1">
      <ns1:sheetsCustomData headerRowCount="1"/>
    </ext>
  </extLst>
</table>
</file>

<file path=xl/tables/table6.xml><?xml version="1.0" encoding="utf-8"?>
<table xmlns="http://schemas.openxmlformats.org/spreadsheetml/2006/main" ref="BJ4:BJ83" displayName="Table_6" name="Table_6" id="6">
  <tableColumns count="1">
    <tableColumn name="87.5%" id="1"/>
  </tableColumns>
  <tableStyleInfo name="STATS-style 3" showColumnStripes="0" showFirstColumn="1" showLastColumn="1" showRowStripes="1"/>
</table>
</file>

<file path=xl/tables/table7.xml><?xml version="1.0" encoding="utf-8"?>
<table xmlns="http://schemas.openxmlformats.org/spreadsheetml/2006/main" xmlns:ns1="http://customooxmlschemas.google.com/" headerRowCount="0" ref="BK4:BK83" displayName="Table_7" name="Table_7" id="7">
  <tableColumns count="1">
    <tableColumn name="Column1" id="1"/>
  </tableColumns>
  <tableStyleInfo name="STATS-style 4" showColumnStripes="0" showFirstColumn="1" showLastColumn="1" showRowStripes="1"/>
  <extLst>
    <ext uri="GoogleSheetsCustomDataVersion1">
      <ns1:sheetsCustomData headerRowCount="1"/>
    </ext>
  </extLst>
</table>
</file>

<file path=xl/tables/table8.xml><?xml version="1.0" encoding="utf-8"?>
<table xmlns="http://schemas.openxmlformats.org/spreadsheetml/2006/main" xmlns:ns1="http://customooxmlschemas.google.com/" headerRowCount="0" ref="BM4:BS508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TATS-style 5" showColumnStripes="0" showFirstColumn="1" showLastColumn="1" showRowStripes="1"/>
  <extLst>
    <ext uri="GoogleSheetsCustomDataVersion1">
      <ns1:sheetsCustomData headerRowCount="1"/>
    </ext>
  </extLst>
</table>
</file>

<file path=xl/tables/table9.xml><?xml version="1.0" encoding="utf-8"?>
<table xmlns="http://schemas.openxmlformats.org/spreadsheetml/2006/main" ref="BJ86:BJ122" displayName="Table_9" name="Table_9" id="9">
  <tableColumns count="1">
    <tableColumn name="50,00 %" id="1"/>
  </tableColumns>
  <tableStyleInfo name="STATS-style 6" showColumnStripes="0" showFirstColumn="1" showLastColumn="1" showRowStripes="1"/>
</table>
</file>

<file path=xl/tables/table10.xml><?xml version="1.0" encoding="utf-8"?>
<table xmlns="http://schemas.openxmlformats.org/spreadsheetml/2006/main" ref="BK86:BK122" displayName="Table_10" name="Table_10" id="10">
  <tableColumns count="1">
    <tableColumn name="50,00 %" id="1"/>
  </tableColumns>
  <tableStyleInfo name="STATS-style 7" showColumnStripes="0" showFirstColumn="1" showLastColumn="1" showRowStripes="1"/>
</table>
</file>

<file path=xl/tables/table11.xml><?xml version="1.0" encoding="utf-8"?>
<table xmlns="http://schemas.openxmlformats.org/spreadsheetml/2006/main" ref="BJ125:BJ134" displayName="Table_11" name="Table_11" id="11">
  <tableColumns count="1">
    <tableColumn name="50,00 %" id="1"/>
  </tableColumns>
  <tableStyleInfo name="STATS-style 8" showColumnStripes="0" showFirstColumn="1" showLastColumn="1" showRowStripes="1"/>
</table>
</file>

<file path=xl/tables/table12.xml><?xml version="1.0" encoding="utf-8"?>
<table xmlns="http://schemas.openxmlformats.org/spreadsheetml/2006/main" ref="BK125:BK134" displayName="Table_12" name="Table_12" id="12">
  <tableColumns count="1">
    <tableColumn name="50,00 %" id="1"/>
  </tableColumns>
  <tableStyleInfo name="STATS-style 9" showColumnStripes="0" showFirstColumn="1" showLastColumn="1" showRowStripes="1"/>
</table>
</file>

<file path=xl/tables/table13.xml><?xml version="1.0" encoding="utf-8"?>
<table xmlns="http://schemas.openxmlformats.org/spreadsheetml/2006/main" ref="BJ136:BJ139" displayName="Table_13" name="Table_13" id="13">
  <tableColumns count="1">
    <tableColumn name="87.5%" id="1"/>
  </tableColumns>
  <tableStyleInfo name="STATS-style 10" showColumnStripes="0" showFirstColumn="1" showLastColumn="1" showRowStripes="1"/>
</table>
</file>

<file path=xl/tables/table14.xml><?xml version="1.0" encoding="utf-8"?>
<table xmlns="http://schemas.openxmlformats.org/spreadsheetml/2006/main" ref="BJ141:BJ146" displayName="Table_14" name="Table_14" id="14">
  <tableColumns count="1">
    <tableColumn name="87.5%" id="1"/>
  </tableColumns>
  <tableStyleInfo name="STATS-style 11" showColumnStripes="0" showFirstColumn="1" showLastColumn="1" showRowStripes="1"/>
</table>
</file>

<file path=xl/tables/table15.xml><?xml version="1.0" encoding="utf-8"?>
<table xmlns="http://schemas.openxmlformats.org/spreadsheetml/2006/main" ref="BJ155:BJ203" displayName="Table_15" name="Table_15" id="15">
  <tableColumns count="1">
    <tableColumn name="87.5%" id="1"/>
  </tableColumns>
  <tableStyleInfo name="STATS-style 12" showColumnStripes="0" showFirstColumn="1" showLastColumn="1" showRowStripes="1"/>
</table>
</file>

<file path=xl/tables/table16.xml><?xml version="1.0" encoding="utf-8"?>
<table xmlns="http://schemas.openxmlformats.org/spreadsheetml/2006/main" xmlns:ns1="http://customooxmlschemas.google.com/" headerRowCount="0" ref="BK155:BK203" displayName="Table_16" name="Table_16" id="16">
  <tableColumns count="1">
    <tableColumn name="Column1" id="1"/>
  </tableColumns>
  <tableStyleInfo name="STATS-style 13" showColumnStripes="0" showFirstColumn="1" showLastColumn="1" showRowStripes="1"/>
  <extLst>
    <ext uri="GoogleSheetsCustomDataVersion1">
      <ns1:sheetsCustomData headerRowCount="1"/>
    </ext>
  </extLst>
</table>
</file>

<file path=xl/tables/table17.xml><?xml version="1.0" encoding="utf-8"?>
<table xmlns="http://schemas.openxmlformats.org/spreadsheetml/2006/main" ref="BJ205:BJ235" displayName="Table_17" name="Table_17" id="17">
  <tableColumns count="1">
    <tableColumn name="50,00 %" id="1"/>
  </tableColumns>
  <tableStyleInfo name="STATS-style 14" showColumnStripes="0" showFirstColumn="1" showLastColumn="1" showRowStripes="1"/>
</table>
</file>

<file path=xl/tables/table18.xml><?xml version="1.0" encoding="utf-8"?>
<table xmlns="http://schemas.openxmlformats.org/spreadsheetml/2006/main" ref="BK205:BK235" displayName="Table_18" name="Table_18" id="18">
  <tableColumns count="1">
    <tableColumn name="50,00 %" id="1"/>
  </tableColumns>
  <tableStyleInfo name="STATS-style 15" showColumnStripes="0" showFirstColumn="1" showLastColumn="1" showRowStripes="1"/>
</table>
</file>

<file path=xl/tables/table19.xml><?xml version="1.0" encoding="utf-8"?>
<table xmlns="http://schemas.openxmlformats.org/spreadsheetml/2006/main" ref="BJ237:BJ245" displayName="Table_19" name="Table_19" id="19">
  <tableColumns count="1">
    <tableColumn name="50,00 %" id="1"/>
  </tableColumns>
  <tableStyleInfo name="STATS-style 16" showColumnStripes="0" showFirstColumn="1" showLastColumn="1" showRowStripes="1"/>
</table>
</file>

<file path=xl/tables/table20.xml><?xml version="1.0" encoding="utf-8"?>
<table xmlns="http://schemas.openxmlformats.org/spreadsheetml/2006/main" ref="BK237:BK245" displayName="Table_20" name="Table_20" id="20">
  <tableColumns count="1">
    <tableColumn name="50,00 %" id="1"/>
  </tableColumns>
  <tableStyleInfo name="STATS-style 17" showColumnStripes="0" showFirstColumn="1" showLastColumn="1" showRowStripes="1"/>
</table>
</file>

<file path=xl/tables/table21.xml><?xml version="1.0" encoding="utf-8"?>
<table xmlns="http://schemas.openxmlformats.org/spreadsheetml/2006/main" ref="BJ255:BJ294" displayName="Table_21" name="Table_21" id="21">
  <tableColumns count="1">
    <tableColumn name="87.5%" id="1"/>
  </tableColumns>
  <tableStyleInfo name="STATS-style 18" showColumnStripes="0" showFirstColumn="1" showLastColumn="1" showRowStripes="1"/>
</table>
</file>

<file path=xl/tables/table22.xml><?xml version="1.0" encoding="utf-8"?>
<table xmlns="http://schemas.openxmlformats.org/spreadsheetml/2006/main" xmlns:ns1="http://customooxmlschemas.google.com/" headerRowCount="0" ref="BK255:BK294" displayName="Table_22" name="Table_22" id="22">
  <tableColumns count="1">
    <tableColumn name="Column1" id="1"/>
  </tableColumns>
  <tableStyleInfo name="STATS-style 19" showColumnStripes="0" showFirstColumn="1" showLastColumn="1" showRowStripes="1"/>
  <extLst>
    <ext uri="GoogleSheetsCustomDataVersion1">
      <ns1:sheetsCustomData headerRowCount="1"/>
    </ext>
  </extLst>
</table>
</file>

<file path=xl/tables/table23.xml><?xml version="1.0" encoding="utf-8"?>
<table xmlns="http://schemas.openxmlformats.org/spreadsheetml/2006/main" ref="BJ296:BJ339" displayName="Table_23" name="Table_23" id="23">
  <tableColumns count="1">
    <tableColumn name="50,00 %" id="1"/>
  </tableColumns>
  <tableStyleInfo name="STATS-style 20" showColumnStripes="0" showFirstColumn="1" showLastColumn="1" showRowStripes="1"/>
</table>
</file>

<file path=xl/tables/table24.xml><?xml version="1.0" encoding="utf-8"?>
<table xmlns="http://schemas.openxmlformats.org/spreadsheetml/2006/main" ref="BK296:BK339" displayName="Table_24" name="Table_24" id="24">
  <tableColumns count="1">
    <tableColumn name="50,00 %" id="1"/>
  </tableColumns>
  <tableStyleInfo name="STATS-style 21" showColumnStripes="0" showFirstColumn="1" showLastColumn="1" showRowStripes="1"/>
</table>
</file>

<file path=xl/tables/table25.xml><?xml version="1.0" encoding="utf-8"?>
<table xmlns="http://schemas.openxmlformats.org/spreadsheetml/2006/main" ref="BJ348:BJ376" displayName="Table_25" name="Table_25" id="25">
  <tableColumns count="1">
    <tableColumn name="87.5%" id="1"/>
  </tableColumns>
  <tableStyleInfo name="STATS-style 22" showColumnStripes="0" showFirstColumn="1" showLastColumn="1" showRowStripes="1"/>
</table>
</file>

<file path=xl/tables/table26.xml><?xml version="1.0" encoding="utf-8"?>
<table xmlns="http://schemas.openxmlformats.org/spreadsheetml/2006/main" xmlns:ns1="http://customooxmlschemas.google.com/" headerRowCount="0" ref="BK348:BK376" displayName="Table_26" name="Table_26" id="26">
  <tableColumns count="1">
    <tableColumn name="Column1" id="1"/>
  </tableColumns>
  <tableStyleInfo name="STATS-style 23" showColumnStripes="0" showFirstColumn="1" showLastColumn="1" showRowStripes="1"/>
  <extLst>
    <ext uri="GoogleSheetsCustomDataVersion1">
      <ns1:sheetsCustomData headerRowCount="1"/>
    </ext>
  </extLst>
</table>
</file>

<file path=xl/tables/table27.xml><?xml version="1.0" encoding="utf-8"?>
<table xmlns="http://schemas.openxmlformats.org/spreadsheetml/2006/main" ref="BJ393:BJ443" displayName="Table_27" name="Table_27" id="27">
  <tableColumns count="1">
    <tableColumn name="87.5%" id="1"/>
  </tableColumns>
  <tableStyleInfo name="STATS-style 24" showColumnStripes="0" showFirstColumn="1" showLastColumn="1" showRowStripes="1"/>
</table>
</file>

<file path=xl/tables/table28.xml><?xml version="1.0" encoding="utf-8"?>
<table xmlns="http://schemas.openxmlformats.org/spreadsheetml/2006/main" xmlns:ns1="http://customooxmlschemas.google.com/" headerRowCount="0" ref="BK393:BK443" displayName="Table_28" name="Table_28" id="28">
  <tableColumns count="1">
    <tableColumn name="Column1" id="1"/>
  </tableColumns>
  <tableStyleInfo name="STATS-style 25" showColumnStripes="0" showFirstColumn="1" showLastColumn="1" showRowStripes="1"/>
  <extLst>
    <ext uri="GoogleSheetsCustomDataVersion1">
      <ns1:sheetsCustomData headerRowCount="1"/>
    </ext>
  </extLst>
</table>
</file>

<file path=xl/tables/table29.xml><?xml version="1.0" encoding="utf-8"?>
<table xmlns="http://schemas.openxmlformats.org/spreadsheetml/2006/main" ref="BJ446:BJ469" displayName="Table_29" name="Table_29" id="29">
  <tableColumns count="1">
    <tableColumn name="50,00 %" id="1"/>
  </tableColumns>
  <tableStyleInfo name="STATS-style 26" showColumnStripes="0" showFirstColumn="1" showLastColumn="1" showRowStripes="1"/>
</table>
</file>

<file path=xl/tables/table30.xml><?xml version="1.0" encoding="utf-8"?>
<table xmlns="http://schemas.openxmlformats.org/spreadsheetml/2006/main" ref="BK446:BK469" displayName="Table_30" name="Table_30" id="30">
  <tableColumns count="1">
    <tableColumn name="50,00 %" id="1"/>
  </tableColumns>
  <tableStyleInfo name="STATS-style 27" showColumnStripes="0" showFirstColumn="1" showLastColumn="1" showRowStripes="1"/>
</table>
</file>

<file path=xl/tables/table31.xml><?xml version="1.0" encoding="utf-8"?>
<table xmlns="http://schemas.openxmlformats.org/spreadsheetml/2006/main" ref="BJ471:BJ481" displayName="Table_31" name="Table_31" id="31">
  <tableColumns count="1">
    <tableColumn name="50,00 %" id="1"/>
  </tableColumns>
  <tableStyleInfo name="STATS-style 28" showColumnStripes="0" showFirstColumn="1" showLastColumn="1" showRowStripes="1"/>
</table>
</file>

<file path=xl/tables/table32.xml><?xml version="1.0" encoding="utf-8"?>
<table xmlns="http://schemas.openxmlformats.org/spreadsheetml/2006/main" ref="BK471:BK481" displayName="Table_32" name="Table_32" id="32">
  <tableColumns count="1">
    <tableColumn name="50,00 %" id="1"/>
  </tableColumns>
  <tableStyleInfo name="STATS-style 2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s.bulbagarden.net/media/upload/9/92/190MS6.png" TargetMode="External"/><Relationship Id="rId194" Type="http://schemas.openxmlformats.org/officeDocument/2006/relationships/hyperlink" Target="https://archives.bulbagarden.net/media/upload/7/70/194MS6.png" TargetMode="External"/><Relationship Id="rId193" Type="http://schemas.openxmlformats.org/officeDocument/2006/relationships/hyperlink" Target="https://archives.bulbagarden.net/media/upload/1/1c/193MS6.png" TargetMode="External"/><Relationship Id="rId192" Type="http://schemas.openxmlformats.org/officeDocument/2006/relationships/hyperlink" Target="https://archives.bulbagarden.net/media/upload/8/89/192MS6.png" TargetMode="External"/><Relationship Id="rId191" Type="http://schemas.openxmlformats.org/officeDocument/2006/relationships/hyperlink" Target="https://archives.bulbagarden.net/media/upload/b/b6/191MS6.png" TargetMode="External"/><Relationship Id="rId187" Type="http://schemas.openxmlformats.org/officeDocument/2006/relationships/hyperlink" Target="https://archives.bulbagarden.net/media/upload/b/b3/187MS6.png" TargetMode="External"/><Relationship Id="rId186" Type="http://schemas.openxmlformats.org/officeDocument/2006/relationships/hyperlink" Target="https://archives.bulbagarden.net/media/upload/8/8c/186MS6.png" TargetMode="External"/><Relationship Id="rId185" Type="http://schemas.openxmlformats.org/officeDocument/2006/relationships/hyperlink" Target="https://archives.bulbagarden.net/media/upload/8/82/185MS6.png" TargetMode="External"/><Relationship Id="rId184" Type="http://schemas.openxmlformats.org/officeDocument/2006/relationships/hyperlink" Target="https://archives.bulbagarden.net/media/upload/c/c3/184MS6.png" TargetMode="External"/><Relationship Id="rId189" Type="http://schemas.openxmlformats.org/officeDocument/2006/relationships/hyperlink" Target="https://archives.bulbagarden.net/media/upload/5/5b/189MS6.png" TargetMode="External"/><Relationship Id="rId188" Type="http://schemas.openxmlformats.org/officeDocument/2006/relationships/hyperlink" Target="https://archives.bulbagarden.net/media/upload/d/d4/188MS6.png" TargetMode="External"/><Relationship Id="rId183" Type="http://schemas.openxmlformats.org/officeDocument/2006/relationships/hyperlink" Target="https://archives.bulbagarden.net/media/upload/d/d7/183MS6.png" TargetMode="External"/><Relationship Id="rId182" Type="http://schemas.openxmlformats.org/officeDocument/2006/relationships/hyperlink" Target="https://archives.bulbagarden.net/media/upload/7/75/182MS6.png" TargetMode="External"/><Relationship Id="rId181" Type="http://schemas.openxmlformats.org/officeDocument/2006/relationships/hyperlink" Target="https://archives.bulbagarden.net/media/upload/8/89/181MS6.png" TargetMode="External"/><Relationship Id="rId180" Type="http://schemas.openxmlformats.org/officeDocument/2006/relationships/hyperlink" Target="https://archives.bulbagarden.net/media/upload/e/eb/180MS6.png" TargetMode="External"/><Relationship Id="rId176" Type="http://schemas.openxmlformats.org/officeDocument/2006/relationships/hyperlink" Target="https://archives.bulbagarden.net/media/upload/0/0a/176MS6.png" TargetMode="External"/><Relationship Id="rId297" Type="http://schemas.openxmlformats.org/officeDocument/2006/relationships/hyperlink" Target="https://archives.bulbagarden.net/media/upload/6/63/297MS6.png" TargetMode="External"/><Relationship Id="rId175" Type="http://schemas.openxmlformats.org/officeDocument/2006/relationships/hyperlink" Target="https://archives.bulbagarden.net/media/upload/d/d1/175MS6.png" TargetMode="External"/><Relationship Id="rId296" Type="http://schemas.openxmlformats.org/officeDocument/2006/relationships/hyperlink" Target="https://archives.bulbagarden.net/media/upload/d/d9/296MS6.png" TargetMode="External"/><Relationship Id="rId174" Type="http://schemas.openxmlformats.org/officeDocument/2006/relationships/hyperlink" Target="https://archives.bulbagarden.net/media/upload/5/59/174MS6.png" TargetMode="External"/><Relationship Id="rId295" Type="http://schemas.openxmlformats.org/officeDocument/2006/relationships/hyperlink" Target="https://archives.bulbagarden.net/media/upload/d/dc/295MS6.png" TargetMode="External"/><Relationship Id="rId173" Type="http://schemas.openxmlformats.org/officeDocument/2006/relationships/hyperlink" Target="https://archives.bulbagarden.net/media/upload/9/9c/173MS6.png" TargetMode="External"/><Relationship Id="rId294" Type="http://schemas.openxmlformats.org/officeDocument/2006/relationships/hyperlink" Target="https://archives.bulbagarden.net/media/upload/1/1d/294MS6.png" TargetMode="External"/><Relationship Id="rId179" Type="http://schemas.openxmlformats.org/officeDocument/2006/relationships/hyperlink" Target="https://archives.bulbagarden.net/media/upload/e/e8/179MS6.png" TargetMode="External"/><Relationship Id="rId178" Type="http://schemas.openxmlformats.org/officeDocument/2006/relationships/hyperlink" Target="https://archives.bulbagarden.net/media/upload/d/d2/178MS6.png" TargetMode="External"/><Relationship Id="rId299" Type="http://schemas.openxmlformats.org/officeDocument/2006/relationships/hyperlink" Target="https://archives.bulbagarden.net/media/upload/6/65/299MS6.png" TargetMode="External"/><Relationship Id="rId177" Type="http://schemas.openxmlformats.org/officeDocument/2006/relationships/hyperlink" Target="https://archives.bulbagarden.net/media/upload/0/0b/177MS6.png" TargetMode="External"/><Relationship Id="rId298" Type="http://schemas.openxmlformats.org/officeDocument/2006/relationships/hyperlink" Target="https://archives.bulbagarden.net/media/upload/b/b2/298MS6.png" TargetMode="External"/><Relationship Id="rId198" Type="http://schemas.openxmlformats.org/officeDocument/2006/relationships/hyperlink" Target="https://archives.bulbagarden.net/media/upload/4/4f/198MS6.png" TargetMode="External"/><Relationship Id="rId197" Type="http://schemas.openxmlformats.org/officeDocument/2006/relationships/hyperlink" Target="https://archives.bulbagarden.net/media/upload/c/cf/197MS6.png" TargetMode="External"/><Relationship Id="rId196" Type="http://schemas.openxmlformats.org/officeDocument/2006/relationships/hyperlink" Target="https://archives.bulbagarden.net/media/upload/6/65/196MS6.png" TargetMode="External"/><Relationship Id="rId195" Type="http://schemas.openxmlformats.org/officeDocument/2006/relationships/hyperlink" Target="https://archives.bulbagarden.net/media/upload/9/9d/195MS6.png" TargetMode="External"/><Relationship Id="rId199" Type="http://schemas.openxmlformats.org/officeDocument/2006/relationships/hyperlink" Target="https://archives.bulbagarden.net/media/upload/b/bb/199MS6.png" TargetMode="External"/><Relationship Id="rId150" Type="http://schemas.openxmlformats.org/officeDocument/2006/relationships/hyperlink" Target="https://archives.bulbagarden.net/media/upload/0/00/150MS6.png" TargetMode="External"/><Relationship Id="rId271" Type="http://schemas.openxmlformats.org/officeDocument/2006/relationships/hyperlink" Target="https://archives.bulbagarden.net/media/upload/3/3e/271MS6.png" TargetMode="External"/><Relationship Id="rId392" Type="http://schemas.openxmlformats.org/officeDocument/2006/relationships/hyperlink" Target="https://archives.bulbagarden.net/media/upload/6/61/389MS6.png" TargetMode="External"/><Relationship Id="rId270" Type="http://schemas.openxmlformats.org/officeDocument/2006/relationships/hyperlink" Target="https://archives.bulbagarden.net/media/upload/1/18/270MS6.png" TargetMode="External"/><Relationship Id="rId391" Type="http://schemas.openxmlformats.org/officeDocument/2006/relationships/hyperlink" Target="https://archives.bulbagarden.net/media/upload/1/1b/388MS6.png" TargetMode="External"/><Relationship Id="rId390" Type="http://schemas.openxmlformats.org/officeDocument/2006/relationships/hyperlink" Target="https://archives.bulbagarden.net/media/upload/8/89/387MS6.png" TargetMode="External"/><Relationship Id="rId1" Type="http://schemas.openxmlformats.org/officeDocument/2006/relationships/hyperlink" Target="https://archives.bulbagarden.net/media/upload/7/7b/001MS6.png" TargetMode="External"/><Relationship Id="rId2" Type="http://schemas.openxmlformats.org/officeDocument/2006/relationships/hyperlink" Target="https://archives.bulbagarden.net/media/upload/a/a0/002MS6.png" TargetMode="External"/><Relationship Id="rId3" Type="http://schemas.openxmlformats.org/officeDocument/2006/relationships/hyperlink" Target="https://archives.bulbagarden.net/media/upload/0/07/003MS6.png" TargetMode="External"/><Relationship Id="rId149" Type="http://schemas.openxmlformats.org/officeDocument/2006/relationships/hyperlink" Target="https://archives.bulbagarden.net/media/upload/0/08/149MS6.png" TargetMode="External"/><Relationship Id="rId4" Type="http://schemas.openxmlformats.org/officeDocument/2006/relationships/hyperlink" Target="https://archives.bulbagarden.net/media/upload/7/7d/004MS6.png" TargetMode="External"/><Relationship Id="rId148" Type="http://schemas.openxmlformats.org/officeDocument/2006/relationships/hyperlink" Target="https://archives.bulbagarden.net/media/upload/3/38/148MS6.png" TargetMode="External"/><Relationship Id="rId269" Type="http://schemas.openxmlformats.org/officeDocument/2006/relationships/hyperlink" Target="https://archives.bulbagarden.net/media/upload/a/ac/269MS6.png" TargetMode="External"/><Relationship Id="rId9" Type="http://schemas.openxmlformats.org/officeDocument/2006/relationships/hyperlink" Target="https://archives.bulbagarden.net/media/upload/1/12/009MS6.png" TargetMode="External"/><Relationship Id="rId143" Type="http://schemas.openxmlformats.org/officeDocument/2006/relationships/hyperlink" Target="https://archives.bulbagarden.net/media/upload/d/d1/143MS6.png" TargetMode="External"/><Relationship Id="rId264" Type="http://schemas.openxmlformats.org/officeDocument/2006/relationships/hyperlink" Target="https://archives.bulbagarden.net/media/upload/2/22/264MS6.png" TargetMode="External"/><Relationship Id="rId385" Type="http://schemas.openxmlformats.org/officeDocument/2006/relationships/hyperlink" Target="https://archives.bulbagarden.net/media/upload/4/4a/385MS6.png" TargetMode="External"/><Relationship Id="rId142" Type="http://schemas.openxmlformats.org/officeDocument/2006/relationships/hyperlink" Target="https://archives.bulbagarden.net/media/upload/6/69/142MS6.png" TargetMode="External"/><Relationship Id="rId263" Type="http://schemas.openxmlformats.org/officeDocument/2006/relationships/hyperlink" Target="https://archives.bulbagarden.net/media/upload/4/49/263MS6.png" TargetMode="External"/><Relationship Id="rId384" Type="http://schemas.openxmlformats.org/officeDocument/2006/relationships/hyperlink" Target="https://archives.bulbagarden.net/media/upload/d/d0/384MS6.png" TargetMode="External"/><Relationship Id="rId141" Type="http://schemas.openxmlformats.org/officeDocument/2006/relationships/hyperlink" Target="https://archives.bulbagarden.net/media/upload/1/1a/141MS6.png" TargetMode="External"/><Relationship Id="rId262" Type="http://schemas.openxmlformats.org/officeDocument/2006/relationships/hyperlink" Target="https://archives.bulbagarden.net/media/upload/b/ba/262MS6.png" TargetMode="External"/><Relationship Id="rId383" Type="http://schemas.openxmlformats.org/officeDocument/2006/relationships/hyperlink" Target="https://archives.bulbagarden.net/media/upload/0/0c/383MS6.png" TargetMode="External"/><Relationship Id="rId140" Type="http://schemas.openxmlformats.org/officeDocument/2006/relationships/hyperlink" Target="https://archives.bulbagarden.net/media/upload/8/89/140MS6.png" TargetMode="External"/><Relationship Id="rId261" Type="http://schemas.openxmlformats.org/officeDocument/2006/relationships/hyperlink" Target="https://archives.bulbagarden.net/media/upload/3/39/261MS6.png" TargetMode="External"/><Relationship Id="rId382" Type="http://schemas.openxmlformats.org/officeDocument/2006/relationships/hyperlink" Target="https://archives.bulbagarden.net/media/upload/9/95/382MS6.png" TargetMode="External"/><Relationship Id="rId5" Type="http://schemas.openxmlformats.org/officeDocument/2006/relationships/hyperlink" Target="https://archives.bulbagarden.net/media/upload/b/be/005MS6.png" TargetMode="External"/><Relationship Id="rId147" Type="http://schemas.openxmlformats.org/officeDocument/2006/relationships/hyperlink" Target="https://archives.bulbagarden.net/media/upload/d/dd/147MS6.png" TargetMode="External"/><Relationship Id="rId268" Type="http://schemas.openxmlformats.org/officeDocument/2006/relationships/hyperlink" Target="https://archives.bulbagarden.net/media/upload/7/70/268MS6.png" TargetMode="External"/><Relationship Id="rId389" Type="http://schemas.openxmlformats.org/officeDocument/2006/relationships/hyperlink" Target="https://archives.bulbagarden.net/media/upload/3/3f/386SMS6.png" TargetMode="External"/><Relationship Id="rId6" Type="http://schemas.openxmlformats.org/officeDocument/2006/relationships/hyperlink" Target="https://archives.bulbagarden.net/media/upload/4/41/006MS6.png" TargetMode="External"/><Relationship Id="rId146" Type="http://schemas.openxmlformats.org/officeDocument/2006/relationships/hyperlink" Target="https://archives.bulbagarden.net/media/upload/5/5a/146MS6.png" TargetMode="External"/><Relationship Id="rId267" Type="http://schemas.openxmlformats.org/officeDocument/2006/relationships/hyperlink" Target="https://archives.bulbagarden.net/media/upload/0/0e/267MS6.png" TargetMode="External"/><Relationship Id="rId388" Type="http://schemas.openxmlformats.org/officeDocument/2006/relationships/hyperlink" Target="https://archives.bulbagarden.net/media/upload/6/63/386DMS6.png" TargetMode="External"/><Relationship Id="rId7" Type="http://schemas.openxmlformats.org/officeDocument/2006/relationships/hyperlink" Target="https://archives.bulbagarden.net/media/upload/9/97/007MS6.png" TargetMode="External"/><Relationship Id="rId145" Type="http://schemas.openxmlformats.org/officeDocument/2006/relationships/hyperlink" Target="https://archives.bulbagarden.net/media/upload/4/49/145MS6.png" TargetMode="External"/><Relationship Id="rId266" Type="http://schemas.openxmlformats.org/officeDocument/2006/relationships/hyperlink" Target="https://archives.bulbagarden.net/media/upload/7/76/266MS6.png" TargetMode="External"/><Relationship Id="rId387" Type="http://schemas.openxmlformats.org/officeDocument/2006/relationships/hyperlink" Target="https://archives.bulbagarden.net/media/upload/2/23/386AMS6.png" TargetMode="External"/><Relationship Id="rId8" Type="http://schemas.openxmlformats.org/officeDocument/2006/relationships/hyperlink" Target="https://archives.bulbagarden.net/media/upload/5/55/008MS6.png" TargetMode="External"/><Relationship Id="rId144" Type="http://schemas.openxmlformats.org/officeDocument/2006/relationships/hyperlink" Target="https://archives.bulbagarden.net/media/upload/0/0c/144MS6.png" TargetMode="External"/><Relationship Id="rId265" Type="http://schemas.openxmlformats.org/officeDocument/2006/relationships/hyperlink" Target="https://archives.bulbagarden.net/media/upload/f/f4/265MS6.png" TargetMode="External"/><Relationship Id="rId386" Type="http://schemas.openxmlformats.org/officeDocument/2006/relationships/hyperlink" Target="https://archives.bulbagarden.net/media/upload/6/6a/386MS6.png" TargetMode="External"/><Relationship Id="rId260" Type="http://schemas.openxmlformats.org/officeDocument/2006/relationships/hyperlink" Target="https://archives.bulbagarden.net/media/upload/0/09/260MS6.png" TargetMode="External"/><Relationship Id="rId381" Type="http://schemas.openxmlformats.org/officeDocument/2006/relationships/hyperlink" Target="https://archives.bulbagarden.net/media/upload/5/56/381MS6.png" TargetMode="External"/><Relationship Id="rId380" Type="http://schemas.openxmlformats.org/officeDocument/2006/relationships/hyperlink" Target="https://archives.bulbagarden.net/media/upload/e/e1/380MS6.png" TargetMode="External"/><Relationship Id="rId139" Type="http://schemas.openxmlformats.org/officeDocument/2006/relationships/hyperlink" Target="https://archives.bulbagarden.net/media/upload/a/a4/139MS6.png" TargetMode="External"/><Relationship Id="rId138" Type="http://schemas.openxmlformats.org/officeDocument/2006/relationships/hyperlink" Target="https://archives.bulbagarden.net/media/upload/2/20/138MS6.png" TargetMode="External"/><Relationship Id="rId259" Type="http://schemas.openxmlformats.org/officeDocument/2006/relationships/hyperlink" Target="https://archives.bulbagarden.net/media/upload/e/eb/259MS6.png" TargetMode="External"/><Relationship Id="rId137" Type="http://schemas.openxmlformats.org/officeDocument/2006/relationships/hyperlink" Target="https://archives.bulbagarden.net/media/upload/2/28/137MS6.png" TargetMode="External"/><Relationship Id="rId258" Type="http://schemas.openxmlformats.org/officeDocument/2006/relationships/hyperlink" Target="https://archives.bulbagarden.net/media/upload/a/ab/258MS6.png" TargetMode="External"/><Relationship Id="rId379" Type="http://schemas.openxmlformats.org/officeDocument/2006/relationships/hyperlink" Target="https://archives.bulbagarden.net/media/upload/c/c0/379MS6.png" TargetMode="External"/><Relationship Id="rId132" Type="http://schemas.openxmlformats.org/officeDocument/2006/relationships/hyperlink" Target="https://archives.bulbagarden.net/media/upload/4/47/132MS6.png" TargetMode="External"/><Relationship Id="rId253" Type="http://schemas.openxmlformats.org/officeDocument/2006/relationships/hyperlink" Target="https://archives.bulbagarden.net/media/upload/b/b7/253MS6.png" TargetMode="External"/><Relationship Id="rId374" Type="http://schemas.openxmlformats.org/officeDocument/2006/relationships/hyperlink" Target="https://archives.bulbagarden.net/media/upload/c/c6/374MS6.png" TargetMode="External"/><Relationship Id="rId495" Type="http://schemas.openxmlformats.org/officeDocument/2006/relationships/hyperlink" Target="https://archives.bulbagarden.net/media/upload/9/9e/485MS6.png" TargetMode="External"/><Relationship Id="rId131" Type="http://schemas.openxmlformats.org/officeDocument/2006/relationships/hyperlink" Target="https://archives.bulbagarden.net/media/upload/a/ab/131MS6.png" TargetMode="External"/><Relationship Id="rId252" Type="http://schemas.openxmlformats.org/officeDocument/2006/relationships/hyperlink" Target="https://archives.bulbagarden.net/media/upload/2/2e/252MS6.png" TargetMode="External"/><Relationship Id="rId373" Type="http://schemas.openxmlformats.org/officeDocument/2006/relationships/hyperlink" Target="https://archives.bulbagarden.net/media/upload/5/5f/373MS6.png" TargetMode="External"/><Relationship Id="rId494" Type="http://schemas.openxmlformats.org/officeDocument/2006/relationships/hyperlink" Target="https://archives.bulbagarden.net/media/upload/2/27/484MS6.png" TargetMode="External"/><Relationship Id="rId130" Type="http://schemas.openxmlformats.org/officeDocument/2006/relationships/hyperlink" Target="https://archives.bulbagarden.net/media/upload/f/fa/130MS6.png" TargetMode="External"/><Relationship Id="rId251" Type="http://schemas.openxmlformats.org/officeDocument/2006/relationships/hyperlink" Target="https://archives.bulbagarden.net/media/upload/1/15/251MS6.png" TargetMode="External"/><Relationship Id="rId372" Type="http://schemas.openxmlformats.org/officeDocument/2006/relationships/hyperlink" Target="https://archives.bulbagarden.net/media/upload/4/43/372MS6.png" TargetMode="External"/><Relationship Id="rId493" Type="http://schemas.openxmlformats.org/officeDocument/2006/relationships/hyperlink" Target="https://archives.bulbagarden.net/media/upload/3/37/483MS6.png" TargetMode="External"/><Relationship Id="rId250" Type="http://schemas.openxmlformats.org/officeDocument/2006/relationships/hyperlink" Target="https://archives.bulbagarden.net/media/upload/c/cf/250MS6.png" TargetMode="External"/><Relationship Id="rId371" Type="http://schemas.openxmlformats.org/officeDocument/2006/relationships/hyperlink" Target="https://archives.bulbagarden.net/media/upload/4/4c/371MS6.png" TargetMode="External"/><Relationship Id="rId492" Type="http://schemas.openxmlformats.org/officeDocument/2006/relationships/hyperlink" Target="https://archives.bulbagarden.net/media/upload/2/22/482MS6.png" TargetMode="External"/><Relationship Id="rId136" Type="http://schemas.openxmlformats.org/officeDocument/2006/relationships/hyperlink" Target="https://archives.bulbagarden.net/media/upload/f/fd/136MS6.png" TargetMode="External"/><Relationship Id="rId257" Type="http://schemas.openxmlformats.org/officeDocument/2006/relationships/hyperlink" Target="https://archives.bulbagarden.net/media/upload/6/6d/257MS6.png" TargetMode="External"/><Relationship Id="rId378" Type="http://schemas.openxmlformats.org/officeDocument/2006/relationships/hyperlink" Target="https://archives.bulbagarden.net/media/upload/3/3e/378MS6.png" TargetMode="External"/><Relationship Id="rId499" Type="http://schemas.openxmlformats.org/officeDocument/2006/relationships/hyperlink" Target="https://archives.bulbagarden.net/media/upload/c/c3/488MS6.png" TargetMode="External"/><Relationship Id="rId135" Type="http://schemas.openxmlformats.org/officeDocument/2006/relationships/hyperlink" Target="https://archives.bulbagarden.net/media/upload/3/3b/135MS6.png" TargetMode="External"/><Relationship Id="rId256" Type="http://schemas.openxmlformats.org/officeDocument/2006/relationships/hyperlink" Target="https://archives.bulbagarden.net/media/upload/6/6e/256MS6.png" TargetMode="External"/><Relationship Id="rId377" Type="http://schemas.openxmlformats.org/officeDocument/2006/relationships/hyperlink" Target="https://archives.bulbagarden.net/media/upload/a/a7/377MS6.png" TargetMode="External"/><Relationship Id="rId498" Type="http://schemas.openxmlformats.org/officeDocument/2006/relationships/hyperlink" Target="https://archives.bulbagarden.net/media/upload/a/ab/487OMS6.png" TargetMode="External"/><Relationship Id="rId134" Type="http://schemas.openxmlformats.org/officeDocument/2006/relationships/hyperlink" Target="https://archives.bulbagarden.net/media/upload/5/57/134MS6.png" TargetMode="External"/><Relationship Id="rId255" Type="http://schemas.openxmlformats.org/officeDocument/2006/relationships/hyperlink" Target="https://archives.bulbagarden.net/media/upload/4/41/255MS6.png" TargetMode="External"/><Relationship Id="rId376" Type="http://schemas.openxmlformats.org/officeDocument/2006/relationships/hyperlink" Target="https://archives.bulbagarden.net/media/upload/6/66/376MS6.png" TargetMode="External"/><Relationship Id="rId497" Type="http://schemas.openxmlformats.org/officeDocument/2006/relationships/hyperlink" Target="https://archives.bulbagarden.net/media/upload/1/18/487MS6.png" TargetMode="External"/><Relationship Id="rId133" Type="http://schemas.openxmlformats.org/officeDocument/2006/relationships/hyperlink" Target="https://archives.bulbagarden.net/media/upload/6/67/133MS6.png" TargetMode="External"/><Relationship Id="rId254" Type="http://schemas.openxmlformats.org/officeDocument/2006/relationships/hyperlink" Target="https://archives.bulbagarden.net/media/upload/e/e2/254MS6.png" TargetMode="External"/><Relationship Id="rId375" Type="http://schemas.openxmlformats.org/officeDocument/2006/relationships/hyperlink" Target="https://archives.bulbagarden.net/media/upload/6/67/375MS6.png" TargetMode="External"/><Relationship Id="rId496" Type="http://schemas.openxmlformats.org/officeDocument/2006/relationships/hyperlink" Target="https://archives.bulbagarden.net/media/upload/3/3d/486MS6.png" TargetMode="External"/><Relationship Id="rId172" Type="http://schemas.openxmlformats.org/officeDocument/2006/relationships/hyperlink" Target="https://archives.bulbagarden.net/media/upload/5/55/172MS6.png" TargetMode="External"/><Relationship Id="rId293" Type="http://schemas.openxmlformats.org/officeDocument/2006/relationships/hyperlink" Target="https://archives.bulbagarden.net/media/upload/3/3b/293MS6.png" TargetMode="External"/><Relationship Id="rId171" Type="http://schemas.openxmlformats.org/officeDocument/2006/relationships/hyperlink" Target="https://archives.bulbagarden.net/media/upload/b/b2/171MS6.png" TargetMode="External"/><Relationship Id="rId292" Type="http://schemas.openxmlformats.org/officeDocument/2006/relationships/hyperlink" Target="https://archives.bulbagarden.net/media/upload/3/31/292MS6.png" TargetMode="External"/><Relationship Id="rId170" Type="http://schemas.openxmlformats.org/officeDocument/2006/relationships/hyperlink" Target="https://archives.bulbagarden.net/media/upload/8/82/170MS6.png" TargetMode="External"/><Relationship Id="rId291" Type="http://schemas.openxmlformats.org/officeDocument/2006/relationships/hyperlink" Target="https://archives.bulbagarden.net/media/upload/9/9c/291MS6.png" TargetMode="External"/><Relationship Id="rId290" Type="http://schemas.openxmlformats.org/officeDocument/2006/relationships/hyperlink" Target="https://archives.bulbagarden.net/media/upload/a/a6/290MS6.png" TargetMode="External"/><Relationship Id="rId165" Type="http://schemas.openxmlformats.org/officeDocument/2006/relationships/hyperlink" Target="https://archives.bulbagarden.net/media/upload/f/fe/165MS6.png" TargetMode="External"/><Relationship Id="rId286" Type="http://schemas.openxmlformats.org/officeDocument/2006/relationships/hyperlink" Target="https://archives.bulbagarden.net/media/upload/8/8c/286MS6.png" TargetMode="External"/><Relationship Id="rId164" Type="http://schemas.openxmlformats.org/officeDocument/2006/relationships/hyperlink" Target="https://archives.bulbagarden.net/media/upload/b/b5/164MS6.png" TargetMode="External"/><Relationship Id="rId285" Type="http://schemas.openxmlformats.org/officeDocument/2006/relationships/hyperlink" Target="https://archives.bulbagarden.net/media/upload/7/70/285MS6.png" TargetMode="External"/><Relationship Id="rId163" Type="http://schemas.openxmlformats.org/officeDocument/2006/relationships/hyperlink" Target="https://archives.bulbagarden.net/media/upload/9/9b/163MS6.png" TargetMode="External"/><Relationship Id="rId284" Type="http://schemas.openxmlformats.org/officeDocument/2006/relationships/hyperlink" Target="https://archives.bulbagarden.net/media/upload/d/d5/284MS6.png" TargetMode="External"/><Relationship Id="rId162" Type="http://schemas.openxmlformats.org/officeDocument/2006/relationships/hyperlink" Target="https://archives.bulbagarden.net/media/upload/4/47/162MS6.png" TargetMode="External"/><Relationship Id="rId283" Type="http://schemas.openxmlformats.org/officeDocument/2006/relationships/hyperlink" Target="https://archives.bulbagarden.net/media/upload/0/09/283MS6.png" TargetMode="External"/><Relationship Id="rId169" Type="http://schemas.openxmlformats.org/officeDocument/2006/relationships/hyperlink" Target="https://archives.bulbagarden.net/media/upload/e/e8/169MS6.png" TargetMode="External"/><Relationship Id="rId168" Type="http://schemas.openxmlformats.org/officeDocument/2006/relationships/hyperlink" Target="https://archives.bulbagarden.net/media/upload/9/96/168MS6.png" TargetMode="External"/><Relationship Id="rId289" Type="http://schemas.openxmlformats.org/officeDocument/2006/relationships/hyperlink" Target="https://archives.bulbagarden.net/media/upload/f/f3/289MS6.png" TargetMode="External"/><Relationship Id="rId167" Type="http://schemas.openxmlformats.org/officeDocument/2006/relationships/hyperlink" Target="https://archives.bulbagarden.net/media/upload/7/71/167MS6.png" TargetMode="External"/><Relationship Id="rId288" Type="http://schemas.openxmlformats.org/officeDocument/2006/relationships/hyperlink" Target="https://archives.bulbagarden.net/media/upload/e/e6/288MS6.png" TargetMode="External"/><Relationship Id="rId166" Type="http://schemas.openxmlformats.org/officeDocument/2006/relationships/hyperlink" Target="https://archives.bulbagarden.net/media/upload/1/10/166MS6.png" TargetMode="External"/><Relationship Id="rId287" Type="http://schemas.openxmlformats.org/officeDocument/2006/relationships/hyperlink" Target="https://archives.bulbagarden.net/media/upload/a/af/287MS6.png" TargetMode="External"/><Relationship Id="rId161" Type="http://schemas.openxmlformats.org/officeDocument/2006/relationships/hyperlink" Target="https://archives.bulbagarden.net/media/upload/6/69/161MS6.png" TargetMode="External"/><Relationship Id="rId282" Type="http://schemas.openxmlformats.org/officeDocument/2006/relationships/hyperlink" Target="https://archives.bulbagarden.net/media/upload/c/ce/282MS6.png" TargetMode="External"/><Relationship Id="rId160" Type="http://schemas.openxmlformats.org/officeDocument/2006/relationships/hyperlink" Target="https://archives.bulbagarden.net/media/upload/9/99/160MS6.png" TargetMode="External"/><Relationship Id="rId281" Type="http://schemas.openxmlformats.org/officeDocument/2006/relationships/hyperlink" Target="https://archives.bulbagarden.net/media/upload/7/71/281MS6.png" TargetMode="External"/><Relationship Id="rId280" Type="http://schemas.openxmlformats.org/officeDocument/2006/relationships/hyperlink" Target="https://archives.bulbagarden.net/media/upload/0/0a/280MS6.png" TargetMode="External"/><Relationship Id="rId159" Type="http://schemas.openxmlformats.org/officeDocument/2006/relationships/hyperlink" Target="https://archives.bulbagarden.net/media/upload/b/b9/159MS6.png" TargetMode="External"/><Relationship Id="rId154" Type="http://schemas.openxmlformats.org/officeDocument/2006/relationships/hyperlink" Target="https://archives.bulbagarden.net/media/upload/2/23/154MS6.png" TargetMode="External"/><Relationship Id="rId275" Type="http://schemas.openxmlformats.org/officeDocument/2006/relationships/hyperlink" Target="https://archives.bulbagarden.net/media/upload/8/87/275MS6.png" TargetMode="External"/><Relationship Id="rId396" Type="http://schemas.openxmlformats.org/officeDocument/2006/relationships/hyperlink" Target="https://archives.bulbagarden.net/media/upload/3/30/393MS6.png" TargetMode="External"/><Relationship Id="rId153" Type="http://schemas.openxmlformats.org/officeDocument/2006/relationships/hyperlink" Target="https://archives.bulbagarden.net/media/upload/7/71/153MS6.png" TargetMode="External"/><Relationship Id="rId274" Type="http://schemas.openxmlformats.org/officeDocument/2006/relationships/hyperlink" Target="https://archives.bulbagarden.net/media/upload/c/cb/274MS6.png" TargetMode="External"/><Relationship Id="rId395" Type="http://schemas.openxmlformats.org/officeDocument/2006/relationships/hyperlink" Target="https://archives.bulbagarden.net/media/upload/5/5f/392MS6.png" TargetMode="External"/><Relationship Id="rId152" Type="http://schemas.openxmlformats.org/officeDocument/2006/relationships/hyperlink" Target="https://archives.bulbagarden.net/media/upload/4/41/152MS6.png" TargetMode="External"/><Relationship Id="rId273" Type="http://schemas.openxmlformats.org/officeDocument/2006/relationships/hyperlink" Target="https://archives.bulbagarden.net/media/upload/9/92/273MS6.png" TargetMode="External"/><Relationship Id="rId394" Type="http://schemas.openxmlformats.org/officeDocument/2006/relationships/hyperlink" Target="https://archives.bulbagarden.net/media/upload/b/bd/391MS6.png" TargetMode="External"/><Relationship Id="rId151" Type="http://schemas.openxmlformats.org/officeDocument/2006/relationships/hyperlink" Target="https://archives.bulbagarden.net/media/upload/8/83/151MS6.png" TargetMode="External"/><Relationship Id="rId272" Type="http://schemas.openxmlformats.org/officeDocument/2006/relationships/hyperlink" Target="https://archives.bulbagarden.net/media/upload/2/2c/272MS6.png" TargetMode="External"/><Relationship Id="rId393" Type="http://schemas.openxmlformats.org/officeDocument/2006/relationships/hyperlink" Target="https://archives.bulbagarden.net/media/upload/3/3c/390MS6.png" TargetMode="External"/><Relationship Id="rId158" Type="http://schemas.openxmlformats.org/officeDocument/2006/relationships/hyperlink" Target="https://archives.bulbagarden.net/media/upload/3/39/158MS6.png" TargetMode="External"/><Relationship Id="rId279" Type="http://schemas.openxmlformats.org/officeDocument/2006/relationships/hyperlink" Target="https://archives.bulbagarden.net/media/upload/0/06/279MS6.png" TargetMode="External"/><Relationship Id="rId157" Type="http://schemas.openxmlformats.org/officeDocument/2006/relationships/hyperlink" Target="https://archives.bulbagarden.net/media/upload/5/55/157MS6.png" TargetMode="External"/><Relationship Id="rId278" Type="http://schemas.openxmlformats.org/officeDocument/2006/relationships/hyperlink" Target="https://archives.bulbagarden.net/media/upload/a/a7/278MS6.png" TargetMode="External"/><Relationship Id="rId399" Type="http://schemas.openxmlformats.org/officeDocument/2006/relationships/hyperlink" Target="https://archives.bulbagarden.net/media/upload/7/72/396MS6.png" TargetMode="External"/><Relationship Id="rId156" Type="http://schemas.openxmlformats.org/officeDocument/2006/relationships/hyperlink" Target="https://archives.bulbagarden.net/media/upload/d/df/156MS6.png" TargetMode="External"/><Relationship Id="rId277" Type="http://schemas.openxmlformats.org/officeDocument/2006/relationships/hyperlink" Target="https://archives.bulbagarden.net/media/upload/6/65/277MS6.png" TargetMode="External"/><Relationship Id="rId398" Type="http://schemas.openxmlformats.org/officeDocument/2006/relationships/hyperlink" Target="https://archives.bulbagarden.net/media/upload/1/13/395MS6.png" TargetMode="External"/><Relationship Id="rId155" Type="http://schemas.openxmlformats.org/officeDocument/2006/relationships/hyperlink" Target="https://archives.bulbagarden.net/media/upload/9/96/155MS6.png" TargetMode="External"/><Relationship Id="rId276" Type="http://schemas.openxmlformats.org/officeDocument/2006/relationships/hyperlink" Target="https://archives.bulbagarden.net/media/upload/2/2f/276MS6.png" TargetMode="External"/><Relationship Id="rId397" Type="http://schemas.openxmlformats.org/officeDocument/2006/relationships/hyperlink" Target="https://archives.bulbagarden.net/media/upload/7/71/394MS6.png" TargetMode="External"/><Relationship Id="rId40" Type="http://schemas.openxmlformats.org/officeDocument/2006/relationships/hyperlink" Target="https://archives.bulbagarden.net/media/upload/d/d2/040MS6.png" TargetMode="External"/><Relationship Id="rId42" Type="http://schemas.openxmlformats.org/officeDocument/2006/relationships/hyperlink" Target="https://archives.bulbagarden.net/media/upload/b/b7/042MS6.png" TargetMode="External"/><Relationship Id="rId41" Type="http://schemas.openxmlformats.org/officeDocument/2006/relationships/hyperlink" Target="https://archives.bulbagarden.net/media/upload/0/0c/041MS6.png" TargetMode="External"/><Relationship Id="rId44" Type="http://schemas.openxmlformats.org/officeDocument/2006/relationships/hyperlink" Target="https://archives.bulbagarden.net/media/upload/e/e2/044MS6.png" TargetMode="External"/><Relationship Id="rId43" Type="http://schemas.openxmlformats.org/officeDocument/2006/relationships/hyperlink" Target="https://archives.bulbagarden.net/media/upload/2/22/043MS6.png" TargetMode="External"/><Relationship Id="rId46" Type="http://schemas.openxmlformats.org/officeDocument/2006/relationships/hyperlink" Target="https://archives.bulbagarden.net/media/upload/2/28/046MS6.png" TargetMode="External"/><Relationship Id="rId45" Type="http://schemas.openxmlformats.org/officeDocument/2006/relationships/hyperlink" Target="https://archives.bulbagarden.net/media/upload/1/19/045MS6.png" TargetMode="External"/><Relationship Id="rId503" Type="http://schemas.openxmlformats.org/officeDocument/2006/relationships/hyperlink" Target="https://archives.bulbagarden.net/media/upload/2/2b/492MS6.png" TargetMode="External"/><Relationship Id="rId502" Type="http://schemas.openxmlformats.org/officeDocument/2006/relationships/hyperlink" Target="https://archives.bulbagarden.net/media/upload/d/d4/491MS6.png" TargetMode="External"/><Relationship Id="rId501" Type="http://schemas.openxmlformats.org/officeDocument/2006/relationships/hyperlink" Target="https://archives.bulbagarden.net/media/upload/c/c2/490MS6.png" TargetMode="External"/><Relationship Id="rId500" Type="http://schemas.openxmlformats.org/officeDocument/2006/relationships/hyperlink" Target="https://archives.bulbagarden.net/media/upload/6/6e/489MS6.png" TargetMode="External"/><Relationship Id="rId506" Type="http://schemas.openxmlformats.org/officeDocument/2006/relationships/drawing" Target="../drawings/drawing1.xml"/><Relationship Id="rId505" Type="http://schemas.openxmlformats.org/officeDocument/2006/relationships/hyperlink" Target="https://archives.bulbagarden.net/media/upload/0/04/493MS6.png" TargetMode="External"/><Relationship Id="rId504" Type="http://schemas.openxmlformats.org/officeDocument/2006/relationships/hyperlink" Target="https://archives.bulbagarden.net/media/upload/e/e4/492SMS6.png" TargetMode="External"/><Relationship Id="rId48" Type="http://schemas.openxmlformats.org/officeDocument/2006/relationships/hyperlink" Target="https://archives.bulbagarden.net/media/upload/6/6f/048MS6.png" TargetMode="External"/><Relationship Id="rId47" Type="http://schemas.openxmlformats.org/officeDocument/2006/relationships/hyperlink" Target="https://archives.bulbagarden.net/media/upload/a/a3/047MS6.png" TargetMode="External"/><Relationship Id="rId49" Type="http://schemas.openxmlformats.org/officeDocument/2006/relationships/hyperlink" Target="https://archives.bulbagarden.net/media/upload/b/b2/049MS6.png" TargetMode="External"/><Relationship Id="rId31" Type="http://schemas.openxmlformats.org/officeDocument/2006/relationships/hyperlink" Target="https://archives.bulbagarden.net/media/upload/7/7c/031MS6.png" TargetMode="External"/><Relationship Id="rId30" Type="http://schemas.openxmlformats.org/officeDocument/2006/relationships/hyperlink" Target="https://archives.bulbagarden.net/media/upload/c/cb/030MS6.png" TargetMode="External"/><Relationship Id="rId33" Type="http://schemas.openxmlformats.org/officeDocument/2006/relationships/hyperlink" Target="https://archives.bulbagarden.net/media/upload/4/4a/033MS6.png" TargetMode="External"/><Relationship Id="rId32" Type="http://schemas.openxmlformats.org/officeDocument/2006/relationships/hyperlink" Target="https://archives.bulbagarden.net/media/upload/6/6a/032MS6.png" TargetMode="External"/><Relationship Id="rId35" Type="http://schemas.openxmlformats.org/officeDocument/2006/relationships/hyperlink" Target="https://archives.bulbagarden.net/media/upload/6/67/035MS6.png" TargetMode="External"/><Relationship Id="rId34" Type="http://schemas.openxmlformats.org/officeDocument/2006/relationships/hyperlink" Target="https://archives.bulbagarden.net/media/upload/e/ec/034MS6.png" TargetMode="External"/><Relationship Id="rId37" Type="http://schemas.openxmlformats.org/officeDocument/2006/relationships/hyperlink" Target="https://archives.bulbagarden.net/media/upload/0/09/037MS6.png" TargetMode="External"/><Relationship Id="rId36" Type="http://schemas.openxmlformats.org/officeDocument/2006/relationships/hyperlink" Target="https://archives.bulbagarden.net/media/upload/a/a5/036MS6.png" TargetMode="External"/><Relationship Id="rId39" Type="http://schemas.openxmlformats.org/officeDocument/2006/relationships/hyperlink" Target="https://archives.bulbagarden.net/media/upload/8/8b/039MS6.png" TargetMode="External"/><Relationship Id="rId38" Type="http://schemas.openxmlformats.org/officeDocument/2006/relationships/hyperlink" Target="https://archives.bulbagarden.net/media/upload/1/1f/038MS6.png" TargetMode="External"/><Relationship Id="rId20" Type="http://schemas.openxmlformats.org/officeDocument/2006/relationships/hyperlink" Target="https://archives.bulbagarden.net/media/upload/5/57/020MS6.png" TargetMode="External"/><Relationship Id="rId22" Type="http://schemas.openxmlformats.org/officeDocument/2006/relationships/hyperlink" Target="https://archives.bulbagarden.net/media/upload/0/0b/022MS6.png" TargetMode="External"/><Relationship Id="rId21" Type="http://schemas.openxmlformats.org/officeDocument/2006/relationships/hyperlink" Target="https://archives.bulbagarden.net/media/upload/5/50/021MS6.png" TargetMode="External"/><Relationship Id="rId24" Type="http://schemas.openxmlformats.org/officeDocument/2006/relationships/hyperlink" Target="https://archives.bulbagarden.net/media/upload/d/d5/024MS6.png" TargetMode="External"/><Relationship Id="rId23" Type="http://schemas.openxmlformats.org/officeDocument/2006/relationships/hyperlink" Target="https://archives.bulbagarden.net/media/upload/d/de/023MS6.png" TargetMode="External"/><Relationship Id="rId409" Type="http://schemas.openxmlformats.org/officeDocument/2006/relationships/hyperlink" Target="https://archives.bulbagarden.net/media/upload/0/0e/406MS6.png" TargetMode="External"/><Relationship Id="rId404" Type="http://schemas.openxmlformats.org/officeDocument/2006/relationships/hyperlink" Target="https://archives.bulbagarden.net/media/upload/1/1c/401MS6.png" TargetMode="External"/><Relationship Id="rId403" Type="http://schemas.openxmlformats.org/officeDocument/2006/relationships/hyperlink" Target="https://archives.bulbagarden.net/media/upload/7/7d/400MS6.png" TargetMode="External"/><Relationship Id="rId402" Type="http://schemas.openxmlformats.org/officeDocument/2006/relationships/hyperlink" Target="https://archives.bulbagarden.net/media/upload/9/9f/399MS6.png" TargetMode="External"/><Relationship Id="rId401" Type="http://schemas.openxmlformats.org/officeDocument/2006/relationships/hyperlink" Target="https://archives.bulbagarden.net/media/upload/0/0e/398MS6.png" TargetMode="External"/><Relationship Id="rId408" Type="http://schemas.openxmlformats.org/officeDocument/2006/relationships/hyperlink" Target="https://archives.bulbagarden.net/media/upload/1/1e/405MS6.png" TargetMode="External"/><Relationship Id="rId407" Type="http://schemas.openxmlformats.org/officeDocument/2006/relationships/hyperlink" Target="https://archives.bulbagarden.net/media/upload/b/bc/404MS6.png" TargetMode="External"/><Relationship Id="rId406" Type="http://schemas.openxmlformats.org/officeDocument/2006/relationships/hyperlink" Target="https://archives.bulbagarden.net/media/upload/f/fe/403MS6.png" TargetMode="External"/><Relationship Id="rId405" Type="http://schemas.openxmlformats.org/officeDocument/2006/relationships/hyperlink" Target="https://archives.bulbagarden.net/media/upload/7/75/402MS6.png" TargetMode="External"/><Relationship Id="rId26" Type="http://schemas.openxmlformats.org/officeDocument/2006/relationships/hyperlink" Target="https://archives.bulbagarden.net/media/upload/1/14/026MS6.png" TargetMode="External"/><Relationship Id="rId25" Type="http://schemas.openxmlformats.org/officeDocument/2006/relationships/hyperlink" Target="https://archives.bulbagarden.net/media/upload/d/de/025MS6.png" TargetMode="External"/><Relationship Id="rId28" Type="http://schemas.openxmlformats.org/officeDocument/2006/relationships/hyperlink" Target="https://archives.bulbagarden.net/media/upload/5/56/028MS6.png" TargetMode="External"/><Relationship Id="rId27" Type="http://schemas.openxmlformats.org/officeDocument/2006/relationships/hyperlink" Target="https://archives.bulbagarden.net/media/upload/9/9d/027MS6.png" TargetMode="External"/><Relationship Id="rId400" Type="http://schemas.openxmlformats.org/officeDocument/2006/relationships/hyperlink" Target="https://archives.bulbagarden.net/media/upload/4/4e/397MS6.png" TargetMode="External"/><Relationship Id="rId29" Type="http://schemas.openxmlformats.org/officeDocument/2006/relationships/hyperlink" Target="https://archives.bulbagarden.net/media/upload/4/4e/029MS6.png" TargetMode="External"/><Relationship Id="rId11" Type="http://schemas.openxmlformats.org/officeDocument/2006/relationships/hyperlink" Target="https://archives.bulbagarden.net/media/upload/f/ff/011MS6.png" TargetMode="External"/><Relationship Id="rId10" Type="http://schemas.openxmlformats.org/officeDocument/2006/relationships/hyperlink" Target="https://archives.bulbagarden.net/media/upload/c/ca/010MS6.png" TargetMode="External"/><Relationship Id="rId13" Type="http://schemas.openxmlformats.org/officeDocument/2006/relationships/hyperlink" Target="https://archives.bulbagarden.net/media/upload/d/d4/013MS6.png" TargetMode="External"/><Relationship Id="rId12" Type="http://schemas.openxmlformats.org/officeDocument/2006/relationships/hyperlink" Target="https://archives.bulbagarden.net/media/upload/5/58/012MS6.png" TargetMode="External"/><Relationship Id="rId512" Type="http://schemas.openxmlformats.org/officeDocument/2006/relationships/table" Target="../tables/table3.xml"/><Relationship Id="rId511" Type="http://schemas.openxmlformats.org/officeDocument/2006/relationships/table" Target="../tables/table2.xml"/><Relationship Id="rId15" Type="http://schemas.openxmlformats.org/officeDocument/2006/relationships/hyperlink" Target="https://archives.bulbagarden.net/media/upload/e/e4/015MS6.png" TargetMode="External"/><Relationship Id="rId14" Type="http://schemas.openxmlformats.org/officeDocument/2006/relationships/hyperlink" Target="https://archives.bulbagarden.net/media/upload/d/d4/014MS6.png" TargetMode="External"/><Relationship Id="rId17" Type="http://schemas.openxmlformats.org/officeDocument/2006/relationships/hyperlink" Target="https://archives.bulbagarden.net/media/upload/c/c3/017MS6.png" TargetMode="External"/><Relationship Id="rId16" Type="http://schemas.openxmlformats.org/officeDocument/2006/relationships/hyperlink" Target="https://archives.bulbagarden.net/media/upload/2/26/016MS6.png" TargetMode="External"/><Relationship Id="rId19" Type="http://schemas.openxmlformats.org/officeDocument/2006/relationships/hyperlink" Target="https://archives.bulbagarden.net/media/upload/d/d9/019MS6.png" TargetMode="External"/><Relationship Id="rId510" Type="http://schemas.openxmlformats.org/officeDocument/2006/relationships/table" Target="../tables/table1.xml"/><Relationship Id="rId18" Type="http://schemas.openxmlformats.org/officeDocument/2006/relationships/hyperlink" Target="https://archives.bulbagarden.net/media/upload/e/e3/018MS6.png" TargetMode="External"/><Relationship Id="rId84" Type="http://schemas.openxmlformats.org/officeDocument/2006/relationships/hyperlink" Target="https://archives.bulbagarden.net/media/upload/7/7f/084MS6.png" TargetMode="External"/><Relationship Id="rId83" Type="http://schemas.openxmlformats.org/officeDocument/2006/relationships/hyperlink" Target="https://archives.bulbagarden.net/media/upload/0/09/083MS6.png" TargetMode="External"/><Relationship Id="rId86" Type="http://schemas.openxmlformats.org/officeDocument/2006/relationships/hyperlink" Target="https://archives.bulbagarden.net/media/upload/d/db/086MS6.png" TargetMode="External"/><Relationship Id="rId85" Type="http://schemas.openxmlformats.org/officeDocument/2006/relationships/hyperlink" Target="https://archives.bulbagarden.net/media/upload/8/8a/085MS6.png" TargetMode="External"/><Relationship Id="rId88" Type="http://schemas.openxmlformats.org/officeDocument/2006/relationships/hyperlink" Target="https://archives.bulbagarden.net/media/upload/2/2a/088MS6.png" TargetMode="External"/><Relationship Id="rId87" Type="http://schemas.openxmlformats.org/officeDocument/2006/relationships/hyperlink" Target="https://archives.bulbagarden.net/media/upload/f/f7/087MS6.png" TargetMode="External"/><Relationship Id="rId89" Type="http://schemas.openxmlformats.org/officeDocument/2006/relationships/hyperlink" Target="https://archives.bulbagarden.net/media/upload/9/9b/089MS6.png" TargetMode="External"/><Relationship Id="rId80" Type="http://schemas.openxmlformats.org/officeDocument/2006/relationships/hyperlink" Target="https://archives.bulbagarden.net/media/upload/c/cb/080MS6.png" TargetMode="External"/><Relationship Id="rId82" Type="http://schemas.openxmlformats.org/officeDocument/2006/relationships/hyperlink" Target="https://archives.bulbagarden.net/media/upload/9/9f/082MS6.png" TargetMode="External"/><Relationship Id="rId81" Type="http://schemas.openxmlformats.org/officeDocument/2006/relationships/hyperlink" Target="https://archives.bulbagarden.net/media/upload/6/6e/081MS6.png" TargetMode="External"/><Relationship Id="rId73" Type="http://schemas.openxmlformats.org/officeDocument/2006/relationships/hyperlink" Target="https://archives.bulbagarden.net/media/upload/e/eb/073MS6.png" TargetMode="External"/><Relationship Id="rId72" Type="http://schemas.openxmlformats.org/officeDocument/2006/relationships/hyperlink" Target="https://archives.bulbagarden.net/media/upload/3/3a/072MS6.png" TargetMode="External"/><Relationship Id="rId75" Type="http://schemas.openxmlformats.org/officeDocument/2006/relationships/hyperlink" Target="https://archives.bulbagarden.net/media/upload/0/0f/075MS6.png" TargetMode="External"/><Relationship Id="rId74" Type="http://schemas.openxmlformats.org/officeDocument/2006/relationships/hyperlink" Target="https://archives.bulbagarden.net/media/upload/b/b4/074MS6.png" TargetMode="External"/><Relationship Id="rId77" Type="http://schemas.openxmlformats.org/officeDocument/2006/relationships/hyperlink" Target="https://archives.bulbagarden.net/media/upload/5/5d/077MS6.png" TargetMode="External"/><Relationship Id="rId76" Type="http://schemas.openxmlformats.org/officeDocument/2006/relationships/hyperlink" Target="https://archives.bulbagarden.net/media/upload/c/c3/076MS6.png" TargetMode="External"/><Relationship Id="rId79" Type="http://schemas.openxmlformats.org/officeDocument/2006/relationships/hyperlink" Target="https://archives.bulbagarden.net/media/upload/8/82/079MS6.png" TargetMode="External"/><Relationship Id="rId78" Type="http://schemas.openxmlformats.org/officeDocument/2006/relationships/hyperlink" Target="https://archives.bulbagarden.net/media/upload/0/02/078MS6.png" TargetMode="External"/><Relationship Id="rId71" Type="http://schemas.openxmlformats.org/officeDocument/2006/relationships/hyperlink" Target="https://archives.bulbagarden.net/media/upload/6/69/071MS6.png" TargetMode="External"/><Relationship Id="rId70" Type="http://schemas.openxmlformats.org/officeDocument/2006/relationships/hyperlink" Target="https://archives.bulbagarden.net/media/upload/b/b5/070MS6.png" TargetMode="External"/><Relationship Id="rId62" Type="http://schemas.openxmlformats.org/officeDocument/2006/relationships/hyperlink" Target="https://archives.bulbagarden.net/media/upload/8/88/062MS6.png" TargetMode="External"/><Relationship Id="rId61" Type="http://schemas.openxmlformats.org/officeDocument/2006/relationships/hyperlink" Target="https://archives.bulbagarden.net/media/upload/2/2f/061MS6.png" TargetMode="External"/><Relationship Id="rId64" Type="http://schemas.openxmlformats.org/officeDocument/2006/relationships/hyperlink" Target="https://archives.bulbagarden.net/media/upload/2/21/064MS6.png" TargetMode="External"/><Relationship Id="rId63" Type="http://schemas.openxmlformats.org/officeDocument/2006/relationships/hyperlink" Target="https://archives.bulbagarden.net/media/upload/b/b6/063MS6.png" TargetMode="External"/><Relationship Id="rId66" Type="http://schemas.openxmlformats.org/officeDocument/2006/relationships/hyperlink" Target="https://archives.bulbagarden.net/media/upload/5/59/066MS6.png" TargetMode="External"/><Relationship Id="rId65" Type="http://schemas.openxmlformats.org/officeDocument/2006/relationships/hyperlink" Target="https://archives.bulbagarden.net/media/upload/1/19/065MS6.png" TargetMode="External"/><Relationship Id="rId68" Type="http://schemas.openxmlformats.org/officeDocument/2006/relationships/hyperlink" Target="https://archives.bulbagarden.net/media/upload/0/05/068MS6.png" TargetMode="External"/><Relationship Id="rId67" Type="http://schemas.openxmlformats.org/officeDocument/2006/relationships/hyperlink" Target="https://archives.bulbagarden.net/media/upload/1/19/067MS6.png" TargetMode="External"/><Relationship Id="rId60" Type="http://schemas.openxmlformats.org/officeDocument/2006/relationships/hyperlink" Target="https://archives.bulbagarden.net/media/upload/1/1e/060MS6.png" TargetMode="External"/><Relationship Id="rId69" Type="http://schemas.openxmlformats.org/officeDocument/2006/relationships/hyperlink" Target="https://archives.bulbagarden.net/media/upload/c/c7/069MS6.png" TargetMode="External"/><Relationship Id="rId51" Type="http://schemas.openxmlformats.org/officeDocument/2006/relationships/hyperlink" Target="https://archives.bulbagarden.net/media/upload/7/79/051MS6.png" TargetMode="External"/><Relationship Id="rId50" Type="http://schemas.openxmlformats.org/officeDocument/2006/relationships/hyperlink" Target="https://archives.bulbagarden.net/media/upload/b/bf/050MS6.png" TargetMode="External"/><Relationship Id="rId53" Type="http://schemas.openxmlformats.org/officeDocument/2006/relationships/hyperlink" Target="https://archives.bulbagarden.net/media/upload/1/14/053MS6.png" TargetMode="External"/><Relationship Id="rId52" Type="http://schemas.openxmlformats.org/officeDocument/2006/relationships/hyperlink" Target="https://archives.bulbagarden.net/media/upload/0/0d/052MS6.png" TargetMode="External"/><Relationship Id="rId55" Type="http://schemas.openxmlformats.org/officeDocument/2006/relationships/hyperlink" Target="https://archives.bulbagarden.net/media/upload/5/59/055MS6.png" TargetMode="External"/><Relationship Id="rId54" Type="http://schemas.openxmlformats.org/officeDocument/2006/relationships/hyperlink" Target="https://archives.bulbagarden.net/media/upload/a/a2/054MS6.png" TargetMode="External"/><Relationship Id="rId57" Type="http://schemas.openxmlformats.org/officeDocument/2006/relationships/hyperlink" Target="https://archives.bulbagarden.net/media/upload/0/01/057MS6.png" TargetMode="External"/><Relationship Id="rId56" Type="http://schemas.openxmlformats.org/officeDocument/2006/relationships/hyperlink" Target="https://archives.bulbagarden.net/media/upload/8/87/056MS6.png" TargetMode="External"/><Relationship Id="rId59" Type="http://schemas.openxmlformats.org/officeDocument/2006/relationships/hyperlink" Target="https://archives.bulbagarden.net/media/upload/0/04/059MS6.png" TargetMode="External"/><Relationship Id="rId58" Type="http://schemas.openxmlformats.org/officeDocument/2006/relationships/hyperlink" Target="https://archives.bulbagarden.net/media/upload/b/b8/058MS6.png" TargetMode="External"/><Relationship Id="rId107" Type="http://schemas.openxmlformats.org/officeDocument/2006/relationships/hyperlink" Target="https://archives.bulbagarden.net/media/upload/3/33/107MS6.png" TargetMode="External"/><Relationship Id="rId228" Type="http://schemas.openxmlformats.org/officeDocument/2006/relationships/hyperlink" Target="https://archives.bulbagarden.net/media/upload/b/bc/228MS6.png" TargetMode="External"/><Relationship Id="rId349" Type="http://schemas.openxmlformats.org/officeDocument/2006/relationships/hyperlink" Target="https://archives.bulbagarden.net/media/upload/9/97/349MS6.png" TargetMode="External"/><Relationship Id="rId106" Type="http://schemas.openxmlformats.org/officeDocument/2006/relationships/hyperlink" Target="https://archives.bulbagarden.net/media/upload/d/d2/106MS6.png" TargetMode="External"/><Relationship Id="rId227" Type="http://schemas.openxmlformats.org/officeDocument/2006/relationships/hyperlink" Target="https://archives.bulbagarden.net/media/upload/e/ea/227MS6.png" TargetMode="External"/><Relationship Id="rId348" Type="http://schemas.openxmlformats.org/officeDocument/2006/relationships/hyperlink" Target="https://archives.bulbagarden.net/media/upload/d/dc/348MS6.png" TargetMode="External"/><Relationship Id="rId469" Type="http://schemas.openxmlformats.org/officeDocument/2006/relationships/hyperlink" Target="https://archives.bulbagarden.net/media/upload/7/79/464MS6.png" TargetMode="External"/><Relationship Id="rId105" Type="http://schemas.openxmlformats.org/officeDocument/2006/relationships/hyperlink" Target="https://archives.bulbagarden.net/media/upload/2/2f/105MS6.png" TargetMode="External"/><Relationship Id="rId226" Type="http://schemas.openxmlformats.org/officeDocument/2006/relationships/hyperlink" Target="https://archives.bulbagarden.net/media/upload/8/8b/226MS6.png" TargetMode="External"/><Relationship Id="rId347" Type="http://schemas.openxmlformats.org/officeDocument/2006/relationships/hyperlink" Target="https://archives.bulbagarden.net/media/upload/f/ff/347MS6.png" TargetMode="External"/><Relationship Id="rId468" Type="http://schemas.openxmlformats.org/officeDocument/2006/relationships/hyperlink" Target="https://archives.bulbagarden.net/media/upload/7/76/463MS6.png" TargetMode="External"/><Relationship Id="rId104" Type="http://schemas.openxmlformats.org/officeDocument/2006/relationships/hyperlink" Target="https://archives.bulbagarden.net/media/upload/0/05/104MS6.png" TargetMode="External"/><Relationship Id="rId225" Type="http://schemas.openxmlformats.org/officeDocument/2006/relationships/hyperlink" Target="https://archives.bulbagarden.net/media/upload/2/26/225MS6.png" TargetMode="External"/><Relationship Id="rId346" Type="http://schemas.openxmlformats.org/officeDocument/2006/relationships/hyperlink" Target="https://archives.bulbagarden.net/media/upload/6/68/346MS6.png" TargetMode="External"/><Relationship Id="rId467" Type="http://schemas.openxmlformats.org/officeDocument/2006/relationships/hyperlink" Target="https://archives.bulbagarden.net/media/upload/9/9c/462MS6.png" TargetMode="External"/><Relationship Id="rId109" Type="http://schemas.openxmlformats.org/officeDocument/2006/relationships/hyperlink" Target="https://archives.bulbagarden.net/media/upload/1/17/109MS6.png" TargetMode="External"/><Relationship Id="rId108" Type="http://schemas.openxmlformats.org/officeDocument/2006/relationships/hyperlink" Target="https://archives.bulbagarden.net/media/upload/3/34/108MS6.png" TargetMode="External"/><Relationship Id="rId229" Type="http://schemas.openxmlformats.org/officeDocument/2006/relationships/hyperlink" Target="https://archives.bulbagarden.net/media/upload/4/40/229MS6.png" TargetMode="External"/><Relationship Id="rId220" Type="http://schemas.openxmlformats.org/officeDocument/2006/relationships/hyperlink" Target="https://archives.bulbagarden.net/media/upload/d/d5/220MS6.png" TargetMode="External"/><Relationship Id="rId341" Type="http://schemas.openxmlformats.org/officeDocument/2006/relationships/hyperlink" Target="https://archives.bulbagarden.net/media/upload/0/09/341MS6.png" TargetMode="External"/><Relationship Id="rId462" Type="http://schemas.openxmlformats.org/officeDocument/2006/relationships/hyperlink" Target="https://archives.bulbagarden.net/media/upload/5/54/457MS6.png" TargetMode="External"/><Relationship Id="rId340" Type="http://schemas.openxmlformats.org/officeDocument/2006/relationships/hyperlink" Target="https://archives.bulbagarden.net/media/upload/c/cd/340MS6.png" TargetMode="External"/><Relationship Id="rId461" Type="http://schemas.openxmlformats.org/officeDocument/2006/relationships/hyperlink" Target="https://archives.bulbagarden.net/media/upload/6/60/456MS6.png" TargetMode="External"/><Relationship Id="rId460" Type="http://schemas.openxmlformats.org/officeDocument/2006/relationships/hyperlink" Target="https://archives.bulbagarden.net/media/upload/8/85/455MS6.png" TargetMode="External"/><Relationship Id="rId103" Type="http://schemas.openxmlformats.org/officeDocument/2006/relationships/hyperlink" Target="https://archives.bulbagarden.net/media/upload/0/0f/103MS6.png" TargetMode="External"/><Relationship Id="rId224" Type="http://schemas.openxmlformats.org/officeDocument/2006/relationships/hyperlink" Target="https://archives.bulbagarden.net/media/upload/d/da/224MS6.png" TargetMode="External"/><Relationship Id="rId345" Type="http://schemas.openxmlformats.org/officeDocument/2006/relationships/hyperlink" Target="https://archives.bulbagarden.net/media/upload/b/bc/345MS6.png" TargetMode="External"/><Relationship Id="rId466" Type="http://schemas.openxmlformats.org/officeDocument/2006/relationships/hyperlink" Target="https://archives.bulbagarden.net/media/upload/b/b4/461MS6.png" TargetMode="External"/><Relationship Id="rId102" Type="http://schemas.openxmlformats.org/officeDocument/2006/relationships/hyperlink" Target="https://archives.bulbagarden.net/media/upload/4/46/102MS6.png" TargetMode="External"/><Relationship Id="rId223" Type="http://schemas.openxmlformats.org/officeDocument/2006/relationships/hyperlink" Target="https://archives.bulbagarden.net/media/upload/6/61/223MS6.png" TargetMode="External"/><Relationship Id="rId344" Type="http://schemas.openxmlformats.org/officeDocument/2006/relationships/hyperlink" Target="https://archives.bulbagarden.net/media/upload/3/31/344MS6.png" TargetMode="External"/><Relationship Id="rId465" Type="http://schemas.openxmlformats.org/officeDocument/2006/relationships/hyperlink" Target="https://archives.bulbagarden.net/media/upload/6/68/460MS6.png" TargetMode="External"/><Relationship Id="rId101" Type="http://schemas.openxmlformats.org/officeDocument/2006/relationships/hyperlink" Target="https://archives.bulbagarden.net/media/upload/5/51/101MS6.png" TargetMode="External"/><Relationship Id="rId222" Type="http://schemas.openxmlformats.org/officeDocument/2006/relationships/hyperlink" Target="https://archives.bulbagarden.net/media/upload/c/ce/222MS6.png" TargetMode="External"/><Relationship Id="rId343" Type="http://schemas.openxmlformats.org/officeDocument/2006/relationships/hyperlink" Target="https://archives.bulbagarden.net/media/upload/0/0e/343MS6.png" TargetMode="External"/><Relationship Id="rId464" Type="http://schemas.openxmlformats.org/officeDocument/2006/relationships/hyperlink" Target="https://archives.bulbagarden.net/media/upload/5/5d/459MS6.png" TargetMode="External"/><Relationship Id="rId100" Type="http://schemas.openxmlformats.org/officeDocument/2006/relationships/hyperlink" Target="https://archives.bulbagarden.net/media/upload/2/2e/100MS6.png" TargetMode="External"/><Relationship Id="rId221" Type="http://schemas.openxmlformats.org/officeDocument/2006/relationships/hyperlink" Target="https://archives.bulbagarden.net/media/upload/c/c7/221MS6.png" TargetMode="External"/><Relationship Id="rId342" Type="http://schemas.openxmlformats.org/officeDocument/2006/relationships/hyperlink" Target="https://archives.bulbagarden.net/media/upload/2/20/342MS6.png" TargetMode="External"/><Relationship Id="rId463" Type="http://schemas.openxmlformats.org/officeDocument/2006/relationships/hyperlink" Target="https://archives.bulbagarden.net/media/upload/3/31/458MS6.png" TargetMode="External"/><Relationship Id="rId217" Type="http://schemas.openxmlformats.org/officeDocument/2006/relationships/hyperlink" Target="https://archives.bulbagarden.net/media/upload/6/6d/217MS6.png" TargetMode="External"/><Relationship Id="rId338" Type="http://schemas.openxmlformats.org/officeDocument/2006/relationships/hyperlink" Target="https://archives.bulbagarden.net/media/upload/d/d5/338MS6.png" TargetMode="External"/><Relationship Id="rId459" Type="http://schemas.openxmlformats.org/officeDocument/2006/relationships/hyperlink" Target="https://archives.bulbagarden.net/media/upload/1/1a/454MS6.png" TargetMode="External"/><Relationship Id="rId216" Type="http://schemas.openxmlformats.org/officeDocument/2006/relationships/hyperlink" Target="https://archives.bulbagarden.net/media/upload/9/90/216MS6.png" TargetMode="External"/><Relationship Id="rId337" Type="http://schemas.openxmlformats.org/officeDocument/2006/relationships/hyperlink" Target="https://archives.bulbagarden.net/media/upload/7/71/337MS6.png" TargetMode="External"/><Relationship Id="rId458" Type="http://schemas.openxmlformats.org/officeDocument/2006/relationships/hyperlink" Target="https://archives.bulbagarden.net/media/upload/8/8a/453MS6.png" TargetMode="External"/><Relationship Id="rId215" Type="http://schemas.openxmlformats.org/officeDocument/2006/relationships/hyperlink" Target="https://archives.bulbagarden.net/media/upload/0/0d/215MS6.png" TargetMode="External"/><Relationship Id="rId336" Type="http://schemas.openxmlformats.org/officeDocument/2006/relationships/hyperlink" Target="https://archives.bulbagarden.net/media/upload/a/a5/336MS6.png" TargetMode="External"/><Relationship Id="rId457" Type="http://schemas.openxmlformats.org/officeDocument/2006/relationships/hyperlink" Target="https://archives.bulbagarden.net/media/upload/7/78/452MS6.png" TargetMode="External"/><Relationship Id="rId214" Type="http://schemas.openxmlformats.org/officeDocument/2006/relationships/hyperlink" Target="https://archives.bulbagarden.net/media/upload/6/6c/214MS6.png" TargetMode="External"/><Relationship Id="rId335" Type="http://schemas.openxmlformats.org/officeDocument/2006/relationships/hyperlink" Target="https://archives.bulbagarden.net/media/upload/c/c6/335MS6.png" TargetMode="External"/><Relationship Id="rId456" Type="http://schemas.openxmlformats.org/officeDocument/2006/relationships/hyperlink" Target="https://archives.bulbagarden.net/media/upload/4/49/451MS6.png" TargetMode="External"/><Relationship Id="rId219" Type="http://schemas.openxmlformats.org/officeDocument/2006/relationships/hyperlink" Target="https://archives.bulbagarden.net/media/upload/e/e3/219MS6.png" TargetMode="External"/><Relationship Id="rId218" Type="http://schemas.openxmlformats.org/officeDocument/2006/relationships/hyperlink" Target="https://archives.bulbagarden.net/media/upload/8/8e/218MS6.png" TargetMode="External"/><Relationship Id="rId339" Type="http://schemas.openxmlformats.org/officeDocument/2006/relationships/hyperlink" Target="https://archives.bulbagarden.net/media/upload/b/b1/339MS6.png" TargetMode="External"/><Relationship Id="rId330" Type="http://schemas.openxmlformats.org/officeDocument/2006/relationships/hyperlink" Target="https://archives.bulbagarden.net/media/upload/e/ee/330MS6.png" TargetMode="External"/><Relationship Id="rId451" Type="http://schemas.openxmlformats.org/officeDocument/2006/relationships/hyperlink" Target="https://archives.bulbagarden.net/media/upload/d/d7/446MS6.png" TargetMode="External"/><Relationship Id="rId450" Type="http://schemas.openxmlformats.org/officeDocument/2006/relationships/hyperlink" Target="https://archives.bulbagarden.net/media/upload/5/55/445MS6.png" TargetMode="External"/><Relationship Id="rId213" Type="http://schemas.openxmlformats.org/officeDocument/2006/relationships/hyperlink" Target="https://archives.bulbagarden.net/media/upload/d/da/213MS6.png" TargetMode="External"/><Relationship Id="rId334" Type="http://schemas.openxmlformats.org/officeDocument/2006/relationships/hyperlink" Target="https://archives.bulbagarden.net/media/upload/0/07/334MS6.png" TargetMode="External"/><Relationship Id="rId455" Type="http://schemas.openxmlformats.org/officeDocument/2006/relationships/hyperlink" Target="https://archives.bulbagarden.net/media/upload/0/0b/450MS6.png" TargetMode="External"/><Relationship Id="rId212" Type="http://schemas.openxmlformats.org/officeDocument/2006/relationships/hyperlink" Target="https://archives.bulbagarden.net/media/upload/9/9b/212MS6.png" TargetMode="External"/><Relationship Id="rId333" Type="http://schemas.openxmlformats.org/officeDocument/2006/relationships/hyperlink" Target="https://archives.bulbagarden.net/media/upload/4/42/333MS6.png" TargetMode="External"/><Relationship Id="rId454" Type="http://schemas.openxmlformats.org/officeDocument/2006/relationships/hyperlink" Target="https://archives.bulbagarden.net/media/upload/8/81/449MS6.png" TargetMode="External"/><Relationship Id="rId211" Type="http://schemas.openxmlformats.org/officeDocument/2006/relationships/hyperlink" Target="https://archives.bulbagarden.net/media/upload/7/7c/211MS6.png" TargetMode="External"/><Relationship Id="rId332" Type="http://schemas.openxmlformats.org/officeDocument/2006/relationships/hyperlink" Target="https://archives.bulbagarden.net/media/upload/9/94/332MS6.png" TargetMode="External"/><Relationship Id="rId453" Type="http://schemas.openxmlformats.org/officeDocument/2006/relationships/hyperlink" Target="https://archives.bulbagarden.net/media/upload/1/14/448MS6.png" TargetMode="External"/><Relationship Id="rId210" Type="http://schemas.openxmlformats.org/officeDocument/2006/relationships/hyperlink" Target="https://archives.bulbagarden.net/media/upload/8/8e/210MS6.png" TargetMode="External"/><Relationship Id="rId331" Type="http://schemas.openxmlformats.org/officeDocument/2006/relationships/hyperlink" Target="https://archives.bulbagarden.net/media/upload/7/70/331MS6.png" TargetMode="External"/><Relationship Id="rId452" Type="http://schemas.openxmlformats.org/officeDocument/2006/relationships/hyperlink" Target="https://archives.bulbagarden.net/media/upload/d/d6/447MS6.png" TargetMode="External"/><Relationship Id="rId370" Type="http://schemas.openxmlformats.org/officeDocument/2006/relationships/hyperlink" Target="https://archives.bulbagarden.net/media/upload/1/1b/370MS6.png" TargetMode="External"/><Relationship Id="rId491" Type="http://schemas.openxmlformats.org/officeDocument/2006/relationships/hyperlink" Target="https://archives.bulbagarden.net/media/upload/4/45/481MS6.png" TargetMode="External"/><Relationship Id="rId490" Type="http://schemas.openxmlformats.org/officeDocument/2006/relationships/hyperlink" Target="https://archives.bulbagarden.net/media/upload/5/5c/480MS6.png" TargetMode="External"/><Relationship Id="rId129" Type="http://schemas.openxmlformats.org/officeDocument/2006/relationships/hyperlink" Target="https://archives.bulbagarden.net/media/upload/8/85/129MS6.png" TargetMode="External"/><Relationship Id="rId128" Type="http://schemas.openxmlformats.org/officeDocument/2006/relationships/hyperlink" Target="https://archives.bulbagarden.net/media/upload/1/13/128MS6.png" TargetMode="External"/><Relationship Id="rId249" Type="http://schemas.openxmlformats.org/officeDocument/2006/relationships/hyperlink" Target="https://archives.bulbagarden.net/media/upload/e/e8/249MS6.png" TargetMode="External"/><Relationship Id="rId127" Type="http://schemas.openxmlformats.org/officeDocument/2006/relationships/hyperlink" Target="https://archives.bulbagarden.net/media/upload/f/fa/127MS6.png" TargetMode="External"/><Relationship Id="rId248" Type="http://schemas.openxmlformats.org/officeDocument/2006/relationships/hyperlink" Target="https://archives.bulbagarden.net/media/upload/d/d6/248MS6.png" TargetMode="External"/><Relationship Id="rId369" Type="http://schemas.openxmlformats.org/officeDocument/2006/relationships/hyperlink" Target="https://archives.bulbagarden.net/media/upload/f/f4/369MS6.png" TargetMode="External"/><Relationship Id="rId126" Type="http://schemas.openxmlformats.org/officeDocument/2006/relationships/hyperlink" Target="https://archives.bulbagarden.net/media/upload/3/39/126MS6.png" TargetMode="External"/><Relationship Id="rId247" Type="http://schemas.openxmlformats.org/officeDocument/2006/relationships/hyperlink" Target="https://archives.bulbagarden.net/media/upload/4/44/247MS6.png" TargetMode="External"/><Relationship Id="rId368" Type="http://schemas.openxmlformats.org/officeDocument/2006/relationships/hyperlink" Target="https://archives.bulbagarden.net/media/upload/1/11/368MS6.png" TargetMode="External"/><Relationship Id="rId489" Type="http://schemas.openxmlformats.org/officeDocument/2006/relationships/hyperlink" Target="https://archives.bulbagarden.net/media/upload/e/e2/479LMS6.png" TargetMode="External"/><Relationship Id="rId121" Type="http://schemas.openxmlformats.org/officeDocument/2006/relationships/hyperlink" Target="https://archives.bulbagarden.net/media/upload/4/42/121MS6.png" TargetMode="External"/><Relationship Id="rId242" Type="http://schemas.openxmlformats.org/officeDocument/2006/relationships/hyperlink" Target="https://archives.bulbagarden.net/media/upload/d/d8/242MS6.png" TargetMode="External"/><Relationship Id="rId363" Type="http://schemas.openxmlformats.org/officeDocument/2006/relationships/hyperlink" Target="https://archives.bulbagarden.net/media/upload/2/26/363MS6.png" TargetMode="External"/><Relationship Id="rId484" Type="http://schemas.openxmlformats.org/officeDocument/2006/relationships/hyperlink" Target="https://archives.bulbagarden.net/media/upload/6/62/479MS6.png" TargetMode="External"/><Relationship Id="rId120" Type="http://schemas.openxmlformats.org/officeDocument/2006/relationships/hyperlink" Target="https://archives.bulbagarden.net/media/upload/d/da/120MS6.png" TargetMode="External"/><Relationship Id="rId241" Type="http://schemas.openxmlformats.org/officeDocument/2006/relationships/hyperlink" Target="https://archives.bulbagarden.net/media/upload/9/9d/241MS6.png" TargetMode="External"/><Relationship Id="rId362" Type="http://schemas.openxmlformats.org/officeDocument/2006/relationships/hyperlink" Target="https://archives.bulbagarden.net/media/upload/5/50/362MS6.png" TargetMode="External"/><Relationship Id="rId483" Type="http://schemas.openxmlformats.org/officeDocument/2006/relationships/hyperlink" Target="https://archives.bulbagarden.net/media/upload/e/ec/478MS6.png" TargetMode="External"/><Relationship Id="rId240" Type="http://schemas.openxmlformats.org/officeDocument/2006/relationships/hyperlink" Target="https://archives.bulbagarden.net/media/upload/9/99/240MS6.png" TargetMode="External"/><Relationship Id="rId361" Type="http://schemas.openxmlformats.org/officeDocument/2006/relationships/hyperlink" Target="https://archives.bulbagarden.net/media/upload/a/a2/361MS6.png" TargetMode="External"/><Relationship Id="rId482" Type="http://schemas.openxmlformats.org/officeDocument/2006/relationships/hyperlink" Target="https://archives.bulbagarden.net/media/upload/e/ef/477MS6.png" TargetMode="External"/><Relationship Id="rId360" Type="http://schemas.openxmlformats.org/officeDocument/2006/relationships/hyperlink" Target="https://archives.bulbagarden.net/media/upload/8/82/360MS6.png" TargetMode="External"/><Relationship Id="rId481" Type="http://schemas.openxmlformats.org/officeDocument/2006/relationships/hyperlink" Target="https://archives.bulbagarden.net/media/upload/1/17/476MS6.png" TargetMode="External"/><Relationship Id="rId125" Type="http://schemas.openxmlformats.org/officeDocument/2006/relationships/hyperlink" Target="https://archives.bulbagarden.net/media/upload/9/9b/125MS6.png" TargetMode="External"/><Relationship Id="rId246" Type="http://schemas.openxmlformats.org/officeDocument/2006/relationships/hyperlink" Target="https://archives.bulbagarden.net/media/upload/b/be/246MS6.png" TargetMode="External"/><Relationship Id="rId367" Type="http://schemas.openxmlformats.org/officeDocument/2006/relationships/hyperlink" Target="https://archives.bulbagarden.net/media/upload/4/4d/367MS6.png" TargetMode="External"/><Relationship Id="rId488" Type="http://schemas.openxmlformats.org/officeDocument/2006/relationships/hyperlink" Target="https://archives.bulbagarden.net/media/upload/2/2c/479FMS6.png" TargetMode="External"/><Relationship Id="rId124" Type="http://schemas.openxmlformats.org/officeDocument/2006/relationships/hyperlink" Target="https://archives.bulbagarden.net/media/upload/6/65/124MS6.png" TargetMode="External"/><Relationship Id="rId245" Type="http://schemas.openxmlformats.org/officeDocument/2006/relationships/hyperlink" Target="https://archives.bulbagarden.net/media/upload/7/7d/245MS6.png" TargetMode="External"/><Relationship Id="rId366" Type="http://schemas.openxmlformats.org/officeDocument/2006/relationships/hyperlink" Target="https://archives.bulbagarden.net/media/upload/6/67/366MS6.png" TargetMode="External"/><Relationship Id="rId487" Type="http://schemas.openxmlformats.org/officeDocument/2006/relationships/hyperlink" Target="https://archives.bulbagarden.net/media/upload/7/7a/479RMS6.png" TargetMode="External"/><Relationship Id="rId123" Type="http://schemas.openxmlformats.org/officeDocument/2006/relationships/hyperlink" Target="https://archives.bulbagarden.net/media/upload/5/5c/123MS6.png" TargetMode="External"/><Relationship Id="rId244" Type="http://schemas.openxmlformats.org/officeDocument/2006/relationships/hyperlink" Target="https://archives.bulbagarden.net/media/upload/1/14/244MS6.png" TargetMode="External"/><Relationship Id="rId365" Type="http://schemas.openxmlformats.org/officeDocument/2006/relationships/hyperlink" Target="https://archives.bulbagarden.net/media/upload/b/b8/365MS6.png" TargetMode="External"/><Relationship Id="rId486" Type="http://schemas.openxmlformats.org/officeDocument/2006/relationships/hyperlink" Target="https://archives.bulbagarden.net/media/upload/b/b6/479WMS6.png" TargetMode="External"/><Relationship Id="rId122" Type="http://schemas.openxmlformats.org/officeDocument/2006/relationships/hyperlink" Target="https://archives.bulbagarden.net/media/upload/8/84/122MS6.png" TargetMode="External"/><Relationship Id="rId243" Type="http://schemas.openxmlformats.org/officeDocument/2006/relationships/hyperlink" Target="https://archives.bulbagarden.net/media/upload/b/b4/243MS6.png" TargetMode="External"/><Relationship Id="rId364" Type="http://schemas.openxmlformats.org/officeDocument/2006/relationships/hyperlink" Target="https://archives.bulbagarden.net/media/upload/0/09/364MS6.png" TargetMode="External"/><Relationship Id="rId485" Type="http://schemas.openxmlformats.org/officeDocument/2006/relationships/hyperlink" Target="https://archives.bulbagarden.net/media/upload/7/75/479OMS6.png" TargetMode="External"/><Relationship Id="rId95" Type="http://schemas.openxmlformats.org/officeDocument/2006/relationships/hyperlink" Target="https://archives.bulbagarden.net/media/upload/3/38/095MS6.png" TargetMode="External"/><Relationship Id="rId94" Type="http://schemas.openxmlformats.org/officeDocument/2006/relationships/hyperlink" Target="https://archives.bulbagarden.net/media/upload/8/87/094MS6.png" TargetMode="External"/><Relationship Id="rId97" Type="http://schemas.openxmlformats.org/officeDocument/2006/relationships/hyperlink" Target="https://archives.bulbagarden.net/media/upload/2/23/097MS6.png" TargetMode="External"/><Relationship Id="rId96" Type="http://schemas.openxmlformats.org/officeDocument/2006/relationships/hyperlink" Target="https://archives.bulbagarden.net/media/upload/2/22/096MS6.png" TargetMode="External"/><Relationship Id="rId99" Type="http://schemas.openxmlformats.org/officeDocument/2006/relationships/hyperlink" Target="https://archives.bulbagarden.net/media/upload/f/fd/099MS6.png" TargetMode="External"/><Relationship Id="rId480" Type="http://schemas.openxmlformats.org/officeDocument/2006/relationships/hyperlink" Target="https://archives.bulbagarden.net/media/upload/a/a8/475MS6.png" TargetMode="External"/><Relationship Id="rId98" Type="http://schemas.openxmlformats.org/officeDocument/2006/relationships/hyperlink" Target="https://archives.bulbagarden.net/media/upload/7/72/098MS6.png" TargetMode="External"/><Relationship Id="rId91" Type="http://schemas.openxmlformats.org/officeDocument/2006/relationships/hyperlink" Target="https://archives.bulbagarden.net/media/upload/8/84/091MS6.png" TargetMode="External"/><Relationship Id="rId90" Type="http://schemas.openxmlformats.org/officeDocument/2006/relationships/hyperlink" Target="https://archives.bulbagarden.net/media/upload/a/ae/090MS6.png" TargetMode="External"/><Relationship Id="rId93" Type="http://schemas.openxmlformats.org/officeDocument/2006/relationships/hyperlink" Target="https://archives.bulbagarden.net/media/upload/6/64/093MS6.png" TargetMode="External"/><Relationship Id="rId92" Type="http://schemas.openxmlformats.org/officeDocument/2006/relationships/hyperlink" Target="https://archives.bulbagarden.net/media/upload/e/e1/092MS6.png" TargetMode="External"/><Relationship Id="rId118" Type="http://schemas.openxmlformats.org/officeDocument/2006/relationships/hyperlink" Target="https://archives.bulbagarden.net/media/upload/c/cf/118MS6.png" TargetMode="External"/><Relationship Id="rId239" Type="http://schemas.openxmlformats.org/officeDocument/2006/relationships/hyperlink" Target="https://archives.bulbagarden.net/media/upload/a/ad/239MS6.png" TargetMode="External"/><Relationship Id="rId117" Type="http://schemas.openxmlformats.org/officeDocument/2006/relationships/hyperlink" Target="https://archives.bulbagarden.net/media/upload/6/66/117MS6.png" TargetMode="External"/><Relationship Id="rId238" Type="http://schemas.openxmlformats.org/officeDocument/2006/relationships/hyperlink" Target="https://archives.bulbagarden.net/media/upload/6/6d/238MS6.png" TargetMode="External"/><Relationship Id="rId359" Type="http://schemas.openxmlformats.org/officeDocument/2006/relationships/hyperlink" Target="https://archives.bulbagarden.net/media/upload/0/07/359MS6.png" TargetMode="External"/><Relationship Id="rId116" Type="http://schemas.openxmlformats.org/officeDocument/2006/relationships/hyperlink" Target="https://archives.bulbagarden.net/media/upload/8/88/116MS6.png" TargetMode="External"/><Relationship Id="rId237" Type="http://schemas.openxmlformats.org/officeDocument/2006/relationships/hyperlink" Target="https://archives.bulbagarden.net/media/upload/3/3e/237MS6.png" TargetMode="External"/><Relationship Id="rId358" Type="http://schemas.openxmlformats.org/officeDocument/2006/relationships/hyperlink" Target="https://archives.bulbagarden.net/media/upload/1/1a/358MS6.png" TargetMode="External"/><Relationship Id="rId479" Type="http://schemas.openxmlformats.org/officeDocument/2006/relationships/hyperlink" Target="https://archives.bulbagarden.net/media/upload/2/28/474MS6.png" TargetMode="External"/><Relationship Id="rId115" Type="http://schemas.openxmlformats.org/officeDocument/2006/relationships/hyperlink" Target="https://archives.bulbagarden.net/media/upload/1/12/115MS6.png" TargetMode="External"/><Relationship Id="rId236" Type="http://schemas.openxmlformats.org/officeDocument/2006/relationships/hyperlink" Target="https://archives.bulbagarden.net/media/upload/c/c0/236MS6.png" TargetMode="External"/><Relationship Id="rId357" Type="http://schemas.openxmlformats.org/officeDocument/2006/relationships/hyperlink" Target="https://archives.bulbagarden.net/media/upload/7/77/357MS6.png" TargetMode="External"/><Relationship Id="rId478" Type="http://schemas.openxmlformats.org/officeDocument/2006/relationships/hyperlink" Target="https://archives.bulbagarden.net/media/upload/9/92/473MS6.png" TargetMode="External"/><Relationship Id="rId119" Type="http://schemas.openxmlformats.org/officeDocument/2006/relationships/hyperlink" Target="https://archives.bulbagarden.net/media/upload/4/40/119MS6.png" TargetMode="External"/><Relationship Id="rId110" Type="http://schemas.openxmlformats.org/officeDocument/2006/relationships/hyperlink" Target="https://archives.bulbagarden.net/media/upload/b/bd/110MS6.png" TargetMode="External"/><Relationship Id="rId231" Type="http://schemas.openxmlformats.org/officeDocument/2006/relationships/hyperlink" Target="https://archives.bulbagarden.net/media/upload/6/6c/231MS6.png" TargetMode="External"/><Relationship Id="rId352" Type="http://schemas.openxmlformats.org/officeDocument/2006/relationships/hyperlink" Target="https://archives.bulbagarden.net/media/upload/d/de/352MS6.png" TargetMode="External"/><Relationship Id="rId473" Type="http://schemas.openxmlformats.org/officeDocument/2006/relationships/hyperlink" Target="https://archives.bulbagarden.net/media/upload/b/b0/468MS6.png" TargetMode="External"/><Relationship Id="rId230" Type="http://schemas.openxmlformats.org/officeDocument/2006/relationships/hyperlink" Target="https://archives.bulbagarden.net/media/upload/0/05/230MS6.png" TargetMode="External"/><Relationship Id="rId351" Type="http://schemas.openxmlformats.org/officeDocument/2006/relationships/hyperlink" Target="https://archives.bulbagarden.net/media/upload/e/ef/351MS6.png" TargetMode="External"/><Relationship Id="rId472" Type="http://schemas.openxmlformats.org/officeDocument/2006/relationships/hyperlink" Target="https://archives.bulbagarden.net/media/upload/f/f2/467MS6.png" TargetMode="External"/><Relationship Id="rId350" Type="http://schemas.openxmlformats.org/officeDocument/2006/relationships/hyperlink" Target="https://archives.bulbagarden.net/media/upload/8/8d/350MS6.png" TargetMode="External"/><Relationship Id="rId471" Type="http://schemas.openxmlformats.org/officeDocument/2006/relationships/hyperlink" Target="https://archives.bulbagarden.net/media/upload/2/2a/466MS6.png" TargetMode="External"/><Relationship Id="rId470" Type="http://schemas.openxmlformats.org/officeDocument/2006/relationships/hyperlink" Target="https://archives.bulbagarden.net/media/upload/c/c1/465MS6.png" TargetMode="External"/><Relationship Id="rId114" Type="http://schemas.openxmlformats.org/officeDocument/2006/relationships/hyperlink" Target="https://archives.bulbagarden.net/media/upload/6/60/114MS6.png" TargetMode="External"/><Relationship Id="rId235" Type="http://schemas.openxmlformats.org/officeDocument/2006/relationships/hyperlink" Target="https://archives.bulbagarden.net/media/upload/a/af/235MS6.png" TargetMode="External"/><Relationship Id="rId356" Type="http://schemas.openxmlformats.org/officeDocument/2006/relationships/hyperlink" Target="https://archives.bulbagarden.net/media/upload/f/fe/356MS6.png" TargetMode="External"/><Relationship Id="rId477" Type="http://schemas.openxmlformats.org/officeDocument/2006/relationships/hyperlink" Target="https://archives.bulbagarden.net/media/upload/6/63/472MS6.png" TargetMode="External"/><Relationship Id="rId113" Type="http://schemas.openxmlformats.org/officeDocument/2006/relationships/hyperlink" Target="https://archives.bulbagarden.net/media/upload/0/08/113MS6.png" TargetMode="External"/><Relationship Id="rId234" Type="http://schemas.openxmlformats.org/officeDocument/2006/relationships/hyperlink" Target="https://archives.bulbagarden.net/media/upload/1/19/234MS6.png" TargetMode="External"/><Relationship Id="rId355" Type="http://schemas.openxmlformats.org/officeDocument/2006/relationships/hyperlink" Target="https://archives.bulbagarden.net/media/upload/d/d3/355MS6.png" TargetMode="External"/><Relationship Id="rId476" Type="http://schemas.openxmlformats.org/officeDocument/2006/relationships/hyperlink" Target="https://archives.bulbagarden.net/media/upload/3/30/471MS6.png" TargetMode="External"/><Relationship Id="rId112" Type="http://schemas.openxmlformats.org/officeDocument/2006/relationships/hyperlink" Target="https://archives.bulbagarden.net/media/upload/7/7c/112MS6.png" TargetMode="External"/><Relationship Id="rId233" Type="http://schemas.openxmlformats.org/officeDocument/2006/relationships/hyperlink" Target="https://archives.bulbagarden.net/media/upload/c/ce/233MS6.png" TargetMode="External"/><Relationship Id="rId354" Type="http://schemas.openxmlformats.org/officeDocument/2006/relationships/hyperlink" Target="https://archives.bulbagarden.net/media/upload/7/79/354MS6.png" TargetMode="External"/><Relationship Id="rId475" Type="http://schemas.openxmlformats.org/officeDocument/2006/relationships/hyperlink" Target="https://archives.bulbagarden.net/media/upload/7/77/470MS6.png" TargetMode="External"/><Relationship Id="rId111" Type="http://schemas.openxmlformats.org/officeDocument/2006/relationships/hyperlink" Target="https://archives.bulbagarden.net/media/upload/e/e8/111MS6.png" TargetMode="External"/><Relationship Id="rId232" Type="http://schemas.openxmlformats.org/officeDocument/2006/relationships/hyperlink" Target="https://archives.bulbagarden.net/media/upload/8/85/232MS6.png" TargetMode="External"/><Relationship Id="rId353" Type="http://schemas.openxmlformats.org/officeDocument/2006/relationships/hyperlink" Target="https://archives.bulbagarden.net/media/upload/4/4a/353MS6.png" TargetMode="External"/><Relationship Id="rId474" Type="http://schemas.openxmlformats.org/officeDocument/2006/relationships/hyperlink" Target="https://archives.bulbagarden.net/media/upload/8/8c/469MS6.png" TargetMode="External"/><Relationship Id="rId305" Type="http://schemas.openxmlformats.org/officeDocument/2006/relationships/hyperlink" Target="https://archives.bulbagarden.net/media/upload/5/51/305MS6.png" TargetMode="External"/><Relationship Id="rId426" Type="http://schemas.openxmlformats.org/officeDocument/2006/relationships/hyperlink" Target="https://archives.bulbagarden.net/media/upload/8/87/421MS6.png" TargetMode="External"/><Relationship Id="rId304" Type="http://schemas.openxmlformats.org/officeDocument/2006/relationships/hyperlink" Target="https://archives.bulbagarden.net/media/upload/0/07/304MS6.png" TargetMode="External"/><Relationship Id="rId425" Type="http://schemas.openxmlformats.org/officeDocument/2006/relationships/hyperlink" Target="https://archives.bulbagarden.net/media/upload/9/98/420MS6.png" TargetMode="External"/><Relationship Id="rId303" Type="http://schemas.openxmlformats.org/officeDocument/2006/relationships/hyperlink" Target="https://archives.bulbagarden.net/media/upload/0/09/303MS6.png" TargetMode="External"/><Relationship Id="rId424" Type="http://schemas.openxmlformats.org/officeDocument/2006/relationships/hyperlink" Target="https://archives.bulbagarden.net/media/upload/b/bb/419MS6.png" TargetMode="External"/><Relationship Id="rId302" Type="http://schemas.openxmlformats.org/officeDocument/2006/relationships/hyperlink" Target="https://archives.bulbagarden.net/media/upload/3/34/302MS6.png" TargetMode="External"/><Relationship Id="rId423" Type="http://schemas.openxmlformats.org/officeDocument/2006/relationships/hyperlink" Target="https://archives.bulbagarden.net/media/upload/7/7a/418MS6.png" TargetMode="External"/><Relationship Id="rId309" Type="http://schemas.openxmlformats.org/officeDocument/2006/relationships/hyperlink" Target="https://archives.bulbagarden.net/media/upload/4/4d/309MS6.png" TargetMode="External"/><Relationship Id="rId308" Type="http://schemas.openxmlformats.org/officeDocument/2006/relationships/hyperlink" Target="https://archives.bulbagarden.net/media/upload/c/cf/308MS6.png" TargetMode="External"/><Relationship Id="rId429" Type="http://schemas.openxmlformats.org/officeDocument/2006/relationships/hyperlink" Target="https://archives.bulbagarden.net/media/upload/6/68/424MS6.png" TargetMode="External"/><Relationship Id="rId307" Type="http://schemas.openxmlformats.org/officeDocument/2006/relationships/hyperlink" Target="https://archives.bulbagarden.net/media/upload/1/1a/307MS6.png" TargetMode="External"/><Relationship Id="rId428" Type="http://schemas.openxmlformats.org/officeDocument/2006/relationships/hyperlink" Target="https://archives.bulbagarden.net/media/upload/2/21/423MS6.png" TargetMode="External"/><Relationship Id="rId306" Type="http://schemas.openxmlformats.org/officeDocument/2006/relationships/hyperlink" Target="https://archives.bulbagarden.net/media/upload/9/95/306MS6.png" TargetMode="External"/><Relationship Id="rId427" Type="http://schemas.openxmlformats.org/officeDocument/2006/relationships/hyperlink" Target="https://archives.bulbagarden.net/media/upload/f/f2/422MS6.png" TargetMode="External"/><Relationship Id="rId301" Type="http://schemas.openxmlformats.org/officeDocument/2006/relationships/hyperlink" Target="https://archives.bulbagarden.net/media/upload/e/ea/301MS6.png" TargetMode="External"/><Relationship Id="rId422" Type="http://schemas.openxmlformats.org/officeDocument/2006/relationships/hyperlink" Target="https://archives.bulbagarden.net/media/upload/4/46/417MS6.png" TargetMode="External"/><Relationship Id="rId300" Type="http://schemas.openxmlformats.org/officeDocument/2006/relationships/hyperlink" Target="https://archives.bulbagarden.net/media/upload/a/ad/300MS6.png" TargetMode="External"/><Relationship Id="rId421" Type="http://schemas.openxmlformats.org/officeDocument/2006/relationships/hyperlink" Target="https://archives.bulbagarden.net/media/upload/6/69/416MS6.png" TargetMode="External"/><Relationship Id="rId420" Type="http://schemas.openxmlformats.org/officeDocument/2006/relationships/hyperlink" Target="https://archives.bulbagarden.net/media/upload/7/72/415MS6.png" TargetMode="External"/><Relationship Id="rId415" Type="http://schemas.openxmlformats.org/officeDocument/2006/relationships/hyperlink" Target="https://archives.bulbagarden.net/media/upload/3/33/412MS6.png" TargetMode="External"/><Relationship Id="rId414" Type="http://schemas.openxmlformats.org/officeDocument/2006/relationships/hyperlink" Target="https://archives.bulbagarden.net/media/upload/d/d7/411MS6.png" TargetMode="External"/><Relationship Id="rId413" Type="http://schemas.openxmlformats.org/officeDocument/2006/relationships/hyperlink" Target="https://archives.bulbagarden.net/media/upload/e/ec/410MS6.png" TargetMode="External"/><Relationship Id="rId412" Type="http://schemas.openxmlformats.org/officeDocument/2006/relationships/hyperlink" Target="https://archives.bulbagarden.net/media/upload/1/14/409MS6.png" TargetMode="External"/><Relationship Id="rId419" Type="http://schemas.openxmlformats.org/officeDocument/2006/relationships/hyperlink" Target="https://archives.bulbagarden.net/media/upload/0/03/414MS6.png" TargetMode="External"/><Relationship Id="rId418" Type="http://schemas.openxmlformats.org/officeDocument/2006/relationships/hyperlink" Target="https://archives.bulbagarden.net/media/upload/f/fa/413SMS6.png" TargetMode="External"/><Relationship Id="rId417" Type="http://schemas.openxmlformats.org/officeDocument/2006/relationships/hyperlink" Target="https://archives.bulbagarden.net/media/upload/4/44/413GMS6.png" TargetMode="External"/><Relationship Id="rId416" Type="http://schemas.openxmlformats.org/officeDocument/2006/relationships/hyperlink" Target="https://archives.bulbagarden.net/media/upload/e/ef/413MS6.png" TargetMode="External"/><Relationship Id="rId411" Type="http://schemas.openxmlformats.org/officeDocument/2006/relationships/hyperlink" Target="https://archives.bulbagarden.net/media/upload/a/a0/408MS6.png" TargetMode="External"/><Relationship Id="rId410" Type="http://schemas.openxmlformats.org/officeDocument/2006/relationships/hyperlink" Target="https://archives.bulbagarden.net/media/upload/4/4e/407MS6.png" TargetMode="External"/><Relationship Id="rId206" Type="http://schemas.openxmlformats.org/officeDocument/2006/relationships/hyperlink" Target="https://archives.bulbagarden.net/media/upload/3/32/206MS6.png" TargetMode="External"/><Relationship Id="rId327" Type="http://schemas.openxmlformats.org/officeDocument/2006/relationships/hyperlink" Target="https://archives.bulbagarden.net/media/upload/f/f9/327MS6.png" TargetMode="External"/><Relationship Id="rId448" Type="http://schemas.openxmlformats.org/officeDocument/2006/relationships/hyperlink" Target="https://archives.bulbagarden.net/media/upload/f/f7/443MS6.png" TargetMode="External"/><Relationship Id="rId205" Type="http://schemas.openxmlformats.org/officeDocument/2006/relationships/hyperlink" Target="https://archives.bulbagarden.net/media/upload/c/c4/205MS6.png" TargetMode="External"/><Relationship Id="rId326" Type="http://schemas.openxmlformats.org/officeDocument/2006/relationships/hyperlink" Target="https://archives.bulbagarden.net/media/upload/5/53/326MS6.png" TargetMode="External"/><Relationship Id="rId447" Type="http://schemas.openxmlformats.org/officeDocument/2006/relationships/hyperlink" Target="https://archives.bulbagarden.net/media/upload/6/61/442MS6.png" TargetMode="External"/><Relationship Id="rId204" Type="http://schemas.openxmlformats.org/officeDocument/2006/relationships/hyperlink" Target="https://archives.bulbagarden.net/media/upload/d/db/204MS6.png" TargetMode="External"/><Relationship Id="rId325" Type="http://schemas.openxmlformats.org/officeDocument/2006/relationships/hyperlink" Target="https://archives.bulbagarden.net/media/upload/a/ab/325MS6.png" TargetMode="External"/><Relationship Id="rId446" Type="http://schemas.openxmlformats.org/officeDocument/2006/relationships/hyperlink" Target="https://archives.bulbagarden.net/media/upload/f/f6/441MS6.png" TargetMode="External"/><Relationship Id="rId203" Type="http://schemas.openxmlformats.org/officeDocument/2006/relationships/hyperlink" Target="https://archives.bulbagarden.net/media/upload/b/bc/203MS6.png" TargetMode="External"/><Relationship Id="rId324" Type="http://schemas.openxmlformats.org/officeDocument/2006/relationships/hyperlink" Target="https://archives.bulbagarden.net/media/upload/4/49/324MS6.png" TargetMode="External"/><Relationship Id="rId445" Type="http://schemas.openxmlformats.org/officeDocument/2006/relationships/hyperlink" Target="https://archives.bulbagarden.net/media/upload/9/92/440MS6.png" TargetMode="External"/><Relationship Id="rId209" Type="http://schemas.openxmlformats.org/officeDocument/2006/relationships/hyperlink" Target="https://archives.bulbagarden.net/media/upload/d/d4/209MS6.png" TargetMode="External"/><Relationship Id="rId208" Type="http://schemas.openxmlformats.org/officeDocument/2006/relationships/hyperlink" Target="https://archives.bulbagarden.net/media/upload/b/b5/208MS6.png" TargetMode="External"/><Relationship Id="rId329" Type="http://schemas.openxmlformats.org/officeDocument/2006/relationships/hyperlink" Target="https://archives.bulbagarden.net/media/upload/a/a6/329MS6.png" TargetMode="External"/><Relationship Id="rId207" Type="http://schemas.openxmlformats.org/officeDocument/2006/relationships/hyperlink" Target="https://archives.bulbagarden.net/media/upload/2/27/207MS6.png" TargetMode="External"/><Relationship Id="rId328" Type="http://schemas.openxmlformats.org/officeDocument/2006/relationships/hyperlink" Target="https://archives.bulbagarden.net/media/upload/c/cb/328MS6.png" TargetMode="External"/><Relationship Id="rId449" Type="http://schemas.openxmlformats.org/officeDocument/2006/relationships/hyperlink" Target="https://archives.bulbagarden.net/media/upload/5/58/444MS6.png" TargetMode="External"/><Relationship Id="rId440" Type="http://schemas.openxmlformats.org/officeDocument/2006/relationships/hyperlink" Target="https://archives.bulbagarden.net/media/upload/3/30/435MS6.png" TargetMode="External"/><Relationship Id="rId202" Type="http://schemas.openxmlformats.org/officeDocument/2006/relationships/hyperlink" Target="https://archives.bulbagarden.net/media/upload/3/37/202MS6.png" TargetMode="External"/><Relationship Id="rId323" Type="http://schemas.openxmlformats.org/officeDocument/2006/relationships/hyperlink" Target="https://archives.bulbagarden.net/media/upload/8/8e/323MS6.png" TargetMode="External"/><Relationship Id="rId444" Type="http://schemas.openxmlformats.org/officeDocument/2006/relationships/hyperlink" Target="https://archives.bulbagarden.net/media/upload/2/29/439MS6.png" TargetMode="External"/><Relationship Id="rId201" Type="http://schemas.openxmlformats.org/officeDocument/2006/relationships/hyperlink" Target="https://archives.bulbagarden.net/media/upload/5/52/201FMS6.png" TargetMode="External"/><Relationship Id="rId322" Type="http://schemas.openxmlformats.org/officeDocument/2006/relationships/hyperlink" Target="https://archives.bulbagarden.net/media/upload/5/52/322MS6.png" TargetMode="External"/><Relationship Id="rId443" Type="http://schemas.openxmlformats.org/officeDocument/2006/relationships/hyperlink" Target="https://archives.bulbagarden.net/media/upload/c/cc/438MS6.png" TargetMode="External"/><Relationship Id="rId200" Type="http://schemas.openxmlformats.org/officeDocument/2006/relationships/hyperlink" Target="https://archives.bulbagarden.net/media/upload/e/e3/200MS6.png" TargetMode="External"/><Relationship Id="rId321" Type="http://schemas.openxmlformats.org/officeDocument/2006/relationships/hyperlink" Target="https://archives.bulbagarden.net/media/upload/5/5d/321MS6.png" TargetMode="External"/><Relationship Id="rId442" Type="http://schemas.openxmlformats.org/officeDocument/2006/relationships/hyperlink" Target="https://archives.bulbagarden.net/media/upload/f/fc/437MS6.png" TargetMode="External"/><Relationship Id="rId320" Type="http://schemas.openxmlformats.org/officeDocument/2006/relationships/hyperlink" Target="https://archives.bulbagarden.net/media/upload/d/d6/320MS6.png" TargetMode="External"/><Relationship Id="rId441" Type="http://schemas.openxmlformats.org/officeDocument/2006/relationships/hyperlink" Target="https://archives.bulbagarden.net/media/upload/4/47/436MS6.png" TargetMode="External"/><Relationship Id="rId316" Type="http://schemas.openxmlformats.org/officeDocument/2006/relationships/hyperlink" Target="https://archives.bulbagarden.net/media/upload/d/db/316MS6.png" TargetMode="External"/><Relationship Id="rId437" Type="http://schemas.openxmlformats.org/officeDocument/2006/relationships/hyperlink" Target="https://archives.bulbagarden.net/media/upload/5/5a/432MS6.png" TargetMode="External"/><Relationship Id="rId315" Type="http://schemas.openxmlformats.org/officeDocument/2006/relationships/hyperlink" Target="https://archives.bulbagarden.net/media/upload/4/42/315MS6.png" TargetMode="External"/><Relationship Id="rId436" Type="http://schemas.openxmlformats.org/officeDocument/2006/relationships/hyperlink" Target="https://archives.bulbagarden.net/media/upload/0/06/431MS6.png" TargetMode="External"/><Relationship Id="rId314" Type="http://schemas.openxmlformats.org/officeDocument/2006/relationships/hyperlink" Target="https://archives.bulbagarden.net/media/upload/2/23/314MS6.png" TargetMode="External"/><Relationship Id="rId435" Type="http://schemas.openxmlformats.org/officeDocument/2006/relationships/hyperlink" Target="https://archives.bulbagarden.net/media/upload/a/a7/430MS6.png" TargetMode="External"/><Relationship Id="rId313" Type="http://schemas.openxmlformats.org/officeDocument/2006/relationships/hyperlink" Target="https://archives.bulbagarden.net/media/upload/7/75/313MS6.png" TargetMode="External"/><Relationship Id="rId434" Type="http://schemas.openxmlformats.org/officeDocument/2006/relationships/hyperlink" Target="https://archives.bulbagarden.net/media/upload/d/d7/429MS6.png" TargetMode="External"/><Relationship Id="rId319" Type="http://schemas.openxmlformats.org/officeDocument/2006/relationships/hyperlink" Target="https://archives.bulbagarden.net/media/upload/2/23/319MS6.png" TargetMode="External"/><Relationship Id="rId318" Type="http://schemas.openxmlformats.org/officeDocument/2006/relationships/hyperlink" Target="https://archives.bulbagarden.net/media/upload/c/c9/318MS6.png" TargetMode="External"/><Relationship Id="rId439" Type="http://schemas.openxmlformats.org/officeDocument/2006/relationships/hyperlink" Target="https://archives.bulbagarden.net/media/upload/4/48/434MS6.png" TargetMode="External"/><Relationship Id="rId317" Type="http://schemas.openxmlformats.org/officeDocument/2006/relationships/hyperlink" Target="https://archives.bulbagarden.net/media/upload/e/ed/317MS6.png" TargetMode="External"/><Relationship Id="rId438" Type="http://schemas.openxmlformats.org/officeDocument/2006/relationships/hyperlink" Target="https://archives.bulbagarden.net/media/upload/7/7b/433MS6.png" TargetMode="External"/><Relationship Id="rId312" Type="http://schemas.openxmlformats.org/officeDocument/2006/relationships/hyperlink" Target="https://archives.bulbagarden.net/media/upload/3/35/312MS6.png" TargetMode="External"/><Relationship Id="rId433" Type="http://schemas.openxmlformats.org/officeDocument/2006/relationships/hyperlink" Target="https://archives.bulbagarden.net/media/upload/d/de/428MS6.png" TargetMode="External"/><Relationship Id="rId311" Type="http://schemas.openxmlformats.org/officeDocument/2006/relationships/hyperlink" Target="https://archives.bulbagarden.net/media/upload/f/f2/311MS6.png" TargetMode="External"/><Relationship Id="rId432" Type="http://schemas.openxmlformats.org/officeDocument/2006/relationships/hyperlink" Target="https://archives.bulbagarden.net/media/upload/8/82/427MS6.png" TargetMode="External"/><Relationship Id="rId310" Type="http://schemas.openxmlformats.org/officeDocument/2006/relationships/hyperlink" Target="https://archives.bulbagarden.net/media/upload/8/8a/310MS6.png" TargetMode="External"/><Relationship Id="rId431" Type="http://schemas.openxmlformats.org/officeDocument/2006/relationships/hyperlink" Target="https://archives.bulbagarden.net/media/upload/b/b0/426MS6.png" TargetMode="External"/><Relationship Id="rId430" Type="http://schemas.openxmlformats.org/officeDocument/2006/relationships/hyperlink" Target="https://archives.bulbagarden.net/media/upload/4/4c/425MS6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0" Type="http://schemas.openxmlformats.org/officeDocument/2006/relationships/table" Target="../tables/table11.xml"/><Relationship Id="rId42" Type="http://schemas.openxmlformats.org/officeDocument/2006/relationships/table" Target="../tables/table13.xml"/><Relationship Id="rId41" Type="http://schemas.openxmlformats.org/officeDocument/2006/relationships/table" Target="../tables/table12.xml"/><Relationship Id="rId44" Type="http://schemas.openxmlformats.org/officeDocument/2006/relationships/table" Target="../tables/table15.xml"/><Relationship Id="rId43" Type="http://schemas.openxmlformats.org/officeDocument/2006/relationships/table" Target="../tables/table14.xml"/><Relationship Id="rId46" Type="http://schemas.openxmlformats.org/officeDocument/2006/relationships/table" Target="../tables/table17.xml"/><Relationship Id="rId45" Type="http://schemas.openxmlformats.org/officeDocument/2006/relationships/table" Target="../tables/table16.xml"/><Relationship Id="rId48" Type="http://schemas.openxmlformats.org/officeDocument/2006/relationships/table" Target="../tables/table19.xml"/><Relationship Id="rId47" Type="http://schemas.openxmlformats.org/officeDocument/2006/relationships/table" Target="../tables/table18.xml"/><Relationship Id="rId49" Type="http://schemas.openxmlformats.org/officeDocument/2006/relationships/table" Target="../tables/table20.xml"/><Relationship Id="rId33" Type="http://schemas.openxmlformats.org/officeDocument/2006/relationships/table" Target="../tables/table4.xml"/><Relationship Id="rId35" Type="http://schemas.openxmlformats.org/officeDocument/2006/relationships/table" Target="../tables/table6.xml"/><Relationship Id="rId34" Type="http://schemas.openxmlformats.org/officeDocument/2006/relationships/table" Target="../tables/table5.xml"/><Relationship Id="rId37" Type="http://schemas.openxmlformats.org/officeDocument/2006/relationships/table" Target="../tables/table8.xml"/><Relationship Id="rId36" Type="http://schemas.openxmlformats.org/officeDocument/2006/relationships/table" Target="../tables/table7.xml"/><Relationship Id="rId39" Type="http://schemas.openxmlformats.org/officeDocument/2006/relationships/table" Target="../tables/table10.xml"/><Relationship Id="rId38" Type="http://schemas.openxmlformats.org/officeDocument/2006/relationships/table" Target="../tables/table9.xml"/><Relationship Id="rId61" Type="http://schemas.openxmlformats.org/officeDocument/2006/relationships/table" Target="../tables/table32.xml"/><Relationship Id="rId60" Type="http://schemas.openxmlformats.org/officeDocument/2006/relationships/table" Target="../tables/table31.xml"/><Relationship Id="rId51" Type="http://schemas.openxmlformats.org/officeDocument/2006/relationships/table" Target="../tables/table22.xml"/><Relationship Id="rId50" Type="http://schemas.openxmlformats.org/officeDocument/2006/relationships/table" Target="../tables/table21.xml"/><Relationship Id="rId53" Type="http://schemas.openxmlformats.org/officeDocument/2006/relationships/table" Target="../tables/table24.xml"/><Relationship Id="rId52" Type="http://schemas.openxmlformats.org/officeDocument/2006/relationships/table" Target="../tables/table23.xml"/><Relationship Id="rId55" Type="http://schemas.openxmlformats.org/officeDocument/2006/relationships/table" Target="../tables/table26.xml"/><Relationship Id="rId54" Type="http://schemas.openxmlformats.org/officeDocument/2006/relationships/table" Target="../tables/table25.xml"/><Relationship Id="rId57" Type="http://schemas.openxmlformats.org/officeDocument/2006/relationships/table" Target="../tables/table28.xml"/><Relationship Id="rId56" Type="http://schemas.openxmlformats.org/officeDocument/2006/relationships/table" Target="../tables/table27.xml"/><Relationship Id="rId59" Type="http://schemas.openxmlformats.org/officeDocument/2006/relationships/table" Target="../tables/table30.xml"/><Relationship Id="rId58" Type="http://schemas.openxmlformats.org/officeDocument/2006/relationships/table" Target="../tables/table2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A92B2"/>
    <pageSetUpPr/>
  </sheetPr>
  <sheetViews>
    <sheetView workbookViewId="0"/>
  </sheetViews>
  <sheetFormatPr customHeight="1" defaultColWidth="12.63" defaultRowHeight="15.0"/>
  <cols>
    <col customWidth="1" hidden="1" min="1" max="2" width="11.0"/>
    <col customWidth="1" hidden="1" min="3" max="3" width="2.38"/>
    <col customWidth="1" hidden="1" min="4" max="4" width="18.75"/>
    <col customWidth="1" hidden="1" min="5" max="7" width="2.38"/>
    <col customWidth="1" hidden="1" min="8" max="9" width="11.0"/>
    <col customWidth="1" min="10" max="10" width="11.0"/>
    <col customWidth="1" min="11" max="15" width="3.25"/>
    <col customWidth="1" min="16" max="16" width="2.38"/>
    <col customWidth="1" hidden="1" min="17" max="23" width="2.88"/>
    <col customWidth="1" hidden="1" min="24" max="24" width="2.38"/>
    <col customWidth="1" hidden="1" min="25" max="31" width="2.88"/>
    <col customWidth="1" hidden="1" min="32" max="32" width="2.38"/>
    <col customWidth="1" hidden="1" min="33" max="39" width="2.88"/>
    <col customWidth="1" hidden="1" min="40" max="40" width="2.38"/>
    <col customWidth="1" min="41" max="47" width="2.88"/>
    <col customWidth="1" min="48" max="48" width="2.38"/>
    <col customWidth="1" hidden="1" min="49" max="55" width="2.88"/>
    <col customWidth="1" hidden="1" min="56" max="56" width="2.38"/>
    <col customWidth="1" hidden="1" min="57" max="59" width="4.63"/>
    <col customWidth="1" hidden="1" min="60" max="60" width="2.38"/>
    <col customWidth="1" hidden="1" min="61" max="66" width="3.75"/>
    <col customWidth="1" hidden="1" min="67" max="67" width="2.38"/>
    <col customWidth="1" hidden="1" min="68" max="69" width="10.0"/>
    <col customWidth="1" hidden="1" min="70" max="70" width="2.13"/>
    <col customWidth="1" hidden="1" min="71" max="72" width="10.0"/>
    <col customWidth="1" min="73" max="73" width="2.13"/>
    <col customWidth="1" min="74" max="74" width="8.88"/>
    <col customWidth="1" min="75" max="75" width="2.38"/>
    <col customWidth="1" min="76" max="76" width="8.88"/>
    <col customWidth="1" hidden="1" min="77" max="77" width="9.13"/>
    <col customWidth="1" hidden="1" min="78" max="78" width="2.38"/>
    <col customWidth="1" hidden="1" min="79" max="80" width="3.25"/>
    <col customWidth="1" hidden="1" min="81" max="83" width="2.13"/>
    <col customWidth="1" hidden="1" min="84" max="84" width="11.88"/>
    <col customWidth="1" hidden="1" min="85" max="85" width="10.0"/>
    <col customWidth="1" hidden="1" min="86" max="86" width="2.13"/>
    <col customWidth="1" hidden="1" min="87" max="88" width="10.0"/>
    <col customWidth="1" min="89" max="89" width="2.13"/>
    <col customWidth="1" min="90" max="92" width="5.88"/>
    <col customWidth="1" min="93" max="93" width="10.0"/>
    <col customWidth="1" min="94" max="94" width="2.13"/>
    <col customWidth="1" min="95" max="96" width="10.0"/>
    <col customWidth="1" min="97" max="97" width="17.0"/>
    <col customWidth="1" min="98" max="98" width="10.0"/>
    <col customWidth="1" min="99" max="99" width="2.13"/>
    <col customWidth="1" min="100" max="101" width="10.0"/>
    <col customWidth="1" min="102" max="102" width="2.13"/>
    <col customWidth="1" min="103" max="104" width="10.0"/>
    <col customWidth="1" min="105" max="105" width="2.13"/>
    <col customWidth="1" min="106" max="106" width="10.0"/>
    <col customWidth="1" min="107" max="107" width="2.13"/>
    <col customWidth="1" min="108" max="108" width="10.0"/>
    <col customWidth="1" min="109" max="109" width="2.13"/>
    <col customWidth="1" min="110" max="110" width="32.63"/>
    <col customWidth="1" min="111" max="111" width="25.88"/>
    <col customWidth="1" min="112" max="112" width="34.38"/>
    <col customWidth="1" min="113" max="114" width="2.13"/>
    <col customWidth="1" min="115" max="115" width="13.25"/>
    <col customWidth="1" min="116" max="116" width="12.75"/>
    <col customWidth="1" min="117" max="118" width="4.0"/>
    <col customWidth="1" min="119" max="121" width="5.5"/>
    <col customWidth="1" hidden="1" min="122" max="122" width="2.38"/>
    <col customWidth="1" hidden="1" min="123" max="128" width="4.0"/>
    <col customWidth="1" min="129" max="129" width="2.38"/>
    <col customWidth="1" min="130" max="130" width="14.13"/>
    <col customWidth="1" min="131" max="131" width="4.0"/>
    <col customWidth="1" min="132" max="132" width="2.13"/>
    <col customWidth="1" min="133" max="133" width="14.13"/>
    <col customWidth="1" min="134" max="135" width="2.13"/>
    <col customWidth="1" min="136" max="136" width="11.75"/>
    <col customWidth="1" min="137" max="139" width="5.0"/>
  </cols>
  <sheetData>
    <row r="1" ht="15.75" customHeight="1">
      <c r="A1" s="1">
        <v>1.0</v>
      </c>
      <c r="B1" s="2" t="s">
        <v>0</v>
      </c>
      <c r="C1" s="3"/>
      <c r="D1" s="4" t="s">
        <v>1</v>
      </c>
      <c r="E1" s="5"/>
      <c r="F1" s="6"/>
      <c r="G1" s="7"/>
      <c r="H1" s="8" t="s">
        <v>2</v>
      </c>
      <c r="I1" s="9" t="s">
        <v>3</v>
      </c>
      <c r="J1" s="10" t="str">
        <f>image("https://archives.bulbagarden.net/media/upload/7/7b/001MS6.png", 3)</f>
        <v/>
      </c>
      <c r="K1" s="11" t="s">
        <v>1</v>
      </c>
      <c r="L1" s="12"/>
      <c r="M1" s="12"/>
      <c r="N1" s="12"/>
      <c r="O1" s="12"/>
      <c r="P1" s="13"/>
      <c r="Q1" s="14">
        <v>45.0</v>
      </c>
      <c r="R1" s="15">
        <v>49.0</v>
      </c>
      <c r="S1" s="16">
        <v>49.0</v>
      </c>
      <c r="T1" s="17">
        <v>65.0</v>
      </c>
      <c r="U1" s="18">
        <v>65.0</v>
      </c>
      <c r="V1" s="19">
        <v>45.0</v>
      </c>
      <c r="W1" s="20">
        <v>318.0</v>
      </c>
      <c r="X1" s="21"/>
      <c r="Y1" s="14">
        <v>45.0</v>
      </c>
      <c r="Z1" s="15">
        <v>49.0</v>
      </c>
      <c r="AA1" s="16">
        <v>49.0</v>
      </c>
      <c r="AB1" s="17">
        <v>65.0</v>
      </c>
      <c r="AC1" s="18">
        <v>65.0</v>
      </c>
      <c r="AD1" s="19">
        <v>45.0</v>
      </c>
      <c r="AE1" s="20">
        <v>318.0</v>
      </c>
      <c r="AF1" s="21"/>
      <c r="AG1" s="14">
        <v>45.0</v>
      </c>
      <c r="AH1" s="15">
        <v>49.0</v>
      </c>
      <c r="AI1" s="16">
        <v>49.0</v>
      </c>
      <c r="AJ1" s="17">
        <v>65.0</v>
      </c>
      <c r="AK1" s="18">
        <v>65.0</v>
      </c>
      <c r="AL1" s="19">
        <v>45.0</v>
      </c>
      <c r="AM1" s="20">
        <v>318.0</v>
      </c>
      <c r="AN1" s="21"/>
      <c r="AO1" s="22">
        <v>45.0</v>
      </c>
      <c r="AP1" s="23">
        <v>49.0</v>
      </c>
      <c r="AQ1" s="23">
        <v>49.0</v>
      </c>
      <c r="AR1" s="23">
        <v>65.0</v>
      </c>
      <c r="AS1" s="23">
        <v>65.0</v>
      </c>
      <c r="AT1" s="23">
        <v>45.0</v>
      </c>
      <c r="AU1" s="24">
        <v>318.0</v>
      </c>
      <c r="AV1" s="21"/>
      <c r="AW1" s="25">
        <v>45.0</v>
      </c>
      <c r="AX1" s="26">
        <v>49.0</v>
      </c>
      <c r="AY1" s="26">
        <v>49.0</v>
      </c>
      <c r="AZ1" s="26">
        <v>65.0</v>
      </c>
      <c r="BA1" s="26">
        <v>65.0</v>
      </c>
      <c r="BB1" s="26">
        <v>45.0</v>
      </c>
      <c r="BC1" s="27">
        <v>318.0</v>
      </c>
      <c r="BE1" s="28" t="s">
        <v>4</v>
      </c>
      <c r="BF1" s="29"/>
      <c r="BG1" s="30"/>
      <c r="BI1" s="31" t="s">
        <v>5</v>
      </c>
      <c r="BJ1" s="32" t="s">
        <v>5</v>
      </c>
      <c r="BK1" s="32" t="s">
        <v>5</v>
      </c>
      <c r="BL1" s="32">
        <v>1.0</v>
      </c>
      <c r="BM1" s="32" t="s">
        <v>5</v>
      </c>
      <c r="BN1" s="33" t="s">
        <v>5</v>
      </c>
      <c r="BP1" s="34" t="s">
        <v>6</v>
      </c>
      <c r="BQ1" s="35" t="s">
        <v>7</v>
      </c>
      <c r="BS1" s="34" t="s">
        <v>6</v>
      </c>
      <c r="BT1" s="36" t="s">
        <v>7</v>
      </c>
      <c r="BU1" s="37" t="str">
        <f t="shared" ref="BU1:BU505" si="1">TYPEICON2(BV1)</f>
        <v>#NAME?</v>
      </c>
      <c r="BV1" s="38" t="s">
        <v>6</v>
      </c>
      <c r="BW1" s="37" t="str">
        <f t="shared" ref="BW1:BW505" si="2">TYPEICON2(BX1)</f>
        <v>#NAME?</v>
      </c>
      <c r="BX1" s="38" t="s">
        <v>7</v>
      </c>
      <c r="BY1" s="39"/>
      <c r="BZ1" s="39"/>
      <c r="CA1" s="40" t="s">
        <v>8</v>
      </c>
      <c r="CB1" s="41"/>
      <c r="CC1" s="42" t="s">
        <v>6</v>
      </c>
      <c r="CD1" s="43" t="s">
        <v>7</v>
      </c>
      <c r="CE1" s="2"/>
      <c r="CF1" s="44" t="s">
        <v>9</v>
      </c>
      <c r="CG1" s="45"/>
      <c r="CH1" s="2"/>
      <c r="CI1" s="46" t="s">
        <v>10</v>
      </c>
      <c r="CJ1" s="47" t="s">
        <v>9</v>
      </c>
      <c r="CK1" s="2"/>
      <c r="CL1" s="22" t="s">
        <v>11</v>
      </c>
      <c r="CM1" s="12"/>
      <c r="CN1" s="48"/>
      <c r="CO1" s="49" t="s">
        <v>9</v>
      </c>
      <c r="CP1" s="2"/>
      <c r="CQ1" s="2" t="s">
        <v>12</v>
      </c>
      <c r="CR1" s="50">
        <v>20.0</v>
      </c>
      <c r="CS1" s="2" t="s">
        <v>4</v>
      </c>
      <c r="CT1" s="51">
        <v>64.0</v>
      </c>
      <c r="CU1" s="2"/>
      <c r="CV1" s="52" t="s">
        <v>13</v>
      </c>
      <c r="CW1" s="53">
        <v>0.125</v>
      </c>
      <c r="CX1" s="2"/>
      <c r="CY1" s="54" t="s">
        <v>14</v>
      </c>
      <c r="CZ1" s="55" t="s">
        <v>6</v>
      </c>
      <c r="DA1" s="2"/>
      <c r="DB1" s="51">
        <v>45.0</v>
      </c>
      <c r="DC1" s="2"/>
      <c r="DD1" s="56" t="s">
        <v>15</v>
      </c>
      <c r="DE1" s="2"/>
      <c r="DF1" s="57" t="s">
        <v>16</v>
      </c>
      <c r="DG1" s="58"/>
      <c r="DH1" s="58"/>
      <c r="DI1" s="21"/>
      <c r="DJ1" s="21"/>
      <c r="DK1" s="59" t="s">
        <v>17</v>
      </c>
      <c r="DL1" s="60" t="s">
        <v>18</v>
      </c>
      <c r="DM1" s="37" t="str">
        <f t="shared" ref="DM1:DM478" si="3">TYPEICON(DL1)</f>
        <v>#NAME?</v>
      </c>
      <c r="DN1" s="61"/>
      <c r="DO1" s="37">
        <v>60.0</v>
      </c>
      <c r="DP1" s="37" t="s">
        <v>19</v>
      </c>
      <c r="DQ1" s="62" t="s">
        <v>20</v>
      </c>
      <c r="DR1" s="63"/>
      <c r="DS1" s="40" t="s">
        <v>21</v>
      </c>
      <c r="DT1" s="12"/>
      <c r="DU1" s="12"/>
      <c r="DV1" s="12"/>
      <c r="DW1" s="12"/>
      <c r="DX1" s="64"/>
      <c r="DY1" s="65"/>
      <c r="DZ1" s="66" t="s">
        <v>6</v>
      </c>
      <c r="EA1" s="67"/>
      <c r="EB1" s="21"/>
      <c r="EC1" s="66" t="s">
        <v>6</v>
      </c>
      <c r="ED1" s="67"/>
      <c r="EE1" s="21"/>
      <c r="EF1" s="68" t="s">
        <v>22</v>
      </c>
      <c r="EG1" s="69" t="str">
        <f>image("https://www.pokebip.com/pages/icones/objets/grain-miracle.png", 3)</f>
        <v/>
      </c>
      <c r="EH1" s="69"/>
      <c r="EI1" s="69"/>
    </row>
    <row r="2" ht="15.75" customHeight="1">
      <c r="A2" s="1">
        <v>2.0</v>
      </c>
      <c r="B2" s="2" t="s">
        <v>23</v>
      </c>
      <c r="C2" s="7"/>
      <c r="D2" s="70" t="s">
        <v>24</v>
      </c>
      <c r="E2" s="5"/>
      <c r="F2" s="6"/>
      <c r="G2" s="7"/>
      <c r="H2" s="8" t="s">
        <v>25</v>
      </c>
      <c r="I2" s="9" t="s">
        <v>26</v>
      </c>
      <c r="J2" s="10" t="str">
        <f>image("https://archives.bulbagarden.net/media/upload/a/a0/002MS6.png", 3)</f>
        <v/>
      </c>
      <c r="K2" s="11" t="s">
        <v>24</v>
      </c>
      <c r="L2" s="12"/>
      <c r="M2" s="12"/>
      <c r="N2" s="12"/>
      <c r="O2" s="12"/>
      <c r="P2" s="13"/>
      <c r="Q2" s="71">
        <v>60.0</v>
      </c>
      <c r="R2" s="72">
        <v>62.0</v>
      </c>
      <c r="S2" s="73">
        <v>63.0</v>
      </c>
      <c r="T2" s="74">
        <v>80.0</v>
      </c>
      <c r="U2" s="75">
        <v>80.0</v>
      </c>
      <c r="V2" s="76">
        <v>60.0</v>
      </c>
      <c r="W2" s="77">
        <v>405.0</v>
      </c>
      <c r="X2" s="21"/>
      <c r="Y2" s="71">
        <v>60.0</v>
      </c>
      <c r="Z2" s="72">
        <v>62.0</v>
      </c>
      <c r="AA2" s="73">
        <v>63.0</v>
      </c>
      <c r="AB2" s="74">
        <v>80.0</v>
      </c>
      <c r="AC2" s="75">
        <v>80.0</v>
      </c>
      <c r="AD2" s="76">
        <v>60.0</v>
      </c>
      <c r="AE2" s="77">
        <v>405.0</v>
      </c>
      <c r="AF2" s="21"/>
      <c r="AG2" s="71">
        <v>60.0</v>
      </c>
      <c r="AH2" s="72">
        <v>62.0</v>
      </c>
      <c r="AI2" s="73">
        <v>63.0</v>
      </c>
      <c r="AJ2" s="74">
        <v>80.0</v>
      </c>
      <c r="AK2" s="75">
        <v>80.0</v>
      </c>
      <c r="AL2" s="76">
        <v>60.0</v>
      </c>
      <c r="AM2" s="77">
        <v>405.0</v>
      </c>
      <c r="AN2" s="21"/>
      <c r="AO2" s="22">
        <v>60.0</v>
      </c>
      <c r="AP2" s="23">
        <v>62.0</v>
      </c>
      <c r="AQ2" s="23">
        <v>63.0</v>
      </c>
      <c r="AR2" s="23">
        <v>80.0</v>
      </c>
      <c r="AS2" s="23">
        <v>80.0</v>
      </c>
      <c r="AT2" s="23">
        <v>60.0</v>
      </c>
      <c r="AU2" s="24">
        <v>405.0</v>
      </c>
      <c r="AV2" s="21"/>
      <c r="AW2" s="78">
        <v>60.0</v>
      </c>
      <c r="AX2" s="79">
        <v>62.0</v>
      </c>
      <c r="AY2" s="79">
        <v>63.0</v>
      </c>
      <c r="AZ2" s="80">
        <v>80.0</v>
      </c>
      <c r="BA2" s="79">
        <v>80.0</v>
      </c>
      <c r="BB2" s="79">
        <v>60.0</v>
      </c>
      <c r="BC2" s="81">
        <v>405.0</v>
      </c>
      <c r="BE2" s="82" t="s">
        <v>4</v>
      </c>
      <c r="BF2" s="83" t="s">
        <v>27</v>
      </c>
      <c r="BG2" s="84"/>
      <c r="BI2" s="31" t="s">
        <v>5</v>
      </c>
      <c r="BJ2" s="32" t="s">
        <v>5</v>
      </c>
      <c r="BK2" s="32" t="s">
        <v>5</v>
      </c>
      <c r="BL2" s="32">
        <v>1.0</v>
      </c>
      <c r="BM2" s="32">
        <v>1.0</v>
      </c>
      <c r="BN2" s="33" t="s">
        <v>5</v>
      </c>
      <c r="BP2" s="85" t="s">
        <v>6</v>
      </c>
      <c r="BQ2" s="86" t="s">
        <v>7</v>
      </c>
      <c r="BS2" s="87" t="s">
        <v>6</v>
      </c>
      <c r="BT2" s="88" t="s">
        <v>7</v>
      </c>
      <c r="BU2" s="37" t="str">
        <f t="shared" si="1"/>
        <v>#NAME?</v>
      </c>
      <c r="BV2" s="89" t="s">
        <v>6</v>
      </c>
      <c r="BW2" s="37" t="str">
        <f t="shared" si="2"/>
        <v>#NAME?</v>
      </c>
      <c r="BX2" s="89" t="s">
        <v>7</v>
      </c>
      <c r="BY2" s="39"/>
      <c r="BZ2" s="39"/>
      <c r="CA2" s="40" t="s">
        <v>8</v>
      </c>
      <c r="CB2" s="41"/>
      <c r="CC2" s="90" t="s">
        <v>6</v>
      </c>
      <c r="CD2" s="91" t="s">
        <v>7</v>
      </c>
      <c r="CE2" s="2"/>
      <c r="CF2" s="92" t="s">
        <v>9</v>
      </c>
      <c r="CG2" s="93"/>
      <c r="CH2" s="2"/>
      <c r="CI2" s="94" t="s">
        <v>10</v>
      </c>
      <c r="CJ2" s="95" t="s">
        <v>9</v>
      </c>
      <c r="CK2" s="2"/>
      <c r="CL2" s="22" t="s">
        <v>11</v>
      </c>
      <c r="CM2" s="12"/>
      <c r="CN2" s="48"/>
      <c r="CO2" s="96" t="s">
        <v>9</v>
      </c>
      <c r="CP2" s="2"/>
      <c r="CQ2" s="2" t="s">
        <v>28</v>
      </c>
      <c r="CR2" s="97">
        <v>40.0</v>
      </c>
      <c r="CS2" s="2" t="s">
        <v>29</v>
      </c>
      <c r="CT2" s="98">
        <v>141.0</v>
      </c>
      <c r="CU2" s="2"/>
      <c r="CV2" s="52" t="s">
        <v>13</v>
      </c>
      <c r="CW2" s="53">
        <v>0.125</v>
      </c>
      <c r="CX2" s="2"/>
      <c r="CY2" s="99" t="s">
        <v>14</v>
      </c>
      <c r="CZ2" s="100" t="s">
        <v>6</v>
      </c>
      <c r="DA2" s="2"/>
      <c r="DB2" s="98">
        <v>45.0</v>
      </c>
      <c r="DC2" s="2"/>
      <c r="DD2" s="101" t="s">
        <v>15</v>
      </c>
      <c r="DE2" s="2"/>
      <c r="DF2" s="102" t="s">
        <v>30</v>
      </c>
      <c r="DG2" s="103"/>
      <c r="DH2" s="104"/>
      <c r="DI2" s="2"/>
      <c r="DJ2" s="2"/>
      <c r="DK2" s="59" t="s">
        <v>31</v>
      </c>
      <c r="DL2" s="37" t="s">
        <v>32</v>
      </c>
      <c r="DM2" s="37" t="str">
        <f t="shared" si="3"/>
        <v>#NAME?</v>
      </c>
      <c r="DN2" s="61"/>
      <c r="DO2" s="37">
        <v>40.0</v>
      </c>
      <c r="DP2" s="105">
        <v>1.0</v>
      </c>
      <c r="DQ2" s="62" t="s">
        <v>20</v>
      </c>
      <c r="DR2" s="63"/>
      <c r="DS2" s="40" t="s">
        <v>33</v>
      </c>
      <c r="DT2" s="12"/>
      <c r="DU2" s="12"/>
      <c r="DV2" s="12"/>
      <c r="DW2" s="12"/>
      <c r="DX2" s="64"/>
      <c r="DY2" s="65"/>
      <c r="DZ2" s="106" t="s">
        <v>34</v>
      </c>
      <c r="EA2" s="107"/>
      <c r="EB2" s="2"/>
      <c r="EC2" s="106" t="s">
        <v>34</v>
      </c>
      <c r="ED2" s="107"/>
      <c r="EE2" s="2"/>
      <c r="EF2" s="68" t="s">
        <v>35</v>
      </c>
      <c r="EG2" s="69" t="str">
        <f>image("https://www.pokebip.com/pages/icones/objets/charbon.png", 3)</f>
        <v/>
      </c>
      <c r="EH2" s="69"/>
      <c r="EI2" s="108"/>
    </row>
    <row r="3" ht="15.75" customHeight="1">
      <c r="A3" s="1">
        <v>3.0</v>
      </c>
      <c r="B3" s="2" t="s">
        <v>36</v>
      </c>
      <c r="C3" s="7"/>
      <c r="D3" s="4" t="s">
        <v>37</v>
      </c>
      <c r="E3" s="5"/>
      <c r="F3" s="6"/>
      <c r="G3" s="7"/>
      <c r="H3" s="8" t="s">
        <v>38</v>
      </c>
      <c r="I3" s="9" t="s">
        <v>39</v>
      </c>
      <c r="J3" s="10" t="str">
        <f>image("https://archives.bulbagarden.net/media/upload/0/07/003MS6.png", 3)</f>
        <v/>
      </c>
      <c r="K3" s="11" t="s">
        <v>37</v>
      </c>
      <c r="L3" s="12"/>
      <c r="M3" s="12"/>
      <c r="N3" s="12"/>
      <c r="O3" s="12"/>
      <c r="P3" s="13"/>
      <c r="Q3" s="71">
        <v>80.0</v>
      </c>
      <c r="R3" s="72">
        <v>82.0</v>
      </c>
      <c r="S3" s="73">
        <v>83.0</v>
      </c>
      <c r="T3" s="74">
        <v>100.0</v>
      </c>
      <c r="U3" s="75">
        <v>100.0</v>
      </c>
      <c r="V3" s="76">
        <v>80.0</v>
      </c>
      <c r="W3" s="77">
        <v>525.0</v>
      </c>
      <c r="X3" s="21"/>
      <c r="Y3" s="71">
        <v>80.0</v>
      </c>
      <c r="Z3" s="72">
        <v>82.0</v>
      </c>
      <c r="AA3" s="73">
        <v>83.0</v>
      </c>
      <c r="AB3" s="74">
        <v>100.0</v>
      </c>
      <c r="AC3" s="75">
        <v>100.0</v>
      </c>
      <c r="AD3" s="76">
        <v>80.0</v>
      </c>
      <c r="AE3" s="77">
        <v>525.0</v>
      </c>
      <c r="AF3" s="21"/>
      <c r="AG3" s="71">
        <v>80.0</v>
      </c>
      <c r="AH3" s="72">
        <v>82.0</v>
      </c>
      <c r="AI3" s="73">
        <v>83.0</v>
      </c>
      <c r="AJ3" s="109">
        <v>110.0</v>
      </c>
      <c r="AK3" s="75">
        <v>100.0</v>
      </c>
      <c r="AL3" s="76">
        <v>80.0</v>
      </c>
      <c r="AM3" s="110">
        <v>535.0</v>
      </c>
      <c r="AN3" s="21"/>
      <c r="AO3" s="22">
        <v>80.0</v>
      </c>
      <c r="AP3" s="23">
        <v>82.0</v>
      </c>
      <c r="AQ3" s="23">
        <v>83.0</v>
      </c>
      <c r="AR3" s="23" t="s">
        <v>40</v>
      </c>
      <c r="AS3" s="23">
        <v>100.0</v>
      </c>
      <c r="AT3" s="23">
        <v>80.0</v>
      </c>
      <c r="AU3" s="24" t="s">
        <v>41</v>
      </c>
      <c r="AV3" s="21"/>
      <c r="AW3" s="78">
        <v>80.0</v>
      </c>
      <c r="AX3" s="79">
        <v>82.0</v>
      </c>
      <c r="AY3" s="79">
        <v>83.0</v>
      </c>
      <c r="AZ3" s="111">
        <v>110.0</v>
      </c>
      <c r="BA3" s="79">
        <v>100.0</v>
      </c>
      <c r="BB3" s="79">
        <v>80.0</v>
      </c>
      <c r="BC3" s="111">
        <v>535.0</v>
      </c>
      <c r="BE3" s="112" t="s">
        <v>42</v>
      </c>
      <c r="BF3" s="113"/>
      <c r="BG3" s="114" t="s">
        <v>27</v>
      </c>
      <c r="BI3" s="31" t="s">
        <v>5</v>
      </c>
      <c r="BJ3" s="32" t="s">
        <v>5</v>
      </c>
      <c r="BK3" s="32" t="s">
        <v>5</v>
      </c>
      <c r="BL3" s="32">
        <v>2.0</v>
      </c>
      <c r="BM3" s="32">
        <v>1.0</v>
      </c>
      <c r="BN3" s="33" t="s">
        <v>5</v>
      </c>
      <c r="BP3" s="115" t="s">
        <v>6</v>
      </c>
      <c r="BQ3" s="116" t="s">
        <v>7</v>
      </c>
      <c r="BS3" s="115" t="s">
        <v>6</v>
      </c>
      <c r="BT3" s="117" t="s">
        <v>7</v>
      </c>
      <c r="BU3" s="37" t="str">
        <f t="shared" si="1"/>
        <v>#NAME?</v>
      </c>
      <c r="BV3" s="89" t="s">
        <v>6</v>
      </c>
      <c r="BW3" s="37" t="str">
        <f t="shared" si="2"/>
        <v>#NAME?</v>
      </c>
      <c r="BX3" s="89" t="s">
        <v>7</v>
      </c>
      <c r="BY3" s="39"/>
      <c r="BZ3" s="39"/>
      <c r="CA3" s="40" t="s">
        <v>8</v>
      </c>
      <c r="CB3" s="41"/>
      <c r="CC3" s="90" t="s">
        <v>6</v>
      </c>
      <c r="CD3" s="91" t="s">
        <v>7</v>
      </c>
      <c r="CE3" s="2"/>
      <c r="CF3" s="92" t="s">
        <v>9</v>
      </c>
      <c r="CG3" s="93"/>
      <c r="CH3" s="2"/>
      <c r="CI3" s="94" t="s">
        <v>43</v>
      </c>
      <c r="CJ3" s="95" t="s">
        <v>9</v>
      </c>
      <c r="CK3" s="2"/>
      <c r="CL3" s="22" t="s">
        <v>44</v>
      </c>
      <c r="CM3" s="12"/>
      <c r="CN3" s="48"/>
      <c r="CO3" s="96" t="s">
        <v>9</v>
      </c>
      <c r="CP3" s="2"/>
      <c r="CQ3" s="2" t="s">
        <v>45</v>
      </c>
      <c r="CR3" s="97">
        <v>100.0</v>
      </c>
      <c r="CS3" s="2" t="s">
        <v>46</v>
      </c>
      <c r="CT3" s="98">
        <v>208.0</v>
      </c>
      <c r="CU3" s="2"/>
      <c r="CV3" s="52" t="s">
        <v>13</v>
      </c>
      <c r="CW3" s="53">
        <v>0.125</v>
      </c>
      <c r="CX3" s="2"/>
      <c r="CY3" s="118" t="s">
        <v>14</v>
      </c>
      <c r="CZ3" s="119" t="s">
        <v>6</v>
      </c>
      <c r="DA3" s="2"/>
      <c r="DB3" s="98">
        <v>45.0</v>
      </c>
      <c r="DC3" s="2"/>
      <c r="DD3" s="101" t="s">
        <v>15</v>
      </c>
      <c r="DE3" s="2"/>
      <c r="DF3" s="120" t="s">
        <v>47</v>
      </c>
      <c r="DG3" s="121"/>
      <c r="DH3" s="121"/>
      <c r="DI3" s="2"/>
      <c r="DJ3" s="2"/>
      <c r="DK3" s="59" t="s">
        <v>48</v>
      </c>
      <c r="DL3" s="37" t="s">
        <v>32</v>
      </c>
      <c r="DM3" s="37" t="str">
        <f t="shared" si="3"/>
        <v>#NAME?</v>
      </c>
      <c r="DN3" s="61"/>
      <c r="DO3" s="37">
        <v>90.0</v>
      </c>
      <c r="DP3" s="105">
        <v>0.9</v>
      </c>
      <c r="DQ3" s="62" t="s">
        <v>49</v>
      </c>
      <c r="DR3" s="63"/>
      <c r="DS3" s="40" t="s">
        <v>50</v>
      </c>
      <c r="DT3" s="12"/>
      <c r="DU3" s="12"/>
      <c r="DV3" s="12"/>
      <c r="DW3" s="12"/>
      <c r="DX3" s="64"/>
      <c r="DY3" s="65"/>
      <c r="DZ3" s="106" t="s">
        <v>32</v>
      </c>
      <c r="EA3" s="107"/>
      <c r="EB3" s="2"/>
      <c r="EC3" s="106" t="s">
        <v>32</v>
      </c>
      <c r="ED3" s="107"/>
      <c r="EE3" s="2"/>
      <c r="EF3" s="68" t="s">
        <v>51</v>
      </c>
      <c r="EG3" s="69" t="str">
        <f>image("https://www.pokebip.com/pages/icones/objets/eau-mystique.png", 3)</f>
        <v/>
      </c>
      <c r="EH3" s="69"/>
      <c r="EI3" s="69"/>
    </row>
    <row r="4" ht="15.75" customHeight="1">
      <c r="A4" s="1">
        <v>4.0</v>
      </c>
      <c r="B4" s="2" t="s">
        <v>52</v>
      </c>
      <c r="C4" s="7"/>
      <c r="D4" s="122" t="s">
        <v>53</v>
      </c>
      <c r="E4" s="5"/>
      <c r="F4" s="123"/>
      <c r="G4" s="7"/>
      <c r="H4" s="8" t="s">
        <v>54</v>
      </c>
      <c r="I4" s="9" t="s">
        <v>55</v>
      </c>
      <c r="J4" s="10" t="str">
        <f>image("https://archives.bulbagarden.net/media/upload/7/7d/004MS6.png", 3)</f>
        <v/>
      </c>
      <c r="K4" s="11" t="s">
        <v>53</v>
      </c>
      <c r="L4" s="12"/>
      <c r="M4" s="12"/>
      <c r="N4" s="12"/>
      <c r="O4" s="12"/>
      <c r="P4" s="13"/>
      <c r="Q4" s="71">
        <v>39.0</v>
      </c>
      <c r="R4" s="72">
        <v>52.0</v>
      </c>
      <c r="S4" s="73">
        <v>43.0</v>
      </c>
      <c r="T4" s="74">
        <v>60.0</v>
      </c>
      <c r="U4" s="75">
        <v>50.0</v>
      </c>
      <c r="V4" s="76">
        <v>65.0</v>
      </c>
      <c r="W4" s="77">
        <v>309.0</v>
      </c>
      <c r="X4" s="21"/>
      <c r="Y4" s="71">
        <v>39.0</v>
      </c>
      <c r="Z4" s="72">
        <v>52.0</v>
      </c>
      <c r="AA4" s="73">
        <v>43.0</v>
      </c>
      <c r="AB4" s="74">
        <v>60.0</v>
      </c>
      <c r="AC4" s="75">
        <v>50.0</v>
      </c>
      <c r="AD4" s="76">
        <v>65.0</v>
      </c>
      <c r="AE4" s="77">
        <v>309.0</v>
      </c>
      <c r="AF4" s="21"/>
      <c r="AG4" s="71">
        <v>39.0</v>
      </c>
      <c r="AH4" s="72">
        <v>52.0</v>
      </c>
      <c r="AI4" s="73">
        <v>43.0</v>
      </c>
      <c r="AJ4" s="74">
        <v>60.0</v>
      </c>
      <c r="AK4" s="75">
        <v>50.0</v>
      </c>
      <c r="AL4" s="76">
        <v>65.0</v>
      </c>
      <c r="AM4" s="77">
        <v>309.0</v>
      </c>
      <c r="AN4" s="21"/>
      <c r="AO4" s="22">
        <v>39.0</v>
      </c>
      <c r="AP4" s="23">
        <v>52.0</v>
      </c>
      <c r="AQ4" s="23">
        <v>43.0</v>
      </c>
      <c r="AR4" s="23">
        <v>60.0</v>
      </c>
      <c r="AS4" s="23">
        <v>50.0</v>
      </c>
      <c r="AT4" s="23">
        <v>65.0</v>
      </c>
      <c r="AU4" s="24">
        <v>309.0</v>
      </c>
      <c r="AV4" s="21"/>
      <c r="AW4" s="78">
        <v>39.0</v>
      </c>
      <c r="AX4" s="79">
        <v>52.0</v>
      </c>
      <c r="AY4" s="79">
        <v>43.0</v>
      </c>
      <c r="AZ4" s="124">
        <v>60.0</v>
      </c>
      <c r="BA4" s="79">
        <v>50.0</v>
      </c>
      <c r="BB4" s="79">
        <v>65.0</v>
      </c>
      <c r="BC4" s="125">
        <v>309.0</v>
      </c>
      <c r="BE4" s="126" t="s">
        <v>56</v>
      </c>
      <c r="BF4" s="127"/>
      <c r="BG4" s="128"/>
      <c r="BI4" s="31" t="s">
        <v>5</v>
      </c>
      <c r="BJ4" s="32" t="s">
        <v>5</v>
      </c>
      <c r="BK4" s="32" t="s">
        <v>5</v>
      </c>
      <c r="BL4" s="32" t="s">
        <v>5</v>
      </c>
      <c r="BM4" s="32" t="s">
        <v>5</v>
      </c>
      <c r="BN4" s="33">
        <v>1.0</v>
      </c>
      <c r="BP4" s="85" t="s">
        <v>34</v>
      </c>
      <c r="BQ4" s="129"/>
      <c r="BS4" s="87" t="s">
        <v>34</v>
      </c>
      <c r="BT4" s="130"/>
      <c r="BU4" s="37" t="str">
        <f t="shared" si="1"/>
        <v>#NAME?</v>
      </c>
      <c r="BV4" s="89" t="s">
        <v>34</v>
      </c>
      <c r="BW4" s="37" t="str">
        <f t="shared" si="2"/>
        <v>#NAME?</v>
      </c>
      <c r="BX4" s="89"/>
      <c r="BY4" s="39"/>
      <c r="BZ4" s="39"/>
      <c r="CA4" s="40" t="s">
        <v>34</v>
      </c>
      <c r="CB4" s="41"/>
      <c r="CC4" s="90" t="s">
        <v>34</v>
      </c>
      <c r="CD4" s="91"/>
      <c r="CE4" s="21"/>
      <c r="CF4" s="92" t="s">
        <v>57</v>
      </c>
      <c r="CG4" s="93"/>
      <c r="CH4" s="21"/>
      <c r="CI4" s="94" t="s">
        <v>58</v>
      </c>
      <c r="CJ4" s="95" t="s">
        <v>57</v>
      </c>
      <c r="CK4" s="21"/>
      <c r="CL4" s="22" t="s">
        <v>59</v>
      </c>
      <c r="CM4" s="12"/>
      <c r="CN4" s="48"/>
      <c r="CO4" s="95" t="s">
        <v>57</v>
      </c>
      <c r="CP4" s="21"/>
      <c r="CQ4" s="2" t="s">
        <v>60</v>
      </c>
      <c r="CR4" s="97">
        <v>20.0</v>
      </c>
      <c r="CS4" s="2" t="s">
        <v>56</v>
      </c>
      <c r="CT4" s="98">
        <v>65.0</v>
      </c>
      <c r="CU4" s="2"/>
      <c r="CV4" s="52" t="s">
        <v>13</v>
      </c>
      <c r="CW4" s="53">
        <v>0.125</v>
      </c>
      <c r="CX4" s="2"/>
      <c r="CY4" s="99" t="s">
        <v>14</v>
      </c>
      <c r="CZ4" s="100" t="s">
        <v>61</v>
      </c>
      <c r="DA4" s="2"/>
      <c r="DB4" s="98">
        <v>45.0</v>
      </c>
      <c r="DC4" s="2"/>
      <c r="DD4" s="101" t="s">
        <v>15</v>
      </c>
      <c r="DE4" s="2"/>
      <c r="DF4" s="131" t="s">
        <v>62</v>
      </c>
      <c r="DG4" s="103"/>
      <c r="DH4" s="103"/>
      <c r="DI4" s="21"/>
      <c r="DJ4" s="21"/>
      <c r="DK4" s="59" t="s">
        <v>63</v>
      </c>
      <c r="DL4" s="37" t="s">
        <v>64</v>
      </c>
      <c r="DM4" s="37" t="str">
        <f t="shared" si="3"/>
        <v>#NAME?</v>
      </c>
      <c r="DN4" s="61"/>
      <c r="DO4" s="37">
        <v>15.0</v>
      </c>
      <c r="DP4" s="105">
        <v>1.0</v>
      </c>
      <c r="DQ4" s="62" t="s">
        <v>20</v>
      </c>
      <c r="DR4" s="63"/>
      <c r="DS4" s="40" t="s">
        <v>65</v>
      </c>
      <c r="DT4" s="12"/>
      <c r="DU4" s="12"/>
      <c r="DV4" s="12"/>
      <c r="DW4" s="12"/>
      <c r="DX4" s="64"/>
      <c r="DY4" s="65"/>
      <c r="DZ4" s="106" t="s">
        <v>66</v>
      </c>
      <c r="EA4" s="107"/>
      <c r="EB4" s="21"/>
      <c r="EC4" s="106" t="s">
        <v>66</v>
      </c>
      <c r="ED4" s="107"/>
      <c r="EE4" s="21"/>
      <c r="EF4" s="68" t="s">
        <v>67</v>
      </c>
      <c r="EG4" s="69" t="str">
        <f>image("https://www.pokebip.com/pages/icones/objets/pierre-dure.png", 3)</f>
        <v/>
      </c>
      <c r="EH4" s="69"/>
      <c r="EI4" s="69"/>
    </row>
    <row r="5" ht="15.75" customHeight="1">
      <c r="A5" s="1">
        <v>5.0</v>
      </c>
      <c r="B5" s="2" t="s">
        <v>68</v>
      </c>
      <c r="C5" s="7"/>
      <c r="D5" s="122" t="s">
        <v>69</v>
      </c>
      <c r="E5" s="5"/>
      <c r="F5" s="123"/>
      <c r="G5" s="7"/>
      <c r="H5" s="8" t="s">
        <v>70</v>
      </c>
      <c r="I5" s="9" t="s">
        <v>71</v>
      </c>
      <c r="J5" s="10" t="str">
        <f>image("https://archives.bulbagarden.net/media/upload/b/be/005MS6.png", 3)</f>
        <v/>
      </c>
      <c r="K5" s="11" t="s">
        <v>69</v>
      </c>
      <c r="L5" s="12"/>
      <c r="M5" s="12"/>
      <c r="N5" s="12"/>
      <c r="O5" s="12"/>
      <c r="Q5" s="71">
        <v>58.0</v>
      </c>
      <c r="R5" s="72">
        <v>64.0</v>
      </c>
      <c r="S5" s="73">
        <v>58.0</v>
      </c>
      <c r="T5" s="74">
        <v>80.0</v>
      </c>
      <c r="U5" s="75">
        <v>65.0</v>
      </c>
      <c r="V5" s="76">
        <v>80.0</v>
      </c>
      <c r="W5" s="77">
        <v>405.0</v>
      </c>
      <c r="X5" s="21"/>
      <c r="Y5" s="71">
        <v>58.0</v>
      </c>
      <c r="Z5" s="72">
        <v>64.0</v>
      </c>
      <c r="AA5" s="73">
        <v>58.0</v>
      </c>
      <c r="AB5" s="74">
        <v>80.0</v>
      </c>
      <c r="AC5" s="75">
        <v>65.0</v>
      </c>
      <c r="AD5" s="76">
        <v>80.0</v>
      </c>
      <c r="AE5" s="77">
        <v>405.0</v>
      </c>
      <c r="AF5" s="21"/>
      <c r="AG5" s="71">
        <v>58.0</v>
      </c>
      <c r="AH5" s="72">
        <v>64.0</v>
      </c>
      <c r="AI5" s="73">
        <v>58.0</v>
      </c>
      <c r="AJ5" s="74">
        <v>80.0</v>
      </c>
      <c r="AK5" s="75">
        <v>65.0</v>
      </c>
      <c r="AL5" s="76">
        <v>80.0</v>
      </c>
      <c r="AM5" s="77">
        <v>405.0</v>
      </c>
      <c r="AN5" s="21"/>
      <c r="AO5" s="22">
        <v>58.0</v>
      </c>
      <c r="AP5" s="23">
        <v>64.0</v>
      </c>
      <c r="AQ5" s="23">
        <v>58.0</v>
      </c>
      <c r="AR5" s="23">
        <v>80.0</v>
      </c>
      <c r="AS5" s="23">
        <v>65.0</v>
      </c>
      <c r="AT5" s="23">
        <v>80.0</v>
      </c>
      <c r="AU5" s="24">
        <v>405.0</v>
      </c>
      <c r="AV5" s="21"/>
      <c r="AW5" s="78">
        <v>58.0</v>
      </c>
      <c r="AX5" s="79">
        <v>64.0</v>
      </c>
      <c r="AY5" s="79">
        <v>58.0</v>
      </c>
      <c r="AZ5" s="80">
        <v>80.0</v>
      </c>
      <c r="BA5" s="79">
        <v>65.0</v>
      </c>
      <c r="BB5" s="79">
        <v>80.0</v>
      </c>
      <c r="BC5" s="81">
        <v>405.0</v>
      </c>
      <c r="BE5" s="82" t="s">
        <v>4</v>
      </c>
      <c r="BF5" s="132" t="s">
        <v>56</v>
      </c>
      <c r="BG5" s="93"/>
      <c r="BI5" s="31" t="s">
        <v>5</v>
      </c>
      <c r="BJ5" s="32" t="s">
        <v>5</v>
      </c>
      <c r="BK5" s="32" t="s">
        <v>5</v>
      </c>
      <c r="BL5" s="32">
        <v>1.0</v>
      </c>
      <c r="BM5" s="32" t="s">
        <v>5</v>
      </c>
      <c r="BN5" s="33">
        <v>1.0</v>
      </c>
      <c r="BP5" s="115" t="s">
        <v>34</v>
      </c>
      <c r="BQ5" s="93"/>
      <c r="BS5" s="115" t="s">
        <v>34</v>
      </c>
      <c r="BT5" s="133"/>
      <c r="BU5" s="37" t="str">
        <f t="shared" si="1"/>
        <v>#NAME?</v>
      </c>
      <c r="BV5" s="89" t="s">
        <v>34</v>
      </c>
      <c r="BW5" s="37" t="str">
        <f t="shared" si="2"/>
        <v>#NAME?</v>
      </c>
      <c r="BX5" s="89"/>
      <c r="BY5" s="134"/>
      <c r="BZ5" s="134"/>
      <c r="CA5" s="135" t="s">
        <v>34</v>
      </c>
      <c r="CB5" s="136"/>
      <c r="CC5" s="90" t="s">
        <v>34</v>
      </c>
      <c r="CD5" s="137"/>
      <c r="CE5" s="21"/>
      <c r="CF5" s="92" t="s">
        <v>57</v>
      </c>
      <c r="CG5" s="93"/>
      <c r="CH5" s="21"/>
      <c r="CI5" s="94" t="s">
        <v>58</v>
      </c>
      <c r="CJ5" s="95" t="s">
        <v>57</v>
      </c>
      <c r="CK5" s="21"/>
      <c r="CL5" s="22" t="s">
        <v>59</v>
      </c>
      <c r="CM5" s="12"/>
      <c r="CN5" s="48"/>
      <c r="CO5" s="95" t="s">
        <v>57</v>
      </c>
      <c r="CP5" s="21"/>
      <c r="CQ5" s="2" t="s">
        <v>72</v>
      </c>
      <c r="CR5" s="97">
        <v>40.0</v>
      </c>
      <c r="CS5" s="2" t="s">
        <v>73</v>
      </c>
      <c r="CT5" s="98">
        <v>142.0</v>
      </c>
      <c r="CU5" s="2"/>
      <c r="CV5" s="52" t="s">
        <v>13</v>
      </c>
      <c r="CW5" s="53">
        <v>0.125</v>
      </c>
      <c r="CX5" s="2"/>
      <c r="CY5" s="118" t="s">
        <v>14</v>
      </c>
      <c r="CZ5" s="119" t="s">
        <v>61</v>
      </c>
      <c r="DA5" s="2"/>
      <c r="DB5" s="98">
        <v>45.0</v>
      </c>
      <c r="DC5" s="2"/>
      <c r="DD5" s="101" t="s">
        <v>15</v>
      </c>
      <c r="DE5" s="2"/>
      <c r="DF5" s="120" t="s">
        <v>74</v>
      </c>
      <c r="DG5" s="121"/>
      <c r="DH5" s="121"/>
      <c r="DI5" s="2"/>
      <c r="DJ5" s="2"/>
      <c r="DK5" s="59" t="s">
        <v>75</v>
      </c>
      <c r="DL5" s="37" t="s">
        <v>76</v>
      </c>
      <c r="DM5" s="37" t="str">
        <f t="shared" si="3"/>
        <v>#NAME?</v>
      </c>
      <c r="DN5" s="61"/>
      <c r="DO5" s="37" t="s">
        <v>77</v>
      </c>
      <c r="DP5" s="105">
        <v>1.0</v>
      </c>
      <c r="DQ5" s="62" t="s">
        <v>49</v>
      </c>
      <c r="DR5" s="63"/>
      <c r="DS5" s="40" t="s">
        <v>78</v>
      </c>
      <c r="DT5" s="12"/>
      <c r="DU5" s="12"/>
      <c r="DV5" s="12"/>
      <c r="DW5" s="12"/>
      <c r="DX5" s="64"/>
      <c r="DY5" s="65"/>
      <c r="DZ5" s="106" t="s">
        <v>79</v>
      </c>
      <c r="EA5" s="107"/>
      <c r="EB5" s="2"/>
      <c r="EC5" s="106" t="s">
        <v>79</v>
      </c>
      <c r="ED5" s="107"/>
      <c r="EE5" s="2"/>
      <c r="EF5" s="68" t="s">
        <v>80</v>
      </c>
      <c r="EG5" s="69" t="str">
        <f>image("https://www.pokebip.com/pages/icones/objets/sable-doux.png", 3)</f>
        <v/>
      </c>
      <c r="EH5" s="69"/>
      <c r="EI5" s="69"/>
    </row>
    <row r="6" ht="15.75" customHeight="1">
      <c r="A6" s="1">
        <v>6.0</v>
      </c>
      <c r="B6" s="2" t="s">
        <v>81</v>
      </c>
      <c r="C6" s="7"/>
      <c r="D6" s="122" t="s">
        <v>82</v>
      </c>
      <c r="E6" s="5"/>
      <c r="F6" s="123"/>
      <c r="G6" s="7"/>
      <c r="H6" s="8" t="s">
        <v>83</v>
      </c>
      <c r="I6" s="9" t="s">
        <v>84</v>
      </c>
      <c r="J6" s="10" t="str">
        <f>image("https://archives.bulbagarden.net/media/upload/4/41/006MS6.png", 3)</f>
        <v/>
      </c>
      <c r="K6" s="11" t="s">
        <v>82</v>
      </c>
      <c r="L6" s="12"/>
      <c r="M6" s="12"/>
      <c r="N6" s="12"/>
      <c r="O6" s="12"/>
      <c r="Q6" s="71">
        <v>78.0</v>
      </c>
      <c r="R6" s="72">
        <v>84.0</v>
      </c>
      <c r="S6" s="73">
        <v>78.0</v>
      </c>
      <c r="T6" s="74">
        <v>109.0</v>
      </c>
      <c r="U6" s="75">
        <v>85.0</v>
      </c>
      <c r="V6" s="76">
        <v>100.0</v>
      </c>
      <c r="W6" s="77">
        <v>534.0</v>
      </c>
      <c r="X6" s="21"/>
      <c r="Y6" s="71">
        <v>78.0</v>
      </c>
      <c r="Z6" s="72">
        <v>84.0</v>
      </c>
      <c r="AA6" s="73">
        <v>78.0</v>
      </c>
      <c r="AB6" s="74">
        <v>109.0</v>
      </c>
      <c r="AC6" s="75">
        <v>85.0</v>
      </c>
      <c r="AD6" s="76">
        <v>100.0</v>
      </c>
      <c r="AE6" s="77">
        <v>534.0</v>
      </c>
      <c r="AF6" s="21"/>
      <c r="AG6" s="71">
        <v>78.0</v>
      </c>
      <c r="AH6" s="72">
        <v>84.0</v>
      </c>
      <c r="AI6" s="73">
        <v>78.0</v>
      </c>
      <c r="AJ6" s="109">
        <v>110.0</v>
      </c>
      <c r="AK6" s="75">
        <v>85.0</v>
      </c>
      <c r="AL6" s="76">
        <v>100.0</v>
      </c>
      <c r="AM6" s="110">
        <v>535.0</v>
      </c>
      <c r="AN6" s="21"/>
      <c r="AO6" s="22">
        <v>78.0</v>
      </c>
      <c r="AP6" s="23">
        <v>84.0</v>
      </c>
      <c r="AQ6" s="23">
        <v>78.0</v>
      </c>
      <c r="AR6" s="23" t="s">
        <v>40</v>
      </c>
      <c r="AS6" s="23">
        <v>85.0</v>
      </c>
      <c r="AT6" s="23">
        <v>100.0</v>
      </c>
      <c r="AU6" s="24" t="s">
        <v>41</v>
      </c>
      <c r="AV6" s="21"/>
      <c r="AW6" s="78">
        <v>78.0</v>
      </c>
      <c r="AX6" s="79">
        <v>84.0</v>
      </c>
      <c r="AY6" s="79">
        <v>78.0</v>
      </c>
      <c r="AZ6" s="111">
        <v>110.0</v>
      </c>
      <c r="BA6" s="79">
        <v>85.0</v>
      </c>
      <c r="BB6" s="79">
        <v>100.0</v>
      </c>
      <c r="BC6" s="111">
        <v>535.0</v>
      </c>
      <c r="BE6" s="112" t="s">
        <v>85</v>
      </c>
      <c r="BF6" s="138"/>
      <c r="BG6" s="128"/>
      <c r="BI6" s="31" t="s">
        <v>5</v>
      </c>
      <c r="BJ6" s="32" t="s">
        <v>5</v>
      </c>
      <c r="BK6" s="32" t="s">
        <v>5</v>
      </c>
      <c r="BL6" s="32">
        <v>3.0</v>
      </c>
      <c r="BM6" s="32" t="s">
        <v>5</v>
      </c>
      <c r="BN6" s="33" t="s">
        <v>5</v>
      </c>
      <c r="BP6" s="85" t="s">
        <v>34</v>
      </c>
      <c r="BQ6" s="86" t="s">
        <v>18</v>
      </c>
      <c r="BS6" s="87" t="s">
        <v>34</v>
      </c>
      <c r="BT6" s="88" t="s">
        <v>18</v>
      </c>
      <c r="BU6" s="37" t="str">
        <f t="shared" si="1"/>
        <v>#NAME?</v>
      </c>
      <c r="BV6" s="89" t="s">
        <v>34</v>
      </c>
      <c r="BW6" s="37" t="str">
        <f t="shared" si="2"/>
        <v>#NAME?</v>
      </c>
      <c r="BX6" s="89" t="s">
        <v>86</v>
      </c>
      <c r="BY6" s="39"/>
      <c r="BZ6" s="39"/>
      <c r="CA6" s="40" t="s">
        <v>87</v>
      </c>
      <c r="CB6" s="41"/>
      <c r="CC6" s="37" t="s">
        <v>34</v>
      </c>
      <c r="CD6" s="139" t="s">
        <v>61</v>
      </c>
      <c r="CE6" s="2"/>
      <c r="CF6" s="92" t="s">
        <v>57</v>
      </c>
      <c r="CG6" s="93"/>
      <c r="CH6" s="2"/>
      <c r="CI6" s="94" t="s">
        <v>58</v>
      </c>
      <c r="CJ6" s="95" t="s">
        <v>57</v>
      </c>
      <c r="CK6" s="2"/>
      <c r="CL6" s="22" t="s">
        <v>88</v>
      </c>
      <c r="CM6" s="12"/>
      <c r="CN6" s="48"/>
      <c r="CO6" s="95" t="s">
        <v>57</v>
      </c>
      <c r="CP6" s="2"/>
      <c r="CQ6" s="2" t="s">
        <v>89</v>
      </c>
      <c r="CR6" s="97">
        <v>80.0</v>
      </c>
      <c r="CS6" s="2" t="s">
        <v>85</v>
      </c>
      <c r="CT6" s="98">
        <v>209.0</v>
      </c>
      <c r="CU6" s="2"/>
      <c r="CV6" s="52" t="s">
        <v>13</v>
      </c>
      <c r="CW6" s="53">
        <v>0.125</v>
      </c>
      <c r="CX6" s="2"/>
      <c r="CY6" s="99" t="s">
        <v>14</v>
      </c>
      <c r="CZ6" s="100" t="s">
        <v>61</v>
      </c>
      <c r="DA6" s="2"/>
      <c r="DB6" s="98">
        <v>45.0</v>
      </c>
      <c r="DC6" s="2"/>
      <c r="DD6" s="101" t="s">
        <v>15</v>
      </c>
      <c r="DE6" s="2"/>
      <c r="DF6" s="102" t="s">
        <v>90</v>
      </c>
      <c r="DG6" s="103"/>
      <c r="DH6" s="103"/>
      <c r="DI6" s="2"/>
      <c r="DJ6" s="2"/>
      <c r="DK6" s="59" t="s">
        <v>91</v>
      </c>
      <c r="DL6" s="37" t="s">
        <v>92</v>
      </c>
      <c r="DM6" s="37" t="str">
        <f t="shared" si="3"/>
        <v>#NAME?</v>
      </c>
      <c r="DN6" s="61"/>
      <c r="DO6" s="37">
        <v>30.0</v>
      </c>
      <c r="DP6" s="105">
        <v>1.0</v>
      </c>
      <c r="DQ6" s="62" t="s">
        <v>93</v>
      </c>
      <c r="DR6" s="63"/>
      <c r="DS6" s="40" t="s">
        <v>94</v>
      </c>
      <c r="DT6" s="12"/>
      <c r="DU6" s="12"/>
      <c r="DV6" s="12"/>
      <c r="DW6" s="12"/>
      <c r="DX6" s="64"/>
      <c r="DY6" s="65"/>
      <c r="DZ6" s="106" t="s">
        <v>95</v>
      </c>
      <c r="EA6" s="107"/>
      <c r="EB6" s="2"/>
      <c r="EC6" s="106" t="s">
        <v>95</v>
      </c>
      <c r="ED6" s="107"/>
      <c r="EE6" s="2"/>
      <c r="EF6" s="68" t="s">
        <v>96</v>
      </c>
      <c r="EG6" s="69" t="str">
        <f>image("https://www.pokebip.com/pages/icones/objets/peau-metal.png", 3)</f>
        <v/>
      </c>
      <c r="EH6" s="69"/>
      <c r="EI6" s="69"/>
    </row>
    <row r="7" ht="15.75" customHeight="1">
      <c r="A7" s="1">
        <v>7.0</v>
      </c>
      <c r="B7" s="2" t="s">
        <v>97</v>
      </c>
      <c r="C7" s="7"/>
      <c r="D7" s="140" t="s">
        <v>98</v>
      </c>
      <c r="E7" s="5"/>
      <c r="F7" s="141"/>
      <c r="G7" s="7"/>
      <c r="H7" s="8" t="s">
        <v>99</v>
      </c>
      <c r="I7" s="9" t="s">
        <v>100</v>
      </c>
      <c r="J7" s="10" t="str">
        <f>image("https://archives.bulbagarden.net/media/upload/9/97/007MS6.png", 3)</f>
        <v/>
      </c>
      <c r="K7" s="11" t="s">
        <v>98</v>
      </c>
      <c r="L7" s="12"/>
      <c r="M7" s="12"/>
      <c r="N7" s="12"/>
      <c r="O7" s="12"/>
      <c r="Q7" s="71">
        <v>44.0</v>
      </c>
      <c r="R7" s="72">
        <v>48.0</v>
      </c>
      <c r="S7" s="73">
        <v>65.0</v>
      </c>
      <c r="T7" s="74">
        <v>50.0</v>
      </c>
      <c r="U7" s="75">
        <v>64.0</v>
      </c>
      <c r="V7" s="76">
        <v>43.0</v>
      </c>
      <c r="W7" s="77">
        <v>314.0</v>
      </c>
      <c r="X7" s="21"/>
      <c r="Y7" s="71">
        <v>44.0</v>
      </c>
      <c r="Z7" s="72">
        <v>48.0</v>
      </c>
      <c r="AA7" s="73">
        <v>65.0</v>
      </c>
      <c r="AB7" s="74">
        <v>50.0</v>
      </c>
      <c r="AC7" s="75">
        <v>64.0</v>
      </c>
      <c r="AD7" s="76">
        <v>43.0</v>
      </c>
      <c r="AE7" s="77">
        <v>314.0</v>
      </c>
      <c r="AF7" s="21"/>
      <c r="AG7" s="71">
        <v>44.0</v>
      </c>
      <c r="AH7" s="72">
        <v>48.0</v>
      </c>
      <c r="AI7" s="73">
        <v>65.0</v>
      </c>
      <c r="AJ7" s="74">
        <v>50.0</v>
      </c>
      <c r="AK7" s="75">
        <v>64.0</v>
      </c>
      <c r="AL7" s="76">
        <v>43.0</v>
      </c>
      <c r="AM7" s="77">
        <v>314.0</v>
      </c>
      <c r="AN7" s="21"/>
      <c r="AO7" s="22">
        <v>44.0</v>
      </c>
      <c r="AP7" s="23">
        <v>48.0</v>
      </c>
      <c r="AQ7" s="23">
        <v>65.0</v>
      </c>
      <c r="AR7" s="23">
        <v>50.0</v>
      </c>
      <c r="AS7" s="23">
        <v>64.0</v>
      </c>
      <c r="AT7" s="23">
        <v>43.0</v>
      </c>
      <c r="AU7" s="24">
        <v>314.0</v>
      </c>
      <c r="AV7" s="21"/>
      <c r="AW7" s="78">
        <v>44.0</v>
      </c>
      <c r="AX7" s="79">
        <v>48.0</v>
      </c>
      <c r="AY7" s="79">
        <v>65.0</v>
      </c>
      <c r="AZ7" s="124">
        <v>50.0</v>
      </c>
      <c r="BA7" s="79">
        <v>64.0</v>
      </c>
      <c r="BB7" s="79">
        <v>43.0</v>
      </c>
      <c r="BC7" s="125">
        <v>314.0</v>
      </c>
      <c r="BE7" s="142" t="s">
        <v>101</v>
      </c>
      <c r="BF7" s="143"/>
      <c r="BG7" s="128"/>
      <c r="BI7" s="31" t="s">
        <v>5</v>
      </c>
      <c r="BJ7" s="32" t="s">
        <v>5</v>
      </c>
      <c r="BK7" s="32">
        <v>1.0</v>
      </c>
      <c r="BL7" s="32" t="s">
        <v>5</v>
      </c>
      <c r="BM7" s="32" t="s">
        <v>5</v>
      </c>
      <c r="BN7" s="33" t="s">
        <v>5</v>
      </c>
      <c r="BP7" s="115" t="s">
        <v>32</v>
      </c>
      <c r="BQ7" s="93"/>
      <c r="BS7" s="115" t="s">
        <v>32</v>
      </c>
      <c r="BT7" s="133"/>
      <c r="BU7" s="37" t="str">
        <f t="shared" si="1"/>
        <v>#NAME?</v>
      </c>
      <c r="BV7" s="89" t="s">
        <v>32</v>
      </c>
      <c r="BW7" s="37" t="str">
        <f t="shared" si="2"/>
        <v>#NAME?</v>
      </c>
      <c r="BX7" s="89"/>
      <c r="BY7" s="144"/>
      <c r="BZ7" s="144"/>
      <c r="CA7" s="145" t="s">
        <v>32</v>
      </c>
      <c r="CB7" s="146"/>
      <c r="CC7" s="90" t="s">
        <v>32</v>
      </c>
      <c r="CD7" s="147"/>
      <c r="CE7" s="21"/>
      <c r="CF7" s="92" t="s">
        <v>102</v>
      </c>
      <c r="CG7" s="93"/>
      <c r="CH7" s="21"/>
      <c r="CI7" s="94" t="s">
        <v>103</v>
      </c>
      <c r="CJ7" s="95" t="s">
        <v>102</v>
      </c>
      <c r="CK7" s="21"/>
      <c r="CL7" s="22" t="s">
        <v>104</v>
      </c>
      <c r="CM7" s="12"/>
      <c r="CN7" s="48"/>
      <c r="CO7" s="95" t="s">
        <v>102</v>
      </c>
      <c r="CP7" s="21"/>
      <c r="CQ7" s="2" t="s">
        <v>105</v>
      </c>
      <c r="CR7" s="97">
        <v>20.0</v>
      </c>
      <c r="CS7" s="2" t="s">
        <v>101</v>
      </c>
      <c r="CT7" s="98">
        <v>66.0</v>
      </c>
      <c r="CU7" s="2"/>
      <c r="CV7" s="52" t="s">
        <v>13</v>
      </c>
      <c r="CW7" s="53">
        <v>0.125</v>
      </c>
      <c r="CX7" s="2"/>
      <c r="CY7" s="118" t="s">
        <v>14</v>
      </c>
      <c r="CZ7" s="119" t="s">
        <v>106</v>
      </c>
      <c r="DA7" s="2"/>
      <c r="DB7" s="98">
        <v>45.0</v>
      </c>
      <c r="DC7" s="2"/>
      <c r="DD7" s="101" t="s">
        <v>15</v>
      </c>
      <c r="DE7" s="2"/>
      <c r="DF7" s="148" t="s">
        <v>107</v>
      </c>
      <c r="DG7" s="121"/>
      <c r="DH7" s="121"/>
      <c r="DI7" s="21"/>
      <c r="DJ7" s="21"/>
      <c r="DK7" s="59" t="s">
        <v>108</v>
      </c>
      <c r="DL7" s="37" t="s">
        <v>109</v>
      </c>
      <c r="DM7" s="37" t="str">
        <f t="shared" si="3"/>
        <v>#NAME?</v>
      </c>
      <c r="DN7" s="61"/>
      <c r="DO7" s="37">
        <v>90.0</v>
      </c>
      <c r="DP7" s="105">
        <v>1.0</v>
      </c>
      <c r="DQ7" s="62" t="s">
        <v>93</v>
      </c>
      <c r="DR7" s="63"/>
      <c r="DS7" s="40" t="s">
        <v>110</v>
      </c>
      <c r="DT7" s="12"/>
      <c r="DU7" s="12"/>
      <c r="DV7" s="12"/>
      <c r="DW7" s="12"/>
      <c r="DX7" s="64"/>
      <c r="DY7" s="65"/>
      <c r="DZ7" s="106" t="s">
        <v>7</v>
      </c>
      <c r="EA7" s="107"/>
      <c r="EB7" s="21"/>
      <c r="EC7" s="106" t="s">
        <v>7</v>
      </c>
      <c r="ED7" s="107"/>
      <c r="EE7" s="21"/>
      <c r="EF7" s="149" t="s">
        <v>111</v>
      </c>
      <c r="EG7" s="108" t="str">
        <f>image("https://www.pokebip.com/pages/icones/objets/pic-venin.png", 3)</f>
        <v/>
      </c>
      <c r="EH7" s="108"/>
      <c r="EI7" s="69"/>
    </row>
    <row r="8" ht="15.75" customHeight="1">
      <c r="A8" s="1">
        <v>8.0</v>
      </c>
      <c r="B8" s="2" t="s">
        <v>112</v>
      </c>
      <c r="C8" s="7"/>
      <c r="D8" s="140" t="s">
        <v>113</v>
      </c>
      <c r="E8" s="5"/>
      <c r="F8" s="141"/>
      <c r="G8" s="7"/>
      <c r="H8" s="8" t="s">
        <v>114</v>
      </c>
      <c r="I8" s="9" t="s">
        <v>115</v>
      </c>
      <c r="J8" s="10" t="str">
        <f>image("https://archives.bulbagarden.net/media/upload/5/55/008MS6.png", 3)</f>
        <v/>
      </c>
      <c r="K8" s="11" t="s">
        <v>113</v>
      </c>
      <c r="L8" s="12"/>
      <c r="M8" s="12"/>
      <c r="N8" s="12"/>
      <c r="O8" s="12"/>
      <c r="Q8" s="71">
        <v>59.0</v>
      </c>
      <c r="R8" s="72">
        <v>63.0</v>
      </c>
      <c r="S8" s="73">
        <v>80.0</v>
      </c>
      <c r="T8" s="74">
        <v>65.0</v>
      </c>
      <c r="U8" s="75">
        <v>80.0</v>
      </c>
      <c r="V8" s="76">
        <v>58.0</v>
      </c>
      <c r="W8" s="77">
        <v>405.0</v>
      </c>
      <c r="X8" s="21"/>
      <c r="Y8" s="71">
        <v>59.0</v>
      </c>
      <c r="Z8" s="72">
        <v>63.0</v>
      </c>
      <c r="AA8" s="73">
        <v>80.0</v>
      </c>
      <c r="AB8" s="74">
        <v>65.0</v>
      </c>
      <c r="AC8" s="75">
        <v>80.0</v>
      </c>
      <c r="AD8" s="76">
        <v>58.0</v>
      </c>
      <c r="AE8" s="77">
        <v>405.0</v>
      </c>
      <c r="AF8" s="21"/>
      <c r="AG8" s="71">
        <v>59.0</v>
      </c>
      <c r="AH8" s="72">
        <v>63.0</v>
      </c>
      <c r="AI8" s="73">
        <v>80.0</v>
      </c>
      <c r="AJ8" s="74">
        <v>65.0</v>
      </c>
      <c r="AK8" s="75">
        <v>80.0</v>
      </c>
      <c r="AL8" s="76">
        <v>58.0</v>
      </c>
      <c r="AM8" s="77">
        <v>405.0</v>
      </c>
      <c r="AN8" s="21"/>
      <c r="AO8" s="22">
        <v>59.0</v>
      </c>
      <c r="AP8" s="23">
        <v>63.0</v>
      </c>
      <c r="AQ8" s="23">
        <v>80.0</v>
      </c>
      <c r="AR8" s="23">
        <v>65.0</v>
      </c>
      <c r="AS8" s="23">
        <v>80.0</v>
      </c>
      <c r="AT8" s="23">
        <v>58.0</v>
      </c>
      <c r="AU8" s="24">
        <v>405.0</v>
      </c>
      <c r="AV8" s="21"/>
      <c r="AW8" s="78">
        <v>59.0</v>
      </c>
      <c r="AX8" s="79">
        <v>63.0</v>
      </c>
      <c r="AY8" s="79">
        <v>80.0</v>
      </c>
      <c r="AZ8" s="80">
        <v>65.0</v>
      </c>
      <c r="BA8" s="79">
        <v>80.0</v>
      </c>
      <c r="BB8" s="79">
        <v>58.0</v>
      </c>
      <c r="BC8" s="81">
        <v>405.0</v>
      </c>
      <c r="BE8" s="142" t="s">
        <v>101</v>
      </c>
      <c r="BF8" s="83" t="s">
        <v>27</v>
      </c>
      <c r="BG8" s="84"/>
      <c r="BI8" s="31" t="s">
        <v>5</v>
      </c>
      <c r="BJ8" s="32" t="s">
        <v>5</v>
      </c>
      <c r="BK8" s="32">
        <v>1.0</v>
      </c>
      <c r="BL8" s="32" t="s">
        <v>5</v>
      </c>
      <c r="BM8" s="32">
        <v>1.0</v>
      </c>
      <c r="BN8" s="33" t="s">
        <v>5</v>
      </c>
      <c r="BP8" s="85" t="s">
        <v>32</v>
      </c>
      <c r="BQ8" s="129"/>
      <c r="BS8" s="87" t="s">
        <v>32</v>
      </c>
      <c r="BT8" s="130"/>
      <c r="BU8" s="37" t="str">
        <f t="shared" si="1"/>
        <v>#NAME?</v>
      </c>
      <c r="BV8" s="89" t="s">
        <v>32</v>
      </c>
      <c r="BW8" s="37" t="str">
        <f t="shared" si="2"/>
        <v>#NAME?</v>
      </c>
      <c r="BX8" s="89"/>
      <c r="BY8" s="39"/>
      <c r="BZ8" s="39"/>
      <c r="CA8" s="40" t="s">
        <v>32</v>
      </c>
      <c r="CB8" s="41"/>
      <c r="CC8" s="90" t="s">
        <v>32</v>
      </c>
      <c r="CD8" s="91"/>
      <c r="CE8" s="21"/>
      <c r="CF8" s="92" t="s">
        <v>102</v>
      </c>
      <c r="CG8" s="93"/>
      <c r="CH8" s="21"/>
      <c r="CI8" s="94" t="s">
        <v>103</v>
      </c>
      <c r="CJ8" s="95" t="s">
        <v>102</v>
      </c>
      <c r="CK8" s="21"/>
      <c r="CL8" s="22" t="s">
        <v>104</v>
      </c>
      <c r="CM8" s="12"/>
      <c r="CN8" s="48"/>
      <c r="CO8" s="95" t="s">
        <v>102</v>
      </c>
      <c r="CP8" s="21"/>
      <c r="CQ8" s="2" t="s">
        <v>116</v>
      </c>
      <c r="CR8" s="97">
        <v>40.0</v>
      </c>
      <c r="CS8" s="2" t="s">
        <v>117</v>
      </c>
      <c r="CT8" s="98">
        <v>143.0</v>
      </c>
      <c r="CU8" s="2"/>
      <c r="CV8" s="52" t="s">
        <v>13</v>
      </c>
      <c r="CW8" s="53">
        <v>0.125</v>
      </c>
      <c r="CX8" s="2"/>
      <c r="CY8" s="99" t="s">
        <v>14</v>
      </c>
      <c r="CZ8" s="100" t="s">
        <v>106</v>
      </c>
      <c r="DA8" s="2"/>
      <c r="DB8" s="98">
        <v>45.0</v>
      </c>
      <c r="DC8" s="2"/>
      <c r="DD8" s="101" t="s">
        <v>15</v>
      </c>
      <c r="DE8" s="2"/>
      <c r="DF8" s="102" t="s">
        <v>118</v>
      </c>
      <c r="DG8" s="103"/>
      <c r="DH8" s="103"/>
      <c r="DI8" s="2"/>
      <c r="DJ8" s="2"/>
      <c r="DK8" s="59" t="s">
        <v>119</v>
      </c>
      <c r="DL8" s="37" t="s">
        <v>120</v>
      </c>
      <c r="DM8" s="37" t="str">
        <f t="shared" si="3"/>
        <v>#NAME?</v>
      </c>
      <c r="DN8" s="61"/>
      <c r="DO8" s="37">
        <v>60.0</v>
      </c>
      <c r="DP8" s="105">
        <v>1.0</v>
      </c>
      <c r="DQ8" s="62" t="s">
        <v>49</v>
      </c>
      <c r="DR8" s="63"/>
      <c r="DS8" s="40" t="s">
        <v>121</v>
      </c>
      <c r="DT8" s="12"/>
      <c r="DU8" s="12"/>
      <c r="DV8" s="12"/>
      <c r="DW8" s="12"/>
      <c r="DX8" s="64"/>
      <c r="DY8" s="65"/>
      <c r="DZ8" s="106" t="s">
        <v>122</v>
      </c>
      <c r="EA8" s="107"/>
      <c r="EB8" s="2"/>
      <c r="EC8" s="106" t="s">
        <v>122</v>
      </c>
      <c r="ED8" s="107"/>
      <c r="EE8" s="2"/>
      <c r="EF8" s="68" t="s">
        <v>123</v>
      </c>
      <c r="EG8" s="69" t="str">
        <f>image("https://www.pokebip.com/pages/icones/objets/cuiller-tordue.png", 3)</f>
        <v/>
      </c>
      <c r="EH8" s="69"/>
      <c r="EI8" s="69"/>
    </row>
    <row r="9" ht="15.75" customHeight="1">
      <c r="A9" s="1">
        <v>9.0</v>
      </c>
      <c r="B9" s="2" t="s">
        <v>124</v>
      </c>
      <c r="C9" s="7"/>
      <c r="D9" s="140" t="s">
        <v>125</v>
      </c>
      <c r="E9" s="5"/>
      <c r="F9" s="141"/>
      <c r="G9" s="7"/>
      <c r="H9" s="8" t="s">
        <v>126</v>
      </c>
      <c r="I9" s="9" t="s">
        <v>127</v>
      </c>
      <c r="J9" s="10" t="str">
        <f>image("https://archives.bulbagarden.net/media/upload/1/12/009MS6.png", 3)</f>
        <v/>
      </c>
      <c r="K9" s="11" t="s">
        <v>125</v>
      </c>
      <c r="L9" s="12"/>
      <c r="M9" s="12"/>
      <c r="N9" s="12"/>
      <c r="O9" s="12"/>
      <c r="Q9" s="71">
        <v>79.0</v>
      </c>
      <c r="R9" s="72">
        <v>83.0</v>
      </c>
      <c r="S9" s="73">
        <v>100.0</v>
      </c>
      <c r="T9" s="74">
        <v>85.0</v>
      </c>
      <c r="U9" s="75">
        <v>105.0</v>
      </c>
      <c r="V9" s="76">
        <v>78.0</v>
      </c>
      <c r="W9" s="77">
        <v>530.0</v>
      </c>
      <c r="X9" s="21"/>
      <c r="Y9" s="71">
        <v>79.0</v>
      </c>
      <c r="Z9" s="72">
        <v>83.0</v>
      </c>
      <c r="AA9" s="73">
        <v>100.0</v>
      </c>
      <c r="AB9" s="74">
        <v>85.0</v>
      </c>
      <c r="AC9" s="75">
        <v>105.0</v>
      </c>
      <c r="AD9" s="76">
        <v>78.0</v>
      </c>
      <c r="AE9" s="77">
        <v>530.0</v>
      </c>
      <c r="AF9" s="21"/>
      <c r="AG9" s="71">
        <v>79.0</v>
      </c>
      <c r="AH9" s="72">
        <v>83.0</v>
      </c>
      <c r="AI9" s="73">
        <v>100.0</v>
      </c>
      <c r="AJ9" s="109">
        <v>90.0</v>
      </c>
      <c r="AK9" s="75">
        <v>105.0</v>
      </c>
      <c r="AL9" s="76">
        <v>78.0</v>
      </c>
      <c r="AM9" s="110">
        <v>535.0</v>
      </c>
      <c r="AN9" s="21"/>
      <c r="AO9" s="22">
        <v>79.0</v>
      </c>
      <c r="AP9" s="23">
        <v>83.0</v>
      </c>
      <c r="AQ9" s="23">
        <v>100.0</v>
      </c>
      <c r="AR9" s="23" t="s">
        <v>128</v>
      </c>
      <c r="AS9" s="23">
        <v>105.0</v>
      </c>
      <c r="AT9" s="23">
        <v>78.0</v>
      </c>
      <c r="AU9" s="24" t="s">
        <v>41</v>
      </c>
      <c r="AV9" s="21"/>
      <c r="AW9" s="78">
        <v>79.0</v>
      </c>
      <c r="AX9" s="79">
        <v>83.0</v>
      </c>
      <c r="AY9" s="79">
        <v>100.0</v>
      </c>
      <c r="AZ9" s="111">
        <v>90.0</v>
      </c>
      <c r="BA9" s="79">
        <v>105.0</v>
      </c>
      <c r="BB9" s="79">
        <v>78.0</v>
      </c>
      <c r="BC9" s="111">
        <v>535.0</v>
      </c>
      <c r="BE9" s="150" t="s">
        <v>129</v>
      </c>
      <c r="BF9" s="138"/>
      <c r="BG9" s="128"/>
      <c r="BI9" s="31" t="s">
        <v>5</v>
      </c>
      <c r="BJ9" s="32" t="s">
        <v>5</v>
      </c>
      <c r="BK9" s="32" t="s">
        <v>5</v>
      </c>
      <c r="BL9" s="32" t="s">
        <v>5</v>
      </c>
      <c r="BM9" s="32">
        <v>3.0</v>
      </c>
      <c r="BN9" s="33" t="s">
        <v>5</v>
      </c>
      <c r="BP9" s="115" t="s">
        <v>32</v>
      </c>
      <c r="BQ9" s="93"/>
      <c r="BS9" s="115" t="s">
        <v>32</v>
      </c>
      <c r="BT9" s="133"/>
      <c r="BU9" s="37" t="str">
        <f t="shared" si="1"/>
        <v>#NAME?</v>
      </c>
      <c r="BV9" s="89" t="s">
        <v>32</v>
      </c>
      <c r="BW9" s="37" t="str">
        <f t="shared" si="2"/>
        <v>#NAME?</v>
      </c>
      <c r="BX9" s="89"/>
      <c r="BY9" s="39"/>
      <c r="BZ9" s="39"/>
      <c r="CA9" s="40" t="s">
        <v>32</v>
      </c>
      <c r="CB9" s="41"/>
      <c r="CC9" s="90" t="s">
        <v>32</v>
      </c>
      <c r="CD9" s="91"/>
      <c r="CE9" s="21"/>
      <c r="CF9" s="92" t="s">
        <v>102</v>
      </c>
      <c r="CG9" s="93"/>
      <c r="CH9" s="21"/>
      <c r="CI9" s="94" t="s">
        <v>103</v>
      </c>
      <c r="CJ9" s="95" t="s">
        <v>102</v>
      </c>
      <c r="CK9" s="21"/>
      <c r="CL9" s="22" t="s">
        <v>130</v>
      </c>
      <c r="CM9" s="12"/>
      <c r="CN9" s="48"/>
      <c r="CO9" s="95" t="s">
        <v>102</v>
      </c>
      <c r="CP9" s="21"/>
      <c r="CQ9" s="2" t="s">
        <v>131</v>
      </c>
      <c r="CR9" s="97">
        <v>80.0</v>
      </c>
      <c r="CS9" s="2" t="s">
        <v>129</v>
      </c>
      <c r="CT9" s="98">
        <v>210.0</v>
      </c>
      <c r="CU9" s="2"/>
      <c r="CV9" s="52" t="s">
        <v>13</v>
      </c>
      <c r="CW9" s="53">
        <v>0.125</v>
      </c>
      <c r="CX9" s="2"/>
      <c r="CY9" s="118" t="s">
        <v>14</v>
      </c>
      <c r="CZ9" s="119" t="s">
        <v>106</v>
      </c>
      <c r="DA9" s="2"/>
      <c r="DB9" s="98">
        <v>45.0</v>
      </c>
      <c r="DC9" s="2"/>
      <c r="DD9" s="101" t="s">
        <v>15</v>
      </c>
      <c r="DE9" s="2"/>
      <c r="DF9" s="120" t="s">
        <v>132</v>
      </c>
      <c r="DG9" s="121"/>
      <c r="DH9" s="121"/>
      <c r="DI9" s="2"/>
      <c r="DJ9" s="2"/>
      <c r="DK9" s="59" t="s">
        <v>133</v>
      </c>
      <c r="DL9" s="37" t="s">
        <v>134</v>
      </c>
      <c r="DM9" s="37" t="str">
        <f t="shared" si="3"/>
        <v>#NAME?</v>
      </c>
      <c r="DN9" s="61"/>
      <c r="DO9" s="37" t="s">
        <v>135</v>
      </c>
      <c r="DP9" s="37" t="s">
        <v>136</v>
      </c>
      <c r="DQ9" s="62" t="s">
        <v>137</v>
      </c>
      <c r="DR9" s="63"/>
      <c r="DS9" s="40" t="s">
        <v>138</v>
      </c>
      <c r="DT9" s="12"/>
      <c r="DU9" s="12"/>
      <c r="DV9" s="12"/>
      <c r="DW9" s="12"/>
      <c r="DX9" s="64"/>
      <c r="DY9" s="65"/>
      <c r="DZ9" s="106" t="s">
        <v>76</v>
      </c>
      <c r="EA9" s="107"/>
      <c r="EB9" s="2"/>
      <c r="EC9" s="106" t="s">
        <v>76</v>
      </c>
      <c r="ED9" s="107"/>
      <c r="EE9" s="2"/>
      <c r="EF9" s="68" t="s">
        <v>139</v>
      </c>
      <c r="EG9" s="69" t="str">
        <f>image("https://www.pokebip.com/pages/icones/objets/lunettes-noires.png", 3)</f>
        <v/>
      </c>
      <c r="EH9" s="69"/>
      <c r="EI9" s="69"/>
    </row>
    <row r="10" ht="15.75" customHeight="1">
      <c r="A10" s="1">
        <v>10.0</v>
      </c>
      <c r="B10" s="2" t="s">
        <v>140</v>
      </c>
      <c r="C10" s="7"/>
      <c r="D10" s="4" t="s">
        <v>141</v>
      </c>
      <c r="E10" s="5"/>
      <c r="F10" s="6"/>
      <c r="G10" s="7"/>
      <c r="H10" s="8" t="s">
        <v>142</v>
      </c>
      <c r="I10" s="9" t="s">
        <v>143</v>
      </c>
      <c r="J10" s="10" t="str">
        <f>image("https://archives.bulbagarden.net/media/upload/c/ca/010MS6.png", 3)</f>
        <v/>
      </c>
      <c r="K10" s="11" t="s">
        <v>141</v>
      </c>
      <c r="L10" s="12"/>
      <c r="M10" s="12"/>
      <c r="N10" s="12"/>
      <c r="O10" s="12"/>
      <c r="Q10" s="71">
        <v>45.0</v>
      </c>
      <c r="R10" s="72">
        <v>30.0</v>
      </c>
      <c r="S10" s="73">
        <v>35.0</v>
      </c>
      <c r="T10" s="74">
        <v>20.0</v>
      </c>
      <c r="U10" s="75">
        <v>20.0</v>
      </c>
      <c r="V10" s="76">
        <v>45.0</v>
      </c>
      <c r="W10" s="77">
        <v>195.0</v>
      </c>
      <c r="X10" s="21"/>
      <c r="Y10" s="71">
        <v>45.0</v>
      </c>
      <c r="Z10" s="72">
        <v>30.0</v>
      </c>
      <c r="AA10" s="73">
        <v>35.0</v>
      </c>
      <c r="AB10" s="74">
        <v>20.0</v>
      </c>
      <c r="AC10" s="75">
        <v>20.0</v>
      </c>
      <c r="AD10" s="76">
        <v>45.0</v>
      </c>
      <c r="AE10" s="77">
        <v>195.0</v>
      </c>
      <c r="AF10" s="21"/>
      <c r="AG10" s="71">
        <v>45.0</v>
      </c>
      <c r="AH10" s="72">
        <v>30.0</v>
      </c>
      <c r="AI10" s="73">
        <v>35.0</v>
      </c>
      <c r="AJ10" s="74">
        <v>20.0</v>
      </c>
      <c r="AK10" s="75">
        <v>20.0</v>
      </c>
      <c r="AL10" s="76">
        <v>45.0</v>
      </c>
      <c r="AM10" s="77">
        <v>195.0</v>
      </c>
      <c r="AN10" s="21"/>
      <c r="AO10" s="22">
        <v>45.0</v>
      </c>
      <c r="AP10" s="23">
        <v>30.0</v>
      </c>
      <c r="AQ10" s="23">
        <v>35.0</v>
      </c>
      <c r="AR10" s="23">
        <v>20.0</v>
      </c>
      <c r="AS10" s="23">
        <v>20.0</v>
      </c>
      <c r="AT10" s="23">
        <v>45.0</v>
      </c>
      <c r="AU10" s="24">
        <v>195.0</v>
      </c>
      <c r="AV10" s="21"/>
      <c r="AW10" s="78">
        <v>45.0</v>
      </c>
      <c r="AX10" s="79">
        <v>30.0</v>
      </c>
      <c r="AY10" s="79">
        <v>35.0</v>
      </c>
      <c r="AZ10" s="124">
        <v>20.0</v>
      </c>
      <c r="BA10" s="79">
        <v>20.0</v>
      </c>
      <c r="BB10" s="79">
        <v>45.0</v>
      </c>
      <c r="BC10" s="125">
        <v>195.0</v>
      </c>
      <c r="BE10" s="151" t="s">
        <v>144</v>
      </c>
      <c r="BF10" s="127"/>
      <c r="BG10" s="128"/>
      <c r="BI10" s="31">
        <v>1.0</v>
      </c>
      <c r="BJ10" s="32" t="s">
        <v>5</v>
      </c>
      <c r="BK10" s="32" t="s">
        <v>5</v>
      </c>
      <c r="BL10" s="32" t="s">
        <v>5</v>
      </c>
      <c r="BM10" s="32" t="s">
        <v>5</v>
      </c>
      <c r="BN10" s="33" t="s">
        <v>5</v>
      </c>
      <c r="BP10" s="85" t="s">
        <v>109</v>
      </c>
      <c r="BQ10" s="129"/>
      <c r="BS10" s="87" t="s">
        <v>109</v>
      </c>
      <c r="BT10" s="130"/>
      <c r="BU10" s="37" t="str">
        <f t="shared" si="1"/>
        <v>#NAME?</v>
      </c>
      <c r="BV10" s="89" t="s">
        <v>109</v>
      </c>
      <c r="BW10" s="37" t="str">
        <f t="shared" si="2"/>
        <v>#NAME?</v>
      </c>
      <c r="BX10" s="89"/>
      <c r="BY10" s="39"/>
      <c r="BZ10" s="39"/>
      <c r="CA10" s="40" t="s">
        <v>109</v>
      </c>
      <c r="CB10" s="41"/>
      <c r="CC10" s="90" t="s">
        <v>109</v>
      </c>
      <c r="CD10" s="91"/>
      <c r="CE10" s="21"/>
      <c r="CF10" s="92" t="s">
        <v>145</v>
      </c>
      <c r="CG10" s="93"/>
      <c r="CH10" s="21"/>
      <c r="CI10" s="152" t="s">
        <v>146</v>
      </c>
      <c r="CJ10" s="153" t="s">
        <v>145</v>
      </c>
      <c r="CK10" s="21"/>
      <c r="CL10" s="22" t="s">
        <v>147</v>
      </c>
      <c r="CM10" s="12"/>
      <c r="CN10" s="48"/>
      <c r="CO10" s="153" t="s">
        <v>145</v>
      </c>
      <c r="CP10" s="21"/>
      <c r="CQ10" s="2" t="s">
        <v>148</v>
      </c>
      <c r="CR10" s="97">
        <v>20.0</v>
      </c>
      <c r="CS10" s="2" t="s">
        <v>144</v>
      </c>
      <c r="CT10" s="98">
        <v>53.0</v>
      </c>
      <c r="CU10" s="2"/>
      <c r="CV10" s="52" t="s">
        <v>149</v>
      </c>
      <c r="CW10" s="52" t="s">
        <v>149</v>
      </c>
      <c r="CX10" s="2"/>
      <c r="CY10" s="100" t="s">
        <v>109</v>
      </c>
      <c r="CZ10" s="154"/>
      <c r="DA10" s="2"/>
      <c r="DB10" s="98">
        <v>255.0</v>
      </c>
      <c r="DC10" s="2"/>
      <c r="DD10" s="101" t="s">
        <v>150</v>
      </c>
      <c r="DE10" s="2"/>
      <c r="DF10" s="131" t="s">
        <v>151</v>
      </c>
      <c r="DG10" s="103"/>
      <c r="DH10" s="103"/>
      <c r="DI10" s="21"/>
      <c r="DJ10" s="21"/>
      <c r="DK10" s="59" t="s">
        <v>152</v>
      </c>
      <c r="DL10" s="37" t="s">
        <v>153</v>
      </c>
      <c r="DM10" s="37" t="str">
        <f t="shared" si="3"/>
        <v>#NAME?</v>
      </c>
      <c r="DN10" s="61"/>
      <c r="DO10" s="37" t="s">
        <v>154</v>
      </c>
      <c r="DP10" s="105">
        <v>1.0</v>
      </c>
      <c r="DQ10" s="62" t="s">
        <v>49</v>
      </c>
      <c r="DR10" s="155"/>
      <c r="DS10" s="40" t="s">
        <v>155</v>
      </c>
      <c r="DT10" s="12"/>
      <c r="DU10" s="12"/>
      <c r="DV10" s="12"/>
      <c r="DW10" s="12"/>
      <c r="DX10" s="64"/>
      <c r="DY10" s="65"/>
      <c r="DZ10" s="106" t="s">
        <v>156</v>
      </c>
      <c r="EA10" s="107"/>
      <c r="EB10" s="21"/>
      <c r="EC10" s="106" t="s">
        <v>156</v>
      </c>
      <c r="ED10" s="107"/>
      <c r="EE10" s="21"/>
      <c r="EF10" s="68" t="s">
        <v>157</v>
      </c>
      <c r="EG10" s="69" t="str">
        <f>image("https://www.pokebip.com/pages/icones/objets/mouchoir-soie.png", 3)</f>
        <v/>
      </c>
      <c r="EH10" s="69"/>
      <c r="EI10" s="69"/>
    </row>
    <row r="11" ht="15.75" customHeight="1">
      <c r="A11" s="1">
        <v>11.0</v>
      </c>
      <c r="B11" s="2" t="s">
        <v>158</v>
      </c>
      <c r="C11" s="7"/>
      <c r="D11" s="4" t="s">
        <v>159</v>
      </c>
      <c r="E11" s="5"/>
      <c r="F11" s="6"/>
      <c r="G11" s="7"/>
      <c r="H11" s="8" t="s">
        <v>160</v>
      </c>
      <c r="I11" s="9" t="s">
        <v>161</v>
      </c>
      <c r="J11" s="10" t="str">
        <f>image("https://archives.bulbagarden.net/media/upload/f/ff/011MS6.png", 3)</f>
        <v/>
      </c>
      <c r="K11" s="11" t="s">
        <v>159</v>
      </c>
      <c r="L11" s="12"/>
      <c r="M11" s="12"/>
      <c r="N11" s="12"/>
      <c r="O11" s="12"/>
      <c r="Q11" s="71">
        <v>50.0</v>
      </c>
      <c r="R11" s="72">
        <v>20.0</v>
      </c>
      <c r="S11" s="73">
        <v>55.0</v>
      </c>
      <c r="T11" s="74">
        <v>25.0</v>
      </c>
      <c r="U11" s="75">
        <v>25.0</v>
      </c>
      <c r="V11" s="76">
        <v>30.0</v>
      </c>
      <c r="W11" s="77">
        <v>205.0</v>
      </c>
      <c r="X11" s="21"/>
      <c r="Y11" s="71">
        <v>50.0</v>
      </c>
      <c r="Z11" s="72">
        <v>20.0</v>
      </c>
      <c r="AA11" s="73">
        <v>55.0</v>
      </c>
      <c r="AB11" s="74">
        <v>25.0</v>
      </c>
      <c r="AC11" s="75">
        <v>25.0</v>
      </c>
      <c r="AD11" s="76">
        <v>30.0</v>
      </c>
      <c r="AE11" s="77">
        <v>205.0</v>
      </c>
      <c r="AF11" s="21"/>
      <c r="AG11" s="71">
        <v>50.0</v>
      </c>
      <c r="AH11" s="72">
        <v>20.0</v>
      </c>
      <c r="AI11" s="73">
        <v>55.0</v>
      </c>
      <c r="AJ11" s="74">
        <v>25.0</v>
      </c>
      <c r="AK11" s="75">
        <v>25.0</v>
      </c>
      <c r="AL11" s="76">
        <v>30.0</v>
      </c>
      <c r="AM11" s="77">
        <v>205.0</v>
      </c>
      <c r="AN11" s="21"/>
      <c r="AO11" s="22">
        <v>50.0</v>
      </c>
      <c r="AP11" s="23">
        <v>20.0</v>
      </c>
      <c r="AQ11" s="23">
        <v>55.0</v>
      </c>
      <c r="AR11" s="23">
        <v>25.0</v>
      </c>
      <c r="AS11" s="23">
        <v>25.0</v>
      </c>
      <c r="AT11" s="23">
        <v>30.0</v>
      </c>
      <c r="AU11" s="24">
        <v>205.0</v>
      </c>
      <c r="AV11" s="21"/>
      <c r="AW11" s="78">
        <v>50.0</v>
      </c>
      <c r="AX11" s="79">
        <v>20.0</v>
      </c>
      <c r="AY11" s="80">
        <v>55.0</v>
      </c>
      <c r="AZ11" s="80">
        <v>25.0</v>
      </c>
      <c r="BA11" s="80">
        <v>25.0</v>
      </c>
      <c r="BB11" s="80">
        <v>30.0</v>
      </c>
      <c r="BC11" s="81">
        <v>205.0</v>
      </c>
      <c r="BE11" s="156" t="s">
        <v>162</v>
      </c>
      <c r="BF11" s="113"/>
      <c r="BG11" s="95"/>
      <c r="BI11" s="31" t="s">
        <v>5</v>
      </c>
      <c r="BJ11" s="32" t="s">
        <v>5</v>
      </c>
      <c r="BK11" s="32">
        <v>2.0</v>
      </c>
      <c r="BL11" s="32" t="s">
        <v>5</v>
      </c>
      <c r="BM11" s="32" t="s">
        <v>5</v>
      </c>
      <c r="BN11" s="33" t="s">
        <v>5</v>
      </c>
      <c r="BP11" s="115" t="s">
        <v>109</v>
      </c>
      <c r="BQ11" s="93"/>
      <c r="BS11" s="115" t="s">
        <v>109</v>
      </c>
      <c r="BT11" s="133"/>
      <c r="BU11" s="37" t="str">
        <f t="shared" si="1"/>
        <v>#NAME?</v>
      </c>
      <c r="BV11" s="89" t="s">
        <v>109</v>
      </c>
      <c r="BW11" s="37" t="str">
        <f t="shared" si="2"/>
        <v>#NAME?</v>
      </c>
      <c r="BX11" s="89"/>
      <c r="BY11" s="39"/>
      <c r="BZ11" s="39"/>
      <c r="CA11" s="40" t="s">
        <v>109</v>
      </c>
      <c r="CB11" s="41"/>
      <c r="CC11" s="90" t="s">
        <v>109</v>
      </c>
      <c r="CD11" s="91"/>
      <c r="CE11" s="21"/>
      <c r="CF11" s="92" t="s">
        <v>163</v>
      </c>
      <c r="CG11" s="93"/>
      <c r="CH11" s="21"/>
      <c r="CI11" s="157" t="s">
        <v>163</v>
      </c>
      <c r="CJ11" s="158" t="s">
        <v>163</v>
      </c>
      <c r="CK11" s="21"/>
      <c r="CL11" s="22" t="s">
        <v>163</v>
      </c>
      <c r="CM11" s="12"/>
      <c r="CN11" s="48"/>
      <c r="CO11" s="159" t="s">
        <v>163</v>
      </c>
      <c r="CP11" s="21"/>
      <c r="CQ11" s="2" t="s">
        <v>164</v>
      </c>
      <c r="CR11" s="97">
        <v>20.0</v>
      </c>
      <c r="CS11" s="2" t="s">
        <v>101</v>
      </c>
      <c r="CT11" s="98">
        <v>72.0</v>
      </c>
      <c r="CU11" s="2"/>
      <c r="CV11" s="52" t="s">
        <v>149</v>
      </c>
      <c r="CW11" s="52" t="s">
        <v>149</v>
      </c>
      <c r="CX11" s="2"/>
      <c r="CY11" s="119" t="s">
        <v>109</v>
      </c>
      <c r="CZ11" s="160"/>
      <c r="DA11" s="2"/>
      <c r="DB11" s="98">
        <v>120.0</v>
      </c>
      <c r="DC11" s="2"/>
      <c r="DD11" s="101" t="s">
        <v>150</v>
      </c>
      <c r="DE11" s="2"/>
      <c r="DF11" s="120" t="s">
        <v>165</v>
      </c>
      <c r="DG11" s="121"/>
      <c r="DH11" s="121"/>
      <c r="DI11" s="2"/>
      <c r="DJ11" s="2"/>
      <c r="DK11" s="59" t="s">
        <v>166</v>
      </c>
      <c r="DL11" s="37" t="s">
        <v>76</v>
      </c>
      <c r="DM11" s="37" t="str">
        <f t="shared" si="3"/>
        <v>#NAME?</v>
      </c>
      <c r="DN11" s="61"/>
      <c r="DO11" s="37" t="s">
        <v>167</v>
      </c>
      <c r="DP11" s="105">
        <v>1.0</v>
      </c>
      <c r="DQ11" s="62" t="s">
        <v>49</v>
      </c>
      <c r="DR11" s="63"/>
      <c r="DS11" s="40" t="s">
        <v>168</v>
      </c>
      <c r="DT11" s="12"/>
      <c r="DU11" s="12"/>
      <c r="DV11" s="12"/>
      <c r="DW11" s="12"/>
      <c r="DX11" s="64"/>
      <c r="DY11" s="65"/>
      <c r="DZ11" s="106" t="s">
        <v>64</v>
      </c>
      <c r="EA11" s="107"/>
      <c r="EB11" s="2"/>
      <c r="EC11" s="106" t="s">
        <v>64</v>
      </c>
      <c r="ED11" s="107"/>
      <c r="EE11" s="2"/>
      <c r="EF11" s="68" t="s">
        <v>169</v>
      </c>
      <c r="EG11" s="69" t="str">
        <f>image("https://www.pokebip.com/pages/icones/objets/ceinture-noire.png", 3)</f>
        <v/>
      </c>
      <c r="EH11" s="69"/>
      <c r="EI11" s="69"/>
    </row>
    <row r="12" ht="15.75" customHeight="1">
      <c r="A12" s="1">
        <v>12.0</v>
      </c>
      <c r="B12" s="2" t="s">
        <v>170</v>
      </c>
      <c r="C12" s="7"/>
      <c r="D12" s="161" t="s">
        <v>171</v>
      </c>
      <c r="E12" s="5"/>
      <c r="F12" s="7"/>
      <c r="G12" s="7"/>
      <c r="H12" s="8" t="s">
        <v>172</v>
      </c>
      <c r="I12" s="9" t="s">
        <v>173</v>
      </c>
      <c r="J12" s="10" t="str">
        <f>image("https://archives.bulbagarden.net/media/upload/5/58/012MS6.png", 3)</f>
        <v/>
      </c>
      <c r="K12" s="11" t="s">
        <v>171</v>
      </c>
      <c r="L12" s="12"/>
      <c r="M12" s="12"/>
      <c r="N12" s="12"/>
      <c r="O12" s="12"/>
      <c r="Q12" s="71">
        <v>60.0</v>
      </c>
      <c r="R12" s="72">
        <v>45.0</v>
      </c>
      <c r="S12" s="73">
        <v>50.0</v>
      </c>
      <c r="T12" s="74">
        <v>80.0</v>
      </c>
      <c r="U12" s="75">
        <v>80.0</v>
      </c>
      <c r="V12" s="76">
        <v>70.0</v>
      </c>
      <c r="W12" s="77">
        <v>385.0</v>
      </c>
      <c r="X12" s="21"/>
      <c r="Y12" s="71">
        <v>60.0</v>
      </c>
      <c r="Z12" s="72">
        <v>45.0</v>
      </c>
      <c r="AA12" s="73">
        <v>50.0</v>
      </c>
      <c r="AB12" s="109">
        <v>90.0</v>
      </c>
      <c r="AC12" s="75">
        <v>80.0</v>
      </c>
      <c r="AD12" s="76">
        <v>70.0</v>
      </c>
      <c r="AE12" s="110">
        <v>395.0</v>
      </c>
      <c r="AF12" s="21"/>
      <c r="AG12" s="71">
        <v>60.0</v>
      </c>
      <c r="AH12" s="72">
        <v>45.0</v>
      </c>
      <c r="AI12" s="162">
        <v>45.0</v>
      </c>
      <c r="AJ12" s="109">
        <v>110.0</v>
      </c>
      <c r="AK12" s="109">
        <v>100.0</v>
      </c>
      <c r="AL12" s="109">
        <v>90.0</v>
      </c>
      <c r="AM12" s="110">
        <v>450.0</v>
      </c>
      <c r="AN12" s="21"/>
      <c r="AO12" s="22">
        <v>60.0</v>
      </c>
      <c r="AP12" s="23">
        <v>45.0</v>
      </c>
      <c r="AQ12" s="23" t="s">
        <v>174</v>
      </c>
      <c r="AR12" s="23" t="s">
        <v>40</v>
      </c>
      <c r="AS12" s="23" t="s">
        <v>175</v>
      </c>
      <c r="AT12" s="23" t="s">
        <v>128</v>
      </c>
      <c r="AU12" s="24" t="s">
        <v>176</v>
      </c>
      <c r="AV12" s="21"/>
      <c r="AW12" s="78">
        <v>60.0</v>
      </c>
      <c r="AX12" s="79">
        <v>45.0</v>
      </c>
      <c r="AY12" s="163">
        <v>45.0</v>
      </c>
      <c r="AZ12" s="164">
        <v>110.0</v>
      </c>
      <c r="BA12" s="111">
        <v>100.0</v>
      </c>
      <c r="BB12" s="111">
        <v>90.0</v>
      </c>
      <c r="BC12" s="111">
        <v>450.0</v>
      </c>
      <c r="BE12" s="112" t="s">
        <v>42</v>
      </c>
      <c r="BF12" s="113"/>
      <c r="BG12" s="114" t="s">
        <v>27</v>
      </c>
      <c r="BI12" s="31" t="s">
        <v>5</v>
      </c>
      <c r="BJ12" s="32" t="s">
        <v>5</v>
      </c>
      <c r="BK12" s="32" t="s">
        <v>5</v>
      </c>
      <c r="BL12" s="32">
        <v>2.0</v>
      </c>
      <c r="BM12" s="32">
        <v>1.0</v>
      </c>
      <c r="BN12" s="33" t="s">
        <v>5</v>
      </c>
      <c r="BP12" s="85" t="s">
        <v>109</v>
      </c>
      <c r="BQ12" s="86" t="s">
        <v>18</v>
      </c>
      <c r="BS12" s="87" t="s">
        <v>109</v>
      </c>
      <c r="BT12" s="88" t="s">
        <v>18</v>
      </c>
      <c r="BU12" s="37" t="str">
        <f t="shared" si="1"/>
        <v>#NAME?</v>
      </c>
      <c r="BV12" s="89" t="s">
        <v>109</v>
      </c>
      <c r="BW12" s="37" t="str">
        <f t="shared" si="2"/>
        <v>#NAME?</v>
      </c>
      <c r="BX12" s="89" t="s">
        <v>18</v>
      </c>
      <c r="BY12" s="39"/>
      <c r="BZ12" s="39"/>
      <c r="CA12" s="40" t="s">
        <v>177</v>
      </c>
      <c r="CB12" s="41"/>
      <c r="CC12" s="90" t="s">
        <v>109</v>
      </c>
      <c r="CD12" s="91" t="s">
        <v>18</v>
      </c>
      <c r="CE12" s="2"/>
      <c r="CF12" s="92" t="s">
        <v>178</v>
      </c>
      <c r="CG12" s="93"/>
      <c r="CH12" s="2"/>
      <c r="CI12" s="46" t="s">
        <v>179</v>
      </c>
      <c r="CJ12" s="165" t="s">
        <v>178</v>
      </c>
      <c r="CK12" s="2"/>
      <c r="CL12" s="22" t="s">
        <v>180</v>
      </c>
      <c r="CM12" s="12"/>
      <c r="CN12" s="48"/>
      <c r="CO12" s="165" t="s">
        <v>178</v>
      </c>
      <c r="CP12" s="2"/>
      <c r="CQ12" s="2" t="s">
        <v>181</v>
      </c>
      <c r="CR12" s="97">
        <v>60.0</v>
      </c>
      <c r="CS12" s="2" t="s">
        <v>46</v>
      </c>
      <c r="CT12" s="98">
        <v>160.0</v>
      </c>
      <c r="CU12" s="2"/>
      <c r="CV12" s="52" t="s">
        <v>149</v>
      </c>
      <c r="CW12" s="52" t="s">
        <v>149</v>
      </c>
      <c r="CX12" s="2"/>
      <c r="CY12" s="100" t="s">
        <v>109</v>
      </c>
      <c r="CZ12" s="154"/>
      <c r="DA12" s="2"/>
      <c r="DB12" s="98">
        <v>45.0</v>
      </c>
      <c r="DC12" s="2"/>
      <c r="DD12" s="101" t="s">
        <v>150</v>
      </c>
      <c r="DE12" s="2"/>
      <c r="DF12" s="102" t="s">
        <v>182</v>
      </c>
      <c r="DG12" s="166" t="s">
        <v>183</v>
      </c>
      <c r="DH12" s="103"/>
      <c r="DI12" s="2"/>
      <c r="DJ12" s="2"/>
      <c r="DK12" s="59" t="s">
        <v>184</v>
      </c>
      <c r="DL12" s="37" t="s">
        <v>156</v>
      </c>
      <c r="DM12" s="37" t="str">
        <f t="shared" si="3"/>
        <v>#NAME?</v>
      </c>
      <c r="DN12" s="61"/>
      <c r="DO12" s="37" t="s">
        <v>19</v>
      </c>
      <c r="DP12" s="37" t="s">
        <v>19</v>
      </c>
      <c r="DQ12" s="62" t="s">
        <v>49</v>
      </c>
      <c r="DR12" s="63"/>
      <c r="DS12" s="40" t="s">
        <v>185</v>
      </c>
      <c r="DT12" s="12"/>
      <c r="DU12" s="12"/>
      <c r="DV12" s="12"/>
      <c r="DW12" s="12"/>
      <c r="DX12" s="64"/>
      <c r="DY12" s="65"/>
      <c r="DZ12" s="106" t="s">
        <v>18</v>
      </c>
      <c r="EA12" s="107"/>
      <c r="EB12" s="2"/>
      <c r="EC12" s="106" t="s">
        <v>18</v>
      </c>
      <c r="ED12" s="107"/>
      <c r="EE12" s="2"/>
      <c r="EF12" s="68" t="s">
        <v>186</v>
      </c>
      <c r="EG12" s="69" t="str">
        <f>image("https://www.pokebip.com/pages/icones/objets/bec-pointu.png", 3)</f>
        <v/>
      </c>
      <c r="EH12" s="69"/>
      <c r="EI12" s="69"/>
    </row>
    <row r="13" ht="15.75" customHeight="1">
      <c r="A13" s="1">
        <v>13.0</v>
      </c>
      <c r="B13" s="2" t="s">
        <v>187</v>
      </c>
      <c r="C13" s="7"/>
      <c r="D13" s="167" t="s">
        <v>188</v>
      </c>
      <c r="E13" s="5"/>
      <c r="F13" s="168"/>
      <c r="G13" s="7"/>
      <c r="H13" s="8" t="s">
        <v>189</v>
      </c>
      <c r="I13" s="9" t="s">
        <v>190</v>
      </c>
      <c r="J13" s="10" t="str">
        <f>image("https://archives.bulbagarden.net/media/upload/d/d4/013MS6.png", 3)</f>
        <v/>
      </c>
      <c r="K13" s="11" t="s">
        <v>188</v>
      </c>
      <c r="L13" s="12"/>
      <c r="M13" s="12"/>
      <c r="N13" s="12"/>
      <c r="O13" s="12"/>
      <c r="Q13" s="71">
        <v>40.0</v>
      </c>
      <c r="R13" s="72">
        <v>35.0</v>
      </c>
      <c r="S13" s="73">
        <v>30.0</v>
      </c>
      <c r="T13" s="74">
        <v>20.0</v>
      </c>
      <c r="U13" s="75">
        <v>20.0</v>
      </c>
      <c r="V13" s="76">
        <v>50.0</v>
      </c>
      <c r="W13" s="77">
        <v>195.0</v>
      </c>
      <c r="X13" s="21"/>
      <c r="Y13" s="71">
        <v>40.0</v>
      </c>
      <c r="Z13" s="72">
        <v>35.0</v>
      </c>
      <c r="AA13" s="73">
        <v>30.0</v>
      </c>
      <c r="AB13" s="74">
        <v>20.0</v>
      </c>
      <c r="AC13" s="75">
        <v>20.0</v>
      </c>
      <c r="AD13" s="76">
        <v>50.0</v>
      </c>
      <c r="AE13" s="77">
        <v>195.0</v>
      </c>
      <c r="AF13" s="21"/>
      <c r="AG13" s="71">
        <v>40.0</v>
      </c>
      <c r="AH13" s="72">
        <v>35.0</v>
      </c>
      <c r="AI13" s="73">
        <v>30.0</v>
      </c>
      <c r="AJ13" s="74">
        <v>20.0</v>
      </c>
      <c r="AK13" s="75">
        <v>20.0</v>
      </c>
      <c r="AL13" s="76">
        <v>50.0</v>
      </c>
      <c r="AM13" s="77">
        <v>195.0</v>
      </c>
      <c r="AN13" s="21"/>
      <c r="AO13" s="22">
        <v>40.0</v>
      </c>
      <c r="AP13" s="23">
        <v>35.0</v>
      </c>
      <c r="AQ13" s="23">
        <v>30.0</v>
      </c>
      <c r="AR13" s="23">
        <v>20.0</v>
      </c>
      <c r="AS13" s="23">
        <v>20.0</v>
      </c>
      <c r="AT13" s="23">
        <v>50.0</v>
      </c>
      <c r="AU13" s="24">
        <v>195.0</v>
      </c>
      <c r="AV13" s="21"/>
      <c r="AW13" s="78">
        <v>40.0</v>
      </c>
      <c r="AX13" s="79">
        <v>35.0</v>
      </c>
      <c r="AY13" s="124">
        <v>30.0</v>
      </c>
      <c r="AZ13" s="124">
        <v>20.0</v>
      </c>
      <c r="BA13" s="124">
        <v>20.0</v>
      </c>
      <c r="BB13" s="124">
        <v>50.0</v>
      </c>
      <c r="BC13" s="125">
        <v>195.0</v>
      </c>
      <c r="BE13" s="126" t="s">
        <v>56</v>
      </c>
      <c r="BF13" s="143"/>
      <c r="BG13" s="128"/>
      <c r="BI13" s="31" t="s">
        <v>5</v>
      </c>
      <c r="BJ13" s="32" t="s">
        <v>5</v>
      </c>
      <c r="BK13" s="32" t="s">
        <v>5</v>
      </c>
      <c r="BL13" s="32" t="s">
        <v>5</v>
      </c>
      <c r="BM13" s="32" t="s">
        <v>5</v>
      </c>
      <c r="BN13" s="33">
        <v>1.0</v>
      </c>
      <c r="BP13" s="115" t="s">
        <v>109</v>
      </c>
      <c r="BQ13" s="116" t="s">
        <v>7</v>
      </c>
      <c r="BS13" s="115" t="s">
        <v>109</v>
      </c>
      <c r="BT13" s="117" t="s">
        <v>7</v>
      </c>
      <c r="BU13" s="37" t="str">
        <f t="shared" si="1"/>
        <v>#NAME?</v>
      </c>
      <c r="BV13" s="89" t="s">
        <v>109</v>
      </c>
      <c r="BW13" s="37" t="str">
        <f t="shared" si="2"/>
        <v>#NAME?</v>
      </c>
      <c r="BX13" s="89" t="s">
        <v>7</v>
      </c>
      <c r="BY13" s="39"/>
      <c r="BZ13" s="39"/>
      <c r="CA13" s="40" t="s">
        <v>191</v>
      </c>
      <c r="CB13" s="41"/>
      <c r="CC13" s="90" t="s">
        <v>109</v>
      </c>
      <c r="CD13" s="91" t="s">
        <v>7</v>
      </c>
      <c r="CE13" s="2"/>
      <c r="CF13" s="92" t="s">
        <v>145</v>
      </c>
      <c r="CG13" s="93"/>
      <c r="CH13" s="2"/>
      <c r="CI13" s="152" t="s">
        <v>146</v>
      </c>
      <c r="CJ13" s="153" t="s">
        <v>163</v>
      </c>
      <c r="CK13" s="2"/>
      <c r="CL13" s="22" t="s">
        <v>147</v>
      </c>
      <c r="CM13" s="12"/>
      <c r="CN13" s="48"/>
      <c r="CO13" s="153" t="s">
        <v>163</v>
      </c>
      <c r="CP13" s="2"/>
      <c r="CQ13" s="2" t="s">
        <v>192</v>
      </c>
      <c r="CR13" s="97">
        <v>20.0</v>
      </c>
      <c r="CS13" s="2" t="s">
        <v>56</v>
      </c>
      <c r="CT13" s="98">
        <v>52.0</v>
      </c>
      <c r="CU13" s="2"/>
      <c r="CV13" s="52" t="s">
        <v>149</v>
      </c>
      <c r="CW13" s="52" t="s">
        <v>149</v>
      </c>
      <c r="CX13" s="2"/>
      <c r="CY13" s="119" t="s">
        <v>109</v>
      </c>
      <c r="CZ13" s="160"/>
      <c r="DA13" s="2"/>
      <c r="DB13" s="98">
        <v>255.0</v>
      </c>
      <c r="DC13" s="2"/>
      <c r="DD13" s="101" t="s">
        <v>150</v>
      </c>
      <c r="DE13" s="2"/>
      <c r="DF13" s="148" t="s">
        <v>193</v>
      </c>
      <c r="DG13" s="121"/>
      <c r="DH13" s="121"/>
      <c r="DI13" s="21"/>
      <c r="DJ13" s="21"/>
      <c r="DK13" s="59" t="s">
        <v>194</v>
      </c>
      <c r="DL13" s="37" t="s">
        <v>156</v>
      </c>
      <c r="DM13" s="37" t="str">
        <f t="shared" si="3"/>
        <v>#NAME?</v>
      </c>
      <c r="DN13" s="61"/>
      <c r="DO13" s="37">
        <v>15.0</v>
      </c>
      <c r="DP13" s="37" t="s">
        <v>195</v>
      </c>
      <c r="DQ13" s="62" t="s">
        <v>20</v>
      </c>
      <c r="DR13" s="63"/>
      <c r="DS13" s="40" t="s">
        <v>196</v>
      </c>
      <c r="DT13" s="12"/>
      <c r="DU13" s="12"/>
      <c r="DV13" s="12"/>
      <c r="DW13" s="12"/>
      <c r="DX13" s="64"/>
      <c r="DY13" s="65"/>
      <c r="DZ13" s="106" t="s">
        <v>197</v>
      </c>
      <c r="EA13" s="107"/>
      <c r="EB13" s="21"/>
      <c r="EC13" s="106" t="s">
        <v>197</v>
      </c>
      <c r="ED13" s="107"/>
      <c r="EE13" s="21"/>
      <c r="EF13" s="68" t="s">
        <v>198</v>
      </c>
      <c r="EG13" s="69" t="str">
        <f>image("https://www.pokebip.com/pages/icones/objets/aimant.png", 3)</f>
        <v/>
      </c>
      <c r="EH13" s="69"/>
      <c r="EI13" s="69"/>
    </row>
    <row r="14" ht="15.75" customHeight="1">
      <c r="A14" s="1">
        <v>14.0</v>
      </c>
      <c r="B14" s="2" t="s">
        <v>199</v>
      </c>
      <c r="C14" s="7"/>
      <c r="D14" s="169" t="s">
        <v>200</v>
      </c>
      <c r="E14" s="5"/>
      <c r="F14" s="170"/>
      <c r="G14" s="7"/>
      <c r="H14" s="8" t="s">
        <v>201</v>
      </c>
      <c r="I14" s="9" t="s">
        <v>202</v>
      </c>
      <c r="J14" s="10" t="str">
        <f>image("https://archives.bulbagarden.net/media/upload/d/d4/014MS6.png", 3)</f>
        <v/>
      </c>
      <c r="K14" s="11" t="s">
        <v>200</v>
      </c>
      <c r="L14" s="12"/>
      <c r="M14" s="12"/>
      <c r="N14" s="12"/>
      <c r="O14" s="12"/>
      <c r="Q14" s="71">
        <v>45.0</v>
      </c>
      <c r="R14" s="72">
        <v>25.0</v>
      </c>
      <c r="S14" s="73">
        <v>50.0</v>
      </c>
      <c r="T14" s="74">
        <v>25.0</v>
      </c>
      <c r="U14" s="75">
        <v>25.0</v>
      </c>
      <c r="V14" s="76">
        <v>35.0</v>
      </c>
      <c r="W14" s="77">
        <v>205.0</v>
      </c>
      <c r="X14" s="21"/>
      <c r="Y14" s="71">
        <v>45.0</v>
      </c>
      <c r="Z14" s="72">
        <v>25.0</v>
      </c>
      <c r="AA14" s="73">
        <v>50.0</v>
      </c>
      <c r="AB14" s="74">
        <v>25.0</v>
      </c>
      <c r="AC14" s="75">
        <v>25.0</v>
      </c>
      <c r="AD14" s="76">
        <v>35.0</v>
      </c>
      <c r="AE14" s="77">
        <v>205.0</v>
      </c>
      <c r="AF14" s="21"/>
      <c r="AG14" s="71">
        <v>45.0</v>
      </c>
      <c r="AH14" s="72">
        <v>25.0</v>
      </c>
      <c r="AI14" s="73">
        <v>50.0</v>
      </c>
      <c r="AJ14" s="74">
        <v>25.0</v>
      </c>
      <c r="AK14" s="75">
        <v>25.0</v>
      </c>
      <c r="AL14" s="76">
        <v>35.0</v>
      </c>
      <c r="AM14" s="77">
        <v>205.0</v>
      </c>
      <c r="AN14" s="21"/>
      <c r="AO14" s="22">
        <v>45.0</v>
      </c>
      <c r="AP14" s="23">
        <v>25.0</v>
      </c>
      <c r="AQ14" s="23">
        <v>50.0</v>
      </c>
      <c r="AR14" s="23">
        <v>25.0</v>
      </c>
      <c r="AS14" s="23">
        <v>25.0</v>
      </c>
      <c r="AT14" s="23">
        <v>35.0</v>
      </c>
      <c r="AU14" s="24">
        <v>205.0</v>
      </c>
      <c r="AV14" s="21"/>
      <c r="AW14" s="78">
        <v>45.0</v>
      </c>
      <c r="AX14" s="80">
        <v>25.0</v>
      </c>
      <c r="AY14" s="79">
        <v>50.0</v>
      </c>
      <c r="AZ14" s="80">
        <v>25.0</v>
      </c>
      <c r="BA14" s="80">
        <v>25.0</v>
      </c>
      <c r="BB14" s="80">
        <v>35.0</v>
      </c>
      <c r="BC14" s="81">
        <v>205.0</v>
      </c>
      <c r="BE14" s="156" t="s">
        <v>162</v>
      </c>
      <c r="BF14" s="113"/>
      <c r="BG14" s="84"/>
      <c r="BI14" s="31" t="s">
        <v>5</v>
      </c>
      <c r="BJ14" s="32" t="s">
        <v>5</v>
      </c>
      <c r="BK14" s="32">
        <v>2.0</v>
      </c>
      <c r="BL14" s="32" t="s">
        <v>5</v>
      </c>
      <c r="BM14" s="32" t="s">
        <v>5</v>
      </c>
      <c r="BN14" s="33" t="s">
        <v>5</v>
      </c>
      <c r="BP14" s="85" t="s">
        <v>109</v>
      </c>
      <c r="BQ14" s="86" t="s">
        <v>7</v>
      </c>
      <c r="BS14" s="87" t="s">
        <v>109</v>
      </c>
      <c r="BT14" s="88" t="s">
        <v>7</v>
      </c>
      <c r="BU14" s="37" t="str">
        <f t="shared" si="1"/>
        <v>#NAME?</v>
      </c>
      <c r="BV14" s="89" t="s">
        <v>109</v>
      </c>
      <c r="BW14" s="37" t="str">
        <f t="shared" si="2"/>
        <v>#NAME?</v>
      </c>
      <c r="BX14" s="89" t="s">
        <v>7</v>
      </c>
      <c r="BY14" s="39"/>
      <c r="BZ14" s="39"/>
      <c r="CA14" s="40" t="s">
        <v>191</v>
      </c>
      <c r="CB14" s="41"/>
      <c r="CC14" s="90" t="s">
        <v>109</v>
      </c>
      <c r="CD14" s="91" t="s">
        <v>7</v>
      </c>
      <c r="CE14" s="2"/>
      <c r="CF14" s="92" t="s">
        <v>163</v>
      </c>
      <c r="CG14" s="93"/>
      <c r="CH14" s="2"/>
      <c r="CI14" s="157" t="s">
        <v>163</v>
      </c>
      <c r="CJ14" s="158" t="s">
        <v>163</v>
      </c>
      <c r="CK14" s="2"/>
      <c r="CL14" s="22" t="s">
        <v>163</v>
      </c>
      <c r="CM14" s="12"/>
      <c r="CN14" s="48"/>
      <c r="CO14" s="159" t="s">
        <v>163</v>
      </c>
      <c r="CP14" s="2"/>
      <c r="CQ14" s="2" t="s">
        <v>203</v>
      </c>
      <c r="CR14" s="97">
        <v>20.0</v>
      </c>
      <c r="CS14" s="2" t="s">
        <v>162</v>
      </c>
      <c r="CT14" s="98">
        <v>71.0</v>
      </c>
      <c r="CU14" s="2"/>
      <c r="CV14" s="52" t="s">
        <v>149</v>
      </c>
      <c r="CW14" s="52" t="s">
        <v>149</v>
      </c>
      <c r="CX14" s="2"/>
      <c r="CY14" s="100" t="s">
        <v>109</v>
      </c>
      <c r="CZ14" s="154"/>
      <c r="DA14" s="2"/>
      <c r="DB14" s="98">
        <v>120.0</v>
      </c>
      <c r="DC14" s="2"/>
      <c r="DD14" s="101" t="s">
        <v>150</v>
      </c>
      <c r="DE14" s="2"/>
      <c r="DF14" s="102" t="s">
        <v>204</v>
      </c>
      <c r="DG14" s="103"/>
      <c r="DH14" s="103"/>
      <c r="DI14" s="2"/>
      <c r="DJ14" s="2"/>
      <c r="DK14" s="59" t="s">
        <v>205</v>
      </c>
      <c r="DL14" s="37" t="s">
        <v>76</v>
      </c>
      <c r="DM14" s="37" t="str">
        <f t="shared" si="3"/>
        <v>#NAME?</v>
      </c>
      <c r="DN14" s="61"/>
      <c r="DO14" s="37">
        <v>60.0</v>
      </c>
      <c r="DP14" s="105">
        <v>1.0</v>
      </c>
      <c r="DQ14" s="62" t="s">
        <v>206</v>
      </c>
      <c r="DR14" s="63"/>
      <c r="DS14" s="40" t="s">
        <v>207</v>
      </c>
      <c r="DT14" s="12"/>
      <c r="DU14" s="12"/>
      <c r="DV14" s="12"/>
      <c r="DW14" s="12"/>
      <c r="DX14" s="64"/>
      <c r="DY14" s="65"/>
      <c r="DZ14" s="106" t="s">
        <v>109</v>
      </c>
      <c r="EA14" s="107"/>
      <c r="EB14" s="2"/>
      <c r="EC14" s="106" t="s">
        <v>109</v>
      </c>
      <c r="ED14" s="107"/>
      <c r="EE14" s="2"/>
      <c r="EF14" s="68" t="s">
        <v>208</v>
      </c>
      <c r="EG14" s="69" t="str">
        <f>image("https://www.pokebip.com/pages/icones/objets/poudre-argentee.png", 3)</f>
        <v/>
      </c>
      <c r="EH14" s="69"/>
      <c r="EI14" s="69"/>
    </row>
    <row r="15" ht="15.75" customHeight="1">
      <c r="A15" s="1">
        <v>15.0</v>
      </c>
      <c r="B15" s="2" t="s">
        <v>209</v>
      </c>
      <c r="C15" s="7"/>
      <c r="D15" s="169" t="s">
        <v>210</v>
      </c>
      <c r="E15" s="5"/>
      <c r="F15" s="170"/>
      <c r="G15" s="7"/>
      <c r="H15" s="8" t="s">
        <v>211</v>
      </c>
      <c r="I15" s="9" t="s">
        <v>212</v>
      </c>
      <c r="J15" s="10" t="str">
        <f>image("https://archives.bulbagarden.net/media/upload/e/e4/015MS6.png", 3)</f>
        <v/>
      </c>
      <c r="K15" s="11" t="s">
        <v>210</v>
      </c>
      <c r="L15" s="12"/>
      <c r="M15" s="12"/>
      <c r="N15" s="12"/>
      <c r="O15" s="12"/>
      <c r="Q15" s="71">
        <v>65.0</v>
      </c>
      <c r="R15" s="72">
        <v>80.0</v>
      </c>
      <c r="S15" s="73">
        <v>40.0</v>
      </c>
      <c r="T15" s="74">
        <v>45.0</v>
      </c>
      <c r="U15" s="75">
        <v>80.0</v>
      </c>
      <c r="V15" s="76">
        <v>75.0</v>
      </c>
      <c r="W15" s="77">
        <v>385.0</v>
      </c>
      <c r="X15" s="21"/>
      <c r="Y15" s="71">
        <v>65.0</v>
      </c>
      <c r="Z15" s="109">
        <v>90.0</v>
      </c>
      <c r="AA15" s="73">
        <v>40.0</v>
      </c>
      <c r="AB15" s="74">
        <v>45.0</v>
      </c>
      <c r="AC15" s="75">
        <v>80.0</v>
      </c>
      <c r="AD15" s="76">
        <v>75.0</v>
      </c>
      <c r="AE15" s="110">
        <v>395.0</v>
      </c>
      <c r="AF15" s="21"/>
      <c r="AG15" s="71">
        <v>65.0</v>
      </c>
      <c r="AH15" s="109">
        <v>115.0</v>
      </c>
      <c r="AI15" s="73">
        <v>40.0</v>
      </c>
      <c r="AJ15" s="162">
        <v>40.0</v>
      </c>
      <c r="AK15" s="109">
        <v>95.0</v>
      </c>
      <c r="AL15" s="109">
        <v>95.0</v>
      </c>
      <c r="AM15" s="110">
        <v>450.0</v>
      </c>
      <c r="AN15" s="21"/>
      <c r="AO15" s="22">
        <v>65.0</v>
      </c>
      <c r="AP15" s="23" t="s">
        <v>213</v>
      </c>
      <c r="AQ15" s="23">
        <v>40.0</v>
      </c>
      <c r="AR15" s="23" t="s">
        <v>214</v>
      </c>
      <c r="AS15" s="23" t="s">
        <v>215</v>
      </c>
      <c r="AT15" s="23" t="s">
        <v>215</v>
      </c>
      <c r="AU15" s="24" t="s">
        <v>176</v>
      </c>
      <c r="AV15" s="21"/>
      <c r="AW15" s="78">
        <v>65.0</v>
      </c>
      <c r="AX15" s="171">
        <v>115.0</v>
      </c>
      <c r="AY15" s="80">
        <v>40.0</v>
      </c>
      <c r="AZ15" s="163">
        <v>40.0</v>
      </c>
      <c r="BA15" s="164">
        <v>95.0</v>
      </c>
      <c r="BB15" s="111">
        <v>95.0</v>
      </c>
      <c r="BC15" s="111">
        <v>450.0</v>
      </c>
      <c r="BE15" s="172" t="s">
        <v>216</v>
      </c>
      <c r="BF15" s="113"/>
      <c r="BG15" s="114" t="s">
        <v>27</v>
      </c>
      <c r="BI15" s="31" t="s">
        <v>5</v>
      </c>
      <c r="BJ15" s="32">
        <v>2.0</v>
      </c>
      <c r="BK15" s="32" t="s">
        <v>5</v>
      </c>
      <c r="BL15" s="32" t="s">
        <v>5</v>
      </c>
      <c r="BM15" s="32">
        <v>1.0</v>
      </c>
      <c r="BN15" s="33" t="s">
        <v>5</v>
      </c>
      <c r="BP15" s="115" t="s">
        <v>109</v>
      </c>
      <c r="BQ15" s="116" t="s">
        <v>7</v>
      </c>
      <c r="BS15" s="115" t="s">
        <v>109</v>
      </c>
      <c r="BT15" s="117" t="s">
        <v>7</v>
      </c>
      <c r="BU15" s="37" t="str">
        <f t="shared" si="1"/>
        <v>#NAME?</v>
      </c>
      <c r="BV15" s="89" t="s">
        <v>109</v>
      </c>
      <c r="BW15" s="37" t="str">
        <f t="shared" si="2"/>
        <v>#NAME?</v>
      </c>
      <c r="BX15" s="89" t="s">
        <v>7</v>
      </c>
      <c r="BY15" s="39"/>
      <c r="BZ15" s="39"/>
      <c r="CA15" s="40" t="s">
        <v>191</v>
      </c>
      <c r="CB15" s="41"/>
      <c r="CC15" s="90" t="s">
        <v>109</v>
      </c>
      <c r="CD15" s="91" t="s">
        <v>7</v>
      </c>
      <c r="CE15" s="2"/>
      <c r="CF15" s="92" t="s">
        <v>217</v>
      </c>
      <c r="CG15" s="93"/>
      <c r="CH15" s="2"/>
      <c r="CI15" s="158" t="s">
        <v>218</v>
      </c>
      <c r="CJ15" s="165" t="s">
        <v>217</v>
      </c>
      <c r="CK15" s="2"/>
      <c r="CL15" s="22" t="s">
        <v>219</v>
      </c>
      <c r="CM15" s="12"/>
      <c r="CN15" s="48"/>
      <c r="CO15" s="165" t="s">
        <v>217</v>
      </c>
      <c r="CP15" s="2"/>
      <c r="CQ15" s="2" t="s">
        <v>220</v>
      </c>
      <c r="CR15" s="97">
        <v>60.0</v>
      </c>
      <c r="CS15" s="2" t="s">
        <v>221</v>
      </c>
      <c r="CT15" s="98">
        <v>159.0</v>
      </c>
      <c r="CU15" s="2"/>
      <c r="CV15" s="52" t="s">
        <v>149</v>
      </c>
      <c r="CW15" s="52" t="s">
        <v>149</v>
      </c>
      <c r="CX15" s="2"/>
      <c r="CY15" s="119" t="s">
        <v>109</v>
      </c>
      <c r="CZ15" s="160"/>
      <c r="DA15" s="2"/>
      <c r="DB15" s="98">
        <v>45.0</v>
      </c>
      <c r="DC15" s="2"/>
      <c r="DD15" s="101" t="s">
        <v>150</v>
      </c>
      <c r="DE15" s="2"/>
      <c r="DF15" s="120" t="s">
        <v>222</v>
      </c>
      <c r="DG15" s="173" t="s">
        <v>223</v>
      </c>
      <c r="DH15" s="121"/>
      <c r="DI15" s="2"/>
      <c r="DJ15" s="2"/>
      <c r="DK15" s="59" t="s">
        <v>224</v>
      </c>
      <c r="DL15" s="37" t="s">
        <v>34</v>
      </c>
      <c r="DM15" s="37" t="str">
        <f t="shared" si="3"/>
        <v>#NAME?</v>
      </c>
      <c r="DN15" s="61"/>
      <c r="DO15" s="37" t="s">
        <v>128</v>
      </c>
      <c r="DP15" s="37" t="s">
        <v>225</v>
      </c>
      <c r="DQ15" s="62" t="s">
        <v>49</v>
      </c>
      <c r="DR15" s="63"/>
      <c r="DS15" s="40" t="s">
        <v>226</v>
      </c>
      <c r="DT15" s="12"/>
      <c r="DU15" s="12"/>
      <c r="DV15" s="12"/>
      <c r="DW15" s="12"/>
      <c r="DX15" s="64"/>
      <c r="DY15" s="65"/>
      <c r="DZ15" s="106" t="s">
        <v>120</v>
      </c>
      <c r="EA15" s="107"/>
      <c r="EB15" s="2"/>
      <c r="EC15" s="106" t="s">
        <v>120</v>
      </c>
      <c r="ED15" s="107"/>
      <c r="EE15" s="2"/>
      <c r="EF15" s="68" t="s">
        <v>227</v>
      </c>
      <c r="EG15" s="69" t="str">
        <f>image("https://www.pokebip.com/pages/icones/objets/glace-eternelle.png", 3)</f>
        <v/>
      </c>
      <c r="EH15" s="69"/>
      <c r="EI15" s="69"/>
    </row>
    <row r="16" ht="15.75" customHeight="1">
      <c r="A16" s="1">
        <v>16.0</v>
      </c>
      <c r="B16" s="2" t="s">
        <v>228</v>
      </c>
      <c r="C16" s="7"/>
      <c r="D16" s="167" t="s">
        <v>229</v>
      </c>
      <c r="E16" s="5"/>
      <c r="F16" s="168"/>
      <c r="G16" s="7"/>
      <c r="H16" s="8" t="s">
        <v>230</v>
      </c>
      <c r="I16" s="9" t="s">
        <v>231</v>
      </c>
      <c r="J16" s="10" t="str">
        <f>image("https://archives.bulbagarden.net/media/upload/2/26/016MS6.png", 3)</f>
        <v/>
      </c>
      <c r="K16" s="11" t="s">
        <v>229</v>
      </c>
      <c r="L16" s="12"/>
      <c r="M16" s="12"/>
      <c r="N16" s="12"/>
      <c r="O16" s="12"/>
      <c r="Q16" s="71">
        <v>40.0</v>
      </c>
      <c r="R16" s="72">
        <v>45.0</v>
      </c>
      <c r="S16" s="73">
        <v>40.0</v>
      </c>
      <c r="T16" s="74">
        <v>35.0</v>
      </c>
      <c r="U16" s="75">
        <v>35.0</v>
      </c>
      <c r="V16" s="76">
        <v>56.0</v>
      </c>
      <c r="W16" s="77">
        <v>251.0</v>
      </c>
      <c r="X16" s="21"/>
      <c r="Y16" s="71">
        <v>40.0</v>
      </c>
      <c r="Z16" s="72">
        <v>45.0</v>
      </c>
      <c r="AA16" s="73">
        <v>40.0</v>
      </c>
      <c r="AB16" s="74">
        <v>35.0</v>
      </c>
      <c r="AC16" s="75">
        <v>35.0</v>
      </c>
      <c r="AD16" s="76">
        <v>56.0</v>
      </c>
      <c r="AE16" s="77">
        <v>251.0</v>
      </c>
      <c r="AF16" s="21"/>
      <c r="AG16" s="71">
        <v>40.0</v>
      </c>
      <c r="AH16" s="162">
        <v>35.0</v>
      </c>
      <c r="AI16" s="162">
        <v>35.0</v>
      </c>
      <c r="AJ16" s="109">
        <v>50.0</v>
      </c>
      <c r="AK16" s="75">
        <v>35.0</v>
      </c>
      <c r="AL16" s="76">
        <v>56.0</v>
      </c>
      <c r="AM16" s="77">
        <v>251.0</v>
      </c>
      <c r="AN16" s="21"/>
      <c r="AO16" s="22">
        <v>40.0</v>
      </c>
      <c r="AP16" s="23" t="s">
        <v>232</v>
      </c>
      <c r="AQ16" s="23" t="s">
        <v>232</v>
      </c>
      <c r="AR16" s="23" t="s">
        <v>233</v>
      </c>
      <c r="AS16" s="23">
        <v>35.0</v>
      </c>
      <c r="AT16" s="23">
        <v>56.0</v>
      </c>
      <c r="AU16" s="24">
        <v>251.0</v>
      </c>
      <c r="AV16" s="21"/>
      <c r="AW16" s="78">
        <v>40.0</v>
      </c>
      <c r="AX16" s="163">
        <v>35.0</v>
      </c>
      <c r="AY16" s="163">
        <v>35.0</v>
      </c>
      <c r="AZ16" s="174">
        <v>50.0</v>
      </c>
      <c r="BA16" s="124">
        <v>35.0</v>
      </c>
      <c r="BB16" s="124">
        <v>56.0</v>
      </c>
      <c r="BC16" s="125">
        <v>251.0</v>
      </c>
      <c r="BE16" s="126" t="s">
        <v>56</v>
      </c>
      <c r="BF16" s="127"/>
      <c r="BG16" s="128"/>
      <c r="BI16" s="31" t="s">
        <v>5</v>
      </c>
      <c r="BJ16" s="32" t="s">
        <v>5</v>
      </c>
      <c r="BK16" s="32" t="s">
        <v>5</v>
      </c>
      <c r="BL16" s="32" t="s">
        <v>5</v>
      </c>
      <c r="BM16" s="32" t="s">
        <v>5</v>
      </c>
      <c r="BN16" s="33">
        <v>1.0</v>
      </c>
      <c r="BP16" s="85" t="s">
        <v>156</v>
      </c>
      <c r="BQ16" s="86" t="s">
        <v>18</v>
      </c>
      <c r="BS16" s="87" t="s">
        <v>156</v>
      </c>
      <c r="BT16" s="88" t="s">
        <v>18</v>
      </c>
      <c r="BU16" s="37" t="str">
        <f t="shared" si="1"/>
        <v>#NAME?</v>
      </c>
      <c r="BV16" s="89" t="s">
        <v>156</v>
      </c>
      <c r="BW16" s="37" t="str">
        <f t="shared" si="2"/>
        <v>#NAME?</v>
      </c>
      <c r="BX16" s="89" t="s">
        <v>18</v>
      </c>
      <c r="BY16" s="39"/>
      <c r="BZ16" s="39"/>
      <c r="CA16" s="40" t="s">
        <v>234</v>
      </c>
      <c r="CB16" s="41"/>
      <c r="CC16" s="90" t="s">
        <v>156</v>
      </c>
      <c r="CD16" s="91" t="s">
        <v>18</v>
      </c>
      <c r="CE16" s="2"/>
      <c r="CF16" s="92" t="s">
        <v>235</v>
      </c>
      <c r="CG16" s="93" t="s">
        <v>236</v>
      </c>
      <c r="CH16" s="2"/>
      <c r="CI16" s="175" t="s">
        <v>235</v>
      </c>
      <c r="CJ16" s="93" t="s">
        <v>236</v>
      </c>
      <c r="CK16" s="2"/>
      <c r="CL16" s="22" t="s">
        <v>235</v>
      </c>
      <c r="CM16" s="12"/>
      <c r="CN16" s="48"/>
      <c r="CO16" s="96" t="s">
        <v>236</v>
      </c>
      <c r="CP16" s="2"/>
      <c r="CQ16" s="2" t="s">
        <v>237</v>
      </c>
      <c r="CR16" s="97">
        <v>20.0</v>
      </c>
      <c r="CS16" s="2" t="s">
        <v>56</v>
      </c>
      <c r="CT16" s="98">
        <v>55.0</v>
      </c>
      <c r="CU16" s="2"/>
      <c r="CV16" s="52" t="s">
        <v>149</v>
      </c>
      <c r="CW16" s="52" t="s">
        <v>149</v>
      </c>
      <c r="CX16" s="2"/>
      <c r="CY16" s="100" t="s">
        <v>18</v>
      </c>
      <c r="CZ16" s="154"/>
      <c r="DA16" s="2"/>
      <c r="DB16" s="98">
        <v>255.0</v>
      </c>
      <c r="DC16" s="2"/>
      <c r="DD16" s="101" t="s">
        <v>15</v>
      </c>
      <c r="DE16" s="2"/>
      <c r="DF16" s="131" t="s">
        <v>238</v>
      </c>
      <c r="DG16" s="103"/>
      <c r="DH16" s="103"/>
      <c r="DI16" s="21"/>
      <c r="DJ16" s="21"/>
      <c r="DK16" s="59" t="s">
        <v>239</v>
      </c>
      <c r="DL16" s="37" t="s">
        <v>156</v>
      </c>
      <c r="DM16" s="37" t="str">
        <f t="shared" si="3"/>
        <v>#NAME?</v>
      </c>
      <c r="DN16" s="61"/>
      <c r="DO16" s="37">
        <v>85.0</v>
      </c>
      <c r="DP16" s="105">
        <v>1.0</v>
      </c>
      <c r="DQ16" s="62" t="s">
        <v>93</v>
      </c>
      <c r="DR16" s="63"/>
      <c r="DS16" s="40" t="s">
        <v>240</v>
      </c>
      <c r="DT16" s="12"/>
      <c r="DU16" s="12"/>
      <c r="DV16" s="12"/>
      <c r="DW16" s="12"/>
      <c r="DX16" s="64"/>
      <c r="DY16" s="65"/>
      <c r="DZ16" s="106" t="s">
        <v>92</v>
      </c>
      <c r="EA16" s="107"/>
      <c r="EB16" s="21"/>
      <c r="EC16" s="106" t="s">
        <v>92</v>
      </c>
      <c r="ED16" s="107"/>
      <c r="EE16" s="21"/>
      <c r="EF16" s="68" t="s">
        <v>241</v>
      </c>
      <c r="EG16" s="69" t="str">
        <f>image("https://www.pokebip.com/pages/icones/objets/rune-sort.png", 3)</f>
        <v/>
      </c>
      <c r="EH16" s="69"/>
      <c r="EI16" s="69"/>
    </row>
    <row r="17" ht="15.75" customHeight="1">
      <c r="A17" s="1">
        <v>17.0</v>
      </c>
      <c r="B17" s="2" t="s">
        <v>242</v>
      </c>
      <c r="C17" s="7"/>
      <c r="D17" s="167" t="s">
        <v>243</v>
      </c>
      <c r="E17" s="5"/>
      <c r="F17" s="168"/>
      <c r="G17" s="7"/>
      <c r="H17" s="8" t="s">
        <v>244</v>
      </c>
      <c r="I17" s="9" t="s">
        <v>245</v>
      </c>
      <c r="J17" s="10" t="str">
        <f>image("https://archives.bulbagarden.net/media/upload/c/c3/017MS6.png", 3)</f>
        <v/>
      </c>
      <c r="K17" s="11" t="s">
        <v>243</v>
      </c>
      <c r="L17" s="12"/>
      <c r="M17" s="12"/>
      <c r="N17" s="12"/>
      <c r="O17" s="12"/>
      <c r="Q17" s="71">
        <v>63.0</v>
      </c>
      <c r="R17" s="72">
        <v>60.0</v>
      </c>
      <c r="S17" s="73">
        <v>55.0</v>
      </c>
      <c r="T17" s="74">
        <v>50.0</v>
      </c>
      <c r="U17" s="75">
        <v>50.0</v>
      </c>
      <c r="V17" s="76">
        <v>71.0</v>
      </c>
      <c r="W17" s="77">
        <v>349.0</v>
      </c>
      <c r="X17" s="21"/>
      <c r="Y17" s="71">
        <v>63.0</v>
      </c>
      <c r="Z17" s="72">
        <v>60.0</v>
      </c>
      <c r="AA17" s="73">
        <v>55.0</v>
      </c>
      <c r="AB17" s="74">
        <v>50.0</v>
      </c>
      <c r="AC17" s="75">
        <v>50.0</v>
      </c>
      <c r="AD17" s="76">
        <v>71.0</v>
      </c>
      <c r="AE17" s="77">
        <v>349.0</v>
      </c>
      <c r="AF17" s="21"/>
      <c r="AG17" s="71">
        <v>63.0</v>
      </c>
      <c r="AH17" s="162">
        <v>50.0</v>
      </c>
      <c r="AI17" s="162">
        <v>50.0</v>
      </c>
      <c r="AJ17" s="109">
        <v>65.0</v>
      </c>
      <c r="AK17" s="75">
        <v>50.0</v>
      </c>
      <c r="AL17" s="76">
        <v>71.0</v>
      </c>
      <c r="AM17" s="77">
        <v>349.0</v>
      </c>
      <c r="AN17" s="21"/>
      <c r="AO17" s="22">
        <v>63.0</v>
      </c>
      <c r="AP17" s="23" t="s">
        <v>246</v>
      </c>
      <c r="AQ17" s="23" t="s">
        <v>246</v>
      </c>
      <c r="AR17" s="23" t="s">
        <v>247</v>
      </c>
      <c r="AS17" s="23">
        <v>50.0</v>
      </c>
      <c r="AT17" s="23">
        <v>71.0</v>
      </c>
      <c r="AU17" s="24">
        <v>349.0</v>
      </c>
      <c r="AV17" s="21"/>
      <c r="AW17" s="78">
        <v>63.0</v>
      </c>
      <c r="AX17" s="163">
        <v>50.0</v>
      </c>
      <c r="AY17" s="163">
        <v>50.0</v>
      </c>
      <c r="AZ17" s="164">
        <v>65.0</v>
      </c>
      <c r="BA17" s="79">
        <v>50.0</v>
      </c>
      <c r="BB17" s="80">
        <v>71.0</v>
      </c>
      <c r="BC17" s="81">
        <v>349.0</v>
      </c>
      <c r="BE17" s="176" t="s">
        <v>248</v>
      </c>
      <c r="BF17" s="113"/>
      <c r="BG17" s="93"/>
      <c r="BI17" s="31" t="s">
        <v>5</v>
      </c>
      <c r="BJ17" s="32" t="s">
        <v>5</v>
      </c>
      <c r="BK17" s="32" t="s">
        <v>5</v>
      </c>
      <c r="BL17" s="32" t="s">
        <v>5</v>
      </c>
      <c r="BM17" s="32" t="s">
        <v>5</v>
      </c>
      <c r="BN17" s="33">
        <v>2.0</v>
      </c>
      <c r="BP17" s="115" t="s">
        <v>156</v>
      </c>
      <c r="BQ17" s="116" t="s">
        <v>18</v>
      </c>
      <c r="BS17" s="115" t="s">
        <v>156</v>
      </c>
      <c r="BT17" s="117" t="s">
        <v>18</v>
      </c>
      <c r="BU17" s="37" t="str">
        <f t="shared" si="1"/>
        <v>#NAME?</v>
      </c>
      <c r="BV17" s="89" t="s">
        <v>156</v>
      </c>
      <c r="BW17" s="37" t="str">
        <f t="shared" si="2"/>
        <v>#NAME?</v>
      </c>
      <c r="BX17" s="89" t="s">
        <v>18</v>
      </c>
      <c r="BY17" s="39"/>
      <c r="BZ17" s="39"/>
      <c r="CA17" s="40" t="s">
        <v>234</v>
      </c>
      <c r="CB17" s="41"/>
      <c r="CC17" s="90" t="s">
        <v>156</v>
      </c>
      <c r="CD17" s="91" t="s">
        <v>18</v>
      </c>
      <c r="CE17" s="2"/>
      <c r="CF17" s="92" t="s">
        <v>235</v>
      </c>
      <c r="CG17" s="93" t="s">
        <v>236</v>
      </c>
      <c r="CH17" s="2"/>
      <c r="CI17" s="92" t="s">
        <v>235</v>
      </c>
      <c r="CJ17" s="93" t="s">
        <v>236</v>
      </c>
      <c r="CK17" s="2"/>
      <c r="CL17" s="22" t="s">
        <v>235</v>
      </c>
      <c r="CM17" s="12"/>
      <c r="CN17" s="48"/>
      <c r="CO17" s="96" t="s">
        <v>236</v>
      </c>
      <c r="CP17" s="2"/>
      <c r="CQ17" s="2" t="s">
        <v>249</v>
      </c>
      <c r="CR17" s="97">
        <v>60.0</v>
      </c>
      <c r="CS17" s="2" t="s">
        <v>248</v>
      </c>
      <c r="CT17" s="98">
        <v>113.0</v>
      </c>
      <c r="CU17" s="2"/>
      <c r="CV17" s="52" t="s">
        <v>149</v>
      </c>
      <c r="CW17" s="52" t="s">
        <v>149</v>
      </c>
      <c r="CX17" s="2"/>
      <c r="CY17" s="119" t="s">
        <v>18</v>
      </c>
      <c r="CZ17" s="160"/>
      <c r="DA17" s="2"/>
      <c r="DB17" s="98">
        <v>120.0</v>
      </c>
      <c r="DC17" s="2"/>
      <c r="DD17" s="101" t="s">
        <v>15</v>
      </c>
      <c r="DE17" s="2"/>
      <c r="DF17" s="120" t="s">
        <v>250</v>
      </c>
      <c r="DG17" s="121"/>
      <c r="DH17" s="121"/>
      <c r="DI17" s="2"/>
      <c r="DJ17" s="2"/>
      <c r="DK17" s="59" t="s">
        <v>251</v>
      </c>
      <c r="DL17" s="37" t="s">
        <v>79</v>
      </c>
      <c r="DM17" s="37" t="str">
        <f t="shared" si="3"/>
        <v>#NAME?</v>
      </c>
      <c r="DN17" s="61"/>
      <c r="DO17" s="37">
        <v>65.0</v>
      </c>
      <c r="DP17" s="105">
        <v>0.85</v>
      </c>
      <c r="DQ17" s="62" t="s">
        <v>20</v>
      </c>
      <c r="DR17" s="63"/>
      <c r="DS17" s="40" t="s">
        <v>252</v>
      </c>
      <c r="DT17" s="12"/>
      <c r="DU17" s="12"/>
      <c r="DV17" s="12"/>
      <c r="DW17" s="12"/>
      <c r="DX17" s="64"/>
      <c r="DY17" s="65"/>
      <c r="DZ17" s="106" t="s">
        <v>153</v>
      </c>
      <c r="EA17" s="107"/>
      <c r="EB17" s="2"/>
      <c r="EC17" s="106" t="s">
        <v>153</v>
      </c>
      <c r="ED17" s="107"/>
      <c r="EE17" s="2"/>
      <c r="EG17" s="108"/>
    </row>
    <row r="18" ht="15.75" customHeight="1">
      <c r="A18" s="1">
        <v>18.0</v>
      </c>
      <c r="B18" s="2" t="s">
        <v>253</v>
      </c>
      <c r="C18" s="7"/>
      <c r="D18" s="167" t="s">
        <v>254</v>
      </c>
      <c r="E18" s="5"/>
      <c r="F18" s="168"/>
      <c r="G18" s="7"/>
      <c r="H18" s="8" t="s">
        <v>255</v>
      </c>
      <c r="I18" s="9" t="s">
        <v>256</v>
      </c>
      <c r="J18" s="10" t="str">
        <f>image("https://archives.bulbagarden.net/media/upload/e/e3/018MS6.png", 3)</f>
        <v/>
      </c>
      <c r="K18" s="11" t="s">
        <v>254</v>
      </c>
      <c r="L18" s="12"/>
      <c r="M18" s="12"/>
      <c r="N18" s="12"/>
      <c r="O18" s="12"/>
      <c r="Q18" s="71">
        <v>83.0</v>
      </c>
      <c r="R18" s="72">
        <v>80.0</v>
      </c>
      <c r="S18" s="73">
        <v>75.0</v>
      </c>
      <c r="T18" s="74">
        <v>70.0</v>
      </c>
      <c r="U18" s="75">
        <v>70.0</v>
      </c>
      <c r="V18" s="76">
        <v>91.0</v>
      </c>
      <c r="W18" s="77">
        <v>469.0</v>
      </c>
      <c r="X18" s="21"/>
      <c r="Y18" s="71">
        <v>83.0</v>
      </c>
      <c r="Z18" s="72">
        <v>80.0</v>
      </c>
      <c r="AA18" s="73">
        <v>75.0</v>
      </c>
      <c r="AB18" s="74">
        <v>70.0</v>
      </c>
      <c r="AC18" s="75">
        <v>70.0</v>
      </c>
      <c r="AD18" s="109">
        <v>101.0</v>
      </c>
      <c r="AE18" s="110">
        <v>479.0</v>
      </c>
      <c r="AF18" s="21"/>
      <c r="AG18" s="71">
        <v>83.0</v>
      </c>
      <c r="AH18" s="162">
        <v>60.0</v>
      </c>
      <c r="AI18" s="162">
        <v>70.0</v>
      </c>
      <c r="AJ18" s="109">
        <v>115.0</v>
      </c>
      <c r="AK18" s="75">
        <v>70.0</v>
      </c>
      <c r="AL18" s="109">
        <v>101.0</v>
      </c>
      <c r="AM18" s="110">
        <v>499.0</v>
      </c>
      <c r="AN18" s="21"/>
      <c r="AO18" s="22">
        <v>83.0</v>
      </c>
      <c r="AP18" s="23" t="s">
        <v>257</v>
      </c>
      <c r="AQ18" s="23" t="s">
        <v>258</v>
      </c>
      <c r="AR18" s="23" t="s">
        <v>213</v>
      </c>
      <c r="AS18" s="23">
        <v>70.0</v>
      </c>
      <c r="AT18" s="23" t="s">
        <v>259</v>
      </c>
      <c r="AU18" s="24" t="s">
        <v>260</v>
      </c>
      <c r="AV18" s="21"/>
      <c r="AW18" s="78">
        <v>83.0</v>
      </c>
      <c r="AX18" s="163">
        <v>60.0</v>
      </c>
      <c r="AY18" s="163">
        <v>70.0</v>
      </c>
      <c r="AZ18" s="164">
        <v>115.0</v>
      </c>
      <c r="BA18" s="79">
        <v>70.0</v>
      </c>
      <c r="BB18" s="111">
        <v>101.0</v>
      </c>
      <c r="BC18" s="111">
        <v>499.0</v>
      </c>
      <c r="BE18" s="176" t="s">
        <v>261</v>
      </c>
      <c r="BF18" s="138"/>
      <c r="BG18" s="128"/>
      <c r="BI18" s="31" t="s">
        <v>5</v>
      </c>
      <c r="BJ18" s="32" t="s">
        <v>5</v>
      </c>
      <c r="BK18" s="32" t="s">
        <v>5</v>
      </c>
      <c r="BL18" s="32" t="s">
        <v>5</v>
      </c>
      <c r="BM18" s="32" t="s">
        <v>5</v>
      </c>
      <c r="BN18" s="33">
        <v>3.0</v>
      </c>
      <c r="BP18" s="85" t="s">
        <v>156</v>
      </c>
      <c r="BQ18" s="86" t="s">
        <v>18</v>
      </c>
      <c r="BS18" s="87" t="s">
        <v>156</v>
      </c>
      <c r="BT18" s="88" t="s">
        <v>18</v>
      </c>
      <c r="BU18" s="37" t="str">
        <f t="shared" si="1"/>
        <v>#NAME?</v>
      </c>
      <c r="BV18" s="89" t="s">
        <v>156</v>
      </c>
      <c r="BW18" s="37" t="str">
        <f t="shared" si="2"/>
        <v>#NAME?</v>
      </c>
      <c r="BX18" s="89" t="s">
        <v>18</v>
      </c>
      <c r="BY18" s="39"/>
      <c r="BZ18" s="39"/>
      <c r="CA18" s="40" t="s">
        <v>234</v>
      </c>
      <c r="CB18" s="41"/>
      <c r="CC18" s="90" t="s">
        <v>156</v>
      </c>
      <c r="CD18" s="91" t="s">
        <v>18</v>
      </c>
      <c r="CE18" s="2"/>
      <c r="CF18" s="92" t="s">
        <v>235</v>
      </c>
      <c r="CG18" s="93" t="s">
        <v>236</v>
      </c>
      <c r="CH18" s="2"/>
      <c r="CI18" s="177" t="s">
        <v>235</v>
      </c>
      <c r="CJ18" s="93" t="s">
        <v>236</v>
      </c>
      <c r="CK18" s="2"/>
      <c r="CL18" s="22" t="s">
        <v>262</v>
      </c>
      <c r="CM18" s="12"/>
      <c r="CN18" s="48"/>
      <c r="CO18" s="96" t="s">
        <v>236</v>
      </c>
      <c r="CP18" s="2"/>
      <c r="CQ18" s="2" t="s">
        <v>263</v>
      </c>
      <c r="CR18" s="97">
        <v>60.0</v>
      </c>
      <c r="CS18" s="2" t="s">
        <v>261</v>
      </c>
      <c r="CT18" s="98">
        <v>172.0</v>
      </c>
      <c r="CU18" s="2"/>
      <c r="CV18" s="52" t="s">
        <v>149</v>
      </c>
      <c r="CW18" s="52" t="s">
        <v>149</v>
      </c>
      <c r="CX18" s="2"/>
      <c r="CY18" s="100" t="s">
        <v>18</v>
      </c>
      <c r="CZ18" s="154"/>
      <c r="DA18" s="2"/>
      <c r="DB18" s="98">
        <v>45.0</v>
      </c>
      <c r="DC18" s="2"/>
      <c r="DD18" s="101" t="s">
        <v>15</v>
      </c>
      <c r="DE18" s="2"/>
      <c r="DF18" s="102" t="s">
        <v>264</v>
      </c>
      <c r="DG18" s="103"/>
      <c r="DH18" s="103"/>
      <c r="DI18" s="2"/>
      <c r="DJ18" s="2"/>
      <c r="DK18" s="59" t="s">
        <v>265</v>
      </c>
      <c r="DL18" s="37" t="s">
        <v>79</v>
      </c>
      <c r="DM18" s="37" t="str">
        <f t="shared" si="3"/>
        <v>#NAME?</v>
      </c>
      <c r="DN18" s="61"/>
      <c r="DO18" s="37">
        <v>25.0</v>
      </c>
      <c r="DP18" s="37" t="s">
        <v>266</v>
      </c>
      <c r="DQ18" s="62" t="s">
        <v>49</v>
      </c>
      <c r="DR18" s="63"/>
      <c r="DS18" s="40" t="s">
        <v>267</v>
      </c>
      <c r="DT18" s="12"/>
      <c r="DU18" s="12"/>
      <c r="DV18" s="12"/>
      <c r="DW18" s="12"/>
      <c r="DX18" s="64"/>
      <c r="DY18" s="65"/>
      <c r="DZ18" s="178" t="s">
        <v>61</v>
      </c>
      <c r="EA18" s="179"/>
      <c r="EB18" s="2"/>
      <c r="EC18" s="178" t="s">
        <v>61</v>
      </c>
      <c r="ED18" s="179"/>
      <c r="EE18" s="2"/>
      <c r="EF18" s="68" t="s">
        <v>268</v>
      </c>
      <c r="EG18" s="69" t="str">
        <f>image("https://www.pokebip.com/pages/icones/objets/croc-dragon.png", 3)</f>
        <v/>
      </c>
      <c r="EH18" s="69"/>
      <c r="EI18" s="69"/>
    </row>
    <row r="19" ht="15.75" customHeight="1">
      <c r="A19" s="1">
        <v>19.0</v>
      </c>
      <c r="B19" s="2" t="s">
        <v>269</v>
      </c>
      <c r="C19" s="7"/>
      <c r="D19" s="180" t="s">
        <v>270</v>
      </c>
      <c r="E19" s="5"/>
      <c r="F19" s="181"/>
      <c r="G19" s="7"/>
      <c r="H19" s="8" t="s">
        <v>271</v>
      </c>
      <c r="I19" s="9" t="s">
        <v>272</v>
      </c>
      <c r="J19" s="10" t="str">
        <f>image("https://archives.bulbagarden.net/media/upload/d/d9/019MS6.png", 3)</f>
        <v/>
      </c>
      <c r="K19" s="11" t="s">
        <v>270</v>
      </c>
      <c r="L19" s="12"/>
      <c r="M19" s="12"/>
      <c r="N19" s="12"/>
      <c r="O19" s="12"/>
      <c r="Q19" s="71">
        <v>30.0</v>
      </c>
      <c r="R19" s="72">
        <v>56.0</v>
      </c>
      <c r="S19" s="73">
        <v>35.0</v>
      </c>
      <c r="T19" s="74">
        <v>25.0</v>
      </c>
      <c r="U19" s="75">
        <v>35.0</v>
      </c>
      <c r="V19" s="76">
        <v>72.0</v>
      </c>
      <c r="W19" s="77">
        <v>253.0</v>
      </c>
      <c r="X19" s="21"/>
      <c r="Y19" s="71">
        <v>30.0</v>
      </c>
      <c r="Z19" s="72">
        <v>56.0</v>
      </c>
      <c r="AA19" s="73">
        <v>35.0</v>
      </c>
      <c r="AB19" s="74">
        <v>25.0</v>
      </c>
      <c r="AC19" s="75">
        <v>35.0</v>
      </c>
      <c r="AD19" s="76">
        <v>72.0</v>
      </c>
      <c r="AE19" s="77">
        <v>253.0</v>
      </c>
      <c r="AF19" s="21"/>
      <c r="AG19" s="71">
        <v>30.0</v>
      </c>
      <c r="AH19" s="72">
        <v>56.0</v>
      </c>
      <c r="AI19" s="73">
        <v>35.0</v>
      </c>
      <c r="AJ19" s="74">
        <v>25.0</v>
      </c>
      <c r="AK19" s="75">
        <v>35.0</v>
      </c>
      <c r="AL19" s="76">
        <v>72.0</v>
      </c>
      <c r="AM19" s="77">
        <v>253.0</v>
      </c>
      <c r="AN19" s="21"/>
      <c r="AO19" s="22">
        <v>30.0</v>
      </c>
      <c r="AP19" s="23">
        <v>56.0</v>
      </c>
      <c r="AQ19" s="23">
        <v>35.0</v>
      </c>
      <c r="AR19" s="23">
        <v>25.0</v>
      </c>
      <c r="AS19" s="23">
        <v>35.0</v>
      </c>
      <c r="AT19" s="23">
        <v>72.0</v>
      </c>
      <c r="AU19" s="24">
        <v>253.0</v>
      </c>
      <c r="AV19" s="21"/>
      <c r="AW19" s="78">
        <v>30.0</v>
      </c>
      <c r="AX19" s="182">
        <v>56.0</v>
      </c>
      <c r="AY19" s="182">
        <v>35.0</v>
      </c>
      <c r="AZ19" s="182">
        <v>25.0</v>
      </c>
      <c r="BA19" s="79">
        <v>35.0</v>
      </c>
      <c r="BB19" s="182">
        <v>72.0</v>
      </c>
      <c r="BC19" s="183">
        <v>253.0</v>
      </c>
      <c r="BE19" s="126" t="s">
        <v>56</v>
      </c>
      <c r="BF19" s="184"/>
      <c r="BG19" s="128"/>
      <c r="BI19" s="31" t="s">
        <v>5</v>
      </c>
      <c r="BJ19" s="32" t="s">
        <v>5</v>
      </c>
      <c r="BK19" s="32" t="s">
        <v>5</v>
      </c>
      <c r="BL19" s="32" t="s">
        <v>5</v>
      </c>
      <c r="BM19" s="32" t="s">
        <v>5</v>
      </c>
      <c r="BN19" s="33">
        <v>1.0</v>
      </c>
      <c r="BP19" s="115" t="s">
        <v>156</v>
      </c>
      <c r="BQ19" s="93"/>
      <c r="BS19" s="115" t="s">
        <v>156</v>
      </c>
      <c r="BT19" s="133"/>
      <c r="BU19" s="37" t="str">
        <f t="shared" si="1"/>
        <v>#NAME?</v>
      </c>
      <c r="BV19" s="89" t="s">
        <v>156</v>
      </c>
      <c r="BW19" s="37" t="str">
        <f t="shared" si="2"/>
        <v>#NAME?</v>
      </c>
      <c r="BX19" s="89"/>
      <c r="BY19" s="39"/>
      <c r="BZ19" s="39"/>
      <c r="CA19" s="40" t="s">
        <v>156</v>
      </c>
      <c r="CB19" s="41"/>
      <c r="CC19" s="90" t="s">
        <v>156</v>
      </c>
      <c r="CD19" s="91"/>
      <c r="CE19" s="21"/>
      <c r="CF19" s="92" t="s">
        <v>146</v>
      </c>
      <c r="CG19" s="93" t="s">
        <v>273</v>
      </c>
      <c r="CH19" s="21"/>
      <c r="CI19" s="158" t="s">
        <v>274</v>
      </c>
      <c r="CJ19" s="95" t="s">
        <v>273</v>
      </c>
      <c r="CK19" s="21"/>
      <c r="CL19" s="22" t="s">
        <v>275</v>
      </c>
      <c r="CM19" s="12"/>
      <c r="CN19" s="48"/>
      <c r="CO19" s="96" t="s">
        <v>273</v>
      </c>
      <c r="CP19" s="21"/>
      <c r="CQ19" s="2" t="s">
        <v>276</v>
      </c>
      <c r="CR19" s="97">
        <v>20.0</v>
      </c>
      <c r="CS19" s="2" t="s">
        <v>56</v>
      </c>
      <c r="CT19" s="98">
        <v>57.0</v>
      </c>
      <c r="CU19" s="2"/>
      <c r="CV19" s="52" t="s">
        <v>149</v>
      </c>
      <c r="CW19" s="52" t="s">
        <v>149</v>
      </c>
      <c r="CX19" s="2"/>
      <c r="CY19" s="119" t="s">
        <v>277</v>
      </c>
      <c r="CZ19" s="160"/>
      <c r="DA19" s="2"/>
      <c r="DB19" s="98">
        <v>255.0</v>
      </c>
      <c r="DC19" s="2"/>
      <c r="DD19" s="101" t="s">
        <v>150</v>
      </c>
      <c r="DE19" s="2"/>
      <c r="DF19" s="148" t="s">
        <v>278</v>
      </c>
      <c r="DG19" s="173" t="s">
        <v>279</v>
      </c>
      <c r="DH19" s="121"/>
      <c r="DI19" s="21"/>
      <c r="DJ19" s="21"/>
      <c r="DK19" s="59" t="s">
        <v>280</v>
      </c>
      <c r="DL19" s="37" t="s">
        <v>79</v>
      </c>
      <c r="DM19" s="37" t="str">
        <f t="shared" si="3"/>
        <v>#NAME?</v>
      </c>
      <c r="DN19" s="61"/>
      <c r="DO19" s="37">
        <v>50.0</v>
      </c>
      <c r="DP19" s="105">
        <v>0.9</v>
      </c>
      <c r="DQ19" s="62" t="s">
        <v>49</v>
      </c>
      <c r="DR19" s="63"/>
      <c r="DS19" s="40" t="s">
        <v>281</v>
      </c>
      <c r="DT19" s="12"/>
      <c r="DU19" s="12"/>
      <c r="DV19" s="12"/>
      <c r="DW19" s="12"/>
      <c r="DX19" s="64"/>
      <c r="DY19" s="65"/>
      <c r="DZ19" s="66" t="s">
        <v>282</v>
      </c>
      <c r="EA19" s="185"/>
      <c r="EB19" s="21"/>
      <c r="EC19" s="66" t="s">
        <v>282</v>
      </c>
      <c r="ED19" s="186"/>
      <c r="EE19" s="21"/>
      <c r="EG19" s="108"/>
    </row>
    <row r="20" ht="15.75" customHeight="1">
      <c r="A20" s="1">
        <v>20.0</v>
      </c>
      <c r="B20" s="2" t="s">
        <v>283</v>
      </c>
      <c r="C20" s="7"/>
      <c r="D20" s="167" t="s">
        <v>284</v>
      </c>
      <c r="E20" s="5"/>
      <c r="F20" s="168"/>
      <c r="G20" s="7"/>
      <c r="H20" s="8" t="s">
        <v>285</v>
      </c>
      <c r="I20" s="9" t="s">
        <v>286</v>
      </c>
      <c r="J20" s="10" t="str">
        <f>image("https://archives.bulbagarden.net/media/upload/5/57/020MS6.png", 3)</f>
        <v/>
      </c>
      <c r="K20" s="11" t="s">
        <v>284</v>
      </c>
      <c r="L20" s="12"/>
      <c r="M20" s="12"/>
      <c r="N20" s="12"/>
      <c r="O20" s="12"/>
      <c r="Q20" s="71">
        <v>55.0</v>
      </c>
      <c r="R20" s="72">
        <v>81.0</v>
      </c>
      <c r="S20" s="73">
        <v>60.0</v>
      </c>
      <c r="T20" s="74">
        <v>50.0</v>
      </c>
      <c r="U20" s="75">
        <v>70.0</v>
      </c>
      <c r="V20" s="76">
        <v>97.0</v>
      </c>
      <c r="W20" s="77">
        <v>413.0</v>
      </c>
      <c r="X20" s="21"/>
      <c r="Y20" s="71">
        <v>55.0</v>
      </c>
      <c r="Z20" s="72">
        <v>81.0</v>
      </c>
      <c r="AA20" s="73">
        <v>60.0</v>
      </c>
      <c r="AB20" s="74">
        <v>50.0</v>
      </c>
      <c r="AC20" s="75">
        <v>70.0</v>
      </c>
      <c r="AD20" s="76">
        <v>97.0</v>
      </c>
      <c r="AE20" s="77">
        <v>413.0</v>
      </c>
      <c r="AF20" s="21"/>
      <c r="AG20" s="71">
        <v>55.0</v>
      </c>
      <c r="AH20" s="109">
        <v>97.0</v>
      </c>
      <c r="AI20" s="109">
        <v>70.0</v>
      </c>
      <c r="AJ20" s="162">
        <v>45.0</v>
      </c>
      <c r="AK20" s="75">
        <v>70.0</v>
      </c>
      <c r="AL20" s="109">
        <v>113.0</v>
      </c>
      <c r="AM20" s="110">
        <v>450.0</v>
      </c>
      <c r="AN20" s="21"/>
      <c r="AO20" s="22">
        <v>55.0</v>
      </c>
      <c r="AP20" s="23" t="s">
        <v>287</v>
      </c>
      <c r="AQ20" s="23" t="s">
        <v>288</v>
      </c>
      <c r="AR20" s="23" t="s">
        <v>174</v>
      </c>
      <c r="AS20" s="23">
        <v>70.0</v>
      </c>
      <c r="AT20" s="23" t="s">
        <v>289</v>
      </c>
      <c r="AU20" s="24" t="s">
        <v>176</v>
      </c>
      <c r="AV20" s="21"/>
      <c r="AW20" s="78">
        <v>55.0</v>
      </c>
      <c r="AX20" s="111">
        <v>97.0</v>
      </c>
      <c r="AY20" s="187">
        <v>70.0</v>
      </c>
      <c r="AZ20" s="163">
        <v>45.0</v>
      </c>
      <c r="BA20" s="79">
        <v>70.0</v>
      </c>
      <c r="BB20" s="111">
        <v>113.0</v>
      </c>
      <c r="BC20" s="111">
        <v>450.0</v>
      </c>
      <c r="BE20" s="176" t="s">
        <v>248</v>
      </c>
      <c r="BF20" s="113"/>
      <c r="BG20" s="84"/>
      <c r="BI20" s="31" t="s">
        <v>5</v>
      </c>
      <c r="BJ20" s="32" t="s">
        <v>5</v>
      </c>
      <c r="BK20" s="32" t="s">
        <v>5</v>
      </c>
      <c r="BL20" s="32" t="s">
        <v>5</v>
      </c>
      <c r="BM20" s="32" t="s">
        <v>5</v>
      </c>
      <c r="BN20" s="33">
        <v>2.0</v>
      </c>
      <c r="BP20" s="85" t="s">
        <v>156</v>
      </c>
      <c r="BQ20" s="129"/>
      <c r="BS20" s="87" t="s">
        <v>156</v>
      </c>
      <c r="BT20" s="130"/>
      <c r="BU20" s="37" t="str">
        <f t="shared" si="1"/>
        <v>#NAME?</v>
      </c>
      <c r="BV20" s="89" t="s">
        <v>156</v>
      </c>
      <c r="BW20" s="37" t="str">
        <f t="shared" si="2"/>
        <v>#NAME?</v>
      </c>
      <c r="BX20" s="89"/>
      <c r="BY20" s="39"/>
      <c r="BZ20" s="39"/>
      <c r="CA20" s="40" t="s">
        <v>156</v>
      </c>
      <c r="CB20" s="41"/>
      <c r="CC20" s="90" t="s">
        <v>156</v>
      </c>
      <c r="CD20" s="91"/>
      <c r="CE20" s="21"/>
      <c r="CF20" s="92" t="s">
        <v>146</v>
      </c>
      <c r="CG20" s="93" t="s">
        <v>273</v>
      </c>
      <c r="CH20" s="21"/>
      <c r="CI20" s="175" t="s">
        <v>146</v>
      </c>
      <c r="CJ20" s="188" t="s">
        <v>273</v>
      </c>
      <c r="CK20" s="21"/>
      <c r="CL20" s="22" t="s">
        <v>275</v>
      </c>
      <c r="CM20" s="12"/>
      <c r="CN20" s="48"/>
      <c r="CO20" s="189" t="s">
        <v>273</v>
      </c>
      <c r="CP20" s="21"/>
      <c r="CQ20" s="2" t="s">
        <v>290</v>
      </c>
      <c r="CR20" s="97">
        <v>40.0</v>
      </c>
      <c r="CS20" s="2" t="s">
        <v>248</v>
      </c>
      <c r="CT20" s="98">
        <v>116.0</v>
      </c>
      <c r="CU20" s="2"/>
      <c r="CV20" s="52" t="s">
        <v>149</v>
      </c>
      <c r="CW20" s="52" t="s">
        <v>149</v>
      </c>
      <c r="CX20" s="2"/>
      <c r="CY20" s="100" t="s">
        <v>277</v>
      </c>
      <c r="CZ20" s="154"/>
      <c r="DA20" s="2"/>
      <c r="DB20" s="98">
        <v>127.0</v>
      </c>
      <c r="DC20" s="2"/>
      <c r="DD20" s="101" t="s">
        <v>150</v>
      </c>
      <c r="DE20" s="2"/>
      <c r="DF20" s="102" t="s">
        <v>291</v>
      </c>
      <c r="DG20" s="166" t="s">
        <v>279</v>
      </c>
      <c r="DH20" s="103"/>
      <c r="DI20" s="2"/>
      <c r="DJ20" s="2"/>
      <c r="DK20" s="59" t="s">
        <v>292</v>
      </c>
      <c r="DL20" s="37" t="s">
        <v>18</v>
      </c>
      <c r="DM20" s="37" t="str">
        <f t="shared" si="3"/>
        <v>#NAME?</v>
      </c>
      <c r="DN20" s="61"/>
      <c r="DO20" s="37">
        <v>85.0</v>
      </c>
      <c r="DP20" s="105">
        <v>0.85</v>
      </c>
      <c r="DQ20" s="62" t="s">
        <v>293</v>
      </c>
      <c r="DR20" s="63"/>
      <c r="DS20" s="40" t="s">
        <v>294</v>
      </c>
      <c r="DT20" s="12"/>
      <c r="DU20" s="12"/>
      <c r="DV20" s="12"/>
      <c r="DW20" s="12"/>
      <c r="DX20" s="64"/>
      <c r="DY20" s="65"/>
      <c r="DZ20" s="106" t="s">
        <v>295</v>
      </c>
      <c r="EA20" s="185"/>
      <c r="EB20" s="2"/>
      <c r="EC20" s="106" t="s">
        <v>295</v>
      </c>
      <c r="ED20" s="186"/>
      <c r="EE20" s="2"/>
      <c r="EF20" s="68" t="s">
        <v>296</v>
      </c>
      <c r="EG20" s="69" t="str">
        <f>image("https://www.pokebip.com/pages/icones/objets/boule-fumee.png", 3)</f>
        <v/>
      </c>
      <c r="EH20" s="69"/>
      <c r="EI20" s="69"/>
    </row>
    <row r="21" ht="15.75" customHeight="1">
      <c r="A21" s="1">
        <v>21.0</v>
      </c>
      <c r="B21" s="2" t="s">
        <v>297</v>
      </c>
      <c r="C21" s="7"/>
      <c r="D21" s="167" t="s">
        <v>298</v>
      </c>
      <c r="E21" s="5"/>
      <c r="F21" s="168"/>
      <c r="G21" s="7"/>
      <c r="H21" s="8" t="s">
        <v>299</v>
      </c>
      <c r="I21" s="9" t="s">
        <v>300</v>
      </c>
      <c r="J21" s="10" t="str">
        <f>image("https://archives.bulbagarden.net/media/upload/5/50/021MS6.png", 3)</f>
        <v/>
      </c>
      <c r="K21" s="11" t="s">
        <v>298</v>
      </c>
      <c r="L21" s="12"/>
      <c r="M21" s="12"/>
      <c r="N21" s="12"/>
      <c r="O21" s="12"/>
      <c r="Q21" s="71">
        <v>40.0</v>
      </c>
      <c r="R21" s="72">
        <v>60.0</v>
      </c>
      <c r="S21" s="73">
        <v>30.0</v>
      </c>
      <c r="T21" s="74">
        <v>31.0</v>
      </c>
      <c r="U21" s="75">
        <v>31.0</v>
      </c>
      <c r="V21" s="76">
        <v>70.0</v>
      </c>
      <c r="W21" s="77">
        <v>262.0</v>
      </c>
      <c r="X21" s="21"/>
      <c r="Y21" s="71">
        <v>40.0</v>
      </c>
      <c r="Z21" s="72">
        <v>60.0</v>
      </c>
      <c r="AA21" s="73">
        <v>30.0</v>
      </c>
      <c r="AB21" s="74">
        <v>31.0</v>
      </c>
      <c r="AC21" s="75">
        <v>31.0</v>
      </c>
      <c r="AD21" s="76">
        <v>70.0</v>
      </c>
      <c r="AE21" s="77">
        <v>262.0</v>
      </c>
      <c r="AF21" s="21"/>
      <c r="AG21" s="71">
        <v>40.0</v>
      </c>
      <c r="AH21" s="72">
        <v>60.0</v>
      </c>
      <c r="AI21" s="73">
        <v>30.0</v>
      </c>
      <c r="AJ21" s="74">
        <v>31.0</v>
      </c>
      <c r="AK21" s="75">
        <v>31.0</v>
      </c>
      <c r="AL21" s="76">
        <v>70.0</v>
      </c>
      <c r="AM21" s="77">
        <v>262.0</v>
      </c>
      <c r="AN21" s="21"/>
      <c r="AO21" s="22">
        <v>40.0</v>
      </c>
      <c r="AP21" s="23">
        <v>60.0</v>
      </c>
      <c r="AQ21" s="23">
        <v>30.0</v>
      </c>
      <c r="AR21" s="23">
        <v>31.0</v>
      </c>
      <c r="AS21" s="23">
        <v>31.0</v>
      </c>
      <c r="AT21" s="23">
        <v>70.0</v>
      </c>
      <c r="AU21" s="24">
        <v>262.0</v>
      </c>
      <c r="AV21" s="21"/>
      <c r="AW21" s="78">
        <v>40.0</v>
      </c>
      <c r="AX21" s="182">
        <v>60.0</v>
      </c>
      <c r="AY21" s="124">
        <v>30.0</v>
      </c>
      <c r="AZ21" s="124">
        <v>31.0</v>
      </c>
      <c r="BA21" s="79">
        <v>31.0</v>
      </c>
      <c r="BB21" s="124">
        <v>70.0</v>
      </c>
      <c r="BC21" s="183">
        <v>262.0</v>
      </c>
      <c r="BE21" s="126" t="s">
        <v>56</v>
      </c>
      <c r="BF21" s="184"/>
      <c r="BG21" s="128"/>
      <c r="BI21" s="31" t="s">
        <v>5</v>
      </c>
      <c r="BJ21" s="32" t="s">
        <v>5</v>
      </c>
      <c r="BK21" s="32" t="s">
        <v>5</v>
      </c>
      <c r="BL21" s="32" t="s">
        <v>5</v>
      </c>
      <c r="BM21" s="32" t="s">
        <v>5</v>
      </c>
      <c r="BN21" s="190">
        <v>1.0</v>
      </c>
      <c r="BP21" s="115" t="s">
        <v>156</v>
      </c>
      <c r="BQ21" s="116" t="s">
        <v>18</v>
      </c>
      <c r="BS21" s="115" t="s">
        <v>156</v>
      </c>
      <c r="BT21" s="117" t="s">
        <v>18</v>
      </c>
      <c r="BU21" s="37" t="str">
        <f t="shared" si="1"/>
        <v>#NAME?</v>
      </c>
      <c r="BV21" s="89" t="s">
        <v>156</v>
      </c>
      <c r="BW21" s="37" t="str">
        <f t="shared" si="2"/>
        <v>#NAME?</v>
      </c>
      <c r="BX21" s="89" t="s">
        <v>18</v>
      </c>
      <c r="BY21" s="39"/>
      <c r="BZ21" s="39"/>
      <c r="CA21" s="40" t="s">
        <v>234</v>
      </c>
      <c r="CB21" s="41"/>
      <c r="CC21" s="90" t="s">
        <v>156</v>
      </c>
      <c r="CD21" s="91" t="s">
        <v>18</v>
      </c>
      <c r="CE21" s="2"/>
      <c r="CF21" s="92" t="s">
        <v>235</v>
      </c>
      <c r="CG21" s="93"/>
      <c r="CH21" s="2"/>
      <c r="CI21" s="191" t="s">
        <v>235</v>
      </c>
      <c r="CJ21" s="46" t="s">
        <v>301</v>
      </c>
      <c r="CK21" s="2"/>
      <c r="CL21" s="22" t="s">
        <v>235</v>
      </c>
      <c r="CM21" s="12"/>
      <c r="CN21" s="48"/>
      <c r="CO21" s="192" t="s">
        <v>302</v>
      </c>
      <c r="CP21" s="2"/>
      <c r="CQ21" s="2" t="s">
        <v>303</v>
      </c>
      <c r="CR21" s="97">
        <v>20.0</v>
      </c>
      <c r="CS21" s="2" t="s">
        <v>56</v>
      </c>
      <c r="CT21" s="98">
        <v>58.0</v>
      </c>
      <c r="CU21" s="2"/>
      <c r="CV21" s="52" t="s">
        <v>149</v>
      </c>
      <c r="CW21" s="52" t="s">
        <v>149</v>
      </c>
      <c r="CX21" s="2"/>
      <c r="CY21" s="119" t="s">
        <v>18</v>
      </c>
      <c r="CZ21" s="160"/>
      <c r="DA21" s="2"/>
      <c r="DB21" s="98">
        <v>255.0</v>
      </c>
      <c r="DC21" s="2"/>
      <c r="DD21" s="101" t="s">
        <v>150</v>
      </c>
      <c r="DE21" s="2"/>
      <c r="DF21" s="148" t="s">
        <v>304</v>
      </c>
      <c r="DG21" s="173" t="s">
        <v>305</v>
      </c>
      <c r="DH21" s="121"/>
      <c r="DI21" s="21"/>
      <c r="DJ21" s="21"/>
      <c r="DK21" s="59" t="s">
        <v>306</v>
      </c>
      <c r="DL21" s="37" t="s">
        <v>18</v>
      </c>
      <c r="DM21" s="37" t="str">
        <f t="shared" si="3"/>
        <v>#NAME?</v>
      </c>
      <c r="DN21" s="61"/>
      <c r="DO21" s="37">
        <v>120.0</v>
      </c>
      <c r="DP21" s="105">
        <v>1.0</v>
      </c>
      <c r="DQ21" s="62" t="s">
        <v>93</v>
      </c>
      <c r="DR21" s="63"/>
      <c r="DS21" s="40" t="s">
        <v>307</v>
      </c>
      <c r="DT21" s="12"/>
      <c r="DU21" s="12"/>
      <c r="DV21" s="12"/>
      <c r="DW21" s="12"/>
      <c r="DX21" s="64"/>
      <c r="DY21" s="65"/>
      <c r="DZ21" s="106" t="s">
        <v>308</v>
      </c>
      <c r="EA21" s="185"/>
      <c r="EB21" s="21"/>
      <c r="EC21" s="106" t="s">
        <v>308</v>
      </c>
      <c r="ED21" s="186"/>
      <c r="EE21" s="21"/>
      <c r="EF21" s="68" t="s">
        <v>309</v>
      </c>
      <c r="EG21" s="69" t="str">
        <f>image("https://www.pokebip.com/pages/icones/objets/balle-fer.png", 3)</f>
        <v/>
      </c>
      <c r="EH21" s="69"/>
      <c r="EI21" s="69"/>
    </row>
    <row r="22" ht="15.75" customHeight="1">
      <c r="A22" s="1">
        <v>22.0</v>
      </c>
      <c r="B22" s="2" t="s">
        <v>310</v>
      </c>
      <c r="C22" s="7"/>
      <c r="D22" s="167" t="s">
        <v>311</v>
      </c>
      <c r="E22" s="5"/>
      <c r="F22" s="168"/>
      <c r="G22" s="7"/>
      <c r="H22" s="8" t="s">
        <v>312</v>
      </c>
      <c r="I22" s="9" t="s">
        <v>313</v>
      </c>
      <c r="J22" s="10" t="str">
        <f>image("https://archives.bulbagarden.net/media/upload/0/0b/022MS6.png", 3)</f>
        <v/>
      </c>
      <c r="K22" s="11" t="s">
        <v>311</v>
      </c>
      <c r="L22" s="12"/>
      <c r="M22" s="12"/>
      <c r="N22" s="12"/>
      <c r="O22" s="12"/>
      <c r="Q22" s="71">
        <v>65.0</v>
      </c>
      <c r="R22" s="72">
        <v>90.0</v>
      </c>
      <c r="S22" s="73">
        <v>65.0</v>
      </c>
      <c r="T22" s="74">
        <v>61.0</v>
      </c>
      <c r="U22" s="75">
        <v>61.0</v>
      </c>
      <c r="V22" s="76">
        <v>100.0</v>
      </c>
      <c r="W22" s="77">
        <v>442.0</v>
      </c>
      <c r="X22" s="21"/>
      <c r="Y22" s="71">
        <v>65.0</v>
      </c>
      <c r="Z22" s="72">
        <v>90.0</v>
      </c>
      <c r="AA22" s="73">
        <v>65.0</v>
      </c>
      <c r="AB22" s="74">
        <v>61.0</v>
      </c>
      <c r="AC22" s="75">
        <v>61.0</v>
      </c>
      <c r="AD22" s="76">
        <v>100.0</v>
      </c>
      <c r="AE22" s="77">
        <v>442.0</v>
      </c>
      <c r="AF22" s="21"/>
      <c r="AG22" s="71">
        <v>65.0</v>
      </c>
      <c r="AH22" s="109">
        <v>110.0</v>
      </c>
      <c r="AI22" s="73">
        <v>65.0</v>
      </c>
      <c r="AJ22" s="74">
        <v>61.0</v>
      </c>
      <c r="AK22" s="75">
        <v>61.0</v>
      </c>
      <c r="AL22" s="76">
        <v>100.0</v>
      </c>
      <c r="AM22" s="110">
        <v>462.0</v>
      </c>
      <c r="AN22" s="21"/>
      <c r="AO22" s="22">
        <v>65.0</v>
      </c>
      <c r="AP22" s="23" t="s">
        <v>40</v>
      </c>
      <c r="AQ22" s="23">
        <v>65.0</v>
      </c>
      <c r="AR22" s="23">
        <v>61.0</v>
      </c>
      <c r="AS22" s="23">
        <v>61.0</v>
      </c>
      <c r="AT22" s="23">
        <v>100.0</v>
      </c>
      <c r="AU22" s="24" t="s">
        <v>314</v>
      </c>
      <c r="AV22" s="21"/>
      <c r="AW22" s="78">
        <v>65.0</v>
      </c>
      <c r="AX22" s="111">
        <v>110.0</v>
      </c>
      <c r="AY22" s="79">
        <v>65.0</v>
      </c>
      <c r="AZ22" s="79">
        <v>61.0</v>
      </c>
      <c r="BA22" s="79">
        <v>61.0</v>
      </c>
      <c r="BB22" s="79">
        <v>100.0</v>
      </c>
      <c r="BC22" s="111">
        <v>462.0</v>
      </c>
      <c r="BE22" s="176" t="s">
        <v>248</v>
      </c>
      <c r="BF22" s="113"/>
      <c r="BG22" s="84"/>
      <c r="BI22" s="31" t="s">
        <v>5</v>
      </c>
      <c r="BJ22" s="32" t="s">
        <v>5</v>
      </c>
      <c r="BK22" s="32" t="s">
        <v>5</v>
      </c>
      <c r="BL22" s="32" t="s">
        <v>5</v>
      </c>
      <c r="BM22" s="32" t="s">
        <v>5</v>
      </c>
      <c r="BN22" s="190">
        <v>2.0</v>
      </c>
      <c r="BP22" s="85" t="s">
        <v>156</v>
      </c>
      <c r="BQ22" s="86" t="s">
        <v>18</v>
      </c>
      <c r="BS22" s="87" t="s">
        <v>156</v>
      </c>
      <c r="BT22" s="88" t="s">
        <v>18</v>
      </c>
      <c r="BU22" s="37" t="str">
        <f t="shared" si="1"/>
        <v>#NAME?</v>
      </c>
      <c r="BV22" s="89" t="s">
        <v>156</v>
      </c>
      <c r="BW22" s="37" t="str">
        <f t="shared" si="2"/>
        <v>#NAME?</v>
      </c>
      <c r="BX22" s="89" t="s">
        <v>18</v>
      </c>
      <c r="BY22" s="39"/>
      <c r="BZ22" s="39"/>
      <c r="CA22" s="40" t="s">
        <v>234</v>
      </c>
      <c r="CB22" s="41"/>
      <c r="CC22" s="90" t="s">
        <v>156</v>
      </c>
      <c r="CD22" s="91" t="s">
        <v>18</v>
      </c>
      <c r="CE22" s="2"/>
      <c r="CF22" s="92" t="s">
        <v>235</v>
      </c>
      <c r="CG22" s="93"/>
      <c r="CH22" s="2"/>
      <c r="CI22" s="191" t="s">
        <v>235</v>
      </c>
      <c r="CJ22" s="152" t="s">
        <v>301</v>
      </c>
      <c r="CK22" s="2"/>
      <c r="CL22" s="22" t="s">
        <v>235</v>
      </c>
      <c r="CM22" s="12"/>
      <c r="CN22" s="48"/>
      <c r="CO22" s="193" t="s">
        <v>302</v>
      </c>
      <c r="CP22" s="2"/>
      <c r="CQ22" s="2" t="s">
        <v>315</v>
      </c>
      <c r="CR22" s="97">
        <v>60.0</v>
      </c>
      <c r="CS22" s="2" t="s">
        <v>248</v>
      </c>
      <c r="CT22" s="98">
        <v>162.0</v>
      </c>
      <c r="CU22" s="2"/>
      <c r="CV22" s="52" t="s">
        <v>149</v>
      </c>
      <c r="CW22" s="52" t="s">
        <v>149</v>
      </c>
      <c r="CX22" s="2"/>
      <c r="CY22" s="100" t="s">
        <v>18</v>
      </c>
      <c r="CZ22" s="154"/>
      <c r="DA22" s="2"/>
      <c r="DB22" s="98">
        <v>90.0</v>
      </c>
      <c r="DC22" s="2"/>
      <c r="DD22" s="101" t="s">
        <v>150</v>
      </c>
      <c r="DE22" s="2"/>
      <c r="DF22" s="102" t="s">
        <v>316</v>
      </c>
      <c r="DG22" s="166" t="s">
        <v>305</v>
      </c>
      <c r="DH22" s="103"/>
      <c r="DI22" s="2"/>
      <c r="DJ22" s="2"/>
      <c r="DK22" s="59" t="s">
        <v>317</v>
      </c>
      <c r="DL22" s="37" t="s">
        <v>64</v>
      </c>
      <c r="DM22" s="37" t="str">
        <f t="shared" si="3"/>
        <v>#NAME?</v>
      </c>
      <c r="DN22" s="61"/>
      <c r="DO22" s="37">
        <v>75.0</v>
      </c>
      <c r="DP22" s="105">
        <v>1.0</v>
      </c>
      <c r="DQ22" s="62" t="s">
        <v>93</v>
      </c>
      <c r="DR22" s="63"/>
      <c r="DS22" s="40" t="s">
        <v>318</v>
      </c>
      <c r="DT22" s="12"/>
      <c r="DU22" s="12"/>
      <c r="DV22" s="12"/>
      <c r="DW22" s="12"/>
      <c r="DX22" s="64"/>
      <c r="DY22" s="65"/>
      <c r="DZ22" s="106" t="s">
        <v>319</v>
      </c>
      <c r="EA22" s="185"/>
      <c r="EB22" s="2"/>
      <c r="EC22" s="106" t="s">
        <v>319</v>
      </c>
      <c r="ED22" s="186"/>
      <c r="EE22" s="2"/>
      <c r="EF22" s="68" t="s">
        <v>320</v>
      </c>
      <c r="EG22" s="69" t="str">
        <f>image("https://www.pokebip.com/pages/icones/objets/balle-lumiere.png", 3)</f>
        <v/>
      </c>
      <c r="EH22" s="69"/>
      <c r="EI22" s="69"/>
    </row>
    <row r="23" ht="15.75" customHeight="1">
      <c r="A23" s="1">
        <v>23.0</v>
      </c>
      <c r="B23" s="2" t="s">
        <v>321</v>
      </c>
      <c r="C23" s="7"/>
      <c r="D23" s="180" t="s">
        <v>322</v>
      </c>
      <c r="E23" s="5"/>
      <c r="F23" s="181"/>
      <c r="G23" s="7"/>
      <c r="H23" s="8" t="s">
        <v>323</v>
      </c>
      <c r="I23" s="9" t="s">
        <v>324</v>
      </c>
      <c r="J23" s="10" t="str">
        <f>image("https://archives.bulbagarden.net/media/upload/d/de/023MS6.png", 3)</f>
        <v/>
      </c>
      <c r="K23" s="11" t="s">
        <v>322</v>
      </c>
      <c r="L23" s="12"/>
      <c r="M23" s="12"/>
      <c r="N23" s="12"/>
      <c r="O23" s="12"/>
      <c r="Q23" s="71">
        <v>35.0</v>
      </c>
      <c r="R23" s="72">
        <v>60.0</v>
      </c>
      <c r="S23" s="73">
        <v>44.0</v>
      </c>
      <c r="T23" s="74">
        <v>40.0</v>
      </c>
      <c r="U23" s="75">
        <v>54.0</v>
      </c>
      <c r="V23" s="76">
        <v>55.0</v>
      </c>
      <c r="W23" s="77">
        <v>288.0</v>
      </c>
      <c r="X23" s="21"/>
      <c r="Y23" s="71">
        <v>35.0</v>
      </c>
      <c r="Z23" s="72">
        <v>60.0</v>
      </c>
      <c r="AA23" s="73">
        <v>44.0</v>
      </c>
      <c r="AB23" s="74">
        <v>40.0</v>
      </c>
      <c r="AC23" s="75">
        <v>54.0</v>
      </c>
      <c r="AD23" s="76">
        <v>55.0</v>
      </c>
      <c r="AE23" s="77">
        <v>288.0</v>
      </c>
      <c r="AF23" s="21"/>
      <c r="AG23" s="71">
        <v>35.0</v>
      </c>
      <c r="AH23" s="72">
        <v>60.0</v>
      </c>
      <c r="AI23" s="73">
        <v>44.0</v>
      </c>
      <c r="AJ23" s="74">
        <v>40.0</v>
      </c>
      <c r="AK23" s="75">
        <v>54.0</v>
      </c>
      <c r="AL23" s="76">
        <v>55.0</v>
      </c>
      <c r="AM23" s="77">
        <v>288.0</v>
      </c>
      <c r="AN23" s="21"/>
      <c r="AO23" s="22">
        <v>35.0</v>
      </c>
      <c r="AP23" s="23">
        <v>60.0</v>
      </c>
      <c r="AQ23" s="23">
        <v>44.0</v>
      </c>
      <c r="AR23" s="23">
        <v>40.0</v>
      </c>
      <c r="AS23" s="23">
        <v>54.0</v>
      </c>
      <c r="AT23" s="23">
        <v>55.0</v>
      </c>
      <c r="AU23" s="24">
        <v>288.0</v>
      </c>
      <c r="AV23" s="21"/>
      <c r="AW23" s="78">
        <v>35.0</v>
      </c>
      <c r="AX23" s="182">
        <v>60.0</v>
      </c>
      <c r="AY23" s="80">
        <v>44.0</v>
      </c>
      <c r="AZ23" s="80">
        <v>40.0</v>
      </c>
      <c r="BA23" s="80">
        <v>54.0</v>
      </c>
      <c r="BB23" s="79">
        <v>55.0</v>
      </c>
      <c r="BC23" s="183">
        <v>288.0</v>
      </c>
      <c r="BE23" s="194" t="s">
        <v>325</v>
      </c>
      <c r="BF23" s="184"/>
      <c r="BG23" s="128"/>
      <c r="BI23" s="31" t="s">
        <v>5</v>
      </c>
      <c r="BJ23" s="32">
        <v>1.0</v>
      </c>
      <c r="BK23" s="32" t="s">
        <v>5</v>
      </c>
      <c r="BL23" s="32" t="s">
        <v>5</v>
      </c>
      <c r="BM23" s="32" t="s">
        <v>5</v>
      </c>
      <c r="BN23" s="33" t="s">
        <v>5</v>
      </c>
      <c r="BP23" s="115" t="s">
        <v>7</v>
      </c>
      <c r="BQ23" s="93"/>
      <c r="BS23" s="115" t="s">
        <v>7</v>
      </c>
      <c r="BT23" s="133"/>
      <c r="BU23" s="37" t="str">
        <f t="shared" si="1"/>
        <v>#NAME?</v>
      </c>
      <c r="BV23" s="89" t="s">
        <v>7</v>
      </c>
      <c r="BW23" s="37" t="str">
        <f t="shared" si="2"/>
        <v>#NAME?</v>
      </c>
      <c r="BX23" s="89"/>
      <c r="BY23" s="39"/>
      <c r="BZ23" s="39"/>
      <c r="CA23" s="40" t="s">
        <v>7</v>
      </c>
      <c r="CB23" s="41"/>
      <c r="CC23" s="90" t="s">
        <v>7</v>
      </c>
      <c r="CD23" s="91"/>
      <c r="CE23" s="21"/>
      <c r="CF23" s="92" t="s">
        <v>326</v>
      </c>
      <c r="CG23" s="93" t="s">
        <v>163</v>
      </c>
      <c r="CH23" s="21"/>
      <c r="CI23" s="92" t="s">
        <v>326</v>
      </c>
      <c r="CJ23" s="195" t="s">
        <v>163</v>
      </c>
      <c r="CK23" s="21"/>
      <c r="CL23" s="22" t="s">
        <v>326</v>
      </c>
      <c r="CM23" s="12"/>
      <c r="CN23" s="48"/>
      <c r="CO23" s="196" t="s">
        <v>163</v>
      </c>
      <c r="CP23" s="21"/>
      <c r="CQ23" s="2" t="s">
        <v>12</v>
      </c>
      <c r="CR23" s="97">
        <v>20.0</v>
      </c>
      <c r="CS23" s="2" t="s">
        <v>325</v>
      </c>
      <c r="CT23" s="98">
        <v>62.0</v>
      </c>
      <c r="CU23" s="2"/>
      <c r="CV23" s="52" t="s">
        <v>149</v>
      </c>
      <c r="CW23" s="52" t="s">
        <v>149</v>
      </c>
      <c r="CX23" s="2"/>
      <c r="CY23" s="118" t="s">
        <v>277</v>
      </c>
      <c r="CZ23" s="119" t="s">
        <v>61</v>
      </c>
      <c r="DA23" s="2"/>
      <c r="DB23" s="98">
        <v>255.0</v>
      </c>
      <c r="DC23" s="2"/>
      <c r="DD23" s="101" t="s">
        <v>150</v>
      </c>
      <c r="DE23" s="2"/>
      <c r="DF23" s="148" t="s">
        <v>327</v>
      </c>
      <c r="DG23" s="121"/>
      <c r="DH23" s="121"/>
      <c r="DI23" s="21"/>
      <c r="DJ23" s="21"/>
      <c r="DK23" s="59" t="s">
        <v>328</v>
      </c>
      <c r="DL23" s="37" t="s">
        <v>109</v>
      </c>
      <c r="DM23" s="37" t="str">
        <f t="shared" si="3"/>
        <v>#NAME?</v>
      </c>
      <c r="DN23" s="61"/>
      <c r="DO23" s="37">
        <v>60.0</v>
      </c>
      <c r="DP23" s="105">
        <v>1.0</v>
      </c>
      <c r="DQ23" s="62" t="s">
        <v>20</v>
      </c>
      <c r="DR23" s="63"/>
      <c r="DS23" s="40" t="s">
        <v>329</v>
      </c>
      <c r="DT23" s="12"/>
      <c r="DU23" s="12"/>
      <c r="DV23" s="12"/>
      <c r="DW23" s="12"/>
      <c r="DX23" s="64"/>
      <c r="DY23" s="65"/>
      <c r="DZ23" s="106" t="s">
        <v>330</v>
      </c>
      <c r="EA23" s="185"/>
      <c r="EB23" s="21"/>
      <c r="EC23" s="106" t="s">
        <v>330</v>
      </c>
      <c r="ED23" s="186"/>
      <c r="EE23" s="21"/>
      <c r="EF23" s="68" t="s">
        <v>331</v>
      </c>
      <c r="EG23" s="69" t="str">
        <f>image("https://www.pokebip.com/pages/icones/objets/orbe-flamme.png", 3)</f>
        <v/>
      </c>
      <c r="EH23" s="69"/>
      <c r="EI23" s="69"/>
    </row>
    <row r="24" ht="15.75" customHeight="1">
      <c r="A24" s="1">
        <v>24.0</v>
      </c>
      <c r="B24" s="2" t="s">
        <v>332</v>
      </c>
      <c r="C24" s="7"/>
      <c r="D24" s="180" t="s">
        <v>333</v>
      </c>
      <c r="E24" s="5"/>
      <c r="F24" s="181"/>
      <c r="G24" s="7"/>
      <c r="H24" s="8" t="s">
        <v>334</v>
      </c>
      <c r="I24" s="9" t="s">
        <v>335</v>
      </c>
      <c r="J24" s="10" t="str">
        <f>image("https://archives.bulbagarden.net/media/upload/d/d5/024MS6.png", 3)</f>
        <v/>
      </c>
      <c r="K24" s="11" t="s">
        <v>333</v>
      </c>
      <c r="L24" s="12"/>
      <c r="M24" s="12"/>
      <c r="N24" s="12"/>
      <c r="O24" s="12"/>
      <c r="Q24" s="71">
        <v>60.0</v>
      </c>
      <c r="R24" s="72">
        <v>85.0</v>
      </c>
      <c r="S24" s="73">
        <v>69.0</v>
      </c>
      <c r="T24" s="74">
        <v>65.0</v>
      </c>
      <c r="U24" s="75">
        <v>79.0</v>
      </c>
      <c r="V24" s="76">
        <v>80.0</v>
      </c>
      <c r="W24" s="77">
        <v>438.0</v>
      </c>
      <c r="X24" s="21"/>
      <c r="Y24" s="71">
        <v>60.0</v>
      </c>
      <c r="Z24" s="109">
        <v>95.0</v>
      </c>
      <c r="AA24" s="73">
        <v>69.0</v>
      </c>
      <c r="AB24" s="74">
        <v>65.0</v>
      </c>
      <c r="AC24" s="75">
        <v>79.0</v>
      </c>
      <c r="AD24" s="76">
        <v>80.0</v>
      </c>
      <c r="AE24" s="110">
        <v>448.0</v>
      </c>
      <c r="AF24" s="21"/>
      <c r="AG24" s="71">
        <v>60.0</v>
      </c>
      <c r="AH24" s="109">
        <v>110.0</v>
      </c>
      <c r="AI24" s="109">
        <v>70.0</v>
      </c>
      <c r="AJ24" s="162">
        <v>55.0</v>
      </c>
      <c r="AK24" s="109">
        <v>80.0</v>
      </c>
      <c r="AL24" s="76">
        <v>80.0</v>
      </c>
      <c r="AM24" s="110">
        <v>455.0</v>
      </c>
      <c r="AN24" s="21"/>
      <c r="AO24" s="22">
        <v>60.0</v>
      </c>
      <c r="AP24" s="23" t="s">
        <v>40</v>
      </c>
      <c r="AQ24" s="23" t="s">
        <v>288</v>
      </c>
      <c r="AR24" s="23" t="s">
        <v>336</v>
      </c>
      <c r="AS24" s="23" t="s">
        <v>337</v>
      </c>
      <c r="AT24" s="23">
        <v>80.0</v>
      </c>
      <c r="AU24" s="24" t="s">
        <v>338</v>
      </c>
      <c r="AV24" s="21"/>
      <c r="AW24" s="78">
        <v>60.0</v>
      </c>
      <c r="AX24" s="111">
        <v>110.0</v>
      </c>
      <c r="AY24" s="197">
        <v>70.0</v>
      </c>
      <c r="AZ24" s="163">
        <v>55.0</v>
      </c>
      <c r="BA24" s="164">
        <v>80.0</v>
      </c>
      <c r="BB24" s="79">
        <v>80.0</v>
      </c>
      <c r="BC24" s="111">
        <v>455.0</v>
      </c>
      <c r="BE24" s="172" t="s">
        <v>216</v>
      </c>
      <c r="BF24" s="113"/>
      <c r="BG24" s="84"/>
      <c r="BI24" s="31" t="s">
        <v>5</v>
      </c>
      <c r="BJ24" s="32">
        <v>2.0</v>
      </c>
      <c r="BK24" s="32" t="s">
        <v>5</v>
      </c>
      <c r="BL24" s="32" t="s">
        <v>5</v>
      </c>
      <c r="BM24" s="32" t="s">
        <v>5</v>
      </c>
      <c r="BN24" s="33" t="s">
        <v>5</v>
      </c>
      <c r="BP24" s="85" t="s">
        <v>7</v>
      </c>
      <c r="BQ24" s="129"/>
      <c r="BS24" s="87" t="s">
        <v>7</v>
      </c>
      <c r="BT24" s="130"/>
      <c r="BU24" s="37" t="str">
        <f t="shared" si="1"/>
        <v>#NAME?</v>
      </c>
      <c r="BV24" s="89" t="s">
        <v>7</v>
      </c>
      <c r="BW24" s="37" t="str">
        <f t="shared" si="2"/>
        <v>#NAME?</v>
      </c>
      <c r="BX24" s="89"/>
      <c r="BY24" s="39"/>
      <c r="BZ24" s="39"/>
      <c r="CA24" s="40" t="s">
        <v>7</v>
      </c>
      <c r="CB24" s="41"/>
      <c r="CC24" s="90" t="s">
        <v>7</v>
      </c>
      <c r="CD24" s="91"/>
      <c r="CE24" s="21"/>
      <c r="CF24" s="92" t="s">
        <v>326</v>
      </c>
      <c r="CG24" s="93" t="s">
        <v>163</v>
      </c>
      <c r="CH24" s="21"/>
      <c r="CI24" s="92" t="s">
        <v>326</v>
      </c>
      <c r="CJ24" s="188" t="s">
        <v>163</v>
      </c>
      <c r="CK24" s="21"/>
      <c r="CL24" s="22" t="s">
        <v>326</v>
      </c>
      <c r="CM24" s="12"/>
      <c r="CN24" s="48"/>
      <c r="CO24" s="189" t="s">
        <v>163</v>
      </c>
      <c r="CP24" s="21"/>
      <c r="CQ24" s="2" t="s">
        <v>339</v>
      </c>
      <c r="CR24" s="97">
        <v>80.0</v>
      </c>
      <c r="CS24" s="2" t="s">
        <v>216</v>
      </c>
      <c r="CT24" s="98">
        <v>147.0</v>
      </c>
      <c r="CU24" s="2"/>
      <c r="CV24" s="52" t="s">
        <v>149</v>
      </c>
      <c r="CW24" s="52" t="s">
        <v>149</v>
      </c>
      <c r="CX24" s="2"/>
      <c r="CY24" s="99" t="s">
        <v>277</v>
      </c>
      <c r="CZ24" s="100" t="s">
        <v>61</v>
      </c>
      <c r="DA24" s="2"/>
      <c r="DB24" s="98">
        <v>90.0</v>
      </c>
      <c r="DC24" s="2"/>
      <c r="DD24" s="101" t="s">
        <v>150</v>
      </c>
      <c r="DE24" s="2"/>
      <c r="DF24" s="102" t="s">
        <v>340</v>
      </c>
      <c r="DG24" s="103"/>
      <c r="DH24" s="103"/>
      <c r="DI24" s="2"/>
      <c r="DJ24" s="2"/>
      <c r="DK24" s="59" t="s">
        <v>341</v>
      </c>
      <c r="DL24" s="37" t="s">
        <v>95</v>
      </c>
      <c r="DM24" s="37" t="str">
        <f t="shared" si="3"/>
        <v>#NAME?</v>
      </c>
      <c r="DN24" s="61"/>
      <c r="DO24" s="37">
        <v>40.0</v>
      </c>
      <c r="DP24" s="105">
        <v>1.0</v>
      </c>
      <c r="DQ24" s="62" t="s">
        <v>342</v>
      </c>
      <c r="DR24" s="63"/>
      <c r="DS24" s="40" t="s">
        <v>343</v>
      </c>
      <c r="DT24" s="12"/>
      <c r="DU24" s="12"/>
      <c r="DV24" s="12"/>
      <c r="DW24" s="12"/>
      <c r="DX24" s="64"/>
      <c r="DY24" s="65"/>
      <c r="DZ24" s="106" t="s">
        <v>344</v>
      </c>
      <c r="EA24" s="185"/>
      <c r="EB24" s="2"/>
      <c r="EC24" s="106" t="s">
        <v>344</v>
      </c>
      <c r="ED24" s="186"/>
      <c r="EE24" s="2"/>
      <c r="EF24" s="68" t="s">
        <v>345</v>
      </c>
      <c r="EG24" s="69" t="str">
        <f>image("https://www.pokebip.com/pages/icones/objets/orbe-toxique.png", 3)</f>
        <v/>
      </c>
      <c r="EH24" s="69"/>
      <c r="EI24" s="69"/>
    </row>
    <row r="25" ht="15.75" customHeight="1">
      <c r="A25" s="1">
        <v>25.0</v>
      </c>
      <c r="B25" s="2" t="s">
        <v>346</v>
      </c>
      <c r="C25" s="7"/>
      <c r="D25" s="169" t="s">
        <v>347</v>
      </c>
      <c r="E25" s="5"/>
      <c r="F25" s="170"/>
      <c r="G25" s="7"/>
      <c r="H25" s="8" t="s">
        <v>348</v>
      </c>
      <c r="I25" s="9" t="s">
        <v>349</v>
      </c>
      <c r="J25" s="10" t="str">
        <f>image("https://archives.bulbagarden.net/media/upload/d/de/025MS6.png", 3)</f>
        <v/>
      </c>
      <c r="K25" s="11" t="s">
        <v>347</v>
      </c>
      <c r="L25" s="12"/>
      <c r="M25" s="12"/>
      <c r="N25" s="12"/>
      <c r="O25" s="12"/>
      <c r="Q25" s="71">
        <v>35.0</v>
      </c>
      <c r="R25" s="72">
        <v>55.0</v>
      </c>
      <c r="S25" s="73">
        <v>30.0</v>
      </c>
      <c r="T25" s="74">
        <v>50.0</v>
      </c>
      <c r="U25" s="75">
        <v>40.0</v>
      </c>
      <c r="V25" s="76">
        <v>90.0</v>
      </c>
      <c r="W25" s="77">
        <v>300.0</v>
      </c>
      <c r="X25" s="21"/>
      <c r="Y25" s="71">
        <v>35.0</v>
      </c>
      <c r="Z25" s="72">
        <v>55.0</v>
      </c>
      <c r="AA25" s="109">
        <v>40.0</v>
      </c>
      <c r="AB25" s="74">
        <v>50.0</v>
      </c>
      <c r="AC25" s="109">
        <v>50.0</v>
      </c>
      <c r="AD25" s="76">
        <v>90.0</v>
      </c>
      <c r="AE25" s="110">
        <v>320.0</v>
      </c>
      <c r="AF25" s="21"/>
      <c r="AG25" s="71">
        <v>35.0</v>
      </c>
      <c r="AH25" s="72">
        <v>55.0</v>
      </c>
      <c r="AI25" s="109">
        <v>40.0</v>
      </c>
      <c r="AJ25" s="74">
        <v>50.0</v>
      </c>
      <c r="AK25" s="109">
        <v>50.0</v>
      </c>
      <c r="AL25" s="76">
        <v>90.0</v>
      </c>
      <c r="AM25" s="110">
        <v>320.0</v>
      </c>
      <c r="AN25" s="21"/>
      <c r="AO25" s="22">
        <v>35.0</v>
      </c>
      <c r="AP25" s="23">
        <v>55.0</v>
      </c>
      <c r="AQ25" s="23" t="s">
        <v>350</v>
      </c>
      <c r="AR25" s="23">
        <v>50.0</v>
      </c>
      <c r="AS25" s="23" t="s">
        <v>233</v>
      </c>
      <c r="AT25" s="23">
        <v>90.0</v>
      </c>
      <c r="AU25" s="24" t="s">
        <v>351</v>
      </c>
      <c r="AV25" s="21"/>
      <c r="AW25" s="78">
        <v>35.0</v>
      </c>
      <c r="AX25" s="182">
        <v>55.0</v>
      </c>
      <c r="AY25" s="111">
        <v>40.0</v>
      </c>
      <c r="AZ25" s="182">
        <v>50.0</v>
      </c>
      <c r="BA25" s="111">
        <v>50.0</v>
      </c>
      <c r="BB25" s="80">
        <v>90.0</v>
      </c>
      <c r="BC25" s="111">
        <v>320.0</v>
      </c>
      <c r="BE25" s="176" t="s">
        <v>248</v>
      </c>
      <c r="BF25" s="113"/>
      <c r="BG25" s="93"/>
      <c r="BI25" s="31" t="s">
        <v>5</v>
      </c>
      <c r="BJ25" s="32" t="s">
        <v>5</v>
      </c>
      <c r="BK25" s="32" t="s">
        <v>5</v>
      </c>
      <c r="BL25" s="32" t="s">
        <v>5</v>
      </c>
      <c r="BM25" s="32" t="s">
        <v>5</v>
      </c>
      <c r="BN25" s="33">
        <v>2.0</v>
      </c>
      <c r="BP25" s="115" t="s">
        <v>197</v>
      </c>
      <c r="BQ25" s="93"/>
      <c r="BS25" s="115" t="s">
        <v>197</v>
      </c>
      <c r="BT25" s="133"/>
      <c r="BU25" s="37" t="str">
        <f t="shared" si="1"/>
        <v>#NAME?</v>
      </c>
      <c r="BV25" s="89" t="s">
        <v>197</v>
      </c>
      <c r="BW25" s="37" t="str">
        <f t="shared" si="2"/>
        <v>#NAME?</v>
      </c>
      <c r="BX25" s="89"/>
      <c r="BY25" s="39"/>
      <c r="BZ25" s="39"/>
      <c r="CA25" s="40" t="s">
        <v>197</v>
      </c>
      <c r="CB25" s="41"/>
      <c r="CC25" s="90" t="s">
        <v>197</v>
      </c>
      <c r="CD25" s="91"/>
      <c r="CE25" s="21"/>
      <c r="CF25" s="92" t="s">
        <v>352</v>
      </c>
      <c r="CG25" s="93"/>
      <c r="CH25" s="21"/>
      <c r="CI25" s="191" t="s">
        <v>352</v>
      </c>
      <c r="CJ25" s="46" t="s">
        <v>353</v>
      </c>
      <c r="CK25" s="21"/>
      <c r="CL25" s="22" t="s">
        <v>352</v>
      </c>
      <c r="CM25" s="12"/>
      <c r="CN25" s="48"/>
      <c r="CO25" s="192" t="s">
        <v>354</v>
      </c>
      <c r="CP25" s="21"/>
      <c r="CQ25" s="2" t="s">
        <v>355</v>
      </c>
      <c r="CR25" s="97">
        <v>20.0</v>
      </c>
      <c r="CS25" s="2" t="s">
        <v>248</v>
      </c>
      <c r="CT25" s="98">
        <v>82.0</v>
      </c>
      <c r="CU25" s="2"/>
      <c r="CV25" s="52" t="s">
        <v>149</v>
      </c>
      <c r="CW25" s="52" t="s">
        <v>149</v>
      </c>
      <c r="CX25" s="2"/>
      <c r="CY25" s="118" t="s">
        <v>277</v>
      </c>
      <c r="CZ25" s="119" t="s">
        <v>153</v>
      </c>
      <c r="DA25" s="2"/>
      <c r="DB25" s="98">
        <v>190.0</v>
      </c>
      <c r="DC25" s="2"/>
      <c r="DD25" s="101" t="s">
        <v>150</v>
      </c>
      <c r="DE25" s="2"/>
      <c r="DF25" s="120" t="s">
        <v>356</v>
      </c>
      <c r="DG25" s="173" t="s">
        <v>357</v>
      </c>
      <c r="DH25" s="121"/>
      <c r="DI25" s="2"/>
      <c r="DJ25" s="2"/>
      <c r="DK25" s="59" t="s">
        <v>358</v>
      </c>
      <c r="DL25" s="37" t="s">
        <v>6</v>
      </c>
      <c r="DM25" s="37" t="str">
        <f t="shared" si="3"/>
        <v>#NAME?</v>
      </c>
      <c r="DN25" s="61"/>
      <c r="DO25" s="37" t="s">
        <v>359</v>
      </c>
      <c r="DP25" s="105">
        <v>1.0</v>
      </c>
      <c r="DQ25" s="62" t="s">
        <v>342</v>
      </c>
      <c r="DR25" s="63"/>
      <c r="DS25" s="40" t="s">
        <v>360</v>
      </c>
      <c r="DT25" s="12"/>
      <c r="DU25" s="12"/>
      <c r="DV25" s="12"/>
      <c r="DW25" s="12"/>
      <c r="DX25" s="64"/>
      <c r="DY25" s="65"/>
      <c r="DZ25" s="106" t="s">
        <v>361</v>
      </c>
      <c r="EA25" s="185"/>
      <c r="EB25" s="2"/>
      <c r="EC25" s="106" t="s">
        <v>361</v>
      </c>
      <c r="ED25" s="186"/>
      <c r="EE25" s="2"/>
      <c r="EF25" s="68" t="s">
        <v>362</v>
      </c>
      <c r="EG25" s="69" t="str">
        <f>image("https://www.pokebip.com/pages/icones/objets/orbe-vie.png", 3)</f>
        <v/>
      </c>
      <c r="EH25" s="69"/>
      <c r="EI25" s="69"/>
    </row>
    <row r="26" ht="15.75" customHeight="1">
      <c r="A26" s="1">
        <v>26.0</v>
      </c>
      <c r="B26" s="2" t="s">
        <v>363</v>
      </c>
      <c r="C26" s="7"/>
      <c r="D26" s="169" t="s">
        <v>364</v>
      </c>
      <c r="E26" s="5"/>
      <c r="F26" s="170"/>
      <c r="G26" s="7"/>
      <c r="H26" s="8" t="s">
        <v>365</v>
      </c>
      <c r="I26" s="9" t="s">
        <v>366</v>
      </c>
      <c r="J26" s="10" t="str">
        <f>image("https://archives.bulbagarden.net/media/upload/1/14/026MS6.png", 3)</f>
        <v/>
      </c>
      <c r="K26" s="11" t="s">
        <v>364</v>
      </c>
      <c r="L26" s="12"/>
      <c r="M26" s="12"/>
      <c r="N26" s="12"/>
      <c r="O26" s="12"/>
      <c r="Q26" s="71">
        <v>60.0</v>
      </c>
      <c r="R26" s="72">
        <v>90.0</v>
      </c>
      <c r="S26" s="73">
        <v>55.0</v>
      </c>
      <c r="T26" s="74">
        <v>90.0</v>
      </c>
      <c r="U26" s="75">
        <v>80.0</v>
      </c>
      <c r="V26" s="76">
        <v>100.0</v>
      </c>
      <c r="W26" s="77">
        <v>475.0</v>
      </c>
      <c r="X26" s="21"/>
      <c r="Y26" s="71">
        <v>60.0</v>
      </c>
      <c r="Z26" s="72">
        <v>90.0</v>
      </c>
      <c r="AA26" s="73">
        <v>55.0</v>
      </c>
      <c r="AB26" s="74">
        <v>90.0</v>
      </c>
      <c r="AC26" s="75">
        <v>80.0</v>
      </c>
      <c r="AD26" s="109">
        <v>110.0</v>
      </c>
      <c r="AE26" s="110">
        <v>485.0</v>
      </c>
      <c r="AF26" s="21"/>
      <c r="AG26" s="71">
        <v>60.0</v>
      </c>
      <c r="AH26" s="109">
        <v>95.0</v>
      </c>
      <c r="AI26" s="73">
        <v>55.0</v>
      </c>
      <c r="AJ26" s="109">
        <v>95.0</v>
      </c>
      <c r="AK26" s="75">
        <v>80.0</v>
      </c>
      <c r="AL26" s="109">
        <v>110.0</v>
      </c>
      <c r="AM26" s="110">
        <v>495.0</v>
      </c>
      <c r="AN26" s="21"/>
      <c r="AO26" s="22">
        <v>60.0</v>
      </c>
      <c r="AP26" s="23" t="s">
        <v>215</v>
      </c>
      <c r="AQ26" s="23">
        <v>55.0</v>
      </c>
      <c r="AR26" s="23" t="s">
        <v>215</v>
      </c>
      <c r="AS26" s="23">
        <v>80.0</v>
      </c>
      <c r="AT26" s="23" t="s">
        <v>40</v>
      </c>
      <c r="AU26" s="24" t="s">
        <v>367</v>
      </c>
      <c r="AV26" s="21"/>
      <c r="AW26" s="78">
        <v>60.0</v>
      </c>
      <c r="AX26" s="111">
        <v>95.0</v>
      </c>
      <c r="AY26" s="124">
        <v>55.0</v>
      </c>
      <c r="AZ26" s="111">
        <v>95.0</v>
      </c>
      <c r="BA26" s="124">
        <v>80.0</v>
      </c>
      <c r="BB26" s="111">
        <v>110.0</v>
      </c>
      <c r="BC26" s="164">
        <v>495.0</v>
      </c>
      <c r="BE26" s="176" t="s">
        <v>261</v>
      </c>
      <c r="BF26" s="138"/>
      <c r="BG26" s="128"/>
      <c r="BI26" s="31" t="s">
        <v>5</v>
      </c>
      <c r="BJ26" s="32" t="s">
        <v>5</v>
      </c>
      <c r="BK26" s="32" t="s">
        <v>5</v>
      </c>
      <c r="BL26" s="32" t="s">
        <v>5</v>
      </c>
      <c r="BM26" s="32" t="s">
        <v>5</v>
      </c>
      <c r="BN26" s="33">
        <v>3.0</v>
      </c>
      <c r="BP26" s="85" t="s">
        <v>197</v>
      </c>
      <c r="BQ26" s="129"/>
      <c r="BS26" s="87" t="s">
        <v>197</v>
      </c>
      <c r="BT26" s="130"/>
      <c r="BU26" s="37" t="str">
        <f t="shared" si="1"/>
        <v>#NAME?</v>
      </c>
      <c r="BV26" s="89" t="s">
        <v>197</v>
      </c>
      <c r="BW26" s="37" t="str">
        <f t="shared" si="2"/>
        <v>#NAME?</v>
      </c>
      <c r="BX26" s="89"/>
      <c r="BY26" s="39"/>
      <c r="BZ26" s="39"/>
      <c r="CA26" s="40" t="s">
        <v>197</v>
      </c>
      <c r="CB26" s="41"/>
      <c r="CC26" s="90" t="s">
        <v>197</v>
      </c>
      <c r="CD26" s="91"/>
      <c r="CE26" s="21"/>
      <c r="CF26" s="92" t="s">
        <v>352</v>
      </c>
      <c r="CG26" s="93"/>
      <c r="CH26" s="21"/>
      <c r="CI26" s="191" t="s">
        <v>352</v>
      </c>
      <c r="CJ26" s="152" t="s">
        <v>353</v>
      </c>
      <c r="CK26" s="21"/>
      <c r="CL26" s="22" t="s">
        <v>352</v>
      </c>
      <c r="CM26" s="12"/>
      <c r="CN26" s="48"/>
      <c r="CO26" s="193" t="s">
        <v>354</v>
      </c>
      <c r="CP26" s="21"/>
      <c r="CQ26" s="2" t="s">
        <v>249</v>
      </c>
      <c r="CR26" s="97">
        <v>60.0</v>
      </c>
      <c r="CS26" s="2" t="s">
        <v>261</v>
      </c>
      <c r="CT26" s="98">
        <v>122.0</v>
      </c>
      <c r="CU26" s="2"/>
      <c r="CV26" s="52" t="s">
        <v>149</v>
      </c>
      <c r="CW26" s="52" t="s">
        <v>149</v>
      </c>
      <c r="CX26" s="2"/>
      <c r="CY26" s="99" t="s">
        <v>277</v>
      </c>
      <c r="CZ26" s="100" t="s">
        <v>153</v>
      </c>
      <c r="DA26" s="2"/>
      <c r="DB26" s="98">
        <v>75.0</v>
      </c>
      <c r="DC26" s="2"/>
      <c r="DD26" s="101" t="s">
        <v>150</v>
      </c>
      <c r="DE26" s="2"/>
      <c r="DF26" s="102" t="s">
        <v>368</v>
      </c>
      <c r="DG26" s="103"/>
      <c r="DH26" s="103"/>
      <c r="DI26" s="2"/>
      <c r="DJ26" s="2"/>
      <c r="DK26" s="59" t="s">
        <v>369</v>
      </c>
      <c r="DL26" s="37" t="s">
        <v>32</v>
      </c>
      <c r="DM26" s="37" t="str">
        <f t="shared" si="3"/>
        <v>#NAME?</v>
      </c>
      <c r="DN26" s="61"/>
      <c r="DO26" s="37">
        <v>35.0</v>
      </c>
      <c r="DP26" s="37" t="s">
        <v>195</v>
      </c>
      <c r="DQ26" s="62" t="s">
        <v>93</v>
      </c>
      <c r="DR26" s="63"/>
      <c r="DS26" s="198"/>
      <c r="DT26" s="108"/>
      <c r="DU26" s="108"/>
      <c r="DV26" s="182"/>
      <c r="DW26" s="182"/>
      <c r="DX26" s="182"/>
      <c r="DY26" s="182"/>
      <c r="DZ26" s="106" t="s">
        <v>370</v>
      </c>
      <c r="EA26" s="185"/>
      <c r="EB26" s="2"/>
      <c r="EC26" s="106" t="s">
        <v>370</v>
      </c>
      <c r="ED26" s="186"/>
      <c r="EE26" s="2"/>
      <c r="EF26" s="68" t="s">
        <v>371</v>
      </c>
      <c r="EG26" s="69" t="str">
        <f>image("https://www.pokebip.com/pages/icones/objets/orbe-adamant.png", 3)</f>
        <v/>
      </c>
      <c r="EH26" s="69"/>
      <c r="EI26" s="69"/>
    </row>
    <row r="27" ht="15.75" customHeight="1">
      <c r="A27" s="1">
        <v>27.0</v>
      </c>
      <c r="B27" s="2" t="s">
        <v>372</v>
      </c>
      <c r="C27" s="7"/>
      <c r="D27" s="169" t="s">
        <v>373</v>
      </c>
      <c r="E27" s="5"/>
      <c r="F27" s="170"/>
      <c r="G27" s="7"/>
      <c r="H27" s="8" t="s">
        <v>374</v>
      </c>
      <c r="I27" s="9" t="s">
        <v>375</v>
      </c>
      <c r="J27" s="10" t="str">
        <f>image("https://archives.bulbagarden.net/media/upload/9/9d/027MS6.png", 3)</f>
        <v/>
      </c>
      <c r="K27" s="11" t="s">
        <v>373</v>
      </c>
      <c r="L27" s="12"/>
      <c r="M27" s="12"/>
      <c r="N27" s="12"/>
      <c r="O27" s="12"/>
      <c r="Q27" s="71">
        <v>50.0</v>
      </c>
      <c r="R27" s="72">
        <v>75.0</v>
      </c>
      <c r="S27" s="73">
        <v>85.0</v>
      </c>
      <c r="T27" s="74">
        <v>20.0</v>
      </c>
      <c r="U27" s="75">
        <v>30.0</v>
      </c>
      <c r="V27" s="76">
        <v>40.0</v>
      </c>
      <c r="W27" s="77">
        <v>300.0</v>
      </c>
      <c r="X27" s="21"/>
      <c r="Y27" s="71">
        <v>50.0</v>
      </c>
      <c r="Z27" s="72">
        <v>75.0</v>
      </c>
      <c r="AA27" s="73">
        <v>85.0</v>
      </c>
      <c r="AB27" s="74">
        <v>20.0</v>
      </c>
      <c r="AC27" s="75">
        <v>30.0</v>
      </c>
      <c r="AD27" s="76">
        <v>40.0</v>
      </c>
      <c r="AE27" s="77">
        <v>300.0</v>
      </c>
      <c r="AF27" s="21"/>
      <c r="AG27" s="71">
        <v>50.0</v>
      </c>
      <c r="AH27" s="72">
        <v>75.0</v>
      </c>
      <c r="AI27" s="73">
        <v>85.0</v>
      </c>
      <c r="AJ27" s="74">
        <v>20.0</v>
      </c>
      <c r="AK27" s="75">
        <v>30.0</v>
      </c>
      <c r="AL27" s="76">
        <v>40.0</v>
      </c>
      <c r="AM27" s="77">
        <v>300.0</v>
      </c>
      <c r="AN27" s="21"/>
      <c r="AO27" s="22">
        <v>50.0</v>
      </c>
      <c r="AP27" s="23">
        <v>75.0</v>
      </c>
      <c r="AQ27" s="23">
        <v>85.0</v>
      </c>
      <c r="AR27" s="23">
        <v>20.0</v>
      </c>
      <c r="AS27" s="23">
        <v>30.0</v>
      </c>
      <c r="AT27" s="23">
        <v>40.0</v>
      </c>
      <c r="AU27" s="24">
        <v>300.0</v>
      </c>
      <c r="AV27" s="21"/>
      <c r="AW27" s="78">
        <v>50.0</v>
      </c>
      <c r="AX27" s="124">
        <v>75.0</v>
      </c>
      <c r="AY27" s="79">
        <v>85.0</v>
      </c>
      <c r="AZ27" s="124">
        <v>20.0</v>
      </c>
      <c r="BA27" s="79">
        <v>30.0</v>
      </c>
      <c r="BB27" s="124">
        <v>40.0</v>
      </c>
      <c r="BC27" s="125">
        <v>300.0</v>
      </c>
      <c r="BE27" s="142" t="s">
        <v>101</v>
      </c>
      <c r="BF27" s="184"/>
      <c r="BG27" s="128"/>
      <c r="BI27" s="31" t="s">
        <v>5</v>
      </c>
      <c r="BJ27" s="32" t="s">
        <v>5</v>
      </c>
      <c r="BK27" s="32">
        <v>1.0</v>
      </c>
      <c r="BL27" s="32" t="s">
        <v>5</v>
      </c>
      <c r="BM27" s="32" t="s">
        <v>5</v>
      </c>
      <c r="BN27" s="33" t="s">
        <v>5</v>
      </c>
      <c r="BP27" s="115" t="s">
        <v>79</v>
      </c>
      <c r="BQ27" s="93"/>
      <c r="BS27" s="115" t="s">
        <v>79</v>
      </c>
      <c r="BT27" s="133"/>
      <c r="BU27" s="37" t="str">
        <f t="shared" si="1"/>
        <v>#NAME?</v>
      </c>
      <c r="BV27" s="89" t="s">
        <v>79</v>
      </c>
      <c r="BW27" s="37" t="str">
        <f t="shared" si="2"/>
        <v>#NAME?</v>
      </c>
      <c r="BX27" s="89"/>
      <c r="BY27" s="39"/>
      <c r="BZ27" s="39"/>
      <c r="CA27" s="40" t="s">
        <v>79</v>
      </c>
      <c r="CB27" s="41"/>
      <c r="CC27" s="90" t="s">
        <v>79</v>
      </c>
      <c r="CD27" s="91"/>
      <c r="CE27" s="21"/>
      <c r="CF27" s="92" t="s">
        <v>376</v>
      </c>
      <c r="CG27" s="93"/>
      <c r="CH27" s="21"/>
      <c r="CI27" s="92" t="s">
        <v>376</v>
      </c>
      <c r="CJ27" s="195"/>
      <c r="CK27" s="21"/>
      <c r="CL27" s="22" t="s">
        <v>376</v>
      </c>
      <c r="CM27" s="12"/>
      <c r="CN27" s="48"/>
      <c r="CO27" s="165"/>
      <c r="CP27" s="21"/>
      <c r="CQ27" s="2" t="s">
        <v>377</v>
      </c>
      <c r="CR27" s="97">
        <v>40.0</v>
      </c>
      <c r="CS27" s="2" t="s">
        <v>101</v>
      </c>
      <c r="CT27" s="98">
        <v>93.0</v>
      </c>
      <c r="CU27" s="2"/>
      <c r="CV27" s="52" t="s">
        <v>149</v>
      </c>
      <c r="CW27" s="52" t="s">
        <v>149</v>
      </c>
      <c r="CX27" s="2"/>
      <c r="CY27" s="119" t="s">
        <v>277</v>
      </c>
      <c r="CZ27" s="160"/>
      <c r="DA27" s="2"/>
      <c r="DB27" s="98">
        <v>255.0</v>
      </c>
      <c r="DC27" s="2"/>
      <c r="DD27" s="101" t="s">
        <v>150</v>
      </c>
      <c r="DE27" s="2"/>
      <c r="DF27" s="148" t="s">
        <v>378</v>
      </c>
      <c r="DG27" s="121"/>
      <c r="DH27" s="121"/>
      <c r="DI27" s="21"/>
      <c r="DJ27" s="21"/>
      <c r="DK27" s="59" t="s">
        <v>379</v>
      </c>
      <c r="DL27" s="37" t="s">
        <v>64</v>
      </c>
      <c r="DM27" s="37" t="str">
        <f t="shared" si="3"/>
        <v>#NAME?</v>
      </c>
      <c r="DN27" s="61"/>
      <c r="DO27" s="37">
        <v>120.0</v>
      </c>
      <c r="DP27" s="105">
        <v>1.0</v>
      </c>
      <c r="DQ27" s="62" t="s">
        <v>293</v>
      </c>
      <c r="DR27" s="199"/>
      <c r="DY27" s="200"/>
      <c r="DZ27" s="106" t="s">
        <v>380</v>
      </c>
      <c r="EA27" s="185"/>
      <c r="EB27" s="21"/>
      <c r="EC27" s="106" t="s">
        <v>380</v>
      </c>
      <c r="ED27" s="186"/>
      <c r="EE27" s="21"/>
      <c r="EF27" s="68" t="s">
        <v>381</v>
      </c>
      <c r="EG27" s="69" t="str">
        <f>image("https://www.pokebip.com/pages/icones/objets/orbe-perle.png", 3)</f>
        <v/>
      </c>
      <c r="EH27" s="69"/>
      <c r="EI27" s="69"/>
    </row>
    <row r="28" ht="15.75" customHeight="1">
      <c r="A28" s="1">
        <v>28.0</v>
      </c>
      <c r="B28" s="2" t="s">
        <v>382</v>
      </c>
      <c r="C28" s="7"/>
      <c r="D28" s="169" t="s">
        <v>383</v>
      </c>
      <c r="E28" s="5"/>
      <c r="F28" s="170"/>
      <c r="G28" s="7"/>
      <c r="H28" s="8" t="s">
        <v>384</v>
      </c>
      <c r="I28" s="9" t="s">
        <v>385</v>
      </c>
      <c r="J28" s="10" t="str">
        <f>image("https://archives.bulbagarden.net/media/upload/5/56/028MS6.png", 3)</f>
        <v/>
      </c>
      <c r="K28" s="11" t="s">
        <v>383</v>
      </c>
      <c r="L28" s="12"/>
      <c r="M28" s="12"/>
      <c r="N28" s="12"/>
      <c r="O28" s="12"/>
      <c r="Q28" s="71">
        <v>75.0</v>
      </c>
      <c r="R28" s="72">
        <v>100.0</v>
      </c>
      <c r="S28" s="73">
        <v>110.0</v>
      </c>
      <c r="T28" s="74">
        <v>45.0</v>
      </c>
      <c r="U28" s="75">
        <v>55.0</v>
      </c>
      <c r="V28" s="76">
        <v>65.0</v>
      </c>
      <c r="W28" s="77">
        <v>450.0</v>
      </c>
      <c r="X28" s="21"/>
      <c r="Y28" s="71">
        <v>75.0</v>
      </c>
      <c r="Z28" s="72">
        <v>100.0</v>
      </c>
      <c r="AA28" s="73">
        <v>110.0</v>
      </c>
      <c r="AB28" s="74">
        <v>45.0</v>
      </c>
      <c r="AC28" s="75">
        <v>55.0</v>
      </c>
      <c r="AD28" s="76">
        <v>65.0</v>
      </c>
      <c r="AE28" s="77">
        <v>450.0</v>
      </c>
      <c r="AF28" s="21"/>
      <c r="AG28" s="71">
        <v>75.0</v>
      </c>
      <c r="AH28" s="72">
        <v>100.0</v>
      </c>
      <c r="AI28" s="73">
        <v>110.0</v>
      </c>
      <c r="AJ28" s="74">
        <v>45.0</v>
      </c>
      <c r="AK28" s="75">
        <v>55.0</v>
      </c>
      <c r="AL28" s="76">
        <v>65.0</v>
      </c>
      <c r="AM28" s="77">
        <v>450.0</v>
      </c>
      <c r="AN28" s="21"/>
      <c r="AO28" s="22">
        <v>75.0</v>
      </c>
      <c r="AP28" s="23">
        <v>100.0</v>
      </c>
      <c r="AQ28" s="23">
        <v>110.0</v>
      </c>
      <c r="AR28" s="23">
        <v>45.0</v>
      </c>
      <c r="AS28" s="23">
        <v>55.0</v>
      </c>
      <c r="AT28" s="23">
        <v>65.0</v>
      </c>
      <c r="AU28" s="24">
        <v>450.0</v>
      </c>
      <c r="AV28" s="21"/>
      <c r="AW28" s="78">
        <v>75.0</v>
      </c>
      <c r="AX28" s="79">
        <v>100.0</v>
      </c>
      <c r="AY28" s="79">
        <v>110.0</v>
      </c>
      <c r="AZ28" s="79">
        <v>45.0</v>
      </c>
      <c r="BA28" s="79">
        <v>55.0</v>
      </c>
      <c r="BB28" s="79">
        <v>65.0</v>
      </c>
      <c r="BC28" s="201">
        <v>450.0</v>
      </c>
      <c r="BE28" s="156" t="s">
        <v>162</v>
      </c>
      <c r="BF28" s="113"/>
      <c r="BG28" s="84"/>
      <c r="BI28" s="31" t="s">
        <v>5</v>
      </c>
      <c r="BJ28" s="32" t="s">
        <v>5</v>
      </c>
      <c r="BK28" s="32">
        <v>2.0</v>
      </c>
      <c r="BL28" s="32" t="s">
        <v>5</v>
      </c>
      <c r="BM28" s="32" t="s">
        <v>5</v>
      </c>
      <c r="BN28" s="33" t="s">
        <v>5</v>
      </c>
      <c r="BP28" s="85" t="s">
        <v>79</v>
      </c>
      <c r="BQ28" s="129"/>
      <c r="BS28" s="87" t="s">
        <v>79</v>
      </c>
      <c r="BT28" s="130"/>
      <c r="BU28" s="37" t="str">
        <f t="shared" si="1"/>
        <v>#NAME?</v>
      </c>
      <c r="BV28" s="89" t="s">
        <v>79</v>
      </c>
      <c r="BW28" s="37" t="str">
        <f t="shared" si="2"/>
        <v>#NAME?</v>
      </c>
      <c r="BX28" s="89"/>
      <c r="BY28" s="39"/>
      <c r="BZ28" s="39"/>
      <c r="CA28" s="40" t="s">
        <v>79</v>
      </c>
      <c r="CB28" s="41"/>
      <c r="CC28" s="90" t="s">
        <v>79</v>
      </c>
      <c r="CD28" s="91"/>
      <c r="CE28" s="21"/>
      <c r="CF28" s="92" t="s">
        <v>376</v>
      </c>
      <c r="CG28" s="93"/>
      <c r="CH28" s="21"/>
      <c r="CI28" s="92" t="s">
        <v>376</v>
      </c>
      <c r="CJ28" s="93"/>
      <c r="CK28" s="21"/>
      <c r="CL28" s="22" t="s">
        <v>376</v>
      </c>
      <c r="CM28" s="12"/>
      <c r="CN28" s="48"/>
      <c r="CO28" s="95"/>
      <c r="CP28" s="21"/>
      <c r="CQ28" s="2" t="s">
        <v>220</v>
      </c>
      <c r="CR28" s="97">
        <v>60.0</v>
      </c>
      <c r="CS28" s="2" t="s">
        <v>162</v>
      </c>
      <c r="CT28" s="98">
        <v>163.0</v>
      </c>
      <c r="CU28" s="2"/>
      <c r="CV28" s="52" t="s">
        <v>149</v>
      </c>
      <c r="CW28" s="52" t="s">
        <v>149</v>
      </c>
      <c r="CX28" s="2"/>
      <c r="CY28" s="100" t="s">
        <v>277</v>
      </c>
      <c r="CZ28" s="154"/>
      <c r="DA28" s="2"/>
      <c r="DB28" s="98">
        <v>90.0</v>
      </c>
      <c r="DC28" s="2"/>
      <c r="DD28" s="101" t="s">
        <v>150</v>
      </c>
      <c r="DE28" s="2"/>
      <c r="DF28" s="102" t="s">
        <v>386</v>
      </c>
      <c r="DG28" s="103"/>
      <c r="DH28" s="103"/>
      <c r="DI28" s="2"/>
      <c r="DJ28" s="2"/>
      <c r="DK28" s="59" t="s">
        <v>387</v>
      </c>
      <c r="DL28" s="37" t="s">
        <v>156</v>
      </c>
      <c r="DM28" s="37" t="str">
        <f t="shared" si="3"/>
        <v>#NAME?</v>
      </c>
      <c r="DN28" s="61"/>
      <c r="DO28" s="37">
        <v>18.0</v>
      </c>
      <c r="DP28" s="105">
        <v>0.85</v>
      </c>
      <c r="DQ28" s="62" t="s">
        <v>93</v>
      </c>
      <c r="DR28" s="63"/>
      <c r="DZ28" s="106" t="s">
        <v>388</v>
      </c>
      <c r="EA28" s="185"/>
      <c r="EB28" s="2"/>
      <c r="EC28" s="106" t="s">
        <v>388</v>
      </c>
      <c r="ED28" s="186"/>
      <c r="EE28" s="2"/>
      <c r="EF28" s="68" t="s">
        <v>389</v>
      </c>
      <c r="EG28" s="69" t="str">
        <f>image("https://www.pokebip.com/pages/icones/objets/orbe-platine.png", 3)</f>
        <v/>
      </c>
      <c r="EH28" s="69"/>
      <c r="EI28" s="69"/>
    </row>
    <row r="29" ht="15.75" customHeight="1">
      <c r="A29" s="1">
        <v>29.0</v>
      </c>
      <c r="B29" s="2" t="s">
        <v>390</v>
      </c>
      <c r="C29" s="7"/>
      <c r="D29" s="140" t="s">
        <v>391</v>
      </c>
      <c r="E29" s="5"/>
      <c r="F29" s="141"/>
      <c r="G29" s="7"/>
      <c r="H29" s="8" t="s">
        <v>392</v>
      </c>
      <c r="I29" s="9" t="s">
        <v>393</v>
      </c>
      <c r="J29" s="10" t="str">
        <f>image("https://archives.bulbagarden.net/media/upload/4/4e/029MS6.png", 3)</f>
        <v/>
      </c>
      <c r="K29" s="11" t="s">
        <v>391</v>
      </c>
      <c r="L29" s="12"/>
      <c r="M29" s="12"/>
      <c r="N29" s="12"/>
      <c r="O29" s="12"/>
      <c r="Q29" s="71">
        <v>55.0</v>
      </c>
      <c r="R29" s="72">
        <v>47.0</v>
      </c>
      <c r="S29" s="73">
        <v>52.0</v>
      </c>
      <c r="T29" s="74">
        <v>40.0</v>
      </c>
      <c r="U29" s="75">
        <v>40.0</v>
      </c>
      <c r="V29" s="76">
        <v>41.0</v>
      </c>
      <c r="W29" s="77">
        <v>275.0</v>
      </c>
      <c r="X29" s="21"/>
      <c r="Y29" s="71">
        <v>55.0</v>
      </c>
      <c r="Z29" s="72">
        <v>47.0</v>
      </c>
      <c r="AA29" s="73">
        <v>52.0</v>
      </c>
      <c r="AB29" s="74">
        <v>40.0</v>
      </c>
      <c r="AC29" s="75">
        <v>40.0</v>
      </c>
      <c r="AD29" s="76">
        <v>41.0</v>
      </c>
      <c r="AE29" s="77">
        <v>275.0</v>
      </c>
      <c r="AF29" s="21"/>
      <c r="AG29" s="71">
        <v>55.0</v>
      </c>
      <c r="AH29" s="72">
        <v>47.0</v>
      </c>
      <c r="AI29" s="73">
        <v>52.0</v>
      </c>
      <c r="AJ29" s="74">
        <v>40.0</v>
      </c>
      <c r="AK29" s="75">
        <v>40.0</v>
      </c>
      <c r="AL29" s="76">
        <v>41.0</v>
      </c>
      <c r="AM29" s="77">
        <v>275.0</v>
      </c>
      <c r="AN29" s="21"/>
      <c r="AO29" s="22">
        <v>55.0</v>
      </c>
      <c r="AP29" s="23">
        <v>47.0</v>
      </c>
      <c r="AQ29" s="23">
        <v>52.0</v>
      </c>
      <c r="AR29" s="23">
        <v>40.0</v>
      </c>
      <c r="AS29" s="23">
        <v>40.0</v>
      </c>
      <c r="AT29" s="23">
        <v>41.0</v>
      </c>
      <c r="AU29" s="24">
        <v>275.0</v>
      </c>
      <c r="AV29" s="21"/>
      <c r="AW29" s="78">
        <v>55.0</v>
      </c>
      <c r="AX29" s="79">
        <v>47.0</v>
      </c>
      <c r="AY29" s="79">
        <v>52.0</v>
      </c>
      <c r="AZ29" s="79">
        <v>40.0</v>
      </c>
      <c r="BA29" s="79">
        <v>40.0</v>
      </c>
      <c r="BB29" s="79">
        <v>41.0</v>
      </c>
      <c r="BC29" s="201">
        <v>275.0</v>
      </c>
      <c r="BE29" s="151" t="s">
        <v>144</v>
      </c>
      <c r="BF29" s="184"/>
      <c r="BG29" s="128"/>
      <c r="BI29" s="31">
        <v>1.0</v>
      </c>
      <c r="BJ29" s="32" t="s">
        <v>5</v>
      </c>
      <c r="BK29" s="32" t="s">
        <v>5</v>
      </c>
      <c r="BL29" s="32" t="s">
        <v>5</v>
      </c>
      <c r="BM29" s="32" t="s">
        <v>5</v>
      </c>
      <c r="BN29" s="33" t="s">
        <v>5</v>
      </c>
      <c r="BP29" s="115" t="s">
        <v>7</v>
      </c>
      <c r="BQ29" s="93"/>
      <c r="BS29" s="115" t="s">
        <v>7</v>
      </c>
      <c r="BT29" s="133"/>
      <c r="BU29" s="37" t="str">
        <f t="shared" si="1"/>
        <v>#NAME?</v>
      </c>
      <c r="BV29" s="89" t="s">
        <v>7</v>
      </c>
      <c r="BW29" s="37" t="str">
        <f t="shared" si="2"/>
        <v>#NAME?</v>
      </c>
      <c r="BX29" s="89"/>
      <c r="BY29" s="39"/>
      <c r="BZ29" s="39"/>
      <c r="CA29" s="40" t="s">
        <v>7</v>
      </c>
      <c r="CB29" s="41"/>
      <c r="CC29" s="90" t="s">
        <v>7</v>
      </c>
      <c r="CD29" s="91"/>
      <c r="CE29" s="21"/>
      <c r="CF29" s="92" t="s">
        <v>394</v>
      </c>
      <c r="CG29" s="93" t="s">
        <v>395</v>
      </c>
      <c r="CH29" s="21"/>
      <c r="CI29" s="92" t="s">
        <v>394</v>
      </c>
      <c r="CJ29" s="93" t="s">
        <v>395</v>
      </c>
      <c r="CK29" s="21"/>
      <c r="CL29" s="22" t="s">
        <v>394</v>
      </c>
      <c r="CM29" s="12"/>
      <c r="CN29" s="48"/>
      <c r="CO29" s="96" t="s">
        <v>395</v>
      </c>
      <c r="CP29" s="21"/>
      <c r="CQ29" s="2" t="s">
        <v>396</v>
      </c>
      <c r="CR29" s="97">
        <v>20.0</v>
      </c>
      <c r="CS29" s="2" t="s">
        <v>144</v>
      </c>
      <c r="CT29" s="98">
        <v>59.0</v>
      </c>
      <c r="CU29" s="2"/>
      <c r="CV29" s="202">
        <v>0.0</v>
      </c>
      <c r="CW29" s="52" t="s">
        <v>397</v>
      </c>
      <c r="CX29" s="2"/>
      <c r="CY29" s="118" t="s">
        <v>14</v>
      </c>
      <c r="CZ29" s="119" t="s">
        <v>277</v>
      </c>
      <c r="DA29" s="2"/>
      <c r="DB29" s="98">
        <v>235.0</v>
      </c>
      <c r="DC29" s="2"/>
      <c r="DD29" s="101" t="s">
        <v>15</v>
      </c>
      <c r="DE29" s="2"/>
      <c r="DF29" s="148" t="s">
        <v>398</v>
      </c>
      <c r="DG29" s="121"/>
      <c r="DH29" s="121"/>
      <c r="DI29" s="21"/>
      <c r="DJ29" s="21"/>
      <c r="DK29" s="59" t="s">
        <v>399</v>
      </c>
      <c r="DL29" s="37" t="s">
        <v>134</v>
      </c>
      <c r="DM29" s="37" t="str">
        <f t="shared" si="3"/>
        <v>#NAME?</v>
      </c>
      <c r="DN29" s="61"/>
      <c r="DO29" s="37" t="s">
        <v>400</v>
      </c>
      <c r="DP29" s="37" t="s">
        <v>401</v>
      </c>
      <c r="DQ29" s="62" t="s">
        <v>402</v>
      </c>
      <c r="DR29" s="63"/>
      <c r="DZ29" s="106" t="s">
        <v>403</v>
      </c>
      <c r="EA29" s="185"/>
      <c r="EB29" s="21"/>
      <c r="EC29" s="106" t="s">
        <v>403</v>
      </c>
      <c r="ED29" s="186"/>
      <c r="EE29" s="21"/>
      <c r="EF29" s="68" t="s">
        <v>404</v>
      </c>
      <c r="EG29" s="69" t="str">
        <f>image("https://www.pokebip.com/pages/icones/objets/rosee-ame.png", 3)</f>
        <v/>
      </c>
      <c r="EH29" s="69"/>
      <c r="EI29" s="69"/>
    </row>
    <row r="30" ht="15.75" customHeight="1">
      <c r="A30" s="1">
        <v>30.0</v>
      </c>
      <c r="B30" s="2" t="s">
        <v>405</v>
      </c>
      <c r="C30" s="7"/>
      <c r="D30" s="140" t="s">
        <v>406</v>
      </c>
      <c r="E30" s="5"/>
      <c r="F30" s="141"/>
      <c r="G30" s="7"/>
      <c r="H30" s="8" t="s">
        <v>407</v>
      </c>
      <c r="I30" s="9" t="s">
        <v>408</v>
      </c>
      <c r="J30" s="10" t="str">
        <f>image("https://archives.bulbagarden.net/media/upload/c/cb/030MS6.png", 3)</f>
        <v/>
      </c>
      <c r="K30" s="11" t="s">
        <v>406</v>
      </c>
      <c r="L30" s="12"/>
      <c r="M30" s="12"/>
      <c r="N30" s="12"/>
      <c r="O30" s="12"/>
      <c r="Q30" s="71">
        <v>70.0</v>
      </c>
      <c r="R30" s="72">
        <v>62.0</v>
      </c>
      <c r="S30" s="73">
        <v>67.0</v>
      </c>
      <c r="T30" s="74">
        <v>55.0</v>
      </c>
      <c r="U30" s="75">
        <v>55.0</v>
      </c>
      <c r="V30" s="76">
        <v>56.0</v>
      </c>
      <c r="W30" s="77">
        <v>365.0</v>
      </c>
      <c r="X30" s="21"/>
      <c r="Y30" s="71">
        <v>70.0</v>
      </c>
      <c r="Z30" s="72">
        <v>62.0</v>
      </c>
      <c r="AA30" s="73">
        <v>67.0</v>
      </c>
      <c r="AB30" s="74">
        <v>55.0</v>
      </c>
      <c r="AC30" s="75">
        <v>55.0</v>
      </c>
      <c r="AD30" s="76">
        <v>56.0</v>
      </c>
      <c r="AE30" s="77">
        <v>365.0</v>
      </c>
      <c r="AF30" s="21"/>
      <c r="AG30" s="71">
        <v>70.0</v>
      </c>
      <c r="AH30" s="72">
        <v>62.0</v>
      </c>
      <c r="AI30" s="73">
        <v>67.0</v>
      </c>
      <c r="AJ30" s="74">
        <v>55.0</v>
      </c>
      <c r="AK30" s="75">
        <v>55.0</v>
      </c>
      <c r="AL30" s="76">
        <v>56.0</v>
      </c>
      <c r="AM30" s="77">
        <v>365.0</v>
      </c>
      <c r="AN30" s="21"/>
      <c r="AO30" s="22">
        <v>70.0</v>
      </c>
      <c r="AP30" s="23">
        <v>62.0</v>
      </c>
      <c r="AQ30" s="23">
        <v>67.0</v>
      </c>
      <c r="AR30" s="23">
        <v>55.0</v>
      </c>
      <c r="AS30" s="23">
        <v>55.0</v>
      </c>
      <c r="AT30" s="23">
        <v>56.0</v>
      </c>
      <c r="AU30" s="24">
        <v>365.0</v>
      </c>
      <c r="AV30" s="21"/>
      <c r="AW30" s="78">
        <v>70.0</v>
      </c>
      <c r="AX30" s="80">
        <v>62.0</v>
      </c>
      <c r="AY30" s="79">
        <v>67.0</v>
      </c>
      <c r="AZ30" s="79">
        <v>55.0</v>
      </c>
      <c r="BA30" s="79">
        <v>55.0</v>
      </c>
      <c r="BB30" s="79">
        <v>56.0</v>
      </c>
      <c r="BC30" s="81">
        <v>365.0</v>
      </c>
      <c r="BE30" s="203" t="s">
        <v>409</v>
      </c>
      <c r="BF30" s="113"/>
      <c r="BG30" s="84"/>
      <c r="BI30" s="31">
        <v>2.0</v>
      </c>
      <c r="BJ30" s="32" t="s">
        <v>5</v>
      </c>
      <c r="BK30" s="32" t="s">
        <v>5</v>
      </c>
      <c r="BL30" s="32" t="s">
        <v>5</v>
      </c>
      <c r="BM30" s="32" t="s">
        <v>5</v>
      </c>
      <c r="BN30" s="33" t="s">
        <v>5</v>
      </c>
      <c r="BP30" s="85" t="s">
        <v>7</v>
      </c>
      <c r="BQ30" s="129"/>
      <c r="BS30" s="87" t="s">
        <v>7</v>
      </c>
      <c r="BT30" s="130"/>
      <c r="BU30" s="37" t="str">
        <f t="shared" si="1"/>
        <v>#NAME?</v>
      </c>
      <c r="BV30" s="89" t="s">
        <v>7</v>
      </c>
      <c r="BW30" s="37" t="str">
        <f t="shared" si="2"/>
        <v>#NAME?</v>
      </c>
      <c r="BX30" s="89"/>
      <c r="BY30" s="39"/>
      <c r="BZ30" s="39"/>
      <c r="CA30" s="40" t="s">
        <v>7</v>
      </c>
      <c r="CB30" s="41"/>
      <c r="CC30" s="90" t="s">
        <v>7</v>
      </c>
      <c r="CD30" s="91"/>
      <c r="CE30" s="21"/>
      <c r="CF30" s="92" t="s">
        <v>394</v>
      </c>
      <c r="CG30" s="93" t="s">
        <v>395</v>
      </c>
      <c r="CH30" s="21"/>
      <c r="CI30" s="92" t="s">
        <v>394</v>
      </c>
      <c r="CJ30" s="93" t="s">
        <v>395</v>
      </c>
      <c r="CK30" s="21"/>
      <c r="CL30" s="22" t="s">
        <v>394</v>
      </c>
      <c r="CM30" s="12"/>
      <c r="CN30" s="48"/>
      <c r="CO30" s="96" t="s">
        <v>395</v>
      </c>
      <c r="CP30" s="21"/>
      <c r="CQ30" s="2" t="s">
        <v>410</v>
      </c>
      <c r="CR30" s="97">
        <v>40.0</v>
      </c>
      <c r="CS30" s="2" t="s">
        <v>409</v>
      </c>
      <c r="CT30" s="98">
        <v>117.0</v>
      </c>
      <c r="CU30" s="2"/>
      <c r="CV30" s="202">
        <v>0.0</v>
      </c>
      <c r="CW30" s="52" t="s">
        <v>397</v>
      </c>
      <c r="CX30" s="2"/>
      <c r="CY30" s="100" t="s">
        <v>411</v>
      </c>
      <c r="CZ30" s="154"/>
      <c r="DA30" s="2"/>
      <c r="DB30" s="98">
        <v>120.0</v>
      </c>
      <c r="DC30" s="2"/>
      <c r="DD30" s="101" t="s">
        <v>15</v>
      </c>
      <c r="DE30" s="2"/>
      <c r="DF30" s="102" t="s">
        <v>412</v>
      </c>
      <c r="DG30" s="103"/>
      <c r="DH30" s="103"/>
      <c r="DI30" s="2"/>
      <c r="DJ30" s="2"/>
      <c r="DK30" s="204" t="s">
        <v>413</v>
      </c>
      <c r="DL30" s="37" t="s">
        <v>120</v>
      </c>
      <c r="DM30" s="37" t="str">
        <f t="shared" si="3"/>
        <v>#NAME?</v>
      </c>
      <c r="DN30" s="205"/>
      <c r="DO30" s="206">
        <v>85.0</v>
      </c>
      <c r="DP30" s="207">
        <v>0.9</v>
      </c>
      <c r="DQ30" s="208" t="s">
        <v>49</v>
      </c>
      <c r="DR30" s="155"/>
      <c r="DZ30" s="106" t="s">
        <v>414</v>
      </c>
      <c r="EA30" s="185"/>
      <c r="EB30" s="2"/>
      <c r="EC30" s="106" t="s">
        <v>414</v>
      </c>
      <c r="ED30" s="186"/>
      <c r="EE30" s="2"/>
      <c r="EF30" s="68" t="s">
        <v>415</v>
      </c>
      <c r="EG30" s="69" t="str">
        <f>image("https://www.pokebip.com/pages/icones/objets/piquants.png", 3)</f>
        <v/>
      </c>
      <c r="EH30" s="69"/>
      <c r="EI30" s="69"/>
    </row>
    <row r="31" ht="15.75" customHeight="1">
      <c r="A31" s="1">
        <v>31.0</v>
      </c>
      <c r="B31" s="2" t="s">
        <v>416</v>
      </c>
      <c r="C31" s="7"/>
      <c r="D31" s="140" t="s">
        <v>417</v>
      </c>
      <c r="E31" s="5"/>
      <c r="F31" s="141"/>
      <c r="G31" s="7"/>
      <c r="H31" s="8" t="s">
        <v>418</v>
      </c>
      <c r="I31" s="9" t="s">
        <v>419</v>
      </c>
      <c r="J31" s="10" t="str">
        <f>image("https://archives.bulbagarden.net/media/upload/7/7c/031MS6.png", 3)</f>
        <v/>
      </c>
      <c r="K31" s="11" t="s">
        <v>417</v>
      </c>
      <c r="L31" s="12"/>
      <c r="M31" s="12"/>
      <c r="N31" s="12"/>
      <c r="O31" s="12"/>
      <c r="Q31" s="71">
        <v>90.0</v>
      </c>
      <c r="R31" s="72">
        <v>82.0</v>
      </c>
      <c r="S31" s="73">
        <v>87.0</v>
      </c>
      <c r="T31" s="74">
        <v>75.0</v>
      </c>
      <c r="U31" s="75">
        <v>85.0</v>
      </c>
      <c r="V31" s="76">
        <v>76.0</v>
      </c>
      <c r="W31" s="77">
        <v>495.0</v>
      </c>
      <c r="X31" s="21"/>
      <c r="Y31" s="71">
        <v>90.0</v>
      </c>
      <c r="Z31" s="109">
        <v>92.0</v>
      </c>
      <c r="AA31" s="73">
        <v>87.0</v>
      </c>
      <c r="AB31" s="74">
        <v>75.0</v>
      </c>
      <c r="AC31" s="75">
        <v>85.0</v>
      </c>
      <c r="AD31" s="76">
        <v>76.0</v>
      </c>
      <c r="AE31" s="110">
        <v>505.0</v>
      </c>
      <c r="AF31" s="21"/>
      <c r="AG31" s="71">
        <v>90.0</v>
      </c>
      <c r="AH31" s="109">
        <v>92.0</v>
      </c>
      <c r="AI31" s="73">
        <v>87.0</v>
      </c>
      <c r="AJ31" s="74">
        <v>75.0</v>
      </c>
      <c r="AK31" s="75">
        <v>85.0</v>
      </c>
      <c r="AL31" s="76">
        <v>76.0</v>
      </c>
      <c r="AM31" s="110">
        <v>505.0</v>
      </c>
      <c r="AN31" s="21"/>
      <c r="AO31" s="22">
        <v>90.0</v>
      </c>
      <c r="AP31" s="23" t="s">
        <v>420</v>
      </c>
      <c r="AQ31" s="23">
        <v>87.0</v>
      </c>
      <c r="AR31" s="23">
        <v>75.0</v>
      </c>
      <c r="AS31" s="23">
        <v>85.0</v>
      </c>
      <c r="AT31" s="23">
        <v>76.0</v>
      </c>
      <c r="AU31" s="24" t="s">
        <v>421</v>
      </c>
      <c r="AV31" s="21"/>
      <c r="AW31" s="78">
        <v>90.0</v>
      </c>
      <c r="AX31" s="111">
        <v>92.0</v>
      </c>
      <c r="AY31" s="79">
        <v>87.0</v>
      </c>
      <c r="AZ31" s="79">
        <v>75.0</v>
      </c>
      <c r="BA31" s="79">
        <v>85.0</v>
      </c>
      <c r="BB31" s="79">
        <v>76.0</v>
      </c>
      <c r="BC31" s="111">
        <v>505.0</v>
      </c>
      <c r="BE31" s="203" t="s">
        <v>422</v>
      </c>
      <c r="BF31" s="138"/>
      <c r="BG31" s="128"/>
      <c r="BI31" s="31">
        <v>3.0</v>
      </c>
      <c r="BJ31" s="32" t="s">
        <v>5</v>
      </c>
      <c r="BK31" s="32" t="s">
        <v>5</v>
      </c>
      <c r="BL31" s="32" t="s">
        <v>5</v>
      </c>
      <c r="BM31" s="32" t="s">
        <v>5</v>
      </c>
      <c r="BN31" s="33" t="s">
        <v>5</v>
      </c>
      <c r="BP31" s="115" t="s">
        <v>7</v>
      </c>
      <c r="BQ31" s="116" t="s">
        <v>79</v>
      </c>
      <c r="BS31" s="115" t="s">
        <v>7</v>
      </c>
      <c r="BT31" s="117" t="s">
        <v>79</v>
      </c>
      <c r="BU31" s="37" t="str">
        <f t="shared" si="1"/>
        <v>#NAME?</v>
      </c>
      <c r="BV31" s="89" t="s">
        <v>7</v>
      </c>
      <c r="BW31" s="37" t="str">
        <f t="shared" si="2"/>
        <v>#NAME?</v>
      </c>
      <c r="BX31" s="89" t="s">
        <v>79</v>
      </c>
      <c r="BY31" s="39"/>
      <c r="BZ31" s="39"/>
      <c r="CA31" s="40" t="s">
        <v>423</v>
      </c>
      <c r="CB31" s="41"/>
      <c r="CC31" s="90" t="s">
        <v>7</v>
      </c>
      <c r="CD31" s="91" t="s">
        <v>79</v>
      </c>
      <c r="CE31" s="2"/>
      <c r="CF31" s="92" t="s">
        <v>394</v>
      </c>
      <c r="CG31" s="93" t="s">
        <v>395</v>
      </c>
      <c r="CH31" s="2"/>
      <c r="CI31" s="92" t="s">
        <v>394</v>
      </c>
      <c r="CJ31" s="93" t="s">
        <v>395</v>
      </c>
      <c r="CK31" s="2"/>
      <c r="CL31" s="22" t="s">
        <v>394</v>
      </c>
      <c r="CM31" s="12"/>
      <c r="CN31" s="48"/>
      <c r="CO31" s="96" t="s">
        <v>395</v>
      </c>
      <c r="CP31" s="2"/>
      <c r="CQ31" s="2" t="s">
        <v>424</v>
      </c>
      <c r="CR31" s="97">
        <v>80.0</v>
      </c>
      <c r="CS31" s="2" t="s">
        <v>422</v>
      </c>
      <c r="CT31" s="98">
        <v>194.0</v>
      </c>
      <c r="CU31" s="2"/>
      <c r="CV31" s="202">
        <v>0.0</v>
      </c>
      <c r="CW31" s="52" t="s">
        <v>397</v>
      </c>
      <c r="CX31" s="2"/>
      <c r="CY31" s="119" t="s">
        <v>411</v>
      </c>
      <c r="CZ31" s="160"/>
      <c r="DA31" s="2"/>
      <c r="DB31" s="98">
        <v>45.0</v>
      </c>
      <c r="DC31" s="2"/>
      <c r="DD31" s="101" t="s">
        <v>15</v>
      </c>
      <c r="DE31" s="2"/>
      <c r="DF31" s="120" t="s">
        <v>425</v>
      </c>
      <c r="DG31" s="121"/>
      <c r="DH31" s="121"/>
      <c r="DI31" s="2"/>
      <c r="DJ31" s="2"/>
      <c r="DK31" s="59" t="s">
        <v>426</v>
      </c>
      <c r="DL31" s="37" t="s">
        <v>64</v>
      </c>
      <c r="DM31" s="37" t="str">
        <f t="shared" si="3"/>
        <v>#NAME?</v>
      </c>
      <c r="DN31" s="61"/>
      <c r="DO31" s="37" t="s">
        <v>19</v>
      </c>
      <c r="DP31" s="105">
        <v>1.0</v>
      </c>
      <c r="DQ31" s="62" t="s">
        <v>20</v>
      </c>
      <c r="DR31" s="209"/>
      <c r="DZ31" s="106" t="s">
        <v>427</v>
      </c>
      <c r="EA31" s="185"/>
      <c r="EB31" s="2"/>
      <c r="EC31" s="106" t="s">
        <v>427</v>
      </c>
      <c r="ED31" s="186"/>
      <c r="EE31" s="2"/>
      <c r="EG31" s="108"/>
    </row>
    <row r="32" ht="15.75" customHeight="1">
      <c r="A32" s="1">
        <v>32.0</v>
      </c>
      <c r="B32" s="2" t="s">
        <v>428</v>
      </c>
      <c r="C32" s="7"/>
      <c r="D32" s="180" t="s">
        <v>429</v>
      </c>
      <c r="E32" s="5"/>
      <c r="F32" s="181"/>
      <c r="G32" s="7"/>
      <c r="H32" s="8" t="s">
        <v>430</v>
      </c>
      <c r="I32" s="9" t="s">
        <v>431</v>
      </c>
      <c r="J32" s="10" t="str">
        <f>image("https://archives.bulbagarden.net/media/upload/6/6a/032MS6.png", 3)</f>
        <v/>
      </c>
      <c r="K32" s="11" t="s">
        <v>429</v>
      </c>
      <c r="L32" s="12"/>
      <c r="M32" s="12"/>
      <c r="N32" s="12"/>
      <c r="O32" s="12"/>
      <c r="Q32" s="71">
        <v>46.0</v>
      </c>
      <c r="R32" s="72">
        <v>57.0</v>
      </c>
      <c r="S32" s="73">
        <v>40.0</v>
      </c>
      <c r="T32" s="74">
        <v>40.0</v>
      </c>
      <c r="U32" s="75">
        <v>40.0</v>
      </c>
      <c r="V32" s="76">
        <v>50.0</v>
      </c>
      <c r="W32" s="77">
        <v>273.0</v>
      </c>
      <c r="X32" s="21"/>
      <c r="Y32" s="71">
        <v>46.0</v>
      </c>
      <c r="Z32" s="72">
        <v>57.0</v>
      </c>
      <c r="AA32" s="73">
        <v>40.0</v>
      </c>
      <c r="AB32" s="74">
        <v>40.0</v>
      </c>
      <c r="AC32" s="75">
        <v>40.0</v>
      </c>
      <c r="AD32" s="76">
        <v>50.0</v>
      </c>
      <c r="AE32" s="77">
        <v>273.0</v>
      </c>
      <c r="AF32" s="21"/>
      <c r="AG32" s="71">
        <v>46.0</v>
      </c>
      <c r="AH32" s="72">
        <v>57.0</v>
      </c>
      <c r="AI32" s="73">
        <v>40.0</v>
      </c>
      <c r="AJ32" s="74">
        <v>40.0</v>
      </c>
      <c r="AK32" s="75">
        <v>40.0</v>
      </c>
      <c r="AL32" s="76">
        <v>50.0</v>
      </c>
      <c r="AM32" s="77">
        <v>273.0</v>
      </c>
      <c r="AN32" s="21"/>
      <c r="AO32" s="22">
        <v>46.0</v>
      </c>
      <c r="AP32" s="23">
        <v>57.0</v>
      </c>
      <c r="AQ32" s="23">
        <v>40.0</v>
      </c>
      <c r="AR32" s="23">
        <v>40.0</v>
      </c>
      <c r="AS32" s="23">
        <v>40.0</v>
      </c>
      <c r="AT32" s="23">
        <v>50.0</v>
      </c>
      <c r="AU32" s="24">
        <v>273.0</v>
      </c>
      <c r="AV32" s="21"/>
      <c r="AW32" s="78">
        <v>46.0</v>
      </c>
      <c r="AX32" s="124">
        <v>57.0</v>
      </c>
      <c r="AY32" s="79">
        <v>40.0</v>
      </c>
      <c r="AZ32" s="79">
        <v>40.0</v>
      </c>
      <c r="BA32" s="79">
        <v>40.0</v>
      </c>
      <c r="BB32" s="79">
        <v>50.0</v>
      </c>
      <c r="BC32" s="125">
        <v>273.0</v>
      </c>
      <c r="BE32" s="194" t="s">
        <v>325</v>
      </c>
      <c r="BF32" s="127"/>
      <c r="BG32" s="128"/>
      <c r="BI32" s="31" t="s">
        <v>5</v>
      </c>
      <c r="BJ32" s="32">
        <v>1.0</v>
      </c>
      <c r="BK32" s="32" t="s">
        <v>5</v>
      </c>
      <c r="BL32" s="32" t="s">
        <v>5</v>
      </c>
      <c r="BM32" s="32" t="s">
        <v>5</v>
      </c>
      <c r="BN32" s="33" t="s">
        <v>5</v>
      </c>
      <c r="BP32" s="85" t="s">
        <v>7</v>
      </c>
      <c r="BQ32" s="129"/>
      <c r="BS32" s="87" t="s">
        <v>7</v>
      </c>
      <c r="BT32" s="130"/>
      <c r="BU32" s="37" t="str">
        <f t="shared" si="1"/>
        <v>#NAME?</v>
      </c>
      <c r="BV32" s="89" t="s">
        <v>7</v>
      </c>
      <c r="BW32" s="37" t="str">
        <f t="shared" si="2"/>
        <v>#NAME?</v>
      </c>
      <c r="BX32" s="89"/>
      <c r="BY32" s="39"/>
      <c r="BZ32" s="39"/>
      <c r="CA32" s="40" t="s">
        <v>7</v>
      </c>
      <c r="CB32" s="41"/>
      <c r="CC32" s="90" t="s">
        <v>7</v>
      </c>
      <c r="CD32" s="91"/>
      <c r="CE32" s="21"/>
      <c r="CF32" s="92" t="s">
        <v>394</v>
      </c>
      <c r="CG32" s="93" t="s">
        <v>395</v>
      </c>
      <c r="CH32" s="21"/>
      <c r="CI32" s="92" t="s">
        <v>394</v>
      </c>
      <c r="CJ32" s="93" t="s">
        <v>395</v>
      </c>
      <c r="CK32" s="21"/>
      <c r="CL32" s="22" t="s">
        <v>394</v>
      </c>
      <c r="CM32" s="12"/>
      <c r="CN32" s="48"/>
      <c r="CO32" s="96" t="s">
        <v>395</v>
      </c>
      <c r="CP32" s="21"/>
      <c r="CQ32" s="2" t="s">
        <v>105</v>
      </c>
      <c r="CR32" s="97">
        <v>20.0</v>
      </c>
      <c r="CS32" s="2" t="s">
        <v>325</v>
      </c>
      <c r="CT32" s="98">
        <v>60.0</v>
      </c>
      <c r="CU32" s="2"/>
      <c r="CV32" s="52" t="s">
        <v>397</v>
      </c>
      <c r="CW32" s="202">
        <v>0.0</v>
      </c>
      <c r="CX32" s="2"/>
      <c r="CY32" s="99" t="s">
        <v>14</v>
      </c>
      <c r="CZ32" s="100" t="s">
        <v>277</v>
      </c>
      <c r="DA32" s="2"/>
      <c r="DB32" s="98">
        <v>235.0</v>
      </c>
      <c r="DC32" s="2"/>
      <c r="DD32" s="101" t="s">
        <v>15</v>
      </c>
      <c r="DE32" s="2"/>
      <c r="DF32" s="131" t="s">
        <v>432</v>
      </c>
      <c r="DG32" s="103"/>
      <c r="DH32" s="103"/>
      <c r="DI32" s="21"/>
      <c r="DJ32" s="21"/>
      <c r="DK32" s="59" t="s">
        <v>433</v>
      </c>
      <c r="DL32" s="37" t="s">
        <v>156</v>
      </c>
      <c r="DM32" s="37" t="str">
        <f t="shared" si="3"/>
        <v>#NAME?</v>
      </c>
      <c r="DN32" s="61"/>
      <c r="DO32" s="37" t="s">
        <v>77</v>
      </c>
      <c r="DP32" s="105">
        <v>1.0</v>
      </c>
      <c r="DQ32" s="62" t="s">
        <v>434</v>
      </c>
      <c r="DR32" s="63"/>
      <c r="DZ32" s="106" t="s">
        <v>435</v>
      </c>
      <c r="EA32" s="185"/>
      <c r="EB32" s="21"/>
      <c r="EC32" s="106" t="s">
        <v>435</v>
      </c>
      <c r="ED32" s="186"/>
      <c r="EE32" s="21"/>
      <c r="EF32" s="68" t="s">
        <v>436</v>
      </c>
      <c r="EG32" s="69" t="str">
        <f>image("https://www.pokebip.com/pages/icones/objets/mouchoir-choix.png", 3)</f>
        <v/>
      </c>
      <c r="EH32" s="69"/>
      <c r="EI32" s="69"/>
    </row>
    <row r="33" ht="15.75" customHeight="1">
      <c r="A33" s="1">
        <v>33.0</v>
      </c>
      <c r="B33" s="2" t="s">
        <v>437</v>
      </c>
      <c r="C33" s="7"/>
      <c r="D33" s="180" t="s">
        <v>438</v>
      </c>
      <c r="E33" s="5"/>
      <c r="F33" s="181"/>
      <c r="G33" s="7"/>
      <c r="H33" s="8" t="s">
        <v>439</v>
      </c>
      <c r="I33" s="9" t="s">
        <v>440</v>
      </c>
      <c r="J33" s="10" t="str">
        <f>image("https://archives.bulbagarden.net/media/upload/4/4a/033MS6.png", 3)</f>
        <v/>
      </c>
      <c r="K33" s="11" t="s">
        <v>438</v>
      </c>
      <c r="L33" s="12"/>
      <c r="M33" s="12"/>
      <c r="N33" s="12"/>
      <c r="O33" s="12"/>
      <c r="Q33" s="71">
        <v>61.0</v>
      </c>
      <c r="R33" s="72">
        <v>72.0</v>
      </c>
      <c r="S33" s="73">
        <v>57.0</v>
      </c>
      <c r="T33" s="74">
        <v>55.0</v>
      </c>
      <c r="U33" s="75">
        <v>55.0</v>
      </c>
      <c r="V33" s="76">
        <v>65.0</v>
      </c>
      <c r="W33" s="77">
        <v>365.0</v>
      </c>
      <c r="X33" s="21"/>
      <c r="Y33" s="71">
        <v>61.0</v>
      </c>
      <c r="Z33" s="72">
        <v>72.0</v>
      </c>
      <c r="AA33" s="73">
        <v>57.0</v>
      </c>
      <c r="AB33" s="74">
        <v>55.0</v>
      </c>
      <c r="AC33" s="75">
        <v>55.0</v>
      </c>
      <c r="AD33" s="76">
        <v>65.0</v>
      </c>
      <c r="AE33" s="77">
        <v>365.0</v>
      </c>
      <c r="AF33" s="21"/>
      <c r="AG33" s="71">
        <v>61.0</v>
      </c>
      <c r="AH33" s="72">
        <v>72.0</v>
      </c>
      <c r="AI33" s="73">
        <v>57.0</v>
      </c>
      <c r="AJ33" s="74">
        <v>55.0</v>
      </c>
      <c r="AK33" s="75">
        <v>55.0</v>
      </c>
      <c r="AL33" s="76">
        <v>65.0</v>
      </c>
      <c r="AM33" s="77">
        <v>365.0</v>
      </c>
      <c r="AN33" s="21"/>
      <c r="AO33" s="22">
        <v>61.0</v>
      </c>
      <c r="AP33" s="23">
        <v>72.0</v>
      </c>
      <c r="AQ33" s="23">
        <v>57.0</v>
      </c>
      <c r="AR33" s="23">
        <v>55.0</v>
      </c>
      <c r="AS33" s="23">
        <v>55.0</v>
      </c>
      <c r="AT33" s="23">
        <v>65.0</v>
      </c>
      <c r="AU33" s="24">
        <v>365.0</v>
      </c>
      <c r="AV33" s="21"/>
      <c r="AW33" s="78">
        <v>61.0</v>
      </c>
      <c r="AX33" s="80">
        <v>72.0</v>
      </c>
      <c r="AY33" s="79">
        <v>57.0</v>
      </c>
      <c r="AZ33" s="79">
        <v>55.0</v>
      </c>
      <c r="BA33" s="79">
        <v>55.0</v>
      </c>
      <c r="BB33" s="79">
        <v>65.0</v>
      </c>
      <c r="BC33" s="81">
        <v>365.0</v>
      </c>
      <c r="BE33" s="172" t="s">
        <v>216</v>
      </c>
      <c r="BF33" s="113"/>
      <c r="BG33" s="210"/>
      <c r="BI33" s="31" t="s">
        <v>5</v>
      </c>
      <c r="BJ33" s="32">
        <v>2.0</v>
      </c>
      <c r="BK33" s="32" t="s">
        <v>5</v>
      </c>
      <c r="BL33" s="32" t="s">
        <v>5</v>
      </c>
      <c r="BM33" s="32" t="s">
        <v>5</v>
      </c>
      <c r="BN33" s="33" t="s">
        <v>5</v>
      </c>
      <c r="BP33" s="115" t="s">
        <v>7</v>
      </c>
      <c r="BQ33" s="93"/>
      <c r="BS33" s="115" t="s">
        <v>7</v>
      </c>
      <c r="BT33" s="133"/>
      <c r="BU33" s="37" t="str">
        <f t="shared" si="1"/>
        <v>#NAME?</v>
      </c>
      <c r="BV33" s="89" t="s">
        <v>7</v>
      </c>
      <c r="BW33" s="37" t="str">
        <f t="shared" si="2"/>
        <v>#NAME?</v>
      </c>
      <c r="BX33" s="89"/>
      <c r="BY33" s="39"/>
      <c r="BZ33" s="39"/>
      <c r="CA33" s="40" t="s">
        <v>7</v>
      </c>
      <c r="CB33" s="41"/>
      <c r="CC33" s="90" t="s">
        <v>7</v>
      </c>
      <c r="CD33" s="91"/>
      <c r="CE33" s="21"/>
      <c r="CF33" s="92" t="s">
        <v>394</v>
      </c>
      <c r="CG33" s="93" t="s">
        <v>395</v>
      </c>
      <c r="CH33" s="21"/>
      <c r="CI33" s="92" t="s">
        <v>394</v>
      </c>
      <c r="CJ33" s="93" t="s">
        <v>395</v>
      </c>
      <c r="CK33" s="21"/>
      <c r="CL33" s="22" t="s">
        <v>394</v>
      </c>
      <c r="CM33" s="12"/>
      <c r="CN33" s="48"/>
      <c r="CO33" s="96" t="s">
        <v>395</v>
      </c>
      <c r="CP33" s="21"/>
      <c r="CQ33" s="2" t="s">
        <v>441</v>
      </c>
      <c r="CR33" s="97">
        <v>40.0</v>
      </c>
      <c r="CS33" s="2" t="s">
        <v>216</v>
      </c>
      <c r="CT33" s="98">
        <v>118.0</v>
      </c>
      <c r="CU33" s="2"/>
      <c r="CV33" s="52" t="s">
        <v>397</v>
      </c>
      <c r="CW33" s="202">
        <v>0.0</v>
      </c>
      <c r="CX33" s="2"/>
      <c r="CY33" s="118" t="s">
        <v>14</v>
      </c>
      <c r="CZ33" s="119" t="s">
        <v>277</v>
      </c>
      <c r="DA33" s="2"/>
      <c r="DB33" s="98">
        <v>120.0</v>
      </c>
      <c r="DC33" s="2"/>
      <c r="DD33" s="101" t="s">
        <v>15</v>
      </c>
      <c r="DE33" s="2"/>
      <c r="DF33" s="120" t="s">
        <v>442</v>
      </c>
      <c r="DG33" s="121"/>
      <c r="DH33" s="121"/>
      <c r="DI33" s="2"/>
      <c r="DJ33" s="2"/>
      <c r="DK33" s="59" t="s">
        <v>443</v>
      </c>
      <c r="DL33" s="37" t="s">
        <v>32</v>
      </c>
      <c r="DM33" s="37" t="str">
        <f t="shared" si="3"/>
        <v>#NAME?</v>
      </c>
      <c r="DN33" s="61"/>
      <c r="DO33" s="37" t="s">
        <v>175</v>
      </c>
      <c r="DP33" s="37" t="s">
        <v>266</v>
      </c>
      <c r="DQ33" s="62" t="s">
        <v>49</v>
      </c>
      <c r="DR33" s="155"/>
      <c r="DZ33" s="106" t="s">
        <v>444</v>
      </c>
      <c r="EA33" s="185"/>
      <c r="EB33" s="2"/>
      <c r="EC33" s="106" t="s">
        <v>444</v>
      </c>
      <c r="ED33" s="186"/>
      <c r="EE33" s="2"/>
      <c r="EF33" s="68" t="s">
        <v>445</v>
      </c>
      <c r="EG33" s="69" t="str">
        <f>image("https://www.pokebip.com/pages/icones/objets/lunettes-choix.png", 3)</f>
        <v/>
      </c>
      <c r="EH33" s="69"/>
      <c r="EI33" s="69"/>
    </row>
    <row r="34" ht="15.75" customHeight="1">
      <c r="A34" s="1">
        <v>34.0</v>
      </c>
      <c r="B34" s="2" t="s">
        <v>446</v>
      </c>
      <c r="C34" s="7"/>
      <c r="D34" s="180" t="s">
        <v>447</v>
      </c>
      <c r="E34" s="5"/>
      <c r="F34" s="181"/>
      <c r="G34" s="7"/>
      <c r="H34" s="8" t="s">
        <v>448</v>
      </c>
      <c r="I34" s="9" t="s">
        <v>449</v>
      </c>
      <c r="J34" s="10" t="str">
        <f>image("https://archives.bulbagarden.net/media/upload/e/ec/034MS6.png", 3)</f>
        <v/>
      </c>
      <c r="K34" s="11" t="s">
        <v>447</v>
      </c>
      <c r="L34" s="12"/>
      <c r="M34" s="12"/>
      <c r="N34" s="12"/>
      <c r="O34" s="12"/>
      <c r="Q34" s="71">
        <v>81.0</v>
      </c>
      <c r="R34" s="72">
        <v>92.0</v>
      </c>
      <c r="S34" s="73">
        <v>77.0</v>
      </c>
      <c r="T34" s="74">
        <v>85.0</v>
      </c>
      <c r="U34" s="75">
        <v>75.0</v>
      </c>
      <c r="V34" s="76">
        <v>85.0</v>
      </c>
      <c r="W34" s="77">
        <v>495.0</v>
      </c>
      <c r="X34" s="21"/>
      <c r="Y34" s="71">
        <v>81.0</v>
      </c>
      <c r="Z34" s="109">
        <v>102.0</v>
      </c>
      <c r="AA34" s="73">
        <v>77.0</v>
      </c>
      <c r="AB34" s="74">
        <v>85.0</v>
      </c>
      <c r="AC34" s="75">
        <v>75.0</v>
      </c>
      <c r="AD34" s="76">
        <v>85.0</v>
      </c>
      <c r="AE34" s="110">
        <v>505.0</v>
      </c>
      <c r="AF34" s="21"/>
      <c r="AG34" s="71">
        <v>81.0</v>
      </c>
      <c r="AH34" s="109">
        <v>102.0</v>
      </c>
      <c r="AI34" s="73">
        <v>77.0</v>
      </c>
      <c r="AJ34" s="74">
        <v>85.0</v>
      </c>
      <c r="AK34" s="75">
        <v>75.0</v>
      </c>
      <c r="AL34" s="76">
        <v>85.0</v>
      </c>
      <c r="AM34" s="110">
        <v>505.0</v>
      </c>
      <c r="AN34" s="21"/>
      <c r="AO34" s="22">
        <v>81.0</v>
      </c>
      <c r="AP34" s="23" t="s">
        <v>450</v>
      </c>
      <c r="AQ34" s="23">
        <v>77.0</v>
      </c>
      <c r="AR34" s="23">
        <v>85.0</v>
      </c>
      <c r="AS34" s="23">
        <v>75.0</v>
      </c>
      <c r="AT34" s="23">
        <v>85.0</v>
      </c>
      <c r="AU34" s="24" t="s">
        <v>421</v>
      </c>
      <c r="AV34" s="21"/>
      <c r="AW34" s="78">
        <v>81.0</v>
      </c>
      <c r="AX34" s="111">
        <v>102.0</v>
      </c>
      <c r="AY34" s="79">
        <v>77.0</v>
      </c>
      <c r="AZ34" s="79">
        <v>85.0</v>
      </c>
      <c r="BA34" s="79">
        <v>75.0</v>
      </c>
      <c r="BB34" s="79">
        <v>85.0</v>
      </c>
      <c r="BC34" s="111">
        <v>505.0</v>
      </c>
      <c r="BE34" s="172" t="s">
        <v>451</v>
      </c>
      <c r="BF34" s="138"/>
      <c r="BG34" s="128"/>
      <c r="BI34" s="31" t="s">
        <v>5</v>
      </c>
      <c r="BJ34" s="32">
        <v>3.0</v>
      </c>
      <c r="BK34" s="32" t="s">
        <v>5</v>
      </c>
      <c r="BL34" s="32" t="s">
        <v>5</v>
      </c>
      <c r="BM34" s="32" t="s">
        <v>5</v>
      </c>
      <c r="BN34" s="33" t="s">
        <v>5</v>
      </c>
      <c r="BP34" s="85" t="s">
        <v>7</v>
      </c>
      <c r="BQ34" s="86" t="s">
        <v>79</v>
      </c>
      <c r="BS34" s="211" t="s">
        <v>7</v>
      </c>
      <c r="BT34" s="88" t="s">
        <v>79</v>
      </c>
      <c r="BU34" s="37" t="str">
        <f t="shared" si="1"/>
        <v>#NAME?</v>
      </c>
      <c r="BV34" s="89" t="s">
        <v>7</v>
      </c>
      <c r="BW34" s="37" t="str">
        <f t="shared" si="2"/>
        <v>#NAME?</v>
      </c>
      <c r="BX34" s="89" t="s">
        <v>79</v>
      </c>
      <c r="BY34" s="134"/>
      <c r="BZ34" s="134"/>
      <c r="CA34" s="135" t="s">
        <v>423</v>
      </c>
      <c r="CB34" s="136"/>
      <c r="CC34" s="212" t="s">
        <v>7</v>
      </c>
      <c r="CD34" s="91" t="s">
        <v>79</v>
      </c>
      <c r="CE34" s="2"/>
      <c r="CF34" s="92" t="s">
        <v>394</v>
      </c>
      <c r="CG34" s="93" t="s">
        <v>395</v>
      </c>
      <c r="CH34" s="2"/>
      <c r="CI34" s="92" t="s">
        <v>394</v>
      </c>
      <c r="CJ34" s="93" t="s">
        <v>395</v>
      </c>
      <c r="CK34" s="2"/>
      <c r="CL34" s="22" t="s">
        <v>394</v>
      </c>
      <c r="CM34" s="12"/>
      <c r="CN34" s="48"/>
      <c r="CO34" s="96" t="s">
        <v>395</v>
      </c>
      <c r="CP34" s="2"/>
      <c r="CQ34" s="2" t="s">
        <v>452</v>
      </c>
      <c r="CR34" s="97">
        <v>80.0</v>
      </c>
      <c r="CS34" s="2" t="s">
        <v>451</v>
      </c>
      <c r="CT34" s="98">
        <v>195.0</v>
      </c>
      <c r="CU34" s="2"/>
      <c r="CV34" s="52" t="s">
        <v>397</v>
      </c>
      <c r="CW34" s="202">
        <v>0.0</v>
      </c>
      <c r="CX34" s="2"/>
      <c r="CY34" s="99" t="s">
        <v>14</v>
      </c>
      <c r="CZ34" s="100" t="s">
        <v>277</v>
      </c>
      <c r="DA34" s="2"/>
      <c r="DB34" s="98">
        <v>45.0</v>
      </c>
      <c r="DC34" s="2"/>
      <c r="DD34" s="101" t="s">
        <v>15</v>
      </c>
      <c r="DE34" s="2"/>
      <c r="DF34" s="102" t="s">
        <v>453</v>
      </c>
      <c r="DG34" s="103"/>
      <c r="DH34" s="103"/>
      <c r="DI34" s="2"/>
      <c r="DJ34" s="2"/>
      <c r="DK34" s="59" t="s">
        <v>454</v>
      </c>
      <c r="DL34" s="37" t="s">
        <v>64</v>
      </c>
      <c r="DM34" s="37" t="str">
        <f t="shared" si="3"/>
        <v>#NAME?</v>
      </c>
      <c r="DN34" s="61"/>
      <c r="DO34" s="37">
        <v>100.0</v>
      </c>
      <c r="DP34" s="105">
        <v>0.8</v>
      </c>
      <c r="DQ34" s="62" t="s">
        <v>293</v>
      </c>
      <c r="DR34" s="63"/>
      <c r="DZ34" s="106" t="s">
        <v>455</v>
      </c>
      <c r="EA34" s="185"/>
      <c r="EB34" s="2"/>
      <c r="EC34" s="106" t="s">
        <v>455</v>
      </c>
      <c r="ED34" s="186"/>
      <c r="EE34" s="2"/>
      <c r="EF34" s="68" t="s">
        <v>456</v>
      </c>
      <c r="EG34" s="69" t="str">
        <f>image("https://www.pokebip.com/pages/icones/objets/bandeau-choix.png", 3)</f>
        <v/>
      </c>
      <c r="EH34" s="69"/>
      <c r="EI34" s="69"/>
    </row>
    <row r="35" ht="15.75" customHeight="1">
      <c r="A35" s="1">
        <v>35.0</v>
      </c>
      <c r="B35" s="2" t="s">
        <v>457</v>
      </c>
      <c r="C35" s="7"/>
      <c r="D35" s="213" t="s">
        <v>458</v>
      </c>
      <c r="E35" s="5"/>
      <c r="F35" s="214"/>
      <c r="G35" s="7"/>
      <c r="H35" s="8" t="s">
        <v>459</v>
      </c>
      <c r="I35" s="9" t="s">
        <v>460</v>
      </c>
      <c r="J35" s="10" t="str">
        <f>image("https://archives.bulbagarden.net/media/upload/6/67/035MS6.png", 3)</f>
        <v/>
      </c>
      <c r="K35" s="11" t="s">
        <v>458</v>
      </c>
      <c r="L35" s="12"/>
      <c r="M35" s="12"/>
      <c r="N35" s="12"/>
      <c r="O35" s="12"/>
      <c r="Q35" s="71">
        <v>70.0</v>
      </c>
      <c r="R35" s="72">
        <v>45.0</v>
      </c>
      <c r="S35" s="73">
        <v>48.0</v>
      </c>
      <c r="T35" s="74">
        <v>60.0</v>
      </c>
      <c r="U35" s="75">
        <v>65.0</v>
      </c>
      <c r="V35" s="76">
        <v>35.0</v>
      </c>
      <c r="W35" s="77">
        <v>323.0</v>
      </c>
      <c r="X35" s="21"/>
      <c r="Y35" s="71">
        <v>70.0</v>
      </c>
      <c r="Z35" s="72">
        <v>45.0</v>
      </c>
      <c r="AA35" s="73">
        <v>48.0</v>
      </c>
      <c r="AB35" s="74">
        <v>60.0</v>
      </c>
      <c r="AC35" s="75">
        <v>65.0</v>
      </c>
      <c r="AD35" s="76">
        <v>35.0</v>
      </c>
      <c r="AE35" s="77">
        <v>323.0</v>
      </c>
      <c r="AF35" s="21"/>
      <c r="AG35" s="71">
        <v>70.0</v>
      </c>
      <c r="AH35" s="72">
        <v>45.0</v>
      </c>
      <c r="AI35" s="73">
        <v>48.0</v>
      </c>
      <c r="AJ35" s="74">
        <v>60.0</v>
      </c>
      <c r="AK35" s="75">
        <v>65.0</v>
      </c>
      <c r="AL35" s="76">
        <v>35.0</v>
      </c>
      <c r="AM35" s="77">
        <v>323.0</v>
      </c>
      <c r="AN35" s="21"/>
      <c r="AO35" s="22">
        <v>70.0</v>
      </c>
      <c r="AP35" s="23">
        <v>45.0</v>
      </c>
      <c r="AQ35" s="23">
        <v>48.0</v>
      </c>
      <c r="AR35" s="23">
        <v>60.0</v>
      </c>
      <c r="AS35" s="23">
        <v>65.0</v>
      </c>
      <c r="AT35" s="23">
        <v>35.0</v>
      </c>
      <c r="AU35" s="24">
        <v>323.0</v>
      </c>
      <c r="AV35" s="21"/>
      <c r="AW35" s="78">
        <v>70.0</v>
      </c>
      <c r="AX35" s="124">
        <v>45.0</v>
      </c>
      <c r="AY35" s="79">
        <v>48.0</v>
      </c>
      <c r="AZ35" s="80">
        <v>60.0</v>
      </c>
      <c r="BA35" s="79">
        <v>65.0</v>
      </c>
      <c r="BB35" s="79">
        <v>35.0</v>
      </c>
      <c r="BC35" s="183">
        <v>323.0</v>
      </c>
      <c r="BE35" s="203" t="s">
        <v>409</v>
      </c>
      <c r="BF35" s="113"/>
      <c r="BG35" s="93"/>
      <c r="BI35" s="31">
        <v>2.0</v>
      </c>
      <c r="BJ35" s="32" t="s">
        <v>5</v>
      </c>
      <c r="BK35" s="32" t="s">
        <v>5</v>
      </c>
      <c r="BL35" s="32" t="s">
        <v>5</v>
      </c>
      <c r="BM35" s="32" t="s">
        <v>5</v>
      </c>
      <c r="BN35" s="33" t="s">
        <v>5</v>
      </c>
      <c r="BP35" s="115" t="s">
        <v>156</v>
      </c>
      <c r="BQ35" s="93"/>
      <c r="BS35" s="215" t="s">
        <v>153</v>
      </c>
      <c r="BT35" s="37"/>
      <c r="BU35" s="37" t="str">
        <f t="shared" si="1"/>
        <v>#NAME?</v>
      </c>
      <c r="BV35" s="89" t="s">
        <v>461</v>
      </c>
      <c r="BW35" s="37" t="str">
        <f t="shared" si="2"/>
        <v>#NAME?</v>
      </c>
      <c r="BX35" s="89"/>
      <c r="BY35" s="39"/>
      <c r="BZ35" s="39"/>
      <c r="CA35" s="40" t="s">
        <v>462</v>
      </c>
      <c r="CB35" s="41"/>
      <c r="CC35" s="216" t="s">
        <v>153</v>
      </c>
      <c r="CD35" s="62"/>
      <c r="CE35" s="21"/>
      <c r="CF35" s="92" t="s">
        <v>463</v>
      </c>
      <c r="CG35" s="93" t="s">
        <v>464</v>
      </c>
      <c r="CH35" s="21"/>
      <c r="CI35" s="92" t="s">
        <v>463</v>
      </c>
      <c r="CJ35" s="93" t="s">
        <v>464</v>
      </c>
      <c r="CK35" s="21"/>
      <c r="CL35" s="22" t="s">
        <v>463</v>
      </c>
      <c r="CM35" s="12"/>
      <c r="CN35" s="48"/>
      <c r="CO35" s="96" t="s">
        <v>464</v>
      </c>
      <c r="CP35" s="21"/>
      <c r="CQ35" s="2" t="s">
        <v>465</v>
      </c>
      <c r="CR35" s="97">
        <v>20.0</v>
      </c>
      <c r="CS35" s="2" t="s">
        <v>409</v>
      </c>
      <c r="CT35" s="98">
        <v>68.0</v>
      </c>
      <c r="CU35" s="2"/>
      <c r="CV35" s="52" t="s">
        <v>466</v>
      </c>
      <c r="CW35" s="52" t="s">
        <v>467</v>
      </c>
      <c r="CX35" s="2"/>
      <c r="CY35" s="119" t="s">
        <v>153</v>
      </c>
      <c r="CZ35" s="160"/>
      <c r="DA35" s="2"/>
      <c r="DB35" s="98">
        <v>150.0</v>
      </c>
      <c r="DC35" s="2"/>
      <c r="DD35" s="101" t="s">
        <v>468</v>
      </c>
      <c r="DE35" s="2"/>
      <c r="DF35" s="120" t="s">
        <v>469</v>
      </c>
      <c r="DG35" s="173" t="s">
        <v>470</v>
      </c>
      <c r="DH35" s="121"/>
      <c r="DI35" s="2"/>
      <c r="DJ35" s="2"/>
      <c r="DK35" s="59" t="s">
        <v>471</v>
      </c>
      <c r="DL35" s="37" t="s">
        <v>7</v>
      </c>
      <c r="DM35" s="37" t="str">
        <f t="shared" si="3"/>
        <v>#NAME?</v>
      </c>
      <c r="DN35" s="61"/>
      <c r="DO35" s="37" t="s">
        <v>128</v>
      </c>
      <c r="DP35" s="105">
        <v>1.0</v>
      </c>
      <c r="DQ35" s="62" t="s">
        <v>472</v>
      </c>
      <c r="DR35" s="63"/>
      <c r="DZ35" s="106" t="s">
        <v>461</v>
      </c>
      <c r="EA35" s="185"/>
      <c r="EB35" s="2"/>
      <c r="EC35" s="106" t="s">
        <v>461</v>
      </c>
      <c r="ED35" s="186"/>
      <c r="EE35" s="2"/>
      <c r="EG35" s="108"/>
    </row>
    <row r="36" ht="15.75" customHeight="1">
      <c r="A36" s="1">
        <v>36.0</v>
      </c>
      <c r="B36" s="2" t="s">
        <v>473</v>
      </c>
      <c r="C36" s="7"/>
      <c r="D36" s="213" t="s">
        <v>474</v>
      </c>
      <c r="E36" s="5"/>
      <c r="F36" s="214"/>
      <c r="G36" s="7"/>
      <c r="H36" s="8" t="s">
        <v>475</v>
      </c>
      <c r="I36" s="9" t="s">
        <v>476</v>
      </c>
      <c r="J36" s="10" t="str">
        <f>image("https://archives.bulbagarden.net/media/upload/a/a5/036MS6.png", 3)</f>
        <v/>
      </c>
      <c r="K36" s="11" t="s">
        <v>474</v>
      </c>
      <c r="L36" s="12"/>
      <c r="M36" s="12"/>
      <c r="N36" s="12"/>
      <c r="O36" s="12"/>
      <c r="Q36" s="71">
        <v>95.0</v>
      </c>
      <c r="R36" s="72">
        <v>70.0</v>
      </c>
      <c r="S36" s="73">
        <v>73.0</v>
      </c>
      <c r="T36" s="74">
        <v>85.0</v>
      </c>
      <c r="U36" s="75">
        <v>90.0</v>
      </c>
      <c r="V36" s="76">
        <v>60.0</v>
      </c>
      <c r="W36" s="77">
        <v>473.0</v>
      </c>
      <c r="X36" s="21"/>
      <c r="Y36" s="71">
        <v>95.0</v>
      </c>
      <c r="Z36" s="72">
        <v>70.0</v>
      </c>
      <c r="AA36" s="73">
        <v>73.0</v>
      </c>
      <c r="AB36" s="109">
        <v>95.0</v>
      </c>
      <c r="AC36" s="75">
        <v>90.0</v>
      </c>
      <c r="AD36" s="76">
        <v>60.0</v>
      </c>
      <c r="AE36" s="110">
        <v>483.0</v>
      </c>
      <c r="AF36" s="21"/>
      <c r="AG36" s="71">
        <v>95.0</v>
      </c>
      <c r="AH36" s="72">
        <v>70.0</v>
      </c>
      <c r="AI36" s="73">
        <v>73.0</v>
      </c>
      <c r="AJ36" s="109">
        <v>95.0</v>
      </c>
      <c r="AK36" s="75">
        <v>90.0</v>
      </c>
      <c r="AL36" s="76">
        <v>60.0</v>
      </c>
      <c r="AM36" s="110">
        <v>483.0</v>
      </c>
      <c r="AN36" s="21"/>
      <c r="AO36" s="22">
        <v>95.0</v>
      </c>
      <c r="AP36" s="23">
        <v>70.0</v>
      </c>
      <c r="AQ36" s="23">
        <v>73.0</v>
      </c>
      <c r="AR36" s="23" t="s">
        <v>215</v>
      </c>
      <c r="AS36" s="23">
        <v>90.0</v>
      </c>
      <c r="AT36" s="23">
        <v>60.0</v>
      </c>
      <c r="AU36" s="24" t="s">
        <v>477</v>
      </c>
      <c r="AV36" s="21"/>
      <c r="AW36" s="78">
        <v>95.0</v>
      </c>
      <c r="AX36" s="79">
        <v>70.0</v>
      </c>
      <c r="AY36" s="79">
        <v>73.0</v>
      </c>
      <c r="AZ36" s="111">
        <v>95.0</v>
      </c>
      <c r="BA36" s="79">
        <v>90.0</v>
      </c>
      <c r="BB36" s="79">
        <v>60.0</v>
      </c>
      <c r="BC36" s="111">
        <v>483.0</v>
      </c>
      <c r="BE36" s="203" t="s">
        <v>422</v>
      </c>
      <c r="BF36" s="138"/>
      <c r="BG36" s="128"/>
      <c r="BI36" s="31">
        <v>3.0</v>
      </c>
      <c r="BJ36" s="32" t="s">
        <v>5</v>
      </c>
      <c r="BK36" s="32" t="s">
        <v>5</v>
      </c>
      <c r="BL36" s="32" t="s">
        <v>5</v>
      </c>
      <c r="BM36" s="32" t="s">
        <v>5</v>
      </c>
      <c r="BN36" s="33" t="s">
        <v>5</v>
      </c>
      <c r="BP36" s="85" t="s">
        <v>156</v>
      </c>
      <c r="BQ36" s="129"/>
      <c r="BS36" s="217" t="s">
        <v>153</v>
      </c>
      <c r="BT36" s="218"/>
      <c r="BU36" s="37" t="str">
        <f t="shared" si="1"/>
        <v>#NAME?</v>
      </c>
      <c r="BV36" s="89" t="s">
        <v>461</v>
      </c>
      <c r="BW36" s="37" t="str">
        <f t="shared" si="2"/>
        <v>#NAME?</v>
      </c>
      <c r="BX36" s="89"/>
      <c r="BY36" s="144"/>
      <c r="BZ36" s="144"/>
      <c r="CA36" s="145" t="s">
        <v>462</v>
      </c>
      <c r="CB36" s="146"/>
      <c r="CC36" s="219" t="s">
        <v>153</v>
      </c>
      <c r="CD36" s="62"/>
      <c r="CE36" s="21"/>
      <c r="CF36" s="92" t="s">
        <v>463</v>
      </c>
      <c r="CG36" s="93" t="s">
        <v>464</v>
      </c>
      <c r="CH36" s="21"/>
      <c r="CI36" s="177" t="s">
        <v>463</v>
      </c>
      <c r="CJ36" s="93" t="s">
        <v>464</v>
      </c>
      <c r="CK36" s="21"/>
      <c r="CL36" s="22" t="s">
        <v>463</v>
      </c>
      <c r="CM36" s="12"/>
      <c r="CN36" s="48"/>
      <c r="CO36" s="96" t="s">
        <v>464</v>
      </c>
      <c r="CP36" s="21"/>
      <c r="CQ36" s="2" t="s">
        <v>478</v>
      </c>
      <c r="CR36" s="97">
        <v>60.0</v>
      </c>
      <c r="CS36" s="2" t="s">
        <v>422</v>
      </c>
      <c r="CT36" s="98">
        <v>129.0</v>
      </c>
      <c r="CU36" s="2"/>
      <c r="CV36" s="52" t="s">
        <v>466</v>
      </c>
      <c r="CW36" s="52" t="s">
        <v>467</v>
      </c>
      <c r="CX36" s="2"/>
      <c r="CY36" s="100" t="s">
        <v>153</v>
      </c>
      <c r="CZ36" s="154"/>
      <c r="DA36" s="2"/>
      <c r="DB36" s="98">
        <v>25.0</v>
      </c>
      <c r="DC36" s="2"/>
      <c r="DD36" s="101" t="s">
        <v>468</v>
      </c>
      <c r="DE36" s="2"/>
      <c r="DF36" s="102" t="s">
        <v>479</v>
      </c>
      <c r="DG36" s="166" t="s">
        <v>470</v>
      </c>
      <c r="DH36" s="103"/>
      <c r="DI36" s="2"/>
      <c r="DJ36" s="2"/>
      <c r="DK36" s="59" t="s">
        <v>480</v>
      </c>
      <c r="DL36" s="37" t="s">
        <v>76</v>
      </c>
      <c r="DM36" s="37" t="str">
        <f t="shared" si="3"/>
        <v>#NAME?</v>
      </c>
      <c r="DN36" s="61"/>
      <c r="DO36" s="37">
        <v>80.0</v>
      </c>
      <c r="DP36" s="105">
        <v>1.0</v>
      </c>
      <c r="DQ36" s="62" t="s">
        <v>93</v>
      </c>
      <c r="DR36" s="155"/>
      <c r="DZ36" s="178" t="s">
        <v>86</v>
      </c>
      <c r="EA36" s="220"/>
      <c r="EB36" s="2"/>
      <c r="EC36" s="178" t="s">
        <v>86</v>
      </c>
      <c r="ED36" s="179"/>
      <c r="EE36" s="2"/>
      <c r="EF36" s="68" t="s">
        <v>481</v>
      </c>
      <c r="EG36" s="69" t="str">
        <f>image("https://www.pokebip.com/pages/icones/objets/bandeau.png", 3)</f>
        <v/>
      </c>
      <c r="EH36" s="69"/>
      <c r="EI36" s="69"/>
    </row>
    <row r="37" ht="15.75" customHeight="1">
      <c r="A37" s="1">
        <v>37.0</v>
      </c>
      <c r="B37" s="2" t="s">
        <v>482</v>
      </c>
      <c r="C37" s="7"/>
      <c r="D37" s="167" t="s">
        <v>483</v>
      </c>
      <c r="E37" s="5"/>
      <c r="F37" s="168"/>
      <c r="G37" s="7"/>
      <c r="H37" s="8" t="s">
        <v>484</v>
      </c>
      <c r="I37" s="9" t="s">
        <v>485</v>
      </c>
      <c r="J37" s="10" t="str">
        <f>image("https://archives.bulbagarden.net/media/upload/0/09/037MS6.png", 3)</f>
        <v/>
      </c>
      <c r="K37" s="11" t="s">
        <v>483</v>
      </c>
      <c r="L37" s="12"/>
      <c r="M37" s="12"/>
      <c r="N37" s="12"/>
      <c r="O37" s="12"/>
      <c r="Q37" s="71">
        <v>38.0</v>
      </c>
      <c r="R37" s="72">
        <v>41.0</v>
      </c>
      <c r="S37" s="73">
        <v>40.0</v>
      </c>
      <c r="T37" s="74">
        <v>50.0</v>
      </c>
      <c r="U37" s="75">
        <v>65.0</v>
      </c>
      <c r="V37" s="76">
        <v>65.0</v>
      </c>
      <c r="W37" s="77">
        <v>299.0</v>
      </c>
      <c r="X37" s="21"/>
      <c r="Y37" s="71">
        <v>38.0</v>
      </c>
      <c r="Z37" s="72">
        <v>41.0</v>
      </c>
      <c r="AA37" s="73">
        <v>40.0</v>
      </c>
      <c r="AB37" s="74">
        <v>50.0</v>
      </c>
      <c r="AC37" s="75">
        <v>65.0</v>
      </c>
      <c r="AD37" s="76">
        <v>65.0</v>
      </c>
      <c r="AE37" s="77">
        <v>299.0</v>
      </c>
      <c r="AF37" s="21"/>
      <c r="AG37" s="71">
        <v>38.0</v>
      </c>
      <c r="AH37" s="72">
        <v>41.0</v>
      </c>
      <c r="AI37" s="73">
        <v>40.0</v>
      </c>
      <c r="AJ37" s="74">
        <v>50.0</v>
      </c>
      <c r="AK37" s="75">
        <v>65.0</v>
      </c>
      <c r="AL37" s="76">
        <v>65.0</v>
      </c>
      <c r="AM37" s="77">
        <v>299.0</v>
      </c>
      <c r="AN37" s="21"/>
      <c r="AO37" s="22">
        <v>38.0</v>
      </c>
      <c r="AP37" s="23">
        <v>41.0</v>
      </c>
      <c r="AQ37" s="23">
        <v>40.0</v>
      </c>
      <c r="AR37" s="23">
        <v>50.0</v>
      </c>
      <c r="AS37" s="23">
        <v>65.0</v>
      </c>
      <c r="AT37" s="23">
        <v>65.0</v>
      </c>
      <c r="AU37" s="24">
        <v>299.0</v>
      </c>
      <c r="AV37" s="21"/>
      <c r="AW37" s="78">
        <v>38.0</v>
      </c>
      <c r="AX37" s="80">
        <v>41.0</v>
      </c>
      <c r="AY37" s="79">
        <v>40.0</v>
      </c>
      <c r="AZ37" s="124">
        <v>50.0</v>
      </c>
      <c r="BA37" s="79">
        <v>65.0</v>
      </c>
      <c r="BB37" s="80">
        <v>65.0</v>
      </c>
      <c r="BC37" s="125">
        <v>299.0</v>
      </c>
      <c r="BE37" s="126" t="s">
        <v>56</v>
      </c>
      <c r="BF37" s="184"/>
      <c r="BG37" s="128"/>
      <c r="BI37" s="31" t="s">
        <v>5</v>
      </c>
      <c r="BJ37" s="32" t="s">
        <v>5</v>
      </c>
      <c r="BK37" s="32" t="s">
        <v>5</v>
      </c>
      <c r="BL37" s="32" t="s">
        <v>5</v>
      </c>
      <c r="BM37" s="32" t="s">
        <v>5</v>
      </c>
      <c r="BN37" s="33">
        <v>1.0</v>
      </c>
      <c r="BP37" s="115" t="s">
        <v>34</v>
      </c>
      <c r="BQ37" s="93"/>
      <c r="BS37" s="221" t="s">
        <v>34</v>
      </c>
      <c r="BT37" s="133"/>
      <c r="BU37" s="37" t="str">
        <f t="shared" si="1"/>
        <v>#NAME?</v>
      </c>
      <c r="BV37" s="89" t="s">
        <v>34</v>
      </c>
      <c r="BW37" s="37" t="str">
        <f t="shared" si="2"/>
        <v>#NAME?</v>
      </c>
      <c r="BX37" s="89"/>
      <c r="BY37" s="65"/>
      <c r="BZ37" s="65"/>
      <c r="CA37" s="222" t="s">
        <v>34</v>
      </c>
      <c r="CB37" s="223"/>
      <c r="CC37" s="224" t="s">
        <v>34</v>
      </c>
      <c r="CD37" s="137"/>
      <c r="CE37" s="21"/>
      <c r="CF37" s="92" t="s">
        <v>486</v>
      </c>
      <c r="CG37" s="93"/>
      <c r="CH37" s="21"/>
      <c r="CI37" s="46" t="s">
        <v>487</v>
      </c>
      <c r="CJ37" s="95" t="s">
        <v>486</v>
      </c>
      <c r="CK37" s="21"/>
      <c r="CL37" s="22" t="s">
        <v>488</v>
      </c>
      <c r="CM37" s="12"/>
      <c r="CN37" s="48"/>
      <c r="CO37" s="96" t="s">
        <v>486</v>
      </c>
      <c r="CP37" s="21"/>
      <c r="CQ37" s="2" t="s">
        <v>164</v>
      </c>
      <c r="CR37" s="97">
        <v>20.0</v>
      </c>
      <c r="CS37" s="2" t="s">
        <v>56</v>
      </c>
      <c r="CT37" s="98">
        <v>63.0</v>
      </c>
      <c r="CU37" s="2"/>
      <c r="CV37" s="52" t="s">
        <v>466</v>
      </c>
      <c r="CW37" s="52" t="s">
        <v>467</v>
      </c>
      <c r="CX37" s="2"/>
      <c r="CY37" s="119" t="s">
        <v>277</v>
      </c>
      <c r="CZ37" s="160"/>
      <c r="DA37" s="2"/>
      <c r="DB37" s="98">
        <v>190.0</v>
      </c>
      <c r="DC37" s="2"/>
      <c r="DD37" s="101" t="s">
        <v>150</v>
      </c>
      <c r="DE37" s="2"/>
      <c r="DF37" s="148" t="s">
        <v>489</v>
      </c>
      <c r="DG37" s="121"/>
      <c r="DH37" s="121"/>
      <c r="DI37" s="21"/>
      <c r="DJ37" s="21"/>
      <c r="DK37" s="59" t="s">
        <v>490</v>
      </c>
      <c r="DL37" s="37" t="s">
        <v>156</v>
      </c>
      <c r="DM37" s="37" t="str">
        <f t="shared" si="3"/>
        <v>#NAME?</v>
      </c>
      <c r="DN37" s="61"/>
      <c r="DO37" s="37">
        <v>75.0</v>
      </c>
      <c r="DP37" s="105">
        <v>0.95</v>
      </c>
      <c r="DQ37" s="62" t="s">
        <v>49</v>
      </c>
      <c r="DR37" s="63"/>
      <c r="EB37" s="21"/>
      <c r="EC37" s="21"/>
      <c r="ED37" s="21"/>
      <c r="EE37" s="21"/>
      <c r="EF37" s="68" t="s">
        <v>491</v>
      </c>
      <c r="EG37" s="69" t="str">
        <f>image("https://www.pokebip.com/pages/icones/objets/ceinture-force.png", 3)</f>
        <v/>
      </c>
      <c r="EH37" s="69"/>
      <c r="EI37" s="69"/>
    </row>
    <row r="38" ht="15.75" customHeight="1">
      <c r="A38" s="1">
        <v>38.0</v>
      </c>
      <c r="B38" s="2" t="s">
        <v>492</v>
      </c>
      <c r="C38" s="7"/>
      <c r="D38" s="169" t="s">
        <v>493</v>
      </c>
      <c r="E38" s="5"/>
      <c r="F38" s="170"/>
      <c r="G38" s="7"/>
      <c r="H38" s="8" t="s">
        <v>494</v>
      </c>
      <c r="I38" s="9" t="s">
        <v>495</v>
      </c>
      <c r="J38" s="10" t="str">
        <f>image("https://archives.bulbagarden.net/media/upload/1/1f/038MS6.png", 3)</f>
        <v/>
      </c>
      <c r="K38" s="11" t="s">
        <v>493</v>
      </c>
      <c r="L38" s="12"/>
      <c r="M38" s="12"/>
      <c r="N38" s="12"/>
      <c r="O38" s="12"/>
      <c r="Q38" s="71">
        <v>73.0</v>
      </c>
      <c r="R38" s="72">
        <v>76.0</v>
      </c>
      <c r="S38" s="73">
        <v>75.0</v>
      </c>
      <c r="T38" s="74">
        <v>81.0</v>
      </c>
      <c r="U38" s="75">
        <v>100.0</v>
      </c>
      <c r="V38" s="76">
        <v>100.0</v>
      </c>
      <c r="W38" s="77">
        <v>505.0</v>
      </c>
      <c r="X38" s="21"/>
      <c r="Y38" s="71">
        <v>73.0</v>
      </c>
      <c r="Z38" s="72">
        <v>76.0</v>
      </c>
      <c r="AA38" s="73">
        <v>75.0</v>
      </c>
      <c r="AB38" s="74">
        <v>81.0</v>
      </c>
      <c r="AC38" s="75">
        <v>100.0</v>
      </c>
      <c r="AD38" s="76">
        <v>100.0</v>
      </c>
      <c r="AE38" s="77">
        <v>505.0</v>
      </c>
      <c r="AF38" s="21"/>
      <c r="AG38" s="71">
        <v>73.0</v>
      </c>
      <c r="AH38" s="162">
        <v>67.0</v>
      </c>
      <c r="AI38" s="73">
        <v>75.0</v>
      </c>
      <c r="AJ38" s="74">
        <v>81.0</v>
      </c>
      <c r="AK38" s="75">
        <v>100.0</v>
      </c>
      <c r="AL38" s="109">
        <v>109.0</v>
      </c>
      <c r="AM38" s="77">
        <v>505.0</v>
      </c>
      <c r="AN38" s="21"/>
      <c r="AO38" s="22">
        <v>73.0</v>
      </c>
      <c r="AP38" s="23" t="s">
        <v>496</v>
      </c>
      <c r="AQ38" s="23">
        <v>75.0</v>
      </c>
      <c r="AR38" s="23">
        <v>81.0</v>
      </c>
      <c r="AS38" s="23">
        <v>100.0</v>
      </c>
      <c r="AT38" s="23" t="s">
        <v>497</v>
      </c>
      <c r="AU38" s="24">
        <v>505.0</v>
      </c>
      <c r="AV38" s="21"/>
      <c r="AW38" s="78">
        <v>73.0</v>
      </c>
      <c r="AX38" s="163">
        <v>67.0</v>
      </c>
      <c r="AY38" s="80">
        <v>75.0</v>
      </c>
      <c r="AZ38" s="80">
        <v>81.0</v>
      </c>
      <c r="BA38" s="80">
        <v>100.0</v>
      </c>
      <c r="BB38" s="111">
        <v>109.0</v>
      </c>
      <c r="BC38" s="81">
        <v>505.0</v>
      </c>
      <c r="BE38" s="225" t="s">
        <v>27</v>
      </c>
      <c r="BF38" s="132" t="s">
        <v>56</v>
      </c>
      <c r="BG38" s="84"/>
      <c r="BI38" s="31" t="s">
        <v>5</v>
      </c>
      <c r="BJ38" s="32" t="s">
        <v>5</v>
      </c>
      <c r="BK38" s="32" t="s">
        <v>5</v>
      </c>
      <c r="BL38" s="32" t="s">
        <v>5</v>
      </c>
      <c r="BM38" s="32">
        <v>1.0</v>
      </c>
      <c r="BN38" s="33">
        <v>1.0</v>
      </c>
      <c r="BP38" s="85" t="s">
        <v>34</v>
      </c>
      <c r="BQ38" s="129"/>
      <c r="BS38" s="87" t="s">
        <v>34</v>
      </c>
      <c r="BT38" s="130"/>
      <c r="BU38" s="37" t="str">
        <f t="shared" si="1"/>
        <v>#NAME?</v>
      </c>
      <c r="BV38" s="89" t="s">
        <v>34</v>
      </c>
      <c r="BW38" s="37" t="str">
        <f t="shared" si="2"/>
        <v>#NAME?</v>
      </c>
      <c r="BX38" s="89" t="s">
        <v>461</v>
      </c>
      <c r="BY38" s="39"/>
      <c r="BZ38" s="39"/>
      <c r="CA38" s="40" t="s">
        <v>498</v>
      </c>
      <c r="CB38" s="41"/>
      <c r="CC38" s="37" t="s">
        <v>34</v>
      </c>
      <c r="CD38" s="226" t="s">
        <v>153</v>
      </c>
      <c r="CE38" s="21"/>
      <c r="CF38" s="92" t="s">
        <v>486</v>
      </c>
      <c r="CG38" s="93"/>
      <c r="CH38" s="21"/>
      <c r="CI38" s="152" t="s">
        <v>487</v>
      </c>
      <c r="CJ38" s="95" t="s">
        <v>486</v>
      </c>
      <c r="CK38" s="21"/>
      <c r="CL38" s="22" t="s">
        <v>488</v>
      </c>
      <c r="CM38" s="12"/>
      <c r="CN38" s="48"/>
      <c r="CO38" s="189" t="s">
        <v>486</v>
      </c>
      <c r="CP38" s="21"/>
      <c r="CQ38" s="2" t="s">
        <v>499</v>
      </c>
      <c r="CR38" s="97">
        <v>40.0</v>
      </c>
      <c r="CS38" s="2" t="s">
        <v>500</v>
      </c>
      <c r="CT38" s="98">
        <v>178.0</v>
      </c>
      <c r="CU38" s="2"/>
      <c r="CV38" s="52" t="s">
        <v>466</v>
      </c>
      <c r="CW38" s="52" t="s">
        <v>467</v>
      </c>
      <c r="CX38" s="2"/>
      <c r="CY38" s="100" t="s">
        <v>277</v>
      </c>
      <c r="CZ38" s="154"/>
      <c r="DA38" s="2"/>
      <c r="DB38" s="98">
        <v>75.0</v>
      </c>
      <c r="DC38" s="2"/>
      <c r="DD38" s="101" t="s">
        <v>150</v>
      </c>
      <c r="DE38" s="2"/>
      <c r="DF38" s="102" t="s">
        <v>501</v>
      </c>
      <c r="DG38" s="103"/>
      <c r="DH38" s="103"/>
      <c r="DI38" s="2"/>
      <c r="DJ38" s="2"/>
      <c r="DK38" s="59" t="s">
        <v>502</v>
      </c>
      <c r="DL38" s="37" t="s">
        <v>156</v>
      </c>
      <c r="DM38" s="37" t="str">
        <f t="shared" si="3"/>
        <v>#NAME?</v>
      </c>
      <c r="DN38" s="61"/>
      <c r="DO38" s="37" t="s">
        <v>19</v>
      </c>
      <c r="DP38" s="105">
        <v>1.0</v>
      </c>
      <c r="DQ38" s="62" t="s">
        <v>293</v>
      </c>
      <c r="DR38" s="63"/>
      <c r="EB38" s="2"/>
      <c r="EC38" s="2"/>
      <c r="ED38" s="2"/>
      <c r="EE38" s="2"/>
      <c r="EG38" s="108"/>
    </row>
    <row r="39" ht="15.75" customHeight="1">
      <c r="A39" s="1">
        <v>39.0</v>
      </c>
      <c r="B39" s="2" t="s">
        <v>503</v>
      </c>
      <c r="C39" s="7"/>
      <c r="D39" s="213" t="s">
        <v>504</v>
      </c>
      <c r="E39" s="5"/>
      <c r="F39" s="214"/>
      <c r="G39" s="7"/>
      <c r="H39" s="8" t="s">
        <v>505</v>
      </c>
      <c r="I39" s="9" t="s">
        <v>506</v>
      </c>
      <c r="J39" s="10" t="str">
        <f>image("https://archives.bulbagarden.net/media/upload/8/8b/039MS6.png", 3)</f>
        <v/>
      </c>
      <c r="K39" s="11" t="s">
        <v>504</v>
      </c>
      <c r="L39" s="12"/>
      <c r="M39" s="12"/>
      <c r="N39" s="12"/>
      <c r="O39" s="12"/>
      <c r="Q39" s="71">
        <v>115.0</v>
      </c>
      <c r="R39" s="72">
        <v>45.0</v>
      </c>
      <c r="S39" s="73">
        <v>20.0</v>
      </c>
      <c r="T39" s="74">
        <v>45.0</v>
      </c>
      <c r="U39" s="75">
        <v>25.0</v>
      </c>
      <c r="V39" s="76">
        <v>20.0</v>
      </c>
      <c r="W39" s="77">
        <v>270.0</v>
      </c>
      <c r="X39" s="21"/>
      <c r="Y39" s="71">
        <v>115.0</v>
      </c>
      <c r="Z39" s="72">
        <v>45.0</v>
      </c>
      <c r="AA39" s="73">
        <v>20.0</v>
      </c>
      <c r="AB39" s="74">
        <v>45.0</v>
      </c>
      <c r="AC39" s="75">
        <v>25.0</v>
      </c>
      <c r="AD39" s="76">
        <v>20.0</v>
      </c>
      <c r="AE39" s="77">
        <v>270.0</v>
      </c>
      <c r="AF39" s="21"/>
      <c r="AG39" s="71">
        <v>115.0</v>
      </c>
      <c r="AH39" s="109">
        <v>55.0</v>
      </c>
      <c r="AI39" s="109">
        <v>30.0</v>
      </c>
      <c r="AJ39" s="109">
        <v>55.0</v>
      </c>
      <c r="AK39" s="109">
        <v>35.0</v>
      </c>
      <c r="AL39" s="109">
        <v>30.0</v>
      </c>
      <c r="AM39" s="110">
        <v>320.0</v>
      </c>
      <c r="AN39" s="21"/>
      <c r="AO39" s="22">
        <v>115.0</v>
      </c>
      <c r="AP39" s="23" t="s">
        <v>507</v>
      </c>
      <c r="AQ39" s="23" t="s">
        <v>508</v>
      </c>
      <c r="AR39" s="23" t="s">
        <v>507</v>
      </c>
      <c r="AS39" s="23" t="s">
        <v>509</v>
      </c>
      <c r="AT39" s="23" t="s">
        <v>508</v>
      </c>
      <c r="AU39" s="24" t="s">
        <v>351</v>
      </c>
      <c r="AV39" s="21"/>
      <c r="AW39" s="78">
        <v>115.0</v>
      </c>
      <c r="AX39" s="227">
        <v>55.0</v>
      </c>
      <c r="AY39" s="111">
        <v>30.0</v>
      </c>
      <c r="AZ39" s="111">
        <v>55.0</v>
      </c>
      <c r="BA39" s="111">
        <v>35.0</v>
      </c>
      <c r="BB39" s="111">
        <v>30.0</v>
      </c>
      <c r="BC39" s="111">
        <v>320.0</v>
      </c>
      <c r="BE39" s="203" t="s">
        <v>409</v>
      </c>
      <c r="BF39" s="113"/>
      <c r="BG39" s="93"/>
      <c r="BI39" s="31">
        <v>2.0</v>
      </c>
      <c r="BJ39" s="32" t="s">
        <v>5</v>
      </c>
      <c r="BK39" s="32" t="s">
        <v>5</v>
      </c>
      <c r="BL39" s="32" t="s">
        <v>5</v>
      </c>
      <c r="BM39" s="32" t="s">
        <v>5</v>
      </c>
      <c r="BN39" s="33" t="s">
        <v>5</v>
      </c>
      <c r="BP39" s="115" t="s">
        <v>156</v>
      </c>
      <c r="BQ39" s="93"/>
      <c r="BS39" s="115" t="s">
        <v>156</v>
      </c>
      <c r="BT39" s="228"/>
      <c r="BU39" s="37" t="str">
        <f t="shared" si="1"/>
        <v>#NAME?</v>
      </c>
      <c r="BV39" s="89" t="s">
        <v>156</v>
      </c>
      <c r="BW39" s="37" t="str">
        <f t="shared" si="2"/>
        <v>#NAME?</v>
      </c>
      <c r="BX39" s="89" t="s">
        <v>461</v>
      </c>
      <c r="BY39" s="39"/>
      <c r="BZ39" s="39"/>
      <c r="CA39" s="40" t="s">
        <v>510</v>
      </c>
      <c r="CB39" s="41"/>
      <c r="CC39" s="37" t="s">
        <v>156</v>
      </c>
      <c r="CD39" s="229" t="s">
        <v>153</v>
      </c>
      <c r="CE39" s="21"/>
      <c r="CF39" s="92" t="s">
        <v>463</v>
      </c>
      <c r="CG39" s="93"/>
      <c r="CH39" s="21"/>
      <c r="CI39" s="175" t="s">
        <v>463</v>
      </c>
      <c r="CJ39" s="93"/>
      <c r="CK39" s="21"/>
      <c r="CL39" s="22" t="s">
        <v>463</v>
      </c>
      <c r="CM39" s="12"/>
      <c r="CN39" s="48"/>
      <c r="CO39" s="192" t="s">
        <v>511</v>
      </c>
      <c r="CP39" s="21"/>
      <c r="CQ39" s="2" t="s">
        <v>512</v>
      </c>
      <c r="CR39" s="97">
        <v>20.0</v>
      </c>
      <c r="CS39" s="2" t="s">
        <v>409</v>
      </c>
      <c r="CT39" s="98">
        <v>76.0</v>
      </c>
      <c r="CU39" s="2"/>
      <c r="CV39" s="52" t="s">
        <v>466</v>
      </c>
      <c r="CW39" s="52" t="s">
        <v>467</v>
      </c>
      <c r="CX39" s="2"/>
      <c r="CY39" s="119" t="s">
        <v>153</v>
      </c>
      <c r="CZ39" s="160"/>
      <c r="DA39" s="2"/>
      <c r="DB39" s="98">
        <v>170.0</v>
      </c>
      <c r="DC39" s="2"/>
      <c r="DD39" s="101" t="s">
        <v>468</v>
      </c>
      <c r="DE39" s="2"/>
      <c r="DF39" s="120" t="s">
        <v>513</v>
      </c>
      <c r="DG39" s="173" t="s">
        <v>470</v>
      </c>
      <c r="DH39" s="121"/>
      <c r="DI39" s="2"/>
      <c r="DJ39" s="2"/>
      <c r="DK39" s="59" t="s">
        <v>514</v>
      </c>
      <c r="DL39" s="230" t="s">
        <v>515</v>
      </c>
      <c r="DM39" s="231" t="str">
        <f t="shared" si="3"/>
        <v>#NAME?</v>
      </c>
      <c r="DN39" s="61"/>
      <c r="DO39" s="37" t="s">
        <v>77</v>
      </c>
      <c r="DP39" s="37" t="s">
        <v>225</v>
      </c>
      <c r="DQ39" s="62" t="s">
        <v>434</v>
      </c>
      <c r="DR39" s="63"/>
      <c r="EB39" s="2"/>
      <c r="EC39" s="2"/>
      <c r="ED39" s="2"/>
      <c r="EE39" s="2"/>
      <c r="EF39" s="68" t="s">
        <v>516</v>
      </c>
      <c r="EG39" s="69" t="str">
        <f>image("https://www.pokebip.com/pages/icones/objets/ceinture-pro.png", 3)</f>
        <v/>
      </c>
      <c r="EH39" s="69"/>
      <c r="EI39" s="69"/>
    </row>
    <row r="40" ht="15.75" customHeight="1">
      <c r="A40" s="1">
        <v>40.0</v>
      </c>
      <c r="B40" s="2" t="s">
        <v>517</v>
      </c>
      <c r="C40" s="7"/>
      <c r="D40" s="213" t="s">
        <v>518</v>
      </c>
      <c r="E40" s="5"/>
      <c r="F40" s="214"/>
      <c r="G40" s="7"/>
      <c r="H40" s="8" t="s">
        <v>519</v>
      </c>
      <c r="I40" s="9" t="s">
        <v>520</v>
      </c>
      <c r="J40" s="10" t="str">
        <f>image("https://archives.bulbagarden.net/media/upload/d/d2/040MS6.png", 3)</f>
        <v/>
      </c>
      <c r="K40" s="11" t="s">
        <v>518</v>
      </c>
      <c r="L40" s="12"/>
      <c r="M40" s="12"/>
      <c r="N40" s="12"/>
      <c r="O40" s="12"/>
      <c r="Q40" s="71">
        <v>140.0</v>
      </c>
      <c r="R40" s="72">
        <v>70.0</v>
      </c>
      <c r="S40" s="73">
        <v>45.0</v>
      </c>
      <c r="T40" s="74">
        <v>75.0</v>
      </c>
      <c r="U40" s="75">
        <v>50.0</v>
      </c>
      <c r="V40" s="76">
        <v>45.0</v>
      </c>
      <c r="W40" s="77">
        <v>425.0</v>
      </c>
      <c r="X40" s="21"/>
      <c r="Y40" s="71">
        <v>140.0</v>
      </c>
      <c r="Z40" s="72">
        <v>70.0</v>
      </c>
      <c r="AA40" s="73">
        <v>45.0</v>
      </c>
      <c r="AB40" s="109">
        <v>85.0</v>
      </c>
      <c r="AC40" s="75">
        <v>50.0</v>
      </c>
      <c r="AD40" s="76">
        <v>45.0</v>
      </c>
      <c r="AE40" s="110">
        <v>435.0</v>
      </c>
      <c r="AF40" s="21"/>
      <c r="AG40" s="71">
        <v>140.0</v>
      </c>
      <c r="AH40" s="109">
        <v>80.0</v>
      </c>
      <c r="AI40" s="109">
        <v>55.0</v>
      </c>
      <c r="AJ40" s="109">
        <v>95.0</v>
      </c>
      <c r="AK40" s="109">
        <v>60.0</v>
      </c>
      <c r="AL40" s="109">
        <v>55.0</v>
      </c>
      <c r="AM40" s="110">
        <v>485.0</v>
      </c>
      <c r="AN40" s="21"/>
      <c r="AO40" s="22">
        <v>140.0</v>
      </c>
      <c r="AP40" s="23" t="s">
        <v>337</v>
      </c>
      <c r="AQ40" s="23" t="s">
        <v>507</v>
      </c>
      <c r="AR40" s="23" t="s">
        <v>215</v>
      </c>
      <c r="AS40" s="23" t="s">
        <v>77</v>
      </c>
      <c r="AT40" s="23" t="s">
        <v>507</v>
      </c>
      <c r="AU40" s="24" t="s">
        <v>521</v>
      </c>
      <c r="AV40" s="21"/>
      <c r="AW40" s="78">
        <v>140.0</v>
      </c>
      <c r="AX40" s="111">
        <v>80.0</v>
      </c>
      <c r="AY40" s="111">
        <v>55.0</v>
      </c>
      <c r="AZ40" s="111">
        <v>95.0</v>
      </c>
      <c r="BA40" s="111">
        <v>60.0</v>
      </c>
      <c r="BB40" s="111">
        <v>55.0</v>
      </c>
      <c r="BC40" s="111">
        <v>485.0</v>
      </c>
      <c r="BE40" s="203" t="s">
        <v>422</v>
      </c>
      <c r="BF40" s="138"/>
      <c r="BG40" s="128"/>
      <c r="BI40" s="31">
        <v>3.0</v>
      </c>
      <c r="BJ40" s="32" t="s">
        <v>5</v>
      </c>
      <c r="BK40" s="32" t="s">
        <v>5</v>
      </c>
      <c r="BL40" s="32" t="s">
        <v>5</v>
      </c>
      <c r="BM40" s="32" t="s">
        <v>5</v>
      </c>
      <c r="BN40" s="33" t="s">
        <v>5</v>
      </c>
      <c r="BP40" s="85" t="s">
        <v>156</v>
      </c>
      <c r="BQ40" s="129"/>
      <c r="BS40" s="87" t="s">
        <v>156</v>
      </c>
      <c r="BT40" s="232"/>
      <c r="BU40" s="37" t="str">
        <f t="shared" si="1"/>
        <v>#NAME?</v>
      </c>
      <c r="BV40" s="89" t="s">
        <v>156</v>
      </c>
      <c r="BW40" s="37" t="str">
        <f t="shared" si="2"/>
        <v>#NAME?</v>
      </c>
      <c r="BX40" s="89" t="s">
        <v>461</v>
      </c>
      <c r="BY40" s="39"/>
      <c r="BZ40" s="39"/>
      <c r="CA40" s="40" t="s">
        <v>510</v>
      </c>
      <c r="CB40" s="41"/>
      <c r="CC40" s="37" t="s">
        <v>156</v>
      </c>
      <c r="CD40" s="233" t="s">
        <v>153</v>
      </c>
      <c r="CE40" s="21"/>
      <c r="CF40" s="92" t="s">
        <v>463</v>
      </c>
      <c r="CG40" s="93"/>
      <c r="CH40" s="21"/>
      <c r="CI40" s="92" t="s">
        <v>463</v>
      </c>
      <c r="CJ40" s="93"/>
      <c r="CK40" s="21"/>
      <c r="CL40" s="22" t="s">
        <v>463</v>
      </c>
      <c r="CM40" s="12"/>
      <c r="CN40" s="48"/>
      <c r="CO40" s="193" t="s">
        <v>511</v>
      </c>
      <c r="CP40" s="21"/>
      <c r="CQ40" s="2" t="s">
        <v>377</v>
      </c>
      <c r="CR40" s="97">
        <v>40.0</v>
      </c>
      <c r="CS40" s="2" t="s">
        <v>422</v>
      </c>
      <c r="CT40" s="98">
        <v>109.0</v>
      </c>
      <c r="CU40" s="2"/>
      <c r="CV40" s="52" t="s">
        <v>466</v>
      </c>
      <c r="CW40" s="52" t="s">
        <v>467</v>
      </c>
      <c r="CX40" s="2"/>
      <c r="CY40" s="100" t="s">
        <v>153</v>
      </c>
      <c r="CZ40" s="154"/>
      <c r="DA40" s="2"/>
      <c r="DB40" s="98">
        <v>50.0</v>
      </c>
      <c r="DC40" s="2"/>
      <c r="DD40" s="101" t="s">
        <v>468</v>
      </c>
      <c r="DE40" s="2"/>
      <c r="DF40" s="102" t="s">
        <v>522</v>
      </c>
      <c r="DG40" s="166" t="s">
        <v>470</v>
      </c>
      <c r="DH40" s="103"/>
      <c r="DI40" s="2"/>
      <c r="DJ40" s="2"/>
      <c r="DK40" s="59" t="s">
        <v>523</v>
      </c>
      <c r="DL40" s="37" t="s">
        <v>79</v>
      </c>
      <c r="DM40" s="37" t="str">
        <f t="shared" si="3"/>
        <v>#NAME?</v>
      </c>
      <c r="DN40" s="61"/>
      <c r="DO40" s="37">
        <v>80.0</v>
      </c>
      <c r="DP40" s="105">
        <v>1.0</v>
      </c>
      <c r="DQ40" s="62" t="s">
        <v>49</v>
      </c>
      <c r="DR40" s="155"/>
      <c r="EB40" s="2"/>
      <c r="EC40" s="2"/>
      <c r="ED40" s="2"/>
      <c r="EE40" s="2"/>
      <c r="EF40" s="68" t="s">
        <v>524</v>
      </c>
      <c r="EG40" s="69" t="str">
        <f>image("https://www.pokebip.com/pages/icones/objets/metronome.png", 3)</f>
        <v/>
      </c>
      <c r="EH40" s="69"/>
      <c r="EI40" s="69"/>
    </row>
    <row r="41" ht="15.75" customHeight="1">
      <c r="A41" s="1">
        <v>41.0</v>
      </c>
      <c r="B41" s="2" t="s">
        <v>525</v>
      </c>
      <c r="C41" s="7"/>
      <c r="D41" s="180" t="s">
        <v>526</v>
      </c>
      <c r="E41" s="5"/>
      <c r="F41" s="181"/>
      <c r="G41" s="7"/>
      <c r="H41" s="8" t="s">
        <v>527</v>
      </c>
      <c r="I41" s="9" t="s">
        <v>528</v>
      </c>
      <c r="J41" s="10" t="str">
        <f>image("https://archives.bulbagarden.net/media/upload/0/0c/041MS6.png", 3)</f>
        <v/>
      </c>
      <c r="K41" s="11" t="s">
        <v>526</v>
      </c>
      <c r="L41" s="12"/>
      <c r="M41" s="12"/>
      <c r="N41" s="12"/>
      <c r="O41" s="12"/>
      <c r="Q41" s="71">
        <v>40.0</v>
      </c>
      <c r="R41" s="72">
        <v>45.0</v>
      </c>
      <c r="S41" s="73">
        <v>35.0</v>
      </c>
      <c r="T41" s="74">
        <v>30.0</v>
      </c>
      <c r="U41" s="75">
        <v>40.0</v>
      </c>
      <c r="V41" s="76">
        <v>55.0</v>
      </c>
      <c r="W41" s="77">
        <v>245.0</v>
      </c>
      <c r="X41" s="21"/>
      <c r="Y41" s="71">
        <v>40.0</v>
      </c>
      <c r="Z41" s="72">
        <v>45.0</v>
      </c>
      <c r="AA41" s="73">
        <v>35.0</v>
      </c>
      <c r="AB41" s="74">
        <v>30.0</v>
      </c>
      <c r="AC41" s="75">
        <v>40.0</v>
      </c>
      <c r="AD41" s="76">
        <v>55.0</v>
      </c>
      <c r="AE41" s="77">
        <v>245.0</v>
      </c>
      <c r="AF41" s="21"/>
      <c r="AG41" s="71">
        <v>40.0</v>
      </c>
      <c r="AH41" s="72">
        <v>45.0</v>
      </c>
      <c r="AI41" s="73">
        <v>35.0</v>
      </c>
      <c r="AJ41" s="74">
        <v>30.0</v>
      </c>
      <c r="AK41" s="75">
        <v>40.0</v>
      </c>
      <c r="AL41" s="76">
        <v>55.0</v>
      </c>
      <c r="AM41" s="77">
        <v>245.0</v>
      </c>
      <c r="AN41" s="21"/>
      <c r="AO41" s="22">
        <v>40.0</v>
      </c>
      <c r="AP41" s="23">
        <v>45.0</v>
      </c>
      <c r="AQ41" s="23">
        <v>35.0</v>
      </c>
      <c r="AR41" s="23">
        <v>30.0</v>
      </c>
      <c r="AS41" s="23">
        <v>40.0</v>
      </c>
      <c r="AT41" s="23">
        <v>55.0</v>
      </c>
      <c r="AU41" s="24">
        <v>245.0</v>
      </c>
      <c r="AV41" s="21"/>
      <c r="AW41" s="78">
        <v>40.0</v>
      </c>
      <c r="AX41" s="124">
        <v>45.0</v>
      </c>
      <c r="AY41" s="124">
        <v>35.0</v>
      </c>
      <c r="AZ41" s="124">
        <v>30.0</v>
      </c>
      <c r="BA41" s="124">
        <v>40.0</v>
      </c>
      <c r="BB41" s="124">
        <v>55.0</v>
      </c>
      <c r="BC41" s="125">
        <v>245.0</v>
      </c>
      <c r="BE41" s="126" t="s">
        <v>56</v>
      </c>
      <c r="BF41" s="184"/>
      <c r="BG41" s="128"/>
      <c r="BI41" s="31" t="s">
        <v>5</v>
      </c>
      <c r="BJ41" s="32" t="s">
        <v>5</v>
      </c>
      <c r="BK41" s="32" t="s">
        <v>5</v>
      </c>
      <c r="BL41" s="32" t="s">
        <v>5</v>
      </c>
      <c r="BM41" s="32" t="s">
        <v>5</v>
      </c>
      <c r="BN41" s="33">
        <v>1.0</v>
      </c>
      <c r="BP41" s="115" t="s">
        <v>7</v>
      </c>
      <c r="BQ41" s="116" t="s">
        <v>18</v>
      </c>
      <c r="BS41" s="115" t="s">
        <v>7</v>
      </c>
      <c r="BT41" s="117" t="s">
        <v>18</v>
      </c>
      <c r="BU41" s="37" t="str">
        <f t="shared" si="1"/>
        <v>#NAME?</v>
      </c>
      <c r="BV41" s="89" t="s">
        <v>7</v>
      </c>
      <c r="BW41" s="37" t="str">
        <f t="shared" si="2"/>
        <v>#NAME?</v>
      </c>
      <c r="BX41" s="89" t="s">
        <v>18</v>
      </c>
      <c r="BY41" s="144"/>
      <c r="BZ41" s="144"/>
      <c r="CA41" s="145" t="s">
        <v>529</v>
      </c>
      <c r="CB41" s="146"/>
      <c r="CC41" s="90" t="s">
        <v>7</v>
      </c>
      <c r="CD41" s="147" t="s">
        <v>18</v>
      </c>
      <c r="CE41" s="2"/>
      <c r="CF41" s="92" t="s">
        <v>530</v>
      </c>
      <c r="CG41" s="93"/>
      <c r="CH41" s="2"/>
      <c r="CI41" s="92" t="s">
        <v>530</v>
      </c>
      <c r="CJ41" s="93"/>
      <c r="CK41" s="2"/>
      <c r="CL41" s="22" t="s">
        <v>530</v>
      </c>
      <c r="CM41" s="12"/>
      <c r="CN41" s="48"/>
      <c r="CO41" s="165"/>
      <c r="CP41" s="2"/>
      <c r="CQ41" s="2" t="s">
        <v>465</v>
      </c>
      <c r="CR41" s="97">
        <v>20.0</v>
      </c>
      <c r="CS41" s="2" t="s">
        <v>56</v>
      </c>
      <c r="CT41" s="98">
        <v>54.0</v>
      </c>
      <c r="CU41" s="2"/>
      <c r="CV41" s="52" t="s">
        <v>149</v>
      </c>
      <c r="CW41" s="52" t="s">
        <v>149</v>
      </c>
      <c r="CX41" s="2"/>
      <c r="CY41" s="119" t="s">
        <v>18</v>
      </c>
      <c r="CZ41" s="160"/>
      <c r="DA41" s="2"/>
      <c r="DB41" s="98">
        <v>255.0</v>
      </c>
      <c r="DC41" s="2"/>
      <c r="DD41" s="101" t="s">
        <v>150</v>
      </c>
      <c r="DE41" s="2"/>
      <c r="DF41" s="148" t="s">
        <v>531</v>
      </c>
      <c r="DG41" s="121"/>
      <c r="DH41" s="121"/>
      <c r="DI41" s="21"/>
      <c r="DJ41" s="21"/>
      <c r="DK41" s="59" t="s">
        <v>532</v>
      </c>
      <c r="DL41" s="37" t="s">
        <v>32</v>
      </c>
      <c r="DM41" s="37" t="str">
        <f t="shared" si="3"/>
        <v>#NAME?</v>
      </c>
      <c r="DN41" s="61"/>
      <c r="DO41" s="37">
        <v>80.0</v>
      </c>
      <c r="DP41" s="105">
        <v>1.0</v>
      </c>
      <c r="DQ41" s="62" t="s">
        <v>49</v>
      </c>
      <c r="DR41" s="63"/>
      <c r="DZ41" s="182"/>
      <c r="EA41" s="182"/>
      <c r="EB41" s="21"/>
      <c r="EC41" s="21"/>
      <c r="ED41" s="21"/>
      <c r="EE41" s="21"/>
      <c r="EF41" s="68" t="s">
        <v>533</v>
      </c>
      <c r="EG41" s="69" t="str">
        <f>image("https://www.pokebip.com/pages/icones/objets/bandeau-muscle.png", 3)</f>
        <v/>
      </c>
      <c r="EH41" s="69"/>
      <c r="EI41" s="69"/>
    </row>
    <row r="42" ht="15.75" customHeight="1">
      <c r="A42" s="1">
        <v>42.0</v>
      </c>
      <c r="B42" s="2" t="s">
        <v>534</v>
      </c>
      <c r="C42" s="7"/>
      <c r="D42" s="180" t="s">
        <v>535</v>
      </c>
      <c r="E42" s="5"/>
      <c r="F42" s="181"/>
      <c r="G42" s="7"/>
      <c r="H42" s="8" t="s">
        <v>536</v>
      </c>
      <c r="I42" s="9" t="s">
        <v>537</v>
      </c>
      <c r="J42" s="10" t="str">
        <f>image("https://archives.bulbagarden.net/media/upload/b/b7/042MS6.png", 3)</f>
        <v/>
      </c>
      <c r="K42" s="11" t="s">
        <v>535</v>
      </c>
      <c r="L42" s="12"/>
      <c r="M42" s="12"/>
      <c r="N42" s="12"/>
      <c r="O42" s="12"/>
      <c r="Q42" s="71">
        <v>75.0</v>
      </c>
      <c r="R42" s="72">
        <v>80.0</v>
      </c>
      <c r="S42" s="73">
        <v>70.0</v>
      </c>
      <c r="T42" s="74">
        <v>65.0</v>
      </c>
      <c r="U42" s="75">
        <v>75.0</v>
      </c>
      <c r="V42" s="76">
        <v>90.0</v>
      </c>
      <c r="W42" s="77">
        <v>455.0</v>
      </c>
      <c r="X42" s="21"/>
      <c r="Y42" s="71">
        <v>75.0</v>
      </c>
      <c r="Z42" s="72">
        <v>80.0</v>
      </c>
      <c r="AA42" s="73">
        <v>70.0</v>
      </c>
      <c r="AB42" s="74">
        <v>65.0</v>
      </c>
      <c r="AC42" s="75">
        <v>75.0</v>
      </c>
      <c r="AD42" s="76">
        <v>90.0</v>
      </c>
      <c r="AE42" s="77">
        <v>455.0</v>
      </c>
      <c r="AF42" s="21"/>
      <c r="AG42" s="71">
        <v>75.0</v>
      </c>
      <c r="AH42" s="72">
        <v>80.0</v>
      </c>
      <c r="AI42" s="73">
        <v>70.0</v>
      </c>
      <c r="AJ42" s="74">
        <v>65.0</v>
      </c>
      <c r="AK42" s="75">
        <v>75.0</v>
      </c>
      <c r="AL42" s="76">
        <v>90.0</v>
      </c>
      <c r="AM42" s="77">
        <v>455.0</v>
      </c>
      <c r="AN42" s="21"/>
      <c r="AO42" s="22">
        <v>75.0</v>
      </c>
      <c r="AP42" s="23">
        <v>80.0</v>
      </c>
      <c r="AQ42" s="23">
        <v>70.0</v>
      </c>
      <c r="AR42" s="23">
        <v>65.0</v>
      </c>
      <c r="AS42" s="23">
        <v>75.0</v>
      </c>
      <c r="AT42" s="23">
        <v>90.0</v>
      </c>
      <c r="AU42" s="24">
        <v>455.0</v>
      </c>
      <c r="AV42" s="21"/>
      <c r="AW42" s="78">
        <v>75.0</v>
      </c>
      <c r="AX42" s="79">
        <v>80.0</v>
      </c>
      <c r="AY42" s="79">
        <v>70.0</v>
      </c>
      <c r="AZ42" s="79">
        <v>65.0</v>
      </c>
      <c r="BA42" s="79">
        <v>75.0</v>
      </c>
      <c r="BB42" s="79">
        <v>90.0</v>
      </c>
      <c r="BC42" s="201">
        <v>455.0</v>
      </c>
      <c r="BE42" s="176" t="s">
        <v>248</v>
      </c>
      <c r="BF42" s="113"/>
      <c r="BG42" s="84"/>
      <c r="BI42" s="31" t="s">
        <v>5</v>
      </c>
      <c r="BJ42" s="32" t="s">
        <v>5</v>
      </c>
      <c r="BK42" s="32" t="s">
        <v>5</v>
      </c>
      <c r="BL42" s="32" t="s">
        <v>5</v>
      </c>
      <c r="BM42" s="32" t="s">
        <v>5</v>
      </c>
      <c r="BN42" s="33">
        <v>2.0</v>
      </c>
      <c r="BP42" s="85" t="s">
        <v>7</v>
      </c>
      <c r="BQ42" s="86" t="s">
        <v>18</v>
      </c>
      <c r="BS42" s="87" t="s">
        <v>7</v>
      </c>
      <c r="BT42" s="88" t="s">
        <v>18</v>
      </c>
      <c r="BU42" s="37" t="str">
        <f t="shared" si="1"/>
        <v>#NAME?</v>
      </c>
      <c r="BV42" s="89" t="s">
        <v>7</v>
      </c>
      <c r="BW42" s="37" t="str">
        <f t="shared" si="2"/>
        <v>#NAME?</v>
      </c>
      <c r="BX42" s="89" t="s">
        <v>18</v>
      </c>
      <c r="BY42" s="39"/>
      <c r="BZ42" s="39"/>
      <c r="CA42" s="40" t="s">
        <v>529</v>
      </c>
      <c r="CB42" s="41"/>
      <c r="CC42" s="90" t="s">
        <v>7</v>
      </c>
      <c r="CD42" s="91" t="s">
        <v>18</v>
      </c>
      <c r="CE42" s="2"/>
      <c r="CF42" s="92" t="s">
        <v>530</v>
      </c>
      <c r="CG42" s="93"/>
      <c r="CH42" s="2"/>
      <c r="CI42" s="92" t="s">
        <v>530</v>
      </c>
      <c r="CJ42" s="188"/>
      <c r="CK42" s="2"/>
      <c r="CL42" s="22" t="s">
        <v>530</v>
      </c>
      <c r="CM42" s="12"/>
      <c r="CN42" s="48"/>
      <c r="CO42" s="153"/>
      <c r="CP42" s="2"/>
      <c r="CQ42" s="2" t="s">
        <v>538</v>
      </c>
      <c r="CR42" s="97">
        <v>80.0</v>
      </c>
      <c r="CS42" s="2" t="s">
        <v>248</v>
      </c>
      <c r="CT42" s="98">
        <v>171.0</v>
      </c>
      <c r="CU42" s="2"/>
      <c r="CV42" s="52" t="s">
        <v>149</v>
      </c>
      <c r="CW42" s="52" t="s">
        <v>149</v>
      </c>
      <c r="CX42" s="2"/>
      <c r="CY42" s="100" t="s">
        <v>18</v>
      </c>
      <c r="CZ42" s="154"/>
      <c r="DA42" s="2"/>
      <c r="DB42" s="98">
        <v>90.0</v>
      </c>
      <c r="DC42" s="2"/>
      <c r="DD42" s="101" t="s">
        <v>150</v>
      </c>
      <c r="DE42" s="2"/>
      <c r="DF42" s="102" t="s">
        <v>539</v>
      </c>
      <c r="DG42" s="103"/>
      <c r="DH42" s="103"/>
      <c r="DI42" s="2"/>
      <c r="DJ42" s="2"/>
      <c r="DK42" s="59" t="s">
        <v>540</v>
      </c>
      <c r="DL42" s="37" t="s">
        <v>156</v>
      </c>
      <c r="DM42" s="37" t="str">
        <f t="shared" si="3"/>
        <v>#NAME?</v>
      </c>
      <c r="DN42" s="61"/>
      <c r="DO42" s="37">
        <v>70.0</v>
      </c>
      <c r="DP42" s="105">
        <v>1.0</v>
      </c>
      <c r="DQ42" s="62" t="s">
        <v>49</v>
      </c>
      <c r="DR42" s="63"/>
      <c r="DZ42" s="182"/>
      <c r="EA42" s="182"/>
      <c r="EB42" s="2"/>
      <c r="EC42" s="2"/>
      <c r="ED42" s="2"/>
      <c r="EE42" s="2"/>
      <c r="EF42" s="68" t="s">
        <v>541</v>
      </c>
      <c r="EG42" s="69" t="str">
        <f>image("https://www.pokebip.com/pages/icones/objets/lunettes-sages.png", 3)</f>
        <v/>
      </c>
      <c r="EH42" s="69"/>
      <c r="EI42" s="69"/>
    </row>
    <row r="43" ht="15.75" customHeight="1">
      <c r="A43" s="1">
        <v>43.0</v>
      </c>
      <c r="B43" s="2" t="s">
        <v>542</v>
      </c>
      <c r="C43" s="7"/>
      <c r="D43" s="140" t="s">
        <v>543</v>
      </c>
      <c r="E43" s="5"/>
      <c r="F43" s="141"/>
      <c r="G43" s="7"/>
      <c r="H43" s="8" t="s">
        <v>544</v>
      </c>
      <c r="I43" s="9" t="s">
        <v>545</v>
      </c>
      <c r="J43" s="10" t="str">
        <f>image("https://archives.bulbagarden.net/media/upload/2/22/043MS6.png", 3)</f>
        <v/>
      </c>
      <c r="K43" s="11" t="s">
        <v>543</v>
      </c>
      <c r="L43" s="12"/>
      <c r="M43" s="12"/>
      <c r="N43" s="12"/>
      <c r="O43" s="12"/>
      <c r="Q43" s="71">
        <v>45.0</v>
      </c>
      <c r="R43" s="72">
        <v>50.0</v>
      </c>
      <c r="S43" s="73">
        <v>55.0</v>
      </c>
      <c r="T43" s="74">
        <v>75.0</v>
      </c>
      <c r="U43" s="75">
        <v>65.0</v>
      </c>
      <c r="V43" s="76">
        <v>30.0</v>
      </c>
      <c r="W43" s="77">
        <v>320.0</v>
      </c>
      <c r="X43" s="21"/>
      <c r="Y43" s="71">
        <v>45.0</v>
      </c>
      <c r="Z43" s="72">
        <v>50.0</v>
      </c>
      <c r="AA43" s="73">
        <v>55.0</v>
      </c>
      <c r="AB43" s="74">
        <v>75.0</v>
      </c>
      <c r="AC43" s="75">
        <v>65.0</v>
      </c>
      <c r="AD43" s="76">
        <v>30.0</v>
      </c>
      <c r="AE43" s="77">
        <v>320.0</v>
      </c>
      <c r="AF43" s="21"/>
      <c r="AG43" s="71">
        <v>45.0</v>
      </c>
      <c r="AH43" s="72">
        <v>50.0</v>
      </c>
      <c r="AI43" s="73">
        <v>55.0</v>
      </c>
      <c r="AJ43" s="74">
        <v>75.0</v>
      </c>
      <c r="AK43" s="75">
        <v>65.0</v>
      </c>
      <c r="AL43" s="76">
        <v>30.0</v>
      </c>
      <c r="AM43" s="77">
        <v>320.0</v>
      </c>
      <c r="AN43" s="21"/>
      <c r="AO43" s="22">
        <v>45.0</v>
      </c>
      <c r="AP43" s="23">
        <v>50.0</v>
      </c>
      <c r="AQ43" s="23">
        <v>55.0</v>
      </c>
      <c r="AR43" s="23">
        <v>75.0</v>
      </c>
      <c r="AS43" s="23">
        <v>65.0</v>
      </c>
      <c r="AT43" s="23">
        <v>30.0</v>
      </c>
      <c r="AU43" s="24">
        <v>320.0</v>
      </c>
      <c r="AV43" s="21"/>
      <c r="AW43" s="78">
        <v>45.0</v>
      </c>
      <c r="AX43" s="79">
        <v>50.0</v>
      </c>
      <c r="AY43" s="79">
        <v>55.0</v>
      </c>
      <c r="AZ43" s="79">
        <v>75.0</v>
      </c>
      <c r="BA43" s="79">
        <v>65.0</v>
      </c>
      <c r="BB43" s="79">
        <v>30.0</v>
      </c>
      <c r="BC43" s="201">
        <v>320.0</v>
      </c>
      <c r="BE43" s="82" t="s">
        <v>4</v>
      </c>
      <c r="BF43" s="184"/>
      <c r="BG43" s="128"/>
      <c r="BI43" s="31" t="s">
        <v>5</v>
      </c>
      <c r="BJ43" s="32" t="s">
        <v>5</v>
      </c>
      <c r="BK43" s="32" t="s">
        <v>5</v>
      </c>
      <c r="BL43" s="32">
        <v>1.0</v>
      </c>
      <c r="BM43" s="32" t="s">
        <v>5</v>
      </c>
      <c r="BN43" s="33" t="s">
        <v>5</v>
      </c>
      <c r="BP43" s="115" t="s">
        <v>6</v>
      </c>
      <c r="BQ43" s="116" t="s">
        <v>7</v>
      </c>
      <c r="BS43" s="115" t="s">
        <v>6</v>
      </c>
      <c r="BT43" s="117" t="s">
        <v>7</v>
      </c>
      <c r="BU43" s="37" t="str">
        <f t="shared" si="1"/>
        <v>#NAME?</v>
      </c>
      <c r="BV43" s="89" t="s">
        <v>6</v>
      </c>
      <c r="BW43" s="37" t="str">
        <f t="shared" si="2"/>
        <v>#NAME?</v>
      </c>
      <c r="BX43" s="89" t="s">
        <v>7</v>
      </c>
      <c r="BY43" s="39"/>
      <c r="BZ43" s="39"/>
      <c r="CA43" s="40" t="s">
        <v>8</v>
      </c>
      <c r="CB43" s="41"/>
      <c r="CC43" s="90" t="s">
        <v>6</v>
      </c>
      <c r="CD43" s="91" t="s">
        <v>7</v>
      </c>
      <c r="CE43" s="2"/>
      <c r="CF43" s="92" t="s">
        <v>43</v>
      </c>
      <c r="CG43" s="93"/>
      <c r="CH43" s="2"/>
      <c r="CI43" s="191" t="s">
        <v>43</v>
      </c>
      <c r="CJ43" s="46" t="s">
        <v>146</v>
      </c>
      <c r="CK43" s="2"/>
      <c r="CL43" s="22" t="s">
        <v>43</v>
      </c>
      <c r="CM43" s="12"/>
      <c r="CN43" s="48"/>
      <c r="CO43" s="192" t="s">
        <v>147</v>
      </c>
      <c r="CP43" s="2"/>
      <c r="CQ43" s="2" t="s">
        <v>546</v>
      </c>
      <c r="CR43" s="97">
        <v>20.0</v>
      </c>
      <c r="CS43" s="2" t="s">
        <v>4</v>
      </c>
      <c r="CT43" s="98">
        <v>78.0</v>
      </c>
      <c r="CU43" s="2"/>
      <c r="CV43" s="52" t="s">
        <v>149</v>
      </c>
      <c r="CW43" s="52" t="s">
        <v>149</v>
      </c>
      <c r="CX43" s="2"/>
      <c r="CY43" s="119" t="s">
        <v>6</v>
      </c>
      <c r="CZ43" s="160"/>
      <c r="DA43" s="2"/>
      <c r="DB43" s="98">
        <v>255.0</v>
      </c>
      <c r="DC43" s="2"/>
      <c r="DD43" s="101" t="s">
        <v>15</v>
      </c>
      <c r="DE43" s="2"/>
      <c r="DF43" s="148" t="s">
        <v>547</v>
      </c>
      <c r="DG43" s="121"/>
      <c r="DH43" s="121"/>
      <c r="DI43" s="21"/>
      <c r="DJ43" s="21"/>
      <c r="DK43" s="59" t="s">
        <v>548</v>
      </c>
      <c r="DL43" s="37" t="s">
        <v>156</v>
      </c>
      <c r="DM43" s="37" t="str">
        <f t="shared" si="3"/>
        <v>#NAME?</v>
      </c>
      <c r="DN43" s="61"/>
      <c r="DO43" s="37">
        <v>35.0</v>
      </c>
      <c r="DP43" s="105">
        <v>0.9</v>
      </c>
      <c r="DQ43" s="62" t="s">
        <v>49</v>
      </c>
      <c r="DR43" s="63"/>
      <c r="DZ43" s="182"/>
      <c r="EA43" s="182"/>
      <c r="EB43" s="21"/>
      <c r="EC43" s="21"/>
      <c r="ED43" s="21"/>
      <c r="EE43" s="21"/>
      <c r="EG43" s="108"/>
    </row>
    <row r="44" ht="15.75" customHeight="1">
      <c r="A44" s="1">
        <v>44.0</v>
      </c>
      <c r="B44" s="2" t="s">
        <v>549</v>
      </c>
      <c r="C44" s="7"/>
      <c r="D44" s="140" t="s">
        <v>550</v>
      </c>
      <c r="E44" s="5"/>
      <c r="F44" s="141"/>
      <c r="G44" s="7"/>
      <c r="H44" s="8" t="s">
        <v>551</v>
      </c>
      <c r="I44" s="9" t="s">
        <v>552</v>
      </c>
      <c r="J44" s="10" t="str">
        <f>image("https://archives.bulbagarden.net/media/upload/e/e2/044MS6.png", 3)</f>
        <v/>
      </c>
      <c r="K44" s="11" t="s">
        <v>550</v>
      </c>
      <c r="L44" s="12"/>
      <c r="M44" s="12"/>
      <c r="N44" s="12"/>
      <c r="O44" s="12"/>
      <c r="Q44" s="71">
        <v>60.0</v>
      </c>
      <c r="R44" s="72">
        <v>65.0</v>
      </c>
      <c r="S44" s="73">
        <v>70.0</v>
      </c>
      <c r="T44" s="74">
        <v>85.0</v>
      </c>
      <c r="U44" s="75">
        <v>75.0</v>
      </c>
      <c r="V44" s="76">
        <v>40.0</v>
      </c>
      <c r="W44" s="77">
        <v>395.0</v>
      </c>
      <c r="X44" s="21"/>
      <c r="Y44" s="71">
        <v>60.0</v>
      </c>
      <c r="Z44" s="72">
        <v>65.0</v>
      </c>
      <c r="AA44" s="73">
        <v>70.0</v>
      </c>
      <c r="AB44" s="74">
        <v>85.0</v>
      </c>
      <c r="AC44" s="75">
        <v>75.0</v>
      </c>
      <c r="AD44" s="76">
        <v>40.0</v>
      </c>
      <c r="AE44" s="77">
        <v>395.0</v>
      </c>
      <c r="AF44" s="21"/>
      <c r="AG44" s="71">
        <v>60.0</v>
      </c>
      <c r="AH44" s="72">
        <v>65.0</v>
      </c>
      <c r="AI44" s="73">
        <v>70.0</v>
      </c>
      <c r="AJ44" s="74">
        <v>85.0</v>
      </c>
      <c r="AK44" s="75">
        <v>75.0</v>
      </c>
      <c r="AL44" s="76">
        <v>40.0</v>
      </c>
      <c r="AM44" s="77">
        <v>395.0</v>
      </c>
      <c r="AN44" s="21"/>
      <c r="AO44" s="22">
        <v>60.0</v>
      </c>
      <c r="AP44" s="23">
        <v>65.0</v>
      </c>
      <c r="AQ44" s="23">
        <v>70.0</v>
      </c>
      <c r="AR44" s="23">
        <v>85.0</v>
      </c>
      <c r="AS44" s="23">
        <v>75.0</v>
      </c>
      <c r="AT44" s="23">
        <v>40.0</v>
      </c>
      <c r="AU44" s="24">
        <v>395.0</v>
      </c>
      <c r="AV44" s="21"/>
      <c r="AW44" s="78">
        <v>60.0</v>
      </c>
      <c r="AX44" s="79">
        <v>65.0</v>
      </c>
      <c r="AY44" s="79">
        <v>70.0</v>
      </c>
      <c r="AZ44" s="80">
        <v>85.0</v>
      </c>
      <c r="BA44" s="79">
        <v>75.0</v>
      </c>
      <c r="BB44" s="79">
        <v>40.0</v>
      </c>
      <c r="BC44" s="81">
        <v>395.0</v>
      </c>
      <c r="BE44" s="112" t="s">
        <v>42</v>
      </c>
      <c r="BF44" s="113"/>
      <c r="BG44" s="84"/>
      <c r="BI44" s="31" t="s">
        <v>5</v>
      </c>
      <c r="BJ44" s="32" t="s">
        <v>5</v>
      </c>
      <c r="BK44" s="32" t="s">
        <v>5</v>
      </c>
      <c r="BL44" s="234">
        <v>2.0</v>
      </c>
      <c r="BM44" s="234" t="s">
        <v>5</v>
      </c>
      <c r="BN44" s="33" t="s">
        <v>5</v>
      </c>
      <c r="BP44" s="85" t="s">
        <v>6</v>
      </c>
      <c r="BQ44" s="86" t="s">
        <v>7</v>
      </c>
      <c r="BS44" s="87" t="s">
        <v>6</v>
      </c>
      <c r="BT44" s="88" t="s">
        <v>7</v>
      </c>
      <c r="BU44" s="37" t="str">
        <f t="shared" si="1"/>
        <v>#NAME?</v>
      </c>
      <c r="BV44" s="89" t="s">
        <v>6</v>
      </c>
      <c r="BW44" s="37" t="str">
        <f t="shared" si="2"/>
        <v>#NAME?</v>
      </c>
      <c r="BX44" s="89" t="s">
        <v>7</v>
      </c>
      <c r="BY44" s="39"/>
      <c r="BZ44" s="39"/>
      <c r="CA44" s="40" t="s">
        <v>8</v>
      </c>
      <c r="CB44" s="41"/>
      <c r="CC44" s="90" t="s">
        <v>6</v>
      </c>
      <c r="CD44" s="91" t="s">
        <v>7</v>
      </c>
      <c r="CE44" s="2"/>
      <c r="CF44" s="92" t="s">
        <v>43</v>
      </c>
      <c r="CG44" s="93"/>
      <c r="CH44" s="2"/>
      <c r="CI44" s="191" t="s">
        <v>43</v>
      </c>
      <c r="CJ44" s="94" t="s">
        <v>553</v>
      </c>
      <c r="CK44" s="2"/>
      <c r="CL44" s="22" t="s">
        <v>43</v>
      </c>
      <c r="CM44" s="12"/>
      <c r="CN44" s="48"/>
      <c r="CO44" s="235" t="s">
        <v>554</v>
      </c>
      <c r="CP44" s="2"/>
      <c r="CQ44" s="2" t="s">
        <v>555</v>
      </c>
      <c r="CR44" s="97">
        <v>20.0</v>
      </c>
      <c r="CS44" s="2" t="s">
        <v>46</v>
      </c>
      <c r="CT44" s="98">
        <v>132.0</v>
      </c>
      <c r="CU44" s="2"/>
      <c r="CV44" s="52" t="s">
        <v>149</v>
      </c>
      <c r="CW44" s="52" t="s">
        <v>149</v>
      </c>
      <c r="CX44" s="2"/>
      <c r="CY44" s="100" t="s">
        <v>6</v>
      </c>
      <c r="CZ44" s="154"/>
      <c r="DA44" s="2"/>
      <c r="DB44" s="98">
        <v>120.0</v>
      </c>
      <c r="DC44" s="2"/>
      <c r="DD44" s="101" t="s">
        <v>15</v>
      </c>
      <c r="DE44" s="2"/>
      <c r="DF44" s="102" t="s">
        <v>556</v>
      </c>
      <c r="DG44" s="103"/>
      <c r="DH44" s="103"/>
      <c r="DI44" s="2"/>
      <c r="DJ44" s="2"/>
      <c r="DK44" s="59" t="s">
        <v>557</v>
      </c>
      <c r="DL44" s="37" t="s">
        <v>64</v>
      </c>
      <c r="DM44" s="37" t="str">
        <f t="shared" si="3"/>
        <v>#NAME?</v>
      </c>
      <c r="DN44" s="61"/>
      <c r="DO44" s="37">
        <v>30.0</v>
      </c>
      <c r="DP44" s="105">
        <v>1.0</v>
      </c>
      <c r="DQ44" s="62" t="s">
        <v>342</v>
      </c>
      <c r="DR44" s="63"/>
      <c r="DZ44" s="182"/>
      <c r="EA44" s="182"/>
      <c r="EB44" s="2"/>
      <c r="EC44" s="2"/>
      <c r="ED44" s="2"/>
      <c r="EE44" s="2"/>
      <c r="EG44" s="108"/>
    </row>
    <row r="45" ht="15.75" customHeight="1">
      <c r="A45" s="1">
        <v>45.0</v>
      </c>
      <c r="B45" s="2" t="s">
        <v>558</v>
      </c>
      <c r="C45" s="7"/>
      <c r="D45" s="122" t="s">
        <v>559</v>
      </c>
      <c r="E45" s="5"/>
      <c r="F45" s="123"/>
      <c r="G45" s="7"/>
      <c r="H45" s="8" t="s">
        <v>560</v>
      </c>
      <c r="I45" s="9" t="s">
        <v>561</v>
      </c>
      <c r="J45" s="10" t="str">
        <f>image("https://archives.bulbagarden.net/media/upload/1/19/045MS6.png", 3)</f>
        <v/>
      </c>
      <c r="K45" s="11" t="s">
        <v>559</v>
      </c>
      <c r="L45" s="12"/>
      <c r="M45" s="12"/>
      <c r="N45" s="12"/>
      <c r="O45" s="12"/>
      <c r="Q45" s="71">
        <v>75.0</v>
      </c>
      <c r="R45" s="72">
        <v>80.0</v>
      </c>
      <c r="S45" s="73">
        <v>85.0</v>
      </c>
      <c r="T45" s="74">
        <v>100.0</v>
      </c>
      <c r="U45" s="75">
        <v>90.0</v>
      </c>
      <c r="V45" s="76">
        <v>50.0</v>
      </c>
      <c r="W45" s="77">
        <v>480.0</v>
      </c>
      <c r="X45" s="21"/>
      <c r="Y45" s="71">
        <v>75.0</v>
      </c>
      <c r="Z45" s="72">
        <v>80.0</v>
      </c>
      <c r="AA45" s="73">
        <v>85.0</v>
      </c>
      <c r="AB45" s="109">
        <v>110.0</v>
      </c>
      <c r="AC45" s="75">
        <v>90.0</v>
      </c>
      <c r="AD45" s="76">
        <v>50.0</v>
      </c>
      <c r="AE45" s="110">
        <v>490.0</v>
      </c>
      <c r="AF45" s="21"/>
      <c r="AG45" s="71">
        <v>75.0</v>
      </c>
      <c r="AH45" s="72">
        <v>80.0</v>
      </c>
      <c r="AI45" s="73">
        <v>85.0</v>
      </c>
      <c r="AJ45" s="109">
        <v>110.0</v>
      </c>
      <c r="AK45" s="75">
        <v>90.0</v>
      </c>
      <c r="AL45" s="76">
        <v>50.0</v>
      </c>
      <c r="AM45" s="110">
        <v>490.0</v>
      </c>
      <c r="AN45" s="21"/>
      <c r="AO45" s="22">
        <v>75.0</v>
      </c>
      <c r="AP45" s="23">
        <v>80.0</v>
      </c>
      <c r="AQ45" s="23">
        <v>85.0</v>
      </c>
      <c r="AR45" s="23" t="s">
        <v>40</v>
      </c>
      <c r="AS45" s="23">
        <v>90.0</v>
      </c>
      <c r="AT45" s="23">
        <v>50.0</v>
      </c>
      <c r="AU45" s="24" t="s">
        <v>562</v>
      </c>
      <c r="AV45" s="21"/>
      <c r="AW45" s="78">
        <v>75.0</v>
      </c>
      <c r="AX45" s="79">
        <v>80.0</v>
      </c>
      <c r="AY45" s="79">
        <v>85.0</v>
      </c>
      <c r="AZ45" s="111">
        <v>110.0</v>
      </c>
      <c r="BA45" s="79">
        <v>90.0</v>
      </c>
      <c r="BB45" s="79">
        <v>50.0</v>
      </c>
      <c r="BC45" s="111">
        <v>490.0</v>
      </c>
      <c r="BE45" s="112" t="s">
        <v>85</v>
      </c>
      <c r="BF45" s="138"/>
      <c r="BG45" s="128"/>
      <c r="BI45" s="31" t="s">
        <v>5</v>
      </c>
      <c r="BJ45" s="32" t="s">
        <v>5</v>
      </c>
      <c r="BK45" s="32" t="s">
        <v>5</v>
      </c>
      <c r="BL45" s="32">
        <v>3.0</v>
      </c>
      <c r="BM45" s="32" t="s">
        <v>5</v>
      </c>
      <c r="BN45" s="33" t="s">
        <v>5</v>
      </c>
      <c r="BP45" s="115" t="s">
        <v>6</v>
      </c>
      <c r="BQ45" s="116" t="s">
        <v>7</v>
      </c>
      <c r="BS45" s="115" t="s">
        <v>6</v>
      </c>
      <c r="BT45" s="117" t="s">
        <v>7</v>
      </c>
      <c r="BU45" s="37" t="str">
        <f t="shared" si="1"/>
        <v>#NAME?</v>
      </c>
      <c r="BV45" s="89" t="s">
        <v>6</v>
      </c>
      <c r="BW45" s="37" t="str">
        <f t="shared" si="2"/>
        <v>#NAME?</v>
      </c>
      <c r="BX45" s="89" t="s">
        <v>7</v>
      </c>
      <c r="BY45" s="39"/>
      <c r="BZ45" s="39"/>
      <c r="CA45" s="40" t="s">
        <v>8</v>
      </c>
      <c r="CB45" s="41"/>
      <c r="CC45" s="90" t="s">
        <v>6</v>
      </c>
      <c r="CD45" s="91" t="s">
        <v>7</v>
      </c>
      <c r="CE45" s="2"/>
      <c r="CF45" s="92" t="s">
        <v>43</v>
      </c>
      <c r="CG45" s="93"/>
      <c r="CH45" s="2"/>
      <c r="CI45" s="191" t="s">
        <v>43</v>
      </c>
      <c r="CJ45" s="152" t="s">
        <v>563</v>
      </c>
      <c r="CK45" s="2"/>
      <c r="CL45" s="22" t="s">
        <v>43</v>
      </c>
      <c r="CM45" s="12"/>
      <c r="CN45" s="48"/>
      <c r="CO45" s="193" t="s">
        <v>564</v>
      </c>
      <c r="CP45" s="2"/>
      <c r="CQ45" s="2" t="s">
        <v>565</v>
      </c>
      <c r="CR45" s="97">
        <v>40.0</v>
      </c>
      <c r="CS45" s="2" t="s">
        <v>85</v>
      </c>
      <c r="CT45" s="98">
        <v>184.0</v>
      </c>
      <c r="CU45" s="2"/>
      <c r="CV45" s="52" t="s">
        <v>149</v>
      </c>
      <c r="CW45" s="52" t="s">
        <v>149</v>
      </c>
      <c r="CX45" s="2"/>
      <c r="CY45" s="119" t="s">
        <v>6</v>
      </c>
      <c r="CZ45" s="160"/>
      <c r="DA45" s="2"/>
      <c r="DB45" s="98">
        <v>45.0</v>
      </c>
      <c r="DC45" s="2"/>
      <c r="DD45" s="101" t="s">
        <v>15</v>
      </c>
      <c r="DE45" s="2"/>
      <c r="DF45" s="120" t="s">
        <v>566</v>
      </c>
      <c r="DG45" s="121"/>
      <c r="DH45" s="121"/>
      <c r="DI45" s="2"/>
      <c r="DJ45" s="2"/>
      <c r="DK45" s="59" t="s">
        <v>567</v>
      </c>
      <c r="DL45" s="37" t="s">
        <v>156</v>
      </c>
      <c r="DM45" s="37" t="str">
        <f t="shared" si="3"/>
        <v>#NAME?</v>
      </c>
      <c r="DN45" s="61"/>
      <c r="DO45" s="37">
        <v>120.0</v>
      </c>
      <c r="DP45" s="105">
        <v>1.0</v>
      </c>
      <c r="DQ45" s="62" t="s">
        <v>93</v>
      </c>
      <c r="DR45" s="63"/>
      <c r="DS45" s="198"/>
      <c r="DZ45" s="182"/>
      <c r="EA45" s="182"/>
      <c r="EB45" s="2"/>
      <c r="EC45" s="2"/>
      <c r="ED45" s="2"/>
      <c r="EE45" s="2"/>
      <c r="EF45" s="68" t="s">
        <v>568</v>
      </c>
      <c r="EG45" s="69" t="str">
        <f>image("https://www.pokebip.com/pages/icones/objets/lentille-zoom.png", 3)</f>
        <v/>
      </c>
      <c r="EH45" s="69"/>
      <c r="EI45" s="69"/>
    </row>
    <row r="46" ht="15.75" customHeight="1">
      <c r="A46" s="1">
        <v>46.0</v>
      </c>
      <c r="B46" s="2" t="s">
        <v>569</v>
      </c>
      <c r="C46" s="7"/>
      <c r="D46" s="122" t="s">
        <v>570</v>
      </c>
      <c r="E46" s="5"/>
      <c r="F46" s="123"/>
      <c r="G46" s="7"/>
      <c r="H46" s="8" t="s">
        <v>571</v>
      </c>
      <c r="I46" s="9" t="s">
        <v>572</v>
      </c>
      <c r="J46" s="10" t="str">
        <f>image("https://archives.bulbagarden.net/media/upload/2/28/046MS6.png", 3)</f>
        <v/>
      </c>
      <c r="K46" s="11" t="s">
        <v>570</v>
      </c>
      <c r="L46" s="12"/>
      <c r="M46" s="12"/>
      <c r="N46" s="12"/>
      <c r="O46" s="12"/>
      <c r="Q46" s="71">
        <v>35.0</v>
      </c>
      <c r="R46" s="72">
        <v>70.0</v>
      </c>
      <c r="S46" s="73">
        <v>55.0</v>
      </c>
      <c r="T46" s="74">
        <v>45.0</v>
      </c>
      <c r="U46" s="75">
        <v>55.0</v>
      </c>
      <c r="V46" s="76">
        <v>25.0</v>
      </c>
      <c r="W46" s="77">
        <v>285.0</v>
      </c>
      <c r="X46" s="21"/>
      <c r="Y46" s="71">
        <v>35.0</v>
      </c>
      <c r="Z46" s="72">
        <v>70.0</v>
      </c>
      <c r="AA46" s="73">
        <v>55.0</v>
      </c>
      <c r="AB46" s="74">
        <v>45.0</v>
      </c>
      <c r="AC46" s="75">
        <v>55.0</v>
      </c>
      <c r="AD46" s="76">
        <v>25.0</v>
      </c>
      <c r="AE46" s="77">
        <v>285.0</v>
      </c>
      <c r="AF46" s="21"/>
      <c r="AG46" s="71">
        <v>35.0</v>
      </c>
      <c r="AH46" s="72">
        <v>70.0</v>
      </c>
      <c r="AI46" s="73">
        <v>55.0</v>
      </c>
      <c r="AJ46" s="74">
        <v>45.0</v>
      </c>
      <c r="AK46" s="75">
        <v>55.0</v>
      </c>
      <c r="AL46" s="76">
        <v>25.0</v>
      </c>
      <c r="AM46" s="77">
        <v>285.0</v>
      </c>
      <c r="AN46" s="21"/>
      <c r="AO46" s="22">
        <v>35.0</v>
      </c>
      <c r="AP46" s="23">
        <v>70.0</v>
      </c>
      <c r="AQ46" s="23">
        <v>55.0</v>
      </c>
      <c r="AR46" s="23">
        <v>45.0</v>
      </c>
      <c r="AS46" s="23">
        <v>55.0</v>
      </c>
      <c r="AT46" s="23">
        <v>25.0</v>
      </c>
      <c r="AU46" s="24">
        <v>285.0</v>
      </c>
      <c r="AV46" s="21"/>
      <c r="AW46" s="78">
        <v>35.0</v>
      </c>
      <c r="AX46" s="80">
        <v>70.0</v>
      </c>
      <c r="AY46" s="80">
        <v>55.0</v>
      </c>
      <c r="AZ46" s="182">
        <v>45.0</v>
      </c>
      <c r="BA46" s="80">
        <v>55.0</v>
      </c>
      <c r="BB46" s="79">
        <v>25.0</v>
      </c>
      <c r="BC46" s="183">
        <v>285.0</v>
      </c>
      <c r="BE46" s="194" t="s">
        <v>325</v>
      </c>
      <c r="BF46" s="127"/>
      <c r="BG46" s="128"/>
      <c r="BI46" s="31" t="s">
        <v>5</v>
      </c>
      <c r="BJ46" s="32">
        <v>1.0</v>
      </c>
      <c r="BK46" s="32" t="s">
        <v>5</v>
      </c>
      <c r="BL46" s="32" t="s">
        <v>5</v>
      </c>
      <c r="BM46" s="32" t="s">
        <v>5</v>
      </c>
      <c r="BN46" s="33" t="s">
        <v>5</v>
      </c>
      <c r="BP46" s="85" t="s">
        <v>109</v>
      </c>
      <c r="BQ46" s="86" t="s">
        <v>6</v>
      </c>
      <c r="BS46" s="87" t="s">
        <v>109</v>
      </c>
      <c r="BT46" s="88" t="s">
        <v>6</v>
      </c>
      <c r="BU46" s="37" t="str">
        <f t="shared" si="1"/>
        <v>#NAME?</v>
      </c>
      <c r="BV46" s="89" t="s">
        <v>109</v>
      </c>
      <c r="BW46" s="37" t="str">
        <f t="shared" si="2"/>
        <v>#NAME?</v>
      </c>
      <c r="BX46" s="89" t="s">
        <v>6</v>
      </c>
      <c r="BY46" s="39"/>
      <c r="BZ46" s="39"/>
      <c r="CA46" s="40" t="s">
        <v>573</v>
      </c>
      <c r="CB46" s="41"/>
      <c r="CC46" s="90" t="s">
        <v>109</v>
      </c>
      <c r="CD46" s="91" t="s">
        <v>6</v>
      </c>
      <c r="CE46" s="2"/>
      <c r="CF46" s="92" t="s">
        <v>563</v>
      </c>
      <c r="CG46" s="93" t="s">
        <v>574</v>
      </c>
      <c r="CH46" s="2"/>
      <c r="CI46" s="92" t="s">
        <v>563</v>
      </c>
      <c r="CJ46" s="195" t="s">
        <v>574</v>
      </c>
      <c r="CK46" s="2"/>
      <c r="CL46" s="22" t="s">
        <v>563</v>
      </c>
      <c r="CM46" s="12"/>
      <c r="CN46" s="48"/>
      <c r="CO46" s="196" t="s">
        <v>574</v>
      </c>
      <c r="CP46" s="2"/>
      <c r="CQ46" s="2" t="s">
        <v>546</v>
      </c>
      <c r="CR46" s="97">
        <v>20.0</v>
      </c>
      <c r="CS46" s="2" t="s">
        <v>325</v>
      </c>
      <c r="CT46" s="98">
        <v>70.0</v>
      </c>
      <c r="CU46" s="2"/>
      <c r="CV46" s="52" t="s">
        <v>149</v>
      </c>
      <c r="CW46" s="52" t="s">
        <v>149</v>
      </c>
      <c r="CX46" s="2"/>
      <c r="CY46" s="99" t="s">
        <v>109</v>
      </c>
      <c r="CZ46" s="100" t="s">
        <v>6</v>
      </c>
      <c r="DA46" s="2"/>
      <c r="DB46" s="98">
        <v>190.0</v>
      </c>
      <c r="DC46" s="2"/>
      <c r="DD46" s="101" t="s">
        <v>150</v>
      </c>
      <c r="DE46" s="2"/>
      <c r="DF46" s="131" t="s">
        <v>575</v>
      </c>
      <c r="DG46" s="166" t="s">
        <v>576</v>
      </c>
      <c r="DH46" s="103" t="s">
        <v>577</v>
      </c>
      <c r="DI46" s="21"/>
      <c r="DJ46" s="21"/>
      <c r="DK46" s="59" t="s">
        <v>578</v>
      </c>
      <c r="DL46" s="37" t="s">
        <v>156</v>
      </c>
      <c r="DM46" s="37" t="str">
        <f t="shared" si="3"/>
        <v>#NAME?</v>
      </c>
      <c r="DN46" s="61"/>
      <c r="DO46" s="37">
        <v>15.0</v>
      </c>
      <c r="DP46" s="105">
        <v>0.85</v>
      </c>
      <c r="DQ46" s="62" t="s">
        <v>49</v>
      </c>
      <c r="DR46" s="63"/>
      <c r="DS46" s="198"/>
      <c r="DT46" s="108"/>
      <c r="DU46" s="108"/>
      <c r="DV46" s="182"/>
      <c r="DW46" s="182"/>
      <c r="DX46" s="182"/>
      <c r="DY46" s="182"/>
      <c r="DZ46" s="182"/>
      <c r="EA46" s="182"/>
      <c r="EB46" s="21"/>
      <c r="EC46" s="21"/>
      <c r="ED46" s="21"/>
      <c r="EE46" s="21"/>
      <c r="EF46" s="68" t="s">
        <v>579</v>
      </c>
      <c r="EG46" s="69" t="str">
        <f>image("https://www.pokebip.com/pages/icones/objets/lentilscope.png", 3)</f>
        <v/>
      </c>
      <c r="EH46" s="69"/>
      <c r="EI46" s="69"/>
    </row>
    <row r="47" ht="15.75" customHeight="1">
      <c r="A47" s="1">
        <v>47.0</v>
      </c>
      <c r="B47" s="2" t="s">
        <v>580</v>
      </c>
      <c r="C47" s="7"/>
      <c r="D47" s="122" t="s">
        <v>581</v>
      </c>
      <c r="E47" s="5"/>
      <c r="F47" s="123"/>
      <c r="G47" s="7"/>
      <c r="H47" s="8" t="s">
        <v>582</v>
      </c>
      <c r="I47" s="9" t="s">
        <v>583</v>
      </c>
      <c r="J47" s="10" t="str">
        <f>image("https://archives.bulbagarden.net/media/upload/a/a3/047MS6.png", 3)</f>
        <v/>
      </c>
      <c r="K47" s="11" t="s">
        <v>581</v>
      </c>
      <c r="L47" s="12"/>
      <c r="M47" s="12"/>
      <c r="N47" s="12"/>
      <c r="O47" s="12"/>
      <c r="Q47" s="71">
        <v>60.0</v>
      </c>
      <c r="R47" s="72">
        <v>95.0</v>
      </c>
      <c r="S47" s="73">
        <v>80.0</v>
      </c>
      <c r="T47" s="74">
        <v>60.0</v>
      </c>
      <c r="U47" s="75">
        <v>80.0</v>
      </c>
      <c r="V47" s="76">
        <v>30.0</v>
      </c>
      <c r="W47" s="77">
        <v>405.0</v>
      </c>
      <c r="X47" s="21"/>
      <c r="Y47" s="71">
        <v>60.0</v>
      </c>
      <c r="Z47" s="72">
        <v>95.0</v>
      </c>
      <c r="AA47" s="73">
        <v>80.0</v>
      </c>
      <c r="AB47" s="74">
        <v>60.0</v>
      </c>
      <c r="AC47" s="75">
        <v>80.0</v>
      </c>
      <c r="AD47" s="76">
        <v>30.0</v>
      </c>
      <c r="AE47" s="77">
        <v>405.0</v>
      </c>
      <c r="AF47" s="21"/>
      <c r="AG47" s="71">
        <v>60.0</v>
      </c>
      <c r="AH47" s="109">
        <v>115.0</v>
      </c>
      <c r="AI47" s="109">
        <v>100.0</v>
      </c>
      <c r="AJ47" s="162">
        <v>55.0</v>
      </c>
      <c r="AK47" s="109">
        <v>90.0</v>
      </c>
      <c r="AL47" s="76">
        <v>30.0</v>
      </c>
      <c r="AM47" s="110">
        <v>450.0</v>
      </c>
      <c r="AN47" s="21"/>
      <c r="AO47" s="22">
        <v>60.0</v>
      </c>
      <c r="AP47" s="23" t="s">
        <v>213</v>
      </c>
      <c r="AQ47" s="23" t="s">
        <v>175</v>
      </c>
      <c r="AR47" s="23" t="s">
        <v>336</v>
      </c>
      <c r="AS47" s="23" t="s">
        <v>128</v>
      </c>
      <c r="AT47" s="23">
        <v>30.0</v>
      </c>
      <c r="AU47" s="24" t="s">
        <v>176</v>
      </c>
      <c r="AV47" s="21"/>
      <c r="AW47" s="78">
        <v>60.0</v>
      </c>
      <c r="AX47" s="111">
        <v>115.0</v>
      </c>
      <c r="AY47" s="187">
        <v>100.0</v>
      </c>
      <c r="AZ47" s="163">
        <v>55.0</v>
      </c>
      <c r="BA47" s="164">
        <v>90.0</v>
      </c>
      <c r="BB47" s="79">
        <v>30.0</v>
      </c>
      <c r="BC47" s="111">
        <v>450.0</v>
      </c>
      <c r="BE47" s="172" t="s">
        <v>216</v>
      </c>
      <c r="BF47" s="113"/>
      <c r="BG47" s="236" t="s">
        <v>101</v>
      </c>
      <c r="BI47" s="31" t="s">
        <v>5</v>
      </c>
      <c r="BJ47" s="32">
        <v>2.0</v>
      </c>
      <c r="BK47" s="32">
        <v>1.0</v>
      </c>
      <c r="BL47" s="32" t="s">
        <v>5</v>
      </c>
      <c r="BM47" s="32" t="s">
        <v>5</v>
      </c>
      <c r="BN47" s="33" t="s">
        <v>5</v>
      </c>
      <c r="BP47" s="115" t="s">
        <v>109</v>
      </c>
      <c r="BQ47" s="116" t="s">
        <v>6</v>
      </c>
      <c r="BS47" s="115" t="s">
        <v>109</v>
      </c>
      <c r="BT47" s="117" t="s">
        <v>6</v>
      </c>
      <c r="BU47" s="37" t="str">
        <f t="shared" si="1"/>
        <v>#NAME?</v>
      </c>
      <c r="BV47" s="89" t="s">
        <v>109</v>
      </c>
      <c r="BW47" s="37" t="str">
        <f t="shared" si="2"/>
        <v>#NAME?</v>
      </c>
      <c r="BX47" s="89" t="s">
        <v>6</v>
      </c>
      <c r="BY47" s="39"/>
      <c r="BZ47" s="39"/>
      <c r="CA47" s="40" t="s">
        <v>573</v>
      </c>
      <c r="CB47" s="41"/>
      <c r="CC47" s="90" t="s">
        <v>109</v>
      </c>
      <c r="CD47" s="91" t="s">
        <v>6</v>
      </c>
      <c r="CE47" s="2"/>
      <c r="CF47" s="92" t="s">
        <v>563</v>
      </c>
      <c r="CG47" s="93" t="s">
        <v>574</v>
      </c>
      <c r="CH47" s="2"/>
      <c r="CI47" s="177" t="s">
        <v>563</v>
      </c>
      <c r="CJ47" s="188" t="s">
        <v>574</v>
      </c>
      <c r="CK47" s="2"/>
      <c r="CL47" s="22" t="s">
        <v>563</v>
      </c>
      <c r="CM47" s="12"/>
      <c r="CN47" s="48"/>
      <c r="CO47" s="189" t="s">
        <v>574</v>
      </c>
      <c r="CP47" s="2"/>
      <c r="CQ47" s="2" t="s">
        <v>220</v>
      </c>
      <c r="CR47" s="97">
        <v>60.0</v>
      </c>
      <c r="CS47" s="2" t="s">
        <v>584</v>
      </c>
      <c r="CT47" s="98">
        <v>128.0</v>
      </c>
      <c r="CU47" s="2"/>
      <c r="CV47" s="52" t="s">
        <v>149</v>
      </c>
      <c r="CW47" s="52" t="s">
        <v>149</v>
      </c>
      <c r="CX47" s="2"/>
      <c r="CY47" s="118" t="s">
        <v>109</v>
      </c>
      <c r="CZ47" s="119" t="s">
        <v>6</v>
      </c>
      <c r="DA47" s="2"/>
      <c r="DB47" s="98">
        <v>75.0</v>
      </c>
      <c r="DC47" s="2"/>
      <c r="DD47" s="101" t="s">
        <v>150</v>
      </c>
      <c r="DE47" s="2"/>
      <c r="DF47" s="120" t="s">
        <v>585</v>
      </c>
      <c r="DG47" s="173" t="s">
        <v>576</v>
      </c>
      <c r="DH47" s="121" t="s">
        <v>577</v>
      </c>
      <c r="DI47" s="2"/>
      <c r="DJ47" s="2"/>
      <c r="DK47" s="59" t="s">
        <v>586</v>
      </c>
      <c r="DL47" s="37" t="s">
        <v>61</v>
      </c>
      <c r="DM47" s="37" t="str">
        <f t="shared" si="3"/>
        <v>#NAME?</v>
      </c>
      <c r="DN47" s="61"/>
      <c r="DO47" s="37">
        <v>80.0</v>
      </c>
      <c r="DP47" s="105">
        <v>1.0</v>
      </c>
      <c r="DQ47" s="62" t="s">
        <v>93</v>
      </c>
      <c r="DR47" s="63"/>
      <c r="DS47" s="198"/>
      <c r="DT47" s="108"/>
      <c r="DU47" s="108"/>
      <c r="DV47" s="182"/>
      <c r="DW47" s="182"/>
      <c r="DX47" s="182"/>
      <c r="DY47" s="182"/>
      <c r="EB47" s="2"/>
      <c r="EC47" s="2"/>
      <c r="ED47" s="2"/>
      <c r="EE47" s="2"/>
      <c r="EF47" s="68" t="s">
        <v>587</v>
      </c>
      <c r="EG47" s="69" t="str">
        <f>image("https://www.pokebip.com/pages/icones/objets/loupe.png", 3)</f>
        <v/>
      </c>
      <c r="EH47" s="69"/>
      <c r="EI47" s="69"/>
    </row>
    <row r="48" ht="15.75" customHeight="1">
      <c r="A48" s="1">
        <v>48.0</v>
      </c>
      <c r="B48" s="2" t="s">
        <v>588</v>
      </c>
      <c r="C48" s="7"/>
      <c r="D48" s="180" t="s">
        <v>589</v>
      </c>
      <c r="E48" s="5"/>
      <c r="F48" s="181"/>
      <c r="G48" s="7"/>
      <c r="H48" s="8" t="s">
        <v>590</v>
      </c>
      <c r="I48" s="9" t="s">
        <v>591</v>
      </c>
      <c r="J48" s="10" t="str">
        <f>image("https://archives.bulbagarden.net/media/upload/6/6f/048MS6.png", 3)</f>
        <v/>
      </c>
      <c r="K48" s="11" t="s">
        <v>589</v>
      </c>
      <c r="L48" s="12"/>
      <c r="M48" s="12"/>
      <c r="N48" s="12"/>
      <c r="O48" s="12"/>
      <c r="Q48" s="71">
        <v>60.0</v>
      </c>
      <c r="R48" s="72">
        <v>55.0</v>
      </c>
      <c r="S48" s="73">
        <v>50.0</v>
      </c>
      <c r="T48" s="74">
        <v>40.0</v>
      </c>
      <c r="U48" s="75">
        <v>55.0</v>
      </c>
      <c r="V48" s="76">
        <v>45.0</v>
      </c>
      <c r="W48" s="77">
        <v>305.0</v>
      </c>
      <c r="X48" s="21"/>
      <c r="Y48" s="71">
        <v>60.0</v>
      </c>
      <c r="Z48" s="72">
        <v>55.0</v>
      </c>
      <c r="AA48" s="73">
        <v>50.0</v>
      </c>
      <c r="AB48" s="74">
        <v>40.0</v>
      </c>
      <c r="AC48" s="75">
        <v>55.0</v>
      </c>
      <c r="AD48" s="76">
        <v>45.0</v>
      </c>
      <c r="AE48" s="77">
        <v>305.0</v>
      </c>
      <c r="AF48" s="21"/>
      <c r="AG48" s="71">
        <v>60.0</v>
      </c>
      <c r="AH48" s="72">
        <v>55.0</v>
      </c>
      <c r="AI48" s="73">
        <v>50.0</v>
      </c>
      <c r="AJ48" s="74">
        <v>40.0</v>
      </c>
      <c r="AK48" s="75">
        <v>55.0</v>
      </c>
      <c r="AL48" s="76">
        <v>45.0</v>
      </c>
      <c r="AM48" s="77">
        <v>305.0</v>
      </c>
      <c r="AN48" s="21"/>
      <c r="AO48" s="22">
        <v>60.0</v>
      </c>
      <c r="AP48" s="23">
        <v>55.0</v>
      </c>
      <c r="AQ48" s="23">
        <v>50.0</v>
      </c>
      <c r="AR48" s="23">
        <v>40.0</v>
      </c>
      <c r="AS48" s="23">
        <v>55.0</v>
      </c>
      <c r="AT48" s="23">
        <v>45.0</v>
      </c>
      <c r="AU48" s="24">
        <v>305.0</v>
      </c>
      <c r="AV48" s="21"/>
      <c r="AW48" s="78">
        <v>60.0</v>
      </c>
      <c r="AX48" s="182">
        <v>55.0</v>
      </c>
      <c r="AY48" s="124">
        <v>50.0</v>
      </c>
      <c r="AZ48" s="182">
        <v>40.0</v>
      </c>
      <c r="BA48" s="124">
        <v>55.0</v>
      </c>
      <c r="BB48" s="79">
        <v>45.0</v>
      </c>
      <c r="BC48" s="125">
        <v>305.0</v>
      </c>
      <c r="BE48" s="225" t="s">
        <v>27</v>
      </c>
      <c r="BF48" s="127"/>
      <c r="BG48" s="128"/>
      <c r="BI48" s="31" t="s">
        <v>5</v>
      </c>
      <c r="BJ48" s="32" t="s">
        <v>5</v>
      </c>
      <c r="BK48" s="32" t="s">
        <v>5</v>
      </c>
      <c r="BL48" s="32" t="s">
        <v>5</v>
      </c>
      <c r="BM48" s="32">
        <v>1.0</v>
      </c>
      <c r="BN48" s="33" t="s">
        <v>5</v>
      </c>
      <c r="BP48" s="85" t="s">
        <v>109</v>
      </c>
      <c r="BQ48" s="86" t="s">
        <v>7</v>
      </c>
      <c r="BS48" s="87" t="s">
        <v>109</v>
      </c>
      <c r="BT48" s="88" t="s">
        <v>7</v>
      </c>
      <c r="BU48" s="37" t="str">
        <f t="shared" si="1"/>
        <v>#NAME?</v>
      </c>
      <c r="BV48" s="89" t="s">
        <v>109</v>
      </c>
      <c r="BW48" s="37" t="str">
        <f t="shared" si="2"/>
        <v>#NAME?</v>
      </c>
      <c r="BX48" s="89" t="s">
        <v>7</v>
      </c>
      <c r="BY48" s="39"/>
      <c r="BZ48" s="39"/>
      <c r="CA48" s="40" t="s">
        <v>191</v>
      </c>
      <c r="CB48" s="41"/>
      <c r="CC48" s="90" t="s">
        <v>109</v>
      </c>
      <c r="CD48" s="91" t="s">
        <v>7</v>
      </c>
      <c r="CE48" s="2"/>
      <c r="CF48" s="92" t="s">
        <v>178</v>
      </c>
      <c r="CG48" s="93" t="s">
        <v>179</v>
      </c>
      <c r="CH48" s="2"/>
      <c r="CI48" s="237" t="s">
        <v>179</v>
      </c>
      <c r="CJ48" s="238" t="s">
        <v>178</v>
      </c>
      <c r="CK48" s="2"/>
      <c r="CL48" s="22" t="s">
        <v>592</v>
      </c>
      <c r="CM48" s="12"/>
      <c r="CN48" s="48"/>
      <c r="CO48" s="239" t="s">
        <v>178</v>
      </c>
      <c r="CP48" s="2"/>
      <c r="CQ48" s="2" t="s">
        <v>249</v>
      </c>
      <c r="CR48" s="97">
        <v>60.0</v>
      </c>
      <c r="CS48" s="2" t="s">
        <v>27</v>
      </c>
      <c r="CT48" s="98">
        <v>75.0</v>
      </c>
      <c r="CU48" s="2"/>
      <c r="CV48" s="52" t="s">
        <v>149</v>
      </c>
      <c r="CW48" s="52" t="s">
        <v>149</v>
      </c>
      <c r="CX48" s="2"/>
      <c r="CY48" s="100" t="s">
        <v>109</v>
      </c>
      <c r="CZ48" s="154"/>
      <c r="DA48" s="2"/>
      <c r="DB48" s="98">
        <v>190.0</v>
      </c>
      <c r="DC48" s="2"/>
      <c r="DD48" s="101" t="s">
        <v>150</v>
      </c>
      <c r="DE48" s="2"/>
      <c r="DF48" s="131" t="s">
        <v>593</v>
      </c>
      <c r="DG48" s="103"/>
      <c r="DH48" s="103"/>
      <c r="DI48" s="21"/>
      <c r="DJ48" s="21"/>
      <c r="DK48" s="59" t="s">
        <v>594</v>
      </c>
      <c r="DL48" s="37" t="s">
        <v>61</v>
      </c>
      <c r="DM48" s="37" t="str">
        <f t="shared" si="3"/>
        <v>#NAME?</v>
      </c>
      <c r="DN48" s="61"/>
      <c r="DO48" s="37">
        <v>100.0</v>
      </c>
      <c r="DP48" s="105">
        <v>0.75</v>
      </c>
      <c r="DQ48" s="62" t="s">
        <v>49</v>
      </c>
      <c r="DR48" s="63"/>
      <c r="DS48" s="198"/>
      <c r="DT48" s="108"/>
      <c r="DU48" s="108"/>
      <c r="DV48" s="182"/>
      <c r="DW48" s="182"/>
      <c r="DX48" s="182"/>
      <c r="DY48" s="182"/>
      <c r="DZ48" s="182"/>
      <c r="EA48" s="182"/>
      <c r="EB48" s="21"/>
      <c r="EC48" s="21"/>
      <c r="ED48" s="21"/>
      <c r="EE48" s="21"/>
      <c r="EG48" s="108"/>
    </row>
    <row r="49" ht="15.75" customHeight="1">
      <c r="A49" s="1">
        <v>49.0</v>
      </c>
      <c r="B49" s="2" t="s">
        <v>595</v>
      </c>
      <c r="C49" s="7"/>
      <c r="D49" s="180" t="s">
        <v>596</v>
      </c>
      <c r="E49" s="5"/>
      <c r="F49" s="181"/>
      <c r="G49" s="7"/>
      <c r="H49" s="8" t="s">
        <v>597</v>
      </c>
      <c r="I49" s="9" t="s">
        <v>598</v>
      </c>
      <c r="J49" s="10" t="str">
        <f>image("https://archives.bulbagarden.net/media/upload/b/b2/049MS6.png", 3)</f>
        <v/>
      </c>
      <c r="K49" s="11" t="s">
        <v>596</v>
      </c>
      <c r="L49" s="12"/>
      <c r="M49" s="12"/>
      <c r="N49" s="12"/>
      <c r="O49" s="12"/>
      <c r="Q49" s="71">
        <v>70.0</v>
      </c>
      <c r="R49" s="72">
        <v>65.0</v>
      </c>
      <c r="S49" s="73">
        <v>60.0</v>
      </c>
      <c r="T49" s="74">
        <v>90.0</v>
      </c>
      <c r="U49" s="75">
        <v>75.0</v>
      </c>
      <c r="V49" s="76">
        <v>90.0</v>
      </c>
      <c r="W49" s="77">
        <v>450.0</v>
      </c>
      <c r="X49" s="21"/>
      <c r="Y49" s="71">
        <v>70.0</v>
      </c>
      <c r="Z49" s="72">
        <v>65.0</v>
      </c>
      <c r="AA49" s="73">
        <v>60.0</v>
      </c>
      <c r="AB49" s="74">
        <v>90.0</v>
      </c>
      <c r="AC49" s="75">
        <v>75.0</v>
      </c>
      <c r="AD49" s="76">
        <v>90.0</v>
      </c>
      <c r="AE49" s="77">
        <v>450.0</v>
      </c>
      <c r="AF49" s="21"/>
      <c r="AG49" s="71">
        <v>70.0</v>
      </c>
      <c r="AH49" s="162">
        <v>55.0</v>
      </c>
      <c r="AI49" s="73">
        <v>60.0</v>
      </c>
      <c r="AJ49" s="109">
        <v>100.0</v>
      </c>
      <c r="AK49" s="75">
        <v>75.0</v>
      </c>
      <c r="AL49" s="76">
        <v>90.0</v>
      </c>
      <c r="AM49" s="77">
        <v>450.0</v>
      </c>
      <c r="AN49" s="21"/>
      <c r="AO49" s="22">
        <v>70.0</v>
      </c>
      <c r="AP49" s="23" t="s">
        <v>336</v>
      </c>
      <c r="AQ49" s="23">
        <v>60.0</v>
      </c>
      <c r="AR49" s="23" t="s">
        <v>175</v>
      </c>
      <c r="AS49" s="23">
        <v>75.0</v>
      </c>
      <c r="AT49" s="23">
        <v>90.0</v>
      </c>
      <c r="AU49" s="24">
        <v>450.0</v>
      </c>
      <c r="AV49" s="21"/>
      <c r="AW49" s="78">
        <v>70.0</v>
      </c>
      <c r="AX49" s="163">
        <v>55.0</v>
      </c>
      <c r="AY49" s="79">
        <v>60.0</v>
      </c>
      <c r="AZ49" s="111">
        <v>100.0</v>
      </c>
      <c r="BA49" s="79">
        <v>75.0</v>
      </c>
      <c r="BB49" s="79">
        <v>90.0</v>
      </c>
      <c r="BC49" s="201">
        <v>450.0</v>
      </c>
      <c r="BE49" s="82" t="s">
        <v>4</v>
      </c>
      <c r="BF49" s="132" t="s">
        <v>56</v>
      </c>
      <c r="BG49" s="93"/>
      <c r="BI49" s="31" t="s">
        <v>5</v>
      </c>
      <c r="BJ49" s="32" t="s">
        <v>5</v>
      </c>
      <c r="BK49" s="32" t="s">
        <v>5</v>
      </c>
      <c r="BL49" s="32">
        <v>1.0</v>
      </c>
      <c r="BM49" s="32" t="s">
        <v>5</v>
      </c>
      <c r="BN49" s="33">
        <v>1.0</v>
      </c>
      <c r="BP49" s="115" t="s">
        <v>109</v>
      </c>
      <c r="BQ49" s="116" t="s">
        <v>7</v>
      </c>
      <c r="BS49" s="115" t="s">
        <v>109</v>
      </c>
      <c r="BT49" s="117" t="s">
        <v>7</v>
      </c>
      <c r="BU49" s="37" t="str">
        <f t="shared" si="1"/>
        <v>#NAME?</v>
      </c>
      <c r="BV49" s="89" t="s">
        <v>109</v>
      </c>
      <c r="BW49" s="37" t="str">
        <f t="shared" si="2"/>
        <v>#NAME?</v>
      </c>
      <c r="BX49" s="89" t="s">
        <v>7</v>
      </c>
      <c r="BY49" s="39"/>
      <c r="BZ49" s="39"/>
      <c r="CA49" s="40" t="s">
        <v>191</v>
      </c>
      <c r="CB49" s="41"/>
      <c r="CC49" s="90" t="s">
        <v>109</v>
      </c>
      <c r="CD49" s="91" t="s">
        <v>7</v>
      </c>
      <c r="CE49" s="2"/>
      <c r="CF49" s="92" t="s">
        <v>145</v>
      </c>
      <c r="CG49" s="93" t="s">
        <v>179</v>
      </c>
      <c r="CH49" s="2"/>
      <c r="CI49" s="240" t="s">
        <v>179</v>
      </c>
      <c r="CJ49" s="241" t="s">
        <v>145</v>
      </c>
      <c r="CK49" s="2"/>
      <c r="CL49" s="22" t="s">
        <v>592</v>
      </c>
      <c r="CM49" s="12"/>
      <c r="CN49" s="48"/>
      <c r="CO49" s="242" t="s">
        <v>145</v>
      </c>
      <c r="CP49" s="2"/>
      <c r="CQ49" s="2" t="s">
        <v>599</v>
      </c>
      <c r="CR49" s="97">
        <v>40.0</v>
      </c>
      <c r="CS49" s="2" t="s">
        <v>73</v>
      </c>
      <c r="CT49" s="98">
        <v>138.0</v>
      </c>
      <c r="CU49" s="2"/>
      <c r="CV49" s="52" t="s">
        <v>149</v>
      </c>
      <c r="CW49" s="52" t="s">
        <v>149</v>
      </c>
      <c r="CX49" s="2"/>
      <c r="CY49" s="119" t="s">
        <v>109</v>
      </c>
      <c r="CZ49" s="160"/>
      <c r="DA49" s="2"/>
      <c r="DB49" s="98">
        <v>75.0</v>
      </c>
      <c r="DC49" s="2"/>
      <c r="DD49" s="101" t="s">
        <v>150</v>
      </c>
      <c r="DE49" s="2"/>
      <c r="DF49" s="120" t="s">
        <v>600</v>
      </c>
      <c r="DG49" s="173" t="s">
        <v>601</v>
      </c>
      <c r="DH49" s="121"/>
      <c r="DI49" s="2"/>
      <c r="DJ49" s="2"/>
      <c r="DK49" s="59" t="s">
        <v>602</v>
      </c>
      <c r="DL49" s="37" t="s">
        <v>64</v>
      </c>
      <c r="DM49" s="37" t="str">
        <f t="shared" si="3"/>
        <v>#NAME?</v>
      </c>
      <c r="DN49" s="61"/>
      <c r="DO49" s="37" t="s">
        <v>154</v>
      </c>
      <c r="DP49" s="105">
        <v>1.0</v>
      </c>
      <c r="DQ49" s="62" t="s">
        <v>49</v>
      </c>
      <c r="DR49" s="63"/>
      <c r="DS49" s="198"/>
      <c r="DT49" s="108"/>
      <c r="DU49" s="108"/>
      <c r="DV49" s="182"/>
      <c r="DW49" s="182"/>
      <c r="DX49" s="182"/>
      <c r="DY49" s="182"/>
      <c r="EB49" s="2"/>
      <c r="EC49" s="2"/>
      <c r="ED49" s="2"/>
      <c r="EE49" s="2"/>
      <c r="EF49" s="68" t="s">
        <v>603</v>
      </c>
      <c r="EG49" s="69" t="str">
        <f>image("https://www.pokebip.com/pages/icones/objets/oeuf-chance.png", 3)</f>
        <v/>
      </c>
      <c r="EH49" s="69"/>
      <c r="EI49" s="69"/>
    </row>
    <row r="50" ht="15.75" customHeight="1">
      <c r="A50" s="1">
        <v>50.0</v>
      </c>
      <c r="B50" s="2" t="s">
        <v>604</v>
      </c>
      <c r="C50" s="7"/>
      <c r="D50" s="167" t="s">
        <v>605</v>
      </c>
      <c r="E50" s="5"/>
      <c r="F50" s="168"/>
      <c r="G50" s="7"/>
      <c r="H50" s="8" t="s">
        <v>606</v>
      </c>
      <c r="I50" s="9" t="s">
        <v>607</v>
      </c>
      <c r="J50" s="10" t="str">
        <f>image("https://archives.bulbagarden.net/media/upload/b/bf/050MS6.png", 3)</f>
        <v/>
      </c>
      <c r="K50" s="11" t="s">
        <v>605</v>
      </c>
      <c r="L50" s="12"/>
      <c r="M50" s="12"/>
      <c r="N50" s="12"/>
      <c r="O50" s="12"/>
      <c r="Q50" s="71">
        <v>10.0</v>
      </c>
      <c r="R50" s="72">
        <v>55.0</v>
      </c>
      <c r="S50" s="73">
        <v>25.0</v>
      </c>
      <c r="T50" s="74">
        <v>35.0</v>
      </c>
      <c r="U50" s="75">
        <v>45.0</v>
      </c>
      <c r="V50" s="76">
        <v>95.0</v>
      </c>
      <c r="W50" s="77">
        <v>265.0</v>
      </c>
      <c r="X50" s="21"/>
      <c r="Y50" s="71">
        <v>10.0</v>
      </c>
      <c r="Z50" s="72">
        <v>55.0</v>
      </c>
      <c r="AA50" s="73">
        <v>25.0</v>
      </c>
      <c r="AB50" s="74">
        <v>35.0</v>
      </c>
      <c r="AC50" s="75">
        <v>45.0</v>
      </c>
      <c r="AD50" s="76">
        <v>95.0</v>
      </c>
      <c r="AE50" s="77">
        <v>265.0</v>
      </c>
      <c r="AF50" s="21"/>
      <c r="AG50" s="71">
        <v>10.0</v>
      </c>
      <c r="AH50" s="72">
        <v>55.0</v>
      </c>
      <c r="AI50" s="73">
        <v>25.0</v>
      </c>
      <c r="AJ50" s="74">
        <v>35.0</v>
      </c>
      <c r="AK50" s="75">
        <v>45.0</v>
      </c>
      <c r="AL50" s="76">
        <v>95.0</v>
      </c>
      <c r="AM50" s="77">
        <v>265.0</v>
      </c>
      <c r="AN50" s="21"/>
      <c r="AO50" s="22">
        <v>10.0</v>
      </c>
      <c r="AP50" s="23">
        <v>55.0</v>
      </c>
      <c r="AQ50" s="23">
        <v>25.0</v>
      </c>
      <c r="AR50" s="23">
        <v>35.0</v>
      </c>
      <c r="AS50" s="23">
        <v>45.0</v>
      </c>
      <c r="AT50" s="23">
        <v>95.0</v>
      </c>
      <c r="AU50" s="24">
        <v>265.0</v>
      </c>
      <c r="AV50" s="21"/>
      <c r="AW50" s="78">
        <v>10.0</v>
      </c>
      <c r="AX50" s="182">
        <v>55.0</v>
      </c>
      <c r="AY50" s="79">
        <v>25.0</v>
      </c>
      <c r="AZ50" s="124">
        <v>35.0</v>
      </c>
      <c r="BA50" s="79">
        <v>45.0</v>
      </c>
      <c r="BB50" s="79">
        <v>95.0</v>
      </c>
      <c r="BC50" s="81">
        <v>265.0</v>
      </c>
      <c r="BE50" s="126" t="s">
        <v>56</v>
      </c>
      <c r="BF50" s="127"/>
      <c r="BG50" s="128"/>
      <c r="BI50" s="31" t="s">
        <v>5</v>
      </c>
      <c r="BJ50" s="32" t="s">
        <v>5</v>
      </c>
      <c r="BK50" s="32" t="s">
        <v>5</v>
      </c>
      <c r="BL50" s="32" t="s">
        <v>5</v>
      </c>
      <c r="BM50" s="32" t="s">
        <v>5</v>
      </c>
      <c r="BN50" s="33">
        <v>1.0</v>
      </c>
      <c r="BP50" s="85" t="s">
        <v>79</v>
      </c>
      <c r="BQ50" s="129"/>
      <c r="BS50" s="87" t="s">
        <v>79</v>
      </c>
      <c r="BT50" s="130"/>
      <c r="BU50" s="37" t="str">
        <f t="shared" si="1"/>
        <v>#NAME?</v>
      </c>
      <c r="BV50" s="89" t="s">
        <v>79</v>
      </c>
      <c r="BW50" s="37" t="str">
        <f t="shared" si="2"/>
        <v>#NAME?</v>
      </c>
      <c r="BX50" s="89"/>
      <c r="BY50" s="39"/>
      <c r="BZ50" s="39"/>
      <c r="CA50" s="40" t="s">
        <v>79</v>
      </c>
      <c r="CB50" s="41"/>
      <c r="CC50" s="90" t="s">
        <v>79</v>
      </c>
      <c r="CD50" s="91"/>
      <c r="CE50" s="21"/>
      <c r="CF50" s="92" t="s">
        <v>376</v>
      </c>
      <c r="CG50" s="93" t="s">
        <v>608</v>
      </c>
      <c r="CH50" s="21"/>
      <c r="CI50" s="175" t="s">
        <v>376</v>
      </c>
      <c r="CJ50" s="195" t="s">
        <v>608</v>
      </c>
      <c r="CK50" s="21"/>
      <c r="CL50" s="22" t="s">
        <v>376</v>
      </c>
      <c r="CM50" s="12"/>
      <c r="CN50" s="48"/>
      <c r="CO50" s="196" t="s">
        <v>608</v>
      </c>
      <c r="CP50" s="21"/>
      <c r="CQ50" s="2" t="s">
        <v>609</v>
      </c>
      <c r="CR50" s="97">
        <v>20.0</v>
      </c>
      <c r="CS50" s="2" t="s">
        <v>56</v>
      </c>
      <c r="CT50" s="98">
        <v>81.0</v>
      </c>
      <c r="CU50" s="2"/>
      <c r="CV50" s="52" t="s">
        <v>149</v>
      </c>
      <c r="CW50" s="52" t="s">
        <v>149</v>
      </c>
      <c r="CX50" s="2"/>
      <c r="CY50" s="100" t="s">
        <v>277</v>
      </c>
      <c r="CZ50" s="154"/>
      <c r="DA50" s="2"/>
      <c r="DB50" s="98">
        <v>255.0</v>
      </c>
      <c r="DC50" s="2"/>
      <c r="DD50" s="101" t="s">
        <v>150</v>
      </c>
      <c r="DE50" s="2"/>
      <c r="DF50" s="131" t="s">
        <v>610</v>
      </c>
      <c r="DG50" s="243" t="s">
        <v>611</v>
      </c>
      <c r="DH50" s="103"/>
      <c r="DI50" s="21"/>
      <c r="DJ50" s="21"/>
      <c r="DK50" s="59" t="s">
        <v>612</v>
      </c>
      <c r="DL50" s="37" t="s">
        <v>18</v>
      </c>
      <c r="DM50" s="37" t="str">
        <f t="shared" si="3"/>
        <v>#NAME?</v>
      </c>
      <c r="DN50" s="61"/>
      <c r="DO50" s="37">
        <v>80.0</v>
      </c>
      <c r="DP50" s="105">
        <v>1.0</v>
      </c>
      <c r="DQ50" s="62" t="s">
        <v>20</v>
      </c>
      <c r="DR50" s="199"/>
      <c r="DS50" s="244"/>
      <c r="DT50" s="108"/>
      <c r="DU50" s="108"/>
      <c r="DV50" s="200"/>
      <c r="DW50" s="200"/>
      <c r="DX50" s="200"/>
      <c r="DY50" s="200"/>
      <c r="EB50" s="21"/>
      <c r="EC50" s="21"/>
      <c r="ED50" s="21"/>
      <c r="EE50" s="21"/>
      <c r="EF50" s="68" t="s">
        <v>613</v>
      </c>
      <c r="EG50" s="69" t="str">
        <f>image("https://www.pokebip.com/pages/icones/objets/piece-rune.png", 3)</f>
        <v/>
      </c>
      <c r="EH50" s="69"/>
      <c r="EI50" s="69"/>
    </row>
    <row r="51" ht="15.75" customHeight="1">
      <c r="A51" s="1">
        <v>51.0</v>
      </c>
      <c r="B51" s="2" t="s">
        <v>614</v>
      </c>
      <c r="C51" s="7"/>
      <c r="D51" s="167" t="s">
        <v>615</v>
      </c>
      <c r="E51" s="5"/>
      <c r="F51" s="168"/>
      <c r="G51" s="7"/>
      <c r="H51" s="8" t="s">
        <v>616</v>
      </c>
      <c r="I51" s="9" t="s">
        <v>617</v>
      </c>
      <c r="J51" s="10" t="str">
        <f>image("https://archives.bulbagarden.net/media/upload/7/79/051MS6.png", 3)</f>
        <v/>
      </c>
      <c r="K51" s="11" t="s">
        <v>615</v>
      </c>
      <c r="L51" s="12"/>
      <c r="M51" s="12"/>
      <c r="N51" s="12"/>
      <c r="O51" s="12"/>
      <c r="Q51" s="71">
        <v>35.0</v>
      </c>
      <c r="R51" s="72">
        <v>80.0</v>
      </c>
      <c r="S51" s="73">
        <v>50.0</v>
      </c>
      <c r="T51" s="74">
        <v>50.0</v>
      </c>
      <c r="U51" s="75">
        <v>70.0</v>
      </c>
      <c r="V51" s="76">
        <v>120.0</v>
      </c>
      <c r="W51" s="77">
        <v>405.0</v>
      </c>
      <c r="X51" s="21"/>
      <c r="Y51" s="71">
        <v>35.0</v>
      </c>
      <c r="Z51" s="109">
        <v>100.0</v>
      </c>
      <c r="AA51" s="73">
        <v>50.0</v>
      </c>
      <c r="AB51" s="74">
        <v>50.0</v>
      </c>
      <c r="AC51" s="75">
        <v>70.0</v>
      </c>
      <c r="AD51" s="76">
        <v>120.0</v>
      </c>
      <c r="AE51" s="110">
        <v>425.0</v>
      </c>
      <c r="AF51" s="21"/>
      <c r="AG51" s="71">
        <v>35.0</v>
      </c>
      <c r="AH51" s="109">
        <v>100.0</v>
      </c>
      <c r="AI51" s="73">
        <v>50.0</v>
      </c>
      <c r="AJ51" s="74">
        <v>50.0</v>
      </c>
      <c r="AK51" s="75">
        <v>70.0</v>
      </c>
      <c r="AL51" s="76">
        <v>120.0</v>
      </c>
      <c r="AM51" s="110">
        <v>425.0</v>
      </c>
      <c r="AN51" s="21"/>
      <c r="AO51" s="22">
        <v>35.0</v>
      </c>
      <c r="AP51" s="23" t="s">
        <v>175</v>
      </c>
      <c r="AQ51" s="23">
        <v>50.0</v>
      </c>
      <c r="AR51" s="23">
        <v>50.0</v>
      </c>
      <c r="AS51" s="23">
        <v>70.0</v>
      </c>
      <c r="AT51" s="23">
        <v>120.0</v>
      </c>
      <c r="AU51" s="24" t="s">
        <v>618</v>
      </c>
      <c r="AV51" s="21"/>
      <c r="AW51" s="78">
        <v>35.0</v>
      </c>
      <c r="AX51" s="111">
        <v>100.0</v>
      </c>
      <c r="AY51" s="79">
        <v>50.0</v>
      </c>
      <c r="AZ51" s="79">
        <v>50.0</v>
      </c>
      <c r="BA51" s="79">
        <v>70.0</v>
      </c>
      <c r="BB51" s="79">
        <v>120.0</v>
      </c>
      <c r="BC51" s="111">
        <v>425.0</v>
      </c>
      <c r="BE51" s="176" t="s">
        <v>248</v>
      </c>
      <c r="BF51" s="113"/>
      <c r="BG51" s="93"/>
      <c r="BI51" s="31" t="s">
        <v>5</v>
      </c>
      <c r="BJ51" s="32" t="s">
        <v>5</v>
      </c>
      <c r="BK51" s="32" t="s">
        <v>5</v>
      </c>
      <c r="BL51" s="32" t="s">
        <v>5</v>
      </c>
      <c r="BM51" s="32" t="s">
        <v>5</v>
      </c>
      <c r="BN51" s="33">
        <v>2.0</v>
      </c>
      <c r="BP51" s="115" t="s">
        <v>79</v>
      </c>
      <c r="BQ51" s="93"/>
      <c r="BS51" s="115" t="s">
        <v>79</v>
      </c>
      <c r="BT51" s="133"/>
      <c r="BU51" s="37" t="str">
        <f t="shared" si="1"/>
        <v>#NAME?</v>
      </c>
      <c r="BV51" s="89" t="s">
        <v>79</v>
      </c>
      <c r="BW51" s="37" t="str">
        <f t="shared" si="2"/>
        <v>#NAME?</v>
      </c>
      <c r="BX51" s="89"/>
      <c r="BY51" s="39"/>
      <c r="BZ51" s="39"/>
      <c r="CA51" s="40" t="s">
        <v>79</v>
      </c>
      <c r="CB51" s="41"/>
      <c r="CC51" s="90" t="s">
        <v>79</v>
      </c>
      <c r="CD51" s="91"/>
      <c r="CE51" s="21"/>
      <c r="CF51" s="92" t="s">
        <v>376</v>
      </c>
      <c r="CG51" s="93" t="s">
        <v>608</v>
      </c>
      <c r="CH51" s="21"/>
      <c r="CI51" s="177" t="s">
        <v>376</v>
      </c>
      <c r="CJ51" s="188" t="s">
        <v>608</v>
      </c>
      <c r="CK51" s="21"/>
      <c r="CL51" s="22" t="s">
        <v>376</v>
      </c>
      <c r="CM51" s="12"/>
      <c r="CN51" s="48"/>
      <c r="CO51" s="189" t="s">
        <v>608</v>
      </c>
      <c r="CP51" s="21"/>
      <c r="CQ51" s="2" t="s">
        <v>619</v>
      </c>
      <c r="CR51" s="97">
        <v>60.0</v>
      </c>
      <c r="CS51" s="2" t="s">
        <v>248</v>
      </c>
      <c r="CT51" s="98">
        <v>153.0</v>
      </c>
      <c r="CU51" s="2"/>
      <c r="CV51" s="52" t="s">
        <v>149</v>
      </c>
      <c r="CW51" s="52" t="s">
        <v>149</v>
      </c>
      <c r="CX51" s="2"/>
      <c r="CY51" s="119" t="s">
        <v>277</v>
      </c>
      <c r="CZ51" s="160"/>
      <c r="DA51" s="2"/>
      <c r="DB51" s="98">
        <v>50.0</v>
      </c>
      <c r="DC51" s="2"/>
      <c r="DD51" s="101" t="s">
        <v>150</v>
      </c>
      <c r="DE51" s="2"/>
      <c r="DF51" s="120" t="s">
        <v>620</v>
      </c>
      <c r="DG51" s="245" t="s">
        <v>611</v>
      </c>
      <c r="DH51" s="121"/>
      <c r="DI51" s="2"/>
      <c r="DJ51" s="2"/>
      <c r="DK51" s="59" t="s">
        <v>621</v>
      </c>
      <c r="DL51" s="37" t="s">
        <v>64</v>
      </c>
      <c r="DM51" s="37" t="str">
        <f t="shared" si="3"/>
        <v>#NAME?</v>
      </c>
      <c r="DN51" s="61"/>
      <c r="DO51" s="37">
        <v>100.0</v>
      </c>
      <c r="DP51" s="105">
        <v>0.5</v>
      </c>
      <c r="DQ51" s="62" t="s">
        <v>293</v>
      </c>
      <c r="DR51" s="63"/>
      <c r="DS51" s="198"/>
      <c r="DT51" s="108"/>
      <c r="DU51" s="108"/>
      <c r="DV51" s="182"/>
      <c r="DW51" s="182"/>
      <c r="DX51" s="182"/>
      <c r="DY51" s="182"/>
      <c r="EB51" s="2"/>
      <c r="EC51" s="2"/>
      <c r="ED51" s="2"/>
      <c r="EE51" s="2"/>
      <c r="EG51" s="108"/>
    </row>
    <row r="52" ht="15.75" customHeight="1">
      <c r="A52" s="1">
        <v>52.0</v>
      </c>
      <c r="B52" s="2" t="s">
        <v>622</v>
      </c>
      <c r="C52" s="7"/>
      <c r="D52" s="169" t="s">
        <v>623</v>
      </c>
      <c r="E52" s="5"/>
      <c r="F52" s="170"/>
      <c r="G52" s="7"/>
      <c r="H52" s="8" t="s">
        <v>624</v>
      </c>
      <c r="I52" s="9" t="s">
        <v>625</v>
      </c>
      <c r="J52" s="10" t="str">
        <f>image("https://archives.bulbagarden.net/media/upload/0/0d/052MS6.png", 3)</f>
        <v/>
      </c>
      <c r="K52" s="11" t="s">
        <v>623</v>
      </c>
      <c r="L52" s="12"/>
      <c r="M52" s="12"/>
      <c r="N52" s="12"/>
      <c r="O52" s="12"/>
      <c r="Q52" s="71">
        <v>40.0</v>
      </c>
      <c r="R52" s="72">
        <v>45.0</v>
      </c>
      <c r="S52" s="73">
        <v>35.0</v>
      </c>
      <c r="T52" s="74">
        <v>40.0</v>
      </c>
      <c r="U52" s="75">
        <v>40.0</v>
      </c>
      <c r="V52" s="76">
        <v>90.0</v>
      </c>
      <c r="W52" s="77">
        <v>290.0</v>
      </c>
      <c r="X52" s="21"/>
      <c r="Y52" s="71">
        <v>40.0</v>
      </c>
      <c r="Z52" s="72">
        <v>45.0</v>
      </c>
      <c r="AA52" s="73">
        <v>35.0</v>
      </c>
      <c r="AB52" s="74">
        <v>40.0</v>
      </c>
      <c r="AC52" s="75">
        <v>40.0</v>
      </c>
      <c r="AD52" s="76">
        <v>90.0</v>
      </c>
      <c r="AE52" s="77">
        <v>290.0</v>
      </c>
      <c r="AF52" s="21"/>
      <c r="AG52" s="71">
        <v>40.0</v>
      </c>
      <c r="AH52" s="72">
        <v>45.0</v>
      </c>
      <c r="AI52" s="73">
        <v>35.0</v>
      </c>
      <c r="AJ52" s="74">
        <v>40.0</v>
      </c>
      <c r="AK52" s="75">
        <v>40.0</v>
      </c>
      <c r="AL52" s="76">
        <v>90.0</v>
      </c>
      <c r="AM52" s="77">
        <v>290.0</v>
      </c>
      <c r="AN52" s="21"/>
      <c r="AO52" s="22">
        <v>40.0</v>
      </c>
      <c r="AP52" s="23">
        <v>45.0</v>
      </c>
      <c r="AQ52" s="23">
        <v>35.0</v>
      </c>
      <c r="AR52" s="23">
        <v>40.0</v>
      </c>
      <c r="AS52" s="23">
        <v>40.0</v>
      </c>
      <c r="AT52" s="23">
        <v>90.0</v>
      </c>
      <c r="AU52" s="24">
        <v>290.0</v>
      </c>
      <c r="AV52" s="21"/>
      <c r="AW52" s="78">
        <v>40.0</v>
      </c>
      <c r="AX52" s="182">
        <v>45.0</v>
      </c>
      <c r="AY52" s="79">
        <v>35.0</v>
      </c>
      <c r="AZ52" s="80">
        <v>40.0</v>
      </c>
      <c r="BA52" s="79">
        <v>40.0</v>
      </c>
      <c r="BB52" s="79">
        <v>90.0</v>
      </c>
      <c r="BC52" s="183">
        <v>290.0</v>
      </c>
      <c r="BE52" s="126" t="s">
        <v>56</v>
      </c>
      <c r="BF52" s="127"/>
      <c r="BG52" s="128"/>
      <c r="BI52" s="31" t="s">
        <v>5</v>
      </c>
      <c r="BJ52" s="32" t="s">
        <v>5</v>
      </c>
      <c r="BK52" s="32" t="s">
        <v>5</v>
      </c>
      <c r="BL52" s="32" t="s">
        <v>5</v>
      </c>
      <c r="BM52" s="32" t="s">
        <v>5</v>
      </c>
      <c r="BN52" s="33">
        <v>1.0</v>
      </c>
      <c r="BP52" s="85" t="s">
        <v>156</v>
      </c>
      <c r="BQ52" s="129"/>
      <c r="BS52" s="87" t="s">
        <v>156</v>
      </c>
      <c r="BT52" s="130"/>
      <c r="BU52" s="37" t="str">
        <f t="shared" si="1"/>
        <v>#NAME?</v>
      </c>
      <c r="BV52" s="89" t="s">
        <v>156</v>
      </c>
      <c r="BW52" s="37" t="str">
        <f t="shared" si="2"/>
        <v>#NAME?</v>
      </c>
      <c r="BX52" s="89"/>
      <c r="BY52" s="39"/>
      <c r="BZ52" s="39"/>
      <c r="CA52" s="40" t="s">
        <v>156</v>
      </c>
      <c r="CB52" s="41"/>
      <c r="CC52" s="90" t="s">
        <v>156</v>
      </c>
      <c r="CD52" s="91"/>
      <c r="CE52" s="21"/>
      <c r="CF52" s="92" t="s">
        <v>626</v>
      </c>
      <c r="CG52" s="93" t="s">
        <v>627</v>
      </c>
      <c r="CH52" s="21"/>
      <c r="CI52" s="237" t="s">
        <v>627</v>
      </c>
      <c r="CJ52" s="238" t="s">
        <v>626</v>
      </c>
      <c r="CK52" s="21"/>
      <c r="CL52" s="22" t="s">
        <v>628</v>
      </c>
      <c r="CM52" s="12"/>
      <c r="CN52" s="48"/>
      <c r="CO52" s="239" t="s">
        <v>626</v>
      </c>
      <c r="CP52" s="21"/>
      <c r="CQ52" s="2" t="s">
        <v>629</v>
      </c>
      <c r="CR52" s="97">
        <v>20.0</v>
      </c>
      <c r="CS52" s="2" t="s">
        <v>56</v>
      </c>
      <c r="CT52" s="98">
        <v>69.0</v>
      </c>
      <c r="CU52" s="2"/>
      <c r="CV52" s="52" t="s">
        <v>149</v>
      </c>
      <c r="CW52" s="52" t="s">
        <v>149</v>
      </c>
      <c r="CX52" s="2"/>
      <c r="CY52" s="100" t="s">
        <v>277</v>
      </c>
      <c r="CZ52" s="154"/>
      <c r="DA52" s="2"/>
      <c r="DB52" s="98">
        <v>255.0</v>
      </c>
      <c r="DC52" s="2"/>
      <c r="DD52" s="101" t="s">
        <v>150</v>
      </c>
      <c r="DE52" s="2"/>
      <c r="DF52" s="131" t="s">
        <v>630</v>
      </c>
      <c r="DG52" s="166" t="s">
        <v>631</v>
      </c>
      <c r="DH52" s="103"/>
      <c r="DI52" s="21"/>
      <c r="DJ52" s="21"/>
      <c r="DK52" s="59" t="s">
        <v>632</v>
      </c>
      <c r="DL52" s="37" t="s">
        <v>79</v>
      </c>
      <c r="DM52" s="37" t="str">
        <f t="shared" si="3"/>
        <v>#NAME?</v>
      </c>
      <c r="DN52" s="61"/>
      <c r="DO52" s="37">
        <v>100.0</v>
      </c>
      <c r="DP52" s="105">
        <v>1.0</v>
      </c>
      <c r="DQ52" s="62" t="s">
        <v>49</v>
      </c>
      <c r="DR52" s="63"/>
      <c r="DS52" s="198"/>
      <c r="DT52" s="108"/>
      <c r="DU52" s="108"/>
      <c r="DV52" s="182"/>
      <c r="DW52" s="182"/>
      <c r="DX52" s="182"/>
      <c r="DY52" s="182"/>
      <c r="EB52" s="21"/>
      <c r="EC52" s="21"/>
      <c r="ED52" s="21"/>
      <c r="EE52" s="21"/>
      <c r="EF52" s="68" t="s">
        <v>633</v>
      </c>
      <c r="EG52" s="69" t="str">
        <f>image("https://www.pokebip.com/pages/icones/objets/multi-exp.png", 3)</f>
        <v/>
      </c>
      <c r="EH52" s="69"/>
      <c r="EI52" s="69"/>
    </row>
    <row r="53" ht="15.75" customHeight="1">
      <c r="A53" s="1">
        <v>53.0</v>
      </c>
      <c r="B53" s="2" t="s">
        <v>634</v>
      </c>
      <c r="C53" s="7"/>
      <c r="D53" s="169" t="s">
        <v>635</v>
      </c>
      <c r="E53" s="5"/>
      <c r="F53" s="170"/>
      <c r="G53" s="7"/>
      <c r="H53" s="8" t="s">
        <v>636</v>
      </c>
      <c r="I53" s="9" t="s">
        <v>637</v>
      </c>
      <c r="J53" s="10" t="str">
        <f>image("https://archives.bulbagarden.net/media/upload/1/14/053MS6.png", 3)</f>
        <v/>
      </c>
      <c r="K53" s="11" t="s">
        <v>635</v>
      </c>
      <c r="L53" s="12"/>
      <c r="M53" s="12"/>
      <c r="N53" s="12"/>
      <c r="O53" s="12"/>
      <c r="Q53" s="71">
        <v>65.0</v>
      </c>
      <c r="R53" s="72">
        <v>70.0</v>
      </c>
      <c r="S53" s="73">
        <v>60.0</v>
      </c>
      <c r="T53" s="74">
        <v>65.0</v>
      </c>
      <c r="U53" s="75">
        <v>65.0</v>
      </c>
      <c r="V53" s="76">
        <v>115.0</v>
      </c>
      <c r="W53" s="77">
        <v>440.0</v>
      </c>
      <c r="X53" s="21"/>
      <c r="Y53" s="71">
        <v>65.0</v>
      </c>
      <c r="Z53" s="72">
        <v>70.0</v>
      </c>
      <c r="AA53" s="73">
        <v>60.0</v>
      </c>
      <c r="AB53" s="74">
        <v>65.0</v>
      </c>
      <c r="AC53" s="75">
        <v>65.0</v>
      </c>
      <c r="AD53" s="76">
        <v>115.0</v>
      </c>
      <c r="AE53" s="77">
        <v>440.0</v>
      </c>
      <c r="AF53" s="21"/>
      <c r="AG53" s="71">
        <v>65.0</v>
      </c>
      <c r="AH53" s="109">
        <v>80.0</v>
      </c>
      <c r="AI53" s="73">
        <v>60.0</v>
      </c>
      <c r="AJ53" s="109">
        <v>80.0</v>
      </c>
      <c r="AK53" s="75">
        <v>65.0</v>
      </c>
      <c r="AL53" s="76">
        <v>115.0</v>
      </c>
      <c r="AM53" s="110">
        <v>465.0</v>
      </c>
      <c r="AN53" s="21"/>
      <c r="AO53" s="22">
        <v>65.0</v>
      </c>
      <c r="AP53" s="23" t="s">
        <v>337</v>
      </c>
      <c r="AQ53" s="23">
        <v>60.0</v>
      </c>
      <c r="AR53" s="23" t="s">
        <v>337</v>
      </c>
      <c r="AS53" s="23">
        <v>65.0</v>
      </c>
      <c r="AT53" s="23">
        <v>115.0</v>
      </c>
      <c r="AU53" s="24" t="s">
        <v>638</v>
      </c>
      <c r="AV53" s="21"/>
      <c r="AW53" s="78">
        <v>65.0</v>
      </c>
      <c r="AX53" s="111">
        <v>80.0</v>
      </c>
      <c r="AY53" s="79">
        <v>60.0</v>
      </c>
      <c r="AZ53" s="111">
        <v>80.0</v>
      </c>
      <c r="BA53" s="79">
        <v>65.0</v>
      </c>
      <c r="BB53" s="79">
        <v>115.0</v>
      </c>
      <c r="BC53" s="111">
        <v>465.0</v>
      </c>
      <c r="BE53" s="176" t="s">
        <v>248</v>
      </c>
      <c r="BF53" s="113"/>
      <c r="BG53" s="93"/>
      <c r="BI53" s="31" t="s">
        <v>5</v>
      </c>
      <c r="BJ53" s="32" t="s">
        <v>5</v>
      </c>
      <c r="BK53" s="32" t="s">
        <v>5</v>
      </c>
      <c r="BL53" s="32" t="s">
        <v>5</v>
      </c>
      <c r="BM53" s="32" t="s">
        <v>5</v>
      </c>
      <c r="BN53" s="33">
        <v>2.0</v>
      </c>
      <c r="BP53" s="115" t="s">
        <v>156</v>
      </c>
      <c r="BQ53" s="93"/>
      <c r="BS53" s="115" t="s">
        <v>156</v>
      </c>
      <c r="BT53" s="133"/>
      <c r="BU53" s="37" t="str">
        <f t="shared" si="1"/>
        <v>#NAME?</v>
      </c>
      <c r="BV53" s="89" t="s">
        <v>156</v>
      </c>
      <c r="BW53" s="37" t="str">
        <f t="shared" si="2"/>
        <v>#NAME?</v>
      </c>
      <c r="BX53" s="89"/>
      <c r="BY53" s="39"/>
      <c r="BZ53" s="39"/>
      <c r="CA53" s="40" t="s">
        <v>156</v>
      </c>
      <c r="CB53" s="41"/>
      <c r="CC53" s="90" t="s">
        <v>156</v>
      </c>
      <c r="CD53" s="91"/>
      <c r="CE53" s="21"/>
      <c r="CF53" s="92" t="s">
        <v>639</v>
      </c>
      <c r="CG53" s="93" t="s">
        <v>627</v>
      </c>
      <c r="CH53" s="21"/>
      <c r="CI53" s="240" t="s">
        <v>627</v>
      </c>
      <c r="CJ53" s="241" t="s">
        <v>639</v>
      </c>
      <c r="CK53" s="21"/>
      <c r="CL53" s="22" t="s">
        <v>628</v>
      </c>
      <c r="CM53" s="12"/>
      <c r="CN53" s="48"/>
      <c r="CO53" s="242" t="s">
        <v>639</v>
      </c>
      <c r="CP53" s="21"/>
      <c r="CQ53" s="2" t="s">
        <v>181</v>
      </c>
      <c r="CR53" s="97">
        <v>60.0</v>
      </c>
      <c r="CS53" s="2" t="s">
        <v>248</v>
      </c>
      <c r="CT53" s="98">
        <v>148.0</v>
      </c>
      <c r="CU53" s="2"/>
      <c r="CV53" s="52" t="s">
        <v>149</v>
      </c>
      <c r="CW53" s="52" t="s">
        <v>149</v>
      </c>
      <c r="CX53" s="2"/>
      <c r="CY53" s="119" t="s">
        <v>277</v>
      </c>
      <c r="CZ53" s="160"/>
      <c r="DA53" s="2"/>
      <c r="DB53" s="98">
        <v>90.0</v>
      </c>
      <c r="DC53" s="2"/>
      <c r="DD53" s="101" t="s">
        <v>150</v>
      </c>
      <c r="DE53" s="2"/>
      <c r="DF53" s="120" t="s">
        <v>640</v>
      </c>
      <c r="DG53" s="173" t="s">
        <v>631</v>
      </c>
      <c r="DH53" s="121"/>
      <c r="DI53" s="2"/>
      <c r="DJ53" s="2"/>
      <c r="DK53" s="59" t="s">
        <v>641</v>
      </c>
      <c r="DL53" s="37" t="s">
        <v>156</v>
      </c>
      <c r="DM53" s="37" t="str">
        <f t="shared" si="3"/>
        <v>#NAME?</v>
      </c>
      <c r="DN53" s="61"/>
      <c r="DO53" s="37">
        <v>100.0</v>
      </c>
      <c r="DP53" s="105">
        <v>0.75</v>
      </c>
      <c r="DQ53" s="62" t="s">
        <v>49</v>
      </c>
      <c r="DR53" s="63"/>
      <c r="DS53" s="198"/>
      <c r="DT53" s="108"/>
      <c r="DU53" s="108"/>
      <c r="DV53" s="182"/>
      <c r="DW53" s="182"/>
      <c r="DX53" s="182"/>
      <c r="DY53" s="182"/>
      <c r="EB53" s="2"/>
      <c r="EC53" s="2"/>
      <c r="ED53" s="2"/>
      <c r="EE53" s="2"/>
      <c r="EG53" s="108"/>
    </row>
    <row r="54" ht="15.75" customHeight="1">
      <c r="A54" s="1">
        <v>54.0</v>
      </c>
      <c r="B54" s="2" t="s">
        <v>642</v>
      </c>
      <c r="C54" s="7"/>
      <c r="D54" s="169" t="s">
        <v>643</v>
      </c>
      <c r="E54" s="5"/>
      <c r="F54" s="170"/>
      <c r="G54" s="7"/>
      <c r="H54" s="8" t="s">
        <v>644</v>
      </c>
      <c r="I54" s="9" t="s">
        <v>645</v>
      </c>
      <c r="J54" s="10" t="str">
        <f>image("https://archives.bulbagarden.net/media/upload/a/a2/054MS6.png", 3)</f>
        <v/>
      </c>
      <c r="K54" s="11" t="s">
        <v>643</v>
      </c>
      <c r="L54" s="12"/>
      <c r="M54" s="12"/>
      <c r="N54" s="12"/>
      <c r="O54" s="12"/>
      <c r="Q54" s="71">
        <v>50.0</v>
      </c>
      <c r="R54" s="72">
        <v>52.0</v>
      </c>
      <c r="S54" s="73">
        <v>48.0</v>
      </c>
      <c r="T54" s="74">
        <v>65.0</v>
      </c>
      <c r="U54" s="75">
        <v>50.0</v>
      </c>
      <c r="V54" s="76">
        <v>55.0</v>
      </c>
      <c r="W54" s="77">
        <v>320.0</v>
      </c>
      <c r="X54" s="21"/>
      <c r="Y54" s="71">
        <v>50.0</v>
      </c>
      <c r="Z54" s="72">
        <v>52.0</v>
      </c>
      <c r="AA54" s="73">
        <v>48.0</v>
      </c>
      <c r="AB54" s="74">
        <v>65.0</v>
      </c>
      <c r="AC54" s="75">
        <v>50.0</v>
      </c>
      <c r="AD54" s="76">
        <v>55.0</v>
      </c>
      <c r="AE54" s="77">
        <v>320.0</v>
      </c>
      <c r="AF54" s="21"/>
      <c r="AG54" s="71">
        <v>50.0</v>
      </c>
      <c r="AH54" s="72">
        <v>52.0</v>
      </c>
      <c r="AI54" s="73">
        <v>48.0</v>
      </c>
      <c r="AJ54" s="74">
        <v>65.0</v>
      </c>
      <c r="AK54" s="75">
        <v>50.0</v>
      </c>
      <c r="AL54" s="76">
        <v>55.0</v>
      </c>
      <c r="AM54" s="77">
        <v>320.0</v>
      </c>
      <c r="AN54" s="21"/>
      <c r="AO54" s="22">
        <v>50.0</v>
      </c>
      <c r="AP54" s="23">
        <v>52.0</v>
      </c>
      <c r="AQ54" s="23">
        <v>48.0</v>
      </c>
      <c r="AR54" s="23">
        <v>65.0</v>
      </c>
      <c r="AS54" s="23">
        <v>50.0</v>
      </c>
      <c r="AT54" s="23">
        <v>55.0</v>
      </c>
      <c r="AU54" s="24">
        <v>320.0</v>
      </c>
      <c r="AV54" s="21"/>
      <c r="AW54" s="78">
        <v>50.0</v>
      </c>
      <c r="AX54" s="124">
        <v>52.0</v>
      </c>
      <c r="AY54" s="79">
        <v>48.0</v>
      </c>
      <c r="AZ54" s="124">
        <v>65.0</v>
      </c>
      <c r="BA54" s="79">
        <v>50.0</v>
      </c>
      <c r="BB54" s="79">
        <v>55.0</v>
      </c>
      <c r="BC54" s="125">
        <v>320.0</v>
      </c>
      <c r="BE54" s="82" t="s">
        <v>4</v>
      </c>
      <c r="BF54" s="127"/>
      <c r="BG54" s="128"/>
      <c r="BI54" s="31" t="s">
        <v>5</v>
      </c>
      <c r="BJ54" s="32" t="s">
        <v>5</v>
      </c>
      <c r="BK54" s="32" t="s">
        <v>5</v>
      </c>
      <c r="BL54" s="32">
        <v>1.0</v>
      </c>
      <c r="BM54" s="32" t="s">
        <v>5</v>
      </c>
      <c r="BN54" s="33" t="s">
        <v>5</v>
      </c>
      <c r="BP54" s="85" t="s">
        <v>32</v>
      </c>
      <c r="BQ54" s="129"/>
      <c r="BS54" s="87" t="s">
        <v>32</v>
      </c>
      <c r="BT54" s="130"/>
      <c r="BU54" s="37" t="str">
        <f t="shared" si="1"/>
        <v>#NAME?</v>
      </c>
      <c r="BV54" s="89" t="s">
        <v>32</v>
      </c>
      <c r="BW54" s="37" t="str">
        <f t="shared" si="2"/>
        <v>#NAME?</v>
      </c>
      <c r="BX54" s="89"/>
      <c r="BY54" s="134"/>
      <c r="BZ54" s="134"/>
      <c r="CA54" s="135" t="s">
        <v>32</v>
      </c>
      <c r="CB54" s="136"/>
      <c r="CC54" s="90" t="s">
        <v>32</v>
      </c>
      <c r="CD54" s="137"/>
      <c r="CE54" s="21"/>
      <c r="CF54" s="92" t="s">
        <v>646</v>
      </c>
      <c r="CG54" s="93" t="s">
        <v>647</v>
      </c>
      <c r="CH54" s="21"/>
      <c r="CI54" s="175" t="s">
        <v>646</v>
      </c>
      <c r="CJ54" s="195" t="s">
        <v>647</v>
      </c>
      <c r="CK54" s="21"/>
      <c r="CL54" s="22" t="s">
        <v>646</v>
      </c>
      <c r="CM54" s="12"/>
      <c r="CN54" s="48"/>
      <c r="CO54" s="196" t="s">
        <v>647</v>
      </c>
      <c r="CP54" s="21"/>
      <c r="CQ54" s="2" t="s">
        <v>648</v>
      </c>
      <c r="CR54" s="97">
        <v>40.0</v>
      </c>
      <c r="CS54" s="2" t="s">
        <v>4</v>
      </c>
      <c r="CT54" s="98">
        <v>80.0</v>
      </c>
      <c r="CU54" s="2"/>
      <c r="CV54" s="52" t="s">
        <v>149</v>
      </c>
      <c r="CW54" s="52" t="s">
        <v>149</v>
      </c>
      <c r="CX54" s="2"/>
      <c r="CY54" s="99" t="s">
        <v>106</v>
      </c>
      <c r="CZ54" s="100" t="s">
        <v>277</v>
      </c>
      <c r="DA54" s="2"/>
      <c r="DB54" s="98">
        <v>190.0</v>
      </c>
      <c r="DC54" s="2"/>
      <c r="DD54" s="101" t="s">
        <v>150</v>
      </c>
      <c r="DE54" s="2"/>
      <c r="DF54" s="131" t="s">
        <v>649</v>
      </c>
      <c r="DG54" s="103"/>
      <c r="DH54" s="103"/>
      <c r="DI54" s="21"/>
      <c r="DJ54" s="21"/>
      <c r="DK54" s="59" t="s">
        <v>650</v>
      </c>
      <c r="DL54" s="37" t="s">
        <v>156</v>
      </c>
      <c r="DM54" s="37" t="str">
        <f t="shared" si="3"/>
        <v>#NAME?</v>
      </c>
      <c r="DN54" s="61"/>
      <c r="DO54" s="37" t="s">
        <v>19</v>
      </c>
      <c r="DP54" s="105">
        <v>1.0</v>
      </c>
      <c r="DQ54" s="62" t="s">
        <v>293</v>
      </c>
      <c r="DR54" s="63"/>
      <c r="DS54" s="198"/>
      <c r="DT54" s="108"/>
      <c r="DU54" s="108"/>
      <c r="DV54" s="182"/>
      <c r="DW54" s="182"/>
      <c r="DX54" s="182"/>
      <c r="DY54" s="182"/>
      <c r="EB54" s="21"/>
      <c r="EC54" s="21"/>
      <c r="ED54" s="21"/>
      <c r="EE54" s="21"/>
      <c r="EF54" s="68" t="s">
        <v>651</v>
      </c>
      <c r="EG54" s="69" t="str">
        <f>image("https://www.pokebip.com/pages/icones/objets/grelot-coque.png", 3)</f>
        <v/>
      </c>
      <c r="EH54" s="69"/>
      <c r="EI54" s="69"/>
    </row>
    <row r="55" ht="15.75" customHeight="1">
      <c r="A55" s="1">
        <v>55.0</v>
      </c>
      <c r="B55" s="2" t="s">
        <v>652</v>
      </c>
      <c r="C55" s="7"/>
      <c r="D55" s="140" t="s">
        <v>653</v>
      </c>
      <c r="E55" s="5"/>
      <c r="F55" s="141"/>
      <c r="G55" s="7"/>
      <c r="H55" s="8" t="s">
        <v>654</v>
      </c>
      <c r="I55" s="9" t="s">
        <v>655</v>
      </c>
      <c r="J55" s="10" t="str">
        <f>image("https://archives.bulbagarden.net/media/upload/5/59/055MS6.png", 3)</f>
        <v/>
      </c>
      <c r="K55" s="11" t="s">
        <v>653</v>
      </c>
      <c r="L55" s="12"/>
      <c r="M55" s="12"/>
      <c r="N55" s="12"/>
      <c r="O55" s="12"/>
      <c r="Q55" s="71">
        <v>80.0</v>
      </c>
      <c r="R55" s="72">
        <v>82.0</v>
      </c>
      <c r="S55" s="73">
        <v>78.0</v>
      </c>
      <c r="T55" s="74">
        <v>95.0</v>
      </c>
      <c r="U55" s="75">
        <v>80.0</v>
      </c>
      <c r="V55" s="76">
        <v>85.0</v>
      </c>
      <c r="W55" s="77">
        <v>500.0</v>
      </c>
      <c r="X55" s="21"/>
      <c r="Y55" s="71">
        <v>80.0</v>
      </c>
      <c r="Z55" s="72">
        <v>82.0</v>
      </c>
      <c r="AA55" s="73">
        <v>78.0</v>
      </c>
      <c r="AB55" s="74">
        <v>95.0</v>
      </c>
      <c r="AC55" s="75">
        <v>80.0</v>
      </c>
      <c r="AD55" s="76">
        <v>85.0</v>
      </c>
      <c r="AE55" s="77">
        <v>500.0</v>
      </c>
      <c r="AF55" s="21"/>
      <c r="AG55" s="71">
        <v>80.0</v>
      </c>
      <c r="AH55" s="72">
        <v>82.0</v>
      </c>
      <c r="AI55" s="73">
        <v>78.0</v>
      </c>
      <c r="AJ55" s="74">
        <v>95.0</v>
      </c>
      <c r="AK55" s="75">
        <v>80.0</v>
      </c>
      <c r="AL55" s="76">
        <v>85.0</v>
      </c>
      <c r="AM55" s="77">
        <v>500.0</v>
      </c>
      <c r="AN55" s="21"/>
      <c r="AO55" s="22">
        <v>80.0</v>
      </c>
      <c r="AP55" s="23">
        <v>82.0</v>
      </c>
      <c r="AQ55" s="23">
        <v>78.0</v>
      </c>
      <c r="AR55" s="23">
        <v>95.0</v>
      </c>
      <c r="AS55" s="23">
        <v>80.0</v>
      </c>
      <c r="AT55" s="23">
        <v>85.0</v>
      </c>
      <c r="AU55" s="24">
        <v>500.0</v>
      </c>
      <c r="AV55" s="21"/>
      <c r="AW55" s="78">
        <v>80.0</v>
      </c>
      <c r="AX55" s="79">
        <v>82.0</v>
      </c>
      <c r="AY55" s="79">
        <v>78.0</v>
      </c>
      <c r="AZ55" s="79">
        <v>95.0</v>
      </c>
      <c r="BA55" s="79">
        <v>80.0</v>
      </c>
      <c r="BB55" s="79">
        <v>85.0</v>
      </c>
      <c r="BC55" s="201">
        <v>500.0</v>
      </c>
      <c r="BE55" s="112" t="s">
        <v>42</v>
      </c>
      <c r="BF55" s="113"/>
      <c r="BG55" s="93"/>
      <c r="BI55" s="31" t="s">
        <v>5</v>
      </c>
      <c r="BJ55" s="32" t="s">
        <v>5</v>
      </c>
      <c r="BK55" s="32" t="s">
        <v>5</v>
      </c>
      <c r="BL55" s="32">
        <v>2.0</v>
      </c>
      <c r="BM55" s="32" t="s">
        <v>5</v>
      </c>
      <c r="BN55" s="33" t="s">
        <v>5</v>
      </c>
      <c r="BP55" s="115" t="s">
        <v>32</v>
      </c>
      <c r="BQ55" s="93"/>
      <c r="BS55" s="115" t="s">
        <v>32</v>
      </c>
      <c r="BT55" s="133"/>
      <c r="BU55" s="37" t="str">
        <f t="shared" si="1"/>
        <v>#NAME?</v>
      </c>
      <c r="BV55" s="89" t="s">
        <v>32</v>
      </c>
      <c r="BW55" s="37" t="str">
        <f t="shared" si="2"/>
        <v>#NAME?</v>
      </c>
      <c r="BX55" s="89" t="s">
        <v>656</v>
      </c>
      <c r="BY55" s="39"/>
      <c r="BZ55" s="39"/>
      <c r="CA55" s="40" t="s">
        <v>657</v>
      </c>
      <c r="CB55" s="41"/>
      <c r="CC55" s="37" t="s">
        <v>32</v>
      </c>
      <c r="CD55" s="139" t="s">
        <v>122</v>
      </c>
      <c r="CE55" s="21"/>
      <c r="CF55" s="92" t="s">
        <v>646</v>
      </c>
      <c r="CG55" s="93" t="s">
        <v>647</v>
      </c>
      <c r="CH55" s="21"/>
      <c r="CI55" s="92" t="s">
        <v>646</v>
      </c>
      <c r="CJ55" s="93" t="s">
        <v>647</v>
      </c>
      <c r="CK55" s="21"/>
      <c r="CL55" s="22" t="s">
        <v>646</v>
      </c>
      <c r="CM55" s="12"/>
      <c r="CN55" s="48"/>
      <c r="CO55" s="96" t="s">
        <v>647</v>
      </c>
      <c r="CP55" s="21"/>
      <c r="CQ55" s="2" t="s">
        <v>658</v>
      </c>
      <c r="CR55" s="97">
        <v>80.0</v>
      </c>
      <c r="CS55" s="2" t="s">
        <v>42</v>
      </c>
      <c r="CT55" s="98">
        <v>174.0</v>
      </c>
      <c r="CU55" s="2"/>
      <c r="CV55" s="52" t="s">
        <v>149</v>
      </c>
      <c r="CW55" s="52" t="s">
        <v>149</v>
      </c>
      <c r="CX55" s="2"/>
      <c r="CY55" s="118" t="s">
        <v>106</v>
      </c>
      <c r="CZ55" s="119" t="s">
        <v>277</v>
      </c>
      <c r="DA55" s="2"/>
      <c r="DB55" s="98">
        <v>75.0</v>
      </c>
      <c r="DC55" s="2"/>
      <c r="DD55" s="101" t="s">
        <v>150</v>
      </c>
      <c r="DE55" s="2"/>
      <c r="DF55" s="120" t="s">
        <v>659</v>
      </c>
      <c r="DG55" s="121"/>
      <c r="DH55" s="121"/>
      <c r="DI55" s="2"/>
      <c r="DJ55" s="2"/>
      <c r="DK55" s="59" t="s">
        <v>660</v>
      </c>
      <c r="DL55" s="37" t="s">
        <v>156</v>
      </c>
      <c r="DM55" s="37" t="str">
        <f t="shared" si="3"/>
        <v>#NAME?</v>
      </c>
      <c r="DN55" s="61"/>
      <c r="DO55" s="37">
        <v>250.0</v>
      </c>
      <c r="DP55" s="105">
        <v>1.0</v>
      </c>
      <c r="DQ55" s="62" t="s">
        <v>293</v>
      </c>
      <c r="DR55" s="63"/>
      <c r="DS55" s="198"/>
      <c r="DT55" s="108"/>
      <c r="DU55" s="108"/>
      <c r="DV55" s="182"/>
      <c r="DW55" s="182"/>
      <c r="DX55" s="182"/>
      <c r="DY55" s="182"/>
      <c r="EB55" s="2"/>
      <c r="EC55" s="2"/>
      <c r="ED55" s="2"/>
      <c r="EE55" s="2"/>
      <c r="EF55" s="68" t="s">
        <v>661</v>
      </c>
      <c r="EG55" s="69" t="str">
        <f>image("https://www.pokebip.com/pages/icones/objets/grosse-racine.png", 3)</f>
        <v/>
      </c>
      <c r="EH55" s="69"/>
      <c r="EI55" s="69"/>
    </row>
    <row r="56" ht="15.75" customHeight="1">
      <c r="A56" s="1">
        <v>56.0</v>
      </c>
      <c r="B56" s="2" t="s">
        <v>662</v>
      </c>
      <c r="C56" s="7"/>
      <c r="D56" s="167" t="s">
        <v>663</v>
      </c>
      <c r="E56" s="5"/>
      <c r="F56" s="168"/>
      <c r="G56" s="7"/>
      <c r="H56" s="8" t="s">
        <v>664</v>
      </c>
      <c r="I56" s="9" t="s">
        <v>665</v>
      </c>
      <c r="J56" s="10" t="str">
        <f>image("https://archives.bulbagarden.net/media/upload/8/87/056MS6.png", 3)</f>
        <v/>
      </c>
      <c r="K56" s="11" t="s">
        <v>663</v>
      </c>
      <c r="L56" s="12"/>
      <c r="M56" s="12"/>
      <c r="N56" s="12"/>
      <c r="O56" s="12"/>
      <c r="Q56" s="71">
        <v>40.0</v>
      </c>
      <c r="R56" s="72">
        <v>80.0</v>
      </c>
      <c r="S56" s="73">
        <v>35.0</v>
      </c>
      <c r="T56" s="74">
        <v>35.0</v>
      </c>
      <c r="U56" s="75">
        <v>45.0</v>
      </c>
      <c r="V56" s="76">
        <v>70.0</v>
      </c>
      <c r="W56" s="77">
        <v>305.0</v>
      </c>
      <c r="X56" s="21"/>
      <c r="Y56" s="71">
        <v>40.0</v>
      </c>
      <c r="Z56" s="72">
        <v>80.0</v>
      </c>
      <c r="AA56" s="73">
        <v>35.0</v>
      </c>
      <c r="AB56" s="74">
        <v>35.0</v>
      </c>
      <c r="AC56" s="75">
        <v>45.0</v>
      </c>
      <c r="AD56" s="76">
        <v>70.0</v>
      </c>
      <c r="AE56" s="77">
        <v>305.0</v>
      </c>
      <c r="AF56" s="21"/>
      <c r="AG56" s="71">
        <v>40.0</v>
      </c>
      <c r="AH56" s="72">
        <v>80.0</v>
      </c>
      <c r="AI56" s="73">
        <v>35.0</v>
      </c>
      <c r="AJ56" s="74">
        <v>35.0</v>
      </c>
      <c r="AK56" s="75">
        <v>45.0</v>
      </c>
      <c r="AL56" s="76">
        <v>70.0</v>
      </c>
      <c r="AM56" s="77">
        <v>305.0</v>
      </c>
      <c r="AN56" s="21"/>
      <c r="AO56" s="22">
        <v>40.0</v>
      </c>
      <c r="AP56" s="23">
        <v>80.0</v>
      </c>
      <c r="AQ56" s="23">
        <v>35.0</v>
      </c>
      <c r="AR56" s="23">
        <v>35.0</v>
      </c>
      <c r="AS56" s="23">
        <v>45.0</v>
      </c>
      <c r="AT56" s="23">
        <v>70.0</v>
      </c>
      <c r="AU56" s="24">
        <v>305.0</v>
      </c>
      <c r="AV56" s="21"/>
      <c r="AW56" s="78">
        <v>40.0</v>
      </c>
      <c r="AX56" s="79">
        <v>80.0</v>
      </c>
      <c r="AY56" s="79">
        <v>35.0</v>
      </c>
      <c r="AZ56" s="79">
        <v>35.0</v>
      </c>
      <c r="BA56" s="79">
        <v>45.0</v>
      </c>
      <c r="BB56" s="79">
        <v>70.0</v>
      </c>
      <c r="BC56" s="201">
        <v>305.0</v>
      </c>
      <c r="BE56" s="194" t="s">
        <v>325</v>
      </c>
      <c r="BF56" s="127"/>
      <c r="BG56" s="128"/>
      <c r="BI56" s="31" t="s">
        <v>5</v>
      </c>
      <c r="BJ56" s="32">
        <v>1.0</v>
      </c>
      <c r="BK56" s="32" t="s">
        <v>5</v>
      </c>
      <c r="BL56" s="32" t="s">
        <v>5</v>
      </c>
      <c r="BM56" s="32" t="s">
        <v>5</v>
      </c>
      <c r="BN56" s="33" t="s">
        <v>5</v>
      </c>
      <c r="BP56" s="85" t="s">
        <v>64</v>
      </c>
      <c r="BQ56" s="129"/>
      <c r="BS56" s="87" t="s">
        <v>64</v>
      </c>
      <c r="BT56" s="130"/>
      <c r="BU56" s="37" t="str">
        <f t="shared" si="1"/>
        <v>#NAME?</v>
      </c>
      <c r="BV56" s="89" t="s">
        <v>64</v>
      </c>
      <c r="BW56" s="37" t="str">
        <f t="shared" si="2"/>
        <v>#NAME?</v>
      </c>
      <c r="BX56" s="89"/>
      <c r="BY56" s="144"/>
      <c r="BZ56" s="144"/>
      <c r="CA56" s="145" t="s">
        <v>64</v>
      </c>
      <c r="CB56" s="146"/>
      <c r="CC56" s="90" t="s">
        <v>64</v>
      </c>
      <c r="CD56" s="147"/>
      <c r="CE56" s="21"/>
      <c r="CF56" s="92" t="s">
        <v>666</v>
      </c>
      <c r="CG56" s="93" t="s">
        <v>667</v>
      </c>
      <c r="CH56" s="21"/>
      <c r="CI56" s="92" t="s">
        <v>666</v>
      </c>
      <c r="CJ56" s="93" t="s">
        <v>667</v>
      </c>
      <c r="CK56" s="21"/>
      <c r="CL56" s="22" t="s">
        <v>666</v>
      </c>
      <c r="CM56" s="12"/>
      <c r="CN56" s="48"/>
      <c r="CO56" s="96" t="s">
        <v>667</v>
      </c>
      <c r="CP56" s="21"/>
      <c r="CQ56" s="2" t="s">
        <v>668</v>
      </c>
      <c r="CR56" s="97">
        <v>60.0</v>
      </c>
      <c r="CS56" s="2" t="s">
        <v>325</v>
      </c>
      <c r="CT56" s="98">
        <v>74.0</v>
      </c>
      <c r="CU56" s="2"/>
      <c r="CV56" s="52" t="s">
        <v>149</v>
      </c>
      <c r="CW56" s="52" t="s">
        <v>149</v>
      </c>
      <c r="CX56" s="2"/>
      <c r="CY56" s="100" t="s">
        <v>277</v>
      </c>
      <c r="CZ56" s="154"/>
      <c r="DA56" s="2"/>
      <c r="DB56" s="98">
        <v>190.0</v>
      </c>
      <c r="DC56" s="2"/>
      <c r="DD56" s="101" t="s">
        <v>150</v>
      </c>
      <c r="DE56" s="2"/>
      <c r="DF56" s="131" t="s">
        <v>669</v>
      </c>
      <c r="DG56" s="103"/>
      <c r="DH56" s="103"/>
      <c r="DI56" s="21"/>
      <c r="DJ56" s="21"/>
      <c r="DK56" s="59" t="s">
        <v>670</v>
      </c>
      <c r="DL56" s="37" t="s">
        <v>156</v>
      </c>
      <c r="DM56" s="37" t="str">
        <f t="shared" si="3"/>
        <v>#NAME?</v>
      </c>
      <c r="DN56" s="61"/>
      <c r="DO56" s="37">
        <v>80.0</v>
      </c>
      <c r="DP56" s="105">
        <v>1.0</v>
      </c>
      <c r="DQ56" s="62" t="s">
        <v>293</v>
      </c>
      <c r="DR56" s="63"/>
      <c r="DS56" s="198"/>
      <c r="DT56" s="108"/>
      <c r="DU56" s="108"/>
      <c r="DV56" s="182"/>
      <c r="DW56" s="182"/>
      <c r="DX56" s="182"/>
      <c r="DY56" s="182"/>
      <c r="EB56" s="21"/>
      <c r="EC56" s="21"/>
      <c r="ED56" s="21"/>
      <c r="EE56" s="21"/>
      <c r="EF56" s="68" t="s">
        <v>671</v>
      </c>
      <c r="EG56" s="69" t="str">
        <f>image("https://www.pokebip.com/pages/icones/objets/boue-noire.png", 3)</f>
        <v/>
      </c>
      <c r="EH56" s="69"/>
      <c r="EI56" s="69"/>
    </row>
    <row r="57" ht="15.75" customHeight="1">
      <c r="A57" s="1">
        <v>57.0</v>
      </c>
      <c r="B57" s="2" t="s">
        <v>672</v>
      </c>
      <c r="C57" s="7"/>
      <c r="D57" s="167" t="s">
        <v>673</v>
      </c>
      <c r="E57" s="5"/>
      <c r="F57" s="168"/>
      <c r="G57" s="7"/>
      <c r="H57" s="8" t="s">
        <v>674</v>
      </c>
      <c r="I57" s="9" t="s">
        <v>675</v>
      </c>
      <c r="J57" s="10" t="str">
        <f>image("https://archives.bulbagarden.net/media/upload/0/01/057MS6.png", 3)</f>
        <v/>
      </c>
      <c r="K57" s="11" t="s">
        <v>673</v>
      </c>
      <c r="L57" s="12"/>
      <c r="M57" s="12"/>
      <c r="N57" s="12"/>
      <c r="O57" s="12"/>
      <c r="Q57" s="71">
        <v>65.0</v>
      </c>
      <c r="R57" s="72">
        <v>105.0</v>
      </c>
      <c r="S57" s="73">
        <v>60.0</v>
      </c>
      <c r="T57" s="74">
        <v>60.0</v>
      </c>
      <c r="U57" s="75">
        <v>70.0</v>
      </c>
      <c r="V57" s="76">
        <v>95.0</v>
      </c>
      <c r="W57" s="77">
        <v>455.0</v>
      </c>
      <c r="X57" s="21"/>
      <c r="Y57" s="71">
        <v>65.0</v>
      </c>
      <c r="Z57" s="72">
        <v>105.0</v>
      </c>
      <c r="AA57" s="73">
        <v>60.0</v>
      </c>
      <c r="AB57" s="74">
        <v>60.0</v>
      </c>
      <c r="AC57" s="75">
        <v>70.0</v>
      </c>
      <c r="AD57" s="76">
        <v>95.0</v>
      </c>
      <c r="AE57" s="77">
        <v>455.0</v>
      </c>
      <c r="AF57" s="21"/>
      <c r="AG57" s="71">
        <v>65.0</v>
      </c>
      <c r="AH57" s="72">
        <v>105.0</v>
      </c>
      <c r="AI57" s="73">
        <v>60.0</v>
      </c>
      <c r="AJ57" s="74">
        <v>60.0</v>
      </c>
      <c r="AK57" s="75">
        <v>70.0</v>
      </c>
      <c r="AL57" s="76">
        <v>95.0</v>
      </c>
      <c r="AM57" s="77">
        <v>455.0</v>
      </c>
      <c r="AN57" s="21"/>
      <c r="AO57" s="22">
        <v>65.0</v>
      </c>
      <c r="AP57" s="23">
        <v>105.0</v>
      </c>
      <c r="AQ57" s="23">
        <v>60.0</v>
      </c>
      <c r="AR57" s="23">
        <v>60.0</v>
      </c>
      <c r="AS57" s="23">
        <v>70.0</v>
      </c>
      <c r="AT57" s="23">
        <v>95.0</v>
      </c>
      <c r="AU57" s="24">
        <v>455.0</v>
      </c>
      <c r="AV57" s="21"/>
      <c r="AW57" s="78">
        <v>65.0</v>
      </c>
      <c r="AX57" s="79">
        <v>105.0</v>
      </c>
      <c r="AY57" s="79">
        <v>60.0</v>
      </c>
      <c r="AZ57" s="79">
        <v>60.0</v>
      </c>
      <c r="BA57" s="79">
        <v>70.0</v>
      </c>
      <c r="BB57" s="79">
        <v>95.0</v>
      </c>
      <c r="BC57" s="201">
        <v>455.0</v>
      </c>
      <c r="BE57" s="172" t="s">
        <v>216</v>
      </c>
      <c r="BF57" s="113"/>
      <c r="BG57" s="93"/>
      <c r="BI57" s="31" t="s">
        <v>5</v>
      </c>
      <c r="BJ57" s="32">
        <v>2.0</v>
      </c>
      <c r="BK57" s="32" t="s">
        <v>5</v>
      </c>
      <c r="BL57" s="32" t="s">
        <v>5</v>
      </c>
      <c r="BM57" s="32" t="s">
        <v>5</v>
      </c>
      <c r="BN57" s="33" t="s">
        <v>5</v>
      </c>
      <c r="BP57" s="115" t="s">
        <v>64</v>
      </c>
      <c r="BQ57" s="93"/>
      <c r="BS57" s="115" t="s">
        <v>64</v>
      </c>
      <c r="BT57" s="133"/>
      <c r="BU57" s="37" t="str">
        <f t="shared" si="1"/>
        <v>#NAME?</v>
      </c>
      <c r="BV57" s="89" t="s">
        <v>64</v>
      </c>
      <c r="BW57" s="37" t="str">
        <f t="shared" si="2"/>
        <v>#NAME?</v>
      </c>
      <c r="BX57" s="89"/>
      <c r="BY57" s="39"/>
      <c r="BZ57" s="39"/>
      <c r="CA57" s="40" t="s">
        <v>64</v>
      </c>
      <c r="CB57" s="41"/>
      <c r="CC57" s="90" t="s">
        <v>64</v>
      </c>
      <c r="CD57" s="91"/>
      <c r="CE57" s="21"/>
      <c r="CF57" s="92" t="s">
        <v>666</v>
      </c>
      <c r="CG57" s="93" t="s">
        <v>667</v>
      </c>
      <c r="CH57" s="21"/>
      <c r="CI57" s="92" t="s">
        <v>666</v>
      </c>
      <c r="CJ57" s="93" t="s">
        <v>667</v>
      </c>
      <c r="CK57" s="21"/>
      <c r="CL57" s="22" t="s">
        <v>666</v>
      </c>
      <c r="CM57" s="12"/>
      <c r="CN57" s="48"/>
      <c r="CO57" s="96" t="s">
        <v>667</v>
      </c>
      <c r="CP57" s="21"/>
      <c r="CQ57" s="2" t="s">
        <v>181</v>
      </c>
      <c r="CR57" s="97">
        <v>60.0</v>
      </c>
      <c r="CS57" s="2" t="s">
        <v>216</v>
      </c>
      <c r="CT57" s="98">
        <v>149.0</v>
      </c>
      <c r="CU57" s="2"/>
      <c r="CV57" s="52" t="s">
        <v>149</v>
      </c>
      <c r="CW57" s="52" t="s">
        <v>149</v>
      </c>
      <c r="CX57" s="2"/>
      <c r="CY57" s="119" t="s">
        <v>277</v>
      </c>
      <c r="CZ57" s="160"/>
      <c r="DA57" s="2"/>
      <c r="DB57" s="98">
        <v>75.0</v>
      </c>
      <c r="DC57" s="2"/>
      <c r="DD57" s="101" t="s">
        <v>150</v>
      </c>
      <c r="DE57" s="2"/>
      <c r="DF57" s="120" t="s">
        <v>676</v>
      </c>
      <c r="DG57" s="121"/>
      <c r="DH57" s="121"/>
      <c r="DI57" s="2"/>
      <c r="DJ57" s="2"/>
      <c r="DK57" s="59" t="s">
        <v>677</v>
      </c>
      <c r="DL57" s="37" t="s">
        <v>156</v>
      </c>
      <c r="DM57" s="37" t="str">
        <f t="shared" si="3"/>
        <v>#NAME?</v>
      </c>
      <c r="DN57" s="61"/>
      <c r="DO57" s="37">
        <v>70.0</v>
      </c>
      <c r="DP57" s="105">
        <v>1.0</v>
      </c>
      <c r="DQ57" s="62" t="s">
        <v>20</v>
      </c>
      <c r="DR57" s="63"/>
      <c r="DS57" s="198"/>
      <c r="DT57" s="108"/>
      <c r="DU57" s="108"/>
      <c r="DV57" s="182"/>
      <c r="DW57" s="182"/>
      <c r="DX57" s="182"/>
      <c r="DY57" s="182"/>
      <c r="EB57" s="2"/>
      <c r="EC57" s="2"/>
      <c r="ED57" s="2"/>
      <c r="EE57" s="2"/>
      <c r="EF57" s="68" t="s">
        <v>678</v>
      </c>
      <c r="EG57" s="69" t="str">
        <f>image("https://www.pokebip.com/pages/icones/objets/restes.png", 3)</f>
        <v/>
      </c>
      <c r="EH57" s="69"/>
      <c r="EI57" s="69"/>
    </row>
    <row r="58" ht="15.75" customHeight="1">
      <c r="A58" s="1">
        <v>58.0</v>
      </c>
      <c r="B58" s="2" t="s">
        <v>679</v>
      </c>
      <c r="C58" s="7"/>
      <c r="D58" s="167" t="s">
        <v>680</v>
      </c>
      <c r="E58" s="5"/>
      <c r="F58" s="168"/>
      <c r="G58" s="7"/>
      <c r="H58" s="8" t="s">
        <v>681</v>
      </c>
      <c r="I58" s="9" t="s">
        <v>682</v>
      </c>
      <c r="J58" s="10" t="str">
        <f>image("https://archives.bulbagarden.net/media/upload/b/b8/058MS6.png", 3)</f>
        <v/>
      </c>
      <c r="K58" s="11" t="s">
        <v>680</v>
      </c>
      <c r="L58" s="12"/>
      <c r="M58" s="12"/>
      <c r="N58" s="12"/>
      <c r="O58" s="12"/>
      <c r="Q58" s="71">
        <v>55.0</v>
      </c>
      <c r="R58" s="72">
        <v>70.0</v>
      </c>
      <c r="S58" s="73">
        <v>45.0</v>
      </c>
      <c r="T58" s="74">
        <v>70.0</v>
      </c>
      <c r="U58" s="75">
        <v>50.0</v>
      </c>
      <c r="V58" s="76">
        <v>60.0</v>
      </c>
      <c r="W58" s="77">
        <v>350.0</v>
      </c>
      <c r="X58" s="21"/>
      <c r="Y58" s="71">
        <v>55.0</v>
      </c>
      <c r="Z58" s="72">
        <v>70.0</v>
      </c>
      <c r="AA58" s="73">
        <v>45.0</v>
      </c>
      <c r="AB58" s="74">
        <v>70.0</v>
      </c>
      <c r="AC58" s="75">
        <v>50.0</v>
      </c>
      <c r="AD58" s="76">
        <v>60.0</v>
      </c>
      <c r="AE58" s="77">
        <v>350.0</v>
      </c>
      <c r="AF58" s="21"/>
      <c r="AG58" s="71">
        <v>55.0</v>
      </c>
      <c r="AH58" s="72">
        <v>70.0</v>
      </c>
      <c r="AI58" s="73">
        <v>45.0</v>
      </c>
      <c r="AJ58" s="74">
        <v>70.0</v>
      </c>
      <c r="AK58" s="75">
        <v>50.0</v>
      </c>
      <c r="AL58" s="76">
        <v>60.0</v>
      </c>
      <c r="AM58" s="77">
        <v>350.0</v>
      </c>
      <c r="AN58" s="21"/>
      <c r="AO58" s="22">
        <v>55.0</v>
      </c>
      <c r="AP58" s="23">
        <v>70.0</v>
      </c>
      <c r="AQ58" s="23">
        <v>45.0</v>
      </c>
      <c r="AR58" s="23">
        <v>70.0</v>
      </c>
      <c r="AS58" s="23">
        <v>50.0</v>
      </c>
      <c r="AT58" s="23">
        <v>60.0</v>
      </c>
      <c r="AU58" s="24">
        <v>350.0</v>
      </c>
      <c r="AV58" s="21"/>
      <c r="AW58" s="78">
        <v>55.0</v>
      </c>
      <c r="AX58" s="79">
        <v>70.0</v>
      </c>
      <c r="AY58" s="79">
        <v>45.0</v>
      </c>
      <c r="AZ58" s="79">
        <v>70.0</v>
      </c>
      <c r="BA58" s="79">
        <v>50.0</v>
      </c>
      <c r="BB58" s="79">
        <v>60.0</v>
      </c>
      <c r="BC58" s="201">
        <v>350.0</v>
      </c>
      <c r="BE58" s="194" t="s">
        <v>325</v>
      </c>
      <c r="BF58" s="127"/>
      <c r="BG58" s="128"/>
      <c r="BI58" s="31" t="s">
        <v>5</v>
      </c>
      <c r="BJ58" s="32">
        <v>1.0</v>
      </c>
      <c r="BK58" s="32" t="s">
        <v>5</v>
      </c>
      <c r="BL58" s="32" t="s">
        <v>5</v>
      </c>
      <c r="BM58" s="32" t="s">
        <v>5</v>
      </c>
      <c r="BN58" s="33" t="s">
        <v>5</v>
      </c>
      <c r="BP58" s="85" t="s">
        <v>34</v>
      </c>
      <c r="BQ58" s="129"/>
      <c r="BS58" s="87" t="s">
        <v>34</v>
      </c>
      <c r="BT58" s="130"/>
      <c r="BU58" s="37" t="str">
        <f t="shared" si="1"/>
        <v>#NAME?</v>
      </c>
      <c r="BV58" s="89" t="s">
        <v>34</v>
      </c>
      <c r="BW58" s="37" t="str">
        <f t="shared" si="2"/>
        <v>#NAME?</v>
      </c>
      <c r="BX58" s="89"/>
      <c r="BY58" s="39"/>
      <c r="BZ58" s="39"/>
      <c r="CA58" s="40" t="s">
        <v>34</v>
      </c>
      <c r="CB58" s="41"/>
      <c r="CC58" s="90" t="s">
        <v>34</v>
      </c>
      <c r="CD58" s="91"/>
      <c r="CE58" s="21"/>
      <c r="CF58" s="92" t="s">
        <v>326</v>
      </c>
      <c r="CG58" s="93" t="s">
        <v>486</v>
      </c>
      <c r="CH58" s="21"/>
      <c r="CI58" s="92" t="s">
        <v>326</v>
      </c>
      <c r="CJ58" s="93" t="s">
        <v>486</v>
      </c>
      <c r="CK58" s="21"/>
      <c r="CL58" s="22" t="s">
        <v>326</v>
      </c>
      <c r="CM58" s="12"/>
      <c r="CN58" s="48"/>
      <c r="CO58" s="96" t="s">
        <v>486</v>
      </c>
      <c r="CP58" s="21"/>
      <c r="CQ58" s="2" t="s">
        <v>72</v>
      </c>
      <c r="CR58" s="97">
        <v>40.0</v>
      </c>
      <c r="CS58" s="2" t="s">
        <v>325</v>
      </c>
      <c r="CT58" s="98">
        <v>91.0</v>
      </c>
      <c r="CU58" s="2"/>
      <c r="CV58" s="52" t="s">
        <v>467</v>
      </c>
      <c r="CW58" s="52" t="s">
        <v>466</v>
      </c>
      <c r="CX58" s="2"/>
      <c r="CY58" s="100" t="s">
        <v>277</v>
      </c>
      <c r="CZ58" s="154"/>
      <c r="DA58" s="2"/>
      <c r="DB58" s="98">
        <v>190.0</v>
      </c>
      <c r="DC58" s="2"/>
      <c r="DD58" s="101" t="s">
        <v>683</v>
      </c>
      <c r="DE58" s="2"/>
      <c r="DF58" s="131" t="s">
        <v>684</v>
      </c>
      <c r="DG58" s="103"/>
      <c r="DH58" s="103"/>
      <c r="DI58" s="21"/>
      <c r="DJ58" s="21"/>
      <c r="DK58" s="59" t="s">
        <v>685</v>
      </c>
      <c r="DL58" s="37" t="s">
        <v>76</v>
      </c>
      <c r="DM58" s="37" t="str">
        <f t="shared" si="3"/>
        <v>#NAME?</v>
      </c>
      <c r="DN58" s="61"/>
      <c r="DO58" s="37">
        <v>60.0</v>
      </c>
      <c r="DP58" s="37" t="s">
        <v>19</v>
      </c>
      <c r="DQ58" s="62" t="s">
        <v>20</v>
      </c>
      <c r="DR58" s="63"/>
      <c r="DS58" s="198"/>
      <c r="DT58" s="108"/>
      <c r="DU58" s="108"/>
      <c r="DV58" s="182"/>
      <c r="DW58" s="182"/>
      <c r="DX58" s="182"/>
      <c r="DY58" s="182"/>
      <c r="EB58" s="21"/>
      <c r="EC58" s="21"/>
      <c r="ED58" s="21"/>
      <c r="EE58" s="21"/>
      <c r="EG58" s="108"/>
    </row>
    <row r="59" ht="15.75" customHeight="1">
      <c r="A59" s="1">
        <v>59.0</v>
      </c>
      <c r="B59" s="2" t="s">
        <v>686</v>
      </c>
      <c r="C59" s="7"/>
      <c r="D59" s="167" t="s">
        <v>687</v>
      </c>
      <c r="E59" s="5"/>
      <c r="F59" s="168"/>
      <c r="G59" s="7"/>
      <c r="H59" s="8" t="s">
        <v>688</v>
      </c>
      <c r="I59" s="9" t="s">
        <v>689</v>
      </c>
      <c r="J59" s="10" t="str">
        <f>image("https://archives.bulbagarden.net/media/upload/0/04/059MS6.png", 3)</f>
        <v/>
      </c>
      <c r="K59" s="11" t="s">
        <v>687</v>
      </c>
      <c r="L59" s="12"/>
      <c r="M59" s="12"/>
      <c r="N59" s="12"/>
      <c r="O59" s="12"/>
      <c r="Q59" s="71">
        <v>90.0</v>
      </c>
      <c r="R59" s="72">
        <v>110.0</v>
      </c>
      <c r="S59" s="73">
        <v>80.0</v>
      </c>
      <c r="T59" s="74">
        <v>100.0</v>
      </c>
      <c r="U59" s="75">
        <v>80.0</v>
      </c>
      <c r="V59" s="76">
        <v>95.0</v>
      </c>
      <c r="W59" s="77">
        <v>555.0</v>
      </c>
      <c r="X59" s="21"/>
      <c r="Y59" s="71">
        <v>90.0</v>
      </c>
      <c r="Z59" s="72">
        <v>110.0</v>
      </c>
      <c r="AA59" s="73">
        <v>80.0</v>
      </c>
      <c r="AB59" s="74">
        <v>100.0</v>
      </c>
      <c r="AC59" s="75">
        <v>80.0</v>
      </c>
      <c r="AD59" s="76">
        <v>95.0</v>
      </c>
      <c r="AE59" s="77">
        <v>555.0</v>
      </c>
      <c r="AF59" s="21"/>
      <c r="AG59" s="71">
        <v>90.0</v>
      </c>
      <c r="AH59" s="72">
        <v>110.0</v>
      </c>
      <c r="AI59" s="73">
        <v>80.0</v>
      </c>
      <c r="AJ59" s="74">
        <v>100.0</v>
      </c>
      <c r="AK59" s="75">
        <v>80.0</v>
      </c>
      <c r="AL59" s="76">
        <v>95.0</v>
      </c>
      <c r="AM59" s="77">
        <v>555.0</v>
      </c>
      <c r="AN59" s="21"/>
      <c r="AO59" s="22">
        <v>90.0</v>
      </c>
      <c r="AP59" s="23">
        <v>110.0</v>
      </c>
      <c r="AQ59" s="23">
        <v>80.0</v>
      </c>
      <c r="AR59" s="23">
        <v>100.0</v>
      </c>
      <c r="AS59" s="23">
        <v>80.0</v>
      </c>
      <c r="AT59" s="23">
        <v>95.0</v>
      </c>
      <c r="AU59" s="24">
        <v>555.0</v>
      </c>
      <c r="AV59" s="21"/>
      <c r="AW59" s="78">
        <v>90.0</v>
      </c>
      <c r="AX59" s="79">
        <v>110.0</v>
      </c>
      <c r="AY59" s="79">
        <v>80.0</v>
      </c>
      <c r="AZ59" s="79">
        <v>100.0</v>
      </c>
      <c r="BA59" s="79">
        <v>80.0</v>
      </c>
      <c r="BB59" s="79">
        <v>95.0</v>
      </c>
      <c r="BC59" s="201">
        <v>555.0</v>
      </c>
      <c r="BE59" s="172" t="s">
        <v>216</v>
      </c>
      <c r="BF59" s="113"/>
      <c r="BG59" s="93"/>
      <c r="BI59" s="31" t="s">
        <v>5</v>
      </c>
      <c r="BJ59" s="32">
        <v>2.0</v>
      </c>
      <c r="BK59" s="32" t="s">
        <v>5</v>
      </c>
      <c r="BL59" s="32" t="s">
        <v>5</v>
      </c>
      <c r="BM59" s="32" t="s">
        <v>5</v>
      </c>
      <c r="BN59" s="33" t="s">
        <v>5</v>
      </c>
      <c r="BP59" s="115" t="s">
        <v>34</v>
      </c>
      <c r="BQ59" s="93"/>
      <c r="BS59" s="115" t="s">
        <v>34</v>
      </c>
      <c r="BT59" s="133"/>
      <c r="BU59" s="37" t="str">
        <f t="shared" si="1"/>
        <v>#NAME?</v>
      </c>
      <c r="BV59" s="89" t="s">
        <v>34</v>
      </c>
      <c r="BW59" s="37" t="str">
        <f t="shared" si="2"/>
        <v>#NAME?</v>
      </c>
      <c r="BX59" s="89"/>
      <c r="BY59" s="39"/>
      <c r="BZ59" s="39"/>
      <c r="CA59" s="40" t="s">
        <v>34</v>
      </c>
      <c r="CB59" s="41"/>
      <c r="CC59" s="90" t="s">
        <v>34</v>
      </c>
      <c r="CD59" s="91"/>
      <c r="CE59" s="21"/>
      <c r="CF59" s="92" t="s">
        <v>326</v>
      </c>
      <c r="CG59" s="93" t="s">
        <v>486</v>
      </c>
      <c r="CH59" s="21"/>
      <c r="CI59" s="92" t="s">
        <v>326</v>
      </c>
      <c r="CJ59" s="93" t="s">
        <v>486</v>
      </c>
      <c r="CK59" s="21"/>
      <c r="CL59" s="22" t="s">
        <v>326</v>
      </c>
      <c r="CM59" s="12"/>
      <c r="CN59" s="48"/>
      <c r="CO59" s="96" t="s">
        <v>486</v>
      </c>
      <c r="CP59" s="21"/>
      <c r="CQ59" s="2" t="s">
        <v>690</v>
      </c>
      <c r="CR59" s="97">
        <v>100.0</v>
      </c>
      <c r="CS59" s="2" t="s">
        <v>216</v>
      </c>
      <c r="CT59" s="98">
        <v>213.0</v>
      </c>
      <c r="CU59" s="2"/>
      <c r="CV59" s="52" t="s">
        <v>467</v>
      </c>
      <c r="CW59" s="52" t="s">
        <v>466</v>
      </c>
      <c r="CX59" s="2"/>
      <c r="CY59" s="119" t="s">
        <v>277</v>
      </c>
      <c r="CZ59" s="160"/>
      <c r="DA59" s="2"/>
      <c r="DB59" s="98">
        <v>75.0</v>
      </c>
      <c r="DC59" s="2"/>
      <c r="DD59" s="101" t="s">
        <v>683</v>
      </c>
      <c r="DE59" s="2"/>
      <c r="DF59" s="120" t="s">
        <v>691</v>
      </c>
      <c r="DG59" s="121"/>
      <c r="DH59" s="121"/>
      <c r="DI59" s="2"/>
      <c r="DJ59" s="2"/>
      <c r="DK59" s="59" t="s">
        <v>692</v>
      </c>
      <c r="DL59" s="37" t="s">
        <v>156</v>
      </c>
      <c r="DM59" s="37" t="str">
        <f t="shared" si="3"/>
        <v>#NAME?</v>
      </c>
      <c r="DN59" s="61"/>
      <c r="DO59" s="37">
        <v>40.0</v>
      </c>
      <c r="DP59" s="105">
        <v>1.0</v>
      </c>
      <c r="DQ59" s="62" t="s">
        <v>49</v>
      </c>
      <c r="DR59" s="63"/>
      <c r="DS59" s="198"/>
      <c r="DT59" s="108"/>
      <c r="DU59" s="108"/>
      <c r="DV59" s="182"/>
      <c r="DW59" s="182"/>
      <c r="DX59" s="182"/>
      <c r="DY59" s="182"/>
      <c r="EB59" s="2"/>
      <c r="EC59" s="2"/>
      <c r="ED59" s="2"/>
      <c r="EE59" s="2"/>
      <c r="EF59" s="68" t="s">
        <v>693</v>
      </c>
      <c r="EG59" s="69" t="str">
        <f>image("https://www.pokebip.com/pages/icones/objets/vive-griffe.png", 3)</f>
        <v/>
      </c>
      <c r="EH59" s="69"/>
      <c r="EI59" s="69"/>
    </row>
    <row r="60" ht="15.75" customHeight="1">
      <c r="A60" s="1">
        <v>60.0</v>
      </c>
      <c r="B60" s="2" t="s">
        <v>694</v>
      </c>
      <c r="C60" s="7"/>
      <c r="D60" s="140" t="s">
        <v>695</v>
      </c>
      <c r="E60" s="5"/>
      <c r="F60" s="141"/>
      <c r="G60" s="7"/>
      <c r="H60" s="8" t="s">
        <v>696</v>
      </c>
      <c r="I60" s="9" t="s">
        <v>697</v>
      </c>
      <c r="J60" s="10" t="str">
        <f>image("https://archives.bulbagarden.net/media/upload/1/1e/060MS6.png", 3)</f>
        <v/>
      </c>
      <c r="K60" s="11" t="s">
        <v>695</v>
      </c>
      <c r="L60" s="12"/>
      <c r="M60" s="12"/>
      <c r="N60" s="12"/>
      <c r="O60" s="12"/>
      <c r="Q60" s="71">
        <v>40.0</v>
      </c>
      <c r="R60" s="72">
        <v>50.0</v>
      </c>
      <c r="S60" s="73">
        <v>40.0</v>
      </c>
      <c r="T60" s="74">
        <v>40.0</v>
      </c>
      <c r="U60" s="75">
        <v>40.0</v>
      </c>
      <c r="V60" s="76">
        <v>90.0</v>
      </c>
      <c r="W60" s="77">
        <v>300.0</v>
      </c>
      <c r="X60" s="21"/>
      <c r="Y60" s="71">
        <v>40.0</v>
      </c>
      <c r="Z60" s="72">
        <v>50.0</v>
      </c>
      <c r="AA60" s="73">
        <v>40.0</v>
      </c>
      <c r="AB60" s="74">
        <v>40.0</v>
      </c>
      <c r="AC60" s="75">
        <v>40.0</v>
      </c>
      <c r="AD60" s="76">
        <v>90.0</v>
      </c>
      <c r="AE60" s="77">
        <v>300.0</v>
      </c>
      <c r="AF60" s="21"/>
      <c r="AG60" s="71">
        <v>40.0</v>
      </c>
      <c r="AH60" s="72">
        <v>50.0</v>
      </c>
      <c r="AI60" s="73">
        <v>40.0</v>
      </c>
      <c r="AJ60" s="74">
        <v>40.0</v>
      </c>
      <c r="AK60" s="75">
        <v>40.0</v>
      </c>
      <c r="AL60" s="76">
        <v>90.0</v>
      </c>
      <c r="AM60" s="77">
        <v>300.0</v>
      </c>
      <c r="AN60" s="21"/>
      <c r="AO60" s="22">
        <v>40.0</v>
      </c>
      <c r="AP60" s="23">
        <v>50.0</v>
      </c>
      <c r="AQ60" s="23">
        <v>40.0</v>
      </c>
      <c r="AR60" s="23">
        <v>40.0</v>
      </c>
      <c r="AS60" s="23">
        <v>40.0</v>
      </c>
      <c r="AT60" s="23">
        <v>90.0</v>
      </c>
      <c r="AU60" s="24">
        <v>300.0</v>
      </c>
      <c r="AV60" s="21"/>
      <c r="AW60" s="78">
        <v>40.0</v>
      </c>
      <c r="AX60" s="79">
        <v>50.0</v>
      </c>
      <c r="AY60" s="79">
        <v>40.0</v>
      </c>
      <c r="AZ60" s="79">
        <v>40.0</v>
      </c>
      <c r="BA60" s="79">
        <v>40.0</v>
      </c>
      <c r="BB60" s="79">
        <v>90.0</v>
      </c>
      <c r="BC60" s="201">
        <v>300.0</v>
      </c>
      <c r="BE60" s="126" t="s">
        <v>56</v>
      </c>
      <c r="BF60" s="127"/>
      <c r="BG60" s="128"/>
      <c r="BI60" s="31" t="s">
        <v>5</v>
      </c>
      <c r="BJ60" s="32" t="s">
        <v>5</v>
      </c>
      <c r="BK60" s="32" t="s">
        <v>5</v>
      </c>
      <c r="BL60" s="32" t="s">
        <v>5</v>
      </c>
      <c r="BM60" s="32" t="s">
        <v>5</v>
      </c>
      <c r="BN60" s="33">
        <v>1.0</v>
      </c>
      <c r="BP60" s="85" t="s">
        <v>32</v>
      </c>
      <c r="BQ60" s="129"/>
      <c r="BS60" s="87" t="s">
        <v>32</v>
      </c>
      <c r="BT60" s="130"/>
      <c r="BU60" s="37" t="str">
        <f t="shared" si="1"/>
        <v>#NAME?</v>
      </c>
      <c r="BV60" s="89" t="s">
        <v>32</v>
      </c>
      <c r="BW60" s="37" t="str">
        <f t="shared" si="2"/>
        <v>#NAME?</v>
      </c>
      <c r="BX60" s="89"/>
      <c r="BY60" s="39"/>
      <c r="BZ60" s="39"/>
      <c r="CA60" s="40" t="s">
        <v>32</v>
      </c>
      <c r="CB60" s="41"/>
      <c r="CC60" s="90" t="s">
        <v>32</v>
      </c>
      <c r="CD60" s="91"/>
      <c r="CE60" s="21"/>
      <c r="CF60" s="92" t="s">
        <v>698</v>
      </c>
      <c r="CG60" s="93" t="s">
        <v>646</v>
      </c>
      <c r="CH60" s="21"/>
      <c r="CI60" s="92" t="s">
        <v>698</v>
      </c>
      <c r="CJ60" s="93" t="s">
        <v>646</v>
      </c>
      <c r="CK60" s="21"/>
      <c r="CL60" s="22" t="s">
        <v>698</v>
      </c>
      <c r="CM60" s="12"/>
      <c r="CN60" s="48"/>
      <c r="CO60" s="96" t="s">
        <v>646</v>
      </c>
      <c r="CP60" s="21"/>
      <c r="CQ60" s="2" t="s">
        <v>699</v>
      </c>
      <c r="CR60" s="97">
        <v>40.0</v>
      </c>
      <c r="CS60" s="2" t="s">
        <v>56</v>
      </c>
      <c r="CT60" s="98">
        <v>77.0</v>
      </c>
      <c r="CU60" s="2"/>
      <c r="CV60" s="52" t="s">
        <v>149</v>
      </c>
      <c r="CW60" s="52" t="s">
        <v>149</v>
      </c>
      <c r="CX60" s="2"/>
      <c r="CY60" s="100" t="s">
        <v>106</v>
      </c>
      <c r="CZ60" s="154"/>
      <c r="DA60" s="2"/>
      <c r="DB60" s="98">
        <v>255.0</v>
      </c>
      <c r="DC60" s="2"/>
      <c r="DD60" s="101" t="s">
        <v>15</v>
      </c>
      <c r="DE60" s="2"/>
      <c r="DF60" s="131" t="s">
        <v>700</v>
      </c>
      <c r="DG60" s="103"/>
      <c r="DH60" s="103"/>
      <c r="DI60" s="21"/>
      <c r="DJ60" s="21"/>
      <c r="DK60" s="59" t="s">
        <v>701</v>
      </c>
      <c r="DL60" s="37" t="s">
        <v>156</v>
      </c>
      <c r="DM60" s="37" t="str">
        <f t="shared" si="3"/>
        <v>#NAME?</v>
      </c>
      <c r="DN60" s="61"/>
      <c r="DO60" s="37">
        <v>40.0</v>
      </c>
      <c r="DP60" s="105">
        <v>1.0</v>
      </c>
      <c r="DQ60" s="62" t="s">
        <v>702</v>
      </c>
      <c r="DR60" s="63"/>
      <c r="DS60" s="198"/>
      <c r="DT60" s="108"/>
      <c r="DU60" s="108"/>
      <c r="DV60" s="182"/>
      <c r="DW60" s="182"/>
      <c r="DX60" s="182"/>
      <c r="DY60" s="182"/>
      <c r="EB60" s="21"/>
      <c r="EC60" s="21"/>
      <c r="ED60" s="21"/>
      <c r="EE60" s="21"/>
      <c r="EF60" s="68" t="s">
        <v>703</v>
      </c>
      <c r="EG60" s="69" t="str">
        <f>image("https://www.pokebip.com/pages/icones/objets/ralentiqueue.png", 3)</f>
        <v/>
      </c>
      <c r="EH60" s="69"/>
      <c r="EI60" s="69"/>
    </row>
    <row r="61" ht="15.75" customHeight="1">
      <c r="A61" s="1">
        <v>61.0</v>
      </c>
      <c r="B61" s="2" t="s">
        <v>704</v>
      </c>
      <c r="C61" s="7"/>
      <c r="D61" s="140" t="s">
        <v>705</v>
      </c>
      <c r="E61" s="5"/>
      <c r="F61" s="141"/>
      <c r="G61" s="7"/>
      <c r="H61" s="8" t="s">
        <v>706</v>
      </c>
      <c r="I61" s="9" t="s">
        <v>707</v>
      </c>
      <c r="J61" s="10" t="str">
        <f>image("https://archives.bulbagarden.net/media/upload/2/2f/061MS6.png", 3)</f>
        <v/>
      </c>
      <c r="K61" s="11" t="s">
        <v>705</v>
      </c>
      <c r="L61" s="12"/>
      <c r="M61" s="12"/>
      <c r="N61" s="12"/>
      <c r="O61" s="12"/>
      <c r="Q61" s="71">
        <v>65.0</v>
      </c>
      <c r="R61" s="72">
        <v>65.0</v>
      </c>
      <c r="S61" s="73">
        <v>65.0</v>
      </c>
      <c r="T61" s="74">
        <v>50.0</v>
      </c>
      <c r="U61" s="75">
        <v>50.0</v>
      </c>
      <c r="V61" s="76">
        <v>90.0</v>
      </c>
      <c r="W61" s="77">
        <v>385.0</v>
      </c>
      <c r="X61" s="21"/>
      <c r="Y61" s="71">
        <v>65.0</v>
      </c>
      <c r="Z61" s="72">
        <v>65.0</v>
      </c>
      <c r="AA61" s="73">
        <v>65.0</v>
      </c>
      <c r="AB61" s="74">
        <v>50.0</v>
      </c>
      <c r="AC61" s="75">
        <v>50.0</v>
      </c>
      <c r="AD61" s="76">
        <v>90.0</v>
      </c>
      <c r="AE61" s="77">
        <v>385.0</v>
      </c>
      <c r="AF61" s="21"/>
      <c r="AG61" s="71">
        <v>65.0</v>
      </c>
      <c r="AH61" s="72">
        <v>65.0</v>
      </c>
      <c r="AI61" s="73">
        <v>65.0</v>
      </c>
      <c r="AJ61" s="74">
        <v>50.0</v>
      </c>
      <c r="AK61" s="75">
        <v>50.0</v>
      </c>
      <c r="AL61" s="76">
        <v>90.0</v>
      </c>
      <c r="AM61" s="77">
        <v>385.0</v>
      </c>
      <c r="AN61" s="21"/>
      <c r="AO61" s="22">
        <v>65.0</v>
      </c>
      <c r="AP61" s="23">
        <v>65.0</v>
      </c>
      <c r="AQ61" s="23">
        <v>65.0</v>
      </c>
      <c r="AR61" s="23">
        <v>50.0</v>
      </c>
      <c r="AS61" s="23">
        <v>50.0</v>
      </c>
      <c r="AT61" s="23">
        <v>90.0</v>
      </c>
      <c r="AU61" s="24">
        <v>385.0</v>
      </c>
      <c r="AV61" s="21"/>
      <c r="AW61" s="78">
        <v>65.0</v>
      </c>
      <c r="AX61" s="80">
        <v>65.0</v>
      </c>
      <c r="AY61" s="79">
        <v>65.0</v>
      </c>
      <c r="AZ61" s="79">
        <v>50.0</v>
      </c>
      <c r="BA61" s="79">
        <v>50.0</v>
      </c>
      <c r="BB61" s="79">
        <v>90.0</v>
      </c>
      <c r="BC61" s="81">
        <v>385.0</v>
      </c>
      <c r="BE61" s="176" t="s">
        <v>248</v>
      </c>
      <c r="BF61" s="113"/>
      <c r="BG61" s="93"/>
      <c r="BI61" s="31" t="s">
        <v>5</v>
      </c>
      <c r="BJ61" s="32" t="s">
        <v>5</v>
      </c>
      <c r="BK61" s="32" t="s">
        <v>5</v>
      </c>
      <c r="BL61" s="32" t="s">
        <v>5</v>
      </c>
      <c r="BM61" s="32" t="s">
        <v>5</v>
      </c>
      <c r="BN61" s="33">
        <v>2.0</v>
      </c>
      <c r="BP61" s="115" t="s">
        <v>32</v>
      </c>
      <c r="BQ61" s="93"/>
      <c r="BS61" s="115" t="s">
        <v>32</v>
      </c>
      <c r="BT61" s="133"/>
      <c r="BU61" s="37" t="str">
        <f t="shared" si="1"/>
        <v>#NAME?</v>
      </c>
      <c r="BV61" s="89" t="s">
        <v>32</v>
      </c>
      <c r="BW61" s="37" t="str">
        <f t="shared" si="2"/>
        <v>#NAME?</v>
      </c>
      <c r="BX61" s="89"/>
      <c r="BY61" s="39"/>
      <c r="BZ61" s="39"/>
      <c r="CA61" s="40" t="s">
        <v>32</v>
      </c>
      <c r="CB61" s="41"/>
      <c r="CC61" s="90" t="s">
        <v>32</v>
      </c>
      <c r="CD61" s="91"/>
      <c r="CE61" s="21"/>
      <c r="CF61" s="92" t="s">
        <v>698</v>
      </c>
      <c r="CG61" s="93" t="s">
        <v>646</v>
      </c>
      <c r="CH61" s="21"/>
      <c r="CI61" s="92" t="s">
        <v>698</v>
      </c>
      <c r="CJ61" s="93" t="s">
        <v>646</v>
      </c>
      <c r="CK61" s="21"/>
      <c r="CL61" s="22" t="s">
        <v>698</v>
      </c>
      <c r="CM61" s="12"/>
      <c r="CN61" s="48"/>
      <c r="CO61" s="96" t="s">
        <v>646</v>
      </c>
      <c r="CP61" s="21"/>
      <c r="CQ61" s="2" t="s">
        <v>410</v>
      </c>
      <c r="CR61" s="97">
        <v>40.0</v>
      </c>
      <c r="CS61" s="2" t="s">
        <v>248</v>
      </c>
      <c r="CT61" s="98">
        <v>131.0</v>
      </c>
      <c r="CU61" s="2"/>
      <c r="CV61" s="52" t="s">
        <v>149</v>
      </c>
      <c r="CW61" s="52" t="s">
        <v>149</v>
      </c>
      <c r="CX61" s="2"/>
      <c r="CY61" s="119" t="s">
        <v>106</v>
      </c>
      <c r="CZ61" s="160"/>
      <c r="DA61" s="2"/>
      <c r="DB61" s="98">
        <v>120.0</v>
      </c>
      <c r="DC61" s="2"/>
      <c r="DD61" s="101" t="s">
        <v>15</v>
      </c>
      <c r="DE61" s="2"/>
      <c r="DF61" s="120" t="s">
        <v>708</v>
      </c>
      <c r="DG61" s="173" t="s">
        <v>709</v>
      </c>
      <c r="DH61" s="121"/>
      <c r="DI61" s="2"/>
      <c r="DJ61" s="2"/>
      <c r="DK61" s="59" t="s">
        <v>710</v>
      </c>
      <c r="DL61" s="37" t="s">
        <v>156</v>
      </c>
      <c r="DM61" s="37" t="str">
        <f t="shared" si="3"/>
        <v>#NAME?</v>
      </c>
      <c r="DN61" s="61"/>
      <c r="DO61" s="37" t="s">
        <v>711</v>
      </c>
      <c r="DP61" s="105">
        <v>1.0</v>
      </c>
      <c r="DQ61" s="62" t="s">
        <v>49</v>
      </c>
      <c r="DR61" s="63"/>
      <c r="DS61" s="198"/>
      <c r="DT61" s="108"/>
      <c r="DU61" s="108"/>
      <c r="DV61" s="182"/>
      <c r="DW61" s="182"/>
      <c r="DX61" s="182"/>
      <c r="DY61" s="182"/>
      <c r="DZ61" s="182"/>
      <c r="EA61" s="182"/>
      <c r="EB61" s="2"/>
      <c r="EC61" s="2"/>
      <c r="ED61" s="2"/>
      <c r="EE61" s="2"/>
      <c r="EG61" s="108"/>
    </row>
    <row r="62" ht="15.75" customHeight="1">
      <c r="A62" s="1">
        <v>62.0</v>
      </c>
      <c r="B62" s="2" t="s">
        <v>712</v>
      </c>
      <c r="C62" s="7"/>
      <c r="D62" s="140" t="s">
        <v>713</v>
      </c>
      <c r="E62" s="5"/>
      <c r="F62" s="141"/>
      <c r="G62" s="7"/>
      <c r="H62" s="8" t="s">
        <v>714</v>
      </c>
      <c r="I62" s="9" t="s">
        <v>715</v>
      </c>
      <c r="J62" s="10" t="str">
        <f>image("https://archives.bulbagarden.net/media/upload/8/88/062MS6.png", 3)</f>
        <v/>
      </c>
      <c r="K62" s="11" t="s">
        <v>713</v>
      </c>
      <c r="L62" s="12"/>
      <c r="M62" s="12"/>
      <c r="N62" s="12"/>
      <c r="O62" s="12"/>
      <c r="Q62" s="71">
        <v>90.0</v>
      </c>
      <c r="R62" s="72">
        <v>85.0</v>
      </c>
      <c r="S62" s="73">
        <v>95.0</v>
      </c>
      <c r="T62" s="74">
        <v>70.0</v>
      </c>
      <c r="U62" s="75">
        <v>90.0</v>
      </c>
      <c r="V62" s="76">
        <v>70.0</v>
      </c>
      <c r="W62" s="77">
        <v>500.0</v>
      </c>
      <c r="X62" s="21"/>
      <c r="Y62" s="71">
        <v>90.0</v>
      </c>
      <c r="Z62" s="109">
        <v>95.0</v>
      </c>
      <c r="AA62" s="73">
        <v>95.0</v>
      </c>
      <c r="AB62" s="74">
        <v>70.0</v>
      </c>
      <c r="AC62" s="75">
        <v>90.0</v>
      </c>
      <c r="AD62" s="76">
        <v>70.0</v>
      </c>
      <c r="AE62" s="110">
        <v>510.0</v>
      </c>
      <c r="AF62" s="21"/>
      <c r="AG62" s="71">
        <v>90.0</v>
      </c>
      <c r="AH62" s="109">
        <v>95.0</v>
      </c>
      <c r="AI62" s="73">
        <v>95.0</v>
      </c>
      <c r="AJ62" s="74">
        <v>70.0</v>
      </c>
      <c r="AK62" s="75">
        <v>90.0</v>
      </c>
      <c r="AL62" s="76">
        <v>70.0</v>
      </c>
      <c r="AM62" s="110">
        <v>510.0</v>
      </c>
      <c r="AN62" s="21"/>
      <c r="AO62" s="22">
        <v>90.0</v>
      </c>
      <c r="AP62" s="23" t="s">
        <v>215</v>
      </c>
      <c r="AQ62" s="23">
        <v>95.0</v>
      </c>
      <c r="AR62" s="23">
        <v>70.0</v>
      </c>
      <c r="AS62" s="23">
        <v>90.0</v>
      </c>
      <c r="AT62" s="23">
        <v>70.0</v>
      </c>
      <c r="AU62" s="24" t="s">
        <v>716</v>
      </c>
      <c r="AV62" s="21"/>
      <c r="AW62" s="78">
        <v>90.0</v>
      </c>
      <c r="AX62" s="111">
        <v>95.0</v>
      </c>
      <c r="AY62" s="79">
        <v>95.0</v>
      </c>
      <c r="AZ62" s="79">
        <v>70.0</v>
      </c>
      <c r="BA62" s="79">
        <v>90.0</v>
      </c>
      <c r="BB62" s="79">
        <v>70.0</v>
      </c>
      <c r="BC62" s="111">
        <v>510.0</v>
      </c>
      <c r="BE62" s="156" t="s">
        <v>717</v>
      </c>
      <c r="BF62" s="138"/>
      <c r="BG62" s="128"/>
      <c r="BI62" s="31" t="s">
        <v>5</v>
      </c>
      <c r="BJ62" s="32" t="s">
        <v>5</v>
      </c>
      <c r="BK62" s="32">
        <v>3.0</v>
      </c>
      <c r="BL62" s="32" t="s">
        <v>5</v>
      </c>
      <c r="BM62" s="32" t="s">
        <v>5</v>
      </c>
      <c r="BN62" s="33" t="s">
        <v>5</v>
      </c>
      <c r="BP62" s="85" t="s">
        <v>32</v>
      </c>
      <c r="BQ62" s="86" t="s">
        <v>64</v>
      </c>
      <c r="BS62" s="87" t="s">
        <v>32</v>
      </c>
      <c r="BT62" s="88" t="s">
        <v>64</v>
      </c>
      <c r="BU62" s="37" t="str">
        <f t="shared" si="1"/>
        <v>#NAME?</v>
      </c>
      <c r="BV62" s="89" t="s">
        <v>32</v>
      </c>
      <c r="BW62" s="37" t="str">
        <f t="shared" si="2"/>
        <v>#NAME?</v>
      </c>
      <c r="BX62" s="89" t="s">
        <v>64</v>
      </c>
      <c r="BY62" s="39"/>
      <c r="BZ62" s="39"/>
      <c r="CA62" s="40" t="s">
        <v>718</v>
      </c>
      <c r="CB62" s="41"/>
      <c r="CC62" s="90" t="s">
        <v>32</v>
      </c>
      <c r="CD62" s="91" t="s">
        <v>64</v>
      </c>
      <c r="CE62" s="2"/>
      <c r="CF62" s="92" t="s">
        <v>698</v>
      </c>
      <c r="CG62" s="93" t="s">
        <v>646</v>
      </c>
      <c r="CH62" s="2"/>
      <c r="CI62" s="177" t="s">
        <v>698</v>
      </c>
      <c r="CJ62" s="93" t="s">
        <v>646</v>
      </c>
      <c r="CK62" s="2"/>
      <c r="CL62" s="22" t="s">
        <v>698</v>
      </c>
      <c r="CM62" s="12"/>
      <c r="CN62" s="48"/>
      <c r="CO62" s="96" t="s">
        <v>646</v>
      </c>
      <c r="CP62" s="2"/>
      <c r="CQ62" s="2" t="s">
        <v>719</v>
      </c>
      <c r="CR62" s="97">
        <v>80.0</v>
      </c>
      <c r="CS62" s="2" t="s">
        <v>717</v>
      </c>
      <c r="CT62" s="98">
        <v>185.0</v>
      </c>
      <c r="CU62" s="2"/>
      <c r="CV62" s="52" t="s">
        <v>149</v>
      </c>
      <c r="CW62" s="52" t="s">
        <v>149</v>
      </c>
      <c r="CX62" s="2"/>
      <c r="CY62" s="100" t="s">
        <v>106</v>
      </c>
      <c r="CZ62" s="154"/>
      <c r="DA62" s="2"/>
      <c r="DB62" s="98">
        <v>45.0</v>
      </c>
      <c r="DC62" s="2"/>
      <c r="DD62" s="101" t="s">
        <v>15</v>
      </c>
      <c r="DE62" s="2"/>
      <c r="DF62" s="102" t="s">
        <v>720</v>
      </c>
      <c r="DG62" s="166" t="s">
        <v>709</v>
      </c>
      <c r="DH62" s="103"/>
      <c r="DI62" s="2"/>
      <c r="DJ62" s="2"/>
      <c r="DK62" s="59" t="s">
        <v>721</v>
      </c>
      <c r="DL62" s="37" t="s">
        <v>34</v>
      </c>
      <c r="DM62" s="37" t="str">
        <f t="shared" si="3"/>
        <v>#NAME?</v>
      </c>
      <c r="DN62" s="61"/>
      <c r="DO62" s="37">
        <v>65.0</v>
      </c>
      <c r="DP62" s="105">
        <v>0.95</v>
      </c>
      <c r="DQ62" s="62" t="s">
        <v>93</v>
      </c>
      <c r="DR62" s="63"/>
      <c r="DS62" s="198"/>
      <c r="DT62" s="108"/>
      <c r="DU62" s="108"/>
      <c r="DV62" s="182"/>
      <c r="DW62" s="182"/>
      <c r="DX62" s="182"/>
      <c r="DY62" s="182"/>
      <c r="EB62" s="2"/>
      <c r="EC62" s="2"/>
      <c r="ED62" s="2"/>
      <c r="EE62" s="2"/>
      <c r="EF62" s="68" t="s">
        <v>722</v>
      </c>
      <c r="EG62" s="69" t="str">
        <f>image("https://www.pokebip.com/pages/icones/objets/lumargile.png", 3)</f>
        <v/>
      </c>
      <c r="EH62" s="69"/>
      <c r="EI62" s="69"/>
    </row>
    <row r="63" ht="15.75" customHeight="1">
      <c r="A63" s="1">
        <v>63.0</v>
      </c>
      <c r="B63" s="2" t="s">
        <v>723</v>
      </c>
      <c r="C63" s="7"/>
      <c r="D63" s="167" t="s">
        <v>724</v>
      </c>
      <c r="E63" s="5"/>
      <c r="F63" s="168"/>
      <c r="G63" s="7"/>
      <c r="H63" s="8" t="s">
        <v>725</v>
      </c>
      <c r="I63" s="9" t="s">
        <v>726</v>
      </c>
      <c r="J63" s="10" t="str">
        <f>image("https://archives.bulbagarden.net/media/upload/b/b6/063MS6.png", 3)</f>
        <v/>
      </c>
      <c r="K63" s="11" t="s">
        <v>724</v>
      </c>
      <c r="L63" s="12"/>
      <c r="M63" s="12"/>
      <c r="N63" s="12"/>
      <c r="O63" s="12"/>
      <c r="Q63" s="71">
        <v>25.0</v>
      </c>
      <c r="R63" s="72">
        <v>20.0</v>
      </c>
      <c r="S63" s="73">
        <v>15.0</v>
      </c>
      <c r="T63" s="74">
        <v>105.0</v>
      </c>
      <c r="U63" s="75">
        <v>55.0</v>
      </c>
      <c r="V63" s="76">
        <v>90.0</v>
      </c>
      <c r="W63" s="77">
        <v>310.0</v>
      </c>
      <c r="X63" s="21"/>
      <c r="Y63" s="71">
        <v>25.0</v>
      </c>
      <c r="Z63" s="72">
        <v>20.0</v>
      </c>
      <c r="AA63" s="73">
        <v>15.0</v>
      </c>
      <c r="AB63" s="74">
        <v>105.0</v>
      </c>
      <c r="AC63" s="75">
        <v>55.0</v>
      </c>
      <c r="AD63" s="76">
        <v>90.0</v>
      </c>
      <c r="AE63" s="77">
        <v>310.0</v>
      </c>
      <c r="AF63" s="21"/>
      <c r="AG63" s="71">
        <v>25.0</v>
      </c>
      <c r="AH63" s="72">
        <v>20.0</v>
      </c>
      <c r="AI63" s="73">
        <v>15.0</v>
      </c>
      <c r="AJ63" s="74">
        <v>105.0</v>
      </c>
      <c r="AK63" s="75">
        <v>55.0</v>
      </c>
      <c r="AL63" s="76">
        <v>90.0</v>
      </c>
      <c r="AM63" s="77">
        <v>310.0</v>
      </c>
      <c r="AN63" s="21"/>
      <c r="AO63" s="22">
        <v>25.0</v>
      </c>
      <c r="AP63" s="23">
        <v>20.0</v>
      </c>
      <c r="AQ63" s="23">
        <v>15.0</v>
      </c>
      <c r="AR63" s="23">
        <v>105.0</v>
      </c>
      <c r="AS63" s="23">
        <v>55.0</v>
      </c>
      <c r="AT63" s="23">
        <v>90.0</v>
      </c>
      <c r="AU63" s="24">
        <v>310.0</v>
      </c>
      <c r="AV63" s="21"/>
      <c r="AW63" s="78">
        <v>25.0</v>
      </c>
      <c r="AX63" s="124">
        <v>20.0</v>
      </c>
      <c r="AY63" s="79">
        <v>15.0</v>
      </c>
      <c r="AZ63" s="79">
        <v>105.0</v>
      </c>
      <c r="BA63" s="79">
        <v>55.0</v>
      </c>
      <c r="BB63" s="79">
        <v>90.0</v>
      </c>
      <c r="BC63" s="125">
        <v>310.0</v>
      </c>
      <c r="BE63" s="82" t="s">
        <v>4</v>
      </c>
      <c r="BF63" s="184"/>
      <c r="BG63" s="128"/>
      <c r="BI63" s="31" t="s">
        <v>5</v>
      </c>
      <c r="BJ63" s="32" t="s">
        <v>5</v>
      </c>
      <c r="BK63" s="32" t="s">
        <v>5</v>
      </c>
      <c r="BL63" s="32">
        <v>1.0</v>
      </c>
      <c r="BM63" s="32" t="s">
        <v>5</v>
      </c>
      <c r="BN63" s="33" t="s">
        <v>5</v>
      </c>
      <c r="BP63" s="115" t="s">
        <v>122</v>
      </c>
      <c r="BQ63" s="93"/>
      <c r="BS63" s="115" t="s">
        <v>122</v>
      </c>
      <c r="BT63" s="133"/>
      <c r="BU63" s="37" t="str">
        <f t="shared" si="1"/>
        <v>#NAME?</v>
      </c>
      <c r="BV63" s="89" t="s">
        <v>122</v>
      </c>
      <c r="BW63" s="37" t="str">
        <f t="shared" si="2"/>
        <v>#NAME?</v>
      </c>
      <c r="BX63" s="89"/>
      <c r="BY63" s="39"/>
      <c r="BZ63" s="39"/>
      <c r="CA63" s="40" t="s">
        <v>122</v>
      </c>
      <c r="CB63" s="41"/>
      <c r="CC63" s="90" t="s">
        <v>122</v>
      </c>
      <c r="CD63" s="91"/>
      <c r="CE63" s="21"/>
      <c r="CF63" s="92" t="s">
        <v>727</v>
      </c>
      <c r="CG63" s="93" t="s">
        <v>530</v>
      </c>
      <c r="CH63" s="21"/>
      <c r="CI63" s="46" t="s">
        <v>464</v>
      </c>
      <c r="CJ63" s="95" t="s">
        <v>727</v>
      </c>
      <c r="CK63" s="21"/>
      <c r="CL63" s="22" t="s">
        <v>511</v>
      </c>
      <c r="CM63" s="12"/>
      <c r="CN63" s="48"/>
      <c r="CO63" s="96" t="s">
        <v>727</v>
      </c>
      <c r="CP63" s="21"/>
      <c r="CQ63" s="2" t="s">
        <v>441</v>
      </c>
      <c r="CR63" s="97">
        <v>40.0</v>
      </c>
      <c r="CS63" s="2" t="s">
        <v>4</v>
      </c>
      <c r="CT63" s="98">
        <v>75.0</v>
      </c>
      <c r="CU63" s="2"/>
      <c r="CV63" s="52" t="s">
        <v>467</v>
      </c>
      <c r="CW63" s="52" t="s">
        <v>466</v>
      </c>
      <c r="CX63" s="2"/>
      <c r="CY63" s="119" t="s">
        <v>728</v>
      </c>
      <c r="CZ63" s="160"/>
      <c r="DA63" s="2"/>
      <c r="DB63" s="98">
        <v>200.0</v>
      </c>
      <c r="DC63" s="2"/>
      <c r="DD63" s="101" t="s">
        <v>15</v>
      </c>
      <c r="DE63" s="2"/>
      <c r="DF63" s="148" t="s">
        <v>729</v>
      </c>
      <c r="DG63" s="173" t="s">
        <v>730</v>
      </c>
      <c r="DH63" s="121"/>
      <c r="DI63" s="21"/>
      <c r="DJ63" s="21"/>
      <c r="DK63" s="59" t="s">
        <v>731</v>
      </c>
      <c r="DL63" s="37" t="s">
        <v>34</v>
      </c>
      <c r="DM63" s="37" t="str">
        <f t="shared" si="3"/>
        <v>#NAME?</v>
      </c>
      <c r="DN63" s="61"/>
      <c r="DO63" s="37">
        <v>75.0</v>
      </c>
      <c r="DP63" s="105">
        <v>1.0</v>
      </c>
      <c r="DQ63" s="62" t="s">
        <v>93</v>
      </c>
      <c r="DR63" s="63"/>
      <c r="DS63" s="198"/>
      <c r="DT63" s="108"/>
      <c r="DU63" s="108"/>
      <c r="DV63" s="182"/>
      <c r="DW63" s="182"/>
      <c r="DX63" s="182"/>
      <c r="DY63" s="182"/>
      <c r="EB63" s="21"/>
      <c r="EC63" s="21"/>
      <c r="ED63" s="21"/>
      <c r="EE63" s="21"/>
      <c r="EF63" s="68" t="s">
        <v>732</v>
      </c>
      <c r="EG63" s="69" t="str">
        <f>image("https://www.pokebip.com/pages/icones/objets/accro-griffe.png", 3)</f>
        <v/>
      </c>
      <c r="EH63" s="69"/>
      <c r="EI63" s="69"/>
    </row>
    <row r="64" ht="15.75" customHeight="1">
      <c r="A64" s="1">
        <v>64.0</v>
      </c>
      <c r="B64" s="2" t="s">
        <v>733</v>
      </c>
      <c r="C64" s="7"/>
      <c r="D64" s="167" t="s">
        <v>734</v>
      </c>
      <c r="E64" s="5"/>
      <c r="F64" s="168"/>
      <c r="G64" s="7"/>
      <c r="H64" s="8" t="s">
        <v>735</v>
      </c>
      <c r="I64" s="9" t="s">
        <v>736</v>
      </c>
      <c r="J64" s="10" t="str">
        <f>image("https://archives.bulbagarden.net/media/upload/2/21/064MS6.png", 3)</f>
        <v/>
      </c>
      <c r="K64" s="11" t="s">
        <v>734</v>
      </c>
      <c r="L64" s="12"/>
      <c r="M64" s="12"/>
      <c r="N64" s="12"/>
      <c r="O64" s="12"/>
      <c r="Q64" s="71">
        <v>40.0</v>
      </c>
      <c r="R64" s="72">
        <v>35.0</v>
      </c>
      <c r="S64" s="73">
        <v>30.0</v>
      </c>
      <c r="T64" s="74">
        <v>120.0</v>
      </c>
      <c r="U64" s="75">
        <v>70.0</v>
      </c>
      <c r="V64" s="76">
        <v>105.0</v>
      </c>
      <c r="W64" s="77">
        <v>400.0</v>
      </c>
      <c r="X64" s="21"/>
      <c r="Y64" s="71">
        <v>40.0</v>
      </c>
      <c r="Z64" s="72">
        <v>35.0</v>
      </c>
      <c r="AA64" s="73">
        <v>30.0</v>
      </c>
      <c r="AB64" s="74">
        <v>120.0</v>
      </c>
      <c r="AC64" s="75">
        <v>70.0</v>
      </c>
      <c r="AD64" s="76">
        <v>105.0</v>
      </c>
      <c r="AE64" s="77">
        <v>400.0</v>
      </c>
      <c r="AF64" s="21"/>
      <c r="AG64" s="71">
        <v>40.0</v>
      </c>
      <c r="AH64" s="72">
        <v>35.0</v>
      </c>
      <c r="AI64" s="73">
        <v>30.0</v>
      </c>
      <c r="AJ64" s="74">
        <v>120.0</v>
      </c>
      <c r="AK64" s="75">
        <v>70.0</v>
      </c>
      <c r="AL64" s="76">
        <v>105.0</v>
      </c>
      <c r="AM64" s="77">
        <v>400.0</v>
      </c>
      <c r="AN64" s="21"/>
      <c r="AO64" s="22">
        <v>40.0</v>
      </c>
      <c r="AP64" s="23">
        <v>35.0</v>
      </c>
      <c r="AQ64" s="23">
        <v>30.0</v>
      </c>
      <c r="AR64" s="23">
        <v>120.0</v>
      </c>
      <c r="AS64" s="23">
        <v>70.0</v>
      </c>
      <c r="AT64" s="23">
        <v>105.0</v>
      </c>
      <c r="AU64" s="24">
        <v>400.0</v>
      </c>
      <c r="AV64" s="21"/>
      <c r="AW64" s="78">
        <v>40.0</v>
      </c>
      <c r="AX64" s="79">
        <v>35.0</v>
      </c>
      <c r="AY64" s="79">
        <v>30.0</v>
      </c>
      <c r="AZ64" s="79">
        <v>120.0</v>
      </c>
      <c r="BA64" s="80">
        <v>70.0</v>
      </c>
      <c r="BB64" s="79">
        <v>105.0</v>
      </c>
      <c r="BC64" s="81">
        <v>400.0</v>
      </c>
      <c r="BE64" s="112" t="s">
        <v>42</v>
      </c>
      <c r="BF64" s="113"/>
      <c r="BG64" s="84"/>
      <c r="BI64" s="31" t="s">
        <v>5</v>
      </c>
      <c r="BJ64" s="32" t="s">
        <v>5</v>
      </c>
      <c r="BK64" s="32" t="s">
        <v>5</v>
      </c>
      <c r="BL64" s="32">
        <v>2.0</v>
      </c>
      <c r="BM64" s="32" t="s">
        <v>5</v>
      </c>
      <c r="BN64" s="33" t="s">
        <v>5</v>
      </c>
      <c r="BP64" s="85" t="s">
        <v>122</v>
      </c>
      <c r="BQ64" s="129"/>
      <c r="BS64" s="87" t="s">
        <v>122</v>
      </c>
      <c r="BT64" s="130"/>
      <c r="BU64" s="37" t="str">
        <f t="shared" si="1"/>
        <v>#NAME?</v>
      </c>
      <c r="BV64" s="89" t="s">
        <v>122</v>
      </c>
      <c r="BW64" s="37" t="str">
        <f t="shared" si="2"/>
        <v>#NAME?</v>
      </c>
      <c r="BX64" s="89"/>
      <c r="BY64" s="39"/>
      <c r="BZ64" s="39"/>
      <c r="CA64" s="40" t="s">
        <v>122</v>
      </c>
      <c r="CB64" s="41"/>
      <c r="CC64" s="90" t="s">
        <v>122</v>
      </c>
      <c r="CD64" s="91"/>
      <c r="CE64" s="21"/>
      <c r="CF64" s="92" t="s">
        <v>727</v>
      </c>
      <c r="CG64" s="93" t="s">
        <v>530</v>
      </c>
      <c r="CH64" s="21"/>
      <c r="CI64" s="94" t="s">
        <v>464</v>
      </c>
      <c r="CJ64" s="95" t="s">
        <v>727</v>
      </c>
      <c r="CK64" s="21"/>
      <c r="CL64" s="22" t="s">
        <v>511</v>
      </c>
      <c r="CM64" s="12"/>
      <c r="CN64" s="48"/>
      <c r="CO64" s="96" t="s">
        <v>727</v>
      </c>
      <c r="CP64" s="21"/>
      <c r="CQ64" s="2" t="s">
        <v>737</v>
      </c>
      <c r="CR64" s="97">
        <v>80.0</v>
      </c>
      <c r="CS64" s="2" t="s">
        <v>42</v>
      </c>
      <c r="CT64" s="98">
        <v>145.0</v>
      </c>
      <c r="CU64" s="2"/>
      <c r="CV64" s="52" t="s">
        <v>467</v>
      </c>
      <c r="CW64" s="52" t="s">
        <v>466</v>
      </c>
      <c r="CX64" s="2"/>
      <c r="CY64" s="100" t="s">
        <v>728</v>
      </c>
      <c r="CZ64" s="154"/>
      <c r="DA64" s="2"/>
      <c r="DB64" s="98">
        <v>100.0</v>
      </c>
      <c r="DC64" s="2"/>
      <c r="DD64" s="101" t="s">
        <v>15</v>
      </c>
      <c r="DE64" s="2"/>
      <c r="DF64" s="246" t="s">
        <v>738</v>
      </c>
      <c r="DG64" s="166" t="s">
        <v>730</v>
      </c>
      <c r="DH64" s="103"/>
      <c r="DI64" s="2"/>
      <c r="DJ64" s="2"/>
      <c r="DK64" s="59" t="s">
        <v>739</v>
      </c>
      <c r="DL64" s="37" t="s">
        <v>79</v>
      </c>
      <c r="DM64" s="37" t="str">
        <f t="shared" si="3"/>
        <v>#NAME?</v>
      </c>
      <c r="DN64" s="61"/>
      <c r="DO64" s="37" t="s">
        <v>19</v>
      </c>
      <c r="DP64" s="105">
        <v>0.3</v>
      </c>
      <c r="DQ64" s="62" t="s">
        <v>293</v>
      </c>
      <c r="DR64" s="63"/>
      <c r="DS64" s="198"/>
      <c r="DT64" s="108"/>
      <c r="DU64" s="108"/>
      <c r="DV64" s="182"/>
      <c r="DW64" s="182"/>
      <c r="DX64" s="182"/>
      <c r="DY64" s="182"/>
      <c r="EB64" s="2"/>
      <c r="EC64" s="2"/>
      <c r="ED64" s="2"/>
      <c r="EE64" s="2"/>
      <c r="EF64" s="68" t="s">
        <v>740</v>
      </c>
      <c r="EG64" s="69" t="str">
        <f>image("https://www.pokebip.com/pages/icones/objets/carapace-mue.png", 3)</f>
        <v/>
      </c>
      <c r="EH64" s="69"/>
      <c r="EI64" s="69"/>
    </row>
    <row r="65" ht="15.75" customHeight="1">
      <c r="A65" s="1">
        <v>65.0</v>
      </c>
      <c r="B65" s="2" t="s">
        <v>741</v>
      </c>
      <c r="C65" s="7"/>
      <c r="D65" s="167" t="s">
        <v>742</v>
      </c>
      <c r="E65" s="5"/>
      <c r="F65" s="168"/>
      <c r="G65" s="7"/>
      <c r="H65" s="8" t="s">
        <v>743</v>
      </c>
      <c r="I65" s="9" t="s">
        <v>744</v>
      </c>
      <c r="J65" s="10" t="str">
        <f>image("https://archives.bulbagarden.net/media/upload/1/19/065MS6.png", 3)</f>
        <v/>
      </c>
      <c r="K65" s="11" t="s">
        <v>742</v>
      </c>
      <c r="L65" s="12"/>
      <c r="M65" s="12"/>
      <c r="N65" s="12"/>
      <c r="O65" s="12"/>
      <c r="Q65" s="71">
        <v>55.0</v>
      </c>
      <c r="R65" s="72">
        <v>50.0</v>
      </c>
      <c r="S65" s="73">
        <v>45.0</v>
      </c>
      <c r="T65" s="74">
        <v>135.0</v>
      </c>
      <c r="U65" s="75">
        <v>85.0</v>
      </c>
      <c r="V65" s="76">
        <v>120.0</v>
      </c>
      <c r="W65" s="77">
        <v>490.0</v>
      </c>
      <c r="X65" s="21"/>
      <c r="Y65" s="71">
        <v>55.0</v>
      </c>
      <c r="Z65" s="72">
        <v>50.0</v>
      </c>
      <c r="AA65" s="73">
        <v>45.0</v>
      </c>
      <c r="AB65" s="74">
        <v>135.0</v>
      </c>
      <c r="AC65" s="109">
        <v>95.0</v>
      </c>
      <c r="AD65" s="76">
        <v>120.0</v>
      </c>
      <c r="AE65" s="110">
        <v>500.0</v>
      </c>
      <c r="AF65" s="21"/>
      <c r="AG65" s="71">
        <v>55.0</v>
      </c>
      <c r="AH65" s="72">
        <v>50.0</v>
      </c>
      <c r="AI65" s="73">
        <v>45.0</v>
      </c>
      <c r="AJ65" s="74">
        <v>135.0</v>
      </c>
      <c r="AK65" s="109">
        <v>95.0</v>
      </c>
      <c r="AL65" s="76">
        <v>120.0</v>
      </c>
      <c r="AM65" s="110">
        <v>500.0</v>
      </c>
      <c r="AN65" s="21"/>
      <c r="AO65" s="22">
        <v>55.0</v>
      </c>
      <c r="AP65" s="23">
        <v>50.0</v>
      </c>
      <c r="AQ65" s="23">
        <v>45.0</v>
      </c>
      <c r="AR65" s="23">
        <v>135.0</v>
      </c>
      <c r="AS65" s="23" t="s">
        <v>215</v>
      </c>
      <c r="AT65" s="23">
        <v>120.0</v>
      </c>
      <c r="AU65" s="24" t="s">
        <v>745</v>
      </c>
      <c r="AV65" s="21"/>
      <c r="AW65" s="78">
        <v>55.0</v>
      </c>
      <c r="AX65" s="79">
        <v>50.0</v>
      </c>
      <c r="AY65" s="79">
        <v>45.0</v>
      </c>
      <c r="AZ65" s="79">
        <v>135.0</v>
      </c>
      <c r="BA65" s="111">
        <v>95.0</v>
      </c>
      <c r="BB65" s="79">
        <v>120.0</v>
      </c>
      <c r="BC65" s="111">
        <v>500.0</v>
      </c>
      <c r="BE65" s="112" t="s">
        <v>85</v>
      </c>
      <c r="BF65" s="138"/>
      <c r="BG65" s="128"/>
      <c r="BI65" s="31" t="s">
        <v>5</v>
      </c>
      <c r="BJ65" s="32" t="s">
        <v>5</v>
      </c>
      <c r="BK65" s="32" t="s">
        <v>5</v>
      </c>
      <c r="BL65" s="234">
        <v>3.0</v>
      </c>
      <c r="BM65" s="32" t="s">
        <v>5</v>
      </c>
      <c r="BN65" s="33" t="s">
        <v>5</v>
      </c>
      <c r="BP65" s="115" t="s">
        <v>122</v>
      </c>
      <c r="BQ65" s="93"/>
      <c r="BS65" s="115" t="s">
        <v>122</v>
      </c>
      <c r="BT65" s="133"/>
      <c r="BU65" s="37" t="str">
        <f t="shared" si="1"/>
        <v>#NAME?</v>
      </c>
      <c r="BV65" s="89" t="s">
        <v>122</v>
      </c>
      <c r="BW65" s="37" t="str">
        <f t="shared" si="2"/>
        <v>#NAME?</v>
      </c>
      <c r="BX65" s="89"/>
      <c r="BY65" s="39"/>
      <c r="BZ65" s="39"/>
      <c r="CA65" s="40" t="s">
        <v>122</v>
      </c>
      <c r="CB65" s="41"/>
      <c r="CC65" s="90" t="s">
        <v>122</v>
      </c>
      <c r="CD65" s="91"/>
      <c r="CE65" s="21"/>
      <c r="CF65" s="92" t="s">
        <v>727</v>
      </c>
      <c r="CG65" s="93" t="s">
        <v>530</v>
      </c>
      <c r="CH65" s="21"/>
      <c r="CI65" s="152" t="s">
        <v>464</v>
      </c>
      <c r="CJ65" s="95" t="s">
        <v>727</v>
      </c>
      <c r="CK65" s="21"/>
      <c r="CL65" s="22" t="s">
        <v>511</v>
      </c>
      <c r="CM65" s="12"/>
      <c r="CN65" s="48"/>
      <c r="CO65" s="96" t="s">
        <v>727</v>
      </c>
      <c r="CP65" s="21"/>
      <c r="CQ65" s="2" t="s">
        <v>746</v>
      </c>
      <c r="CR65" s="97">
        <v>60.0</v>
      </c>
      <c r="CS65" s="2" t="s">
        <v>85</v>
      </c>
      <c r="CT65" s="98">
        <v>186.0</v>
      </c>
      <c r="CU65" s="2"/>
      <c r="CV65" s="52" t="s">
        <v>467</v>
      </c>
      <c r="CW65" s="52" t="s">
        <v>466</v>
      </c>
      <c r="CX65" s="2"/>
      <c r="CY65" s="119" t="s">
        <v>728</v>
      </c>
      <c r="CZ65" s="160"/>
      <c r="DA65" s="2"/>
      <c r="DB65" s="98">
        <v>50.0</v>
      </c>
      <c r="DC65" s="2"/>
      <c r="DD65" s="101" t="s">
        <v>15</v>
      </c>
      <c r="DE65" s="2"/>
      <c r="DF65" s="159" t="s">
        <v>747</v>
      </c>
      <c r="DG65" s="173" t="s">
        <v>730</v>
      </c>
      <c r="DH65" s="121"/>
      <c r="DI65" s="2"/>
      <c r="DJ65" s="2"/>
      <c r="DK65" s="59" t="s">
        <v>748</v>
      </c>
      <c r="DL65" s="37" t="s">
        <v>156</v>
      </c>
      <c r="DM65" s="37" t="str">
        <f t="shared" si="3"/>
        <v>#NAME?</v>
      </c>
      <c r="DN65" s="61"/>
      <c r="DO65" s="37" t="s">
        <v>19</v>
      </c>
      <c r="DP65" s="105">
        <v>1.0</v>
      </c>
      <c r="DQ65" s="62" t="s">
        <v>93</v>
      </c>
      <c r="DR65" s="63"/>
      <c r="DS65" s="198"/>
      <c r="DT65" s="108"/>
      <c r="DU65" s="108"/>
      <c r="DV65" s="182"/>
      <c r="DW65" s="182"/>
      <c r="DX65" s="182"/>
      <c r="DY65" s="182"/>
      <c r="EB65" s="2"/>
      <c r="EC65" s="2"/>
      <c r="ED65" s="2"/>
      <c r="EE65" s="2"/>
      <c r="EG65" s="108"/>
    </row>
    <row r="66" ht="15.75" customHeight="1">
      <c r="A66" s="1">
        <v>66.0</v>
      </c>
      <c r="B66" s="2" t="s">
        <v>749</v>
      </c>
      <c r="C66" s="7"/>
      <c r="D66" s="247" t="s">
        <v>750</v>
      </c>
      <c r="E66" s="5"/>
      <c r="F66" s="248"/>
      <c r="G66" s="7"/>
      <c r="H66" s="8" t="s">
        <v>751</v>
      </c>
      <c r="I66" s="9" t="s">
        <v>752</v>
      </c>
      <c r="J66" s="10" t="str">
        <f>image("https://archives.bulbagarden.net/media/upload/5/59/066MS6.png", 3)</f>
        <v/>
      </c>
      <c r="K66" s="11" t="s">
        <v>750</v>
      </c>
      <c r="L66" s="12"/>
      <c r="M66" s="12"/>
      <c r="N66" s="12"/>
      <c r="O66" s="12"/>
      <c r="Q66" s="71">
        <v>70.0</v>
      </c>
      <c r="R66" s="72">
        <v>80.0</v>
      </c>
      <c r="S66" s="73">
        <v>50.0</v>
      </c>
      <c r="T66" s="74">
        <v>35.0</v>
      </c>
      <c r="U66" s="75">
        <v>35.0</v>
      </c>
      <c r="V66" s="76">
        <v>35.0</v>
      </c>
      <c r="W66" s="77">
        <v>305.0</v>
      </c>
      <c r="X66" s="21"/>
      <c r="Y66" s="71">
        <v>70.0</v>
      </c>
      <c r="Z66" s="72">
        <v>80.0</v>
      </c>
      <c r="AA66" s="73">
        <v>50.0</v>
      </c>
      <c r="AB66" s="74">
        <v>35.0</v>
      </c>
      <c r="AC66" s="75">
        <v>35.0</v>
      </c>
      <c r="AD66" s="76">
        <v>35.0</v>
      </c>
      <c r="AE66" s="77">
        <v>305.0</v>
      </c>
      <c r="AF66" s="21"/>
      <c r="AG66" s="71">
        <v>70.0</v>
      </c>
      <c r="AH66" s="72">
        <v>80.0</v>
      </c>
      <c r="AI66" s="73">
        <v>50.0</v>
      </c>
      <c r="AJ66" s="74">
        <v>35.0</v>
      </c>
      <c r="AK66" s="75">
        <v>35.0</v>
      </c>
      <c r="AL66" s="76">
        <v>35.0</v>
      </c>
      <c r="AM66" s="77">
        <v>305.0</v>
      </c>
      <c r="AN66" s="21"/>
      <c r="AO66" s="22">
        <v>70.0</v>
      </c>
      <c r="AP66" s="23">
        <v>80.0</v>
      </c>
      <c r="AQ66" s="23">
        <v>50.0</v>
      </c>
      <c r="AR66" s="23">
        <v>35.0</v>
      </c>
      <c r="AS66" s="23">
        <v>35.0</v>
      </c>
      <c r="AT66" s="23">
        <v>35.0</v>
      </c>
      <c r="AU66" s="24">
        <v>305.0</v>
      </c>
      <c r="AV66" s="21"/>
      <c r="AW66" s="78">
        <v>70.0</v>
      </c>
      <c r="AX66" s="79">
        <v>80.0</v>
      </c>
      <c r="AY66" s="79">
        <v>50.0</v>
      </c>
      <c r="AZ66" s="79">
        <v>35.0</v>
      </c>
      <c r="BA66" s="124">
        <v>35.0</v>
      </c>
      <c r="BB66" s="79">
        <v>35.0</v>
      </c>
      <c r="BC66" s="125">
        <v>305.0</v>
      </c>
      <c r="BE66" s="194" t="s">
        <v>325</v>
      </c>
      <c r="BF66" s="127"/>
      <c r="BG66" s="128"/>
      <c r="BI66" s="31" t="s">
        <v>5</v>
      </c>
      <c r="BJ66" s="32">
        <v>1.0</v>
      </c>
      <c r="BK66" s="32" t="s">
        <v>5</v>
      </c>
      <c r="BL66" s="32" t="s">
        <v>5</v>
      </c>
      <c r="BM66" s="32" t="s">
        <v>5</v>
      </c>
      <c r="BN66" s="33" t="s">
        <v>5</v>
      </c>
      <c r="BP66" s="85" t="s">
        <v>64</v>
      </c>
      <c r="BQ66" s="129"/>
      <c r="BS66" s="87" t="s">
        <v>64</v>
      </c>
      <c r="BT66" s="130"/>
      <c r="BU66" s="37" t="str">
        <f t="shared" si="1"/>
        <v>#NAME?</v>
      </c>
      <c r="BV66" s="89" t="s">
        <v>64</v>
      </c>
      <c r="BW66" s="37" t="str">
        <f t="shared" si="2"/>
        <v>#NAME?</v>
      </c>
      <c r="BX66" s="89"/>
      <c r="BY66" s="39"/>
      <c r="BZ66" s="39"/>
      <c r="CA66" s="40" t="s">
        <v>64</v>
      </c>
      <c r="CB66" s="41"/>
      <c r="CC66" s="90" t="s">
        <v>64</v>
      </c>
      <c r="CD66" s="91"/>
      <c r="CE66" s="21"/>
      <c r="CF66" s="92" t="s">
        <v>273</v>
      </c>
      <c r="CG66" s="93" t="s">
        <v>753</v>
      </c>
      <c r="CH66" s="21"/>
      <c r="CI66" s="175" t="s">
        <v>273</v>
      </c>
      <c r="CJ66" s="93" t="s">
        <v>753</v>
      </c>
      <c r="CK66" s="21"/>
      <c r="CL66" s="22" t="s">
        <v>273</v>
      </c>
      <c r="CM66" s="12"/>
      <c r="CN66" s="48"/>
      <c r="CO66" s="96" t="s">
        <v>753</v>
      </c>
      <c r="CP66" s="21"/>
      <c r="CQ66" s="2" t="s">
        <v>441</v>
      </c>
      <c r="CR66" s="97">
        <v>40.0</v>
      </c>
      <c r="CS66" s="2" t="s">
        <v>325</v>
      </c>
      <c r="CT66" s="98">
        <v>75.0</v>
      </c>
      <c r="CU66" s="2"/>
      <c r="CV66" s="52" t="s">
        <v>467</v>
      </c>
      <c r="CW66" s="52" t="s">
        <v>466</v>
      </c>
      <c r="CX66" s="2"/>
      <c r="CY66" s="100" t="s">
        <v>728</v>
      </c>
      <c r="CZ66" s="154"/>
      <c r="DA66" s="2"/>
      <c r="DB66" s="98">
        <v>180.0</v>
      </c>
      <c r="DC66" s="2"/>
      <c r="DD66" s="101" t="s">
        <v>15</v>
      </c>
      <c r="DE66" s="2"/>
      <c r="DF66" s="249" t="s">
        <v>754</v>
      </c>
      <c r="DG66" s="166" t="s">
        <v>755</v>
      </c>
      <c r="DH66" s="103"/>
      <c r="DI66" s="21"/>
      <c r="DJ66" s="21"/>
      <c r="DK66" s="59" t="s">
        <v>756</v>
      </c>
      <c r="DL66" s="37" t="s">
        <v>34</v>
      </c>
      <c r="DM66" s="37" t="str">
        <f t="shared" si="3"/>
        <v>#NAME?</v>
      </c>
      <c r="DN66" s="61"/>
      <c r="DO66" s="37" t="s">
        <v>154</v>
      </c>
      <c r="DP66" s="105">
        <v>1.0</v>
      </c>
      <c r="DQ66" s="62" t="s">
        <v>472</v>
      </c>
      <c r="DR66" s="63"/>
      <c r="DS66" s="198"/>
      <c r="DT66" s="108"/>
      <c r="DU66" s="108"/>
      <c r="DV66" s="182"/>
      <c r="DW66" s="182"/>
      <c r="DX66" s="182"/>
      <c r="DY66" s="182"/>
      <c r="DZ66" s="182"/>
      <c r="EA66" s="182"/>
      <c r="EB66" s="21"/>
      <c r="EC66" s="21"/>
      <c r="ED66" s="21"/>
      <c r="EE66" s="21"/>
      <c r="EF66" s="68" t="s">
        <v>757</v>
      </c>
      <c r="EG66" s="69" t="str">
        <f>image("https://www.pokebip.com/pages/icones/objets/baton.png", 3)</f>
        <v/>
      </c>
      <c r="EH66" s="69"/>
      <c r="EI66" s="69"/>
    </row>
    <row r="67" ht="15.75" customHeight="1">
      <c r="A67" s="1">
        <v>67.0</v>
      </c>
      <c r="B67" s="2" t="s">
        <v>758</v>
      </c>
      <c r="C67" s="7"/>
      <c r="D67" s="247" t="s">
        <v>759</v>
      </c>
      <c r="E67" s="5"/>
      <c r="F67" s="248"/>
      <c r="G67" s="7"/>
      <c r="H67" s="8" t="s">
        <v>760</v>
      </c>
      <c r="I67" s="9" t="s">
        <v>761</v>
      </c>
      <c r="J67" s="10" t="str">
        <f>image("https://archives.bulbagarden.net/media/upload/1/19/067MS6.png", 3)</f>
        <v/>
      </c>
      <c r="K67" s="11" t="s">
        <v>759</v>
      </c>
      <c r="L67" s="12"/>
      <c r="M67" s="12"/>
      <c r="N67" s="12"/>
      <c r="O67" s="12"/>
      <c r="Q67" s="71">
        <v>80.0</v>
      </c>
      <c r="R67" s="72">
        <v>100.0</v>
      </c>
      <c r="S67" s="73">
        <v>70.0</v>
      </c>
      <c r="T67" s="74">
        <v>50.0</v>
      </c>
      <c r="U67" s="75">
        <v>60.0</v>
      </c>
      <c r="V67" s="76">
        <v>45.0</v>
      </c>
      <c r="W67" s="77">
        <v>405.0</v>
      </c>
      <c r="X67" s="21"/>
      <c r="Y67" s="71">
        <v>80.0</v>
      </c>
      <c r="Z67" s="72">
        <v>100.0</v>
      </c>
      <c r="AA67" s="73">
        <v>70.0</v>
      </c>
      <c r="AB67" s="74">
        <v>50.0</v>
      </c>
      <c r="AC67" s="75">
        <v>60.0</v>
      </c>
      <c r="AD67" s="76">
        <v>45.0</v>
      </c>
      <c r="AE67" s="77">
        <v>405.0</v>
      </c>
      <c r="AF67" s="21"/>
      <c r="AG67" s="71">
        <v>80.0</v>
      </c>
      <c r="AH67" s="72">
        <v>100.0</v>
      </c>
      <c r="AI67" s="73">
        <v>70.0</v>
      </c>
      <c r="AJ67" s="74">
        <v>50.0</v>
      </c>
      <c r="AK67" s="75">
        <v>60.0</v>
      </c>
      <c r="AL67" s="76">
        <v>45.0</v>
      </c>
      <c r="AM67" s="77">
        <v>405.0</v>
      </c>
      <c r="AN67" s="21"/>
      <c r="AO67" s="22">
        <v>80.0</v>
      </c>
      <c r="AP67" s="23">
        <v>100.0</v>
      </c>
      <c r="AQ67" s="23">
        <v>70.0</v>
      </c>
      <c r="AR67" s="23">
        <v>50.0</v>
      </c>
      <c r="AS67" s="23">
        <v>60.0</v>
      </c>
      <c r="AT67" s="23">
        <v>45.0</v>
      </c>
      <c r="AU67" s="24">
        <v>405.0</v>
      </c>
      <c r="AV67" s="21"/>
      <c r="AW67" s="78">
        <v>80.0</v>
      </c>
      <c r="AX67" s="79">
        <v>100.0</v>
      </c>
      <c r="AY67" s="79">
        <v>70.0</v>
      </c>
      <c r="AZ67" s="79">
        <v>50.0</v>
      </c>
      <c r="BA67" s="79">
        <v>60.0</v>
      </c>
      <c r="BB67" s="79">
        <v>45.0</v>
      </c>
      <c r="BC67" s="201">
        <v>405.0</v>
      </c>
      <c r="BE67" s="172" t="s">
        <v>216</v>
      </c>
      <c r="BF67" s="113"/>
      <c r="BG67" s="93"/>
      <c r="BI67" s="31" t="s">
        <v>5</v>
      </c>
      <c r="BJ67" s="32">
        <v>2.0</v>
      </c>
      <c r="BK67" s="32" t="s">
        <v>5</v>
      </c>
      <c r="BL67" s="32" t="s">
        <v>5</v>
      </c>
      <c r="BM67" s="32" t="s">
        <v>5</v>
      </c>
      <c r="BN67" s="33" t="s">
        <v>5</v>
      </c>
      <c r="BP67" s="115" t="s">
        <v>64</v>
      </c>
      <c r="BQ67" s="93"/>
      <c r="BS67" s="115" t="s">
        <v>64</v>
      </c>
      <c r="BT67" s="133"/>
      <c r="BU67" s="37" t="str">
        <f t="shared" si="1"/>
        <v>#NAME?</v>
      </c>
      <c r="BV67" s="89" t="s">
        <v>64</v>
      </c>
      <c r="BW67" s="37" t="str">
        <f t="shared" si="2"/>
        <v>#NAME?</v>
      </c>
      <c r="BX67" s="89"/>
      <c r="BY67" s="39"/>
      <c r="BZ67" s="39"/>
      <c r="CA67" s="40" t="s">
        <v>64</v>
      </c>
      <c r="CB67" s="41"/>
      <c r="CC67" s="90" t="s">
        <v>64</v>
      </c>
      <c r="CD67" s="91"/>
      <c r="CE67" s="21"/>
      <c r="CF67" s="92" t="s">
        <v>273</v>
      </c>
      <c r="CG67" s="93" t="s">
        <v>753</v>
      </c>
      <c r="CH67" s="21"/>
      <c r="CI67" s="92" t="s">
        <v>273</v>
      </c>
      <c r="CJ67" s="93" t="s">
        <v>753</v>
      </c>
      <c r="CK67" s="21"/>
      <c r="CL67" s="22" t="s">
        <v>273</v>
      </c>
      <c r="CM67" s="12"/>
      <c r="CN67" s="48"/>
      <c r="CO67" s="96" t="s">
        <v>753</v>
      </c>
      <c r="CP67" s="21"/>
      <c r="CQ67" s="2" t="s">
        <v>762</v>
      </c>
      <c r="CR67" s="97">
        <v>80.0</v>
      </c>
      <c r="CS67" s="2" t="s">
        <v>216</v>
      </c>
      <c r="CT67" s="98">
        <v>146.0</v>
      </c>
      <c r="CU67" s="2"/>
      <c r="CV67" s="52" t="s">
        <v>467</v>
      </c>
      <c r="CW67" s="52" t="s">
        <v>466</v>
      </c>
      <c r="CX67" s="2"/>
      <c r="CY67" s="119" t="s">
        <v>728</v>
      </c>
      <c r="CZ67" s="160"/>
      <c r="DA67" s="2"/>
      <c r="DB67" s="98">
        <v>90.0</v>
      </c>
      <c r="DC67" s="2"/>
      <c r="DD67" s="101" t="s">
        <v>15</v>
      </c>
      <c r="DE67" s="2"/>
      <c r="DF67" s="250" t="s">
        <v>763</v>
      </c>
      <c r="DG67" s="173" t="s">
        <v>755</v>
      </c>
      <c r="DH67" s="121"/>
      <c r="DI67" s="2"/>
      <c r="DJ67" s="2"/>
      <c r="DK67" s="59" t="s">
        <v>764</v>
      </c>
      <c r="DL67" s="37" t="s">
        <v>34</v>
      </c>
      <c r="DM67" s="37" t="str">
        <f t="shared" si="3"/>
        <v>#NAME?</v>
      </c>
      <c r="DN67" s="61"/>
      <c r="DO67" s="37">
        <v>120.0</v>
      </c>
      <c r="DP67" s="105">
        <v>1.0</v>
      </c>
      <c r="DQ67" s="62" t="s">
        <v>93</v>
      </c>
      <c r="DR67" s="155"/>
      <c r="DS67" s="251"/>
      <c r="DT67" s="108"/>
      <c r="DU67" s="108"/>
      <c r="DV67" s="252"/>
      <c r="DW67" s="252"/>
      <c r="DX67" s="252"/>
      <c r="DY67" s="252"/>
      <c r="EB67" s="2"/>
      <c r="EC67" s="2"/>
      <c r="ED67" s="2"/>
      <c r="EE67" s="2"/>
      <c r="EF67" s="68" t="s">
        <v>765</v>
      </c>
      <c r="EG67" s="69" t="str">
        <f>image("https://www.pokebip.com/pages/icones/objets/masse-os.png", 3)</f>
        <v/>
      </c>
      <c r="EH67" s="69"/>
      <c r="EI67" s="69"/>
    </row>
    <row r="68" ht="15.75" customHeight="1">
      <c r="A68" s="1">
        <v>68.0</v>
      </c>
      <c r="B68" s="2" t="s">
        <v>766</v>
      </c>
      <c r="C68" s="7"/>
      <c r="D68" s="247" t="s">
        <v>767</v>
      </c>
      <c r="E68" s="5"/>
      <c r="F68" s="248"/>
      <c r="G68" s="7"/>
      <c r="H68" s="8" t="s">
        <v>768</v>
      </c>
      <c r="I68" s="9" t="s">
        <v>769</v>
      </c>
      <c r="J68" s="10" t="str">
        <f>image("https://archives.bulbagarden.net/media/upload/0/05/068MS6.png", 3)</f>
        <v/>
      </c>
      <c r="K68" s="11" t="s">
        <v>767</v>
      </c>
      <c r="L68" s="12"/>
      <c r="M68" s="12"/>
      <c r="N68" s="12"/>
      <c r="O68" s="12"/>
      <c r="Q68" s="71">
        <v>90.0</v>
      </c>
      <c r="R68" s="72">
        <v>130.0</v>
      </c>
      <c r="S68" s="73">
        <v>80.0</v>
      </c>
      <c r="T68" s="74">
        <v>65.0</v>
      </c>
      <c r="U68" s="75">
        <v>85.0</v>
      </c>
      <c r="V68" s="76">
        <v>55.0</v>
      </c>
      <c r="W68" s="77">
        <v>505.0</v>
      </c>
      <c r="X68" s="21"/>
      <c r="Y68" s="71">
        <v>90.0</v>
      </c>
      <c r="Z68" s="72">
        <v>130.0</v>
      </c>
      <c r="AA68" s="73">
        <v>80.0</v>
      </c>
      <c r="AB68" s="74">
        <v>65.0</v>
      </c>
      <c r="AC68" s="75">
        <v>85.0</v>
      </c>
      <c r="AD68" s="76">
        <v>55.0</v>
      </c>
      <c r="AE68" s="77">
        <v>505.0</v>
      </c>
      <c r="AF68" s="21"/>
      <c r="AG68" s="71">
        <v>90.0</v>
      </c>
      <c r="AH68" s="72">
        <v>130.0</v>
      </c>
      <c r="AI68" s="73">
        <v>80.0</v>
      </c>
      <c r="AJ68" s="74">
        <v>65.0</v>
      </c>
      <c r="AK68" s="75">
        <v>85.0</v>
      </c>
      <c r="AL68" s="76">
        <v>55.0</v>
      </c>
      <c r="AM68" s="77">
        <v>505.0</v>
      </c>
      <c r="AN68" s="21"/>
      <c r="AO68" s="22">
        <v>90.0</v>
      </c>
      <c r="AP68" s="23">
        <v>130.0</v>
      </c>
      <c r="AQ68" s="23">
        <v>80.0</v>
      </c>
      <c r="AR68" s="23">
        <v>65.0</v>
      </c>
      <c r="AS68" s="23">
        <v>85.0</v>
      </c>
      <c r="AT68" s="23">
        <v>55.0</v>
      </c>
      <c r="AU68" s="24">
        <v>505.0</v>
      </c>
      <c r="AV68" s="21"/>
      <c r="AW68" s="78">
        <v>90.0</v>
      </c>
      <c r="AX68" s="79">
        <v>130.0</v>
      </c>
      <c r="AY68" s="79">
        <v>80.0</v>
      </c>
      <c r="AZ68" s="79">
        <v>65.0</v>
      </c>
      <c r="BA68" s="79">
        <v>85.0</v>
      </c>
      <c r="BB68" s="79">
        <v>55.0</v>
      </c>
      <c r="BC68" s="201">
        <v>505.0</v>
      </c>
      <c r="BE68" s="172" t="s">
        <v>451</v>
      </c>
      <c r="BF68" s="138"/>
      <c r="BG68" s="128"/>
      <c r="BI68" s="31" t="s">
        <v>5</v>
      </c>
      <c r="BJ68" s="32">
        <v>3.0</v>
      </c>
      <c r="BK68" s="32" t="s">
        <v>5</v>
      </c>
      <c r="BL68" s="32" t="s">
        <v>5</v>
      </c>
      <c r="BM68" s="32" t="s">
        <v>5</v>
      </c>
      <c r="BN68" s="33" t="s">
        <v>5</v>
      </c>
      <c r="BP68" s="85" t="s">
        <v>64</v>
      </c>
      <c r="BQ68" s="129"/>
      <c r="BS68" s="87" t="s">
        <v>64</v>
      </c>
      <c r="BT68" s="130"/>
      <c r="BU68" s="37" t="str">
        <f t="shared" si="1"/>
        <v>#NAME?</v>
      </c>
      <c r="BV68" s="89" t="s">
        <v>64</v>
      </c>
      <c r="BW68" s="37" t="str">
        <f t="shared" si="2"/>
        <v>#NAME?</v>
      </c>
      <c r="BX68" s="89"/>
      <c r="BY68" s="39"/>
      <c r="BZ68" s="39"/>
      <c r="CA68" s="40" t="s">
        <v>64</v>
      </c>
      <c r="CB68" s="41"/>
      <c r="CC68" s="90" t="s">
        <v>64</v>
      </c>
      <c r="CD68" s="91"/>
      <c r="CE68" s="21"/>
      <c r="CF68" s="92" t="s">
        <v>273</v>
      </c>
      <c r="CG68" s="93" t="s">
        <v>753</v>
      </c>
      <c r="CH68" s="21"/>
      <c r="CI68" s="92" t="s">
        <v>273</v>
      </c>
      <c r="CJ68" s="188" t="s">
        <v>753</v>
      </c>
      <c r="CK68" s="21"/>
      <c r="CL68" s="22" t="s">
        <v>273</v>
      </c>
      <c r="CM68" s="12"/>
      <c r="CN68" s="48"/>
      <c r="CO68" s="189" t="s">
        <v>753</v>
      </c>
      <c r="CP68" s="21"/>
      <c r="CQ68" s="2" t="s">
        <v>770</v>
      </c>
      <c r="CR68" s="97">
        <v>100.0</v>
      </c>
      <c r="CS68" s="2" t="s">
        <v>451</v>
      </c>
      <c r="CT68" s="98">
        <v>193.0</v>
      </c>
      <c r="CU68" s="2"/>
      <c r="CV68" s="52" t="s">
        <v>467</v>
      </c>
      <c r="CW68" s="52" t="s">
        <v>466</v>
      </c>
      <c r="CX68" s="2"/>
      <c r="CY68" s="100" t="s">
        <v>728</v>
      </c>
      <c r="CZ68" s="154"/>
      <c r="DA68" s="2"/>
      <c r="DB68" s="98">
        <v>45.0</v>
      </c>
      <c r="DC68" s="2"/>
      <c r="DD68" s="101" t="s">
        <v>15</v>
      </c>
      <c r="DE68" s="2"/>
      <c r="DF68" s="159" t="s">
        <v>771</v>
      </c>
      <c r="DG68" s="166" t="s">
        <v>755</v>
      </c>
      <c r="DH68" s="103"/>
      <c r="DI68" s="2"/>
      <c r="DJ68" s="2"/>
      <c r="DK68" s="59" t="s">
        <v>772</v>
      </c>
      <c r="DL68" s="37" t="s">
        <v>76</v>
      </c>
      <c r="DM68" s="37" t="str">
        <f t="shared" si="3"/>
        <v>#NAME?</v>
      </c>
      <c r="DN68" s="61"/>
      <c r="DO68" s="37" t="s">
        <v>19</v>
      </c>
      <c r="DP68" s="105">
        <v>1.0</v>
      </c>
      <c r="DQ68" s="62" t="s">
        <v>49</v>
      </c>
      <c r="DR68" s="63"/>
      <c r="DS68" s="198"/>
      <c r="DT68" s="108"/>
      <c r="DU68" s="108"/>
      <c r="DV68" s="182"/>
      <c r="DW68" s="182"/>
      <c r="DX68" s="182"/>
      <c r="DY68" s="182"/>
      <c r="EB68" s="2"/>
      <c r="EC68" s="2"/>
      <c r="ED68" s="2"/>
      <c r="EE68" s="2"/>
      <c r="EF68" s="68" t="s">
        <v>773</v>
      </c>
      <c r="EG68" s="69" t="str">
        <f>image("https://www.pokebip.com/pages/icones/objets/poing-chance.png", 3)</f>
        <v/>
      </c>
      <c r="EH68" s="69"/>
      <c r="EI68" s="69"/>
    </row>
    <row r="69" ht="15.75" customHeight="1">
      <c r="A69" s="1">
        <v>69.0</v>
      </c>
      <c r="B69" s="2" t="s">
        <v>774</v>
      </c>
      <c r="C69" s="7"/>
      <c r="D69" s="4" t="s">
        <v>775</v>
      </c>
      <c r="E69" s="5"/>
      <c r="F69" s="6"/>
      <c r="G69" s="7"/>
      <c r="H69" s="8" t="s">
        <v>776</v>
      </c>
      <c r="I69" s="9" t="s">
        <v>777</v>
      </c>
      <c r="J69" s="10" t="str">
        <f>image("https://archives.bulbagarden.net/media/upload/c/c7/069MS6.png", 3)</f>
        <v/>
      </c>
      <c r="K69" s="11" t="s">
        <v>775</v>
      </c>
      <c r="L69" s="12"/>
      <c r="M69" s="12"/>
      <c r="N69" s="12"/>
      <c r="O69" s="12"/>
      <c r="Q69" s="71">
        <v>50.0</v>
      </c>
      <c r="R69" s="72">
        <v>75.0</v>
      </c>
      <c r="S69" s="73">
        <v>35.0</v>
      </c>
      <c r="T69" s="74">
        <v>70.0</v>
      </c>
      <c r="U69" s="75">
        <v>30.0</v>
      </c>
      <c r="V69" s="76">
        <v>40.0</v>
      </c>
      <c r="W69" s="77">
        <v>300.0</v>
      </c>
      <c r="X69" s="21"/>
      <c r="Y69" s="71">
        <v>50.0</v>
      </c>
      <c r="Z69" s="72">
        <v>75.0</v>
      </c>
      <c r="AA69" s="73">
        <v>35.0</v>
      </c>
      <c r="AB69" s="74">
        <v>70.0</v>
      </c>
      <c r="AC69" s="75">
        <v>30.0</v>
      </c>
      <c r="AD69" s="76">
        <v>40.0</v>
      </c>
      <c r="AE69" s="77">
        <v>300.0</v>
      </c>
      <c r="AF69" s="21"/>
      <c r="AG69" s="71">
        <v>50.0</v>
      </c>
      <c r="AH69" s="72">
        <v>75.0</v>
      </c>
      <c r="AI69" s="73">
        <v>35.0</v>
      </c>
      <c r="AJ69" s="74">
        <v>70.0</v>
      </c>
      <c r="AK69" s="75">
        <v>30.0</v>
      </c>
      <c r="AL69" s="76">
        <v>40.0</v>
      </c>
      <c r="AM69" s="77">
        <v>300.0</v>
      </c>
      <c r="AN69" s="21"/>
      <c r="AO69" s="22">
        <v>50.0</v>
      </c>
      <c r="AP69" s="23">
        <v>75.0</v>
      </c>
      <c r="AQ69" s="23">
        <v>35.0</v>
      </c>
      <c r="AR69" s="23">
        <v>70.0</v>
      </c>
      <c r="AS69" s="23">
        <v>30.0</v>
      </c>
      <c r="AT69" s="23">
        <v>40.0</v>
      </c>
      <c r="AU69" s="24">
        <v>300.0</v>
      </c>
      <c r="AV69" s="21"/>
      <c r="AW69" s="78">
        <v>50.0</v>
      </c>
      <c r="AX69" s="79">
        <v>75.0</v>
      </c>
      <c r="AY69" s="79">
        <v>35.0</v>
      </c>
      <c r="AZ69" s="79">
        <v>70.0</v>
      </c>
      <c r="BA69" s="79">
        <v>30.0</v>
      </c>
      <c r="BB69" s="79">
        <v>40.0</v>
      </c>
      <c r="BC69" s="201">
        <v>300.0</v>
      </c>
      <c r="BE69" s="194" t="s">
        <v>325</v>
      </c>
      <c r="BF69" s="184"/>
      <c r="BG69" s="128"/>
      <c r="BI69" s="31" t="s">
        <v>5</v>
      </c>
      <c r="BJ69" s="32">
        <v>1.0</v>
      </c>
      <c r="BK69" s="32" t="s">
        <v>5</v>
      </c>
      <c r="BL69" s="32" t="s">
        <v>5</v>
      </c>
      <c r="BM69" s="32" t="s">
        <v>5</v>
      </c>
      <c r="BN69" s="33" t="s">
        <v>5</v>
      </c>
      <c r="BP69" s="115" t="s">
        <v>6</v>
      </c>
      <c r="BQ69" s="116" t="s">
        <v>7</v>
      </c>
      <c r="BS69" s="115" t="s">
        <v>6</v>
      </c>
      <c r="BT69" s="117" t="s">
        <v>7</v>
      </c>
      <c r="BU69" s="37" t="str">
        <f t="shared" si="1"/>
        <v>#NAME?</v>
      </c>
      <c r="BV69" s="89" t="s">
        <v>6</v>
      </c>
      <c r="BW69" s="37" t="str">
        <f t="shared" si="2"/>
        <v>#NAME?</v>
      </c>
      <c r="BX69" s="89" t="s">
        <v>7</v>
      </c>
      <c r="BY69" s="39"/>
      <c r="BZ69" s="39"/>
      <c r="CA69" s="40" t="s">
        <v>8</v>
      </c>
      <c r="CB69" s="41"/>
      <c r="CC69" s="90" t="s">
        <v>6</v>
      </c>
      <c r="CD69" s="91" t="s">
        <v>7</v>
      </c>
      <c r="CE69" s="2"/>
      <c r="CF69" s="92" t="s">
        <v>43</v>
      </c>
      <c r="CG69" s="93"/>
      <c r="CH69" s="2"/>
      <c r="CI69" s="191" t="s">
        <v>43</v>
      </c>
      <c r="CJ69" s="46" t="s">
        <v>778</v>
      </c>
      <c r="CK69" s="2"/>
      <c r="CL69" s="22" t="s">
        <v>43</v>
      </c>
      <c r="CM69" s="12"/>
      <c r="CN69" s="48"/>
      <c r="CO69" s="192" t="s">
        <v>779</v>
      </c>
      <c r="CP69" s="2"/>
      <c r="CQ69" s="2" t="s">
        <v>780</v>
      </c>
      <c r="CR69" s="97">
        <v>20.0</v>
      </c>
      <c r="CS69" s="2" t="s">
        <v>325</v>
      </c>
      <c r="CT69" s="98">
        <v>84.0</v>
      </c>
      <c r="CU69" s="2"/>
      <c r="CV69" s="52" t="s">
        <v>149</v>
      </c>
      <c r="CW69" s="52" t="s">
        <v>149</v>
      </c>
      <c r="CX69" s="2"/>
      <c r="CY69" s="119" t="s">
        <v>6</v>
      </c>
      <c r="CZ69" s="160"/>
      <c r="DA69" s="2"/>
      <c r="DB69" s="98">
        <v>255.0</v>
      </c>
      <c r="DC69" s="2"/>
      <c r="DD69" s="101" t="s">
        <v>15</v>
      </c>
      <c r="DE69" s="2"/>
      <c r="DF69" s="253" t="s">
        <v>781</v>
      </c>
      <c r="DG69" s="121"/>
      <c r="DH69" s="121"/>
      <c r="DI69" s="21"/>
      <c r="DJ69" s="21"/>
      <c r="DK69" s="59" t="s">
        <v>782</v>
      </c>
      <c r="DL69" s="37" t="s">
        <v>18</v>
      </c>
      <c r="DM69" s="37" t="str">
        <f t="shared" si="3"/>
        <v>#NAME?</v>
      </c>
      <c r="DN69" s="61"/>
      <c r="DO69" s="37" t="s">
        <v>175</v>
      </c>
      <c r="DP69" s="37" t="s">
        <v>225</v>
      </c>
      <c r="DQ69" s="62" t="s">
        <v>93</v>
      </c>
      <c r="DR69" s="63"/>
      <c r="DS69" s="198"/>
      <c r="DT69" s="108"/>
      <c r="DU69" s="108"/>
      <c r="DV69" s="182"/>
      <c r="DW69" s="182"/>
      <c r="DX69" s="182"/>
      <c r="DY69" s="182"/>
      <c r="DZ69" s="182"/>
      <c r="EA69" s="182"/>
      <c r="EB69" s="21"/>
      <c r="EC69" s="21"/>
      <c r="ED69" s="21"/>
      <c r="EE69" s="21"/>
      <c r="EF69" s="68" t="s">
        <v>783</v>
      </c>
      <c r="EG69" s="69" t="str">
        <f>image("https://www.pokebip.com/pages/icones/objets/poudre-metal.png", 3)</f>
        <v/>
      </c>
      <c r="EH69" s="69"/>
      <c r="EI69" s="69"/>
    </row>
    <row r="70" ht="15.75" customHeight="1">
      <c r="A70" s="1">
        <v>70.0</v>
      </c>
      <c r="B70" s="2" t="s">
        <v>784</v>
      </c>
      <c r="C70" s="7"/>
      <c r="D70" s="4" t="s">
        <v>785</v>
      </c>
      <c r="E70" s="5"/>
      <c r="F70" s="6"/>
      <c r="G70" s="7"/>
      <c r="H70" s="8" t="s">
        <v>786</v>
      </c>
      <c r="I70" s="9" t="s">
        <v>787</v>
      </c>
      <c r="J70" s="10" t="str">
        <f>image("https://archives.bulbagarden.net/media/upload/b/b5/070MS6.png", 3)</f>
        <v/>
      </c>
      <c r="K70" s="11" t="s">
        <v>785</v>
      </c>
      <c r="L70" s="12"/>
      <c r="M70" s="12"/>
      <c r="N70" s="12"/>
      <c r="O70" s="12"/>
      <c r="Q70" s="71">
        <v>65.0</v>
      </c>
      <c r="R70" s="72">
        <v>90.0</v>
      </c>
      <c r="S70" s="73">
        <v>50.0</v>
      </c>
      <c r="T70" s="74">
        <v>85.0</v>
      </c>
      <c r="U70" s="75">
        <v>45.0</v>
      </c>
      <c r="V70" s="76">
        <v>55.0</v>
      </c>
      <c r="W70" s="77">
        <v>390.0</v>
      </c>
      <c r="X70" s="21"/>
      <c r="Y70" s="71">
        <v>65.0</v>
      </c>
      <c r="Z70" s="72">
        <v>90.0</v>
      </c>
      <c r="AA70" s="73">
        <v>50.0</v>
      </c>
      <c r="AB70" s="74">
        <v>85.0</v>
      </c>
      <c r="AC70" s="75">
        <v>45.0</v>
      </c>
      <c r="AD70" s="76">
        <v>55.0</v>
      </c>
      <c r="AE70" s="77">
        <v>390.0</v>
      </c>
      <c r="AF70" s="21"/>
      <c r="AG70" s="71">
        <v>65.0</v>
      </c>
      <c r="AH70" s="72">
        <v>90.0</v>
      </c>
      <c r="AI70" s="73">
        <v>50.0</v>
      </c>
      <c r="AJ70" s="74">
        <v>85.0</v>
      </c>
      <c r="AK70" s="75">
        <v>45.0</v>
      </c>
      <c r="AL70" s="76">
        <v>55.0</v>
      </c>
      <c r="AM70" s="77">
        <v>390.0</v>
      </c>
      <c r="AN70" s="21"/>
      <c r="AO70" s="22">
        <v>65.0</v>
      </c>
      <c r="AP70" s="23">
        <v>90.0</v>
      </c>
      <c r="AQ70" s="23">
        <v>50.0</v>
      </c>
      <c r="AR70" s="23">
        <v>85.0</v>
      </c>
      <c r="AS70" s="23">
        <v>45.0</v>
      </c>
      <c r="AT70" s="23">
        <v>55.0</v>
      </c>
      <c r="AU70" s="24">
        <v>390.0</v>
      </c>
      <c r="AV70" s="21"/>
      <c r="AW70" s="78">
        <v>65.0</v>
      </c>
      <c r="AX70" s="79">
        <v>90.0</v>
      </c>
      <c r="AY70" s="79">
        <v>50.0</v>
      </c>
      <c r="AZ70" s="79">
        <v>85.0</v>
      </c>
      <c r="BA70" s="80">
        <v>45.0</v>
      </c>
      <c r="BB70" s="79">
        <v>55.0</v>
      </c>
      <c r="BC70" s="81">
        <v>390.0</v>
      </c>
      <c r="BE70" s="172" t="s">
        <v>216</v>
      </c>
      <c r="BF70" s="113"/>
      <c r="BG70" s="84"/>
      <c r="BI70" s="31" t="s">
        <v>5</v>
      </c>
      <c r="BJ70" s="32">
        <v>2.0</v>
      </c>
      <c r="BK70" s="32" t="s">
        <v>5</v>
      </c>
      <c r="BL70" s="32" t="s">
        <v>5</v>
      </c>
      <c r="BM70" s="32" t="s">
        <v>5</v>
      </c>
      <c r="BN70" s="33" t="s">
        <v>5</v>
      </c>
      <c r="BP70" s="85" t="s">
        <v>6</v>
      </c>
      <c r="BQ70" s="86" t="s">
        <v>7</v>
      </c>
      <c r="BS70" s="87" t="s">
        <v>6</v>
      </c>
      <c r="BT70" s="88" t="s">
        <v>7</v>
      </c>
      <c r="BU70" s="37" t="str">
        <f t="shared" si="1"/>
        <v>#NAME?</v>
      </c>
      <c r="BV70" s="89" t="s">
        <v>6</v>
      </c>
      <c r="BW70" s="37" t="str">
        <f t="shared" si="2"/>
        <v>#NAME?</v>
      </c>
      <c r="BX70" s="89" t="s">
        <v>7</v>
      </c>
      <c r="BY70" s="39"/>
      <c r="BZ70" s="39"/>
      <c r="CA70" s="40" t="s">
        <v>8</v>
      </c>
      <c r="CB70" s="41"/>
      <c r="CC70" s="90" t="s">
        <v>6</v>
      </c>
      <c r="CD70" s="91" t="s">
        <v>7</v>
      </c>
      <c r="CE70" s="2"/>
      <c r="CF70" s="92" t="s">
        <v>43</v>
      </c>
      <c r="CG70" s="93"/>
      <c r="CH70" s="2"/>
      <c r="CI70" s="191" t="s">
        <v>43</v>
      </c>
      <c r="CJ70" s="94" t="s">
        <v>778</v>
      </c>
      <c r="CK70" s="2"/>
      <c r="CL70" s="22" t="s">
        <v>43</v>
      </c>
      <c r="CM70" s="12"/>
      <c r="CN70" s="48"/>
      <c r="CO70" s="235" t="s">
        <v>779</v>
      </c>
      <c r="CP70" s="2"/>
      <c r="CQ70" s="2" t="s">
        <v>788</v>
      </c>
      <c r="CR70" s="97">
        <v>20.0</v>
      </c>
      <c r="CS70" s="2" t="s">
        <v>216</v>
      </c>
      <c r="CT70" s="98">
        <v>151.0</v>
      </c>
      <c r="CU70" s="2"/>
      <c r="CV70" s="52" t="s">
        <v>149</v>
      </c>
      <c r="CW70" s="52" t="s">
        <v>149</v>
      </c>
      <c r="CX70" s="2"/>
      <c r="CY70" s="100" t="s">
        <v>6</v>
      </c>
      <c r="CZ70" s="154"/>
      <c r="DA70" s="2"/>
      <c r="DB70" s="98">
        <v>120.0</v>
      </c>
      <c r="DC70" s="2"/>
      <c r="DD70" s="101" t="s">
        <v>15</v>
      </c>
      <c r="DE70" s="2"/>
      <c r="DF70" s="102" t="s">
        <v>789</v>
      </c>
      <c r="DG70" s="103"/>
      <c r="DH70" s="103"/>
      <c r="DI70" s="2"/>
      <c r="DJ70" s="2"/>
      <c r="DK70" s="59" t="s">
        <v>790</v>
      </c>
      <c r="DL70" s="37" t="s">
        <v>64</v>
      </c>
      <c r="DM70" s="37" t="str">
        <f t="shared" si="3"/>
        <v>#NAME?</v>
      </c>
      <c r="DN70" s="61"/>
      <c r="DO70" s="37">
        <v>150.0</v>
      </c>
      <c r="DP70" s="105">
        <v>1.0</v>
      </c>
      <c r="DQ70" s="62" t="s">
        <v>20</v>
      </c>
      <c r="DR70" s="63"/>
      <c r="DS70" s="198"/>
      <c r="DT70" s="108"/>
      <c r="DU70" s="108"/>
      <c r="DV70" s="182"/>
      <c r="DW70" s="182"/>
      <c r="DX70" s="182"/>
      <c r="DY70" s="182"/>
      <c r="EB70" s="2"/>
      <c r="EC70" s="2"/>
      <c r="ED70" s="2"/>
      <c r="EE70" s="2"/>
      <c r="EF70" s="68" t="s">
        <v>791</v>
      </c>
      <c r="EG70" s="69" t="str">
        <f>image("https://www.pokebip.com/pages/icones/objets/poudre-vite.png", 3)</f>
        <v/>
      </c>
      <c r="EH70" s="69"/>
      <c r="EI70" s="69"/>
    </row>
    <row r="71" ht="15.75" customHeight="1">
      <c r="A71" s="1">
        <v>71.0</v>
      </c>
      <c r="B71" s="2" t="s">
        <v>792</v>
      </c>
      <c r="C71" s="7"/>
      <c r="D71" s="4" t="s">
        <v>793</v>
      </c>
      <c r="E71" s="5"/>
      <c r="F71" s="6"/>
      <c r="G71" s="7"/>
      <c r="H71" s="8" t="s">
        <v>794</v>
      </c>
      <c r="I71" s="9" t="s">
        <v>795</v>
      </c>
      <c r="J71" s="10" t="str">
        <f>image("https://archives.bulbagarden.net/media/upload/6/69/071MS6.png", 3)</f>
        <v/>
      </c>
      <c r="K71" s="11" t="s">
        <v>793</v>
      </c>
      <c r="L71" s="12"/>
      <c r="M71" s="12"/>
      <c r="N71" s="12"/>
      <c r="O71" s="12"/>
      <c r="Q71" s="71">
        <v>80.0</v>
      </c>
      <c r="R71" s="72">
        <v>105.0</v>
      </c>
      <c r="S71" s="73">
        <v>65.0</v>
      </c>
      <c r="T71" s="74">
        <v>100.0</v>
      </c>
      <c r="U71" s="75">
        <v>60.0</v>
      </c>
      <c r="V71" s="76">
        <v>70.0</v>
      </c>
      <c r="W71" s="77">
        <v>480.0</v>
      </c>
      <c r="X71" s="21"/>
      <c r="Y71" s="71">
        <v>80.0</v>
      </c>
      <c r="Z71" s="72">
        <v>105.0</v>
      </c>
      <c r="AA71" s="73">
        <v>65.0</v>
      </c>
      <c r="AB71" s="74">
        <v>100.0</v>
      </c>
      <c r="AC71" s="109">
        <v>70.0</v>
      </c>
      <c r="AD71" s="76">
        <v>70.0</v>
      </c>
      <c r="AE71" s="110">
        <v>490.0</v>
      </c>
      <c r="AF71" s="21"/>
      <c r="AG71" s="71">
        <v>80.0</v>
      </c>
      <c r="AH71" s="72">
        <v>105.0</v>
      </c>
      <c r="AI71" s="73">
        <v>65.0</v>
      </c>
      <c r="AJ71" s="74">
        <v>100.0</v>
      </c>
      <c r="AK71" s="109">
        <v>70.0</v>
      </c>
      <c r="AL71" s="76">
        <v>70.0</v>
      </c>
      <c r="AM71" s="110">
        <v>490.0</v>
      </c>
      <c r="AN71" s="21"/>
      <c r="AO71" s="22">
        <v>80.0</v>
      </c>
      <c r="AP71" s="23">
        <v>105.0</v>
      </c>
      <c r="AQ71" s="23">
        <v>65.0</v>
      </c>
      <c r="AR71" s="23">
        <v>100.0</v>
      </c>
      <c r="AS71" s="23" t="s">
        <v>288</v>
      </c>
      <c r="AT71" s="23">
        <v>70.0</v>
      </c>
      <c r="AU71" s="24" t="s">
        <v>562</v>
      </c>
      <c r="AV71" s="21"/>
      <c r="AW71" s="78">
        <v>80.0</v>
      </c>
      <c r="AX71" s="79">
        <v>105.0</v>
      </c>
      <c r="AY71" s="79">
        <v>65.0</v>
      </c>
      <c r="AZ71" s="79">
        <v>100.0</v>
      </c>
      <c r="BA71" s="111">
        <v>70.0</v>
      </c>
      <c r="BB71" s="79">
        <v>70.0</v>
      </c>
      <c r="BC71" s="111">
        <v>490.0</v>
      </c>
      <c r="BE71" s="172" t="s">
        <v>451</v>
      </c>
      <c r="BF71" s="138"/>
      <c r="BG71" s="128"/>
      <c r="BI71" s="31" t="s">
        <v>5</v>
      </c>
      <c r="BJ71" s="32">
        <v>3.0</v>
      </c>
      <c r="BK71" s="32" t="s">
        <v>5</v>
      </c>
      <c r="BL71" s="32" t="s">
        <v>5</v>
      </c>
      <c r="BM71" s="32" t="s">
        <v>5</v>
      </c>
      <c r="BN71" s="33" t="s">
        <v>5</v>
      </c>
      <c r="BP71" s="115" t="s">
        <v>6</v>
      </c>
      <c r="BQ71" s="116" t="s">
        <v>7</v>
      </c>
      <c r="BS71" s="115" t="s">
        <v>6</v>
      </c>
      <c r="BT71" s="117" t="s">
        <v>7</v>
      </c>
      <c r="BU71" s="37" t="str">
        <f t="shared" si="1"/>
        <v>#NAME?</v>
      </c>
      <c r="BV71" s="89" t="s">
        <v>6</v>
      </c>
      <c r="BW71" s="37" t="str">
        <f t="shared" si="2"/>
        <v>#NAME?</v>
      </c>
      <c r="BX71" s="89" t="s">
        <v>7</v>
      </c>
      <c r="BY71" s="39"/>
      <c r="BZ71" s="39"/>
      <c r="CA71" s="40" t="s">
        <v>8</v>
      </c>
      <c r="CB71" s="41"/>
      <c r="CC71" s="90" t="s">
        <v>6</v>
      </c>
      <c r="CD71" s="91" t="s">
        <v>7</v>
      </c>
      <c r="CE71" s="2"/>
      <c r="CF71" s="92" t="s">
        <v>43</v>
      </c>
      <c r="CG71" s="93"/>
      <c r="CH71" s="2"/>
      <c r="CI71" s="191" t="s">
        <v>43</v>
      </c>
      <c r="CJ71" s="152" t="s">
        <v>778</v>
      </c>
      <c r="CK71" s="2"/>
      <c r="CL71" s="22" t="s">
        <v>43</v>
      </c>
      <c r="CM71" s="12"/>
      <c r="CN71" s="48"/>
      <c r="CO71" s="193" t="s">
        <v>779</v>
      </c>
      <c r="CP71" s="2"/>
      <c r="CQ71" s="2" t="s">
        <v>796</v>
      </c>
      <c r="CR71" s="97">
        <v>40.0</v>
      </c>
      <c r="CS71" s="2" t="s">
        <v>451</v>
      </c>
      <c r="CT71" s="98">
        <v>191.0</v>
      </c>
      <c r="CU71" s="2"/>
      <c r="CV71" s="52" t="s">
        <v>149</v>
      </c>
      <c r="CW71" s="52" t="s">
        <v>149</v>
      </c>
      <c r="CX71" s="2"/>
      <c r="CY71" s="119" t="s">
        <v>6</v>
      </c>
      <c r="CZ71" s="160"/>
      <c r="DA71" s="2"/>
      <c r="DB71" s="98">
        <v>45.0</v>
      </c>
      <c r="DC71" s="2"/>
      <c r="DD71" s="101" t="s">
        <v>15</v>
      </c>
      <c r="DE71" s="2"/>
      <c r="DF71" s="120" t="s">
        <v>797</v>
      </c>
      <c r="DG71" s="121"/>
      <c r="DH71" s="121"/>
      <c r="DI71" s="2"/>
      <c r="DJ71" s="2"/>
      <c r="DK71" s="59" t="s">
        <v>798</v>
      </c>
      <c r="DL71" s="37" t="s">
        <v>64</v>
      </c>
      <c r="DM71" s="37" t="str">
        <f t="shared" si="3"/>
        <v>#NAME?</v>
      </c>
      <c r="DN71" s="61"/>
      <c r="DO71" s="37">
        <v>60.0</v>
      </c>
      <c r="DP71" s="105">
        <v>1.0</v>
      </c>
      <c r="DQ71" s="62" t="s">
        <v>49</v>
      </c>
      <c r="DR71" s="63"/>
      <c r="DS71" s="198"/>
      <c r="DT71" s="108"/>
      <c r="DU71" s="108"/>
      <c r="DV71" s="182"/>
      <c r="DW71" s="182"/>
      <c r="DX71" s="182"/>
      <c r="DY71" s="182"/>
      <c r="DZ71" s="182"/>
      <c r="EA71" s="182"/>
      <c r="EB71" s="2"/>
      <c r="EC71" s="2"/>
      <c r="ED71" s="2"/>
      <c r="EE71" s="2"/>
      <c r="EG71" s="108"/>
    </row>
    <row r="72" ht="15.75" customHeight="1">
      <c r="A72" s="1">
        <v>72.0</v>
      </c>
      <c r="B72" s="2" t="s">
        <v>799</v>
      </c>
      <c r="C72" s="7"/>
      <c r="D72" s="140" t="s">
        <v>800</v>
      </c>
      <c r="E72" s="5"/>
      <c r="F72" s="141"/>
      <c r="G72" s="7"/>
      <c r="H72" s="8" t="s">
        <v>801</v>
      </c>
      <c r="I72" s="9" t="s">
        <v>802</v>
      </c>
      <c r="J72" s="10" t="str">
        <f>image("https://archives.bulbagarden.net/media/upload/3/3a/072MS6.png", 3)</f>
        <v/>
      </c>
      <c r="K72" s="11" t="s">
        <v>800</v>
      </c>
      <c r="L72" s="12"/>
      <c r="M72" s="12"/>
      <c r="N72" s="12"/>
      <c r="O72" s="12"/>
      <c r="Q72" s="71">
        <v>40.0</v>
      </c>
      <c r="R72" s="72">
        <v>40.0</v>
      </c>
      <c r="S72" s="73">
        <v>35.0</v>
      </c>
      <c r="T72" s="74">
        <v>50.0</v>
      </c>
      <c r="U72" s="75">
        <v>100.0</v>
      </c>
      <c r="V72" s="76">
        <v>70.0</v>
      </c>
      <c r="W72" s="77">
        <v>335.0</v>
      </c>
      <c r="X72" s="21"/>
      <c r="Y72" s="71">
        <v>40.0</v>
      </c>
      <c r="Z72" s="72">
        <v>40.0</v>
      </c>
      <c r="AA72" s="73">
        <v>35.0</v>
      </c>
      <c r="AB72" s="74">
        <v>50.0</v>
      </c>
      <c r="AC72" s="75">
        <v>100.0</v>
      </c>
      <c r="AD72" s="76">
        <v>70.0</v>
      </c>
      <c r="AE72" s="77">
        <v>335.0</v>
      </c>
      <c r="AF72" s="21"/>
      <c r="AG72" s="71">
        <v>40.0</v>
      </c>
      <c r="AH72" s="72">
        <v>40.0</v>
      </c>
      <c r="AI72" s="73">
        <v>35.0</v>
      </c>
      <c r="AJ72" s="74">
        <v>50.0</v>
      </c>
      <c r="AK72" s="75">
        <v>100.0</v>
      </c>
      <c r="AL72" s="76">
        <v>70.0</v>
      </c>
      <c r="AM72" s="77">
        <v>335.0</v>
      </c>
      <c r="AN72" s="21"/>
      <c r="AO72" s="22">
        <v>40.0</v>
      </c>
      <c r="AP72" s="23">
        <v>40.0</v>
      </c>
      <c r="AQ72" s="23">
        <v>35.0</v>
      </c>
      <c r="AR72" s="23">
        <v>50.0</v>
      </c>
      <c r="AS72" s="23">
        <v>100.0</v>
      </c>
      <c r="AT72" s="23">
        <v>70.0</v>
      </c>
      <c r="AU72" s="24">
        <v>335.0</v>
      </c>
      <c r="AV72" s="21"/>
      <c r="AW72" s="78">
        <v>40.0</v>
      </c>
      <c r="AX72" s="79">
        <v>40.0</v>
      </c>
      <c r="AY72" s="79">
        <v>35.0</v>
      </c>
      <c r="AZ72" s="79">
        <v>50.0</v>
      </c>
      <c r="BA72" s="124">
        <v>100.0</v>
      </c>
      <c r="BB72" s="79">
        <v>70.0</v>
      </c>
      <c r="BC72" s="125">
        <v>335.0</v>
      </c>
      <c r="BE72" s="225" t="s">
        <v>27</v>
      </c>
      <c r="BF72" s="127"/>
      <c r="BG72" s="128"/>
      <c r="BI72" s="31" t="s">
        <v>5</v>
      </c>
      <c r="BJ72" s="32" t="s">
        <v>5</v>
      </c>
      <c r="BK72" s="32" t="s">
        <v>5</v>
      </c>
      <c r="BL72" s="32" t="s">
        <v>5</v>
      </c>
      <c r="BM72" s="32">
        <v>1.0</v>
      </c>
      <c r="BN72" s="33" t="s">
        <v>5</v>
      </c>
      <c r="BP72" s="85" t="s">
        <v>32</v>
      </c>
      <c r="BQ72" s="86" t="s">
        <v>7</v>
      </c>
      <c r="BS72" s="87" t="s">
        <v>32</v>
      </c>
      <c r="BT72" s="88" t="s">
        <v>7</v>
      </c>
      <c r="BU72" s="37" t="str">
        <f t="shared" si="1"/>
        <v>#NAME?</v>
      </c>
      <c r="BV72" s="89" t="s">
        <v>32</v>
      </c>
      <c r="BW72" s="37" t="str">
        <f t="shared" si="2"/>
        <v>#NAME?</v>
      </c>
      <c r="BX72" s="89" t="s">
        <v>7</v>
      </c>
      <c r="BY72" s="39"/>
      <c r="BZ72" s="39"/>
      <c r="CA72" s="40" t="s">
        <v>803</v>
      </c>
      <c r="CB72" s="41"/>
      <c r="CC72" s="90" t="s">
        <v>32</v>
      </c>
      <c r="CD72" s="91" t="s">
        <v>7</v>
      </c>
      <c r="CE72" s="2"/>
      <c r="CF72" s="92" t="s">
        <v>804</v>
      </c>
      <c r="CG72" s="93" t="s">
        <v>805</v>
      </c>
      <c r="CH72" s="2"/>
      <c r="CI72" s="92" t="s">
        <v>804</v>
      </c>
      <c r="CJ72" s="195" t="s">
        <v>805</v>
      </c>
      <c r="CK72" s="2"/>
      <c r="CL72" s="22" t="s">
        <v>804</v>
      </c>
      <c r="CM72" s="12"/>
      <c r="CN72" s="48"/>
      <c r="CO72" s="196" t="s">
        <v>805</v>
      </c>
      <c r="CP72" s="2"/>
      <c r="CQ72" s="2" t="s">
        <v>806</v>
      </c>
      <c r="CR72" s="97">
        <v>60.0</v>
      </c>
      <c r="CS72" s="2" t="s">
        <v>27</v>
      </c>
      <c r="CT72" s="98">
        <v>105.0</v>
      </c>
      <c r="CU72" s="2"/>
      <c r="CV72" s="52" t="s">
        <v>149</v>
      </c>
      <c r="CW72" s="52" t="s">
        <v>149</v>
      </c>
      <c r="CX72" s="2"/>
      <c r="CY72" s="100" t="s">
        <v>807</v>
      </c>
      <c r="CZ72" s="154"/>
      <c r="DA72" s="2"/>
      <c r="DB72" s="98">
        <v>190.0</v>
      </c>
      <c r="DC72" s="2"/>
      <c r="DD72" s="101" t="s">
        <v>683</v>
      </c>
      <c r="DE72" s="2"/>
      <c r="DF72" s="131" t="s">
        <v>808</v>
      </c>
      <c r="DG72" s="166" t="s">
        <v>223</v>
      </c>
      <c r="DH72" s="103"/>
      <c r="DI72" s="21"/>
      <c r="DJ72" s="21"/>
      <c r="DK72" s="59" t="s">
        <v>809</v>
      </c>
      <c r="DL72" s="37" t="s">
        <v>156</v>
      </c>
      <c r="DM72" s="37" t="str">
        <f t="shared" si="3"/>
        <v>#NAME?</v>
      </c>
      <c r="DN72" s="61"/>
      <c r="DO72" s="37" t="s">
        <v>19</v>
      </c>
      <c r="DP72" s="105">
        <v>1.0</v>
      </c>
      <c r="DQ72" s="62" t="s">
        <v>20</v>
      </c>
      <c r="DR72" s="63"/>
      <c r="DS72" s="198"/>
      <c r="DT72" s="108"/>
      <c r="DU72" s="108"/>
      <c r="DV72" s="182"/>
      <c r="DW72" s="182"/>
      <c r="DX72" s="182"/>
      <c r="DY72" s="182"/>
      <c r="DZ72" s="182"/>
      <c r="EA72" s="182"/>
      <c r="EB72" s="21"/>
      <c r="EC72" s="21"/>
      <c r="ED72" s="21"/>
      <c r="EE72" s="21"/>
      <c r="EF72" s="68" t="s">
        <v>810</v>
      </c>
      <c r="EG72" s="69" t="str">
        <f>image("https://www.pokebip.com/pages/icones/objets/bracelet-macho.png", 3)</f>
        <v/>
      </c>
      <c r="EH72" s="69"/>
      <c r="EI72" s="69"/>
    </row>
    <row r="73" ht="15.75" customHeight="1">
      <c r="A73" s="1">
        <v>73.0</v>
      </c>
      <c r="B73" s="2" t="s">
        <v>811</v>
      </c>
      <c r="C73" s="7"/>
      <c r="D73" s="140" t="s">
        <v>812</v>
      </c>
      <c r="E73" s="5"/>
      <c r="F73" s="141"/>
      <c r="G73" s="7"/>
      <c r="H73" s="8" t="s">
        <v>813</v>
      </c>
      <c r="I73" s="9" t="s">
        <v>814</v>
      </c>
      <c r="J73" s="10" t="str">
        <f>image("https://archives.bulbagarden.net/media/upload/e/eb/073MS6.png", 3)</f>
        <v/>
      </c>
      <c r="K73" s="11" t="s">
        <v>812</v>
      </c>
      <c r="L73" s="12"/>
      <c r="M73" s="12"/>
      <c r="N73" s="12"/>
      <c r="O73" s="12"/>
      <c r="Q73" s="71">
        <v>80.0</v>
      </c>
      <c r="R73" s="72">
        <v>70.0</v>
      </c>
      <c r="S73" s="73">
        <v>65.0</v>
      </c>
      <c r="T73" s="74">
        <v>80.0</v>
      </c>
      <c r="U73" s="75">
        <v>120.0</v>
      </c>
      <c r="V73" s="76">
        <v>100.0</v>
      </c>
      <c r="W73" s="77">
        <v>515.0</v>
      </c>
      <c r="X73" s="21"/>
      <c r="Y73" s="71">
        <v>80.0</v>
      </c>
      <c r="Z73" s="72">
        <v>70.0</v>
      </c>
      <c r="AA73" s="73">
        <v>65.0</v>
      </c>
      <c r="AB73" s="74">
        <v>80.0</v>
      </c>
      <c r="AC73" s="75">
        <v>120.0</v>
      </c>
      <c r="AD73" s="76">
        <v>100.0</v>
      </c>
      <c r="AE73" s="77">
        <v>515.0</v>
      </c>
      <c r="AF73" s="21"/>
      <c r="AG73" s="71">
        <v>80.0</v>
      </c>
      <c r="AH73" s="72">
        <v>70.0</v>
      </c>
      <c r="AI73" s="73">
        <v>65.0</v>
      </c>
      <c r="AJ73" s="74">
        <v>80.0</v>
      </c>
      <c r="AK73" s="75">
        <v>120.0</v>
      </c>
      <c r="AL73" s="76">
        <v>100.0</v>
      </c>
      <c r="AM73" s="77">
        <v>515.0</v>
      </c>
      <c r="AN73" s="21"/>
      <c r="AO73" s="22">
        <v>80.0</v>
      </c>
      <c r="AP73" s="23">
        <v>70.0</v>
      </c>
      <c r="AQ73" s="23">
        <v>65.0</v>
      </c>
      <c r="AR73" s="23">
        <v>80.0</v>
      </c>
      <c r="AS73" s="23">
        <v>120.0</v>
      </c>
      <c r="AT73" s="23">
        <v>100.0</v>
      </c>
      <c r="AU73" s="24">
        <v>515.0</v>
      </c>
      <c r="AV73" s="21"/>
      <c r="AW73" s="78">
        <v>80.0</v>
      </c>
      <c r="AX73" s="79">
        <v>70.0</v>
      </c>
      <c r="AY73" s="79">
        <v>65.0</v>
      </c>
      <c r="AZ73" s="79">
        <v>80.0</v>
      </c>
      <c r="BA73" s="79">
        <v>120.0</v>
      </c>
      <c r="BB73" s="79">
        <v>100.0</v>
      </c>
      <c r="BC73" s="201">
        <v>515.0</v>
      </c>
      <c r="BE73" s="150" t="s">
        <v>815</v>
      </c>
      <c r="BF73" s="113"/>
      <c r="BG73" s="93"/>
      <c r="BI73" s="31" t="s">
        <v>5</v>
      </c>
      <c r="BJ73" s="32" t="s">
        <v>5</v>
      </c>
      <c r="BK73" s="32" t="s">
        <v>5</v>
      </c>
      <c r="BL73" s="32" t="s">
        <v>5</v>
      </c>
      <c r="BM73" s="32">
        <v>2.0</v>
      </c>
      <c r="BN73" s="33" t="s">
        <v>5</v>
      </c>
      <c r="BP73" s="115" t="s">
        <v>32</v>
      </c>
      <c r="BQ73" s="116" t="s">
        <v>7</v>
      </c>
      <c r="BS73" s="115" t="s">
        <v>32</v>
      </c>
      <c r="BT73" s="117" t="s">
        <v>7</v>
      </c>
      <c r="BU73" s="37" t="str">
        <f t="shared" si="1"/>
        <v>#NAME?</v>
      </c>
      <c r="BV73" s="89" t="s">
        <v>32</v>
      </c>
      <c r="BW73" s="37" t="str">
        <f t="shared" si="2"/>
        <v>#NAME?</v>
      </c>
      <c r="BX73" s="89" t="s">
        <v>7</v>
      </c>
      <c r="BY73" s="39"/>
      <c r="BZ73" s="39"/>
      <c r="CA73" s="40" t="s">
        <v>803</v>
      </c>
      <c r="CB73" s="41"/>
      <c r="CC73" s="90" t="s">
        <v>32</v>
      </c>
      <c r="CD73" s="91" t="s">
        <v>7</v>
      </c>
      <c r="CE73" s="2"/>
      <c r="CF73" s="92" t="s">
        <v>804</v>
      </c>
      <c r="CG73" s="93" t="s">
        <v>805</v>
      </c>
      <c r="CH73" s="2"/>
      <c r="CI73" s="92" t="s">
        <v>804</v>
      </c>
      <c r="CJ73" s="93" t="s">
        <v>805</v>
      </c>
      <c r="CK73" s="2"/>
      <c r="CL73" s="22" t="s">
        <v>804</v>
      </c>
      <c r="CM73" s="12"/>
      <c r="CN73" s="48"/>
      <c r="CO73" s="96" t="s">
        <v>805</v>
      </c>
      <c r="CP73" s="2"/>
      <c r="CQ73" s="2" t="s">
        <v>538</v>
      </c>
      <c r="CR73" s="97">
        <v>80.0</v>
      </c>
      <c r="CS73" s="2" t="s">
        <v>815</v>
      </c>
      <c r="CT73" s="98">
        <v>205.0</v>
      </c>
      <c r="CU73" s="2"/>
      <c r="CV73" s="52" t="s">
        <v>149</v>
      </c>
      <c r="CW73" s="52" t="s">
        <v>149</v>
      </c>
      <c r="CX73" s="2"/>
      <c r="CY73" s="119" t="s">
        <v>807</v>
      </c>
      <c r="CZ73" s="160"/>
      <c r="DA73" s="2"/>
      <c r="DB73" s="98">
        <v>60.0</v>
      </c>
      <c r="DC73" s="2"/>
      <c r="DD73" s="101" t="s">
        <v>683</v>
      </c>
      <c r="DE73" s="2"/>
      <c r="DF73" s="120" t="s">
        <v>816</v>
      </c>
      <c r="DG73" s="173" t="s">
        <v>223</v>
      </c>
      <c r="DH73" s="121"/>
      <c r="DI73" s="2"/>
      <c r="DJ73" s="2"/>
      <c r="DK73" s="59" t="s">
        <v>817</v>
      </c>
      <c r="DL73" s="37" t="s">
        <v>156</v>
      </c>
      <c r="DM73" s="37" t="str">
        <f t="shared" si="3"/>
        <v>#NAME?</v>
      </c>
      <c r="DN73" s="61"/>
      <c r="DO73" s="37">
        <v>15.0</v>
      </c>
      <c r="DP73" s="105">
        <v>0.85</v>
      </c>
      <c r="DQ73" s="62" t="s">
        <v>20</v>
      </c>
      <c r="DR73" s="63"/>
      <c r="DS73" s="198"/>
      <c r="DT73" s="108"/>
      <c r="DU73" s="108"/>
      <c r="DV73" s="182"/>
      <c r="DW73" s="182"/>
      <c r="DX73" s="182"/>
      <c r="DY73" s="182"/>
      <c r="DZ73" s="182"/>
      <c r="EA73" s="182"/>
      <c r="EB73" s="2"/>
      <c r="EC73" s="2"/>
      <c r="ED73" s="2"/>
      <c r="EE73" s="2"/>
      <c r="EF73" s="68" t="s">
        <v>818</v>
      </c>
      <c r="EG73" s="69" t="str">
        <f>image("https://www.pokebip.com/pages/icones/objets/chaine-pouvoir.png", 3)</f>
        <v/>
      </c>
      <c r="EH73" s="69"/>
      <c r="EI73" s="69"/>
    </row>
    <row r="74" ht="15.75" customHeight="1">
      <c r="A74" s="1">
        <v>74.0</v>
      </c>
      <c r="B74" s="2" t="s">
        <v>819</v>
      </c>
      <c r="C74" s="7"/>
      <c r="D74" s="167" t="s">
        <v>820</v>
      </c>
      <c r="E74" s="5"/>
      <c r="F74" s="168"/>
      <c r="G74" s="7"/>
      <c r="H74" s="8" t="s">
        <v>821</v>
      </c>
      <c r="I74" s="9" t="s">
        <v>822</v>
      </c>
      <c r="J74" s="10" t="str">
        <f>image("https://archives.bulbagarden.net/media/upload/b/b4/074MS6.png", 3)</f>
        <v/>
      </c>
      <c r="K74" s="11" t="s">
        <v>820</v>
      </c>
      <c r="L74" s="12"/>
      <c r="M74" s="12"/>
      <c r="N74" s="12"/>
      <c r="O74" s="12"/>
      <c r="Q74" s="71">
        <v>40.0</v>
      </c>
      <c r="R74" s="72">
        <v>80.0</v>
      </c>
      <c r="S74" s="73">
        <v>100.0</v>
      </c>
      <c r="T74" s="74">
        <v>30.0</v>
      </c>
      <c r="U74" s="75">
        <v>30.0</v>
      </c>
      <c r="V74" s="76">
        <v>20.0</v>
      </c>
      <c r="W74" s="77">
        <v>300.0</v>
      </c>
      <c r="X74" s="21"/>
      <c r="Y74" s="71">
        <v>40.0</v>
      </c>
      <c r="Z74" s="72">
        <v>80.0</v>
      </c>
      <c r="AA74" s="73">
        <v>100.0</v>
      </c>
      <c r="AB74" s="74">
        <v>30.0</v>
      </c>
      <c r="AC74" s="75">
        <v>30.0</v>
      </c>
      <c r="AD74" s="76">
        <v>20.0</v>
      </c>
      <c r="AE74" s="77">
        <v>300.0</v>
      </c>
      <c r="AF74" s="21"/>
      <c r="AG74" s="71">
        <v>40.0</v>
      </c>
      <c r="AH74" s="72">
        <v>80.0</v>
      </c>
      <c r="AI74" s="73">
        <v>100.0</v>
      </c>
      <c r="AJ74" s="74">
        <v>30.0</v>
      </c>
      <c r="AK74" s="75">
        <v>30.0</v>
      </c>
      <c r="AL74" s="76">
        <v>20.0</v>
      </c>
      <c r="AM74" s="77">
        <v>300.0</v>
      </c>
      <c r="AN74" s="21"/>
      <c r="AO74" s="22">
        <v>40.0</v>
      </c>
      <c r="AP74" s="23">
        <v>80.0</v>
      </c>
      <c r="AQ74" s="23">
        <v>100.0</v>
      </c>
      <c r="AR74" s="23">
        <v>30.0</v>
      </c>
      <c r="AS74" s="23">
        <v>30.0</v>
      </c>
      <c r="AT74" s="23">
        <v>20.0</v>
      </c>
      <c r="AU74" s="24">
        <v>300.0</v>
      </c>
      <c r="AV74" s="21"/>
      <c r="AW74" s="78">
        <v>40.0</v>
      </c>
      <c r="AX74" s="79">
        <v>80.0</v>
      </c>
      <c r="AY74" s="79">
        <v>100.0</v>
      </c>
      <c r="AZ74" s="79">
        <v>30.0</v>
      </c>
      <c r="BA74" s="79">
        <v>30.0</v>
      </c>
      <c r="BB74" s="79">
        <v>20.0</v>
      </c>
      <c r="BC74" s="201">
        <v>300.0</v>
      </c>
      <c r="BE74" s="142" t="s">
        <v>101</v>
      </c>
      <c r="BF74" s="127"/>
      <c r="BG74" s="128"/>
      <c r="BI74" s="31" t="s">
        <v>5</v>
      </c>
      <c r="BJ74" s="32" t="s">
        <v>5</v>
      </c>
      <c r="BK74" s="32">
        <v>1.0</v>
      </c>
      <c r="BL74" s="32" t="s">
        <v>5</v>
      </c>
      <c r="BM74" s="32" t="s">
        <v>5</v>
      </c>
      <c r="BN74" s="33" t="s">
        <v>5</v>
      </c>
      <c r="BP74" s="85" t="s">
        <v>66</v>
      </c>
      <c r="BQ74" s="86" t="s">
        <v>79</v>
      </c>
      <c r="BS74" s="87" t="s">
        <v>66</v>
      </c>
      <c r="BT74" s="88" t="s">
        <v>79</v>
      </c>
      <c r="BU74" s="37" t="str">
        <f t="shared" si="1"/>
        <v>#NAME?</v>
      </c>
      <c r="BV74" s="89" t="s">
        <v>66</v>
      </c>
      <c r="BW74" s="37" t="str">
        <f t="shared" si="2"/>
        <v>#NAME?</v>
      </c>
      <c r="BX74" s="89" t="s">
        <v>79</v>
      </c>
      <c r="BY74" s="39"/>
      <c r="BZ74" s="39"/>
      <c r="CA74" s="40" t="s">
        <v>823</v>
      </c>
      <c r="CB74" s="41"/>
      <c r="CC74" s="90" t="s">
        <v>66</v>
      </c>
      <c r="CD74" s="91" t="s">
        <v>79</v>
      </c>
      <c r="CE74" s="2"/>
      <c r="CF74" s="92" t="s">
        <v>824</v>
      </c>
      <c r="CG74" s="93" t="s">
        <v>825</v>
      </c>
      <c r="CH74" s="2"/>
      <c r="CI74" s="92" t="s">
        <v>824</v>
      </c>
      <c r="CJ74" s="93" t="s">
        <v>825</v>
      </c>
      <c r="CK74" s="2"/>
      <c r="CL74" s="22" t="s">
        <v>824</v>
      </c>
      <c r="CM74" s="12"/>
      <c r="CN74" s="48"/>
      <c r="CO74" s="96" t="s">
        <v>825</v>
      </c>
      <c r="CP74" s="2"/>
      <c r="CQ74" s="2" t="s">
        <v>410</v>
      </c>
      <c r="CR74" s="97">
        <v>40.0</v>
      </c>
      <c r="CS74" s="2" t="s">
        <v>101</v>
      </c>
      <c r="CT74" s="98">
        <v>73.0</v>
      </c>
      <c r="CU74" s="2"/>
      <c r="CV74" s="52" t="s">
        <v>149</v>
      </c>
      <c r="CW74" s="52" t="s">
        <v>149</v>
      </c>
      <c r="CX74" s="2"/>
      <c r="CY74" s="100" t="s">
        <v>826</v>
      </c>
      <c r="CZ74" s="154"/>
      <c r="DA74" s="2"/>
      <c r="DB74" s="98">
        <v>255.0</v>
      </c>
      <c r="DC74" s="2"/>
      <c r="DD74" s="101" t="s">
        <v>15</v>
      </c>
      <c r="DE74" s="2"/>
      <c r="DF74" s="131" t="s">
        <v>827</v>
      </c>
      <c r="DG74" s="103"/>
      <c r="DH74" s="103"/>
      <c r="DI74" s="21"/>
      <c r="DJ74" s="21"/>
      <c r="DK74" s="59" t="s">
        <v>828</v>
      </c>
      <c r="DL74" s="37" t="s">
        <v>109</v>
      </c>
      <c r="DM74" s="37" t="str">
        <f t="shared" si="3"/>
        <v>#NAME?</v>
      </c>
      <c r="DN74" s="61"/>
      <c r="DO74" s="37" t="s">
        <v>350</v>
      </c>
      <c r="DP74" s="105">
        <v>0.95</v>
      </c>
      <c r="DQ74" s="62" t="s">
        <v>20</v>
      </c>
      <c r="DR74" s="63"/>
      <c r="DS74" s="198"/>
      <c r="DT74" s="108"/>
      <c r="DU74" s="108"/>
      <c r="DV74" s="182"/>
      <c r="DW74" s="182"/>
      <c r="DX74" s="182"/>
      <c r="DY74" s="182"/>
      <c r="DZ74" s="182"/>
      <c r="EA74" s="182"/>
      <c r="EF74" s="68" t="s">
        <v>829</v>
      </c>
      <c r="EG74" s="69" t="str">
        <f>image("https://www.pokebip.com/pages/icones/objets/poids-pouvoir.png", 3)</f>
        <v/>
      </c>
      <c r="EH74" s="69"/>
      <c r="EI74" s="69"/>
    </row>
    <row r="75" ht="15.75" customHeight="1">
      <c r="A75" s="1">
        <v>75.0</v>
      </c>
      <c r="B75" s="2" t="s">
        <v>830</v>
      </c>
      <c r="C75" s="7"/>
      <c r="D75" s="167" t="s">
        <v>831</v>
      </c>
      <c r="E75" s="5"/>
      <c r="F75" s="168"/>
      <c r="G75" s="7"/>
      <c r="H75" s="8" t="s">
        <v>832</v>
      </c>
      <c r="I75" s="9" t="s">
        <v>833</v>
      </c>
      <c r="J75" s="10" t="str">
        <f>image("https://archives.bulbagarden.net/media/upload/0/0f/075MS6.png", 3)</f>
        <v/>
      </c>
      <c r="K75" s="11" t="s">
        <v>831</v>
      </c>
      <c r="L75" s="12"/>
      <c r="M75" s="12"/>
      <c r="N75" s="12"/>
      <c r="O75" s="12"/>
      <c r="Q75" s="71">
        <v>55.0</v>
      </c>
      <c r="R75" s="72">
        <v>95.0</v>
      </c>
      <c r="S75" s="73">
        <v>115.0</v>
      </c>
      <c r="T75" s="74">
        <v>45.0</v>
      </c>
      <c r="U75" s="75">
        <v>45.0</v>
      </c>
      <c r="V75" s="76">
        <v>35.0</v>
      </c>
      <c r="W75" s="77">
        <v>390.0</v>
      </c>
      <c r="X75" s="21"/>
      <c r="Y75" s="71">
        <v>55.0</v>
      </c>
      <c r="Z75" s="72">
        <v>95.0</v>
      </c>
      <c r="AA75" s="73">
        <v>115.0</v>
      </c>
      <c r="AB75" s="74">
        <v>45.0</v>
      </c>
      <c r="AC75" s="75">
        <v>45.0</v>
      </c>
      <c r="AD75" s="76">
        <v>35.0</v>
      </c>
      <c r="AE75" s="77">
        <v>390.0</v>
      </c>
      <c r="AF75" s="21"/>
      <c r="AG75" s="71">
        <v>55.0</v>
      </c>
      <c r="AH75" s="72">
        <v>95.0</v>
      </c>
      <c r="AI75" s="73">
        <v>115.0</v>
      </c>
      <c r="AJ75" s="74">
        <v>45.0</v>
      </c>
      <c r="AK75" s="75">
        <v>45.0</v>
      </c>
      <c r="AL75" s="76">
        <v>35.0</v>
      </c>
      <c r="AM75" s="77">
        <v>390.0</v>
      </c>
      <c r="AN75" s="21"/>
      <c r="AO75" s="22">
        <v>55.0</v>
      </c>
      <c r="AP75" s="23">
        <v>95.0</v>
      </c>
      <c r="AQ75" s="23">
        <v>115.0</v>
      </c>
      <c r="AR75" s="23">
        <v>45.0</v>
      </c>
      <c r="AS75" s="23">
        <v>45.0</v>
      </c>
      <c r="AT75" s="23">
        <v>35.0</v>
      </c>
      <c r="AU75" s="24">
        <v>390.0</v>
      </c>
      <c r="AV75" s="21"/>
      <c r="AW75" s="78">
        <v>55.0</v>
      </c>
      <c r="AX75" s="80">
        <v>95.0</v>
      </c>
      <c r="AY75" s="79">
        <v>115.0</v>
      </c>
      <c r="AZ75" s="79">
        <v>45.0</v>
      </c>
      <c r="BA75" s="79">
        <v>45.0</v>
      </c>
      <c r="BB75" s="79">
        <v>35.0</v>
      </c>
      <c r="BC75" s="81">
        <v>390.0</v>
      </c>
      <c r="BE75" s="156" t="s">
        <v>162</v>
      </c>
      <c r="BF75" s="113"/>
      <c r="BG75" s="93"/>
      <c r="BI75" s="31" t="s">
        <v>5</v>
      </c>
      <c r="BJ75" s="32" t="s">
        <v>5</v>
      </c>
      <c r="BK75" s="32">
        <v>2.0</v>
      </c>
      <c r="BL75" s="32" t="s">
        <v>5</v>
      </c>
      <c r="BM75" s="32" t="s">
        <v>5</v>
      </c>
      <c r="BN75" s="33" t="s">
        <v>5</v>
      </c>
      <c r="BP75" s="115" t="s">
        <v>66</v>
      </c>
      <c r="BQ75" s="116" t="s">
        <v>79</v>
      </c>
      <c r="BS75" s="115" t="s">
        <v>66</v>
      </c>
      <c r="BT75" s="117" t="s">
        <v>79</v>
      </c>
      <c r="BU75" s="37" t="str">
        <f t="shared" si="1"/>
        <v>#NAME?</v>
      </c>
      <c r="BV75" s="89" t="s">
        <v>66</v>
      </c>
      <c r="BW75" s="37" t="str">
        <f t="shared" si="2"/>
        <v>#NAME?</v>
      </c>
      <c r="BX75" s="89" t="s">
        <v>79</v>
      </c>
      <c r="BY75" s="39"/>
      <c r="BZ75" s="39"/>
      <c r="CA75" s="40" t="s">
        <v>823</v>
      </c>
      <c r="CB75" s="41"/>
      <c r="CC75" s="90" t="s">
        <v>66</v>
      </c>
      <c r="CD75" s="91" t="s">
        <v>79</v>
      </c>
      <c r="CE75" s="2"/>
      <c r="CF75" s="92" t="s">
        <v>824</v>
      </c>
      <c r="CG75" s="93" t="s">
        <v>825</v>
      </c>
      <c r="CH75" s="2"/>
      <c r="CI75" s="92" t="s">
        <v>824</v>
      </c>
      <c r="CJ75" s="93" t="s">
        <v>825</v>
      </c>
      <c r="CK75" s="2"/>
      <c r="CL75" s="22" t="s">
        <v>824</v>
      </c>
      <c r="CM75" s="12"/>
      <c r="CN75" s="48"/>
      <c r="CO75" s="96" t="s">
        <v>825</v>
      </c>
      <c r="CP75" s="2"/>
      <c r="CQ75" s="2" t="s">
        <v>834</v>
      </c>
      <c r="CR75" s="97">
        <v>100.0</v>
      </c>
      <c r="CS75" s="2" t="s">
        <v>162</v>
      </c>
      <c r="CT75" s="98">
        <v>134.0</v>
      </c>
      <c r="CU75" s="2"/>
      <c r="CV75" s="52" t="s">
        <v>149</v>
      </c>
      <c r="CW75" s="52" t="s">
        <v>149</v>
      </c>
      <c r="CX75" s="2"/>
      <c r="CY75" s="119" t="s">
        <v>826</v>
      </c>
      <c r="CZ75" s="160"/>
      <c r="DA75" s="2"/>
      <c r="DB75" s="98">
        <v>120.0</v>
      </c>
      <c r="DC75" s="2"/>
      <c r="DD75" s="101" t="s">
        <v>15</v>
      </c>
      <c r="DE75" s="2"/>
      <c r="DF75" s="250" t="s">
        <v>835</v>
      </c>
      <c r="DG75" s="121"/>
      <c r="DH75" s="121"/>
      <c r="DI75" s="2"/>
      <c r="DJ75" s="2"/>
      <c r="DK75" s="59" t="s">
        <v>836</v>
      </c>
      <c r="DL75" s="37" t="s">
        <v>156</v>
      </c>
      <c r="DM75" s="37" t="str">
        <f t="shared" si="3"/>
        <v>#NAME?</v>
      </c>
      <c r="DN75" s="61"/>
      <c r="DO75" s="37">
        <v>18.0</v>
      </c>
      <c r="DP75" s="105">
        <v>0.8</v>
      </c>
      <c r="DQ75" s="62" t="s">
        <v>93</v>
      </c>
      <c r="DR75" s="63"/>
      <c r="DS75" s="198"/>
      <c r="DT75" s="108"/>
      <c r="DU75" s="108"/>
      <c r="DV75" s="182"/>
      <c r="DW75" s="182"/>
      <c r="DX75" s="182"/>
      <c r="DY75" s="182"/>
      <c r="DZ75" s="182"/>
      <c r="EA75" s="182"/>
      <c r="EF75" s="68" t="s">
        <v>837</v>
      </c>
      <c r="EG75" s="69" t="str">
        <f>image("https://www.pokebip.com/pages/icones/objets/poignee-pouvoir.png", 3)</f>
        <v/>
      </c>
      <c r="EH75" s="69"/>
      <c r="EI75" s="69"/>
    </row>
    <row r="76" ht="15.75" customHeight="1">
      <c r="A76" s="1">
        <v>76.0</v>
      </c>
      <c r="B76" s="2" t="s">
        <v>838</v>
      </c>
      <c r="C76" s="7"/>
      <c r="D76" s="167" t="s">
        <v>839</v>
      </c>
      <c r="E76" s="5"/>
      <c r="F76" s="168"/>
      <c r="G76" s="7"/>
      <c r="H76" s="8" t="s">
        <v>840</v>
      </c>
      <c r="I76" s="9" t="s">
        <v>841</v>
      </c>
      <c r="J76" s="10" t="str">
        <f>image("https://archives.bulbagarden.net/media/upload/c/c3/076MS6.png", 3)</f>
        <v/>
      </c>
      <c r="K76" s="11" t="s">
        <v>839</v>
      </c>
      <c r="L76" s="12"/>
      <c r="M76" s="12"/>
      <c r="N76" s="12"/>
      <c r="O76" s="12"/>
      <c r="Q76" s="71">
        <v>80.0</v>
      </c>
      <c r="R76" s="72">
        <v>110.0</v>
      </c>
      <c r="S76" s="73">
        <v>130.0</v>
      </c>
      <c r="T76" s="74">
        <v>55.0</v>
      </c>
      <c r="U76" s="75">
        <v>65.0</v>
      </c>
      <c r="V76" s="76">
        <v>45.0</v>
      </c>
      <c r="W76" s="77">
        <v>485.0</v>
      </c>
      <c r="X76" s="21"/>
      <c r="Y76" s="71">
        <v>80.0</v>
      </c>
      <c r="Z76" s="109">
        <v>120.0</v>
      </c>
      <c r="AA76" s="73">
        <v>130.0</v>
      </c>
      <c r="AB76" s="74">
        <v>55.0</v>
      </c>
      <c r="AC76" s="75">
        <v>65.0</v>
      </c>
      <c r="AD76" s="76">
        <v>45.0</v>
      </c>
      <c r="AE76" s="110">
        <v>495.0</v>
      </c>
      <c r="AF76" s="21"/>
      <c r="AG76" s="71">
        <v>80.0</v>
      </c>
      <c r="AH76" s="109">
        <v>120.0</v>
      </c>
      <c r="AI76" s="73">
        <v>130.0</v>
      </c>
      <c r="AJ76" s="74">
        <v>55.0</v>
      </c>
      <c r="AK76" s="75">
        <v>65.0</v>
      </c>
      <c r="AL76" s="76">
        <v>45.0</v>
      </c>
      <c r="AM76" s="110">
        <v>495.0</v>
      </c>
      <c r="AN76" s="21"/>
      <c r="AO76" s="22">
        <v>80.0</v>
      </c>
      <c r="AP76" s="23" t="s">
        <v>842</v>
      </c>
      <c r="AQ76" s="23">
        <v>130.0</v>
      </c>
      <c r="AR76" s="23">
        <v>55.0</v>
      </c>
      <c r="AS76" s="23">
        <v>65.0</v>
      </c>
      <c r="AT76" s="23">
        <v>45.0</v>
      </c>
      <c r="AU76" s="24" t="s">
        <v>367</v>
      </c>
      <c r="AV76" s="21"/>
      <c r="AW76" s="78">
        <v>80.0</v>
      </c>
      <c r="AX76" s="111">
        <v>120.0</v>
      </c>
      <c r="AY76" s="79">
        <v>130.0</v>
      </c>
      <c r="AZ76" s="79">
        <v>55.0</v>
      </c>
      <c r="BA76" s="79">
        <v>65.0</v>
      </c>
      <c r="BB76" s="79">
        <v>45.0</v>
      </c>
      <c r="BC76" s="111">
        <v>495.0</v>
      </c>
      <c r="BE76" s="156" t="s">
        <v>717</v>
      </c>
      <c r="BF76" s="138"/>
      <c r="BG76" s="128"/>
      <c r="BI76" s="31" t="s">
        <v>5</v>
      </c>
      <c r="BJ76" s="32" t="s">
        <v>5</v>
      </c>
      <c r="BK76" s="32">
        <v>3.0</v>
      </c>
      <c r="BL76" s="32" t="s">
        <v>5</v>
      </c>
      <c r="BM76" s="32" t="s">
        <v>5</v>
      </c>
      <c r="BN76" s="33" t="s">
        <v>5</v>
      </c>
      <c r="BP76" s="85" t="s">
        <v>66</v>
      </c>
      <c r="BQ76" s="86" t="s">
        <v>79</v>
      </c>
      <c r="BS76" s="87" t="s">
        <v>66</v>
      </c>
      <c r="BT76" s="88" t="s">
        <v>79</v>
      </c>
      <c r="BU76" s="37" t="str">
        <f t="shared" si="1"/>
        <v>#NAME?</v>
      </c>
      <c r="BV76" s="89" t="s">
        <v>66</v>
      </c>
      <c r="BW76" s="37" t="str">
        <f t="shared" si="2"/>
        <v>#NAME?</v>
      </c>
      <c r="BX76" s="89" t="s">
        <v>79</v>
      </c>
      <c r="BY76" s="39"/>
      <c r="BZ76" s="39"/>
      <c r="CA76" s="40" t="s">
        <v>823</v>
      </c>
      <c r="CB76" s="41"/>
      <c r="CC76" s="90" t="s">
        <v>66</v>
      </c>
      <c r="CD76" s="91" t="s">
        <v>79</v>
      </c>
      <c r="CE76" s="2"/>
      <c r="CF76" s="92" t="s">
        <v>824</v>
      </c>
      <c r="CG76" s="93" t="s">
        <v>825</v>
      </c>
      <c r="CH76" s="2"/>
      <c r="CI76" s="177" t="s">
        <v>824</v>
      </c>
      <c r="CJ76" s="93" t="s">
        <v>825</v>
      </c>
      <c r="CK76" s="2"/>
      <c r="CL76" s="22" t="s">
        <v>824</v>
      </c>
      <c r="CM76" s="12"/>
      <c r="CN76" s="48"/>
      <c r="CO76" s="96" t="s">
        <v>825</v>
      </c>
      <c r="CP76" s="2"/>
      <c r="CQ76" s="2" t="s">
        <v>843</v>
      </c>
      <c r="CR76" s="97">
        <v>120.0</v>
      </c>
      <c r="CS76" s="2" t="s">
        <v>717</v>
      </c>
      <c r="CT76" s="98">
        <v>177.0</v>
      </c>
      <c r="CU76" s="2"/>
      <c r="CV76" s="52" t="s">
        <v>149</v>
      </c>
      <c r="CW76" s="52" t="s">
        <v>149</v>
      </c>
      <c r="CX76" s="2"/>
      <c r="CY76" s="100" t="s">
        <v>826</v>
      </c>
      <c r="CZ76" s="154"/>
      <c r="DA76" s="2"/>
      <c r="DB76" s="98">
        <v>45.0</v>
      </c>
      <c r="DC76" s="2"/>
      <c r="DD76" s="101" t="s">
        <v>15</v>
      </c>
      <c r="DE76" s="2"/>
      <c r="DF76" s="159" t="s">
        <v>844</v>
      </c>
      <c r="DG76" s="103"/>
      <c r="DH76" s="103"/>
      <c r="DI76" s="2"/>
      <c r="DJ76" s="2"/>
      <c r="DK76" s="59" t="s">
        <v>845</v>
      </c>
      <c r="DL76" s="37" t="s">
        <v>156</v>
      </c>
      <c r="DM76" s="37" t="str">
        <f t="shared" si="3"/>
        <v>#NAME?</v>
      </c>
      <c r="DN76" s="61"/>
      <c r="DO76" s="37">
        <v>150.0</v>
      </c>
      <c r="DP76" s="105">
        <v>0.9</v>
      </c>
      <c r="DQ76" s="62" t="s">
        <v>293</v>
      </c>
      <c r="DR76" s="63"/>
      <c r="DS76" s="198"/>
      <c r="DT76" s="108"/>
      <c r="DU76" s="108"/>
      <c r="DV76" s="182"/>
      <c r="DW76" s="182"/>
      <c r="DX76" s="182"/>
      <c r="DY76" s="182"/>
      <c r="EF76" s="68" t="s">
        <v>846</v>
      </c>
      <c r="EG76" s="69" t="str">
        <f>image("https://www.pokebip.com/pages/icones/objets/lentille-pouvoir.png", 3)</f>
        <v/>
      </c>
      <c r="EH76" s="69"/>
      <c r="EI76" s="69"/>
    </row>
    <row r="77" ht="15.75" customHeight="1">
      <c r="A77" s="1">
        <v>77.0</v>
      </c>
      <c r="B77" s="2" t="s">
        <v>847</v>
      </c>
      <c r="C77" s="7"/>
      <c r="D77" s="169" t="s">
        <v>848</v>
      </c>
      <c r="E77" s="5"/>
      <c r="F77" s="170"/>
      <c r="G77" s="7"/>
      <c r="H77" s="8" t="s">
        <v>849</v>
      </c>
      <c r="I77" s="9" t="s">
        <v>850</v>
      </c>
      <c r="J77" s="10" t="str">
        <f>image("https://archives.bulbagarden.net/media/upload/5/5d/077MS6.png", 3)</f>
        <v/>
      </c>
      <c r="K77" s="11" t="s">
        <v>848</v>
      </c>
      <c r="L77" s="12"/>
      <c r="M77" s="12"/>
      <c r="N77" s="12"/>
      <c r="O77" s="12"/>
      <c r="Q77" s="71">
        <v>50.0</v>
      </c>
      <c r="R77" s="72">
        <v>85.0</v>
      </c>
      <c r="S77" s="73">
        <v>55.0</v>
      </c>
      <c r="T77" s="74">
        <v>65.0</v>
      </c>
      <c r="U77" s="75">
        <v>65.0</v>
      </c>
      <c r="V77" s="76">
        <v>90.0</v>
      </c>
      <c r="W77" s="77">
        <v>410.0</v>
      </c>
      <c r="X77" s="21"/>
      <c r="Y77" s="71">
        <v>50.0</v>
      </c>
      <c r="Z77" s="72">
        <v>85.0</v>
      </c>
      <c r="AA77" s="73">
        <v>55.0</v>
      </c>
      <c r="AB77" s="74">
        <v>65.0</v>
      </c>
      <c r="AC77" s="75">
        <v>65.0</v>
      </c>
      <c r="AD77" s="76">
        <v>90.0</v>
      </c>
      <c r="AE77" s="77">
        <v>410.0</v>
      </c>
      <c r="AF77" s="21"/>
      <c r="AG77" s="71">
        <v>50.0</v>
      </c>
      <c r="AH77" s="72">
        <v>85.0</v>
      </c>
      <c r="AI77" s="73">
        <v>55.0</v>
      </c>
      <c r="AJ77" s="74">
        <v>65.0</v>
      </c>
      <c r="AK77" s="75">
        <v>65.0</v>
      </c>
      <c r="AL77" s="76">
        <v>90.0</v>
      </c>
      <c r="AM77" s="77">
        <v>410.0</v>
      </c>
      <c r="AN77" s="21"/>
      <c r="AO77" s="22">
        <v>50.0</v>
      </c>
      <c r="AP77" s="23">
        <v>85.0</v>
      </c>
      <c r="AQ77" s="23">
        <v>55.0</v>
      </c>
      <c r="AR77" s="23">
        <v>65.0</v>
      </c>
      <c r="AS77" s="23">
        <v>65.0</v>
      </c>
      <c r="AT77" s="23">
        <v>90.0</v>
      </c>
      <c r="AU77" s="24">
        <v>410.0</v>
      </c>
      <c r="AV77" s="21"/>
      <c r="AW77" s="78">
        <v>50.0</v>
      </c>
      <c r="AX77" s="124">
        <v>85.0</v>
      </c>
      <c r="AY77" s="79">
        <v>55.0</v>
      </c>
      <c r="AZ77" s="79">
        <v>65.0</v>
      </c>
      <c r="BA77" s="79">
        <v>65.0</v>
      </c>
      <c r="BB77" s="79">
        <v>90.0</v>
      </c>
      <c r="BC77" s="125">
        <v>410.0</v>
      </c>
      <c r="BE77" s="126" t="s">
        <v>56</v>
      </c>
      <c r="BF77" s="184"/>
      <c r="BG77" s="128"/>
      <c r="BI77" s="31" t="s">
        <v>5</v>
      </c>
      <c r="BJ77" s="32" t="s">
        <v>5</v>
      </c>
      <c r="BK77" s="32" t="s">
        <v>5</v>
      </c>
      <c r="BL77" s="32" t="s">
        <v>5</v>
      </c>
      <c r="BM77" s="32" t="s">
        <v>5</v>
      </c>
      <c r="BN77" s="33">
        <v>1.0</v>
      </c>
      <c r="BP77" s="115" t="s">
        <v>34</v>
      </c>
      <c r="BQ77" s="93"/>
      <c r="BS77" s="115" t="s">
        <v>34</v>
      </c>
      <c r="BT77" s="133"/>
      <c r="BU77" s="37" t="str">
        <f t="shared" si="1"/>
        <v>#NAME?</v>
      </c>
      <c r="BV77" s="89" t="s">
        <v>34</v>
      </c>
      <c r="BW77" s="37" t="str">
        <f t="shared" si="2"/>
        <v>#NAME?</v>
      </c>
      <c r="BX77" s="89"/>
      <c r="BY77" s="39"/>
      <c r="BZ77" s="39"/>
      <c r="CA77" s="40" t="s">
        <v>34</v>
      </c>
      <c r="CB77" s="41"/>
      <c r="CC77" s="90" t="s">
        <v>34</v>
      </c>
      <c r="CD77" s="91"/>
      <c r="CE77" s="21"/>
      <c r="CF77" s="92" t="s">
        <v>146</v>
      </c>
      <c r="CG77" s="93" t="s">
        <v>486</v>
      </c>
      <c r="CH77" s="21"/>
      <c r="CI77" s="46" t="s">
        <v>851</v>
      </c>
      <c r="CJ77" s="95" t="s">
        <v>486</v>
      </c>
      <c r="CK77" s="21"/>
      <c r="CL77" s="22" t="s">
        <v>852</v>
      </c>
      <c r="CM77" s="12"/>
      <c r="CN77" s="48"/>
      <c r="CO77" s="96" t="s">
        <v>486</v>
      </c>
      <c r="CP77" s="21"/>
      <c r="CQ77" s="2" t="s">
        <v>249</v>
      </c>
      <c r="CR77" s="97">
        <v>60.0</v>
      </c>
      <c r="CS77" s="2" t="s">
        <v>56</v>
      </c>
      <c r="CT77" s="98">
        <v>152.0</v>
      </c>
      <c r="CU77" s="2"/>
      <c r="CV77" s="52" t="s">
        <v>149</v>
      </c>
      <c r="CW77" s="52" t="s">
        <v>149</v>
      </c>
      <c r="CX77" s="2"/>
      <c r="CY77" s="119" t="s">
        <v>277</v>
      </c>
      <c r="CZ77" s="160"/>
      <c r="DA77" s="2"/>
      <c r="DB77" s="98">
        <v>190.0</v>
      </c>
      <c r="DC77" s="2"/>
      <c r="DD77" s="101" t="s">
        <v>150</v>
      </c>
      <c r="DE77" s="2"/>
      <c r="DF77" s="254" t="s">
        <v>853</v>
      </c>
      <c r="DG77" s="121"/>
      <c r="DH77" s="121"/>
      <c r="DI77" s="21"/>
      <c r="DJ77" s="21"/>
      <c r="DK77" s="59" t="s">
        <v>854</v>
      </c>
      <c r="DL77" s="37" t="s">
        <v>156</v>
      </c>
      <c r="DM77" s="37" t="str">
        <f t="shared" si="3"/>
        <v>#NAME?</v>
      </c>
      <c r="DN77" s="61"/>
      <c r="DO77" s="37" t="s">
        <v>19</v>
      </c>
      <c r="DP77" s="105">
        <v>0.3</v>
      </c>
      <c r="DQ77" s="62" t="s">
        <v>293</v>
      </c>
      <c r="DR77" s="63"/>
      <c r="DS77" s="198"/>
      <c r="DT77" s="108"/>
      <c r="DU77" s="108"/>
      <c r="DV77" s="182"/>
      <c r="DW77" s="182"/>
      <c r="DX77" s="182"/>
      <c r="DY77" s="182"/>
      <c r="EF77" s="68" t="s">
        <v>855</v>
      </c>
      <c r="EG77" s="69" t="str">
        <f>image("https://www.pokebip.com/pages/icones/objets/bandeau-pouvoir.png", 3)</f>
        <v/>
      </c>
      <c r="EH77" s="69"/>
      <c r="EI77" s="69"/>
    </row>
    <row r="78" ht="15.75" customHeight="1">
      <c r="A78" s="1">
        <v>78.0</v>
      </c>
      <c r="B78" s="2" t="s">
        <v>856</v>
      </c>
      <c r="C78" s="7"/>
      <c r="D78" s="169" t="s">
        <v>857</v>
      </c>
      <c r="E78" s="5"/>
      <c r="F78" s="170"/>
      <c r="G78" s="7"/>
      <c r="H78" s="8" t="s">
        <v>858</v>
      </c>
      <c r="I78" s="9" t="s">
        <v>859</v>
      </c>
      <c r="J78" s="10" t="str">
        <f>image("https://archives.bulbagarden.net/media/upload/0/02/078MS6.png", 3)</f>
        <v/>
      </c>
      <c r="K78" s="11" t="s">
        <v>857</v>
      </c>
      <c r="L78" s="12"/>
      <c r="M78" s="12"/>
      <c r="N78" s="12"/>
      <c r="O78" s="12"/>
      <c r="Q78" s="71">
        <v>65.0</v>
      </c>
      <c r="R78" s="72">
        <v>100.0</v>
      </c>
      <c r="S78" s="73">
        <v>70.0</v>
      </c>
      <c r="T78" s="74">
        <v>80.0</v>
      </c>
      <c r="U78" s="75">
        <v>80.0</v>
      </c>
      <c r="V78" s="76">
        <v>105.0</v>
      </c>
      <c r="W78" s="77">
        <v>500.0</v>
      </c>
      <c r="X78" s="21"/>
      <c r="Y78" s="71">
        <v>65.0</v>
      </c>
      <c r="Z78" s="72">
        <v>100.0</v>
      </c>
      <c r="AA78" s="73">
        <v>70.0</v>
      </c>
      <c r="AB78" s="74">
        <v>80.0</v>
      </c>
      <c r="AC78" s="75">
        <v>80.0</v>
      </c>
      <c r="AD78" s="76">
        <v>105.0</v>
      </c>
      <c r="AE78" s="77">
        <v>500.0</v>
      </c>
      <c r="AF78" s="21"/>
      <c r="AG78" s="71">
        <v>65.0</v>
      </c>
      <c r="AH78" s="72">
        <v>100.0</v>
      </c>
      <c r="AI78" s="73">
        <v>70.0</v>
      </c>
      <c r="AJ78" s="74">
        <v>80.0</v>
      </c>
      <c r="AK78" s="75">
        <v>80.0</v>
      </c>
      <c r="AL78" s="76">
        <v>105.0</v>
      </c>
      <c r="AM78" s="77">
        <v>500.0</v>
      </c>
      <c r="AN78" s="21"/>
      <c r="AO78" s="22">
        <v>65.0</v>
      </c>
      <c r="AP78" s="23">
        <v>100.0</v>
      </c>
      <c r="AQ78" s="23">
        <v>70.0</v>
      </c>
      <c r="AR78" s="23">
        <v>80.0</v>
      </c>
      <c r="AS78" s="23">
        <v>80.0</v>
      </c>
      <c r="AT78" s="23">
        <v>105.0</v>
      </c>
      <c r="AU78" s="24">
        <v>500.0</v>
      </c>
      <c r="AV78" s="21"/>
      <c r="AW78" s="78">
        <v>65.0</v>
      </c>
      <c r="AX78" s="79">
        <v>100.0</v>
      </c>
      <c r="AY78" s="79">
        <v>70.0</v>
      </c>
      <c r="AZ78" s="79">
        <v>80.0</v>
      </c>
      <c r="BA78" s="79">
        <v>80.0</v>
      </c>
      <c r="BB78" s="79">
        <v>105.0</v>
      </c>
      <c r="BC78" s="201">
        <v>500.0</v>
      </c>
      <c r="BE78" s="176" t="s">
        <v>248</v>
      </c>
      <c r="BF78" s="113"/>
      <c r="BG78" s="255"/>
      <c r="BI78" s="31" t="s">
        <v>5</v>
      </c>
      <c r="BJ78" s="32" t="s">
        <v>5</v>
      </c>
      <c r="BK78" s="32" t="s">
        <v>5</v>
      </c>
      <c r="BL78" s="32" t="s">
        <v>5</v>
      </c>
      <c r="BM78" s="32" t="s">
        <v>5</v>
      </c>
      <c r="BN78" s="33">
        <v>2.0</v>
      </c>
      <c r="BP78" s="85" t="s">
        <v>34</v>
      </c>
      <c r="BQ78" s="129"/>
      <c r="BS78" s="87" t="s">
        <v>34</v>
      </c>
      <c r="BT78" s="130"/>
      <c r="BU78" s="37" t="str">
        <f t="shared" si="1"/>
        <v>#NAME?</v>
      </c>
      <c r="BV78" s="89" t="s">
        <v>34</v>
      </c>
      <c r="BW78" s="37" t="str">
        <f t="shared" si="2"/>
        <v>#NAME?</v>
      </c>
      <c r="BX78" s="89"/>
      <c r="BY78" s="39"/>
      <c r="BZ78" s="39"/>
      <c r="CA78" s="40" t="s">
        <v>34</v>
      </c>
      <c r="CB78" s="41"/>
      <c r="CC78" s="90" t="s">
        <v>34</v>
      </c>
      <c r="CD78" s="91"/>
      <c r="CE78" s="21"/>
      <c r="CF78" s="92" t="s">
        <v>146</v>
      </c>
      <c r="CG78" s="93" t="s">
        <v>486</v>
      </c>
      <c r="CH78" s="21"/>
      <c r="CI78" s="152" t="s">
        <v>851</v>
      </c>
      <c r="CJ78" s="95" t="s">
        <v>486</v>
      </c>
      <c r="CK78" s="21"/>
      <c r="CL78" s="22" t="s">
        <v>852</v>
      </c>
      <c r="CM78" s="12"/>
      <c r="CN78" s="48"/>
      <c r="CO78" s="96" t="s">
        <v>486</v>
      </c>
      <c r="CP78" s="21"/>
      <c r="CQ78" s="2" t="s">
        <v>860</v>
      </c>
      <c r="CR78" s="97">
        <v>80.0</v>
      </c>
      <c r="CS78" s="2" t="s">
        <v>56</v>
      </c>
      <c r="CT78" s="98">
        <v>192.0</v>
      </c>
      <c r="CU78" s="2"/>
      <c r="CV78" s="52" t="s">
        <v>149</v>
      </c>
      <c r="CW78" s="52" t="s">
        <v>149</v>
      </c>
      <c r="CX78" s="2"/>
      <c r="CY78" s="100" t="s">
        <v>277</v>
      </c>
      <c r="CZ78" s="154"/>
      <c r="DA78" s="2"/>
      <c r="DB78" s="98">
        <v>60.0</v>
      </c>
      <c r="DC78" s="2"/>
      <c r="DD78" s="101" t="s">
        <v>150</v>
      </c>
      <c r="DE78" s="2"/>
      <c r="DF78" s="159" t="s">
        <v>861</v>
      </c>
      <c r="DG78" s="103"/>
      <c r="DH78" s="103"/>
      <c r="DI78" s="2"/>
      <c r="DJ78" s="2"/>
      <c r="DK78" s="59" t="s">
        <v>862</v>
      </c>
      <c r="DL78" s="37" t="s">
        <v>7</v>
      </c>
      <c r="DM78" s="37" t="str">
        <f t="shared" si="3"/>
        <v>#NAME?</v>
      </c>
      <c r="DN78" s="61"/>
      <c r="DO78" s="37">
        <v>120.0</v>
      </c>
      <c r="DP78" s="37" t="s">
        <v>863</v>
      </c>
      <c r="DQ78" s="62" t="s">
        <v>293</v>
      </c>
      <c r="DR78" s="63"/>
      <c r="DS78" s="198"/>
      <c r="DT78" s="108"/>
      <c r="DU78" s="108"/>
      <c r="DV78" s="182"/>
      <c r="DW78" s="182"/>
      <c r="DX78" s="182"/>
      <c r="DY78" s="182"/>
      <c r="DZ78" s="182"/>
      <c r="EA78" s="182"/>
      <c r="EF78" s="68" t="s">
        <v>864</v>
      </c>
      <c r="EG78" s="69" t="str">
        <f>image("https://www.pokebip.com/pages/icones/objets/ceinture-pouvoir.png", 3)</f>
        <v/>
      </c>
      <c r="EH78" s="69"/>
      <c r="EI78" s="69"/>
    </row>
    <row r="79" ht="15.75" customHeight="1">
      <c r="A79" s="1">
        <v>79.0</v>
      </c>
      <c r="B79" s="2" t="s">
        <v>865</v>
      </c>
      <c r="C79" s="7"/>
      <c r="D79" s="213" t="s">
        <v>866</v>
      </c>
      <c r="E79" s="5"/>
      <c r="F79" s="214"/>
      <c r="G79" s="7"/>
      <c r="H79" s="8" t="s">
        <v>867</v>
      </c>
      <c r="I79" s="9" t="s">
        <v>868</v>
      </c>
      <c r="J79" s="10" t="str">
        <f>image("https://archives.bulbagarden.net/media/upload/8/82/079MS6.png", 3)</f>
        <v/>
      </c>
      <c r="K79" s="11" t="s">
        <v>866</v>
      </c>
      <c r="L79" s="12"/>
      <c r="M79" s="12"/>
      <c r="N79" s="12"/>
      <c r="O79" s="12"/>
      <c r="Q79" s="71">
        <v>90.0</v>
      </c>
      <c r="R79" s="72">
        <v>65.0</v>
      </c>
      <c r="S79" s="73">
        <v>65.0</v>
      </c>
      <c r="T79" s="74">
        <v>40.0</v>
      </c>
      <c r="U79" s="75">
        <v>40.0</v>
      </c>
      <c r="V79" s="76">
        <v>15.0</v>
      </c>
      <c r="W79" s="77">
        <v>315.0</v>
      </c>
      <c r="X79" s="21"/>
      <c r="Y79" s="71">
        <v>90.0</v>
      </c>
      <c r="Z79" s="72">
        <v>65.0</v>
      </c>
      <c r="AA79" s="73">
        <v>65.0</v>
      </c>
      <c r="AB79" s="74">
        <v>40.0</v>
      </c>
      <c r="AC79" s="75">
        <v>40.0</v>
      </c>
      <c r="AD79" s="76">
        <v>15.0</v>
      </c>
      <c r="AE79" s="77">
        <v>315.0</v>
      </c>
      <c r="AF79" s="21"/>
      <c r="AG79" s="71">
        <v>90.0</v>
      </c>
      <c r="AH79" s="72">
        <v>65.0</v>
      </c>
      <c r="AI79" s="73">
        <v>65.0</v>
      </c>
      <c r="AJ79" s="74">
        <v>40.0</v>
      </c>
      <c r="AK79" s="75">
        <v>40.0</v>
      </c>
      <c r="AL79" s="76">
        <v>15.0</v>
      </c>
      <c r="AM79" s="77">
        <v>315.0</v>
      </c>
      <c r="AN79" s="21"/>
      <c r="AO79" s="22">
        <v>90.0</v>
      </c>
      <c r="AP79" s="23">
        <v>65.0</v>
      </c>
      <c r="AQ79" s="23">
        <v>65.0</v>
      </c>
      <c r="AR79" s="23">
        <v>40.0</v>
      </c>
      <c r="AS79" s="23">
        <v>40.0</v>
      </c>
      <c r="AT79" s="23">
        <v>15.0</v>
      </c>
      <c r="AU79" s="24">
        <v>315.0</v>
      </c>
      <c r="AV79" s="21"/>
      <c r="AW79" s="78">
        <v>90.0</v>
      </c>
      <c r="AX79" s="79">
        <v>65.0</v>
      </c>
      <c r="AY79" s="79">
        <v>65.0</v>
      </c>
      <c r="AZ79" s="79">
        <v>40.0</v>
      </c>
      <c r="BA79" s="79">
        <v>40.0</v>
      </c>
      <c r="BB79" s="79">
        <v>15.0</v>
      </c>
      <c r="BC79" s="201">
        <v>315.0</v>
      </c>
      <c r="BE79" s="151" t="s">
        <v>144</v>
      </c>
      <c r="BF79" s="184"/>
      <c r="BG79" s="128"/>
      <c r="BI79" s="31">
        <v>1.0</v>
      </c>
      <c r="BJ79" s="32" t="s">
        <v>5</v>
      </c>
      <c r="BK79" s="32" t="s">
        <v>5</v>
      </c>
      <c r="BL79" s="32" t="s">
        <v>5</v>
      </c>
      <c r="BM79" s="32" t="s">
        <v>5</v>
      </c>
      <c r="BN79" s="33" t="s">
        <v>5</v>
      </c>
      <c r="BP79" s="115" t="s">
        <v>32</v>
      </c>
      <c r="BQ79" s="116" t="s">
        <v>122</v>
      </c>
      <c r="BS79" s="115" t="s">
        <v>32</v>
      </c>
      <c r="BT79" s="117" t="s">
        <v>122</v>
      </c>
      <c r="BU79" s="37" t="str">
        <f t="shared" si="1"/>
        <v>#NAME?</v>
      </c>
      <c r="BV79" s="89" t="s">
        <v>32</v>
      </c>
      <c r="BW79" s="37" t="str">
        <f t="shared" si="2"/>
        <v>#NAME?</v>
      </c>
      <c r="BX79" s="89" t="s">
        <v>122</v>
      </c>
      <c r="BY79" s="39"/>
      <c r="BZ79" s="39"/>
      <c r="CA79" s="40" t="s">
        <v>869</v>
      </c>
      <c r="CB79" s="41"/>
      <c r="CC79" s="90" t="s">
        <v>32</v>
      </c>
      <c r="CD79" s="91" t="s">
        <v>122</v>
      </c>
      <c r="CE79" s="2"/>
      <c r="CF79" s="92" t="s">
        <v>870</v>
      </c>
      <c r="CG79" s="93" t="s">
        <v>871</v>
      </c>
      <c r="CH79" s="2"/>
      <c r="CI79" s="175" t="s">
        <v>870</v>
      </c>
      <c r="CJ79" s="93" t="s">
        <v>871</v>
      </c>
      <c r="CK79" s="2"/>
      <c r="CL79" s="22" t="s">
        <v>870</v>
      </c>
      <c r="CM79" s="12"/>
      <c r="CN79" s="48"/>
      <c r="CO79" s="96" t="s">
        <v>871</v>
      </c>
      <c r="CP79" s="2"/>
      <c r="CQ79" s="2" t="s">
        <v>872</v>
      </c>
      <c r="CR79" s="97">
        <v>60.0</v>
      </c>
      <c r="CS79" s="2" t="s">
        <v>144</v>
      </c>
      <c r="CT79" s="98">
        <v>99.0</v>
      </c>
      <c r="CU79" s="2"/>
      <c r="CV79" s="256" t="s">
        <v>149</v>
      </c>
      <c r="CW79" s="256" t="s">
        <v>149</v>
      </c>
      <c r="CX79" s="2"/>
      <c r="CY79" s="118" t="s">
        <v>14</v>
      </c>
      <c r="CZ79" s="119" t="s">
        <v>106</v>
      </c>
      <c r="DA79" s="2"/>
      <c r="DB79" s="98">
        <v>190.0</v>
      </c>
      <c r="DC79" s="2"/>
      <c r="DD79" s="101" t="s">
        <v>150</v>
      </c>
      <c r="DE79" s="2"/>
      <c r="DF79" s="254" t="s">
        <v>873</v>
      </c>
      <c r="DG79" s="173" t="s">
        <v>874</v>
      </c>
      <c r="DH79" s="121"/>
      <c r="DI79" s="21"/>
      <c r="DJ79" s="21"/>
      <c r="DK79" s="59" t="s">
        <v>875</v>
      </c>
      <c r="DL79" s="37" t="s">
        <v>95</v>
      </c>
      <c r="DM79" s="37" t="str">
        <f t="shared" si="3"/>
        <v>#NAME?</v>
      </c>
      <c r="DN79" s="61"/>
      <c r="DO79" s="37" t="s">
        <v>19</v>
      </c>
      <c r="DP79" s="105">
        <v>1.0</v>
      </c>
      <c r="DQ79" s="62" t="s">
        <v>293</v>
      </c>
      <c r="DR79" s="63"/>
      <c r="DS79" s="198"/>
      <c r="DT79" s="108"/>
      <c r="DU79" s="108"/>
      <c r="DV79" s="182"/>
      <c r="DW79" s="182"/>
      <c r="DX79" s="182"/>
      <c r="DY79" s="182"/>
      <c r="DZ79" s="182"/>
      <c r="EA79" s="182"/>
      <c r="EF79" s="68" t="s">
        <v>876</v>
      </c>
      <c r="EG79" s="69" t="str">
        <f>image("https://www.pokebip.com/pages/icones/objets/grelot-zen.png", 3)</f>
        <v/>
      </c>
      <c r="EH79" s="69"/>
      <c r="EI79" s="69"/>
    </row>
    <row r="80" ht="15.75" customHeight="1">
      <c r="A80" s="1">
        <v>80.0</v>
      </c>
      <c r="B80" s="2" t="s">
        <v>877</v>
      </c>
      <c r="C80" s="7"/>
      <c r="D80" s="213" t="s">
        <v>878</v>
      </c>
      <c r="E80" s="5"/>
      <c r="F80" s="214"/>
      <c r="G80" s="7"/>
      <c r="H80" s="8" t="s">
        <v>879</v>
      </c>
      <c r="I80" s="9" t="s">
        <v>880</v>
      </c>
      <c r="J80" s="10" t="str">
        <f>image("https://archives.bulbagarden.net/media/upload/c/cb/080MS6.png", 3)</f>
        <v/>
      </c>
      <c r="K80" s="11" t="s">
        <v>878</v>
      </c>
      <c r="L80" s="12"/>
      <c r="M80" s="12"/>
      <c r="N80" s="12"/>
      <c r="O80" s="12"/>
      <c r="Q80" s="71">
        <v>95.0</v>
      </c>
      <c r="R80" s="72">
        <v>75.0</v>
      </c>
      <c r="S80" s="73">
        <v>110.0</v>
      </c>
      <c r="T80" s="74">
        <v>100.0</v>
      </c>
      <c r="U80" s="75">
        <v>80.0</v>
      </c>
      <c r="V80" s="76">
        <v>30.0</v>
      </c>
      <c r="W80" s="77">
        <v>490.0</v>
      </c>
      <c r="X80" s="21"/>
      <c r="Y80" s="71">
        <v>95.0</v>
      </c>
      <c r="Z80" s="72">
        <v>75.0</v>
      </c>
      <c r="AA80" s="73">
        <v>110.0</v>
      </c>
      <c r="AB80" s="74">
        <v>100.0</v>
      </c>
      <c r="AC80" s="75">
        <v>80.0</v>
      </c>
      <c r="AD80" s="76">
        <v>30.0</v>
      </c>
      <c r="AE80" s="77">
        <v>490.0</v>
      </c>
      <c r="AF80" s="21"/>
      <c r="AG80" s="71">
        <v>95.0</v>
      </c>
      <c r="AH80" s="72">
        <v>75.0</v>
      </c>
      <c r="AI80" s="73">
        <v>110.0</v>
      </c>
      <c r="AJ80" s="74">
        <v>100.0</v>
      </c>
      <c r="AK80" s="75">
        <v>80.0</v>
      </c>
      <c r="AL80" s="76">
        <v>30.0</v>
      </c>
      <c r="AM80" s="77">
        <v>490.0</v>
      </c>
      <c r="AN80" s="21"/>
      <c r="AO80" s="22">
        <v>95.0</v>
      </c>
      <c r="AP80" s="23">
        <v>75.0</v>
      </c>
      <c r="AQ80" s="23">
        <v>110.0</v>
      </c>
      <c r="AR80" s="23">
        <v>100.0</v>
      </c>
      <c r="AS80" s="23">
        <v>80.0</v>
      </c>
      <c r="AT80" s="23">
        <v>30.0</v>
      </c>
      <c r="AU80" s="24">
        <v>490.0</v>
      </c>
      <c r="AV80" s="21"/>
      <c r="AW80" s="78">
        <v>95.0</v>
      </c>
      <c r="AX80" s="79">
        <v>75.0</v>
      </c>
      <c r="AY80" s="79">
        <v>110.0</v>
      </c>
      <c r="AZ80" s="79">
        <v>100.0</v>
      </c>
      <c r="BA80" s="79">
        <v>80.0</v>
      </c>
      <c r="BB80" s="79">
        <v>30.0</v>
      </c>
      <c r="BC80" s="201">
        <v>490.0</v>
      </c>
      <c r="BE80" s="156" t="s">
        <v>162</v>
      </c>
      <c r="BF80" s="113"/>
      <c r="BG80" s="84"/>
      <c r="BI80" s="31" t="s">
        <v>5</v>
      </c>
      <c r="BJ80" s="32" t="s">
        <v>5</v>
      </c>
      <c r="BK80" s="32">
        <v>2.0</v>
      </c>
      <c r="BL80" s="32" t="s">
        <v>5</v>
      </c>
      <c r="BM80" s="32" t="s">
        <v>5</v>
      </c>
      <c r="BN80" s="33" t="s">
        <v>5</v>
      </c>
      <c r="BP80" s="85" t="s">
        <v>32</v>
      </c>
      <c r="BQ80" s="86" t="s">
        <v>122</v>
      </c>
      <c r="BS80" s="87" t="s">
        <v>32</v>
      </c>
      <c r="BT80" s="88" t="s">
        <v>122</v>
      </c>
      <c r="BU80" s="37" t="str">
        <f t="shared" si="1"/>
        <v>#NAME?</v>
      </c>
      <c r="BV80" s="89" t="s">
        <v>32</v>
      </c>
      <c r="BW80" s="37" t="str">
        <f t="shared" si="2"/>
        <v>#NAME?</v>
      </c>
      <c r="BX80" s="89" t="s">
        <v>122</v>
      </c>
      <c r="BY80" s="39"/>
      <c r="BZ80" s="39"/>
      <c r="CA80" s="40" t="s">
        <v>869</v>
      </c>
      <c r="CB80" s="41"/>
      <c r="CC80" s="90" t="s">
        <v>32</v>
      </c>
      <c r="CD80" s="91" t="s">
        <v>122</v>
      </c>
      <c r="CE80" s="2"/>
      <c r="CF80" s="92" t="s">
        <v>870</v>
      </c>
      <c r="CG80" s="93" t="s">
        <v>871</v>
      </c>
      <c r="CH80" s="2"/>
      <c r="CI80" s="92" t="s">
        <v>870</v>
      </c>
      <c r="CJ80" s="93" t="s">
        <v>871</v>
      </c>
      <c r="CK80" s="2"/>
      <c r="CL80" s="22" t="s">
        <v>870</v>
      </c>
      <c r="CM80" s="12"/>
      <c r="CN80" s="48"/>
      <c r="CO80" s="96" t="s">
        <v>871</v>
      </c>
      <c r="CP80" s="2"/>
      <c r="CQ80" s="2" t="s">
        <v>881</v>
      </c>
      <c r="CR80" s="97">
        <v>80.0</v>
      </c>
      <c r="CS80" s="2" t="s">
        <v>162</v>
      </c>
      <c r="CT80" s="98">
        <v>164.0</v>
      </c>
      <c r="CU80" s="2"/>
      <c r="CV80" s="256" t="s">
        <v>149</v>
      </c>
      <c r="CW80" s="256" t="s">
        <v>149</v>
      </c>
      <c r="CX80" s="2"/>
      <c r="CY80" s="99" t="s">
        <v>14</v>
      </c>
      <c r="CZ80" s="100" t="s">
        <v>106</v>
      </c>
      <c r="DA80" s="2"/>
      <c r="DB80" s="98">
        <v>75.0</v>
      </c>
      <c r="DC80" s="2"/>
      <c r="DD80" s="101" t="s">
        <v>150</v>
      </c>
      <c r="DE80" s="2"/>
      <c r="DF80" s="159" t="s">
        <v>882</v>
      </c>
      <c r="DG80" s="166" t="s">
        <v>709</v>
      </c>
      <c r="DH80" s="103"/>
      <c r="DI80" s="2"/>
      <c r="DJ80" s="2"/>
      <c r="DK80" s="59" t="s">
        <v>883</v>
      </c>
      <c r="DL80" s="37" t="s">
        <v>64</v>
      </c>
      <c r="DM80" s="37" t="str">
        <f t="shared" si="3"/>
        <v>#NAME?</v>
      </c>
      <c r="DN80" s="61"/>
      <c r="DO80" s="37">
        <v>100.0</v>
      </c>
      <c r="DP80" s="105">
        <v>0.9</v>
      </c>
      <c r="DQ80" s="62" t="s">
        <v>49</v>
      </c>
      <c r="DR80" s="63"/>
      <c r="DS80" s="198"/>
      <c r="DT80" s="108"/>
      <c r="DU80" s="108"/>
      <c r="DV80" s="182"/>
      <c r="DW80" s="182"/>
      <c r="DX80" s="182"/>
      <c r="DY80" s="182"/>
      <c r="DZ80" s="182"/>
      <c r="EA80" s="182"/>
      <c r="EG80" s="108"/>
    </row>
    <row r="81" ht="15.75" customHeight="1">
      <c r="A81" s="1">
        <v>81.0</v>
      </c>
      <c r="B81" s="2" t="s">
        <v>884</v>
      </c>
      <c r="C81" s="7"/>
      <c r="D81" s="247" t="s">
        <v>885</v>
      </c>
      <c r="E81" s="5"/>
      <c r="F81" s="248"/>
      <c r="G81" s="7"/>
      <c r="H81" s="8" t="s">
        <v>886</v>
      </c>
      <c r="I81" s="9" t="s">
        <v>887</v>
      </c>
      <c r="J81" s="10" t="str">
        <f>image("https://archives.bulbagarden.net/media/upload/6/6e/081MS6.png", 3)</f>
        <v/>
      </c>
      <c r="K81" s="11" t="s">
        <v>885</v>
      </c>
      <c r="L81" s="12"/>
      <c r="M81" s="12"/>
      <c r="N81" s="12"/>
      <c r="O81" s="12"/>
      <c r="Q81" s="71">
        <v>25.0</v>
      </c>
      <c r="R81" s="72">
        <v>35.0</v>
      </c>
      <c r="S81" s="73">
        <v>70.0</v>
      </c>
      <c r="T81" s="74">
        <v>95.0</v>
      </c>
      <c r="U81" s="75">
        <v>55.0</v>
      </c>
      <c r="V81" s="76">
        <v>45.0</v>
      </c>
      <c r="W81" s="77">
        <v>325.0</v>
      </c>
      <c r="X81" s="21"/>
      <c r="Y81" s="71">
        <v>25.0</v>
      </c>
      <c r="Z81" s="72">
        <v>35.0</v>
      </c>
      <c r="AA81" s="73">
        <v>70.0</v>
      </c>
      <c r="AB81" s="74">
        <v>95.0</v>
      </c>
      <c r="AC81" s="75">
        <v>55.0</v>
      </c>
      <c r="AD81" s="76">
        <v>45.0</v>
      </c>
      <c r="AE81" s="77">
        <v>325.0</v>
      </c>
      <c r="AF81" s="21"/>
      <c r="AG81" s="71">
        <v>25.0</v>
      </c>
      <c r="AH81" s="72">
        <v>35.0</v>
      </c>
      <c r="AI81" s="73">
        <v>70.0</v>
      </c>
      <c r="AJ81" s="74">
        <v>95.0</v>
      </c>
      <c r="AK81" s="75">
        <v>55.0</v>
      </c>
      <c r="AL81" s="76">
        <v>45.0</v>
      </c>
      <c r="AM81" s="77">
        <v>325.0</v>
      </c>
      <c r="AN81" s="21"/>
      <c r="AO81" s="22">
        <v>25.0</v>
      </c>
      <c r="AP81" s="23">
        <v>35.0</v>
      </c>
      <c r="AQ81" s="23">
        <v>70.0</v>
      </c>
      <c r="AR81" s="23">
        <v>95.0</v>
      </c>
      <c r="AS81" s="23">
        <v>55.0</v>
      </c>
      <c r="AT81" s="23">
        <v>45.0</v>
      </c>
      <c r="AU81" s="24">
        <v>325.0</v>
      </c>
      <c r="AV81" s="21"/>
      <c r="AW81" s="78">
        <v>25.0</v>
      </c>
      <c r="AX81" s="79">
        <v>35.0</v>
      </c>
      <c r="AY81" s="79">
        <v>70.0</v>
      </c>
      <c r="AZ81" s="79">
        <v>95.0</v>
      </c>
      <c r="BA81" s="79">
        <v>55.0</v>
      </c>
      <c r="BB81" s="79">
        <v>45.0</v>
      </c>
      <c r="BC81" s="201">
        <v>325.0</v>
      </c>
      <c r="BE81" s="82" t="s">
        <v>4</v>
      </c>
      <c r="BF81" s="184"/>
      <c r="BG81" s="128"/>
      <c r="BI81" s="31" t="s">
        <v>5</v>
      </c>
      <c r="BJ81" s="32" t="s">
        <v>5</v>
      </c>
      <c r="BK81" s="32" t="s">
        <v>5</v>
      </c>
      <c r="BL81" s="32">
        <v>1.0</v>
      </c>
      <c r="BM81" s="32" t="s">
        <v>5</v>
      </c>
      <c r="BN81" s="33" t="s">
        <v>5</v>
      </c>
      <c r="BP81" s="115" t="s">
        <v>197</v>
      </c>
      <c r="BQ81" s="116" t="s">
        <v>95</v>
      </c>
      <c r="BS81" s="115" t="s">
        <v>197</v>
      </c>
      <c r="BT81" s="117" t="s">
        <v>95</v>
      </c>
      <c r="BU81" s="37" t="str">
        <f t="shared" si="1"/>
        <v>#NAME?</v>
      </c>
      <c r="BV81" s="89" t="s">
        <v>197</v>
      </c>
      <c r="BW81" s="37" t="str">
        <f t="shared" si="2"/>
        <v>#NAME?</v>
      </c>
      <c r="BX81" s="89" t="s">
        <v>95</v>
      </c>
      <c r="BY81" s="39"/>
      <c r="BZ81" s="39"/>
      <c r="CA81" s="40" t="s">
        <v>888</v>
      </c>
      <c r="CB81" s="41"/>
      <c r="CC81" s="90" t="s">
        <v>197</v>
      </c>
      <c r="CD81" s="91" t="s">
        <v>95</v>
      </c>
      <c r="CE81" s="2"/>
      <c r="CF81" s="92" t="s">
        <v>889</v>
      </c>
      <c r="CG81" s="93" t="s">
        <v>825</v>
      </c>
      <c r="CH81" s="2"/>
      <c r="CI81" s="92" t="s">
        <v>889</v>
      </c>
      <c r="CJ81" s="93" t="s">
        <v>825</v>
      </c>
      <c r="CK81" s="2"/>
      <c r="CL81" s="22" t="s">
        <v>889</v>
      </c>
      <c r="CM81" s="12"/>
      <c r="CN81" s="48"/>
      <c r="CO81" s="96" t="s">
        <v>825</v>
      </c>
      <c r="CP81" s="2"/>
      <c r="CQ81" s="2" t="s">
        <v>355</v>
      </c>
      <c r="CR81" s="97">
        <v>20.0</v>
      </c>
      <c r="CS81" s="2" t="s">
        <v>4</v>
      </c>
      <c r="CT81" s="98">
        <v>89.0</v>
      </c>
      <c r="CU81" s="2"/>
      <c r="CV81" s="52" t="s">
        <v>890</v>
      </c>
      <c r="CW81" s="52" t="s">
        <v>890</v>
      </c>
      <c r="CX81" s="2"/>
      <c r="CY81" s="257" t="s">
        <v>826</v>
      </c>
      <c r="CZ81" s="160"/>
      <c r="DA81" s="2"/>
      <c r="DB81" s="98">
        <v>190.0</v>
      </c>
      <c r="DC81" s="2"/>
      <c r="DD81" s="101" t="s">
        <v>150</v>
      </c>
      <c r="DE81" s="2"/>
      <c r="DF81" s="253" t="s">
        <v>891</v>
      </c>
      <c r="DG81" s="173" t="s">
        <v>892</v>
      </c>
      <c r="DH81" s="121"/>
      <c r="DI81" s="21"/>
      <c r="DJ81" s="21"/>
      <c r="DK81" s="59" t="s">
        <v>893</v>
      </c>
      <c r="DL81" s="37" t="s">
        <v>66</v>
      </c>
      <c r="DM81" s="37" t="str">
        <f t="shared" si="3"/>
        <v>#NAME?</v>
      </c>
      <c r="DN81" s="61"/>
      <c r="DO81" s="37">
        <v>150.0</v>
      </c>
      <c r="DP81" s="105">
        <v>0.8</v>
      </c>
      <c r="DQ81" s="62" t="s">
        <v>293</v>
      </c>
      <c r="DR81" s="63"/>
      <c r="DS81" s="198"/>
      <c r="DT81" s="108"/>
      <c r="DU81" s="108"/>
      <c r="DV81" s="182"/>
      <c r="DW81" s="182"/>
      <c r="DX81" s="182"/>
      <c r="DY81" s="182"/>
      <c r="DZ81" s="182"/>
      <c r="EA81" s="182"/>
      <c r="EF81" s="68" t="s">
        <v>894</v>
      </c>
      <c r="EG81" s="69" t="str">
        <f>image("https://www.pokebip.com/pages/icones/objets/herbe-blanche.png", 3)</f>
        <v/>
      </c>
      <c r="EH81" s="69"/>
      <c r="EI81" s="69"/>
    </row>
    <row r="82" ht="15.75" customHeight="1">
      <c r="A82" s="1">
        <v>82.0</v>
      </c>
      <c r="B82" s="2" t="s">
        <v>895</v>
      </c>
      <c r="C82" s="7"/>
      <c r="D82" s="247" t="s">
        <v>896</v>
      </c>
      <c r="E82" s="5"/>
      <c r="F82" s="248"/>
      <c r="G82" s="7"/>
      <c r="H82" s="8" t="s">
        <v>897</v>
      </c>
      <c r="I82" s="9" t="s">
        <v>898</v>
      </c>
      <c r="J82" s="10" t="str">
        <f>image("https://archives.bulbagarden.net/media/upload/9/9f/082MS6.png", 3)</f>
        <v/>
      </c>
      <c r="K82" s="11" t="s">
        <v>896</v>
      </c>
      <c r="L82" s="12"/>
      <c r="M82" s="12"/>
      <c r="N82" s="12"/>
      <c r="O82" s="12"/>
      <c r="Q82" s="71">
        <v>50.0</v>
      </c>
      <c r="R82" s="72">
        <v>60.0</v>
      </c>
      <c r="S82" s="73">
        <v>95.0</v>
      </c>
      <c r="T82" s="74">
        <v>120.0</v>
      </c>
      <c r="U82" s="75">
        <v>70.0</v>
      </c>
      <c r="V82" s="76">
        <v>70.0</v>
      </c>
      <c r="W82" s="77">
        <v>465.0</v>
      </c>
      <c r="X82" s="21"/>
      <c r="Y82" s="71">
        <v>50.0</v>
      </c>
      <c r="Z82" s="72">
        <v>60.0</v>
      </c>
      <c r="AA82" s="73">
        <v>95.0</v>
      </c>
      <c r="AB82" s="74">
        <v>120.0</v>
      </c>
      <c r="AC82" s="75">
        <v>70.0</v>
      </c>
      <c r="AD82" s="76">
        <v>70.0</v>
      </c>
      <c r="AE82" s="77">
        <v>465.0</v>
      </c>
      <c r="AF82" s="21"/>
      <c r="AG82" s="71">
        <v>50.0</v>
      </c>
      <c r="AH82" s="72">
        <v>60.0</v>
      </c>
      <c r="AI82" s="73">
        <v>95.0</v>
      </c>
      <c r="AJ82" s="74">
        <v>120.0</v>
      </c>
      <c r="AK82" s="75">
        <v>70.0</v>
      </c>
      <c r="AL82" s="76">
        <v>70.0</v>
      </c>
      <c r="AM82" s="77">
        <v>465.0</v>
      </c>
      <c r="AN82" s="21"/>
      <c r="AO82" s="22">
        <v>50.0</v>
      </c>
      <c r="AP82" s="23">
        <v>60.0</v>
      </c>
      <c r="AQ82" s="23">
        <v>95.0</v>
      </c>
      <c r="AR82" s="23">
        <v>120.0</v>
      </c>
      <c r="AS82" s="23">
        <v>70.0</v>
      </c>
      <c r="AT82" s="23">
        <v>70.0</v>
      </c>
      <c r="AU82" s="24">
        <v>465.0</v>
      </c>
      <c r="AV82" s="21"/>
      <c r="AW82" s="258">
        <v>50.0</v>
      </c>
      <c r="AX82" s="80">
        <v>60.0</v>
      </c>
      <c r="AY82" s="80">
        <v>95.0</v>
      </c>
      <c r="AZ82" s="80">
        <v>120.0</v>
      </c>
      <c r="BA82" s="80">
        <v>70.0</v>
      </c>
      <c r="BB82" s="80">
        <v>70.0</v>
      </c>
      <c r="BC82" s="81">
        <v>465.0</v>
      </c>
      <c r="BE82" s="112" t="s">
        <v>42</v>
      </c>
      <c r="BF82" s="113"/>
      <c r="BG82" s="259"/>
      <c r="BI82" s="31" t="s">
        <v>5</v>
      </c>
      <c r="BJ82" s="32" t="s">
        <v>5</v>
      </c>
      <c r="BK82" s="32" t="s">
        <v>5</v>
      </c>
      <c r="BL82" s="32">
        <v>2.0</v>
      </c>
      <c r="BM82" s="32" t="s">
        <v>5</v>
      </c>
      <c r="BN82" s="33" t="s">
        <v>5</v>
      </c>
      <c r="BP82" s="85" t="s">
        <v>197</v>
      </c>
      <c r="BQ82" s="86" t="s">
        <v>95</v>
      </c>
      <c r="BS82" s="87" t="s">
        <v>197</v>
      </c>
      <c r="BT82" s="88" t="s">
        <v>95</v>
      </c>
      <c r="BU82" s="37" t="str">
        <f t="shared" si="1"/>
        <v>#NAME?</v>
      </c>
      <c r="BV82" s="89" t="s">
        <v>197</v>
      </c>
      <c r="BW82" s="37" t="str">
        <f t="shared" si="2"/>
        <v>#NAME?</v>
      </c>
      <c r="BX82" s="89" t="s">
        <v>95</v>
      </c>
      <c r="BY82" s="134"/>
      <c r="BZ82" s="134"/>
      <c r="CA82" s="135" t="s">
        <v>888</v>
      </c>
      <c r="CB82" s="136"/>
      <c r="CC82" s="212" t="s">
        <v>197</v>
      </c>
      <c r="CD82" s="91" t="s">
        <v>95</v>
      </c>
      <c r="CE82" s="2"/>
      <c r="CF82" s="92" t="s">
        <v>889</v>
      </c>
      <c r="CG82" s="93" t="s">
        <v>825</v>
      </c>
      <c r="CH82" s="2"/>
      <c r="CI82" s="92" t="s">
        <v>889</v>
      </c>
      <c r="CJ82" s="93" t="s">
        <v>825</v>
      </c>
      <c r="CK82" s="2"/>
      <c r="CL82" s="22" t="s">
        <v>889</v>
      </c>
      <c r="CM82" s="12"/>
      <c r="CN82" s="48"/>
      <c r="CO82" s="96" t="s">
        <v>825</v>
      </c>
      <c r="CP82" s="2"/>
      <c r="CQ82" s="2" t="s">
        <v>424</v>
      </c>
      <c r="CR82" s="97">
        <v>80.0</v>
      </c>
      <c r="CS82" s="2" t="s">
        <v>42</v>
      </c>
      <c r="CT82" s="98">
        <v>161.0</v>
      </c>
      <c r="CU82" s="2"/>
      <c r="CV82" s="52" t="s">
        <v>890</v>
      </c>
      <c r="CW82" s="52" t="s">
        <v>890</v>
      </c>
      <c r="CX82" s="2"/>
      <c r="CY82" s="260" t="s">
        <v>826</v>
      </c>
      <c r="CZ82" s="154"/>
      <c r="DA82" s="2"/>
      <c r="DB82" s="98">
        <v>60.0</v>
      </c>
      <c r="DC82" s="2"/>
      <c r="DD82" s="101" t="s">
        <v>150</v>
      </c>
      <c r="DE82" s="2"/>
      <c r="DF82" s="102" t="s">
        <v>899</v>
      </c>
      <c r="DG82" s="166" t="s">
        <v>892</v>
      </c>
      <c r="DH82" s="103"/>
      <c r="DI82" s="2"/>
      <c r="DJ82" s="2"/>
      <c r="DK82" s="59" t="s">
        <v>900</v>
      </c>
      <c r="DL82" s="37" t="s">
        <v>156</v>
      </c>
      <c r="DM82" s="37" t="str">
        <f t="shared" si="3"/>
        <v>#NAME?</v>
      </c>
      <c r="DN82" s="61"/>
      <c r="DO82" s="37">
        <v>70.0</v>
      </c>
      <c r="DP82" s="105">
        <v>1.0</v>
      </c>
      <c r="DQ82" s="62" t="s">
        <v>93</v>
      </c>
      <c r="DR82" s="63"/>
      <c r="DS82" s="198"/>
      <c r="DT82" s="108"/>
      <c r="DU82" s="108"/>
      <c r="DV82" s="182"/>
      <c r="DW82" s="182"/>
      <c r="DX82" s="182"/>
      <c r="DY82" s="182"/>
      <c r="DZ82" s="182"/>
      <c r="EA82" s="182"/>
      <c r="EF82" s="68" t="s">
        <v>901</v>
      </c>
      <c r="EG82" s="69" t="str">
        <f>image("https://www.pokebip.com/pages/icones/objets/herbe-mental.png", 3)</f>
        <v/>
      </c>
      <c r="EH82" s="69"/>
      <c r="EI82" s="69"/>
    </row>
    <row r="83" ht="15.75" customHeight="1">
      <c r="A83" s="1">
        <v>83.0</v>
      </c>
      <c r="B83" s="2" t="s">
        <v>902</v>
      </c>
      <c r="C83" s="7"/>
      <c r="D83" s="167" t="s">
        <v>903</v>
      </c>
      <c r="E83" s="5"/>
      <c r="F83" s="168"/>
      <c r="G83" s="7"/>
      <c r="H83" s="8" t="s">
        <v>904</v>
      </c>
      <c r="I83" s="9" t="s">
        <v>905</v>
      </c>
      <c r="J83" s="10" t="str">
        <f>image("https://archives.bulbagarden.net/media/upload/0/09/083MS6.png", 3)</f>
        <v/>
      </c>
      <c r="K83" s="11" t="s">
        <v>903</v>
      </c>
      <c r="L83" s="12"/>
      <c r="M83" s="12"/>
      <c r="N83" s="12"/>
      <c r="O83" s="12"/>
      <c r="Q83" s="71">
        <v>52.0</v>
      </c>
      <c r="R83" s="72">
        <v>65.0</v>
      </c>
      <c r="S83" s="73">
        <v>55.0</v>
      </c>
      <c r="T83" s="74">
        <v>58.0</v>
      </c>
      <c r="U83" s="75">
        <v>62.0</v>
      </c>
      <c r="V83" s="76">
        <v>60.0</v>
      </c>
      <c r="W83" s="77">
        <v>352.0</v>
      </c>
      <c r="X83" s="21"/>
      <c r="Y83" s="71">
        <v>52.0</v>
      </c>
      <c r="Z83" s="109">
        <v>90.0</v>
      </c>
      <c r="AA83" s="73">
        <v>55.0</v>
      </c>
      <c r="AB83" s="74">
        <v>58.0</v>
      </c>
      <c r="AC83" s="75">
        <v>62.0</v>
      </c>
      <c r="AD83" s="76">
        <v>60.0</v>
      </c>
      <c r="AE83" s="110">
        <v>377.0</v>
      </c>
      <c r="AF83" s="21"/>
      <c r="AG83" s="261">
        <v>55.0</v>
      </c>
      <c r="AH83" s="109">
        <v>110.0</v>
      </c>
      <c r="AI83" s="109">
        <v>60.0</v>
      </c>
      <c r="AJ83" s="162">
        <v>55.0</v>
      </c>
      <c r="AK83" s="162">
        <v>60.0</v>
      </c>
      <c r="AL83" s="109">
        <v>110.0</v>
      </c>
      <c r="AM83" s="110">
        <v>450.0</v>
      </c>
      <c r="AN83" s="21"/>
      <c r="AO83" s="22" t="s">
        <v>507</v>
      </c>
      <c r="AP83" s="23" t="s">
        <v>40</v>
      </c>
      <c r="AQ83" s="23" t="s">
        <v>77</v>
      </c>
      <c r="AR83" s="23" t="s">
        <v>336</v>
      </c>
      <c r="AS83" s="23" t="s">
        <v>257</v>
      </c>
      <c r="AT83" s="23" t="s">
        <v>40</v>
      </c>
      <c r="AU83" s="24" t="s">
        <v>176</v>
      </c>
      <c r="AV83" s="21"/>
      <c r="AW83" s="111">
        <v>55.0</v>
      </c>
      <c r="AX83" s="111">
        <v>110.0</v>
      </c>
      <c r="AY83" s="187">
        <v>60.0</v>
      </c>
      <c r="AZ83" s="163">
        <v>55.0</v>
      </c>
      <c r="BA83" s="163">
        <v>60.0</v>
      </c>
      <c r="BB83" s="164">
        <v>110.0</v>
      </c>
      <c r="BC83" s="111">
        <v>450.0</v>
      </c>
      <c r="BE83" s="194" t="s">
        <v>906</v>
      </c>
      <c r="BF83" s="262" t="s">
        <v>907</v>
      </c>
      <c r="BG83" s="263"/>
      <c r="BI83" s="31" t="s">
        <v>5</v>
      </c>
      <c r="BJ83" s="264">
        <v>2.0</v>
      </c>
      <c r="BK83" s="234" t="s">
        <v>908</v>
      </c>
      <c r="BL83" s="32" t="s">
        <v>5</v>
      </c>
      <c r="BM83" s="32" t="s">
        <v>5</v>
      </c>
      <c r="BN83" s="33" t="s">
        <v>5</v>
      </c>
      <c r="BP83" s="115" t="s">
        <v>156</v>
      </c>
      <c r="BQ83" s="116" t="s">
        <v>18</v>
      </c>
      <c r="BS83" s="115" t="s">
        <v>156</v>
      </c>
      <c r="BT83" s="117" t="s">
        <v>18</v>
      </c>
      <c r="BU83" s="37" t="str">
        <f t="shared" si="1"/>
        <v>#NAME?</v>
      </c>
      <c r="BV83" s="89" t="s">
        <v>909</v>
      </c>
      <c r="BW83" s="37" t="str">
        <f t="shared" si="2"/>
        <v>#NAME?</v>
      </c>
      <c r="BX83" s="89" t="s">
        <v>18</v>
      </c>
      <c r="BY83" s="39"/>
      <c r="BZ83" s="39"/>
      <c r="CA83" s="40" t="s">
        <v>910</v>
      </c>
      <c r="CB83" s="41"/>
      <c r="CC83" s="24" t="s">
        <v>911</v>
      </c>
      <c r="CD83" s="62" t="s">
        <v>18</v>
      </c>
      <c r="CE83" s="2"/>
      <c r="CF83" s="92" t="s">
        <v>235</v>
      </c>
      <c r="CG83" s="93" t="s">
        <v>530</v>
      </c>
      <c r="CH83" s="2"/>
      <c r="CI83" s="177" t="s">
        <v>235</v>
      </c>
      <c r="CJ83" s="93" t="s">
        <v>530</v>
      </c>
      <c r="CK83" s="2"/>
      <c r="CL83" s="22" t="s">
        <v>912</v>
      </c>
      <c r="CM83" s="12"/>
      <c r="CN83" s="48"/>
      <c r="CO83" s="96" t="s">
        <v>235</v>
      </c>
      <c r="CP83" s="2"/>
      <c r="CQ83" s="2" t="s">
        <v>913</v>
      </c>
      <c r="CR83" s="97">
        <v>40.0</v>
      </c>
      <c r="CS83" s="2" t="s">
        <v>325</v>
      </c>
      <c r="CT83" s="98">
        <v>94.0</v>
      </c>
      <c r="CU83" s="2"/>
      <c r="CV83" s="52" t="s">
        <v>149</v>
      </c>
      <c r="CW83" s="52" t="s">
        <v>149</v>
      </c>
      <c r="CX83" s="2"/>
      <c r="CY83" s="118" t="s">
        <v>18</v>
      </c>
      <c r="CZ83" s="119" t="s">
        <v>277</v>
      </c>
      <c r="DA83" s="2"/>
      <c r="DB83" s="98">
        <v>45.0</v>
      </c>
      <c r="DC83" s="2"/>
      <c r="DD83" s="101" t="s">
        <v>150</v>
      </c>
      <c r="DE83" s="2"/>
      <c r="DF83" s="120" t="s">
        <v>914</v>
      </c>
      <c r="DG83" s="173" t="s">
        <v>915</v>
      </c>
      <c r="DH83" s="121"/>
      <c r="DI83" s="2"/>
      <c r="DJ83" s="2"/>
      <c r="DK83" s="59" t="s">
        <v>916</v>
      </c>
      <c r="DL83" s="37" t="s">
        <v>64</v>
      </c>
      <c r="DM83" s="37" t="str">
        <f t="shared" si="3"/>
        <v>#NAME?</v>
      </c>
      <c r="DN83" s="61"/>
      <c r="DO83" s="37" t="s">
        <v>917</v>
      </c>
      <c r="DP83" s="105">
        <v>0.9</v>
      </c>
      <c r="DQ83" s="62" t="s">
        <v>918</v>
      </c>
      <c r="DR83" s="63"/>
      <c r="DS83" s="198"/>
      <c r="DT83" s="108"/>
      <c r="DU83" s="108"/>
      <c r="DV83" s="182"/>
      <c r="DW83" s="182"/>
      <c r="DX83" s="182"/>
      <c r="DY83" s="182"/>
      <c r="DZ83" s="182"/>
      <c r="EA83" s="182"/>
      <c r="EF83" s="68" t="s">
        <v>919</v>
      </c>
      <c r="EG83" s="69" t="str">
        <f>image("https://www.pokebip.com/pages/icones/objets/herbe-pouvoir.png", 3)</f>
        <v/>
      </c>
      <c r="EH83" s="69"/>
      <c r="EI83" s="69"/>
    </row>
    <row r="84" ht="15.75" customHeight="1">
      <c r="A84" s="1">
        <v>84.0</v>
      </c>
      <c r="B84" s="2" t="s">
        <v>920</v>
      </c>
      <c r="C84" s="7"/>
      <c r="D84" s="167" t="s">
        <v>921</v>
      </c>
      <c r="E84" s="5"/>
      <c r="F84" s="168"/>
      <c r="G84" s="7"/>
      <c r="H84" s="8" t="s">
        <v>922</v>
      </c>
      <c r="I84" s="9" t="s">
        <v>923</v>
      </c>
      <c r="J84" s="10" t="str">
        <f>image("https://archives.bulbagarden.net/media/upload/7/7f/084MS6.png", 3)</f>
        <v/>
      </c>
      <c r="K84" s="11" t="s">
        <v>921</v>
      </c>
      <c r="L84" s="12"/>
      <c r="M84" s="12"/>
      <c r="N84" s="12"/>
      <c r="O84" s="12"/>
      <c r="Q84" s="71">
        <v>35.0</v>
      </c>
      <c r="R84" s="72">
        <v>85.0</v>
      </c>
      <c r="S84" s="73">
        <v>45.0</v>
      </c>
      <c r="T84" s="74">
        <v>35.0</v>
      </c>
      <c r="U84" s="75">
        <v>35.0</v>
      </c>
      <c r="V84" s="76">
        <v>75.0</v>
      </c>
      <c r="W84" s="77">
        <v>310.0</v>
      </c>
      <c r="X84" s="21"/>
      <c r="Y84" s="71">
        <v>35.0</v>
      </c>
      <c r="Z84" s="72">
        <v>85.0</v>
      </c>
      <c r="AA84" s="73">
        <v>45.0</v>
      </c>
      <c r="AB84" s="74">
        <v>35.0</v>
      </c>
      <c r="AC84" s="75">
        <v>35.0</v>
      </c>
      <c r="AD84" s="76">
        <v>75.0</v>
      </c>
      <c r="AE84" s="77">
        <v>310.0</v>
      </c>
      <c r="AF84" s="21"/>
      <c r="AG84" s="71">
        <v>35.0</v>
      </c>
      <c r="AH84" s="72">
        <v>85.0</v>
      </c>
      <c r="AI84" s="73">
        <v>45.0</v>
      </c>
      <c r="AJ84" s="74">
        <v>35.0</v>
      </c>
      <c r="AK84" s="75">
        <v>35.0</v>
      </c>
      <c r="AL84" s="76">
        <v>75.0</v>
      </c>
      <c r="AM84" s="77">
        <v>310.0</v>
      </c>
      <c r="AN84" s="21"/>
      <c r="AO84" s="22">
        <v>35.0</v>
      </c>
      <c r="AP84" s="23">
        <v>85.0</v>
      </c>
      <c r="AQ84" s="23">
        <v>45.0</v>
      </c>
      <c r="AR84" s="23">
        <v>35.0</v>
      </c>
      <c r="AS84" s="23">
        <v>35.0</v>
      </c>
      <c r="AT84" s="23">
        <v>75.0</v>
      </c>
      <c r="AU84" s="24">
        <v>310.0</v>
      </c>
      <c r="AV84" s="21"/>
      <c r="AW84" s="265">
        <v>35.0</v>
      </c>
      <c r="AX84" s="124">
        <v>85.0</v>
      </c>
      <c r="AY84" s="124">
        <v>45.0</v>
      </c>
      <c r="AZ84" s="124">
        <v>35.0</v>
      </c>
      <c r="BA84" s="124">
        <v>35.0</v>
      </c>
      <c r="BB84" s="182">
        <v>75.0</v>
      </c>
      <c r="BC84" s="183">
        <v>310.0</v>
      </c>
      <c r="BE84" s="194" t="s">
        <v>325</v>
      </c>
      <c r="BF84" s="266"/>
      <c r="BG84" s="267"/>
      <c r="BI84" s="31" t="s">
        <v>5</v>
      </c>
      <c r="BJ84" s="32">
        <v>1.0</v>
      </c>
      <c r="BK84" s="32" t="s">
        <v>5</v>
      </c>
      <c r="BL84" s="32" t="s">
        <v>5</v>
      </c>
      <c r="BM84" s="32" t="s">
        <v>5</v>
      </c>
      <c r="BN84" s="33" t="s">
        <v>5</v>
      </c>
      <c r="BP84" s="85" t="s">
        <v>156</v>
      </c>
      <c r="BQ84" s="86" t="s">
        <v>18</v>
      </c>
      <c r="BS84" s="87" t="s">
        <v>156</v>
      </c>
      <c r="BT84" s="88" t="s">
        <v>18</v>
      </c>
      <c r="BU84" s="37" t="str">
        <f t="shared" si="1"/>
        <v>#NAME?</v>
      </c>
      <c r="BV84" s="89" t="s">
        <v>156</v>
      </c>
      <c r="BW84" s="37" t="str">
        <f t="shared" si="2"/>
        <v>#NAME?</v>
      </c>
      <c r="BX84" s="89" t="s">
        <v>18</v>
      </c>
      <c r="BY84" s="144"/>
      <c r="BZ84" s="144"/>
      <c r="CA84" s="145" t="s">
        <v>234</v>
      </c>
      <c r="CB84" s="146"/>
      <c r="CC84" s="224" t="s">
        <v>156</v>
      </c>
      <c r="CD84" s="91" t="s">
        <v>18</v>
      </c>
      <c r="CE84" s="2"/>
      <c r="CF84" s="92" t="s">
        <v>146</v>
      </c>
      <c r="CG84" s="93" t="s">
        <v>924</v>
      </c>
      <c r="CH84" s="2"/>
      <c r="CI84" s="46" t="s">
        <v>236</v>
      </c>
      <c r="CJ84" s="95" t="s">
        <v>924</v>
      </c>
      <c r="CK84" s="2"/>
      <c r="CL84" s="22" t="s">
        <v>925</v>
      </c>
      <c r="CM84" s="12"/>
      <c r="CN84" s="48"/>
      <c r="CO84" s="96" t="s">
        <v>924</v>
      </c>
      <c r="CP84" s="2"/>
      <c r="CQ84" s="2" t="s">
        <v>926</v>
      </c>
      <c r="CR84" s="97">
        <v>60.0</v>
      </c>
      <c r="CS84" s="2" t="s">
        <v>325</v>
      </c>
      <c r="CT84" s="98">
        <v>96.0</v>
      </c>
      <c r="CU84" s="2"/>
      <c r="CV84" s="52" t="s">
        <v>149</v>
      </c>
      <c r="CW84" s="52" t="s">
        <v>149</v>
      </c>
      <c r="CX84" s="2"/>
      <c r="CY84" s="100" t="s">
        <v>18</v>
      </c>
      <c r="CZ84" s="154"/>
      <c r="DA84" s="2"/>
      <c r="DB84" s="98">
        <v>190.0</v>
      </c>
      <c r="DC84" s="2"/>
      <c r="DD84" s="101" t="s">
        <v>150</v>
      </c>
      <c r="DE84" s="2"/>
      <c r="DF84" s="131" t="s">
        <v>927</v>
      </c>
      <c r="DG84" s="166" t="s">
        <v>305</v>
      </c>
      <c r="DH84" s="103"/>
      <c r="DI84" s="21"/>
      <c r="DJ84" s="21"/>
      <c r="DK84" s="59" t="s">
        <v>928</v>
      </c>
      <c r="DL84" s="37" t="s">
        <v>156</v>
      </c>
      <c r="DM84" s="37" t="str">
        <f t="shared" si="3"/>
        <v>#NAME?</v>
      </c>
      <c r="DN84" s="61"/>
      <c r="DO84" s="37">
        <v>65.0</v>
      </c>
      <c r="DP84" s="105">
        <v>1.0</v>
      </c>
      <c r="DQ84" s="62" t="s">
        <v>206</v>
      </c>
      <c r="DR84" s="155"/>
      <c r="DS84" s="251"/>
      <c r="DT84" s="108"/>
      <c r="DU84" s="108"/>
      <c r="DV84" s="252"/>
      <c r="DW84" s="252"/>
      <c r="DX84" s="252"/>
      <c r="DY84" s="252"/>
      <c r="DZ84" s="252"/>
      <c r="EA84" s="252"/>
      <c r="EG84" s="108"/>
    </row>
    <row r="85" ht="15.75" customHeight="1">
      <c r="A85" s="1">
        <v>85.0</v>
      </c>
      <c r="B85" s="2" t="s">
        <v>929</v>
      </c>
      <c r="C85" s="7"/>
      <c r="D85" s="167" t="s">
        <v>930</v>
      </c>
      <c r="E85" s="5"/>
      <c r="F85" s="168"/>
      <c r="G85" s="7"/>
      <c r="H85" s="8" t="s">
        <v>931</v>
      </c>
      <c r="I85" s="9" t="s">
        <v>932</v>
      </c>
      <c r="J85" s="10" t="str">
        <f>image("https://archives.bulbagarden.net/media/upload/8/8a/085MS6.png", 3)</f>
        <v/>
      </c>
      <c r="K85" s="11" t="s">
        <v>930</v>
      </c>
      <c r="L85" s="12"/>
      <c r="M85" s="12"/>
      <c r="N85" s="12"/>
      <c r="O85" s="12"/>
      <c r="Q85" s="71">
        <v>60.0</v>
      </c>
      <c r="R85" s="72">
        <v>110.0</v>
      </c>
      <c r="S85" s="73">
        <v>70.0</v>
      </c>
      <c r="T85" s="74">
        <v>60.0</v>
      </c>
      <c r="U85" s="75">
        <v>60.0</v>
      </c>
      <c r="V85" s="76">
        <v>100.0</v>
      </c>
      <c r="W85" s="77">
        <v>460.0</v>
      </c>
      <c r="X85" s="21"/>
      <c r="Y85" s="71">
        <v>60.0</v>
      </c>
      <c r="Z85" s="72">
        <v>110.0</v>
      </c>
      <c r="AA85" s="73">
        <v>70.0</v>
      </c>
      <c r="AB85" s="74">
        <v>60.0</v>
      </c>
      <c r="AC85" s="75">
        <v>60.0</v>
      </c>
      <c r="AD85" s="109">
        <v>110.0</v>
      </c>
      <c r="AE85" s="110">
        <v>470.0</v>
      </c>
      <c r="AF85" s="21"/>
      <c r="AG85" s="71">
        <v>60.0</v>
      </c>
      <c r="AH85" s="72">
        <v>110.0</v>
      </c>
      <c r="AI85" s="73">
        <v>70.0</v>
      </c>
      <c r="AJ85" s="74">
        <v>60.0</v>
      </c>
      <c r="AK85" s="75">
        <v>60.0</v>
      </c>
      <c r="AL85" s="109">
        <v>110.0</v>
      </c>
      <c r="AM85" s="110">
        <v>470.0</v>
      </c>
      <c r="AN85" s="21"/>
      <c r="AO85" s="22">
        <v>60.0</v>
      </c>
      <c r="AP85" s="23">
        <v>110.0</v>
      </c>
      <c r="AQ85" s="23">
        <v>70.0</v>
      </c>
      <c r="AR85" s="23">
        <v>60.0</v>
      </c>
      <c r="AS85" s="23">
        <v>60.0</v>
      </c>
      <c r="AT85" s="23" t="s">
        <v>40</v>
      </c>
      <c r="AU85" s="24" t="s">
        <v>933</v>
      </c>
      <c r="AV85" s="21"/>
      <c r="AW85" s="78">
        <v>60.0</v>
      </c>
      <c r="AX85" s="79">
        <v>110.0</v>
      </c>
      <c r="AY85" s="79">
        <v>70.0</v>
      </c>
      <c r="AZ85" s="79">
        <v>60.0</v>
      </c>
      <c r="BA85" s="79">
        <v>60.0</v>
      </c>
      <c r="BB85" s="111">
        <v>110.0</v>
      </c>
      <c r="BC85" s="111">
        <v>470.0</v>
      </c>
      <c r="BE85" s="172" t="s">
        <v>216</v>
      </c>
      <c r="BF85" s="113"/>
      <c r="BG85" s="93"/>
      <c r="BI85" s="31" t="s">
        <v>5</v>
      </c>
      <c r="BJ85" s="32">
        <v>2.0</v>
      </c>
      <c r="BK85" s="32" t="s">
        <v>5</v>
      </c>
      <c r="BL85" s="32" t="s">
        <v>5</v>
      </c>
      <c r="BM85" s="32" t="s">
        <v>5</v>
      </c>
      <c r="BN85" s="33" t="s">
        <v>5</v>
      </c>
      <c r="BP85" s="115" t="s">
        <v>156</v>
      </c>
      <c r="BQ85" s="116" t="s">
        <v>18</v>
      </c>
      <c r="BS85" s="115" t="s">
        <v>156</v>
      </c>
      <c r="BT85" s="117" t="s">
        <v>18</v>
      </c>
      <c r="BU85" s="37" t="str">
        <f t="shared" si="1"/>
        <v>#NAME?</v>
      </c>
      <c r="BV85" s="89" t="s">
        <v>156</v>
      </c>
      <c r="BW85" s="37" t="str">
        <f t="shared" si="2"/>
        <v>#NAME?</v>
      </c>
      <c r="BX85" s="89" t="s">
        <v>18</v>
      </c>
      <c r="BY85" s="39"/>
      <c r="BZ85" s="39"/>
      <c r="CA85" s="40" t="s">
        <v>234</v>
      </c>
      <c r="CB85" s="41"/>
      <c r="CC85" s="90" t="s">
        <v>156</v>
      </c>
      <c r="CD85" s="91" t="s">
        <v>18</v>
      </c>
      <c r="CE85" s="2"/>
      <c r="CF85" s="92" t="s">
        <v>146</v>
      </c>
      <c r="CG85" s="93" t="s">
        <v>924</v>
      </c>
      <c r="CH85" s="2"/>
      <c r="CI85" s="152" t="s">
        <v>236</v>
      </c>
      <c r="CJ85" s="95" t="s">
        <v>924</v>
      </c>
      <c r="CK85" s="2"/>
      <c r="CL85" s="22" t="s">
        <v>925</v>
      </c>
      <c r="CM85" s="12"/>
      <c r="CN85" s="48"/>
      <c r="CO85" s="96" t="s">
        <v>924</v>
      </c>
      <c r="CP85" s="2"/>
      <c r="CQ85" s="2" t="s">
        <v>934</v>
      </c>
      <c r="CR85" s="97">
        <v>80.0</v>
      </c>
      <c r="CS85" s="2" t="s">
        <v>216</v>
      </c>
      <c r="CT85" s="98">
        <v>158.0</v>
      </c>
      <c r="CU85" s="2"/>
      <c r="CV85" s="52" t="s">
        <v>149</v>
      </c>
      <c r="CW85" s="52" t="s">
        <v>149</v>
      </c>
      <c r="CX85" s="2"/>
      <c r="CY85" s="119" t="s">
        <v>18</v>
      </c>
      <c r="CZ85" s="160"/>
      <c r="DA85" s="2"/>
      <c r="DB85" s="98">
        <v>45.0</v>
      </c>
      <c r="DC85" s="2"/>
      <c r="DD85" s="101" t="s">
        <v>150</v>
      </c>
      <c r="DE85" s="2"/>
      <c r="DF85" s="120" t="s">
        <v>935</v>
      </c>
      <c r="DG85" s="173" t="s">
        <v>305</v>
      </c>
      <c r="DH85" s="121"/>
      <c r="DI85" s="2"/>
      <c r="DJ85" s="2"/>
      <c r="DK85" s="59" t="s">
        <v>936</v>
      </c>
      <c r="DL85" s="37" t="s">
        <v>134</v>
      </c>
      <c r="DM85" s="37" t="str">
        <f t="shared" si="3"/>
        <v>#NAME?</v>
      </c>
      <c r="DN85" s="61"/>
      <c r="DO85" s="37" t="s">
        <v>167</v>
      </c>
      <c r="DP85" s="37" t="s">
        <v>937</v>
      </c>
      <c r="DQ85" s="62" t="s">
        <v>938</v>
      </c>
      <c r="DR85" s="63"/>
      <c r="DS85" s="198"/>
      <c r="DT85" s="108"/>
      <c r="DU85" s="108"/>
      <c r="DV85" s="182"/>
      <c r="DW85" s="182"/>
      <c r="DX85" s="182"/>
      <c r="DY85" s="182"/>
      <c r="DZ85" s="182"/>
      <c r="EA85" s="182"/>
      <c r="EF85" s="68" t="s">
        <v>939</v>
      </c>
      <c r="EG85" s="69" t="str">
        <f>image("https://www.pokebip.com/pages/icones/objets/poudre-claire.png", 3)</f>
        <v/>
      </c>
      <c r="EH85" s="69"/>
      <c r="EI85" s="69"/>
    </row>
    <row r="86" ht="15.75" customHeight="1">
      <c r="A86" s="1">
        <v>86.0</v>
      </c>
      <c r="B86" s="2" t="s">
        <v>940</v>
      </c>
      <c r="C86" s="7"/>
      <c r="D86" s="161" t="s">
        <v>941</v>
      </c>
      <c r="E86" s="5"/>
      <c r="F86" s="7"/>
      <c r="G86" s="7"/>
      <c r="H86" s="8" t="s">
        <v>942</v>
      </c>
      <c r="I86" s="9" t="s">
        <v>943</v>
      </c>
      <c r="J86" s="10" t="str">
        <f>image("https://archives.bulbagarden.net/media/upload/d/db/086MS6.png", 3)</f>
        <v/>
      </c>
      <c r="K86" s="11" t="s">
        <v>941</v>
      </c>
      <c r="L86" s="12"/>
      <c r="M86" s="12"/>
      <c r="N86" s="12"/>
      <c r="O86" s="12"/>
      <c r="Q86" s="71">
        <v>65.0</v>
      </c>
      <c r="R86" s="72">
        <v>45.0</v>
      </c>
      <c r="S86" s="73">
        <v>55.0</v>
      </c>
      <c r="T86" s="74">
        <v>45.0</v>
      </c>
      <c r="U86" s="75">
        <v>70.0</v>
      </c>
      <c r="V86" s="76">
        <v>45.0</v>
      </c>
      <c r="W86" s="77">
        <v>325.0</v>
      </c>
      <c r="X86" s="21"/>
      <c r="Y86" s="71">
        <v>65.0</v>
      </c>
      <c r="Z86" s="72">
        <v>45.0</v>
      </c>
      <c r="AA86" s="73">
        <v>55.0</v>
      </c>
      <c r="AB86" s="74">
        <v>45.0</v>
      </c>
      <c r="AC86" s="75">
        <v>70.0</v>
      </c>
      <c r="AD86" s="76">
        <v>45.0</v>
      </c>
      <c r="AE86" s="77">
        <v>325.0</v>
      </c>
      <c r="AF86" s="21"/>
      <c r="AG86" s="71">
        <v>65.0</v>
      </c>
      <c r="AH86" s="72">
        <v>45.0</v>
      </c>
      <c r="AI86" s="73">
        <v>55.0</v>
      </c>
      <c r="AJ86" s="74">
        <v>45.0</v>
      </c>
      <c r="AK86" s="75">
        <v>70.0</v>
      </c>
      <c r="AL86" s="76">
        <v>45.0</v>
      </c>
      <c r="AM86" s="77">
        <v>325.0</v>
      </c>
      <c r="AN86" s="21"/>
      <c r="AO86" s="22">
        <v>65.0</v>
      </c>
      <c r="AP86" s="23">
        <v>45.0</v>
      </c>
      <c r="AQ86" s="23">
        <v>55.0</v>
      </c>
      <c r="AR86" s="23">
        <v>45.0</v>
      </c>
      <c r="AS86" s="23">
        <v>70.0</v>
      </c>
      <c r="AT86" s="23">
        <v>45.0</v>
      </c>
      <c r="AU86" s="24">
        <v>325.0</v>
      </c>
      <c r="AV86" s="21"/>
      <c r="AW86" s="78">
        <v>65.0</v>
      </c>
      <c r="AX86" s="80">
        <v>45.0</v>
      </c>
      <c r="AY86" s="79">
        <v>55.0</v>
      </c>
      <c r="AZ86" s="80">
        <v>45.0</v>
      </c>
      <c r="BA86" s="79">
        <v>70.0</v>
      </c>
      <c r="BB86" s="124">
        <v>45.0</v>
      </c>
      <c r="BC86" s="183">
        <v>325.0</v>
      </c>
      <c r="BE86" s="225" t="s">
        <v>27</v>
      </c>
      <c r="BF86" s="127"/>
      <c r="BG86" s="128"/>
      <c r="BI86" s="31" t="s">
        <v>5</v>
      </c>
      <c r="BJ86" s="32" t="s">
        <v>5</v>
      </c>
      <c r="BK86" s="32" t="s">
        <v>5</v>
      </c>
      <c r="BL86" s="32" t="s">
        <v>5</v>
      </c>
      <c r="BM86" s="32">
        <v>1.0</v>
      </c>
      <c r="BN86" s="33" t="s">
        <v>5</v>
      </c>
      <c r="BP86" s="85" t="s">
        <v>32</v>
      </c>
      <c r="BQ86" s="129"/>
      <c r="BS86" s="87" t="s">
        <v>32</v>
      </c>
      <c r="BT86" s="130"/>
      <c r="BU86" s="37" t="str">
        <f t="shared" si="1"/>
        <v>#NAME?</v>
      </c>
      <c r="BV86" s="89" t="s">
        <v>32</v>
      </c>
      <c r="BW86" s="37" t="str">
        <f t="shared" si="2"/>
        <v>#NAME?</v>
      </c>
      <c r="BX86" s="89"/>
      <c r="BY86" s="39"/>
      <c r="BZ86" s="39"/>
      <c r="CA86" s="40" t="s">
        <v>32</v>
      </c>
      <c r="CB86" s="41"/>
      <c r="CC86" s="90" t="s">
        <v>32</v>
      </c>
      <c r="CD86" s="91"/>
      <c r="CE86" s="21"/>
      <c r="CF86" s="92" t="s">
        <v>944</v>
      </c>
      <c r="CG86" s="93" t="s">
        <v>945</v>
      </c>
      <c r="CH86" s="21"/>
      <c r="CI86" s="175" t="s">
        <v>944</v>
      </c>
      <c r="CJ86" s="93" t="s">
        <v>945</v>
      </c>
      <c r="CK86" s="21"/>
      <c r="CL86" s="22" t="s">
        <v>944</v>
      </c>
      <c r="CM86" s="12"/>
      <c r="CN86" s="48"/>
      <c r="CO86" s="96" t="s">
        <v>945</v>
      </c>
      <c r="CP86" s="21"/>
      <c r="CQ86" s="2" t="s">
        <v>946</v>
      </c>
      <c r="CR86" s="97">
        <v>80.0</v>
      </c>
      <c r="CS86" s="2" t="s">
        <v>27</v>
      </c>
      <c r="CT86" s="98">
        <v>100.0</v>
      </c>
      <c r="CU86" s="2"/>
      <c r="CV86" s="52" t="s">
        <v>149</v>
      </c>
      <c r="CW86" s="52" t="s">
        <v>149</v>
      </c>
      <c r="CX86" s="2"/>
      <c r="CY86" s="99" t="s">
        <v>106</v>
      </c>
      <c r="CZ86" s="100" t="s">
        <v>277</v>
      </c>
      <c r="DA86" s="2"/>
      <c r="DB86" s="98">
        <v>190.0</v>
      </c>
      <c r="DC86" s="2"/>
      <c r="DD86" s="101" t="s">
        <v>150</v>
      </c>
      <c r="DE86" s="2"/>
      <c r="DF86" s="131" t="s">
        <v>947</v>
      </c>
      <c r="DG86" s="103"/>
      <c r="DH86" s="103"/>
      <c r="DI86" s="21"/>
      <c r="DJ86" s="21"/>
      <c r="DK86" s="59" t="s">
        <v>948</v>
      </c>
      <c r="DL86" s="37" t="s">
        <v>79</v>
      </c>
      <c r="DM86" s="37" t="str">
        <f t="shared" si="3"/>
        <v>#NAME?</v>
      </c>
      <c r="DN86" s="61"/>
      <c r="DO86" s="37">
        <v>80.0</v>
      </c>
      <c r="DP86" s="105">
        <v>0.95</v>
      </c>
      <c r="DQ86" s="62" t="s">
        <v>49</v>
      </c>
      <c r="DR86" s="155"/>
      <c r="DS86" s="251"/>
      <c r="DT86" s="108"/>
      <c r="DU86" s="108"/>
      <c r="DV86" s="252"/>
      <c r="DW86" s="252"/>
      <c r="DX86" s="252"/>
      <c r="DY86" s="252"/>
      <c r="DZ86" s="252"/>
      <c r="EA86" s="252"/>
      <c r="EF86" s="68" t="s">
        <v>949</v>
      </c>
      <c r="EG86" s="69" t="str">
        <f>image("https://www.pokebip.com/pages/icones/objets/roche-royale.png", 3)</f>
        <v/>
      </c>
      <c r="EH86" s="69"/>
      <c r="EI86" s="69"/>
    </row>
    <row r="87" ht="15.75" customHeight="1">
      <c r="A87" s="1">
        <v>87.0</v>
      </c>
      <c r="B87" s="2" t="s">
        <v>950</v>
      </c>
      <c r="C87" s="7"/>
      <c r="D87" s="161" t="s">
        <v>951</v>
      </c>
      <c r="E87" s="5"/>
      <c r="F87" s="7"/>
      <c r="G87" s="7"/>
      <c r="H87" s="8" t="s">
        <v>952</v>
      </c>
      <c r="I87" s="9" t="s">
        <v>953</v>
      </c>
      <c r="J87" s="10" t="str">
        <f>image("https://archives.bulbagarden.net/media/upload/f/f7/087MS6.png", 3)</f>
        <v/>
      </c>
      <c r="K87" s="11" t="s">
        <v>951</v>
      </c>
      <c r="L87" s="12"/>
      <c r="M87" s="12"/>
      <c r="N87" s="12"/>
      <c r="O87" s="12"/>
      <c r="Q87" s="71">
        <v>90.0</v>
      </c>
      <c r="R87" s="72">
        <v>70.0</v>
      </c>
      <c r="S87" s="73">
        <v>80.0</v>
      </c>
      <c r="T87" s="74">
        <v>70.0</v>
      </c>
      <c r="U87" s="75">
        <v>95.0</v>
      </c>
      <c r="V87" s="76">
        <v>70.0</v>
      </c>
      <c r="W87" s="77">
        <v>475.0</v>
      </c>
      <c r="X87" s="21"/>
      <c r="Y87" s="71">
        <v>90.0</v>
      </c>
      <c r="Z87" s="72">
        <v>70.0</v>
      </c>
      <c r="AA87" s="73">
        <v>80.0</v>
      </c>
      <c r="AB87" s="74">
        <v>70.0</v>
      </c>
      <c r="AC87" s="75">
        <v>95.0</v>
      </c>
      <c r="AD87" s="76">
        <v>70.0</v>
      </c>
      <c r="AE87" s="77">
        <v>475.0</v>
      </c>
      <c r="AF87" s="21"/>
      <c r="AG87" s="71">
        <v>90.0</v>
      </c>
      <c r="AH87" s="109">
        <v>80.0</v>
      </c>
      <c r="AI87" s="73">
        <v>80.0</v>
      </c>
      <c r="AJ87" s="109">
        <v>80.0</v>
      </c>
      <c r="AK87" s="75">
        <v>95.0</v>
      </c>
      <c r="AL87" s="76">
        <v>70.0</v>
      </c>
      <c r="AM87" s="110">
        <v>495.0</v>
      </c>
      <c r="AN87" s="21"/>
      <c r="AO87" s="22">
        <v>90.0</v>
      </c>
      <c r="AP87" s="23" t="s">
        <v>337</v>
      </c>
      <c r="AQ87" s="23">
        <v>80.0</v>
      </c>
      <c r="AR87" s="23" t="s">
        <v>337</v>
      </c>
      <c r="AS87" s="23">
        <v>95.0</v>
      </c>
      <c r="AT87" s="23">
        <v>70.0</v>
      </c>
      <c r="AU87" s="24" t="s">
        <v>367</v>
      </c>
      <c r="AV87" s="21"/>
      <c r="AW87" s="78">
        <v>90.0</v>
      </c>
      <c r="AX87" s="111">
        <v>80.0</v>
      </c>
      <c r="AY87" s="79">
        <v>80.0</v>
      </c>
      <c r="AZ87" s="111">
        <v>80.0</v>
      </c>
      <c r="BA87" s="79">
        <v>95.0</v>
      </c>
      <c r="BB87" s="79">
        <v>70.0</v>
      </c>
      <c r="BC87" s="111">
        <v>495.0</v>
      </c>
      <c r="BE87" s="150" t="s">
        <v>815</v>
      </c>
      <c r="BF87" s="113"/>
      <c r="BG87" s="93"/>
      <c r="BI87" s="31" t="s">
        <v>5</v>
      </c>
      <c r="BJ87" s="32" t="s">
        <v>5</v>
      </c>
      <c r="BK87" s="32" t="s">
        <v>5</v>
      </c>
      <c r="BL87" s="32" t="s">
        <v>5</v>
      </c>
      <c r="BM87" s="234">
        <v>2.0</v>
      </c>
      <c r="BN87" s="33" t="s">
        <v>5</v>
      </c>
      <c r="BP87" s="115" t="s">
        <v>32</v>
      </c>
      <c r="BQ87" s="116" t="s">
        <v>120</v>
      </c>
      <c r="BS87" s="115" t="s">
        <v>32</v>
      </c>
      <c r="BT87" s="117" t="s">
        <v>120</v>
      </c>
      <c r="BU87" s="37" t="str">
        <f t="shared" si="1"/>
        <v>#NAME?</v>
      </c>
      <c r="BV87" s="89" t="s">
        <v>32</v>
      </c>
      <c r="BW87" s="37" t="str">
        <f t="shared" si="2"/>
        <v>#NAME?</v>
      </c>
      <c r="BX87" s="89" t="s">
        <v>120</v>
      </c>
      <c r="BY87" s="39"/>
      <c r="BZ87" s="39"/>
      <c r="CA87" s="40" t="s">
        <v>954</v>
      </c>
      <c r="CB87" s="41"/>
      <c r="CC87" s="90" t="s">
        <v>32</v>
      </c>
      <c r="CD87" s="91" t="s">
        <v>120</v>
      </c>
      <c r="CE87" s="2"/>
      <c r="CF87" s="92" t="s">
        <v>944</v>
      </c>
      <c r="CG87" s="93" t="s">
        <v>945</v>
      </c>
      <c r="CH87" s="2"/>
      <c r="CI87" s="92" t="s">
        <v>944</v>
      </c>
      <c r="CJ87" s="93" t="s">
        <v>945</v>
      </c>
      <c r="CK87" s="2"/>
      <c r="CL87" s="22" t="s">
        <v>944</v>
      </c>
      <c r="CM87" s="12"/>
      <c r="CN87" s="48"/>
      <c r="CO87" s="96" t="s">
        <v>945</v>
      </c>
      <c r="CP87" s="2"/>
      <c r="CQ87" s="2" t="s">
        <v>955</v>
      </c>
      <c r="CR87" s="97">
        <v>100.0</v>
      </c>
      <c r="CS87" s="2" t="s">
        <v>815</v>
      </c>
      <c r="CT87" s="98">
        <v>176.0</v>
      </c>
      <c r="CU87" s="2"/>
      <c r="CV87" s="52" t="s">
        <v>149</v>
      </c>
      <c r="CW87" s="52" t="s">
        <v>149</v>
      </c>
      <c r="CX87" s="2"/>
      <c r="CY87" s="118" t="s">
        <v>106</v>
      </c>
      <c r="CZ87" s="119" t="s">
        <v>277</v>
      </c>
      <c r="DA87" s="2"/>
      <c r="DB87" s="98">
        <v>75.0</v>
      </c>
      <c r="DC87" s="2"/>
      <c r="DD87" s="101" t="s">
        <v>150</v>
      </c>
      <c r="DE87" s="2"/>
      <c r="DF87" s="120" t="s">
        <v>956</v>
      </c>
      <c r="DG87" s="121"/>
      <c r="DH87" s="121"/>
      <c r="DI87" s="2"/>
      <c r="DJ87" s="2"/>
      <c r="DK87" s="59" t="s">
        <v>957</v>
      </c>
      <c r="DL87" s="37" t="s">
        <v>156</v>
      </c>
      <c r="DM87" s="37" t="str">
        <f t="shared" si="3"/>
        <v>#NAME?</v>
      </c>
      <c r="DN87" s="61"/>
      <c r="DO87" s="37">
        <v>80.0</v>
      </c>
      <c r="DP87" s="105">
        <v>0.9</v>
      </c>
      <c r="DQ87" s="62" t="s">
        <v>93</v>
      </c>
      <c r="DR87" s="63"/>
      <c r="DS87" s="198"/>
      <c r="DT87" s="108"/>
      <c r="DU87" s="108"/>
      <c r="DV87" s="182"/>
      <c r="DW87" s="182"/>
      <c r="DX87" s="182"/>
      <c r="DY87" s="182"/>
      <c r="DZ87" s="182"/>
      <c r="EA87" s="182"/>
      <c r="EF87" s="68" t="s">
        <v>958</v>
      </c>
      <c r="EG87" s="69" t="str">
        <f>image("https://www.pokebip.com/pages/icones/objets/noeud-destin.png", 3)</f>
        <v/>
      </c>
      <c r="EH87" s="69"/>
      <c r="EI87" s="69"/>
    </row>
    <row r="88" ht="15.75" customHeight="1">
      <c r="A88" s="1">
        <v>88.0</v>
      </c>
      <c r="B88" s="2" t="s">
        <v>959</v>
      </c>
      <c r="C88" s="7"/>
      <c r="D88" s="180" t="s">
        <v>960</v>
      </c>
      <c r="E88" s="5"/>
      <c r="F88" s="181"/>
      <c r="G88" s="7"/>
      <c r="H88" s="8" t="s">
        <v>961</v>
      </c>
      <c r="I88" s="9" t="s">
        <v>962</v>
      </c>
      <c r="J88" s="10" t="str">
        <f>image("https://archives.bulbagarden.net/media/upload/2/2a/088MS6.png", 3)</f>
        <v/>
      </c>
      <c r="K88" s="11" t="s">
        <v>960</v>
      </c>
      <c r="L88" s="12"/>
      <c r="M88" s="12"/>
      <c r="N88" s="12"/>
      <c r="O88" s="12"/>
      <c r="Q88" s="71">
        <v>80.0</v>
      </c>
      <c r="R88" s="72">
        <v>80.0</v>
      </c>
      <c r="S88" s="73">
        <v>50.0</v>
      </c>
      <c r="T88" s="74">
        <v>40.0</v>
      </c>
      <c r="U88" s="75">
        <v>50.0</v>
      </c>
      <c r="V88" s="76">
        <v>25.0</v>
      </c>
      <c r="W88" s="77">
        <v>325.0</v>
      </c>
      <c r="X88" s="21"/>
      <c r="Y88" s="71">
        <v>80.0</v>
      </c>
      <c r="Z88" s="72">
        <v>80.0</v>
      </c>
      <c r="AA88" s="73">
        <v>50.0</v>
      </c>
      <c r="AB88" s="74">
        <v>40.0</v>
      </c>
      <c r="AC88" s="75">
        <v>50.0</v>
      </c>
      <c r="AD88" s="76">
        <v>25.0</v>
      </c>
      <c r="AE88" s="77">
        <v>325.0</v>
      </c>
      <c r="AF88" s="21"/>
      <c r="AG88" s="71">
        <v>80.0</v>
      </c>
      <c r="AH88" s="72">
        <v>80.0</v>
      </c>
      <c r="AI88" s="73">
        <v>50.0</v>
      </c>
      <c r="AJ88" s="74">
        <v>40.0</v>
      </c>
      <c r="AK88" s="75">
        <v>50.0</v>
      </c>
      <c r="AL88" s="76">
        <v>25.0</v>
      </c>
      <c r="AM88" s="77">
        <v>325.0</v>
      </c>
      <c r="AN88" s="21"/>
      <c r="AO88" s="22">
        <v>80.0</v>
      </c>
      <c r="AP88" s="23">
        <v>80.0</v>
      </c>
      <c r="AQ88" s="23">
        <v>50.0</v>
      </c>
      <c r="AR88" s="23">
        <v>40.0</v>
      </c>
      <c r="AS88" s="23">
        <v>50.0</v>
      </c>
      <c r="AT88" s="23">
        <v>25.0</v>
      </c>
      <c r="AU88" s="24">
        <v>325.0</v>
      </c>
      <c r="AV88" s="21"/>
      <c r="AW88" s="78">
        <v>80.0</v>
      </c>
      <c r="AX88" s="124">
        <v>80.0</v>
      </c>
      <c r="AY88" s="79">
        <v>50.0</v>
      </c>
      <c r="AZ88" s="124">
        <v>40.0</v>
      </c>
      <c r="BA88" s="79">
        <v>50.0</v>
      </c>
      <c r="BB88" s="79">
        <v>25.0</v>
      </c>
      <c r="BC88" s="125">
        <v>325.0</v>
      </c>
      <c r="BE88" s="151" t="s">
        <v>144</v>
      </c>
      <c r="BF88" s="127"/>
      <c r="BG88" s="128"/>
      <c r="BI88" s="31">
        <v>1.0</v>
      </c>
      <c r="BJ88" s="32" t="s">
        <v>5</v>
      </c>
      <c r="BK88" s="32" t="s">
        <v>5</v>
      </c>
      <c r="BL88" s="32" t="s">
        <v>5</v>
      </c>
      <c r="BM88" s="32" t="s">
        <v>5</v>
      </c>
      <c r="BN88" s="33" t="s">
        <v>5</v>
      </c>
      <c r="BP88" s="85" t="s">
        <v>7</v>
      </c>
      <c r="BQ88" s="129"/>
      <c r="BS88" s="87" t="s">
        <v>7</v>
      </c>
      <c r="BT88" s="130"/>
      <c r="BU88" s="37" t="str">
        <f t="shared" si="1"/>
        <v>#NAME?</v>
      </c>
      <c r="BV88" s="89" t="s">
        <v>7</v>
      </c>
      <c r="BW88" s="37" t="str">
        <f t="shared" si="2"/>
        <v>#NAME?</v>
      </c>
      <c r="BX88" s="89"/>
      <c r="BY88" s="39"/>
      <c r="BZ88" s="39"/>
      <c r="CA88" s="40" t="s">
        <v>7</v>
      </c>
      <c r="CB88" s="41"/>
      <c r="CC88" s="90" t="s">
        <v>7</v>
      </c>
      <c r="CD88" s="91"/>
      <c r="CE88" s="21"/>
      <c r="CF88" s="92" t="s">
        <v>553</v>
      </c>
      <c r="CG88" s="93" t="s">
        <v>963</v>
      </c>
      <c r="CH88" s="21"/>
      <c r="CI88" s="92" t="s">
        <v>553</v>
      </c>
      <c r="CJ88" s="93" t="s">
        <v>963</v>
      </c>
      <c r="CK88" s="21"/>
      <c r="CL88" s="22" t="s">
        <v>553</v>
      </c>
      <c r="CM88" s="12"/>
      <c r="CN88" s="48"/>
      <c r="CO88" s="268" t="s">
        <v>963</v>
      </c>
      <c r="CP88" s="21"/>
      <c r="CQ88" s="2" t="s">
        <v>249</v>
      </c>
      <c r="CR88" s="97">
        <v>60.0</v>
      </c>
      <c r="CS88" s="2" t="s">
        <v>144</v>
      </c>
      <c r="CT88" s="98">
        <v>90.0</v>
      </c>
      <c r="CU88" s="2"/>
      <c r="CV88" s="52" t="s">
        <v>149</v>
      </c>
      <c r="CW88" s="52" t="s">
        <v>149</v>
      </c>
      <c r="CX88" s="2"/>
      <c r="CY88" s="100" t="s">
        <v>964</v>
      </c>
      <c r="CZ88" s="154"/>
      <c r="DA88" s="2"/>
      <c r="DB88" s="98">
        <v>190.0</v>
      </c>
      <c r="DC88" s="2"/>
      <c r="DD88" s="101" t="s">
        <v>150</v>
      </c>
      <c r="DE88" s="2"/>
      <c r="DF88" s="269" t="s">
        <v>965</v>
      </c>
      <c r="DG88" s="166" t="s">
        <v>966</v>
      </c>
      <c r="DH88" s="103"/>
      <c r="DI88" s="21"/>
      <c r="DJ88" s="21"/>
      <c r="DK88" s="59" t="s">
        <v>967</v>
      </c>
      <c r="DL88" s="37" t="s">
        <v>120</v>
      </c>
      <c r="DM88" s="37" t="str">
        <f t="shared" si="3"/>
        <v>#NAME?</v>
      </c>
      <c r="DN88" s="61"/>
      <c r="DO88" s="37">
        <v>30.0</v>
      </c>
      <c r="DP88" s="105">
        <v>0.9</v>
      </c>
      <c r="DQ88" s="62" t="s">
        <v>20</v>
      </c>
      <c r="DR88" s="63"/>
      <c r="DS88" s="198"/>
      <c r="DT88" s="108"/>
      <c r="DU88" s="108"/>
      <c r="DV88" s="182"/>
      <c r="DW88" s="182"/>
      <c r="DX88" s="182"/>
      <c r="DY88" s="182"/>
      <c r="DZ88" s="182"/>
      <c r="EA88" s="182"/>
      <c r="EG88" s="108"/>
    </row>
    <row r="89" ht="15.75" customHeight="1">
      <c r="A89" s="1">
        <v>89.0</v>
      </c>
      <c r="B89" s="2" t="s">
        <v>968</v>
      </c>
      <c r="C89" s="7"/>
      <c r="D89" s="180" t="s">
        <v>969</v>
      </c>
      <c r="E89" s="5"/>
      <c r="F89" s="181"/>
      <c r="G89" s="7"/>
      <c r="H89" s="8" t="s">
        <v>970</v>
      </c>
      <c r="I89" s="9" t="s">
        <v>971</v>
      </c>
      <c r="J89" s="10" t="str">
        <f>image("https://archives.bulbagarden.net/media/upload/9/9b/089MS6.png", 3)</f>
        <v/>
      </c>
      <c r="K89" s="11" t="s">
        <v>969</v>
      </c>
      <c r="L89" s="12"/>
      <c r="M89" s="12"/>
      <c r="N89" s="12"/>
      <c r="O89" s="12"/>
      <c r="Q89" s="71">
        <v>105.0</v>
      </c>
      <c r="R89" s="72">
        <v>105.0</v>
      </c>
      <c r="S89" s="73">
        <v>75.0</v>
      </c>
      <c r="T89" s="74">
        <v>65.0</v>
      </c>
      <c r="U89" s="75">
        <v>100.0</v>
      </c>
      <c r="V89" s="76">
        <v>50.0</v>
      </c>
      <c r="W89" s="77">
        <v>500.0</v>
      </c>
      <c r="X89" s="21"/>
      <c r="Y89" s="71">
        <v>105.0</v>
      </c>
      <c r="Z89" s="72">
        <v>105.0</v>
      </c>
      <c r="AA89" s="73">
        <v>75.0</v>
      </c>
      <c r="AB89" s="74">
        <v>65.0</v>
      </c>
      <c r="AC89" s="75">
        <v>100.0</v>
      </c>
      <c r="AD89" s="76">
        <v>50.0</v>
      </c>
      <c r="AE89" s="77">
        <v>500.0</v>
      </c>
      <c r="AF89" s="21"/>
      <c r="AG89" s="71">
        <v>105.0</v>
      </c>
      <c r="AH89" s="72">
        <v>105.0</v>
      </c>
      <c r="AI89" s="73">
        <v>75.0</v>
      </c>
      <c r="AJ89" s="74">
        <v>65.0</v>
      </c>
      <c r="AK89" s="75">
        <v>100.0</v>
      </c>
      <c r="AL89" s="76">
        <v>50.0</v>
      </c>
      <c r="AM89" s="77">
        <v>500.0</v>
      </c>
      <c r="AN89" s="21"/>
      <c r="AO89" s="22">
        <v>105.0</v>
      </c>
      <c r="AP89" s="23">
        <v>105.0</v>
      </c>
      <c r="AQ89" s="23">
        <v>75.0</v>
      </c>
      <c r="AR89" s="23">
        <v>65.0</v>
      </c>
      <c r="AS89" s="23">
        <v>100.0</v>
      </c>
      <c r="AT89" s="23">
        <v>50.0</v>
      </c>
      <c r="AU89" s="24">
        <v>500.0</v>
      </c>
      <c r="AV89" s="21"/>
      <c r="AW89" s="78">
        <v>105.0</v>
      </c>
      <c r="AX89" s="79">
        <v>105.0</v>
      </c>
      <c r="AY89" s="79">
        <v>75.0</v>
      </c>
      <c r="AZ89" s="79">
        <v>65.0</v>
      </c>
      <c r="BA89" s="79">
        <v>100.0</v>
      </c>
      <c r="BB89" s="79">
        <v>50.0</v>
      </c>
      <c r="BC89" s="201">
        <v>500.0</v>
      </c>
      <c r="BE89" s="151" t="s">
        <v>144</v>
      </c>
      <c r="BF89" s="270" t="s">
        <v>325</v>
      </c>
      <c r="BG89" s="93"/>
      <c r="BI89" s="31">
        <v>1.0</v>
      </c>
      <c r="BJ89" s="32">
        <v>1.0</v>
      </c>
      <c r="BK89" s="32" t="s">
        <v>5</v>
      </c>
      <c r="BL89" s="32" t="s">
        <v>5</v>
      </c>
      <c r="BM89" s="32" t="s">
        <v>5</v>
      </c>
      <c r="BN89" s="33" t="s">
        <v>5</v>
      </c>
      <c r="BP89" s="115" t="s">
        <v>7</v>
      </c>
      <c r="BQ89" s="93"/>
      <c r="BS89" s="115" t="s">
        <v>7</v>
      </c>
      <c r="BT89" s="133"/>
      <c r="BU89" s="37" t="str">
        <f t="shared" si="1"/>
        <v>#NAME?</v>
      </c>
      <c r="BV89" s="89" t="s">
        <v>7</v>
      </c>
      <c r="BW89" s="37" t="str">
        <f t="shared" si="2"/>
        <v>#NAME?</v>
      </c>
      <c r="BX89" s="89"/>
      <c r="BY89" s="39"/>
      <c r="BZ89" s="39"/>
      <c r="CA89" s="40" t="s">
        <v>7</v>
      </c>
      <c r="CB89" s="41"/>
      <c r="CC89" s="90" t="s">
        <v>7</v>
      </c>
      <c r="CD89" s="91"/>
      <c r="CE89" s="21"/>
      <c r="CF89" s="92" t="s">
        <v>553</v>
      </c>
      <c r="CG89" s="93" t="s">
        <v>963</v>
      </c>
      <c r="CH89" s="21"/>
      <c r="CI89" s="177" t="s">
        <v>553</v>
      </c>
      <c r="CJ89" s="188" t="s">
        <v>963</v>
      </c>
      <c r="CK89" s="21"/>
      <c r="CL89" s="22" t="s">
        <v>553</v>
      </c>
      <c r="CM89" s="12"/>
      <c r="CN89" s="48"/>
      <c r="CO89" s="189" t="s">
        <v>963</v>
      </c>
      <c r="CP89" s="21"/>
      <c r="CQ89" s="2" t="s">
        <v>249</v>
      </c>
      <c r="CR89" s="97">
        <v>60.0</v>
      </c>
      <c r="CS89" s="2" t="s">
        <v>972</v>
      </c>
      <c r="CT89" s="98">
        <v>157.0</v>
      </c>
      <c r="CU89" s="2"/>
      <c r="CV89" s="52" t="s">
        <v>149</v>
      </c>
      <c r="CW89" s="52" t="s">
        <v>149</v>
      </c>
      <c r="CX89" s="2"/>
      <c r="CY89" s="119" t="s">
        <v>964</v>
      </c>
      <c r="CZ89" s="160"/>
      <c r="DA89" s="2"/>
      <c r="DB89" s="98">
        <v>75.0</v>
      </c>
      <c r="DC89" s="2"/>
      <c r="DD89" s="101" t="s">
        <v>150</v>
      </c>
      <c r="DE89" s="2"/>
      <c r="DF89" s="159" t="s">
        <v>973</v>
      </c>
      <c r="DG89" s="173" t="s">
        <v>974</v>
      </c>
      <c r="DH89" s="121"/>
      <c r="DI89" s="2"/>
      <c r="DJ89" s="2"/>
      <c r="DK89" s="59" t="s">
        <v>975</v>
      </c>
      <c r="DL89" s="37" t="s">
        <v>120</v>
      </c>
      <c r="DM89" s="37" t="str">
        <f t="shared" si="3"/>
        <v>#NAME?</v>
      </c>
      <c r="DN89" s="61"/>
      <c r="DO89" s="37">
        <v>65.0</v>
      </c>
      <c r="DP89" s="105">
        <v>0.95</v>
      </c>
      <c r="DQ89" s="62" t="s">
        <v>93</v>
      </c>
      <c r="DR89" s="63"/>
      <c r="DS89" s="198"/>
      <c r="DT89" s="108"/>
      <c r="DU89" s="108"/>
      <c r="DV89" s="182"/>
      <c r="DW89" s="182"/>
      <c r="DX89" s="182"/>
      <c r="DY89" s="182"/>
      <c r="DZ89" s="182"/>
      <c r="EA89" s="182"/>
      <c r="EB89" s="21"/>
      <c r="EC89" s="21"/>
      <c r="ED89" s="21"/>
      <c r="EE89" s="21"/>
      <c r="EF89" s="68" t="s">
        <v>976</v>
      </c>
      <c r="EG89" s="69" t="str">
        <f>image("https://www.pokebip.com/pages/icones/objets/rune-purifiante.png", 3)</f>
        <v/>
      </c>
      <c r="EH89" s="69"/>
      <c r="EI89" s="69"/>
    </row>
    <row r="90" ht="15.75" customHeight="1">
      <c r="A90" s="1">
        <v>90.0</v>
      </c>
      <c r="B90" s="2" t="s">
        <v>977</v>
      </c>
      <c r="C90" s="7"/>
      <c r="D90" s="180" t="s">
        <v>978</v>
      </c>
      <c r="E90" s="5"/>
      <c r="F90" s="181"/>
      <c r="G90" s="7"/>
      <c r="H90" s="8" t="s">
        <v>979</v>
      </c>
      <c r="I90" s="9" t="s">
        <v>980</v>
      </c>
      <c r="J90" s="10" t="str">
        <f>image("https://archives.bulbagarden.net/media/upload/a/ae/090MS6.png", 3)</f>
        <v/>
      </c>
      <c r="K90" s="11" t="s">
        <v>978</v>
      </c>
      <c r="L90" s="12"/>
      <c r="M90" s="12"/>
      <c r="N90" s="12"/>
      <c r="O90" s="12"/>
      <c r="Q90" s="71">
        <v>30.0</v>
      </c>
      <c r="R90" s="72">
        <v>65.0</v>
      </c>
      <c r="S90" s="73">
        <v>100.0</v>
      </c>
      <c r="T90" s="74">
        <v>45.0</v>
      </c>
      <c r="U90" s="75">
        <v>25.0</v>
      </c>
      <c r="V90" s="76">
        <v>40.0</v>
      </c>
      <c r="W90" s="77">
        <v>305.0</v>
      </c>
      <c r="X90" s="21"/>
      <c r="Y90" s="71">
        <v>30.0</v>
      </c>
      <c r="Z90" s="72">
        <v>65.0</v>
      </c>
      <c r="AA90" s="73">
        <v>100.0</v>
      </c>
      <c r="AB90" s="74">
        <v>45.0</v>
      </c>
      <c r="AC90" s="75">
        <v>25.0</v>
      </c>
      <c r="AD90" s="76">
        <v>40.0</v>
      </c>
      <c r="AE90" s="77">
        <v>305.0</v>
      </c>
      <c r="AF90" s="21"/>
      <c r="AG90" s="71">
        <v>30.0</v>
      </c>
      <c r="AH90" s="72">
        <v>65.0</v>
      </c>
      <c r="AI90" s="73">
        <v>100.0</v>
      </c>
      <c r="AJ90" s="74">
        <v>45.0</v>
      </c>
      <c r="AK90" s="75">
        <v>25.0</v>
      </c>
      <c r="AL90" s="76">
        <v>40.0</v>
      </c>
      <c r="AM90" s="77">
        <v>305.0</v>
      </c>
      <c r="AN90" s="21"/>
      <c r="AO90" s="22">
        <v>30.0</v>
      </c>
      <c r="AP90" s="23">
        <v>65.0</v>
      </c>
      <c r="AQ90" s="23">
        <v>100.0</v>
      </c>
      <c r="AR90" s="23">
        <v>45.0</v>
      </c>
      <c r="AS90" s="23">
        <v>25.0</v>
      </c>
      <c r="AT90" s="23">
        <v>40.0</v>
      </c>
      <c r="AU90" s="24">
        <v>305.0</v>
      </c>
      <c r="AV90" s="21"/>
      <c r="AW90" s="78">
        <v>30.0</v>
      </c>
      <c r="AX90" s="79">
        <v>65.0</v>
      </c>
      <c r="AY90" s="79">
        <v>100.0</v>
      </c>
      <c r="AZ90" s="79">
        <v>45.0</v>
      </c>
      <c r="BA90" s="79">
        <v>25.0</v>
      </c>
      <c r="BB90" s="79">
        <v>40.0</v>
      </c>
      <c r="BC90" s="201">
        <v>305.0</v>
      </c>
      <c r="BE90" s="142" t="s">
        <v>101</v>
      </c>
      <c r="BF90" s="127"/>
      <c r="BG90" s="128"/>
      <c r="BI90" s="31" t="s">
        <v>5</v>
      </c>
      <c r="BJ90" s="32" t="s">
        <v>5</v>
      </c>
      <c r="BK90" s="32">
        <v>1.0</v>
      </c>
      <c r="BL90" s="32" t="s">
        <v>5</v>
      </c>
      <c r="BM90" s="32" t="s">
        <v>5</v>
      </c>
      <c r="BN90" s="33" t="s">
        <v>5</v>
      </c>
      <c r="BP90" s="85" t="s">
        <v>32</v>
      </c>
      <c r="BQ90" s="129"/>
      <c r="BS90" s="87" t="s">
        <v>32</v>
      </c>
      <c r="BT90" s="130"/>
      <c r="BU90" s="37" t="str">
        <f t="shared" si="1"/>
        <v>#NAME?</v>
      </c>
      <c r="BV90" s="89" t="s">
        <v>32</v>
      </c>
      <c r="BW90" s="37" t="str">
        <f t="shared" si="2"/>
        <v>#NAME?</v>
      </c>
      <c r="BX90" s="89"/>
      <c r="BY90" s="39"/>
      <c r="BZ90" s="39"/>
      <c r="CA90" s="40" t="s">
        <v>32</v>
      </c>
      <c r="CB90" s="41"/>
      <c r="CC90" s="90" t="s">
        <v>32</v>
      </c>
      <c r="CD90" s="91"/>
      <c r="CE90" s="21"/>
      <c r="CF90" s="92" t="s">
        <v>981</v>
      </c>
      <c r="CG90" s="93" t="s">
        <v>982</v>
      </c>
      <c r="CH90" s="21"/>
      <c r="CI90" s="237" t="s">
        <v>982</v>
      </c>
      <c r="CJ90" s="238" t="s">
        <v>981</v>
      </c>
      <c r="CK90" s="21"/>
      <c r="CL90" s="22" t="s">
        <v>983</v>
      </c>
      <c r="CM90" s="12"/>
      <c r="CN90" s="48"/>
      <c r="CO90" s="239" t="s">
        <v>981</v>
      </c>
      <c r="CP90" s="21"/>
      <c r="CQ90" s="2" t="s">
        <v>780</v>
      </c>
      <c r="CR90" s="97">
        <v>20.0</v>
      </c>
      <c r="CS90" s="2" t="s">
        <v>101</v>
      </c>
      <c r="CT90" s="98">
        <v>97.0</v>
      </c>
      <c r="CU90" s="2"/>
      <c r="CV90" s="52" t="s">
        <v>149</v>
      </c>
      <c r="CW90" s="52" t="s">
        <v>149</v>
      </c>
      <c r="CX90" s="2"/>
      <c r="CY90" s="100" t="s">
        <v>807</v>
      </c>
      <c r="CZ90" s="154"/>
      <c r="DA90" s="2"/>
      <c r="DB90" s="98">
        <v>190.0</v>
      </c>
      <c r="DC90" s="2"/>
      <c r="DD90" s="101" t="s">
        <v>683</v>
      </c>
      <c r="DE90" s="2"/>
      <c r="DF90" s="249" t="s">
        <v>984</v>
      </c>
      <c r="DG90" s="166" t="s">
        <v>985</v>
      </c>
      <c r="DH90" s="103" t="s">
        <v>986</v>
      </c>
      <c r="DI90" s="21"/>
      <c r="DJ90" s="21"/>
      <c r="DK90" s="59" t="s">
        <v>987</v>
      </c>
      <c r="DL90" s="37" t="s">
        <v>120</v>
      </c>
      <c r="DM90" s="37" t="str">
        <f t="shared" si="3"/>
        <v>#NAME?</v>
      </c>
      <c r="DN90" s="61"/>
      <c r="DO90" s="37">
        <v>75.0</v>
      </c>
      <c r="DP90" s="105">
        <v>1.0</v>
      </c>
      <c r="DQ90" s="62" t="s">
        <v>93</v>
      </c>
      <c r="DR90" s="63"/>
      <c r="DS90" s="198"/>
      <c r="DT90" s="108"/>
      <c r="DU90" s="108"/>
      <c r="DV90" s="182"/>
      <c r="DW90" s="182"/>
      <c r="DX90" s="182"/>
      <c r="DY90" s="182"/>
      <c r="DZ90" s="182"/>
      <c r="EA90" s="182"/>
      <c r="EB90" s="2"/>
      <c r="EC90" s="2"/>
      <c r="ED90" s="2"/>
      <c r="EE90" s="2"/>
      <c r="EG90" s="108"/>
    </row>
    <row r="91" ht="15.75" customHeight="1">
      <c r="A91" s="1">
        <v>91.0</v>
      </c>
      <c r="B91" s="2" t="s">
        <v>988</v>
      </c>
      <c r="C91" s="7"/>
      <c r="D91" s="180" t="s">
        <v>989</v>
      </c>
      <c r="E91" s="5"/>
      <c r="F91" s="181"/>
      <c r="G91" s="7"/>
      <c r="H91" s="8" t="s">
        <v>990</v>
      </c>
      <c r="I91" s="9" t="s">
        <v>991</v>
      </c>
      <c r="J91" s="10" t="str">
        <f>image("https://archives.bulbagarden.net/media/upload/8/84/091MS6.png", 3)</f>
        <v/>
      </c>
      <c r="K91" s="11" t="s">
        <v>989</v>
      </c>
      <c r="L91" s="12"/>
      <c r="M91" s="12"/>
      <c r="N91" s="12"/>
      <c r="O91" s="12"/>
      <c r="Q91" s="71">
        <v>50.0</v>
      </c>
      <c r="R91" s="72">
        <v>95.0</v>
      </c>
      <c r="S91" s="73">
        <v>180.0</v>
      </c>
      <c r="T91" s="74">
        <v>85.0</v>
      </c>
      <c r="U91" s="75">
        <v>45.0</v>
      </c>
      <c r="V91" s="76">
        <v>70.0</v>
      </c>
      <c r="W91" s="77">
        <v>525.0</v>
      </c>
      <c r="X91" s="21"/>
      <c r="Y91" s="71">
        <v>50.0</v>
      </c>
      <c r="Z91" s="72">
        <v>95.0</v>
      </c>
      <c r="AA91" s="73">
        <v>180.0</v>
      </c>
      <c r="AB91" s="74">
        <v>85.0</v>
      </c>
      <c r="AC91" s="75">
        <v>45.0</v>
      </c>
      <c r="AD91" s="76">
        <v>70.0</v>
      </c>
      <c r="AE91" s="77">
        <v>525.0</v>
      </c>
      <c r="AF91" s="21"/>
      <c r="AG91" s="71">
        <v>50.0</v>
      </c>
      <c r="AH91" s="72">
        <v>95.0</v>
      </c>
      <c r="AI91" s="73">
        <v>180.0</v>
      </c>
      <c r="AJ91" s="74">
        <v>85.0</v>
      </c>
      <c r="AK91" s="75">
        <v>45.0</v>
      </c>
      <c r="AL91" s="76">
        <v>70.0</v>
      </c>
      <c r="AM91" s="77">
        <v>525.0</v>
      </c>
      <c r="AN91" s="21"/>
      <c r="AO91" s="22">
        <v>50.0</v>
      </c>
      <c r="AP91" s="23">
        <v>95.0</v>
      </c>
      <c r="AQ91" s="23">
        <v>180.0</v>
      </c>
      <c r="AR91" s="23">
        <v>85.0</v>
      </c>
      <c r="AS91" s="23">
        <v>45.0</v>
      </c>
      <c r="AT91" s="23">
        <v>70.0</v>
      </c>
      <c r="AU91" s="24">
        <v>525.0</v>
      </c>
      <c r="AV91" s="21"/>
      <c r="AW91" s="78">
        <v>50.0</v>
      </c>
      <c r="AX91" s="79">
        <v>95.0</v>
      </c>
      <c r="AY91" s="79">
        <v>180.0</v>
      </c>
      <c r="AZ91" s="79">
        <v>85.0</v>
      </c>
      <c r="BA91" s="79">
        <v>45.0</v>
      </c>
      <c r="BB91" s="79">
        <v>70.0</v>
      </c>
      <c r="BC91" s="201">
        <v>525.0</v>
      </c>
      <c r="BE91" s="156" t="s">
        <v>162</v>
      </c>
      <c r="BF91" s="113"/>
      <c r="BG91" s="93"/>
      <c r="BI91" s="271" t="s">
        <v>5</v>
      </c>
      <c r="BJ91" s="32" t="s">
        <v>5</v>
      </c>
      <c r="BK91" s="32">
        <v>2.0</v>
      </c>
      <c r="BL91" s="32" t="s">
        <v>5</v>
      </c>
      <c r="BM91" s="32" t="s">
        <v>5</v>
      </c>
      <c r="BN91" s="33" t="s">
        <v>5</v>
      </c>
      <c r="BP91" s="115" t="s">
        <v>32</v>
      </c>
      <c r="BQ91" s="116" t="s">
        <v>120</v>
      </c>
      <c r="BS91" s="115" t="s">
        <v>32</v>
      </c>
      <c r="BT91" s="117" t="s">
        <v>120</v>
      </c>
      <c r="BU91" s="37" t="str">
        <f t="shared" si="1"/>
        <v>#NAME?</v>
      </c>
      <c r="BV91" s="89" t="s">
        <v>32</v>
      </c>
      <c r="BW91" s="37" t="str">
        <f t="shared" si="2"/>
        <v>#NAME?</v>
      </c>
      <c r="BX91" s="89" t="s">
        <v>120</v>
      </c>
      <c r="BY91" s="39"/>
      <c r="BZ91" s="39"/>
      <c r="CA91" s="40" t="s">
        <v>954</v>
      </c>
      <c r="CB91" s="41"/>
      <c r="CC91" s="90" t="s">
        <v>32</v>
      </c>
      <c r="CD91" s="91" t="s">
        <v>120</v>
      </c>
      <c r="CE91" s="2"/>
      <c r="CF91" s="92" t="s">
        <v>981</v>
      </c>
      <c r="CG91" s="93" t="s">
        <v>982</v>
      </c>
      <c r="CH91" s="2"/>
      <c r="CI91" s="240" t="s">
        <v>982</v>
      </c>
      <c r="CJ91" s="241" t="s">
        <v>981</v>
      </c>
      <c r="CK91" s="2"/>
      <c r="CL91" s="22" t="s">
        <v>983</v>
      </c>
      <c r="CM91" s="12"/>
      <c r="CN91" s="48"/>
      <c r="CO91" s="242" t="s">
        <v>981</v>
      </c>
      <c r="CP91" s="2"/>
      <c r="CQ91" s="2" t="s">
        <v>992</v>
      </c>
      <c r="CR91" s="97">
        <v>100.0</v>
      </c>
      <c r="CS91" s="2" t="s">
        <v>162</v>
      </c>
      <c r="CT91" s="98">
        <v>203.0</v>
      </c>
      <c r="CU91" s="2"/>
      <c r="CV91" s="52" t="s">
        <v>149</v>
      </c>
      <c r="CW91" s="52" t="s">
        <v>149</v>
      </c>
      <c r="CX91" s="2"/>
      <c r="CY91" s="119" t="s">
        <v>807</v>
      </c>
      <c r="CZ91" s="160"/>
      <c r="DA91" s="2"/>
      <c r="DB91" s="98">
        <v>60.0</v>
      </c>
      <c r="DC91" s="2"/>
      <c r="DD91" s="101" t="s">
        <v>683</v>
      </c>
      <c r="DE91" s="2"/>
      <c r="DF91" s="120" t="s">
        <v>993</v>
      </c>
      <c r="DG91" s="173" t="s">
        <v>985</v>
      </c>
      <c r="DH91" s="121" t="s">
        <v>986</v>
      </c>
      <c r="DI91" s="2"/>
      <c r="DJ91" s="2"/>
      <c r="DK91" s="59" t="s">
        <v>994</v>
      </c>
      <c r="DL91" s="37" t="s">
        <v>120</v>
      </c>
      <c r="DM91" s="37" t="str">
        <f t="shared" si="3"/>
        <v>#NAME?</v>
      </c>
      <c r="DN91" s="61"/>
      <c r="DO91" s="37">
        <v>40.0</v>
      </c>
      <c r="DP91" s="105">
        <v>1.0</v>
      </c>
      <c r="DQ91" s="62" t="s">
        <v>342</v>
      </c>
      <c r="DR91" s="63"/>
      <c r="DS91" s="198"/>
      <c r="DT91" s="108"/>
      <c r="DU91" s="108"/>
      <c r="DV91" s="182"/>
      <c r="DW91" s="182"/>
      <c r="DX91" s="182"/>
      <c r="DY91" s="182"/>
      <c r="DZ91" s="182"/>
      <c r="EA91" s="182"/>
      <c r="EB91" s="2"/>
      <c r="EC91" s="2"/>
      <c r="ED91" s="2"/>
      <c r="EE91" s="2"/>
      <c r="EF91" s="68" t="s">
        <v>995</v>
      </c>
      <c r="EG91" s="69" t="str">
        <f>image("https://www.pokebip.com/pages/icones/objets/roche-chaude.png", 3)</f>
        <v/>
      </c>
      <c r="EH91" s="69"/>
      <c r="EI91" s="69"/>
    </row>
    <row r="92" ht="15.75" customHeight="1">
      <c r="A92" s="1">
        <v>92.0</v>
      </c>
      <c r="B92" s="2" t="s">
        <v>996</v>
      </c>
      <c r="C92" s="7"/>
      <c r="D92" s="180" t="s">
        <v>997</v>
      </c>
      <c r="E92" s="5"/>
      <c r="F92" s="181"/>
      <c r="G92" s="7"/>
      <c r="H92" s="8" t="s">
        <v>998</v>
      </c>
      <c r="I92" s="9" t="s">
        <v>999</v>
      </c>
      <c r="J92" s="10" t="str">
        <f>image("https://archives.bulbagarden.net/media/upload/e/e1/092MS6.png", 3)</f>
        <v/>
      </c>
      <c r="K92" s="11" t="s">
        <v>997</v>
      </c>
      <c r="L92" s="12"/>
      <c r="M92" s="12"/>
      <c r="N92" s="12"/>
      <c r="O92" s="12"/>
      <c r="Q92" s="71">
        <v>30.0</v>
      </c>
      <c r="R92" s="72">
        <v>35.0</v>
      </c>
      <c r="S92" s="73">
        <v>30.0</v>
      </c>
      <c r="T92" s="74">
        <v>100.0</v>
      </c>
      <c r="U92" s="75">
        <v>35.0</v>
      </c>
      <c r="V92" s="76">
        <v>80.0</v>
      </c>
      <c r="W92" s="77">
        <v>310.0</v>
      </c>
      <c r="X92" s="21"/>
      <c r="Y92" s="71">
        <v>30.0</v>
      </c>
      <c r="Z92" s="72">
        <v>35.0</v>
      </c>
      <c r="AA92" s="73">
        <v>30.0</v>
      </c>
      <c r="AB92" s="74">
        <v>100.0</v>
      </c>
      <c r="AC92" s="75">
        <v>35.0</v>
      </c>
      <c r="AD92" s="76">
        <v>80.0</v>
      </c>
      <c r="AE92" s="77">
        <v>310.0</v>
      </c>
      <c r="AF92" s="21"/>
      <c r="AG92" s="71">
        <v>30.0</v>
      </c>
      <c r="AH92" s="72">
        <v>35.0</v>
      </c>
      <c r="AI92" s="73">
        <v>30.0</v>
      </c>
      <c r="AJ92" s="74">
        <v>100.0</v>
      </c>
      <c r="AK92" s="75">
        <v>35.0</v>
      </c>
      <c r="AL92" s="76">
        <v>80.0</v>
      </c>
      <c r="AM92" s="77">
        <v>310.0</v>
      </c>
      <c r="AN92" s="21"/>
      <c r="AO92" s="22">
        <v>30.0</v>
      </c>
      <c r="AP92" s="23">
        <v>35.0</v>
      </c>
      <c r="AQ92" s="23">
        <v>30.0</v>
      </c>
      <c r="AR92" s="23">
        <v>100.0</v>
      </c>
      <c r="AS92" s="23">
        <v>35.0</v>
      </c>
      <c r="AT92" s="23">
        <v>80.0</v>
      </c>
      <c r="AU92" s="24">
        <v>310.0</v>
      </c>
      <c r="AV92" s="21"/>
      <c r="AW92" s="78">
        <v>30.0</v>
      </c>
      <c r="AX92" s="79">
        <v>35.0</v>
      </c>
      <c r="AY92" s="79">
        <v>30.0</v>
      </c>
      <c r="AZ92" s="79">
        <v>100.0</v>
      </c>
      <c r="BA92" s="79">
        <v>35.0</v>
      </c>
      <c r="BB92" s="79">
        <v>80.0</v>
      </c>
      <c r="BC92" s="201">
        <v>310.0</v>
      </c>
      <c r="BE92" s="82" t="s">
        <v>4</v>
      </c>
      <c r="BF92" s="127"/>
      <c r="BG92" s="128"/>
      <c r="BI92" s="31" t="s">
        <v>5</v>
      </c>
      <c r="BJ92" s="32" t="s">
        <v>5</v>
      </c>
      <c r="BK92" s="32" t="s">
        <v>5</v>
      </c>
      <c r="BL92" s="32">
        <v>1.0</v>
      </c>
      <c r="BM92" s="32" t="s">
        <v>5</v>
      </c>
      <c r="BN92" s="33" t="s">
        <v>5</v>
      </c>
      <c r="BP92" s="85" t="s">
        <v>92</v>
      </c>
      <c r="BQ92" s="86" t="s">
        <v>7</v>
      </c>
      <c r="BS92" s="87" t="s">
        <v>92</v>
      </c>
      <c r="BT92" s="88" t="s">
        <v>7</v>
      </c>
      <c r="BU92" s="37" t="str">
        <f t="shared" si="1"/>
        <v>#NAME?</v>
      </c>
      <c r="BV92" s="89" t="s">
        <v>92</v>
      </c>
      <c r="BW92" s="37" t="str">
        <f t="shared" si="2"/>
        <v>#NAME?</v>
      </c>
      <c r="BX92" s="89" t="s">
        <v>7</v>
      </c>
      <c r="BY92" s="39"/>
      <c r="BZ92" s="39"/>
      <c r="CA92" s="40" t="s">
        <v>1000</v>
      </c>
      <c r="CB92" s="41"/>
      <c r="CC92" s="90" t="s">
        <v>92</v>
      </c>
      <c r="CD92" s="91" t="s">
        <v>7</v>
      </c>
      <c r="CE92" s="2"/>
      <c r="CF92" s="92" t="s">
        <v>1001</v>
      </c>
      <c r="CG92" s="93"/>
      <c r="CH92" s="2"/>
      <c r="CI92" s="175" t="s">
        <v>1001</v>
      </c>
      <c r="CJ92" s="195"/>
      <c r="CK92" s="2"/>
      <c r="CL92" s="22" t="s">
        <v>1001</v>
      </c>
      <c r="CM92" s="12"/>
      <c r="CN92" s="48"/>
      <c r="CO92" s="165"/>
      <c r="CP92" s="2"/>
      <c r="CQ92" s="2" t="s">
        <v>1002</v>
      </c>
      <c r="CR92" s="97">
        <v>20.0</v>
      </c>
      <c r="CS92" s="2" t="s">
        <v>4</v>
      </c>
      <c r="CT92" s="98">
        <v>95.0</v>
      </c>
      <c r="CU92" s="2"/>
      <c r="CV92" s="52" t="s">
        <v>149</v>
      </c>
      <c r="CW92" s="52" t="s">
        <v>149</v>
      </c>
      <c r="CX92" s="2"/>
      <c r="CY92" s="100" t="s">
        <v>964</v>
      </c>
      <c r="CZ92" s="154"/>
      <c r="DA92" s="2"/>
      <c r="DB92" s="98">
        <v>190.0</v>
      </c>
      <c r="DC92" s="2"/>
      <c r="DD92" s="101" t="s">
        <v>15</v>
      </c>
      <c r="DE92" s="2"/>
      <c r="DF92" s="131" t="s">
        <v>1003</v>
      </c>
      <c r="DG92" s="103"/>
      <c r="DH92" s="103"/>
      <c r="DI92" s="21"/>
      <c r="DJ92" s="21"/>
      <c r="DK92" s="59" t="s">
        <v>1004</v>
      </c>
      <c r="DL92" s="37" t="s">
        <v>120</v>
      </c>
      <c r="DM92" s="37" t="str">
        <f t="shared" si="3"/>
        <v>#NAME?</v>
      </c>
      <c r="DN92" s="61"/>
      <c r="DO92" s="37" t="s">
        <v>359</v>
      </c>
      <c r="DP92" s="105">
        <v>1.0</v>
      </c>
      <c r="DQ92" s="62" t="s">
        <v>342</v>
      </c>
      <c r="DR92" s="63"/>
      <c r="DS92" s="198"/>
      <c r="DT92" s="108"/>
      <c r="DU92" s="108"/>
      <c r="DV92" s="182"/>
      <c r="DW92" s="182"/>
      <c r="DX92" s="182"/>
      <c r="DY92" s="182"/>
      <c r="DZ92" s="182"/>
      <c r="EA92" s="182"/>
      <c r="EB92" s="21"/>
      <c r="EC92" s="21"/>
      <c r="ED92" s="21"/>
      <c r="EE92" s="21"/>
      <c r="EF92" s="68" t="s">
        <v>1005</v>
      </c>
      <c r="EG92" s="69" t="str">
        <f>image("https://www.pokebip.com/pages/icones/objets/roche-glace.png", 3)</f>
        <v/>
      </c>
      <c r="EH92" s="69"/>
      <c r="EI92" s="69"/>
    </row>
    <row r="93" ht="15.75" customHeight="1">
      <c r="A93" s="1">
        <v>93.0</v>
      </c>
      <c r="B93" s="2" t="s">
        <v>1006</v>
      </c>
      <c r="C93" s="7"/>
      <c r="D93" s="180" t="s">
        <v>1007</v>
      </c>
      <c r="E93" s="5"/>
      <c r="F93" s="181"/>
      <c r="G93" s="7"/>
      <c r="H93" s="8" t="s">
        <v>1008</v>
      </c>
      <c r="I93" s="9" t="s">
        <v>1009</v>
      </c>
      <c r="J93" s="10" t="str">
        <f>image("https://archives.bulbagarden.net/media/upload/6/64/093MS6.png", 3)</f>
        <v/>
      </c>
      <c r="K93" s="11" t="s">
        <v>1007</v>
      </c>
      <c r="L93" s="12"/>
      <c r="M93" s="12"/>
      <c r="N93" s="12"/>
      <c r="O93" s="12"/>
      <c r="Q93" s="71">
        <v>45.0</v>
      </c>
      <c r="R93" s="72">
        <v>50.0</v>
      </c>
      <c r="S93" s="73">
        <v>45.0</v>
      </c>
      <c r="T93" s="74">
        <v>115.0</v>
      </c>
      <c r="U93" s="75">
        <v>55.0</v>
      </c>
      <c r="V93" s="76">
        <v>95.0</v>
      </c>
      <c r="W93" s="77">
        <v>405.0</v>
      </c>
      <c r="X93" s="21"/>
      <c r="Y93" s="71">
        <v>45.0</v>
      </c>
      <c r="Z93" s="72">
        <v>50.0</v>
      </c>
      <c r="AA93" s="73">
        <v>45.0</v>
      </c>
      <c r="AB93" s="74">
        <v>115.0</v>
      </c>
      <c r="AC93" s="75">
        <v>55.0</v>
      </c>
      <c r="AD93" s="76">
        <v>95.0</v>
      </c>
      <c r="AE93" s="77">
        <v>405.0</v>
      </c>
      <c r="AF93" s="21"/>
      <c r="AG93" s="71">
        <v>45.0</v>
      </c>
      <c r="AH93" s="72">
        <v>50.0</v>
      </c>
      <c r="AI93" s="73">
        <v>45.0</v>
      </c>
      <c r="AJ93" s="74">
        <v>115.0</v>
      </c>
      <c r="AK93" s="75">
        <v>55.0</v>
      </c>
      <c r="AL93" s="76">
        <v>95.0</v>
      </c>
      <c r="AM93" s="77">
        <v>405.0</v>
      </c>
      <c r="AN93" s="21"/>
      <c r="AO93" s="22">
        <v>45.0</v>
      </c>
      <c r="AP93" s="23">
        <v>50.0</v>
      </c>
      <c r="AQ93" s="23">
        <v>45.0</v>
      </c>
      <c r="AR93" s="23">
        <v>115.0</v>
      </c>
      <c r="AS93" s="23">
        <v>55.0</v>
      </c>
      <c r="AT93" s="23">
        <v>95.0</v>
      </c>
      <c r="AU93" s="24">
        <v>405.0</v>
      </c>
      <c r="AV93" s="21"/>
      <c r="AW93" s="78">
        <v>45.0</v>
      </c>
      <c r="AX93" s="79">
        <v>50.0</v>
      </c>
      <c r="AY93" s="79">
        <v>45.0</v>
      </c>
      <c r="AZ93" s="79">
        <v>115.0</v>
      </c>
      <c r="BA93" s="79">
        <v>55.0</v>
      </c>
      <c r="BB93" s="79">
        <v>95.0</v>
      </c>
      <c r="BC93" s="201">
        <v>405.0</v>
      </c>
      <c r="BE93" s="112" t="s">
        <v>42</v>
      </c>
      <c r="BF93" s="113"/>
      <c r="BG93" s="93"/>
      <c r="BI93" s="31" t="s">
        <v>5</v>
      </c>
      <c r="BJ93" s="32" t="s">
        <v>5</v>
      </c>
      <c r="BK93" s="32" t="s">
        <v>5</v>
      </c>
      <c r="BL93" s="32">
        <v>2.0</v>
      </c>
      <c r="BM93" s="32" t="s">
        <v>5</v>
      </c>
      <c r="BN93" s="33" t="s">
        <v>5</v>
      </c>
      <c r="BP93" s="115" t="s">
        <v>92</v>
      </c>
      <c r="BQ93" s="116" t="s">
        <v>7</v>
      </c>
      <c r="BS93" s="115" t="s">
        <v>92</v>
      </c>
      <c r="BT93" s="117" t="s">
        <v>7</v>
      </c>
      <c r="BU93" s="37" t="str">
        <f t="shared" si="1"/>
        <v>#NAME?</v>
      </c>
      <c r="BV93" s="89" t="s">
        <v>92</v>
      </c>
      <c r="BW93" s="37" t="str">
        <f t="shared" si="2"/>
        <v>#NAME?</v>
      </c>
      <c r="BX93" s="89" t="s">
        <v>7</v>
      </c>
      <c r="BY93" s="39"/>
      <c r="BZ93" s="39"/>
      <c r="CA93" s="40" t="s">
        <v>1000</v>
      </c>
      <c r="CB93" s="41"/>
      <c r="CC93" s="90" t="s">
        <v>92</v>
      </c>
      <c r="CD93" s="91" t="s">
        <v>7</v>
      </c>
      <c r="CE93" s="2"/>
      <c r="CF93" s="92" t="s">
        <v>1001</v>
      </c>
      <c r="CG93" s="93"/>
      <c r="CH93" s="2"/>
      <c r="CI93" s="92" t="s">
        <v>1001</v>
      </c>
      <c r="CJ93" s="93"/>
      <c r="CK93" s="2"/>
      <c r="CL93" s="22" t="s">
        <v>1001</v>
      </c>
      <c r="CM93" s="12"/>
      <c r="CN93" s="48"/>
      <c r="CO93" s="95"/>
      <c r="CP93" s="2"/>
      <c r="CQ93" s="2" t="s">
        <v>1002</v>
      </c>
      <c r="CR93" s="97">
        <v>20.0</v>
      </c>
      <c r="CS93" s="2" t="s">
        <v>42</v>
      </c>
      <c r="CT93" s="98">
        <v>126.0</v>
      </c>
      <c r="CU93" s="2"/>
      <c r="CV93" s="52" t="s">
        <v>149</v>
      </c>
      <c r="CW93" s="52" t="s">
        <v>149</v>
      </c>
      <c r="CX93" s="2"/>
      <c r="CY93" s="119" t="s">
        <v>964</v>
      </c>
      <c r="CZ93" s="160"/>
      <c r="DA93" s="2"/>
      <c r="DB93" s="98">
        <v>90.0</v>
      </c>
      <c r="DC93" s="2"/>
      <c r="DD93" s="101" t="s">
        <v>15</v>
      </c>
      <c r="DE93" s="2"/>
      <c r="DF93" s="250" t="s">
        <v>1010</v>
      </c>
      <c r="DG93" s="121"/>
      <c r="DH93" s="121"/>
      <c r="DI93" s="2"/>
      <c r="DJ93" s="2"/>
      <c r="DK93" s="59" t="s">
        <v>1011</v>
      </c>
      <c r="DL93" s="37" t="s">
        <v>95</v>
      </c>
      <c r="DM93" s="37" t="str">
        <f t="shared" si="3"/>
        <v>#NAME?</v>
      </c>
      <c r="DN93" s="61"/>
      <c r="DO93" s="37">
        <v>80.0</v>
      </c>
      <c r="DP93" s="105">
        <v>1.0</v>
      </c>
      <c r="DQ93" s="62" t="s">
        <v>93</v>
      </c>
      <c r="DR93" s="63"/>
      <c r="DS93" s="198"/>
      <c r="DT93" s="108"/>
      <c r="DU93" s="108"/>
      <c r="DV93" s="182"/>
      <c r="DW93" s="182"/>
      <c r="DX93" s="182"/>
      <c r="DY93" s="182"/>
      <c r="DZ93" s="182"/>
      <c r="EA93" s="182"/>
      <c r="EB93" s="2"/>
      <c r="EC93" s="2"/>
      <c r="ED93" s="2"/>
      <c r="EE93" s="2"/>
      <c r="EF93" s="68" t="s">
        <v>1012</v>
      </c>
      <c r="EG93" s="69" t="str">
        <f>image("https://www.pokebip.com/pages/icones/objets/roche-humide.png", 3)</f>
        <v/>
      </c>
      <c r="EH93" s="69"/>
      <c r="EI93" s="69"/>
    </row>
    <row r="94" ht="15.75" customHeight="1">
      <c r="A94" s="1">
        <v>94.0</v>
      </c>
      <c r="B94" s="2" t="s">
        <v>1013</v>
      </c>
      <c r="C94" s="7"/>
      <c r="D94" s="180" t="s">
        <v>1014</v>
      </c>
      <c r="E94" s="5"/>
      <c r="F94" s="181"/>
      <c r="G94" s="7"/>
      <c r="H94" s="8" t="s">
        <v>1015</v>
      </c>
      <c r="I94" s="9" t="s">
        <v>1016</v>
      </c>
      <c r="J94" s="10" t="str">
        <f>image("https://archives.bulbagarden.net/media/upload/8/87/094MS6.png", 3)</f>
        <v/>
      </c>
      <c r="K94" s="11" t="s">
        <v>1014</v>
      </c>
      <c r="L94" s="12"/>
      <c r="M94" s="12"/>
      <c r="N94" s="12"/>
      <c r="O94" s="12"/>
      <c r="Q94" s="71">
        <v>60.0</v>
      </c>
      <c r="R94" s="72">
        <v>65.0</v>
      </c>
      <c r="S94" s="73">
        <v>60.0</v>
      </c>
      <c r="T94" s="74">
        <v>130.0</v>
      </c>
      <c r="U94" s="75">
        <v>75.0</v>
      </c>
      <c r="V94" s="76">
        <v>110.0</v>
      </c>
      <c r="W94" s="77">
        <v>500.0</v>
      </c>
      <c r="X94" s="21"/>
      <c r="Y94" s="71">
        <v>60.0</v>
      </c>
      <c r="Z94" s="72">
        <v>65.0</v>
      </c>
      <c r="AA94" s="73">
        <v>60.0</v>
      </c>
      <c r="AB94" s="74">
        <v>130.0</v>
      </c>
      <c r="AC94" s="75">
        <v>75.0</v>
      </c>
      <c r="AD94" s="76">
        <v>110.0</v>
      </c>
      <c r="AE94" s="77">
        <v>500.0</v>
      </c>
      <c r="AF94" s="21"/>
      <c r="AG94" s="71">
        <v>60.0</v>
      </c>
      <c r="AH94" s="72">
        <v>65.0</v>
      </c>
      <c r="AI94" s="73">
        <v>60.0</v>
      </c>
      <c r="AJ94" s="74">
        <v>130.0</v>
      </c>
      <c r="AK94" s="75">
        <v>75.0</v>
      </c>
      <c r="AL94" s="76">
        <v>110.0</v>
      </c>
      <c r="AM94" s="77">
        <v>500.0</v>
      </c>
      <c r="AN94" s="21"/>
      <c r="AO94" s="22">
        <v>60.0</v>
      </c>
      <c r="AP94" s="23">
        <v>65.0</v>
      </c>
      <c r="AQ94" s="23">
        <v>60.0</v>
      </c>
      <c r="AR94" s="23">
        <v>130.0</v>
      </c>
      <c r="AS94" s="23">
        <v>75.0</v>
      </c>
      <c r="AT94" s="23">
        <v>110.0</v>
      </c>
      <c r="AU94" s="24">
        <v>500.0</v>
      </c>
      <c r="AV94" s="21"/>
      <c r="AW94" s="78">
        <v>60.0</v>
      </c>
      <c r="AX94" s="80">
        <v>65.0</v>
      </c>
      <c r="AY94" s="79">
        <v>60.0</v>
      </c>
      <c r="AZ94" s="79">
        <v>130.0</v>
      </c>
      <c r="BA94" s="79">
        <v>75.0</v>
      </c>
      <c r="BB94" s="80">
        <v>110.0</v>
      </c>
      <c r="BC94" s="81">
        <v>500.0</v>
      </c>
      <c r="BE94" s="112" t="s">
        <v>85</v>
      </c>
      <c r="BF94" s="138"/>
      <c r="BG94" s="128"/>
      <c r="BI94" s="31" t="s">
        <v>5</v>
      </c>
      <c r="BJ94" s="32" t="s">
        <v>5</v>
      </c>
      <c r="BK94" s="32" t="s">
        <v>5</v>
      </c>
      <c r="BL94" s="32">
        <v>3.0</v>
      </c>
      <c r="BM94" s="32" t="s">
        <v>5</v>
      </c>
      <c r="BN94" s="33" t="s">
        <v>5</v>
      </c>
      <c r="BP94" s="85" t="s">
        <v>92</v>
      </c>
      <c r="BQ94" s="86" t="s">
        <v>7</v>
      </c>
      <c r="BS94" s="87" t="s">
        <v>92</v>
      </c>
      <c r="BT94" s="88" t="s">
        <v>7</v>
      </c>
      <c r="BU94" s="37" t="str">
        <f t="shared" si="1"/>
        <v>#NAME?</v>
      </c>
      <c r="BV94" s="89" t="s">
        <v>92</v>
      </c>
      <c r="BW94" s="37" t="str">
        <f t="shared" si="2"/>
        <v>#NAME?</v>
      </c>
      <c r="BX94" s="89" t="s">
        <v>7</v>
      </c>
      <c r="BY94" s="39"/>
      <c r="BZ94" s="39"/>
      <c r="CA94" s="40" t="s">
        <v>1000</v>
      </c>
      <c r="CB94" s="41"/>
      <c r="CC94" s="90" t="s">
        <v>92</v>
      </c>
      <c r="CD94" s="91" t="s">
        <v>7</v>
      </c>
      <c r="CE94" s="2"/>
      <c r="CF94" s="92" t="s">
        <v>1001</v>
      </c>
      <c r="CG94" s="93"/>
      <c r="CH94" s="2"/>
      <c r="CI94" s="92" t="s">
        <v>1001</v>
      </c>
      <c r="CJ94" s="93"/>
      <c r="CK94" s="2"/>
      <c r="CL94" s="22" t="s">
        <v>1001</v>
      </c>
      <c r="CM94" s="12"/>
      <c r="CN94" s="48"/>
      <c r="CO94" s="95"/>
      <c r="CP94" s="2"/>
      <c r="CQ94" s="2" t="s">
        <v>1017</v>
      </c>
      <c r="CR94" s="97">
        <v>60.0</v>
      </c>
      <c r="CS94" s="2" t="s">
        <v>85</v>
      </c>
      <c r="CT94" s="98">
        <v>190.0</v>
      </c>
      <c r="CU94" s="2"/>
      <c r="CV94" s="52" t="s">
        <v>149</v>
      </c>
      <c r="CW94" s="52" t="s">
        <v>149</v>
      </c>
      <c r="CX94" s="2"/>
      <c r="CY94" s="100" t="s">
        <v>964</v>
      </c>
      <c r="CZ94" s="154"/>
      <c r="DA94" s="2"/>
      <c r="DB94" s="98">
        <v>45.0</v>
      </c>
      <c r="DC94" s="2"/>
      <c r="DD94" s="101" t="s">
        <v>15</v>
      </c>
      <c r="DE94" s="2"/>
      <c r="DF94" s="159" t="s">
        <v>1018</v>
      </c>
      <c r="DG94" s="103"/>
      <c r="DH94" s="103"/>
      <c r="DI94" s="2"/>
      <c r="DJ94" s="2"/>
      <c r="DK94" s="59" t="s">
        <v>1019</v>
      </c>
      <c r="DL94" s="37" t="s">
        <v>95</v>
      </c>
      <c r="DM94" s="37" t="str">
        <f t="shared" si="3"/>
        <v>#NAME?</v>
      </c>
      <c r="DN94" s="61"/>
      <c r="DO94" s="37">
        <v>100.0</v>
      </c>
      <c r="DP94" s="105">
        <v>0.75</v>
      </c>
      <c r="DQ94" s="62" t="s">
        <v>93</v>
      </c>
      <c r="DR94" s="63"/>
      <c r="DS94" s="198"/>
      <c r="DT94" s="108"/>
      <c r="DU94" s="108"/>
      <c r="DV94" s="182"/>
      <c r="DW94" s="182"/>
      <c r="DX94" s="182"/>
      <c r="DY94" s="182"/>
      <c r="DZ94" s="182"/>
      <c r="EA94" s="182"/>
      <c r="EB94" s="21"/>
      <c r="EC94" s="21"/>
      <c r="ED94" s="21"/>
      <c r="EE94" s="21"/>
      <c r="EF94" s="68" t="s">
        <v>1020</v>
      </c>
      <c r="EG94" s="69" t="str">
        <f>image("https://www.pokebip.com/pages/icones/objets/roche-lisse.png", 3)</f>
        <v/>
      </c>
      <c r="EH94" s="69"/>
      <c r="EI94" s="69"/>
    </row>
    <row r="95" ht="15.75" customHeight="1">
      <c r="A95" s="1">
        <v>95.0</v>
      </c>
      <c r="B95" s="2" t="s">
        <v>1021</v>
      </c>
      <c r="C95" s="7"/>
      <c r="D95" s="247" t="s">
        <v>1022</v>
      </c>
      <c r="E95" s="5"/>
      <c r="F95" s="248"/>
      <c r="G95" s="7"/>
      <c r="H95" s="8" t="s">
        <v>1023</v>
      </c>
      <c r="I95" s="9" t="s">
        <v>1024</v>
      </c>
      <c r="J95" s="10" t="str">
        <f>image("https://archives.bulbagarden.net/media/upload/3/38/095MS6.png", 3)</f>
        <v/>
      </c>
      <c r="K95" s="11" t="s">
        <v>1022</v>
      </c>
      <c r="L95" s="12"/>
      <c r="M95" s="12"/>
      <c r="N95" s="12"/>
      <c r="O95" s="12"/>
      <c r="Q95" s="71">
        <v>35.0</v>
      </c>
      <c r="R95" s="72">
        <v>45.0</v>
      </c>
      <c r="S95" s="73">
        <v>160.0</v>
      </c>
      <c r="T95" s="74">
        <v>30.0</v>
      </c>
      <c r="U95" s="75">
        <v>45.0</v>
      </c>
      <c r="V95" s="76">
        <v>70.0</v>
      </c>
      <c r="W95" s="77">
        <v>385.0</v>
      </c>
      <c r="X95" s="21"/>
      <c r="Y95" s="71">
        <v>35.0</v>
      </c>
      <c r="Z95" s="72">
        <v>45.0</v>
      </c>
      <c r="AA95" s="73">
        <v>160.0</v>
      </c>
      <c r="AB95" s="74">
        <v>30.0</v>
      </c>
      <c r="AC95" s="75">
        <v>45.0</v>
      </c>
      <c r="AD95" s="76">
        <v>70.0</v>
      </c>
      <c r="AE95" s="77">
        <v>385.0</v>
      </c>
      <c r="AF95" s="21"/>
      <c r="AG95" s="71">
        <v>35.0</v>
      </c>
      <c r="AH95" s="109">
        <v>75.0</v>
      </c>
      <c r="AI95" s="73">
        <v>160.0</v>
      </c>
      <c r="AJ95" s="74">
        <v>30.0</v>
      </c>
      <c r="AK95" s="75">
        <v>45.0</v>
      </c>
      <c r="AL95" s="109">
        <v>80.0</v>
      </c>
      <c r="AM95" s="110">
        <v>425.0</v>
      </c>
      <c r="AN95" s="21"/>
      <c r="AO95" s="22">
        <v>35.0</v>
      </c>
      <c r="AP95" s="23" t="s">
        <v>154</v>
      </c>
      <c r="AQ95" s="23">
        <v>160.0</v>
      </c>
      <c r="AR95" s="23">
        <v>30.0</v>
      </c>
      <c r="AS95" s="23">
        <v>45.0</v>
      </c>
      <c r="AT95" s="23" t="s">
        <v>337</v>
      </c>
      <c r="AU95" s="24" t="s">
        <v>618</v>
      </c>
      <c r="AV95" s="21"/>
      <c r="AW95" s="78">
        <v>35.0</v>
      </c>
      <c r="AX95" s="111">
        <v>75.0</v>
      </c>
      <c r="AY95" s="79">
        <v>160.0</v>
      </c>
      <c r="AZ95" s="79">
        <v>30.0</v>
      </c>
      <c r="BA95" s="79">
        <v>45.0</v>
      </c>
      <c r="BB95" s="111">
        <v>80.0</v>
      </c>
      <c r="BC95" s="111">
        <v>425.0</v>
      </c>
      <c r="BE95" s="142" t="s">
        <v>101</v>
      </c>
      <c r="BF95" s="184"/>
      <c r="BG95" s="128"/>
      <c r="BI95" s="31" t="s">
        <v>5</v>
      </c>
      <c r="BJ95" s="32" t="s">
        <v>5</v>
      </c>
      <c r="BK95" s="32">
        <v>1.0</v>
      </c>
      <c r="BL95" s="32" t="s">
        <v>5</v>
      </c>
      <c r="BM95" s="32" t="s">
        <v>5</v>
      </c>
      <c r="BN95" s="33" t="s">
        <v>5</v>
      </c>
      <c r="BP95" s="115" t="s">
        <v>66</v>
      </c>
      <c r="BQ95" s="116" t="s">
        <v>79</v>
      </c>
      <c r="BS95" s="115" t="s">
        <v>66</v>
      </c>
      <c r="BT95" s="117" t="s">
        <v>79</v>
      </c>
      <c r="BU95" s="37" t="str">
        <f t="shared" si="1"/>
        <v>#NAME?</v>
      </c>
      <c r="BV95" s="89" t="s">
        <v>66</v>
      </c>
      <c r="BW95" s="37" t="str">
        <f t="shared" si="2"/>
        <v>#NAME?</v>
      </c>
      <c r="BX95" s="89" t="s">
        <v>79</v>
      </c>
      <c r="BY95" s="39"/>
      <c r="BZ95" s="39"/>
      <c r="CA95" s="40" t="s">
        <v>823</v>
      </c>
      <c r="CB95" s="41"/>
      <c r="CC95" s="90" t="s">
        <v>66</v>
      </c>
      <c r="CD95" s="91" t="s">
        <v>79</v>
      </c>
      <c r="CE95" s="2"/>
      <c r="CF95" s="92" t="s">
        <v>824</v>
      </c>
      <c r="CG95" s="93" t="s">
        <v>825</v>
      </c>
      <c r="CH95" s="2"/>
      <c r="CI95" s="92" t="s">
        <v>824</v>
      </c>
      <c r="CJ95" s="93" t="s">
        <v>825</v>
      </c>
      <c r="CK95" s="2"/>
      <c r="CL95" s="22" t="s">
        <v>824</v>
      </c>
      <c r="CM95" s="12"/>
      <c r="CN95" s="48"/>
      <c r="CO95" s="96" t="s">
        <v>825</v>
      </c>
      <c r="CP95" s="2"/>
      <c r="CQ95" s="2" t="s">
        <v>1025</v>
      </c>
      <c r="CR95" s="97">
        <v>120.0</v>
      </c>
      <c r="CS95" s="2" t="s">
        <v>101</v>
      </c>
      <c r="CT95" s="98">
        <v>108.0</v>
      </c>
      <c r="CU95" s="2"/>
      <c r="CV95" s="52" t="s">
        <v>149</v>
      </c>
      <c r="CW95" s="52" t="s">
        <v>149</v>
      </c>
      <c r="CX95" s="2"/>
      <c r="CY95" s="119" t="s">
        <v>826</v>
      </c>
      <c r="CZ95" s="160"/>
      <c r="DA95" s="2"/>
      <c r="DB95" s="98">
        <v>45.0</v>
      </c>
      <c r="DC95" s="2"/>
      <c r="DD95" s="101" t="s">
        <v>150</v>
      </c>
      <c r="DE95" s="2"/>
      <c r="DF95" s="253" t="s">
        <v>1026</v>
      </c>
      <c r="DG95" s="121"/>
      <c r="DH95" s="121"/>
      <c r="DI95" s="21"/>
      <c r="DJ95" s="21"/>
      <c r="DK95" s="59" t="s">
        <v>1027</v>
      </c>
      <c r="DL95" s="37" t="s">
        <v>64</v>
      </c>
      <c r="DM95" s="37" t="str">
        <f t="shared" si="3"/>
        <v>#NAME?</v>
      </c>
      <c r="DN95" s="61"/>
      <c r="DO95" s="37" t="s">
        <v>175</v>
      </c>
      <c r="DP95" s="105">
        <v>0.95</v>
      </c>
      <c r="DQ95" s="62" t="s">
        <v>918</v>
      </c>
      <c r="DR95" s="63"/>
      <c r="DS95" s="198"/>
      <c r="DT95" s="108"/>
      <c r="DU95" s="108"/>
      <c r="DV95" s="182"/>
      <c r="DW95" s="182"/>
      <c r="DX95" s="182"/>
      <c r="DY95" s="182"/>
      <c r="DZ95" s="182"/>
      <c r="EA95" s="182"/>
      <c r="EB95" s="2"/>
      <c r="EC95" s="2"/>
      <c r="ED95" s="2"/>
      <c r="EE95" s="2"/>
      <c r="EF95" s="149"/>
      <c r="EG95" s="69" t="str">
        <f>image("", 3)</f>
        <v/>
      </c>
      <c r="EH95" s="69"/>
      <c r="EI95" s="69"/>
    </row>
    <row r="96" ht="15.75" customHeight="1">
      <c r="A96" s="1">
        <v>96.0</v>
      </c>
      <c r="B96" s="2" t="s">
        <v>1028</v>
      </c>
      <c r="C96" s="7"/>
      <c r="D96" s="169" t="s">
        <v>1029</v>
      </c>
      <c r="E96" s="5"/>
      <c r="F96" s="170"/>
      <c r="G96" s="7"/>
      <c r="H96" s="8" t="s">
        <v>1030</v>
      </c>
      <c r="I96" s="9" t="s">
        <v>1031</v>
      </c>
      <c r="J96" s="10" t="str">
        <f>image("https://archives.bulbagarden.net/media/upload/2/22/096MS6.png", 3)</f>
        <v/>
      </c>
      <c r="K96" s="11" t="s">
        <v>1029</v>
      </c>
      <c r="L96" s="12"/>
      <c r="M96" s="12"/>
      <c r="N96" s="12"/>
      <c r="O96" s="12"/>
      <c r="Q96" s="71">
        <v>60.0</v>
      </c>
      <c r="R96" s="72">
        <v>48.0</v>
      </c>
      <c r="S96" s="73">
        <v>45.0</v>
      </c>
      <c r="T96" s="74">
        <v>43.0</v>
      </c>
      <c r="U96" s="75">
        <v>90.0</v>
      </c>
      <c r="V96" s="76">
        <v>42.0</v>
      </c>
      <c r="W96" s="77">
        <v>328.0</v>
      </c>
      <c r="X96" s="21"/>
      <c r="Y96" s="71">
        <v>60.0</v>
      </c>
      <c r="Z96" s="72">
        <v>48.0</v>
      </c>
      <c r="AA96" s="73">
        <v>45.0</v>
      </c>
      <c r="AB96" s="74">
        <v>43.0</v>
      </c>
      <c r="AC96" s="75">
        <v>90.0</v>
      </c>
      <c r="AD96" s="76">
        <v>42.0</v>
      </c>
      <c r="AE96" s="77">
        <v>328.0</v>
      </c>
      <c r="AF96" s="21"/>
      <c r="AG96" s="71">
        <v>60.0</v>
      </c>
      <c r="AH96" s="72">
        <v>48.0</v>
      </c>
      <c r="AI96" s="73">
        <v>45.0</v>
      </c>
      <c r="AJ96" s="74">
        <v>43.0</v>
      </c>
      <c r="AK96" s="75">
        <v>90.0</v>
      </c>
      <c r="AL96" s="76">
        <v>42.0</v>
      </c>
      <c r="AM96" s="77">
        <v>328.0</v>
      </c>
      <c r="AN96" s="21"/>
      <c r="AO96" s="22">
        <v>60.0</v>
      </c>
      <c r="AP96" s="23">
        <v>48.0</v>
      </c>
      <c r="AQ96" s="23">
        <v>45.0</v>
      </c>
      <c r="AR96" s="23">
        <v>43.0</v>
      </c>
      <c r="AS96" s="23">
        <v>90.0</v>
      </c>
      <c r="AT96" s="23">
        <v>42.0</v>
      </c>
      <c r="AU96" s="24">
        <v>328.0</v>
      </c>
      <c r="AV96" s="21"/>
      <c r="AW96" s="78">
        <v>60.0</v>
      </c>
      <c r="AX96" s="124">
        <v>48.0</v>
      </c>
      <c r="AY96" s="79">
        <v>45.0</v>
      </c>
      <c r="AZ96" s="79">
        <v>43.0</v>
      </c>
      <c r="BA96" s="79">
        <v>90.0</v>
      </c>
      <c r="BB96" s="124">
        <v>42.0</v>
      </c>
      <c r="BC96" s="125">
        <v>328.0</v>
      </c>
      <c r="BE96" s="225" t="s">
        <v>27</v>
      </c>
      <c r="BF96" s="127"/>
      <c r="BG96" s="128"/>
      <c r="BI96" s="31" t="s">
        <v>5</v>
      </c>
      <c r="BJ96" s="32" t="s">
        <v>5</v>
      </c>
      <c r="BK96" s="32" t="s">
        <v>5</v>
      </c>
      <c r="BL96" s="32" t="s">
        <v>5</v>
      </c>
      <c r="BM96" s="32">
        <v>1.0</v>
      </c>
      <c r="BN96" s="33" t="s">
        <v>5</v>
      </c>
      <c r="BP96" s="85" t="s">
        <v>122</v>
      </c>
      <c r="BQ96" s="129"/>
      <c r="BS96" s="87" t="s">
        <v>122</v>
      </c>
      <c r="BT96" s="130"/>
      <c r="BU96" s="37" t="str">
        <f t="shared" si="1"/>
        <v>#NAME?</v>
      </c>
      <c r="BV96" s="89" t="s">
        <v>122</v>
      </c>
      <c r="BW96" s="37" t="str">
        <f t="shared" si="2"/>
        <v>#NAME?</v>
      </c>
      <c r="BX96" s="89"/>
      <c r="BY96" s="39"/>
      <c r="BZ96" s="39"/>
      <c r="CA96" s="40" t="s">
        <v>122</v>
      </c>
      <c r="CB96" s="41"/>
      <c r="CC96" s="90" t="s">
        <v>122</v>
      </c>
      <c r="CD96" s="91"/>
      <c r="CE96" s="21"/>
      <c r="CF96" s="92" t="s">
        <v>1032</v>
      </c>
      <c r="CG96" s="93" t="s">
        <v>1033</v>
      </c>
      <c r="CH96" s="21"/>
      <c r="CI96" s="92" t="s">
        <v>1032</v>
      </c>
      <c r="CJ96" s="93" t="s">
        <v>1033</v>
      </c>
      <c r="CK96" s="21"/>
      <c r="CL96" s="22" t="s">
        <v>1032</v>
      </c>
      <c r="CM96" s="12"/>
      <c r="CN96" s="48"/>
      <c r="CO96" s="96" t="s">
        <v>1033</v>
      </c>
      <c r="CP96" s="21"/>
      <c r="CQ96" s="2" t="s">
        <v>1034</v>
      </c>
      <c r="CR96" s="97">
        <v>60.0</v>
      </c>
      <c r="CS96" s="2" t="s">
        <v>27</v>
      </c>
      <c r="CT96" s="98">
        <v>102.0</v>
      </c>
      <c r="CU96" s="2"/>
      <c r="CV96" s="52" t="s">
        <v>149</v>
      </c>
      <c r="CW96" s="52" t="s">
        <v>149</v>
      </c>
      <c r="CX96" s="2"/>
      <c r="CY96" s="100" t="s">
        <v>728</v>
      </c>
      <c r="CZ96" s="154"/>
      <c r="DA96" s="2"/>
      <c r="DB96" s="98">
        <v>190.0</v>
      </c>
      <c r="DC96" s="2"/>
      <c r="DD96" s="101" t="s">
        <v>150</v>
      </c>
      <c r="DE96" s="2"/>
      <c r="DF96" s="131" t="s">
        <v>1035</v>
      </c>
      <c r="DG96" s="103"/>
      <c r="DH96" s="103"/>
      <c r="DI96" s="21"/>
      <c r="DJ96" s="21"/>
      <c r="DK96" s="59" t="s">
        <v>1036</v>
      </c>
      <c r="DL96" s="37" t="s">
        <v>64</v>
      </c>
      <c r="DM96" s="37" t="str">
        <f t="shared" si="3"/>
        <v>#NAME?</v>
      </c>
      <c r="DN96" s="61"/>
      <c r="DO96" s="37">
        <v>50.0</v>
      </c>
      <c r="DP96" s="105">
        <v>1.0</v>
      </c>
      <c r="DQ96" s="62" t="s">
        <v>206</v>
      </c>
      <c r="DR96" s="155"/>
      <c r="DS96" s="251"/>
      <c r="DT96" s="108"/>
      <c r="DU96" s="108"/>
      <c r="DV96" s="252"/>
      <c r="DW96" s="252"/>
      <c r="DX96" s="252"/>
      <c r="DY96" s="252"/>
      <c r="DZ96" s="252"/>
      <c r="EA96" s="252"/>
      <c r="EB96" s="21"/>
      <c r="EC96" s="21"/>
      <c r="ED96" s="21"/>
      <c r="EE96" s="21"/>
      <c r="EF96" s="149" t="s">
        <v>1037</v>
      </c>
      <c r="EG96" s="69" t="str">
        <f>image("https://www.pokebip.com/pages/icones/objets/plaque-ciel.png", 3)</f>
        <v/>
      </c>
      <c r="EH96" s="69"/>
      <c r="EI96" s="69"/>
    </row>
    <row r="97" ht="15.75" customHeight="1">
      <c r="A97" s="1">
        <v>97.0</v>
      </c>
      <c r="B97" s="2" t="s">
        <v>1038</v>
      </c>
      <c r="C97" s="7"/>
      <c r="D97" s="169" t="s">
        <v>1039</v>
      </c>
      <c r="E97" s="5"/>
      <c r="F97" s="170"/>
      <c r="G97" s="7"/>
      <c r="H97" s="8" t="s">
        <v>1040</v>
      </c>
      <c r="I97" s="9" t="s">
        <v>1041</v>
      </c>
      <c r="J97" s="10" t="str">
        <f>image("https://archives.bulbagarden.net/media/upload/2/23/097MS6.png", 3)</f>
        <v/>
      </c>
      <c r="K97" s="11" t="s">
        <v>1039</v>
      </c>
      <c r="L97" s="12"/>
      <c r="M97" s="12"/>
      <c r="N97" s="12"/>
      <c r="O97" s="12"/>
      <c r="Q97" s="71">
        <v>85.0</v>
      </c>
      <c r="R97" s="72">
        <v>73.0</v>
      </c>
      <c r="S97" s="73">
        <v>70.0</v>
      </c>
      <c r="T97" s="74">
        <v>73.0</v>
      </c>
      <c r="U97" s="75">
        <v>115.0</v>
      </c>
      <c r="V97" s="76">
        <v>67.0</v>
      </c>
      <c r="W97" s="77">
        <v>483.0</v>
      </c>
      <c r="X97" s="21"/>
      <c r="Y97" s="71">
        <v>85.0</v>
      </c>
      <c r="Z97" s="72">
        <v>73.0</v>
      </c>
      <c r="AA97" s="73">
        <v>70.0</v>
      </c>
      <c r="AB97" s="74">
        <v>73.0</v>
      </c>
      <c r="AC97" s="75">
        <v>115.0</v>
      </c>
      <c r="AD97" s="76">
        <v>67.0</v>
      </c>
      <c r="AE97" s="77">
        <v>483.0</v>
      </c>
      <c r="AF97" s="21"/>
      <c r="AG97" s="71">
        <v>85.0</v>
      </c>
      <c r="AH97" s="72">
        <v>73.0</v>
      </c>
      <c r="AI97" s="73">
        <v>70.0</v>
      </c>
      <c r="AJ97" s="74">
        <v>73.0</v>
      </c>
      <c r="AK97" s="75">
        <v>115.0</v>
      </c>
      <c r="AL97" s="76">
        <v>67.0</v>
      </c>
      <c r="AM97" s="77">
        <v>483.0</v>
      </c>
      <c r="AN97" s="21"/>
      <c r="AO97" s="22">
        <v>85.0</v>
      </c>
      <c r="AP97" s="23">
        <v>73.0</v>
      </c>
      <c r="AQ97" s="23">
        <v>70.0</v>
      </c>
      <c r="AR97" s="23">
        <v>73.0</v>
      </c>
      <c r="AS97" s="23">
        <v>115.0</v>
      </c>
      <c r="AT97" s="23">
        <v>67.0</v>
      </c>
      <c r="AU97" s="24">
        <v>483.0</v>
      </c>
      <c r="AV97" s="21"/>
      <c r="AW97" s="78">
        <v>85.0</v>
      </c>
      <c r="AX97" s="79">
        <v>73.0</v>
      </c>
      <c r="AY97" s="79">
        <v>70.0</v>
      </c>
      <c r="AZ97" s="79">
        <v>73.0</v>
      </c>
      <c r="BA97" s="79">
        <v>115.0</v>
      </c>
      <c r="BB97" s="79">
        <v>67.0</v>
      </c>
      <c r="BC97" s="201">
        <v>483.0</v>
      </c>
      <c r="BE97" s="150" t="s">
        <v>815</v>
      </c>
      <c r="BF97" s="113"/>
      <c r="BG97" s="93"/>
      <c r="BI97" s="31" t="s">
        <v>5</v>
      </c>
      <c r="BJ97" s="32" t="s">
        <v>5</v>
      </c>
      <c r="BK97" s="32" t="s">
        <v>5</v>
      </c>
      <c r="BL97" s="32" t="s">
        <v>5</v>
      </c>
      <c r="BM97" s="32">
        <v>2.0</v>
      </c>
      <c r="BN97" s="33" t="s">
        <v>5</v>
      </c>
      <c r="BP97" s="115" t="s">
        <v>122</v>
      </c>
      <c r="BQ97" s="93"/>
      <c r="BS97" s="115" t="s">
        <v>122</v>
      </c>
      <c r="BT97" s="133"/>
      <c r="BU97" s="37" t="str">
        <f t="shared" si="1"/>
        <v>#NAME?</v>
      </c>
      <c r="BV97" s="89" t="s">
        <v>122</v>
      </c>
      <c r="BW97" s="37" t="str">
        <f t="shared" si="2"/>
        <v>#NAME?</v>
      </c>
      <c r="BX97" s="89"/>
      <c r="BY97" s="39"/>
      <c r="BZ97" s="39"/>
      <c r="CA97" s="40" t="s">
        <v>122</v>
      </c>
      <c r="CB97" s="41"/>
      <c r="CC97" s="90" t="s">
        <v>122</v>
      </c>
      <c r="CD97" s="91"/>
      <c r="CE97" s="21"/>
      <c r="CF97" s="92" t="s">
        <v>1032</v>
      </c>
      <c r="CG97" s="93" t="s">
        <v>1033</v>
      </c>
      <c r="CH97" s="21"/>
      <c r="CI97" s="92" t="s">
        <v>1032</v>
      </c>
      <c r="CJ97" s="93" t="s">
        <v>1033</v>
      </c>
      <c r="CK97" s="21"/>
      <c r="CL97" s="22" t="s">
        <v>1032</v>
      </c>
      <c r="CM97" s="12"/>
      <c r="CN97" s="48"/>
      <c r="CO97" s="96" t="s">
        <v>1033</v>
      </c>
      <c r="CP97" s="21"/>
      <c r="CQ97" s="2" t="s">
        <v>1042</v>
      </c>
      <c r="CR97" s="97">
        <v>80.0</v>
      </c>
      <c r="CS97" s="2" t="s">
        <v>815</v>
      </c>
      <c r="CT97" s="98">
        <v>165.0</v>
      </c>
      <c r="CU97" s="2"/>
      <c r="CV97" s="52" t="s">
        <v>149</v>
      </c>
      <c r="CW97" s="52" t="s">
        <v>149</v>
      </c>
      <c r="CX97" s="2"/>
      <c r="CY97" s="119" t="s">
        <v>728</v>
      </c>
      <c r="CZ97" s="160"/>
      <c r="DA97" s="2"/>
      <c r="DB97" s="98">
        <v>75.0</v>
      </c>
      <c r="DC97" s="2"/>
      <c r="DD97" s="101" t="s">
        <v>150</v>
      </c>
      <c r="DE97" s="2"/>
      <c r="DF97" s="120" t="s">
        <v>1043</v>
      </c>
      <c r="DG97" s="121"/>
      <c r="DH97" s="121"/>
      <c r="DI97" s="2"/>
      <c r="DJ97" s="2"/>
      <c r="DK97" s="59" t="s">
        <v>1044</v>
      </c>
      <c r="DL97" s="37" t="s">
        <v>76</v>
      </c>
      <c r="DM97" s="37" t="str">
        <f t="shared" si="3"/>
        <v>#NAME?</v>
      </c>
      <c r="DN97" s="61"/>
      <c r="DO97" s="37" t="s">
        <v>247</v>
      </c>
      <c r="DP97" s="105">
        <v>1.0</v>
      </c>
      <c r="DQ97" s="62" t="s">
        <v>20</v>
      </c>
      <c r="DR97" s="63"/>
      <c r="DS97" s="198"/>
      <c r="DT97" s="108"/>
      <c r="DU97" s="108"/>
      <c r="DV97" s="182"/>
      <c r="DW97" s="182"/>
      <c r="DX97" s="182"/>
      <c r="DY97" s="182"/>
      <c r="DZ97" s="182"/>
      <c r="EA97" s="182"/>
      <c r="EB97" s="2"/>
      <c r="EC97" s="2"/>
      <c r="ED97" s="2"/>
      <c r="EE97" s="2"/>
      <c r="EF97" s="149" t="s">
        <v>1045</v>
      </c>
      <c r="EG97" s="69" t="str">
        <f>image("https://www.pokebip.com/pages/icones/objets/plaque-draco.png", 3)</f>
        <v/>
      </c>
      <c r="EH97" s="69"/>
      <c r="EI97" s="69"/>
    </row>
    <row r="98" ht="15.75" customHeight="1">
      <c r="A98" s="1">
        <v>98.0</v>
      </c>
      <c r="B98" s="2" t="s">
        <v>1046</v>
      </c>
      <c r="C98" s="7"/>
      <c r="D98" s="122" t="s">
        <v>1047</v>
      </c>
      <c r="E98" s="5"/>
      <c r="F98" s="123"/>
      <c r="G98" s="7"/>
      <c r="H98" s="8" t="s">
        <v>1048</v>
      </c>
      <c r="I98" s="9" t="s">
        <v>1049</v>
      </c>
      <c r="J98" s="10" t="str">
        <f>image("https://archives.bulbagarden.net/media/upload/7/72/098MS6.png", 3)</f>
        <v/>
      </c>
      <c r="K98" s="11" t="s">
        <v>1047</v>
      </c>
      <c r="L98" s="12"/>
      <c r="M98" s="12"/>
      <c r="N98" s="12"/>
      <c r="O98" s="12"/>
      <c r="Q98" s="71">
        <v>30.0</v>
      </c>
      <c r="R98" s="72">
        <v>105.0</v>
      </c>
      <c r="S98" s="73">
        <v>90.0</v>
      </c>
      <c r="T98" s="74">
        <v>25.0</v>
      </c>
      <c r="U98" s="75">
        <v>25.0</v>
      </c>
      <c r="V98" s="76">
        <v>50.0</v>
      </c>
      <c r="W98" s="77">
        <v>325.0</v>
      </c>
      <c r="X98" s="21"/>
      <c r="Y98" s="71">
        <v>30.0</v>
      </c>
      <c r="Z98" s="72">
        <v>105.0</v>
      </c>
      <c r="AA98" s="73">
        <v>90.0</v>
      </c>
      <c r="AB98" s="74">
        <v>25.0</v>
      </c>
      <c r="AC98" s="75">
        <v>25.0</v>
      </c>
      <c r="AD98" s="76">
        <v>50.0</v>
      </c>
      <c r="AE98" s="77">
        <v>325.0</v>
      </c>
      <c r="AF98" s="21"/>
      <c r="AG98" s="71">
        <v>30.0</v>
      </c>
      <c r="AH98" s="72">
        <v>105.0</v>
      </c>
      <c r="AI98" s="73">
        <v>90.0</v>
      </c>
      <c r="AJ98" s="74">
        <v>25.0</v>
      </c>
      <c r="AK98" s="75">
        <v>25.0</v>
      </c>
      <c r="AL98" s="76">
        <v>50.0</v>
      </c>
      <c r="AM98" s="77">
        <v>325.0</v>
      </c>
      <c r="AN98" s="21"/>
      <c r="AO98" s="22">
        <v>30.0</v>
      </c>
      <c r="AP98" s="23">
        <v>105.0</v>
      </c>
      <c r="AQ98" s="23">
        <v>90.0</v>
      </c>
      <c r="AR98" s="23">
        <v>25.0</v>
      </c>
      <c r="AS98" s="23">
        <v>25.0</v>
      </c>
      <c r="AT98" s="23">
        <v>50.0</v>
      </c>
      <c r="AU98" s="24">
        <v>325.0</v>
      </c>
      <c r="AV98" s="21"/>
      <c r="AW98" s="78">
        <v>30.0</v>
      </c>
      <c r="AX98" s="79">
        <v>105.0</v>
      </c>
      <c r="AY98" s="79">
        <v>90.0</v>
      </c>
      <c r="AZ98" s="79">
        <v>25.0</v>
      </c>
      <c r="BA98" s="79">
        <v>25.0</v>
      </c>
      <c r="BB98" s="79">
        <v>50.0</v>
      </c>
      <c r="BC98" s="201">
        <v>325.0</v>
      </c>
      <c r="BE98" s="194" t="s">
        <v>325</v>
      </c>
      <c r="BF98" s="127"/>
      <c r="BG98" s="128"/>
      <c r="BI98" s="31" t="s">
        <v>5</v>
      </c>
      <c r="BJ98" s="32">
        <v>1.0</v>
      </c>
      <c r="BK98" s="32" t="s">
        <v>5</v>
      </c>
      <c r="BL98" s="32" t="s">
        <v>5</v>
      </c>
      <c r="BM98" s="32" t="s">
        <v>5</v>
      </c>
      <c r="BN98" s="33" t="s">
        <v>5</v>
      </c>
      <c r="BP98" s="85" t="s">
        <v>32</v>
      </c>
      <c r="BQ98" s="129"/>
      <c r="BS98" s="87" t="s">
        <v>32</v>
      </c>
      <c r="BT98" s="130"/>
      <c r="BU98" s="37" t="str">
        <f t="shared" si="1"/>
        <v>#NAME?</v>
      </c>
      <c r="BV98" s="89" t="s">
        <v>32</v>
      </c>
      <c r="BW98" s="37" t="str">
        <f t="shared" si="2"/>
        <v>#NAME?</v>
      </c>
      <c r="BX98" s="89"/>
      <c r="BY98" s="39"/>
      <c r="BZ98" s="39"/>
      <c r="CA98" s="40" t="s">
        <v>32</v>
      </c>
      <c r="CB98" s="41"/>
      <c r="CC98" s="90" t="s">
        <v>32</v>
      </c>
      <c r="CD98" s="91"/>
      <c r="CE98" s="21"/>
      <c r="CF98" s="92" t="s">
        <v>1050</v>
      </c>
      <c r="CG98" s="93" t="s">
        <v>981</v>
      </c>
      <c r="CH98" s="21"/>
      <c r="CI98" s="92" t="s">
        <v>1050</v>
      </c>
      <c r="CJ98" s="93" t="s">
        <v>981</v>
      </c>
      <c r="CK98" s="21"/>
      <c r="CL98" s="22" t="s">
        <v>1050</v>
      </c>
      <c r="CM98" s="12"/>
      <c r="CN98" s="48"/>
      <c r="CO98" s="96" t="s">
        <v>981</v>
      </c>
      <c r="CP98" s="21"/>
      <c r="CQ98" s="2" t="s">
        <v>1051</v>
      </c>
      <c r="CR98" s="97">
        <v>20.0</v>
      </c>
      <c r="CS98" s="2" t="s">
        <v>325</v>
      </c>
      <c r="CT98" s="98">
        <v>115.0</v>
      </c>
      <c r="CU98" s="2"/>
      <c r="CV98" s="52" t="s">
        <v>149</v>
      </c>
      <c r="CW98" s="52" t="s">
        <v>149</v>
      </c>
      <c r="CX98" s="2"/>
      <c r="CY98" s="100" t="s">
        <v>807</v>
      </c>
      <c r="CZ98" s="154"/>
      <c r="DA98" s="2"/>
      <c r="DB98" s="98">
        <v>225.0</v>
      </c>
      <c r="DC98" s="2"/>
      <c r="DD98" s="101" t="s">
        <v>150</v>
      </c>
      <c r="DE98" s="2"/>
      <c r="DF98" s="131" t="s">
        <v>1052</v>
      </c>
      <c r="DG98" s="103"/>
      <c r="DH98" s="103"/>
      <c r="DI98" s="21"/>
      <c r="DJ98" s="21"/>
      <c r="DK98" s="59" t="s">
        <v>1053</v>
      </c>
      <c r="DL98" s="37" t="s">
        <v>156</v>
      </c>
      <c r="DM98" s="37" t="str">
        <f t="shared" si="3"/>
        <v>#NAME?</v>
      </c>
      <c r="DN98" s="61"/>
      <c r="DO98" s="37" t="s">
        <v>1054</v>
      </c>
      <c r="DP98" s="105">
        <v>1.0</v>
      </c>
      <c r="DQ98" s="62" t="s">
        <v>293</v>
      </c>
      <c r="DR98" s="63"/>
      <c r="DS98" s="198"/>
      <c r="DT98" s="108"/>
      <c r="DU98" s="108"/>
      <c r="DV98" s="182"/>
      <c r="DW98" s="182"/>
      <c r="DX98" s="182"/>
      <c r="DY98" s="182"/>
      <c r="DZ98" s="182"/>
      <c r="EA98" s="182"/>
      <c r="EB98" s="2"/>
      <c r="EC98" s="2"/>
      <c r="ED98" s="2"/>
      <c r="EE98" s="2"/>
      <c r="EF98" s="149" t="s">
        <v>1055</v>
      </c>
      <c r="EG98" s="69" t="str">
        <f>image("https://www.pokebip.com/pages/icones/objets/plaque-fantome.png", 3)</f>
        <v/>
      </c>
      <c r="EH98" s="69"/>
      <c r="EI98" s="69"/>
    </row>
    <row r="99" ht="15.75" customHeight="1">
      <c r="A99" s="1">
        <v>99.0</v>
      </c>
      <c r="B99" s="2" t="s">
        <v>1056</v>
      </c>
      <c r="C99" s="7"/>
      <c r="D99" s="122" t="s">
        <v>1057</v>
      </c>
      <c r="E99" s="5"/>
      <c r="F99" s="123"/>
      <c r="G99" s="7"/>
      <c r="H99" s="8" t="s">
        <v>1058</v>
      </c>
      <c r="I99" s="9" t="s">
        <v>1059</v>
      </c>
      <c r="J99" s="10" t="str">
        <f>image("https://archives.bulbagarden.net/media/upload/f/fd/099MS6.png", 3)</f>
        <v/>
      </c>
      <c r="K99" s="11" t="s">
        <v>1057</v>
      </c>
      <c r="L99" s="12"/>
      <c r="M99" s="12"/>
      <c r="N99" s="12"/>
      <c r="O99" s="12"/>
      <c r="Q99" s="71">
        <v>55.0</v>
      </c>
      <c r="R99" s="72">
        <v>130.0</v>
      </c>
      <c r="S99" s="73">
        <v>115.0</v>
      </c>
      <c r="T99" s="74">
        <v>50.0</v>
      </c>
      <c r="U99" s="75">
        <v>50.0</v>
      </c>
      <c r="V99" s="76">
        <v>75.0</v>
      </c>
      <c r="W99" s="77">
        <v>475.0</v>
      </c>
      <c r="X99" s="21"/>
      <c r="Y99" s="71">
        <v>55.0</v>
      </c>
      <c r="Z99" s="72">
        <v>130.0</v>
      </c>
      <c r="AA99" s="73">
        <v>115.0</v>
      </c>
      <c r="AB99" s="74">
        <v>50.0</v>
      </c>
      <c r="AC99" s="75">
        <v>50.0</v>
      </c>
      <c r="AD99" s="76">
        <v>75.0</v>
      </c>
      <c r="AE99" s="77">
        <v>475.0</v>
      </c>
      <c r="AF99" s="21"/>
      <c r="AG99" s="71">
        <v>55.0</v>
      </c>
      <c r="AH99" s="72">
        <v>130.0</v>
      </c>
      <c r="AI99" s="73">
        <v>115.0</v>
      </c>
      <c r="AJ99" s="74">
        <v>50.0</v>
      </c>
      <c r="AK99" s="75">
        <v>50.0</v>
      </c>
      <c r="AL99" s="76">
        <v>75.0</v>
      </c>
      <c r="AM99" s="77">
        <v>475.0</v>
      </c>
      <c r="AN99" s="21"/>
      <c r="AO99" s="22">
        <v>55.0</v>
      </c>
      <c r="AP99" s="23">
        <v>130.0</v>
      </c>
      <c r="AQ99" s="23">
        <v>115.0</v>
      </c>
      <c r="AR99" s="23">
        <v>50.0</v>
      </c>
      <c r="AS99" s="23">
        <v>50.0</v>
      </c>
      <c r="AT99" s="23">
        <v>75.0</v>
      </c>
      <c r="AU99" s="24">
        <v>475.0</v>
      </c>
      <c r="AV99" s="21"/>
      <c r="AW99" s="78">
        <v>55.0</v>
      </c>
      <c r="AX99" s="79">
        <v>130.0</v>
      </c>
      <c r="AY99" s="79">
        <v>115.0</v>
      </c>
      <c r="AZ99" s="79">
        <v>50.0</v>
      </c>
      <c r="BA99" s="79">
        <v>50.0</v>
      </c>
      <c r="BB99" s="79">
        <v>75.0</v>
      </c>
      <c r="BC99" s="201">
        <v>475.0</v>
      </c>
      <c r="BE99" s="172" t="s">
        <v>216</v>
      </c>
      <c r="BF99" s="113"/>
      <c r="BG99" s="93"/>
      <c r="BI99" s="31" t="s">
        <v>5</v>
      </c>
      <c r="BJ99" s="32">
        <v>2.0</v>
      </c>
      <c r="BK99" s="32" t="s">
        <v>5</v>
      </c>
      <c r="BL99" s="32" t="s">
        <v>5</v>
      </c>
      <c r="BM99" s="32" t="s">
        <v>5</v>
      </c>
      <c r="BN99" s="33" t="s">
        <v>5</v>
      </c>
      <c r="BP99" s="115" t="s">
        <v>32</v>
      </c>
      <c r="BQ99" s="93"/>
      <c r="BS99" s="115" t="s">
        <v>32</v>
      </c>
      <c r="BT99" s="133"/>
      <c r="BU99" s="37" t="str">
        <f t="shared" si="1"/>
        <v>#NAME?</v>
      </c>
      <c r="BV99" s="89" t="s">
        <v>32</v>
      </c>
      <c r="BW99" s="37" t="str">
        <f t="shared" si="2"/>
        <v>#NAME?</v>
      </c>
      <c r="BX99" s="89"/>
      <c r="BY99" s="39"/>
      <c r="BZ99" s="39"/>
      <c r="CA99" s="40" t="s">
        <v>32</v>
      </c>
      <c r="CB99" s="41"/>
      <c r="CC99" s="90" t="s">
        <v>32</v>
      </c>
      <c r="CD99" s="91"/>
      <c r="CE99" s="21"/>
      <c r="CF99" s="92" t="s">
        <v>1050</v>
      </c>
      <c r="CG99" s="93" t="s">
        <v>981</v>
      </c>
      <c r="CH99" s="21"/>
      <c r="CI99" s="92" t="s">
        <v>1050</v>
      </c>
      <c r="CJ99" s="93" t="s">
        <v>981</v>
      </c>
      <c r="CK99" s="21"/>
      <c r="CL99" s="22" t="s">
        <v>1050</v>
      </c>
      <c r="CM99" s="12"/>
      <c r="CN99" s="48"/>
      <c r="CO99" s="96" t="s">
        <v>981</v>
      </c>
      <c r="CP99" s="21"/>
      <c r="CQ99" s="2" t="s">
        <v>424</v>
      </c>
      <c r="CR99" s="97">
        <v>80.0</v>
      </c>
      <c r="CS99" s="2" t="s">
        <v>216</v>
      </c>
      <c r="CT99" s="98">
        <v>206.0</v>
      </c>
      <c r="CU99" s="2"/>
      <c r="CV99" s="52" t="s">
        <v>149</v>
      </c>
      <c r="CW99" s="52" t="s">
        <v>149</v>
      </c>
      <c r="CX99" s="2"/>
      <c r="CY99" s="119" t="s">
        <v>807</v>
      </c>
      <c r="CZ99" s="160"/>
      <c r="DA99" s="2"/>
      <c r="DB99" s="98">
        <v>60.0</v>
      </c>
      <c r="DC99" s="2"/>
      <c r="DD99" s="101" t="s">
        <v>150</v>
      </c>
      <c r="DE99" s="2"/>
      <c r="DF99" s="120" t="s">
        <v>1060</v>
      </c>
      <c r="DG99" s="121"/>
      <c r="DH99" s="121"/>
      <c r="DI99" s="2"/>
      <c r="DJ99" s="2"/>
      <c r="DK99" s="59" t="s">
        <v>1061</v>
      </c>
      <c r="DL99" s="37" t="s">
        <v>6</v>
      </c>
      <c r="DM99" s="37" t="str">
        <f t="shared" si="3"/>
        <v>#NAME?</v>
      </c>
      <c r="DN99" s="61"/>
      <c r="DO99" s="37">
        <v>90.0</v>
      </c>
      <c r="DP99" s="105">
        <v>1.0</v>
      </c>
      <c r="DQ99" s="62" t="s">
        <v>93</v>
      </c>
      <c r="DR99" s="63"/>
      <c r="DS99" s="198"/>
      <c r="DT99" s="108"/>
      <c r="DU99" s="108"/>
      <c r="DV99" s="182"/>
      <c r="DW99" s="182"/>
      <c r="DX99" s="182"/>
      <c r="DY99" s="182"/>
      <c r="DZ99" s="182"/>
      <c r="EA99" s="182"/>
      <c r="EB99" s="21"/>
      <c r="EC99" s="21"/>
      <c r="ED99" s="21"/>
      <c r="EE99" s="21"/>
      <c r="EF99" s="149" t="s">
        <v>1062</v>
      </c>
      <c r="EG99" s="69" t="str">
        <f>image("https://www.pokebip.com/pages/icones/objets/plaque-fer.png", 3)</f>
        <v/>
      </c>
      <c r="EH99" s="69"/>
      <c r="EI99" s="69"/>
    </row>
    <row r="100" ht="15.75" customHeight="1">
      <c r="A100" s="1">
        <v>100.0</v>
      </c>
      <c r="B100" s="2" t="s">
        <v>1063</v>
      </c>
      <c r="C100" s="7"/>
      <c r="D100" s="122" t="s">
        <v>1064</v>
      </c>
      <c r="E100" s="5"/>
      <c r="F100" s="123"/>
      <c r="G100" s="7"/>
      <c r="H100" s="8" t="s">
        <v>1065</v>
      </c>
      <c r="I100" s="9" t="s">
        <v>1066</v>
      </c>
      <c r="J100" s="10" t="str">
        <f>image("https://archives.bulbagarden.net/media/upload/2/2e/100MS6.png", 3)</f>
        <v/>
      </c>
      <c r="K100" s="11" t="s">
        <v>1064</v>
      </c>
      <c r="L100" s="12"/>
      <c r="M100" s="12"/>
      <c r="N100" s="12"/>
      <c r="O100" s="12"/>
      <c r="Q100" s="71">
        <v>40.0</v>
      </c>
      <c r="R100" s="72">
        <v>30.0</v>
      </c>
      <c r="S100" s="73">
        <v>50.0</v>
      </c>
      <c r="T100" s="74">
        <v>55.0</v>
      </c>
      <c r="U100" s="75">
        <v>55.0</v>
      </c>
      <c r="V100" s="76">
        <v>100.0</v>
      </c>
      <c r="W100" s="77">
        <v>330.0</v>
      </c>
      <c r="X100" s="21"/>
      <c r="Y100" s="71">
        <v>40.0</v>
      </c>
      <c r="Z100" s="72">
        <v>30.0</v>
      </c>
      <c r="AA100" s="73">
        <v>50.0</v>
      </c>
      <c r="AB100" s="74">
        <v>55.0</v>
      </c>
      <c r="AC100" s="75">
        <v>55.0</v>
      </c>
      <c r="AD100" s="76">
        <v>100.0</v>
      </c>
      <c r="AE100" s="77">
        <v>330.0</v>
      </c>
      <c r="AF100" s="21"/>
      <c r="AG100" s="71">
        <v>40.0</v>
      </c>
      <c r="AH100" s="72">
        <v>30.0</v>
      </c>
      <c r="AI100" s="73">
        <v>50.0</v>
      </c>
      <c r="AJ100" s="74">
        <v>55.0</v>
      </c>
      <c r="AK100" s="75">
        <v>55.0</v>
      </c>
      <c r="AL100" s="76">
        <v>100.0</v>
      </c>
      <c r="AM100" s="77">
        <v>330.0</v>
      </c>
      <c r="AN100" s="21"/>
      <c r="AO100" s="22">
        <v>40.0</v>
      </c>
      <c r="AP100" s="23">
        <v>30.0</v>
      </c>
      <c r="AQ100" s="23">
        <v>50.0</v>
      </c>
      <c r="AR100" s="23">
        <v>55.0</v>
      </c>
      <c r="AS100" s="23">
        <v>55.0</v>
      </c>
      <c r="AT100" s="23">
        <v>100.0</v>
      </c>
      <c r="AU100" s="24">
        <v>330.0</v>
      </c>
      <c r="AV100" s="21"/>
      <c r="AW100" s="78">
        <v>40.0</v>
      </c>
      <c r="AX100" s="79">
        <v>30.0</v>
      </c>
      <c r="AY100" s="79">
        <v>50.0</v>
      </c>
      <c r="AZ100" s="79">
        <v>55.0</v>
      </c>
      <c r="BA100" s="79">
        <v>55.0</v>
      </c>
      <c r="BB100" s="80">
        <v>100.0</v>
      </c>
      <c r="BC100" s="81">
        <v>330.0</v>
      </c>
      <c r="BE100" s="126" t="s">
        <v>56</v>
      </c>
      <c r="BF100" s="127"/>
      <c r="BG100" s="128"/>
      <c r="BI100" s="31" t="s">
        <v>5</v>
      </c>
      <c r="BJ100" s="32" t="s">
        <v>5</v>
      </c>
      <c r="BK100" s="32" t="s">
        <v>5</v>
      </c>
      <c r="BL100" s="32" t="s">
        <v>5</v>
      </c>
      <c r="BM100" s="32" t="s">
        <v>5</v>
      </c>
      <c r="BN100" s="33">
        <v>1.0</v>
      </c>
      <c r="BP100" s="85" t="s">
        <v>197</v>
      </c>
      <c r="BQ100" s="129"/>
      <c r="BS100" s="87" t="s">
        <v>197</v>
      </c>
      <c r="BT100" s="130"/>
      <c r="BU100" s="37" t="str">
        <f t="shared" si="1"/>
        <v>#NAME?</v>
      </c>
      <c r="BV100" s="89" t="s">
        <v>197</v>
      </c>
      <c r="BW100" s="37" t="str">
        <f t="shared" si="2"/>
        <v>#NAME?</v>
      </c>
      <c r="BX100" s="89"/>
      <c r="BY100" s="39"/>
      <c r="BZ100" s="39"/>
      <c r="CA100" s="40" t="s">
        <v>197</v>
      </c>
      <c r="CB100" s="41"/>
      <c r="CC100" s="90" t="s">
        <v>197</v>
      </c>
      <c r="CD100" s="91"/>
      <c r="CE100" s="21"/>
      <c r="CF100" s="92" t="s">
        <v>1067</v>
      </c>
      <c r="CG100" s="93" t="s">
        <v>352</v>
      </c>
      <c r="CH100" s="21"/>
      <c r="CI100" s="92" t="s">
        <v>1067</v>
      </c>
      <c r="CJ100" s="93" t="s">
        <v>352</v>
      </c>
      <c r="CK100" s="21"/>
      <c r="CL100" s="22" t="s">
        <v>1067</v>
      </c>
      <c r="CM100" s="12"/>
      <c r="CN100" s="48"/>
      <c r="CO100" s="96" t="s">
        <v>352</v>
      </c>
      <c r="CP100" s="21"/>
      <c r="CQ100" s="2" t="s">
        <v>1068</v>
      </c>
      <c r="CR100" s="97">
        <v>40.0</v>
      </c>
      <c r="CS100" s="2" t="s">
        <v>56</v>
      </c>
      <c r="CT100" s="98">
        <v>103.0</v>
      </c>
      <c r="CU100" s="2"/>
      <c r="CV100" s="52" t="s">
        <v>149</v>
      </c>
      <c r="CW100" s="52" t="s">
        <v>149</v>
      </c>
      <c r="CX100" s="2"/>
      <c r="CY100" s="260" t="s">
        <v>826</v>
      </c>
      <c r="CZ100" s="154"/>
      <c r="DA100" s="2"/>
      <c r="DB100" s="98">
        <v>190.0</v>
      </c>
      <c r="DC100" s="2"/>
      <c r="DD100" s="101" t="s">
        <v>150</v>
      </c>
      <c r="DE100" s="2"/>
      <c r="DF100" s="131" t="s">
        <v>1069</v>
      </c>
      <c r="DG100" s="103"/>
      <c r="DH100" s="103"/>
      <c r="DI100" s="21"/>
      <c r="DJ100" s="21"/>
      <c r="DK100" s="59" t="s">
        <v>1070</v>
      </c>
      <c r="DL100" s="37" t="s">
        <v>109</v>
      </c>
      <c r="DM100" s="37" t="str">
        <f t="shared" si="3"/>
        <v>#NAME?</v>
      </c>
      <c r="DN100" s="61"/>
      <c r="DO100" s="37" t="s">
        <v>337</v>
      </c>
      <c r="DP100" s="105">
        <v>1.0</v>
      </c>
      <c r="DQ100" s="62" t="s">
        <v>918</v>
      </c>
      <c r="DR100" s="63"/>
      <c r="DS100" s="198"/>
      <c r="DT100" s="108"/>
      <c r="DU100" s="108"/>
      <c r="DV100" s="182"/>
      <c r="DW100" s="182"/>
      <c r="DX100" s="182"/>
      <c r="DY100" s="182"/>
      <c r="DZ100" s="182"/>
      <c r="EA100" s="182"/>
      <c r="EB100" s="2"/>
      <c r="EC100" s="2"/>
      <c r="ED100" s="2"/>
      <c r="EE100" s="2"/>
      <c r="EF100" s="149" t="s">
        <v>1071</v>
      </c>
      <c r="EG100" s="69" t="str">
        <f>image("https://www.pokebip.com/pages/icones/objets/plaque-flamme.png", 3)</f>
        <v/>
      </c>
      <c r="EH100" s="69"/>
      <c r="EI100" s="69"/>
    </row>
    <row r="101" ht="15.75" customHeight="1">
      <c r="A101" s="1">
        <v>101.0</v>
      </c>
      <c r="B101" s="2" t="s">
        <v>1072</v>
      </c>
      <c r="C101" s="7"/>
      <c r="D101" s="122" t="s">
        <v>1073</v>
      </c>
      <c r="E101" s="5"/>
      <c r="F101" s="123"/>
      <c r="G101" s="7"/>
      <c r="H101" s="8" t="s">
        <v>1074</v>
      </c>
      <c r="I101" s="9" t="s">
        <v>1075</v>
      </c>
      <c r="J101" s="10" t="str">
        <f>image("https://archives.bulbagarden.net/media/upload/5/51/101MS6.png", 3)</f>
        <v/>
      </c>
      <c r="K101" s="11" t="s">
        <v>1073</v>
      </c>
      <c r="L101" s="12"/>
      <c r="M101" s="12"/>
      <c r="N101" s="12"/>
      <c r="O101" s="12"/>
      <c r="Q101" s="71">
        <v>60.0</v>
      </c>
      <c r="R101" s="72">
        <v>50.0</v>
      </c>
      <c r="S101" s="73">
        <v>70.0</v>
      </c>
      <c r="T101" s="74">
        <v>80.0</v>
      </c>
      <c r="U101" s="75">
        <v>80.0</v>
      </c>
      <c r="V101" s="76">
        <v>140.0</v>
      </c>
      <c r="W101" s="77">
        <v>480.0</v>
      </c>
      <c r="X101" s="21"/>
      <c r="Y101" s="71">
        <v>60.0</v>
      </c>
      <c r="Z101" s="72">
        <v>50.0</v>
      </c>
      <c r="AA101" s="73">
        <v>70.0</v>
      </c>
      <c r="AB101" s="74">
        <v>80.0</v>
      </c>
      <c r="AC101" s="75">
        <v>80.0</v>
      </c>
      <c r="AD101" s="109">
        <v>150.0</v>
      </c>
      <c r="AE101" s="110">
        <v>490.0</v>
      </c>
      <c r="AF101" s="21"/>
      <c r="AG101" s="71">
        <v>60.0</v>
      </c>
      <c r="AH101" s="72">
        <v>50.0</v>
      </c>
      <c r="AI101" s="73">
        <v>70.0</v>
      </c>
      <c r="AJ101" s="74">
        <v>80.0</v>
      </c>
      <c r="AK101" s="75">
        <v>80.0</v>
      </c>
      <c r="AL101" s="109">
        <v>150.0</v>
      </c>
      <c r="AM101" s="110">
        <v>490.0</v>
      </c>
      <c r="AN101" s="21"/>
      <c r="AO101" s="22">
        <v>60.0</v>
      </c>
      <c r="AP101" s="23">
        <v>50.0</v>
      </c>
      <c r="AQ101" s="23">
        <v>70.0</v>
      </c>
      <c r="AR101" s="23">
        <v>80.0</v>
      </c>
      <c r="AS101" s="23">
        <v>80.0</v>
      </c>
      <c r="AT101" s="23" t="s">
        <v>1076</v>
      </c>
      <c r="AU101" s="24" t="s">
        <v>562</v>
      </c>
      <c r="AV101" s="21"/>
      <c r="AW101" s="78">
        <v>60.0</v>
      </c>
      <c r="AX101" s="79">
        <v>50.0</v>
      </c>
      <c r="AY101" s="79">
        <v>70.0</v>
      </c>
      <c r="AZ101" s="79">
        <v>80.0</v>
      </c>
      <c r="BA101" s="79">
        <v>80.0</v>
      </c>
      <c r="BB101" s="111">
        <v>150.0</v>
      </c>
      <c r="BC101" s="111">
        <v>490.0</v>
      </c>
      <c r="BE101" s="176" t="s">
        <v>248</v>
      </c>
      <c r="BF101" s="113"/>
      <c r="BG101" s="93"/>
      <c r="BI101" s="31" t="s">
        <v>5</v>
      </c>
      <c r="BJ101" s="32" t="s">
        <v>5</v>
      </c>
      <c r="BK101" s="32" t="s">
        <v>5</v>
      </c>
      <c r="BL101" s="32" t="s">
        <v>5</v>
      </c>
      <c r="BM101" s="32" t="s">
        <v>5</v>
      </c>
      <c r="BN101" s="33">
        <v>2.0</v>
      </c>
      <c r="BP101" s="115" t="s">
        <v>197</v>
      </c>
      <c r="BQ101" s="93"/>
      <c r="BS101" s="115" t="s">
        <v>197</v>
      </c>
      <c r="BT101" s="133"/>
      <c r="BU101" s="37" t="str">
        <f t="shared" si="1"/>
        <v>#NAME?</v>
      </c>
      <c r="BV101" s="89" t="s">
        <v>197</v>
      </c>
      <c r="BW101" s="37" t="str">
        <f t="shared" si="2"/>
        <v>#NAME?</v>
      </c>
      <c r="BX101" s="89"/>
      <c r="BY101" s="39"/>
      <c r="BZ101" s="39"/>
      <c r="CA101" s="40" t="s">
        <v>197</v>
      </c>
      <c r="CB101" s="41"/>
      <c r="CC101" s="90" t="s">
        <v>197</v>
      </c>
      <c r="CD101" s="91"/>
      <c r="CE101" s="21"/>
      <c r="CF101" s="92" t="s">
        <v>1067</v>
      </c>
      <c r="CG101" s="93" t="s">
        <v>352</v>
      </c>
      <c r="CH101" s="21"/>
      <c r="CI101" s="92" t="s">
        <v>1067</v>
      </c>
      <c r="CJ101" s="93" t="s">
        <v>352</v>
      </c>
      <c r="CK101" s="21"/>
      <c r="CL101" s="22" t="s">
        <v>1067</v>
      </c>
      <c r="CM101" s="12"/>
      <c r="CN101" s="48"/>
      <c r="CO101" s="96" t="s">
        <v>352</v>
      </c>
      <c r="CP101" s="21"/>
      <c r="CQ101" s="2" t="s">
        <v>1077</v>
      </c>
      <c r="CR101" s="97">
        <v>80.0</v>
      </c>
      <c r="CS101" s="2" t="s">
        <v>248</v>
      </c>
      <c r="CT101" s="98">
        <v>150.0</v>
      </c>
      <c r="CU101" s="2"/>
      <c r="CV101" s="52" t="s">
        <v>149</v>
      </c>
      <c r="CW101" s="52" t="s">
        <v>149</v>
      </c>
      <c r="CX101" s="2"/>
      <c r="CY101" s="257" t="s">
        <v>826</v>
      </c>
      <c r="CZ101" s="160"/>
      <c r="DA101" s="2"/>
      <c r="DB101" s="98">
        <v>60.0</v>
      </c>
      <c r="DC101" s="2"/>
      <c r="DD101" s="101" t="s">
        <v>150</v>
      </c>
      <c r="DE101" s="2"/>
      <c r="DF101" s="120" t="s">
        <v>1078</v>
      </c>
      <c r="DG101" s="121"/>
      <c r="DH101" s="121"/>
      <c r="DI101" s="2"/>
      <c r="DJ101" s="2"/>
      <c r="DK101" s="59" t="s">
        <v>1079</v>
      </c>
      <c r="DL101" s="37" t="s">
        <v>92</v>
      </c>
      <c r="DM101" s="37" t="str">
        <f t="shared" si="3"/>
        <v>#NAME?</v>
      </c>
      <c r="DN101" s="61"/>
      <c r="DO101" s="37" t="s">
        <v>508</v>
      </c>
      <c r="DP101" s="105">
        <v>1.0</v>
      </c>
      <c r="DQ101" s="62" t="s">
        <v>342</v>
      </c>
      <c r="DR101" s="155"/>
      <c r="DS101" s="251"/>
      <c r="DT101" s="108"/>
      <c r="DU101" s="108"/>
      <c r="DV101" s="252"/>
      <c r="DW101" s="252"/>
      <c r="DX101" s="252"/>
      <c r="DY101" s="252"/>
      <c r="DZ101" s="252"/>
      <c r="EA101" s="252"/>
      <c r="EB101" s="21"/>
      <c r="EC101" s="21"/>
      <c r="ED101" s="21"/>
      <c r="EE101" s="21"/>
      <c r="EF101" s="149" t="s">
        <v>1080</v>
      </c>
      <c r="EG101" s="69" t="str">
        <f>image("https://www.pokebip.com/pages/icones/objets/plaque-glace.png", 3)</f>
        <v/>
      </c>
      <c r="EH101" s="69"/>
      <c r="EI101" s="69"/>
    </row>
    <row r="102" ht="15.75" customHeight="1">
      <c r="A102" s="1">
        <v>102.0</v>
      </c>
      <c r="B102" s="2" t="s">
        <v>1081</v>
      </c>
      <c r="C102" s="7"/>
      <c r="D102" s="213" t="s">
        <v>1082</v>
      </c>
      <c r="E102" s="5"/>
      <c r="F102" s="214"/>
      <c r="G102" s="7"/>
      <c r="H102" s="8" t="s">
        <v>1083</v>
      </c>
      <c r="I102" s="9" t="s">
        <v>1084</v>
      </c>
      <c r="J102" s="10" t="str">
        <f>image("https://archives.bulbagarden.net/media/upload/4/46/102MS6.png", 3)</f>
        <v/>
      </c>
      <c r="K102" s="11" t="s">
        <v>1082</v>
      </c>
      <c r="L102" s="12"/>
      <c r="M102" s="12"/>
      <c r="N102" s="12"/>
      <c r="O102" s="12"/>
      <c r="Q102" s="71">
        <v>60.0</v>
      </c>
      <c r="R102" s="72">
        <v>40.0</v>
      </c>
      <c r="S102" s="73">
        <v>80.0</v>
      </c>
      <c r="T102" s="74">
        <v>60.0</v>
      </c>
      <c r="U102" s="75">
        <v>45.0</v>
      </c>
      <c r="V102" s="76">
        <v>40.0</v>
      </c>
      <c r="W102" s="77">
        <v>325.0</v>
      </c>
      <c r="X102" s="21"/>
      <c r="Y102" s="71">
        <v>60.0</v>
      </c>
      <c r="Z102" s="72">
        <v>40.0</v>
      </c>
      <c r="AA102" s="73">
        <v>80.0</v>
      </c>
      <c r="AB102" s="74">
        <v>60.0</v>
      </c>
      <c r="AC102" s="75">
        <v>45.0</v>
      </c>
      <c r="AD102" s="76">
        <v>40.0</v>
      </c>
      <c r="AE102" s="77">
        <v>325.0</v>
      </c>
      <c r="AF102" s="21"/>
      <c r="AG102" s="71">
        <v>60.0</v>
      </c>
      <c r="AH102" s="72">
        <v>40.0</v>
      </c>
      <c r="AI102" s="73">
        <v>80.0</v>
      </c>
      <c r="AJ102" s="74">
        <v>60.0</v>
      </c>
      <c r="AK102" s="75">
        <v>45.0</v>
      </c>
      <c r="AL102" s="76">
        <v>40.0</v>
      </c>
      <c r="AM102" s="77">
        <v>325.0</v>
      </c>
      <c r="AN102" s="21"/>
      <c r="AO102" s="22">
        <v>60.0</v>
      </c>
      <c r="AP102" s="23">
        <v>40.0</v>
      </c>
      <c r="AQ102" s="23">
        <v>80.0</v>
      </c>
      <c r="AR102" s="23">
        <v>60.0</v>
      </c>
      <c r="AS102" s="23">
        <v>45.0</v>
      </c>
      <c r="AT102" s="23">
        <v>40.0</v>
      </c>
      <c r="AU102" s="24">
        <v>325.0</v>
      </c>
      <c r="AV102" s="21"/>
      <c r="AW102" s="78">
        <v>60.0</v>
      </c>
      <c r="AX102" s="79">
        <v>40.0</v>
      </c>
      <c r="AY102" s="79">
        <v>80.0</v>
      </c>
      <c r="AZ102" s="79">
        <v>60.0</v>
      </c>
      <c r="BA102" s="80">
        <v>45.0</v>
      </c>
      <c r="BB102" s="124">
        <v>40.0</v>
      </c>
      <c r="BC102" s="183">
        <v>325.0</v>
      </c>
      <c r="BE102" s="142" t="s">
        <v>101</v>
      </c>
      <c r="BF102" s="127"/>
      <c r="BG102" s="128"/>
      <c r="BI102" s="31" t="s">
        <v>5</v>
      </c>
      <c r="BJ102" s="32" t="s">
        <v>5</v>
      </c>
      <c r="BK102" s="32">
        <v>1.0</v>
      </c>
      <c r="BL102" s="32" t="s">
        <v>5</v>
      </c>
      <c r="BM102" s="32" t="s">
        <v>5</v>
      </c>
      <c r="BN102" s="33" t="s">
        <v>5</v>
      </c>
      <c r="BP102" s="85" t="s">
        <v>6</v>
      </c>
      <c r="BQ102" s="86" t="s">
        <v>122</v>
      </c>
      <c r="BS102" s="87" t="s">
        <v>6</v>
      </c>
      <c r="BT102" s="88" t="s">
        <v>122</v>
      </c>
      <c r="BU102" s="37" t="str">
        <f t="shared" si="1"/>
        <v>#NAME?</v>
      </c>
      <c r="BV102" s="89" t="s">
        <v>6</v>
      </c>
      <c r="BW102" s="37" t="str">
        <f t="shared" si="2"/>
        <v>#NAME?</v>
      </c>
      <c r="BX102" s="89" t="s">
        <v>122</v>
      </c>
      <c r="BY102" s="39"/>
      <c r="BZ102" s="39"/>
      <c r="CA102" s="40" t="s">
        <v>1085</v>
      </c>
      <c r="CB102" s="41"/>
      <c r="CC102" s="90" t="s">
        <v>6</v>
      </c>
      <c r="CD102" s="91" t="s">
        <v>122</v>
      </c>
      <c r="CE102" s="2"/>
      <c r="CF102" s="92" t="s">
        <v>43</v>
      </c>
      <c r="CG102" s="93"/>
      <c r="CH102" s="2"/>
      <c r="CI102" s="92" t="s">
        <v>43</v>
      </c>
      <c r="CJ102" s="93"/>
      <c r="CK102" s="2"/>
      <c r="CL102" s="22" t="s">
        <v>43</v>
      </c>
      <c r="CM102" s="12"/>
      <c r="CN102" s="48"/>
      <c r="CO102" s="95"/>
      <c r="CP102" s="2"/>
      <c r="CQ102" s="2" t="s">
        <v>1086</v>
      </c>
      <c r="CR102" s="97">
        <v>20.0</v>
      </c>
      <c r="CS102" s="2" t="s">
        <v>101</v>
      </c>
      <c r="CT102" s="98">
        <v>98.0</v>
      </c>
      <c r="CU102" s="2"/>
      <c r="CV102" s="52" t="s">
        <v>149</v>
      </c>
      <c r="CW102" s="52" t="s">
        <v>149</v>
      </c>
      <c r="CX102" s="2"/>
      <c r="CY102" s="100" t="s">
        <v>6</v>
      </c>
      <c r="CZ102" s="154"/>
      <c r="DA102" s="2"/>
      <c r="DB102" s="98">
        <v>90.0</v>
      </c>
      <c r="DC102" s="2"/>
      <c r="DD102" s="101" t="s">
        <v>683</v>
      </c>
      <c r="DE102" s="2"/>
      <c r="DF102" s="131" t="s">
        <v>1087</v>
      </c>
      <c r="DG102" s="103"/>
      <c r="DH102" s="103"/>
      <c r="DI102" s="21"/>
      <c r="DJ102" s="21"/>
      <c r="DK102" s="59" t="s">
        <v>1088</v>
      </c>
      <c r="DL102" s="37" t="s">
        <v>64</v>
      </c>
      <c r="DM102" s="37" t="str">
        <f t="shared" si="3"/>
        <v>#NAME?</v>
      </c>
      <c r="DN102" s="61"/>
      <c r="DO102" s="37" t="s">
        <v>19</v>
      </c>
      <c r="DP102" s="105">
        <v>1.0</v>
      </c>
      <c r="DQ102" s="62" t="s">
        <v>20</v>
      </c>
      <c r="DR102" s="63"/>
      <c r="DS102" s="198"/>
      <c r="DT102" s="108"/>
      <c r="DU102" s="108"/>
      <c r="DV102" s="182"/>
      <c r="DW102" s="182"/>
      <c r="DX102" s="182"/>
      <c r="DY102" s="182"/>
      <c r="DZ102" s="182"/>
      <c r="EA102" s="182"/>
      <c r="EB102" s="2"/>
      <c r="EC102" s="2"/>
      <c r="ED102" s="2"/>
      <c r="EE102" s="2"/>
      <c r="EF102" s="149" t="s">
        <v>1089</v>
      </c>
      <c r="EG102" s="69" t="str">
        <f>image("https://www.pokebip.com/pages/icones/objets/plaque-herbe.png", 3)</f>
        <v/>
      </c>
      <c r="EH102" s="69"/>
      <c r="EI102" s="69"/>
    </row>
    <row r="103" ht="15.75" customHeight="1">
      <c r="A103" s="1">
        <v>103.0</v>
      </c>
      <c r="B103" s="2" t="s">
        <v>1090</v>
      </c>
      <c r="C103" s="7"/>
      <c r="D103" s="169" t="s">
        <v>1091</v>
      </c>
      <c r="E103" s="5"/>
      <c r="F103" s="170"/>
      <c r="G103" s="7"/>
      <c r="H103" s="8" t="s">
        <v>1092</v>
      </c>
      <c r="I103" s="9" t="s">
        <v>1093</v>
      </c>
      <c r="J103" s="10" t="str">
        <f>image("https://archives.bulbagarden.net/media/upload/0/0f/103MS6.png", 3)</f>
        <v/>
      </c>
      <c r="K103" s="11" t="s">
        <v>1091</v>
      </c>
      <c r="L103" s="12"/>
      <c r="M103" s="12"/>
      <c r="N103" s="12"/>
      <c r="O103" s="12"/>
      <c r="Q103" s="71">
        <v>95.0</v>
      </c>
      <c r="R103" s="72">
        <v>95.0</v>
      </c>
      <c r="S103" s="73">
        <v>85.0</v>
      </c>
      <c r="T103" s="74">
        <v>125.0</v>
      </c>
      <c r="U103" s="75">
        <v>65.0</v>
      </c>
      <c r="V103" s="76">
        <v>55.0</v>
      </c>
      <c r="W103" s="77">
        <v>520.0</v>
      </c>
      <c r="X103" s="21"/>
      <c r="Y103" s="71">
        <v>95.0</v>
      </c>
      <c r="Z103" s="72">
        <v>95.0</v>
      </c>
      <c r="AA103" s="73">
        <v>85.0</v>
      </c>
      <c r="AB103" s="74">
        <v>125.0</v>
      </c>
      <c r="AC103" s="109">
        <v>75.0</v>
      </c>
      <c r="AD103" s="76">
        <v>55.0</v>
      </c>
      <c r="AE103" s="110">
        <v>530.0</v>
      </c>
      <c r="AF103" s="21"/>
      <c r="AG103" s="71">
        <v>95.0</v>
      </c>
      <c r="AH103" s="72">
        <v>95.0</v>
      </c>
      <c r="AI103" s="73">
        <v>85.0</v>
      </c>
      <c r="AJ103" s="74">
        <v>125.0</v>
      </c>
      <c r="AK103" s="109">
        <v>75.0</v>
      </c>
      <c r="AL103" s="76">
        <v>55.0</v>
      </c>
      <c r="AM103" s="110">
        <v>530.0</v>
      </c>
      <c r="AN103" s="21"/>
      <c r="AO103" s="22">
        <v>95.0</v>
      </c>
      <c r="AP103" s="23">
        <v>95.0</v>
      </c>
      <c r="AQ103" s="23">
        <v>85.0</v>
      </c>
      <c r="AR103" s="23">
        <v>125.0</v>
      </c>
      <c r="AS103" s="23" t="s">
        <v>154</v>
      </c>
      <c r="AT103" s="23">
        <v>55.0</v>
      </c>
      <c r="AU103" s="24" t="s">
        <v>1094</v>
      </c>
      <c r="AV103" s="21"/>
      <c r="AW103" s="78">
        <v>95.0</v>
      </c>
      <c r="AX103" s="79">
        <v>95.0</v>
      </c>
      <c r="AY103" s="79">
        <v>85.0</v>
      </c>
      <c r="AZ103" s="79">
        <v>125.0</v>
      </c>
      <c r="BA103" s="111">
        <v>75.0</v>
      </c>
      <c r="BB103" s="79">
        <v>55.0</v>
      </c>
      <c r="BC103" s="111">
        <v>530.0</v>
      </c>
      <c r="BE103" s="112" t="s">
        <v>42</v>
      </c>
      <c r="BF103" s="113"/>
      <c r="BG103" s="93"/>
      <c r="BI103" s="31" t="s">
        <v>5</v>
      </c>
      <c r="BJ103" s="32" t="s">
        <v>5</v>
      </c>
      <c r="BK103" s="32" t="s">
        <v>5</v>
      </c>
      <c r="BL103" s="32">
        <v>2.0</v>
      </c>
      <c r="BM103" s="32" t="s">
        <v>5</v>
      </c>
      <c r="BN103" s="33" t="s">
        <v>5</v>
      </c>
      <c r="BP103" s="115" t="s">
        <v>6</v>
      </c>
      <c r="BQ103" s="116" t="s">
        <v>122</v>
      </c>
      <c r="BS103" s="115" t="s">
        <v>6</v>
      </c>
      <c r="BT103" s="117" t="s">
        <v>122</v>
      </c>
      <c r="BU103" s="37" t="str">
        <f t="shared" si="1"/>
        <v>#NAME?</v>
      </c>
      <c r="BV103" s="89" t="s">
        <v>6</v>
      </c>
      <c r="BW103" s="37" t="str">
        <f t="shared" si="2"/>
        <v>#NAME?</v>
      </c>
      <c r="BX103" s="89" t="s">
        <v>122</v>
      </c>
      <c r="BY103" s="39"/>
      <c r="BZ103" s="39"/>
      <c r="CA103" s="40" t="s">
        <v>1085</v>
      </c>
      <c r="CB103" s="41"/>
      <c r="CC103" s="90" t="s">
        <v>6</v>
      </c>
      <c r="CD103" s="91" t="s">
        <v>122</v>
      </c>
      <c r="CE103" s="2"/>
      <c r="CF103" s="92" t="s">
        <v>43</v>
      </c>
      <c r="CG103" s="93"/>
      <c r="CH103" s="2"/>
      <c r="CI103" s="92" t="s">
        <v>43</v>
      </c>
      <c r="CJ103" s="93"/>
      <c r="CK103" s="2"/>
      <c r="CL103" s="22" t="s">
        <v>43</v>
      </c>
      <c r="CM103" s="12"/>
      <c r="CN103" s="48"/>
      <c r="CO103" s="95"/>
      <c r="CP103" s="2"/>
      <c r="CQ103" s="2" t="s">
        <v>955</v>
      </c>
      <c r="CR103" s="97">
        <v>100.0</v>
      </c>
      <c r="CS103" s="2" t="s">
        <v>42</v>
      </c>
      <c r="CT103" s="98">
        <v>212.0</v>
      </c>
      <c r="CU103" s="2"/>
      <c r="CV103" s="52" t="s">
        <v>149</v>
      </c>
      <c r="CW103" s="52" t="s">
        <v>149</v>
      </c>
      <c r="CX103" s="2"/>
      <c r="CY103" s="119" t="s">
        <v>6</v>
      </c>
      <c r="CZ103" s="160"/>
      <c r="DA103" s="2"/>
      <c r="DB103" s="98">
        <v>45.0</v>
      </c>
      <c r="DC103" s="2"/>
      <c r="DD103" s="101" t="s">
        <v>683</v>
      </c>
      <c r="DE103" s="2"/>
      <c r="DF103" s="120" t="s">
        <v>1095</v>
      </c>
      <c r="DG103" s="121"/>
      <c r="DH103" s="121"/>
      <c r="DI103" s="2"/>
      <c r="DJ103" s="2"/>
      <c r="DK103" s="59" t="s">
        <v>1096</v>
      </c>
      <c r="DL103" s="37" t="s">
        <v>64</v>
      </c>
      <c r="DM103" s="37" t="str">
        <f t="shared" si="3"/>
        <v>#NAME?</v>
      </c>
      <c r="DN103" s="61"/>
      <c r="DO103" s="37">
        <v>40.0</v>
      </c>
      <c r="DP103" s="105">
        <v>1.0</v>
      </c>
      <c r="DQ103" s="62" t="s">
        <v>342</v>
      </c>
      <c r="DR103" s="63"/>
      <c r="DS103" s="198"/>
      <c r="DT103" s="108"/>
      <c r="DU103" s="108"/>
      <c r="DV103" s="182"/>
      <c r="DW103" s="182"/>
      <c r="DX103" s="182"/>
      <c r="DY103" s="182"/>
      <c r="DZ103" s="182"/>
      <c r="EA103" s="182"/>
      <c r="EB103" s="21"/>
      <c r="EC103" s="21"/>
      <c r="ED103" s="21"/>
      <c r="EE103" s="21"/>
      <c r="EF103" s="149" t="s">
        <v>1097</v>
      </c>
      <c r="EG103" s="69" t="str">
        <f>image("https://www.pokebip.com/pages/icones/objets/plaque-hydro.png", 3)</f>
        <v/>
      </c>
      <c r="EH103" s="69"/>
      <c r="EI103" s="69"/>
    </row>
    <row r="104" ht="15.75" customHeight="1">
      <c r="A104" s="1">
        <v>104.0</v>
      </c>
      <c r="B104" s="2" t="s">
        <v>1098</v>
      </c>
      <c r="C104" s="7"/>
      <c r="D104" s="167" t="s">
        <v>1099</v>
      </c>
      <c r="E104" s="5"/>
      <c r="F104" s="168"/>
      <c r="G104" s="7"/>
      <c r="H104" s="8" t="s">
        <v>1100</v>
      </c>
      <c r="I104" s="9" t="s">
        <v>1101</v>
      </c>
      <c r="J104" s="10" t="str">
        <f>image("https://archives.bulbagarden.net/media/upload/0/05/104MS6.png", 3)</f>
        <v/>
      </c>
      <c r="K104" s="11" t="s">
        <v>1099</v>
      </c>
      <c r="L104" s="12"/>
      <c r="M104" s="12"/>
      <c r="N104" s="12"/>
      <c r="O104" s="12"/>
      <c r="Q104" s="71">
        <v>50.0</v>
      </c>
      <c r="R104" s="72">
        <v>50.0</v>
      </c>
      <c r="S104" s="73">
        <v>95.0</v>
      </c>
      <c r="T104" s="74">
        <v>40.0</v>
      </c>
      <c r="U104" s="75">
        <v>50.0</v>
      </c>
      <c r="V104" s="76">
        <v>35.0</v>
      </c>
      <c r="W104" s="77">
        <v>320.0</v>
      </c>
      <c r="X104" s="21"/>
      <c r="Y104" s="71">
        <v>50.0</v>
      </c>
      <c r="Z104" s="72">
        <v>50.0</v>
      </c>
      <c r="AA104" s="73">
        <v>95.0</v>
      </c>
      <c r="AB104" s="74">
        <v>40.0</v>
      </c>
      <c r="AC104" s="75">
        <v>50.0</v>
      </c>
      <c r="AD104" s="76">
        <v>35.0</v>
      </c>
      <c r="AE104" s="77">
        <v>320.0</v>
      </c>
      <c r="AF104" s="21"/>
      <c r="AG104" s="71">
        <v>50.0</v>
      </c>
      <c r="AH104" s="72">
        <v>50.0</v>
      </c>
      <c r="AI104" s="73">
        <v>95.0</v>
      </c>
      <c r="AJ104" s="74">
        <v>40.0</v>
      </c>
      <c r="AK104" s="75">
        <v>50.0</v>
      </c>
      <c r="AL104" s="76">
        <v>35.0</v>
      </c>
      <c r="AM104" s="77">
        <v>320.0</v>
      </c>
      <c r="AN104" s="21"/>
      <c r="AO104" s="22">
        <v>50.0</v>
      </c>
      <c r="AP104" s="23">
        <v>50.0</v>
      </c>
      <c r="AQ104" s="23">
        <v>95.0</v>
      </c>
      <c r="AR104" s="23">
        <v>40.0</v>
      </c>
      <c r="AS104" s="23">
        <v>50.0</v>
      </c>
      <c r="AT104" s="23">
        <v>35.0</v>
      </c>
      <c r="AU104" s="24">
        <v>320.0</v>
      </c>
      <c r="AV104" s="21"/>
      <c r="AW104" s="78">
        <v>50.0</v>
      </c>
      <c r="AX104" s="79">
        <v>50.0</v>
      </c>
      <c r="AY104" s="79">
        <v>95.0</v>
      </c>
      <c r="AZ104" s="79">
        <v>40.0</v>
      </c>
      <c r="BA104" s="124">
        <v>50.0</v>
      </c>
      <c r="BB104" s="79">
        <v>35.0</v>
      </c>
      <c r="BC104" s="125">
        <v>320.0</v>
      </c>
      <c r="BE104" s="142" t="s">
        <v>101</v>
      </c>
      <c r="BF104" s="127"/>
      <c r="BG104" s="128"/>
      <c r="BI104" s="31" t="s">
        <v>5</v>
      </c>
      <c r="BJ104" s="32" t="s">
        <v>5</v>
      </c>
      <c r="BK104" s="32">
        <v>1.0</v>
      </c>
      <c r="BL104" s="32" t="s">
        <v>5</v>
      </c>
      <c r="BM104" s="32" t="s">
        <v>5</v>
      </c>
      <c r="BN104" s="33" t="s">
        <v>5</v>
      </c>
      <c r="BP104" s="85" t="s">
        <v>79</v>
      </c>
      <c r="BQ104" s="129"/>
      <c r="BS104" s="87" t="s">
        <v>79</v>
      </c>
      <c r="BT104" s="130"/>
      <c r="BU104" s="37" t="str">
        <f t="shared" si="1"/>
        <v>#NAME?</v>
      </c>
      <c r="BV104" s="89" t="s">
        <v>79</v>
      </c>
      <c r="BW104" s="37" t="str">
        <f t="shared" si="2"/>
        <v>#NAME?</v>
      </c>
      <c r="BX104" s="89"/>
      <c r="BY104" s="39"/>
      <c r="BZ104" s="39"/>
      <c r="CA104" s="40" t="s">
        <v>79</v>
      </c>
      <c r="CB104" s="41"/>
      <c r="CC104" s="90" t="s">
        <v>79</v>
      </c>
      <c r="CD104" s="91"/>
      <c r="CE104" s="21"/>
      <c r="CF104" s="92" t="s">
        <v>824</v>
      </c>
      <c r="CG104" s="93" t="s">
        <v>353</v>
      </c>
      <c r="CH104" s="21"/>
      <c r="CI104" s="92" t="s">
        <v>824</v>
      </c>
      <c r="CJ104" s="93" t="s">
        <v>353</v>
      </c>
      <c r="CK104" s="21"/>
      <c r="CL104" s="22" t="s">
        <v>824</v>
      </c>
      <c r="CM104" s="12"/>
      <c r="CN104" s="48"/>
      <c r="CO104" s="96" t="s">
        <v>353</v>
      </c>
      <c r="CP104" s="21"/>
      <c r="CQ104" s="2" t="s">
        <v>1051</v>
      </c>
      <c r="CR104" s="97">
        <v>20.0</v>
      </c>
      <c r="CS104" s="2" t="s">
        <v>101</v>
      </c>
      <c r="CT104" s="98">
        <v>87.0</v>
      </c>
      <c r="CU104" s="2"/>
      <c r="CV104" s="52" t="s">
        <v>149</v>
      </c>
      <c r="CW104" s="52" t="s">
        <v>149</v>
      </c>
      <c r="CX104" s="2"/>
      <c r="CY104" s="100" t="s">
        <v>14</v>
      </c>
      <c r="CZ104" s="154"/>
      <c r="DA104" s="2"/>
      <c r="DB104" s="98">
        <v>190.0</v>
      </c>
      <c r="DC104" s="2"/>
      <c r="DD104" s="101" t="s">
        <v>150</v>
      </c>
      <c r="DE104" s="2"/>
      <c r="DF104" s="131" t="s">
        <v>1102</v>
      </c>
      <c r="DG104" s="166" t="s">
        <v>1103</v>
      </c>
      <c r="DH104" s="103"/>
      <c r="DI104" s="21"/>
      <c r="DJ104" s="21"/>
      <c r="DK104" s="59" t="s">
        <v>1104</v>
      </c>
      <c r="DL104" s="37" t="s">
        <v>95</v>
      </c>
      <c r="DM104" s="37" t="str">
        <f t="shared" si="3"/>
        <v>#NAME?</v>
      </c>
      <c r="DN104" s="61"/>
      <c r="DO104" s="37">
        <v>60.0</v>
      </c>
      <c r="DP104" s="37" t="s">
        <v>19</v>
      </c>
      <c r="DQ104" s="62" t="s">
        <v>20</v>
      </c>
      <c r="DR104" s="63"/>
      <c r="DS104" s="198"/>
      <c r="DT104" s="108"/>
      <c r="DU104" s="108"/>
      <c r="DV104" s="182"/>
      <c r="DW104" s="182"/>
      <c r="DX104" s="182"/>
      <c r="DY104" s="182"/>
      <c r="DZ104" s="182"/>
      <c r="EA104" s="182"/>
      <c r="EB104" s="2"/>
      <c r="EC104" s="2"/>
      <c r="ED104" s="2"/>
      <c r="EE104" s="2"/>
      <c r="EF104" s="149" t="s">
        <v>1105</v>
      </c>
      <c r="EG104" s="69" t="str">
        <f>image("https://www.pokebip.com/pages/icones/objets/plaque-ombre.png", 3)</f>
        <v/>
      </c>
      <c r="EH104" s="69"/>
      <c r="EI104" s="69"/>
    </row>
    <row r="105" ht="15.75" customHeight="1">
      <c r="A105" s="1">
        <v>105.0</v>
      </c>
      <c r="B105" s="2" t="s">
        <v>1106</v>
      </c>
      <c r="C105" s="7"/>
      <c r="D105" s="167" t="s">
        <v>1107</v>
      </c>
      <c r="E105" s="5"/>
      <c r="F105" s="168"/>
      <c r="G105" s="7"/>
      <c r="H105" s="8" t="s">
        <v>1108</v>
      </c>
      <c r="I105" s="9" t="s">
        <v>1109</v>
      </c>
      <c r="J105" s="10" t="str">
        <f>image("https://archives.bulbagarden.net/media/upload/2/2f/105MS6.png", 3)</f>
        <v/>
      </c>
      <c r="K105" s="11" t="s">
        <v>1107</v>
      </c>
      <c r="L105" s="12"/>
      <c r="M105" s="12"/>
      <c r="N105" s="12"/>
      <c r="O105" s="12"/>
      <c r="Q105" s="71">
        <v>60.0</v>
      </c>
      <c r="R105" s="72">
        <v>80.0</v>
      </c>
      <c r="S105" s="73">
        <v>110.0</v>
      </c>
      <c r="T105" s="74">
        <v>50.0</v>
      </c>
      <c r="U105" s="75">
        <v>80.0</v>
      </c>
      <c r="V105" s="76">
        <v>45.0</v>
      </c>
      <c r="W105" s="77">
        <v>425.0</v>
      </c>
      <c r="X105" s="21"/>
      <c r="Y105" s="71">
        <v>60.0</v>
      </c>
      <c r="Z105" s="72">
        <v>80.0</v>
      </c>
      <c r="AA105" s="73">
        <v>110.0</v>
      </c>
      <c r="AB105" s="74">
        <v>50.0</v>
      </c>
      <c r="AC105" s="75">
        <v>80.0</v>
      </c>
      <c r="AD105" s="76">
        <v>45.0</v>
      </c>
      <c r="AE105" s="77">
        <v>425.0</v>
      </c>
      <c r="AF105" s="21"/>
      <c r="AG105" s="71">
        <v>60.0</v>
      </c>
      <c r="AH105" s="72">
        <v>80.0</v>
      </c>
      <c r="AI105" s="73">
        <v>110.0</v>
      </c>
      <c r="AJ105" s="74">
        <v>50.0</v>
      </c>
      <c r="AK105" s="75">
        <v>80.0</v>
      </c>
      <c r="AL105" s="76">
        <v>45.0</v>
      </c>
      <c r="AM105" s="77">
        <v>425.0</v>
      </c>
      <c r="AN105" s="21"/>
      <c r="AO105" s="22">
        <v>60.0</v>
      </c>
      <c r="AP105" s="23">
        <v>80.0</v>
      </c>
      <c r="AQ105" s="23">
        <v>110.0</v>
      </c>
      <c r="AR105" s="23">
        <v>50.0</v>
      </c>
      <c r="AS105" s="23">
        <v>80.0</v>
      </c>
      <c r="AT105" s="23">
        <v>45.0</v>
      </c>
      <c r="AU105" s="24">
        <v>425.0</v>
      </c>
      <c r="AV105" s="21"/>
      <c r="AW105" s="78">
        <v>60.0</v>
      </c>
      <c r="AX105" s="79">
        <v>80.0</v>
      </c>
      <c r="AY105" s="79">
        <v>110.0</v>
      </c>
      <c r="AZ105" s="79">
        <v>50.0</v>
      </c>
      <c r="BA105" s="79">
        <v>80.0</v>
      </c>
      <c r="BB105" s="79">
        <v>45.0</v>
      </c>
      <c r="BC105" s="201">
        <v>425.0</v>
      </c>
      <c r="BE105" s="156" t="s">
        <v>162</v>
      </c>
      <c r="BF105" s="113"/>
      <c r="BG105" s="93"/>
      <c r="BI105" s="31" t="s">
        <v>5</v>
      </c>
      <c r="BJ105" s="32" t="s">
        <v>5</v>
      </c>
      <c r="BK105" s="32">
        <v>2.0</v>
      </c>
      <c r="BL105" s="32" t="s">
        <v>5</v>
      </c>
      <c r="BM105" s="32" t="s">
        <v>5</v>
      </c>
      <c r="BN105" s="33" t="s">
        <v>5</v>
      </c>
      <c r="BP105" s="115" t="s">
        <v>79</v>
      </c>
      <c r="BQ105" s="93"/>
      <c r="BS105" s="115" t="s">
        <v>79</v>
      </c>
      <c r="BT105" s="133"/>
      <c r="BU105" s="37" t="str">
        <f t="shared" si="1"/>
        <v>#NAME?</v>
      </c>
      <c r="BV105" s="89" t="s">
        <v>79</v>
      </c>
      <c r="BW105" s="37" t="str">
        <f t="shared" si="2"/>
        <v>#NAME?</v>
      </c>
      <c r="BX105" s="89"/>
      <c r="BY105" s="39"/>
      <c r="BZ105" s="39"/>
      <c r="CA105" s="40" t="s">
        <v>79</v>
      </c>
      <c r="CB105" s="41"/>
      <c r="CC105" s="90" t="s">
        <v>79</v>
      </c>
      <c r="CD105" s="91"/>
      <c r="CE105" s="21"/>
      <c r="CF105" s="92" t="s">
        <v>824</v>
      </c>
      <c r="CG105" s="93" t="s">
        <v>353</v>
      </c>
      <c r="CH105" s="21"/>
      <c r="CI105" s="177" t="s">
        <v>824</v>
      </c>
      <c r="CJ105" s="188" t="s">
        <v>353</v>
      </c>
      <c r="CK105" s="21"/>
      <c r="CL105" s="22" t="s">
        <v>824</v>
      </c>
      <c r="CM105" s="12"/>
      <c r="CN105" s="48"/>
      <c r="CO105" s="189" t="s">
        <v>353</v>
      </c>
      <c r="CP105" s="21"/>
      <c r="CQ105" s="2" t="s">
        <v>1110</v>
      </c>
      <c r="CR105" s="97">
        <v>60.0</v>
      </c>
      <c r="CS105" s="2" t="s">
        <v>162</v>
      </c>
      <c r="CT105" s="98">
        <v>124.0</v>
      </c>
      <c r="CU105" s="2"/>
      <c r="CV105" s="52" t="s">
        <v>149</v>
      </c>
      <c r="CW105" s="52" t="s">
        <v>149</v>
      </c>
      <c r="CX105" s="2"/>
      <c r="CY105" s="119" t="s">
        <v>14</v>
      </c>
      <c r="CZ105" s="160"/>
      <c r="DA105" s="2"/>
      <c r="DB105" s="98">
        <v>75.0</v>
      </c>
      <c r="DC105" s="2"/>
      <c r="DD105" s="101" t="s">
        <v>150</v>
      </c>
      <c r="DE105" s="2"/>
      <c r="DF105" s="120" t="s">
        <v>1111</v>
      </c>
      <c r="DG105" s="173" t="s">
        <v>1103</v>
      </c>
      <c r="DH105" s="121"/>
      <c r="DI105" s="2"/>
      <c r="DJ105" s="2"/>
      <c r="DK105" s="59" t="s">
        <v>1112</v>
      </c>
      <c r="DL105" s="37" t="s">
        <v>79</v>
      </c>
      <c r="DM105" s="37" t="str">
        <f t="shared" si="3"/>
        <v>#NAME?</v>
      </c>
      <c r="DN105" s="61"/>
      <c r="DO105" s="37" t="s">
        <v>19</v>
      </c>
      <c r="DP105" s="105">
        <v>1.0</v>
      </c>
      <c r="DQ105" s="62" t="s">
        <v>342</v>
      </c>
      <c r="DR105" s="63"/>
      <c r="DS105" s="198"/>
      <c r="DT105" s="108"/>
      <c r="DU105" s="108"/>
      <c r="DV105" s="182"/>
      <c r="DW105" s="182"/>
      <c r="DX105" s="182"/>
      <c r="DY105" s="182"/>
      <c r="DZ105" s="182"/>
      <c r="EA105" s="182"/>
      <c r="EB105" s="21"/>
      <c r="EC105" s="21"/>
      <c r="ED105" s="21"/>
      <c r="EE105" s="21"/>
      <c r="EF105" s="149" t="s">
        <v>1113</v>
      </c>
      <c r="EG105" s="69" t="str">
        <f>image("https://www.pokebip.com/pages/icones/objets/plaque-poing.png", 3)</f>
        <v/>
      </c>
      <c r="EH105" s="69"/>
      <c r="EI105" s="69"/>
    </row>
    <row r="106" ht="15.75" customHeight="1">
      <c r="A106" s="1">
        <v>106.0</v>
      </c>
      <c r="B106" s="2" t="s">
        <v>1114</v>
      </c>
      <c r="C106" s="7"/>
      <c r="D106" s="167" t="s">
        <v>1115</v>
      </c>
      <c r="E106" s="5"/>
      <c r="F106" s="168"/>
      <c r="G106" s="7"/>
      <c r="H106" s="8" t="s">
        <v>1116</v>
      </c>
      <c r="I106" s="9" t="s">
        <v>1117</v>
      </c>
      <c r="J106" s="10" t="str">
        <f>image("https://archives.bulbagarden.net/media/upload/d/d2/106MS6.png", 3)</f>
        <v/>
      </c>
      <c r="K106" s="11" t="s">
        <v>1115</v>
      </c>
      <c r="L106" s="12"/>
      <c r="M106" s="12"/>
      <c r="N106" s="12"/>
      <c r="O106" s="12"/>
      <c r="Q106" s="71">
        <v>50.0</v>
      </c>
      <c r="R106" s="72">
        <v>120.0</v>
      </c>
      <c r="S106" s="73">
        <v>53.0</v>
      </c>
      <c r="T106" s="74">
        <v>35.0</v>
      </c>
      <c r="U106" s="75">
        <v>110.0</v>
      </c>
      <c r="V106" s="76">
        <v>87.0</v>
      </c>
      <c r="W106" s="77">
        <v>455.0</v>
      </c>
      <c r="X106" s="21"/>
      <c r="Y106" s="71">
        <v>50.0</v>
      </c>
      <c r="Z106" s="72">
        <v>120.0</v>
      </c>
      <c r="AA106" s="73">
        <v>53.0</v>
      </c>
      <c r="AB106" s="74">
        <v>35.0</v>
      </c>
      <c r="AC106" s="75">
        <v>110.0</v>
      </c>
      <c r="AD106" s="76">
        <v>87.0</v>
      </c>
      <c r="AE106" s="77">
        <v>455.0</v>
      </c>
      <c r="AF106" s="21"/>
      <c r="AG106" s="71">
        <v>50.0</v>
      </c>
      <c r="AH106" s="72">
        <v>120.0</v>
      </c>
      <c r="AI106" s="73">
        <v>53.0</v>
      </c>
      <c r="AJ106" s="74">
        <v>35.0</v>
      </c>
      <c r="AK106" s="75">
        <v>110.0</v>
      </c>
      <c r="AL106" s="76">
        <v>87.0</v>
      </c>
      <c r="AM106" s="77">
        <v>455.0</v>
      </c>
      <c r="AN106" s="21"/>
      <c r="AO106" s="22">
        <v>50.0</v>
      </c>
      <c r="AP106" s="23">
        <v>120.0</v>
      </c>
      <c r="AQ106" s="23">
        <v>53.0</v>
      </c>
      <c r="AR106" s="23">
        <v>35.0</v>
      </c>
      <c r="AS106" s="23">
        <v>110.0</v>
      </c>
      <c r="AT106" s="23">
        <v>87.0</v>
      </c>
      <c r="AU106" s="24">
        <v>455.0</v>
      </c>
      <c r="AV106" s="21"/>
      <c r="AW106" s="78">
        <v>50.0</v>
      </c>
      <c r="AX106" s="79">
        <v>120.0</v>
      </c>
      <c r="AY106" s="79">
        <v>53.0</v>
      </c>
      <c r="AZ106" s="79">
        <v>35.0</v>
      </c>
      <c r="BA106" s="79">
        <v>110.0</v>
      </c>
      <c r="BB106" s="79">
        <v>87.0</v>
      </c>
      <c r="BC106" s="201">
        <v>455.0</v>
      </c>
      <c r="BE106" s="172" t="s">
        <v>216</v>
      </c>
      <c r="BF106" s="113"/>
      <c r="BG106" s="84"/>
      <c r="BI106" s="31" t="s">
        <v>5</v>
      </c>
      <c r="BJ106" s="32">
        <v>2.0</v>
      </c>
      <c r="BK106" s="32" t="s">
        <v>5</v>
      </c>
      <c r="BL106" s="32" t="s">
        <v>5</v>
      </c>
      <c r="BM106" s="32" t="s">
        <v>5</v>
      </c>
      <c r="BN106" s="33" t="s">
        <v>5</v>
      </c>
      <c r="BP106" s="85" t="s">
        <v>64</v>
      </c>
      <c r="BQ106" s="129"/>
      <c r="BS106" s="87" t="s">
        <v>64</v>
      </c>
      <c r="BT106" s="130"/>
      <c r="BU106" s="37" t="str">
        <f t="shared" si="1"/>
        <v>#NAME?</v>
      </c>
      <c r="BV106" s="89" t="s">
        <v>64</v>
      </c>
      <c r="BW106" s="37" t="str">
        <f t="shared" si="2"/>
        <v>#NAME?</v>
      </c>
      <c r="BX106" s="89"/>
      <c r="BY106" s="39"/>
      <c r="BZ106" s="39"/>
      <c r="CA106" s="40" t="s">
        <v>64</v>
      </c>
      <c r="CB106" s="41"/>
      <c r="CC106" s="90" t="s">
        <v>64</v>
      </c>
      <c r="CD106" s="91"/>
      <c r="CE106" s="21"/>
      <c r="CF106" s="92" t="s">
        <v>639</v>
      </c>
      <c r="CG106" s="93" t="s">
        <v>1118</v>
      </c>
      <c r="CH106" s="21"/>
      <c r="CI106" s="272" t="s">
        <v>1118</v>
      </c>
      <c r="CJ106" s="273" t="s">
        <v>639</v>
      </c>
      <c r="CK106" s="21"/>
      <c r="CL106" s="22" t="s">
        <v>1119</v>
      </c>
      <c r="CM106" s="12"/>
      <c r="CN106" s="48"/>
      <c r="CO106" s="239" t="s">
        <v>639</v>
      </c>
      <c r="CP106" s="21"/>
      <c r="CQ106" s="2" t="s">
        <v>1120</v>
      </c>
      <c r="CR106" s="97">
        <v>60.0</v>
      </c>
      <c r="CS106" s="2" t="s">
        <v>216</v>
      </c>
      <c r="CT106" s="98">
        <v>139.0</v>
      </c>
      <c r="CU106" s="2"/>
      <c r="CV106" s="52" t="s">
        <v>397</v>
      </c>
      <c r="CW106" s="202">
        <v>0.0</v>
      </c>
      <c r="CX106" s="2"/>
      <c r="CY106" s="100" t="s">
        <v>728</v>
      </c>
      <c r="CZ106" s="154"/>
      <c r="DA106" s="2"/>
      <c r="DB106" s="98">
        <v>45.0</v>
      </c>
      <c r="DC106" s="2"/>
      <c r="DD106" s="101" t="s">
        <v>150</v>
      </c>
      <c r="DE106" s="2"/>
      <c r="DF106" s="102" t="s">
        <v>1121</v>
      </c>
      <c r="DG106" s="103"/>
      <c r="DH106" s="103"/>
      <c r="DI106" s="2"/>
      <c r="DJ106" s="2"/>
      <c r="DK106" s="59" t="s">
        <v>1122</v>
      </c>
      <c r="DL106" s="37" t="s">
        <v>156</v>
      </c>
      <c r="DM106" s="37" t="str">
        <f t="shared" si="3"/>
        <v>#NAME?</v>
      </c>
      <c r="DN106" s="61"/>
      <c r="DO106" s="37">
        <v>120.0</v>
      </c>
      <c r="DP106" s="105">
        <v>0.75</v>
      </c>
      <c r="DQ106" s="62" t="s">
        <v>293</v>
      </c>
      <c r="DR106" s="63"/>
      <c r="DS106" s="198"/>
      <c r="DT106" s="108"/>
      <c r="DU106" s="108"/>
      <c r="DV106" s="182"/>
      <c r="DW106" s="182"/>
      <c r="DX106" s="182"/>
      <c r="DY106" s="182"/>
      <c r="DZ106" s="182"/>
      <c r="EA106" s="182"/>
      <c r="EB106" s="2"/>
      <c r="EC106" s="2"/>
      <c r="ED106" s="2"/>
      <c r="EE106" s="2"/>
      <c r="EF106" s="149" t="s">
        <v>1123</v>
      </c>
      <c r="EG106" s="69" t="str">
        <f>image("https://www.pokebip.com/pages/icones/objets/plaque-roc.png", 3)</f>
        <v/>
      </c>
      <c r="EH106" s="69"/>
      <c r="EI106" s="69"/>
    </row>
    <row r="107" ht="15.75" customHeight="1">
      <c r="A107" s="1">
        <v>107.0</v>
      </c>
      <c r="B107" s="2" t="s">
        <v>1124</v>
      </c>
      <c r="C107" s="7"/>
      <c r="D107" s="167" t="s">
        <v>1125</v>
      </c>
      <c r="E107" s="5"/>
      <c r="F107" s="168"/>
      <c r="G107" s="7"/>
      <c r="H107" s="8" t="s">
        <v>1126</v>
      </c>
      <c r="I107" s="9" t="s">
        <v>1127</v>
      </c>
      <c r="J107" s="10" t="str">
        <f>image("https://archives.bulbagarden.net/media/upload/3/33/107MS6.png", 3)</f>
        <v/>
      </c>
      <c r="K107" s="11" t="s">
        <v>1125</v>
      </c>
      <c r="L107" s="12"/>
      <c r="M107" s="12"/>
      <c r="N107" s="12"/>
      <c r="O107" s="12"/>
      <c r="Q107" s="71">
        <v>50.0</v>
      </c>
      <c r="R107" s="72">
        <v>105.0</v>
      </c>
      <c r="S107" s="73">
        <v>79.0</v>
      </c>
      <c r="T107" s="74">
        <v>35.0</v>
      </c>
      <c r="U107" s="75">
        <v>110.0</v>
      </c>
      <c r="V107" s="76">
        <v>76.0</v>
      </c>
      <c r="W107" s="77">
        <v>455.0</v>
      </c>
      <c r="X107" s="21"/>
      <c r="Y107" s="71">
        <v>50.0</v>
      </c>
      <c r="Z107" s="72">
        <v>105.0</v>
      </c>
      <c r="AA107" s="73">
        <v>79.0</v>
      </c>
      <c r="AB107" s="74">
        <v>35.0</v>
      </c>
      <c r="AC107" s="75">
        <v>110.0</v>
      </c>
      <c r="AD107" s="76">
        <v>76.0</v>
      </c>
      <c r="AE107" s="77">
        <v>455.0</v>
      </c>
      <c r="AF107" s="21"/>
      <c r="AG107" s="71">
        <v>50.0</v>
      </c>
      <c r="AH107" s="72">
        <v>105.0</v>
      </c>
      <c r="AI107" s="73">
        <v>79.0</v>
      </c>
      <c r="AJ107" s="74">
        <v>35.0</v>
      </c>
      <c r="AK107" s="75">
        <v>110.0</v>
      </c>
      <c r="AL107" s="76">
        <v>76.0</v>
      </c>
      <c r="AM107" s="77">
        <v>455.0</v>
      </c>
      <c r="AN107" s="21"/>
      <c r="AO107" s="22">
        <v>50.0</v>
      </c>
      <c r="AP107" s="23">
        <v>105.0</v>
      </c>
      <c r="AQ107" s="23">
        <v>79.0</v>
      </c>
      <c r="AR107" s="23">
        <v>35.0</v>
      </c>
      <c r="AS107" s="23">
        <v>110.0</v>
      </c>
      <c r="AT107" s="23">
        <v>76.0</v>
      </c>
      <c r="AU107" s="24">
        <v>455.0</v>
      </c>
      <c r="AV107" s="21"/>
      <c r="AW107" s="78">
        <v>50.0</v>
      </c>
      <c r="AX107" s="79">
        <v>105.0</v>
      </c>
      <c r="AY107" s="79">
        <v>79.0</v>
      </c>
      <c r="AZ107" s="79">
        <v>35.0</v>
      </c>
      <c r="BA107" s="79">
        <v>110.0</v>
      </c>
      <c r="BB107" s="79">
        <v>76.0</v>
      </c>
      <c r="BC107" s="201">
        <v>455.0</v>
      </c>
      <c r="BE107" s="150" t="s">
        <v>815</v>
      </c>
      <c r="BF107" s="113"/>
      <c r="BG107" s="93"/>
      <c r="BI107" s="31" t="s">
        <v>5</v>
      </c>
      <c r="BJ107" s="32" t="s">
        <v>5</v>
      </c>
      <c r="BK107" s="32" t="s">
        <v>5</v>
      </c>
      <c r="BL107" s="32" t="s">
        <v>5</v>
      </c>
      <c r="BM107" s="32">
        <v>2.0</v>
      </c>
      <c r="BN107" s="33" t="s">
        <v>5</v>
      </c>
      <c r="BP107" s="115" t="s">
        <v>64</v>
      </c>
      <c r="BQ107" s="93"/>
      <c r="BS107" s="115" t="s">
        <v>64</v>
      </c>
      <c r="BT107" s="133"/>
      <c r="BU107" s="37" t="str">
        <f t="shared" si="1"/>
        <v>#NAME?</v>
      </c>
      <c r="BV107" s="89" t="s">
        <v>64</v>
      </c>
      <c r="BW107" s="37" t="str">
        <f t="shared" si="2"/>
        <v>#NAME?</v>
      </c>
      <c r="BX107" s="89"/>
      <c r="BY107" s="39"/>
      <c r="BZ107" s="39"/>
      <c r="CA107" s="40" t="s">
        <v>64</v>
      </c>
      <c r="CB107" s="41"/>
      <c r="CC107" s="90" t="s">
        <v>64</v>
      </c>
      <c r="CD107" s="91"/>
      <c r="CE107" s="21"/>
      <c r="CF107" s="92" t="s">
        <v>235</v>
      </c>
      <c r="CG107" s="93" t="s">
        <v>1128</v>
      </c>
      <c r="CH107" s="21"/>
      <c r="CI107" s="274" t="s">
        <v>1128</v>
      </c>
      <c r="CJ107" s="275" t="s">
        <v>235</v>
      </c>
      <c r="CK107" s="21"/>
      <c r="CL107" s="22" t="s">
        <v>1129</v>
      </c>
      <c r="CM107" s="12"/>
      <c r="CN107" s="48"/>
      <c r="CO107" s="242" t="s">
        <v>235</v>
      </c>
      <c r="CP107" s="21"/>
      <c r="CQ107" s="2" t="s">
        <v>1130</v>
      </c>
      <c r="CR107" s="97">
        <v>80.0</v>
      </c>
      <c r="CS107" s="2" t="s">
        <v>815</v>
      </c>
      <c r="CT107" s="98">
        <v>140.0</v>
      </c>
      <c r="CU107" s="2"/>
      <c r="CV107" s="52" t="s">
        <v>397</v>
      </c>
      <c r="CW107" s="202">
        <v>0.0</v>
      </c>
      <c r="CX107" s="2"/>
      <c r="CY107" s="119" t="s">
        <v>728</v>
      </c>
      <c r="CZ107" s="160"/>
      <c r="DA107" s="2"/>
      <c r="DB107" s="98">
        <v>45.0</v>
      </c>
      <c r="DC107" s="2"/>
      <c r="DD107" s="101" t="s">
        <v>150</v>
      </c>
      <c r="DE107" s="2"/>
      <c r="DF107" s="120" t="s">
        <v>1131</v>
      </c>
      <c r="DG107" s="121"/>
      <c r="DH107" s="121"/>
      <c r="DI107" s="2"/>
      <c r="DJ107" s="2"/>
      <c r="DK107" s="59" t="s">
        <v>1132</v>
      </c>
      <c r="DL107" s="37" t="s">
        <v>156</v>
      </c>
      <c r="DM107" s="37" t="str">
        <f t="shared" si="3"/>
        <v>#NAME?</v>
      </c>
      <c r="DN107" s="61"/>
      <c r="DO107" s="37">
        <v>80.0</v>
      </c>
      <c r="DP107" s="105">
        <v>0.85</v>
      </c>
      <c r="DQ107" s="62" t="s">
        <v>20</v>
      </c>
      <c r="DR107" s="63"/>
      <c r="DS107" s="198"/>
      <c r="DT107" s="108"/>
      <c r="DU107" s="108"/>
      <c r="DV107" s="182"/>
      <c r="DW107" s="182"/>
      <c r="DX107" s="182"/>
      <c r="DY107" s="182"/>
      <c r="DZ107" s="182"/>
      <c r="EA107" s="182"/>
      <c r="EB107" s="21"/>
      <c r="EC107" s="21"/>
      <c r="ED107" s="21"/>
      <c r="EE107" s="21"/>
      <c r="EF107" s="149" t="s">
        <v>1133</v>
      </c>
      <c r="EG107" s="69" t="str">
        <f>image("https://www.pokebip.com/pages/icones/objets/plaque-esprit.png", 3)</f>
        <v/>
      </c>
      <c r="EH107" s="69"/>
      <c r="EI107" s="69"/>
    </row>
    <row r="108" ht="15.75" customHeight="1">
      <c r="A108" s="1">
        <v>108.0</v>
      </c>
      <c r="B108" s="2" t="s">
        <v>1134</v>
      </c>
      <c r="C108" s="7"/>
      <c r="D108" s="213" t="s">
        <v>1135</v>
      </c>
      <c r="E108" s="5"/>
      <c r="F108" s="214"/>
      <c r="G108" s="7"/>
      <c r="H108" s="8" t="s">
        <v>1136</v>
      </c>
      <c r="I108" s="9" t="s">
        <v>1137</v>
      </c>
      <c r="J108" s="10" t="str">
        <f>image("https://archives.bulbagarden.net/media/upload/3/34/108MS6.png", 3)</f>
        <v/>
      </c>
      <c r="K108" s="11" t="s">
        <v>1135</v>
      </c>
      <c r="L108" s="12"/>
      <c r="M108" s="12"/>
      <c r="N108" s="12"/>
      <c r="O108" s="12"/>
      <c r="Q108" s="71">
        <v>90.0</v>
      </c>
      <c r="R108" s="72">
        <v>55.0</v>
      </c>
      <c r="S108" s="73">
        <v>75.0</v>
      </c>
      <c r="T108" s="74">
        <v>60.0</v>
      </c>
      <c r="U108" s="75">
        <v>75.0</v>
      </c>
      <c r="V108" s="76">
        <v>30.0</v>
      </c>
      <c r="W108" s="77">
        <v>385.0</v>
      </c>
      <c r="X108" s="21"/>
      <c r="Y108" s="71">
        <v>90.0</v>
      </c>
      <c r="Z108" s="72">
        <v>55.0</v>
      </c>
      <c r="AA108" s="73">
        <v>75.0</v>
      </c>
      <c r="AB108" s="74">
        <v>60.0</v>
      </c>
      <c r="AC108" s="75">
        <v>75.0</v>
      </c>
      <c r="AD108" s="76">
        <v>30.0</v>
      </c>
      <c r="AE108" s="77">
        <v>385.0</v>
      </c>
      <c r="AF108" s="21"/>
      <c r="AG108" s="71">
        <v>90.0</v>
      </c>
      <c r="AH108" s="72">
        <v>55.0</v>
      </c>
      <c r="AI108" s="73">
        <v>75.0</v>
      </c>
      <c r="AJ108" s="74">
        <v>60.0</v>
      </c>
      <c r="AK108" s="75">
        <v>75.0</v>
      </c>
      <c r="AL108" s="76">
        <v>30.0</v>
      </c>
      <c r="AM108" s="77">
        <v>385.0</v>
      </c>
      <c r="AN108" s="21"/>
      <c r="AO108" s="22">
        <v>90.0</v>
      </c>
      <c r="AP108" s="23">
        <v>55.0</v>
      </c>
      <c r="AQ108" s="23">
        <v>75.0</v>
      </c>
      <c r="AR108" s="23">
        <v>60.0</v>
      </c>
      <c r="AS108" s="23">
        <v>75.0</v>
      </c>
      <c r="AT108" s="23">
        <v>30.0</v>
      </c>
      <c r="AU108" s="24">
        <v>385.0</v>
      </c>
      <c r="AV108" s="21"/>
      <c r="AW108" s="78">
        <v>90.0</v>
      </c>
      <c r="AX108" s="79">
        <v>55.0</v>
      </c>
      <c r="AY108" s="79">
        <v>75.0</v>
      </c>
      <c r="AZ108" s="79">
        <v>60.0</v>
      </c>
      <c r="BA108" s="79">
        <v>75.0</v>
      </c>
      <c r="BB108" s="79">
        <v>30.0</v>
      </c>
      <c r="BC108" s="201">
        <v>385.0</v>
      </c>
      <c r="BE108" s="203" t="s">
        <v>409</v>
      </c>
      <c r="BF108" s="113"/>
      <c r="BG108" s="84"/>
      <c r="BI108" s="31">
        <v>2.0</v>
      </c>
      <c r="BJ108" s="32" t="s">
        <v>5</v>
      </c>
      <c r="BK108" s="32" t="s">
        <v>5</v>
      </c>
      <c r="BL108" s="32" t="s">
        <v>5</v>
      </c>
      <c r="BM108" s="32" t="s">
        <v>5</v>
      </c>
      <c r="BN108" s="33" t="s">
        <v>5</v>
      </c>
      <c r="BP108" s="85" t="s">
        <v>156</v>
      </c>
      <c r="BQ108" s="129"/>
      <c r="BS108" s="87" t="s">
        <v>156</v>
      </c>
      <c r="BT108" s="130"/>
      <c r="BU108" s="37" t="str">
        <f t="shared" si="1"/>
        <v>#NAME?</v>
      </c>
      <c r="BV108" s="89" t="s">
        <v>156</v>
      </c>
      <c r="BW108" s="37" t="str">
        <f t="shared" si="2"/>
        <v>#NAME?</v>
      </c>
      <c r="BX108" s="89"/>
      <c r="BY108" s="39"/>
      <c r="BZ108" s="39"/>
      <c r="CA108" s="40" t="s">
        <v>156</v>
      </c>
      <c r="CB108" s="41"/>
      <c r="CC108" s="90" t="s">
        <v>156</v>
      </c>
      <c r="CD108" s="91"/>
      <c r="CE108" s="21"/>
      <c r="CF108" s="92" t="s">
        <v>871</v>
      </c>
      <c r="CG108" s="93" t="s">
        <v>870</v>
      </c>
      <c r="CH108" s="21"/>
      <c r="CI108" s="175" t="s">
        <v>871</v>
      </c>
      <c r="CJ108" s="195" t="s">
        <v>870</v>
      </c>
      <c r="CK108" s="21"/>
      <c r="CL108" s="22" t="s">
        <v>871</v>
      </c>
      <c r="CM108" s="12"/>
      <c r="CN108" s="48"/>
      <c r="CO108" s="196" t="s">
        <v>870</v>
      </c>
      <c r="CP108" s="21"/>
      <c r="CQ108" s="2" t="s">
        <v>1138</v>
      </c>
      <c r="CR108" s="97">
        <v>80.0</v>
      </c>
      <c r="CS108" s="2" t="s">
        <v>409</v>
      </c>
      <c r="CT108" s="98">
        <v>127.0</v>
      </c>
      <c r="CU108" s="2"/>
      <c r="CV108" s="52" t="s">
        <v>149</v>
      </c>
      <c r="CW108" s="52" t="s">
        <v>149</v>
      </c>
      <c r="CX108" s="2"/>
      <c r="CY108" s="100" t="s">
        <v>14</v>
      </c>
      <c r="CZ108" s="154"/>
      <c r="DA108" s="2"/>
      <c r="DB108" s="98">
        <v>45.0</v>
      </c>
      <c r="DC108" s="2"/>
      <c r="DD108" s="101" t="s">
        <v>150</v>
      </c>
      <c r="DE108" s="2"/>
      <c r="DF108" s="131" t="s">
        <v>1139</v>
      </c>
      <c r="DG108" s="166" t="s">
        <v>874</v>
      </c>
      <c r="DH108" s="103"/>
      <c r="DI108" s="21"/>
      <c r="DJ108" s="21"/>
      <c r="DK108" s="59" t="s">
        <v>1140</v>
      </c>
      <c r="DL108" s="37" t="s">
        <v>109</v>
      </c>
      <c r="DM108" s="37" t="str">
        <f t="shared" si="3"/>
        <v>#NAME?</v>
      </c>
      <c r="DN108" s="61"/>
      <c r="DO108" s="37">
        <v>120.0</v>
      </c>
      <c r="DP108" s="105">
        <v>0.85</v>
      </c>
      <c r="DQ108" s="62" t="s">
        <v>49</v>
      </c>
      <c r="DR108" s="63"/>
      <c r="DS108" s="198"/>
      <c r="DT108" s="108"/>
      <c r="DU108" s="108"/>
      <c r="DV108" s="182"/>
      <c r="DW108" s="182"/>
      <c r="DX108" s="182"/>
      <c r="DY108" s="182"/>
      <c r="DZ108" s="182"/>
      <c r="EA108" s="182"/>
      <c r="EB108" s="2"/>
      <c r="EC108" s="2"/>
      <c r="ED108" s="2"/>
      <c r="EE108" s="2"/>
      <c r="EF108" s="149" t="s">
        <v>1141</v>
      </c>
      <c r="EG108" s="69" t="str">
        <f>image("https://www.pokebip.com/pages/icones/objets/plaque-terre.png", 3)</f>
        <v/>
      </c>
      <c r="EH108" s="69"/>
      <c r="EI108" s="69"/>
    </row>
    <row r="109" ht="15.75" customHeight="1">
      <c r="A109" s="1">
        <v>109.0</v>
      </c>
      <c r="B109" s="2" t="s">
        <v>1142</v>
      </c>
      <c r="C109" s="7"/>
      <c r="D109" s="180" t="s">
        <v>1143</v>
      </c>
      <c r="E109" s="5"/>
      <c r="F109" s="181"/>
      <c r="G109" s="7"/>
      <c r="H109" s="8" t="s">
        <v>1144</v>
      </c>
      <c r="I109" s="9" t="s">
        <v>1145</v>
      </c>
      <c r="J109" s="10" t="str">
        <f>image("https://archives.bulbagarden.net/media/upload/1/17/109MS6.png", 3)</f>
        <v/>
      </c>
      <c r="K109" s="11" t="s">
        <v>1143</v>
      </c>
      <c r="L109" s="12"/>
      <c r="M109" s="12"/>
      <c r="N109" s="12"/>
      <c r="O109" s="12"/>
      <c r="Q109" s="71">
        <v>40.0</v>
      </c>
      <c r="R109" s="72">
        <v>65.0</v>
      </c>
      <c r="S109" s="73">
        <v>95.0</v>
      </c>
      <c r="T109" s="74">
        <v>60.0</v>
      </c>
      <c r="U109" s="75">
        <v>45.0</v>
      </c>
      <c r="V109" s="76">
        <v>35.0</v>
      </c>
      <c r="W109" s="77">
        <v>340.0</v>
      </c>
      <c r="X109" s="21"/>
      <c r="Y109" s="71">
        <v>40.0</v>
      </c>
      <c r="Z109" s="72">
        <v>65.0</v>
      </c>
      <c r="AA109" s="73">
        <v>95.0</v>
      </c>
      <c r="AB109" s="74">
        <v>60.0</v>
      </c>
      <c r="AC109" s="75">
        <v>45.0</v>
      </c>
      <c r="AD109" s="76">
        <v>35.0</v>
      </c>
      <c r="AE109" s="77">
        <v>340.0</v>
      </c>
      <c r="AF109" s="21"/>
      <c r="AG109" s="71">
        <v>40.0</v>
      </c>
      <c r="AH109" s="72">
        <v>65.0</v>
      </c>
      <c r="AI109" s="73">
        <v>95.0</v>
      </c>
      <c r="AJ109" s="74">
        <v>60.0</v>
      </c>
      <c r="AK109" s="75">
        <v>45.0</v>
      </c>
      <c r="AL109" s="76">
        <v>35.0</v>
      </c>
      <c r="AM109" s="77">
        <v>340.0</v>
      </c>
      <c r="AN109" s="21"/>
      <c r="AO109" s="22">
        <v>40.0</v>
      </c>
      <c r="AP109" s="23">
        <v>65.0</v>
      </c>
      <c r="AQ109" s="23">
        <v>95.0</v>
      </c>
      <c r="AR109" s="23">
        <v>60.0</v>
      </c>
      <c r="AS109" s="23">
        <v>45.0</v>
      </c>
      <c r="AT109" s="23">
        <v>35.0</v>
      </c>
      <c r="AU109" s="24">
        <v>340.0</v>
      </c>
      <c r="AV109" s="21"/>
      <c r="AW109" s="78">
        <v>40.0</v>
      </c>
      <c r="AX109" s="79">
        <v>65.0</v>
      </c>
      <c r="AY109" s="79">
        <v>95.0</v>
      </c>
      <c r="AZ109" s="79">
        <v>60.0</v>
      </c>
      <c r="BA109" s="79">
        <v>45.0</v>
      </c>
      <c r="BB109" s="79">
        <v>35.0</v>
      </c>
      <c r="BC109" s="201">
        <v>340.0</v>
      </c>
      <c r="BE109" s="142" t="s">
        <v>101</v>
      </c>
      <c r="BF109" s="184"/>
      <c r="BG109" s="128"/>
      <c r="BI109" s="31" t="s">
        <v>5</v>
      </c>
      <c r="BJ109" s="32" t="s">
        <v>5</v>
      </c>
      <c r="BK109" s="32">
        <v>1.0</v>
      </c>
      <c r="BL109" s="32" t="s">
        <v>5</v>
      </c>
      <c r="BM109" s="32" t="s">
        <v>5</v>
      </c>
      <c r="BN109" s="33" t="s">
        <v>5</v>
      </c>
      <c r="BP109" s="115" t="s">
        <v>7</v>
      </c>
      <c r="BQ109" s="93"/>
      <c r="BS109" s="115" t="s">
        <v>7</v>
      </c>
      <c r="BT109" s="133"/>
      <c r="BU109" s="37" t="str">
        <f t="shared" si="1"/>
        <v>#NAME?</v>
      </c>
      <c r="BV109" s="89" t="s">
        <v>7</v>
      </c>
      <c r="BW109" s="37" t="str">
        <f t="shared" si="2"/>
        <v>#NAME?</v>
      </c>
      <c r="BX109" s="89"/>
      <c r="BY109" s="39"/>
      <c r="BZ109" s="39"/>
      <c r="CA109" s="40" t="s">
        <v>7</v>
      </c>
      <c r="CB109" s="41"/>
      <c r="CC109" s="90" t="s">
        <v>7</v>
      </c>
      <c r="CD109" s="91"/>
      <c r="CE109" s="21"/>
      <c r="CF109" s="92" t="s">
        <v>1001</v>
      </c>
      <c r="CG109" s="93"/>
      <c r="CH109" s="21"/>
      <c r="CI109" s="92" t="s">
        <v>1001</v>
      </c>
      <c r="CJ109" s="93"/>
      <c r="CK109" s="21"/>
      <c r="CL109" s="22" t="s">
        <v>1001</v>
      </c>
      <c r="CM109" s="12"/>
      <c r="CN109" s="48"/>
      <c r="CO109" s="95"/>
      <c r="CP109" s="21"/>
      <c r="CQ109" s="2" t="s">
        <v>1146</v>
      </c>
      <c r="CR109" s="97">
        <v>20.0</v>
      </c>
      <c r="CS109" s="2" t="s">
        <v>101</v>
      </c>
      <c r="CT109" s="98">
        <v>114.0</v>
      </c>
      <c r="CU109" s="2"/>
      <c r="CV109" s="52" t="s">
        <v>149</v>
      </c>
      <c r="CW109" s="52" t="s">
        <v>149</v>
      </c>
      <c r="CX109" s="2"/>
      <c r="CY109" s="119" t="s">
        <v>964</v>
      </c>
      <c r="CZ109" s="160"/>
      <c r="DA109" s="2"/>
      <c r="DB109" s="98">
        <v>190.0</v>
      </c>
      <c r="DC109" s="2"/>
      <c r="DD109" s="101" t="s">
        <v>150</v>
      </c>
      <c r="DE109" s="2"/>
      <c r="DF109" s="148" t="s">
        <v>1147</v>
      </c>
      <c r="DG109" s="173" t="s">
        <v>1148</v>
      </c>
      <c r="DH109" s="121"/>
      <c r="DI109" s="21"/>
      <c r="DJ109" s="21"/>
      <c r="DK109" s="59" t="s">
        <v>1149</v>
      </c>
      <c r="DL109" s="37" t="s">
        <v>95</v>
      </c>
      <c r="DM109" s="37" t="str">
        <f t="shared" si="3"/>
        <v>#NAME?</v>
      </c>
      <c r="DN109" s="61"/>
      <c r="DO109" s="37" t="s">
        <v>19</v>
      </c>
      <c r="DP109" s="105">
        <v>1.0</v>
      </c>
      <c r="DQ109" s="62" t="s">
        <v>49</v>
      </c>
      <c r="DR109" s="63"/>
      <c r="DS109" s="198"/>
      <c r="DT109" s="108"/>
      <c r="DU109" s="108"/>
      <c r="DV109" s="182"/>
      <c r="DW109" s="182"/>
      <c r="DX109" s="182"/>
      <c r="DY109" s="182"/>
      <c r="DZ109" s="182"/>
      <c r="EA109" s="182"/>
      <c r="EB109" s="2"/>
      <c r="EC109" s="2"/>
      <c r="ED109" s="2"/>
      <c r="EE109" s="2"/>
      <c r="EF109" s="149" t="s">
        <v>1150</v>
      </c>
      <c r="EG109" s="69" t="str">
        <f>image("https://www.pokebip.com/pages/icones/objets/plaque-toxik.png", 3)</f>
        <v/>
      </c>
      <c r="EH109" s="69"/>
      <c r="EI109" s="69"/>
    </row>
    <row r="110" ht="15.75" customHeight="1">
      <c r="A110" s="1">
        <v>110.0</v>
      </c>
      <c r="B110" s="2" t="s">
        <v>1151</v>
      </c>
      <c r="C110" s="7"/>
      <c r="D110" s="180" t="s">
        <v>1152</v>
      </c>
      <c r="E110" s="5"/>
      <c r="F110" s="181"/>
      <c r="G110" s="7"/>
      <c r="H110" s="8" t="s">
        <v>1153</v>
      </c>
      <c r="I110" s="9" t="s">
        <v>1154</v>
      </c>
      <c r="J110" s="10" t="str">
        <f>image("https://archives.bulbagarden.net/media/upload/b/bd/110MS6.png", 3)</f>
        <v/>
      </c>
      <c r="K110" s="11" t="s">
        <v>1152</v>
      </c>
      <c r="L110" s="12"/>
      <c r="M110" s="12"/>
      <c r="N110" s="12"/>
      <c r="O110" s="12"/>
      <c r="Q110" s="71">
        <v>65.0</v>
      </c>
      <c r="R110" s="72">
        <v>90.0</v>
      </c>
      <c r="S110" s="73">
        <v>120.0</v>
      </c>
      <c r="T110" s="74">
        <v>85.0</v>
      </c>
      <c r="U110" s="75">
        <v>70.0</v>
      </c>
      <c r="V110" s="76">
        <v>60.0</v>
      </c>
      <c r="W110" s="77">
        <v>490.0</v>
      </c>
      <c r="X110" s="21"/>
      <c r="Y110" s="71">
        <v>65.0</v>
      </c>
      <c r="Z110" s="72">
        <v>90.0</v>
      </c>
      <c r="AA110" s="73">
        <v>120.0</v>
      </c>
      <c r="AB110" s="74">
        <v>85.0</v>
      </c>
      <c r="AC110" s="75">
        <v>70.0</v>
      </c>
      <c r="AD110" s="76">
        <v>60.0</v>
      </c>
      <c r="AE110" s="77">
        <v>490.0</v>
      </c>
      <c r="AF110" s="21"/>
      <c r="AG110" s="71">
        <v>65.0</v>
      </c>
      <c r="AH110" s="72">
        <v>90.0</v>
      </c>
      <c r="AI110" s="73">
        <v>120.0</v>
      </c>
      <c r="AJ110" s="74">
        <v>85.0</v>
      </c>
      <c r="AK110" s="75">
        <v>70.0</v>
      </c>
      <c r="AL110" s="76">
        <v>60.0</v>
      </c>
      <c r="AM110" s="77">
        <v>490.0</v>
      </c>
      <c r="AN110" s="21"/>
      <c r="AO110" s="22">
        <v>65.0</v>
      </c>
      <c r="AP110" s="23">
        <v>90.0</v>
      </c>
      <c r="AQ110" s="23">
        <v>120.0</v>
      </c>
      <c r="AR110" s="23">
        <v>85.0</v>
      </c>
      <c r="AS110" s="23">
        <v>70.0</v>
      </c>
      <c r="AT110" s="23">
        <v>60.0</v>
      </c>
      <c r="AU110" s="24">
        <v>490.0</v>
      </c>
      <c r="AV110" s="21"/>
      <c r="AW110" s="78">
        <v>65.0</v>
      </c>
      <c r="AX110" s="79">
        <v>90.0</v>
      </c>
      <c r="AY110" s="79">
        <v>120.0</v>
      </c>
      <c r="AZ110" s="79">
        <v>85.0</v>
      </c>
      <c r="BA110" s="79">
        <v>70.0</v>
      </c>
      <c r="BB110" s="79">
        <v>60.0</v>
      </c>
      <c r="BC110" s="201">
        <v>490.0</v>
      </c>
      <c r="BE110" s="156" t="s">
        <v>162</v>
      </c>
      <c r="BF110" s="113"/>
      <c r="BG110" s="84"/>
      <c r="BI110" s="31" t="s">
        <v>5</v>
      </c>
      <c r="BJ110" s="32" t="s">
        <v>5</v>
      </c>
      <c r="BK110" s="32">
        <v>2.0</v>
      </c>
      <c r="BL110" s="32" t="s">
        <v>5</v>
      </c>
      <c r="BM110" s="32" t="s">
        <v>5</v>
      </c>
      <c r="BN110" s="33" t="s">
        <v>5</v>
      </c>
      <c r="BP110" s="85" t="s">
        <v>7</v>
      </c>
      <c r="BQ110" s="129"/>
      <c r="BS110" s="87" t="s">
        <v>7</v>
      </c>
      <c r="BT110" s="130"/>
      <c r="BU110" s="37" t="str">
        <f t="shared" si="1"/>
        <v>#NAME?</v>
      </c>
      <c r="BV110" s="89" t="s">
        <v>7</v>
      </c>
      <c r="BW110" s="37" t="str">
        <f t="shared" si="2"/>
        <v>#NAME?</v>
      </c>
      <c r="BX110" s="89"/>
      <c r="BY110" s="39"/>
      <c r="BZ110" s="39"/>
      <c r="CA110" s="40" t="s">
        <v>7</v>
      </c>
      <c r="CB110" s="41"/>
      <c r="CC110" s="90" t="s">
        <v>7</v>
      </c>
      <c r="CD110" s="91"/>
      <c r="CE110" s="21"/>
      <c r="CF110" s="92" t="s">
        <v>1001</v>
      </c>
      <c r="CG110" s="93"/>
      <c r="CH110" s="21"/>
      <c r="CI110" s="92" t="s">
        <v>1001</v>
      </c>
      <c r="CJ110" s="188"/>
      <c r="CK110" s="21"/>
      <c r="CL110" s="22" t="s">
        <v>1001</v>
      </c>
      <c r="CM110" s="12"/>
      <c r="CN110" s="48"/>
      <c r="CO110" s="153"/>
      <c r="CP110" s="21"/>
      <c r="CQ110" s="2" t="s">
        <v>1155</v>
      </c>
      <c r="CR110" s="97">
        <v>20.0</v>
      </c>
      <c r="CS110" s="2" t="s">
        <v>162</v>
      </c>
      <c r="CT110" s="98">
        <v>173.0</v>
      </c>
      <c r="CU110" s="2"/>
      <c r="CV110" s="52" t="s">
        <v>149</v>
      </c>
      <c r="CW110" s="52" t="s">
        <v>149</v>
      </c>
      <c r="CX110" s="2"/>
      <c r="CY110" s="100" t="s">
        <v>964</v>
      </c>
      <c r="CZ110" s="154"/>
      <c r="DA110" s="2"/>
      <c r="DB110" s="98">
        <v>60.0</v>
      </c>
      <c r="DC110" s="2"/>
      <c r="DD110" s="101" t="s">
        <v>150</v>
      </c>
      <c r="DE110" s="2"/>
      <c r="DF110" s="102" t="s">
        <v>1156</v>
      </c>
      <c r="DG110" s="166" t="s">
        <v>1148</v>
      </c>
      <c r="DH110" s="103"/>
      <c r="DI110" s="2"/>
      <c r="DJ110" s="2"/>
      <c r="DK110" s="59" t="s">
        <v>1157</v>
      </c>
      <c r="DL110" s="37" t="s">
        <v>95</v>
      </c>
      <c r="DM110" s="37" t="str">
        <f t="shared" si="3"/>
        <v>#NAME?</v>
      </c>
      <c r="DN110" s="61"/>
      <c r="DO110" s="37">
        <v>50.0</v>
      </c>
      <c r="DP110" s="105">
        <v>0.95</v>
      </c>
      <c r="DQ110" s="62" t="s">
        <v>1158</v>
      </c>
      <c r="DR110" s="63"/>
      <c r="DS110" s="198"/>
      <c r="DT110" s="108"/>
      <c r="DU110" s="108"/>
      <c r="DV110" s="182"/>
      <c r="DW110" s="182"/>
      <c r="DX110" s="182"/>
      <c r="DY110" s="182"/>
      <c r="DZ110" s="182"/>
      <c r="EA110" s="182"/>
      <c r="EB110" s="21"/>
      <c r="EC110" s="21"/>
      <c r="ED110" s="21"/>
      <c r="EE110" s="21"/>
      <c r="EF110" s="149" t="s">
        <v>1159</v>
      </c>
      <c r="EG110" s="69" t="str">
        <f>image("https://www.pokebip.com/pages/icones/objets/plaque-volt.png", 3)</f>
        <v/>
      </c>
      <c r="EH110" s="69"/>
      <c r="EI110" s="69"/>
    </row>
    <row r="111" ht="15.75" customHeight="1">
      <c r="A111" s="1">
        <v>111.0</v>
      </c>
      <c r="B111" s="2" t="s">
        <v>1160</v>
      </c>
      <c r="C111" s="7"/>
      <c r="D111" s="247" t="s">
        <v>1161</v>
      </c>
      <c r="E111" s="5"/>
      <c r="F111" s="248"/>
      <c r="G111" s="7"/>
      <c r="H111" s="8" t="s">
        <v>1162</v>
      </c>
      <c r="I111" s="9" t="s">
        <v>1163</v>
      </c>
      <c r="J111" s="10" t="str">
        <f>image("https://archives.bulbagarden.net/media/upload/e/e8/111MS6.png", 3)</f>
        <v/>
      </c>
      <c r="K111" s="11" t="s">
        <v>1161</v>
      </c>
      <c r="L111" s="12"/>
      <c r="M111" s="12"/>
      <c r="N111" s="12"/>
      <c r="O111" s="12"/>
      <c r="Q111" s="71">
        <v>80.0</v>
      </c>
      <c r="R111" s="72">
        <v>85.0</v>
      </c>
      <c r="S111" s="73">
        <v>95.0</v>
      </c>
      <c r="T111" s="74">
        <v>30.0</v>
      </c>
      <c r="U111" s="75">
        <v>30.0</v>
      </c>
      <c r="V111" s="76">
        <v>25.0</v>
      </c>
      <c r="W111" s="77">
        <v>345.0</v>
      </c>
      <c r="X111" s="21"/>
      <c r="Y111" s="71">
        <v>80.0</v>
      </c>
      <c r="Z111" s="72">
        <v>85.0</v>
      </c>
      <c r="AA111" s="73">
        <v>95.0</v>
      </c>
      <c r="AB111" s="74">
        <v>30.0</v>
      </c>
      <c r="AC111" s="75">
        <v>30.0</v>
      </c>
      <c r="AD111" s="76">
        <v>25.0</v>
      </c>
      <c r="AE111" s="77">
        <v>345.0</v>
      </c>
      <c r="AF111" s="21"/>
      <c r="AG111" s="71">
        <v>80.0</v>
      </c>
      <c r="AH111" s="72">
        <v>85.0</v>
      </c>
      <c r="AI111" s="73">
        <v>95.0</v>
      </c>
      <c r="AJ111" s="74">
        <v>30.0</v>
      </c>
      <c r="AK111" s="75">
        <v>30.0</v>
      </c>
      <c r="AL111" s="76">
        <v>25.0</v>
      </c>
      <c r="AM111" s="77">
        <v>345.0</v>
      </c>
      <c r="AN111" s="21"/>
      <c r="AO111" s="22">
        <v>80.0</v>
      </c>
      <c r="AP111" s="23">
        <v>85.0</v>
      </c>
      <c r="AQ111" s="23">
        <v>95.0</v>
      </c>
      <c r="AR111" s="23">
        <v>30.0</v>
      </c>
      <c r="AS111" s="23">
        <v>30.0</v>
      </c>
      <c r="AT111" s="23">
        <v>25.0</v>
      </c>
      <c r="AU111" s="24">
        <v>345.0</v>
      </c>
      <c r="AV111" s="21"/>
      <c r="AW111" s="78">
        <v>80.0</v>
      </c>
      <c r="AX111" s="79">
        <v>85.0</v>
      </c>
      <c r="AY111" s="79">
        <v>95.0</v>
      </c>
      <c r="AZ111" s="79">
        <v>30.0</v>
      </c>
      <c r="BA111" s="79">
        <v>30.0</v>
      </c>
      <c r="BB111" s="79">
        <v>25.0</v>
      </c>
      <c r="BC111" s="201">
        <v>345.0</v>
      </c>
      <c r="BE111" s="142" t="s">
        <v>101</v>
      </c>
      <c r="BF111" s="184"/>
      <c r="BG111" s="128"/>
      <c r="BI111" s="31" t="s">
        <v>5</v>
      </c>
      <c r="BJ111" s="32" t="s">
        <v>5</v>
      </c>
      <c r="BK111" s="32">
        <v>1.0</v>
      </c>
      <c r="BL111" s="32" t="s">
        <v>5</v>
      </c>
      <c r="BM111" s="32" t="s">
        <v>5</v>
      </c>
      <c r="BN111" s="33" t="s">
        <v>5</v>
      </c>
      <c r="BP111" s="115" t="s">
        <v>79</v>
      </c>
      <c r="BQ111" s="116" t="s">
        <v>66</v>
      </c>
      <c r="BS111" s="115" t="s">
        <v>79</v>
      </c>
      <c r="BT111" s="117" t="s">
        <v>66</v>
      </c>
      <c r="BU111" s="37" t="str">
        <f t="shared" si="1"/>
        <v>#NAME?</v>
      </c>
      <c r="BV111" s="89" t="s">
        <v>79</v>
      </c>
      <c r="BW111" s="37" t="str">
        <f t="shared" si="2"/>
        <v>#NAME?</v>
      </c>
      <c r="BX111" s="89" t="s">
        <v>66</v>
      </c>
      <c r="BY111" s="39"/>
      <c r="BZ111" s="39"/>
      <c r="CA111" s="40" t="s">
        <v>1164</v>
      </c>
      <c r="CB111" s="41"/>
      <c r="CC111" s="90" t="s">
        <v>79</v>
      </c>
      <c r="CD111" s="91" t="s">
        <v>66</v>
      </c>
      <c r="CE111" s="2"/>
      <c r="CF111" s="92" t="s">
        <v>353</v>
      </c>
      <c r="CG111" s="93" t="s">
        <v>824</v>
      </c>
      <c r="CH111" s="2"/>
      <c r="CI111" s="191" t="s">
        <v>824</v>
      </c>
      <c r="CJ111" s="46" t="s">
        <v>1118</v>
      </c>
      <c r="CK111" s="2"/>
      <c r="CL111" s="22" t="s">
        <v>1165</v>
      </c>
      <c r="CM111" s="12"/>
      <c r="CN111" s="48"/>
      <c r="CO111" s="192" t="s">
        <v>1166</v>
      </c>
      <c r="CP111" s="2"/>
      <c r="CQ111" s="2" t="s">
        <v>1167</v>
      </c>
      <c r="CR111" s="97">
        <v>100.0</v>
      </c>
      <c r="CS111" s="2" t="s">
        <v>101</v>
      </c>
      <c r="CT111" s="98">
        <v>135.0</v>
      </c>
      <c r="CU111" s="2"/>
      <c r="CV111" s="52" t="s">
        <v>149</v>
      </c>
      <c r="CW111" s="52" t="s">
        <v>149</v>
      </c>
      <c r="CX111" s="2"/>
      <c r="CY111" s="118" t="s">
        <v>14</v>
      </c>
      <c r="CZ111" s="119" t="s">
        <v>277</v>
      </c>
      <c r="DA111" s="2"/>
      <c r="DB111" s="98">
        <v>120.0</v>
      </c>
      <c r="DC111" s="2"/>
      <c r="DD111" s="101" t="s">
        <v>683</v>
      </c>
      <c r="DE111" s="2"/>
      <c r="DF111" s="276" t="s">
        <v>1168</v>
      </c>
      <c r="DG111" s="121"/>
      <c r="DH111" s="121"/>
      <c r="DI111" s="21"/>
      <c r="DJ111" s="21"/>
      <c r="DK111" s="59" t="s">
        <v>1169</v>
      </c>
      <c r="DL111" s="37" t="s">
        <v>95</v>
      </c>
      <c r="DM111" s="37" t="str">
        <f t="shared" si="3"/>
        <v>#NAME?</v>
      </c>
      <c r="DN111" s="61"/>
      <c r="DO111" s="37" t="s">
        <v>1170</v>
      </c>
      <c r="DP111" s="37" t="s">
        <v>266</v>
      </c>
      <c r="DQ111" s="62" t="s">
        <v>49</v>
      </c>
      <c r="DR111" s="63"/>
      <c r="DS111" s="198"/>
      <c r="DT111" s="108"/>
      <c r="DU111" s="108"/>
      <c r="DV111" s="182"/>
      <c r="DW111" s="182"/>
      <c r="DX111" s="182"/>
      <c r="DY111" s="182"/>
      <c r="DZ111" s="182"/>
      <c r="EA111" s="182"/>
      <c r="EB111" s="21"/>
      <c r="EC111" s="21"/>
      <c r="ED111" s="21"/>
      <c r="EE111" s="21"/>
      <c r="EF111" s="149" t="s">
        <v>1171</v>
      </c>
      <c r="EG111" s="69" t="str">
        <f>image("https://www.pokebip.com/pages/icones/objets/plaque-insecte.png", 3)</f>
        <v/>
      </c>
      <c r="EH111" s="69"/>
      <c r="EI111" s="69"/>
    </row>
    <row r="112" ht="15.75" customHeight="1">
      <c r="A112" s="1">
        <v>112.0</v>
      </c>
      <c r="B112" s="2" t="s">
        <v>1172</v>
      </c>
      <c r="C112" s="7"/>
      <c r="D112" s="247" t="s">
        <v>1173</v>
      </c>
      <c r="E112" s="5"/>
      <c r="F112" s="248"/>
      <c r="G112" s="7"/>
      <c r="H112" s="8" t="s">
        <v>1174</v>
      </c>
      <c r="I112" s="9" t="s">
        <v>1175</v>
      </c>
      <c r="J112" s="10" t="str">
        <f>image("https://archives.bulbagarden.net/media/upload/7/7c/112MS6.png", 3)</f>
        <v/>
      </c>
      <c r="K112" s="11" t="s">
        <v>1173</v>
      </c>
      <c r="L112" s="12"/>
      <c r="M112" s="12"/>
      <c r="N112" s="12"/>
      <c r="O112" s="12"/>
      <c r="Q112" s="71">
        <v>105.0</v>
      </c>
      <c r="R112" s="72">
        <v>130.0</v>
      </c>
      <c r="S112" s="73">
        <v>120.0</v>
      </c>
      <c r="T112" s="74">
        <v>45.0</v>
      </c>
      <c r="U112" s="75">
        <v>45.0</v>
      </c>
      <c r="V112" s="76">
        <v>40.0</v>
      </c>
      <c r="W112" s="77">
        <v>485.0</v>
      </c>
      <c r="X112" s="21"/>
      <c r="Y112" s="71">
        <v>105.0</v>
      </c>
      <c r="Z112" s="72">
        <v>130.0</v>
      </c>
      <c r="AA112" s="73">
        <v>120.0</v>
      </c>
      <c r="AB112" s="74">
        <v>45.0</v>
      </c>
      <c r="AC112" s="75">
        <v>45.0</v>
      </c>
      <c r="AD112" s="76">
        <v>40.0</v>
      </c>
      <c r="AE112" s="77">
        <v>485.0</v>
      </c>
      <c r="AF112" s="21"/>
      <c r="AG112" s="71">
        <v>105.0</v>
      </c>
      <c r="AH112" s="72">
        <v>130.0</v>
      </c>
      <c r="AI112" s="73">
        <v>120.0</v>
      </c>
      <c r="AJ112" s="74">
        <v>45.0</v>
      </c>
      <c r="AK112" s="75">
        <v>45.0</v>
      </c>
      <c r="AL112" s="76">
        <v>40.0</v>
      </c>
      <c r="AM112" s="77">
        <v>485.0</v>
      </c>
      <c r="AN112" s="21"/>
      <c r="AO112" s="22">
        <v>105.0</v>
      </c>
      <c r="AP112" s="23">
        <v>130.0</v>
      </c>
      <c r="AQ112" s="23">
        <v>120.0</v>
      </c>
      <c r="AR112" s="23">
        <v>45.0</v>
      </c>
      <c r="AS112" s="23">
        <v>45.0</v>
      </c>
      <c r="AT112" s="23">
        <v>40.0</v>
      </c>
      <c r="AU112" s="24">
        <v>485.0</v>
      </c>
      <c r="AV112" s="21"/>
      <c r="AW112" s="78">
        <v>105.0</v>
      </c>
      <c r="AX112" s="79">
        <v>130.0</v>
      </c>
      <c r="AY112" s="79">
        <v>120.0</v>
      </c>
      <c r="AZ112" s="79">
        <v>45.0</v>
      </c>
      <c r="BA112" s="79">
        <v>45.0</v>
      </c>
      <c r="BB112" s="79">
        <v>40.0</v>
      </c>
      <c r="BC112" s="201">
        <v>485.0</v>
      </c>
      <c r="BE112" s="172" t="s">
        <v>216</v>
      </c>
      <c r="BF112" s="113"/>
      <c r="BG112" s="84"/>
      <c r="BI112" s="31" t="s">
        <v>5</v>
      </c>
      <c r="BJ112" s="32">
        <v>2.0</v>
      </c>
      <c r="BK112" s="32" t="s">
        <v>5</v>
      </c>
      <c r="BL112" s="32" t="s">
        <v>5</v>
      </c>
      <c r="BM112" s="32" t="s">
        <v>5</v>
      </c>
      <c r="BN112" s="33" t="s">
        <v>5</v>
      </c>
      <c r="BP112" s="85" t="s">
        <v>79</v>
      </c>
      <c r="BQ112" s="86" t="s">
        <v>66</v>
      </c>
      <c r="BS112" s="87" t="s">
        <v>79</v>
      </c>
      <c r="BT112" s="88" t="s">
        <v>66</v>
      </c>
      <c r="BU112" s="37" t="str">
        <f t="shared" si="1"/>
        <v>#NAME?</v>
      </c>
      <c r="BV112" s="89" t="s">
        <v>79</v>
      </c>
      <c r="BW112" s="37" t="str">
        <f t="shared" si="2"/>
        <v>#NAME?</v>
      </c>
      <c r="BX112" s="89" t="s">
        <v>66</v>
      </c>
      <c r="BY112" s="39"/>
      <c r="BZ112" s="39"/>
      <c r="CA112" s="40" t="s">
        <v>1164</v>
      </c>
      <c r="CB112" s="41"/>
      <c r="CC112" s="90" t="s">
        <v>79</v>
      </c>
      <c r="CD112" s="91" t="s">
        <v>66</v>
      </c>
      <c r="CE112" s="2"/>
      <c r="CF112" s="92" t="s">
        <v>353</v>
      </c>
      <c r="CG112" s="93" t="s">
        <v>824</v>
      </c>
      <c r="CH112" s="2"/>
      <c r="CI112" s="277" t="s">
        <v>824</v>
      </c>
      <c r="CJ112" s="94" t="s">
        <v>1118</v>
      </c>
      <c r="CK112" s="2"/>
      <c r="CL112" s="22" t="s">
        <v>1165</v>
      </c>
      <c r="CM112" s="12"/>
      <c r="CN112" s="48"/>
      <c r="CO112" s="235" t="s">
        <v>1166</v>
      </c>
      <c r="CP112" s="2"/>
      <c r="CQ112" s="2" t="s">
        <v>955</v>
      </c>
      <c r="CR112" s="97">
        <v>100.0</v>
      </c>
      <c r="CS112" s="2" t="s">
        <v>216</v>
      </c>
      <c r="CT112" s="98">
        <v>204.0</v>
      </c>
      <c r="CU112" s="2"/>
      <c r="CV112" s="52" t="s">
        <v>149</v>
      </c>
      <c r="CW112" s="52" t="s">
        <v>149</v>
      </c>
      <c r="CX112" s="2"/>
      <c r="CY112" s="99" t="s">
        <v>14</v>
      </c>
      <c r="CZ112" s="100" t="s">
        <v>277</v>
      </c>
      <c r="DA112" s="2"/>
      <c r="DB112" s="98">
        <v>60.0</v>
      </c>
      <c r="DC112" s="2"/>
      <c r="DD112" s="101" t="s">
        <v>683</v>
      </c>
      <c r="DE112" s="2"/>
      <c r="DF112" s="159" t="s">
        <v>1176</v>
      </c>
      <c r="DG112" s="103"/>
      <c r="DH112" s="103"/>
      <c r="DI112" s="2"/>
      <c r="DJ112" s="2"/>
      <c r="DK112" s="59" t="s">
        <v>1177</v>
      </c>
      <c r="DL112" s="37" t="s">
        <v>156</v>
      </c>
      <c r="DM112" s="37" t="str">
        <f t="shared" si="3"/>
        <v>#NAME?</v>
      </c>
      <c r="DN112" s="61"/>
      <c r="DO112" s="37" t="s">
        <v>19</v>
      </c>
      <c r="DP112" s="105">
        <v>1.0</v>
      </c>
      <c r="DQ112" s="62" t="s">
        <v>93</v>
      </c>
      <c r="DR112" s="63"/>
      <c r="DS112" s="198"/>
      <c r="DT112" s="108"/>
      <c r="DU112" s="108"/>
      <c r="DV112" s="182"/>
      <c r="DW112" s="182"/>
      <c r="DX112" s="182"/>
      <c r="DY112" s="182"/>
      <c r="DZ112" s="182"/>
      <c r="EA112" s="182"/>
      <c r="EB112" s="2"/>
      <c r="EC112" s="2"/>
      <c r="ED112" s="2"/>
      <c r="EE112" s="2"/>
      <c r="EF112" s="149"/>
      <c r="EG112" s="69" t="str">
        <f>image("", 3)</f>
        <v/>
      </c>
      <c r="EH112" s="69"/>
      <c r="EI112" s="69"/>
    </row>
    <row r="113" ht="15.75" customHeight="1">
      <c r="A113" s="1">
        <v>113.0</v>
      </c>
      <c r="B113" s="2" t="s">
        <v>1178</v>
      </c>
      <c r="C113" s="7"/>
      <c r="D113" s="213" t="s">
        <v>1179</v>
      </c>
      <c r="E113" s="5"/>
      <c r="F113" s="214"/>
      <c r="G113" s="7"/>
      <c r="H113" s="8" t="s">
        <v>1180</v>
      </c>
      <c r="I113" s="9" t="s">
        <v>1181</v>
      </c>
      <c r="J113" s="10" t="str">
        <f>image("https://archives.bulbagarden.net/media/upload/0/08/113MS6.png", 3)</f>
        <v/>
      </c>
      <c r="K113" s="11" t="s">
        <v>1179</v>
      </c>
      <c r="L113" s="12"/>
      <c r="M113" s="12"/>
      <c r="N113" s="12"/>
      <c r="O113" s="12"/>
      <c r="Q113" s="71">
        <v>250.0</v>
      </c>
      <c r="R113" s="72">
        <v>5.0</v>
      </c>
      <c r="S113" s="73">
        <v>5.0</v>
      </c>
      <c r="T113" s="74">
        <v>35.0</v>
      </c>
      <c r="U113" s="75">
        <v>105.0</v>
      </c>
      <c r="V113" s="76">
        <v>50.0</v>
      </c>
      <c r="W113" s="77">
        <v>450.0</v>
      </c>
      <c r="X113" s="21"/>
      <c r="Y113" s="71">
        <v>250.0</v>
      </c>
      <c r="Z113" s="72">
        <v>5.0</v>
      </c>
      <c r="AA113" s="73">
        <v>5.0</v>
      </c>
      <c r="AB113" s="74">
        <v>35.0</v>
      </c>
      <c r="AC113" s="75">
        <v>105.0</v>
      </c>
      <c r="AD113" s="76">
        <v>50.0</v>
      </c>
      <c r="AE113" s="77">
        <v>450.0</v>
      </c>
      <c r="AF113" s="21"/>
      <c r="AG113" s="71">
        <v>250.0</v>
      </c>
      <c r="AH113" s="72">
        <v>5.0</v>
      </c>
      <c r="AI113" s="73">
        <v>5.0</v>
      </c>
      <c r="AJ113" s="74">
        <v>35.0</v>
      </c>
      <c r="AK113" s="75">
        <v>105.0</v>
      </c>
      <c r="AL113" s="76">
        <v>50.0</v>
      </c>
      <c r="AM113" s="77">
        <v>450.0</v>
      </c>
      <c r="AN113" s="21"/>
      <c r="AO113" s="22">
        <v>250.0</v>
      </c>
      <c r="AP113" s="23">
        <v>5.0</v>
      </c>
      <c r="AQ113" s="23">
        <v>5.0</v>
      </c>
      <c r="AR113" s="23">
        <v>35.0</v>
      </c>
      <c r="AS113" s="23">
        <v>105.0</v>
      </c>
      <c r="AT113" s="23">
        <v>50.0</v>
      </c>
      <c r="AU113" s="24">
        <v>450.0</v>
      </c>
      <c r="AV113" s="21"/>
      <c r="AW113" s="78">
        <v>250.0</v>
      </c>
      <c r="AX113" s="79">
        <v>5.0</v>
      </c>
      <c r="AY113" s="79">
        <v>5.0</v>
      </c>
      <c r="AZ113" s="79">
        <v>35.0</v>
      </c>
      <c r="BA113" s="79">
        <v>105.0</v>
      </c>
      <c r="BB113" s="79">
        <v>50.0</v>
      </c>
      <c r="BC113" s="201">
        <v>450.0</v>
      </c>
      <c r="BE113" s="203" t="s">
        <v>409</v>
      </c>
      <c r="BF113" s="113"/>
      <c r="BG113" s="93"/>
      <c r="BI113" s="31">
        <v>2.0</v>
      </c>
      <c r="BJ113" s="32" t="s">
        <v>5</v>
      </c>
      <c r="BK113" s="32" t="s">
        <v>5</v>
      </c>
      <c r="BL113" s="32" t="s">
        <v>5</v>
      </c>
      <c r="BM113" s="32" t="s">
        <v>5</v>
      </c>
      <c r="BN113" s="33" t="s">
        <v>5</v>
      </c>
      <c r="BP113" s="115" t="s">
        <v>156</v>
      </c>
      <c r="BQ113" s="93"/>
      <c r="BS113" s="115" t="s">
        <v>156</v>
      </c>
      <c r="BT113" s="133"/>
      <c r="BU113" s="37" t="str">
        <f t="shared" si="1"/>
        <v>#NAME?</v>
      </c>
      <c r="BV113" s="89" t="s">
        <v>156</v>
      </c>
      <c r="BW113" s="37" t="str">
        <f t="shared" si="2"/>
        <v>#NAME?</v>
      </c>
      <c r="BX113" s="89"/>
      <c r="BY113" s="39"/>
      <c r="BZ113" s="39"/>
      <c r="CA113" s="40" t="s">
        <v>156</v>
      </c>
      <c r="CB113" s="41"/>
      <c r="CC113" s="90" t="s">
        <v>156</v>
      </c>
      <c r="CD113" s="91"/>
      <c r="CE113" s="21"/>
      <c r="CF113" s="92" t="s">
        <v>1182</v>
      </c>
      <c r="CG113" s="93" t="s">
        <v>1183</v>
      </c>
      <c r="CH113" s="21"/>
      <c r="CI113" s="278" t="s">
        <v>1183</v>
      </c>
      <c r="CJ113" s="275" t="s">
        <v>1182</v>
      </c>
      <c r="CK113" s="21"/>
      <c r="CL113" s="22" t="s">
        <v>1184</v>
      </c>
      <c r="CM113" s="12"/>
      <c r="CN113" s="48"/>
      <c r="CO113" s="242" t="s">
        <v>1182</v>
      </c>
      <c r="CP113" s="21"/>
      <c r="CQ113" s="2" t="s">
        <v>1185</v>
      </c>
      <c r="CR113" s="97">
        <v>60.0</v>
      </c>
      <c r="CS113" s="2" t="s">
        <v>409</v>
      </c>
      <c r="CT113" s="98">
        <v>255.0</v>
      </c>
      <c r="CU113" s="2"/>
      <c r="CV113" s="202">
        <v>0.0</v>
      </c>
      <c r="CW113" s="52" t="s">
        <v>397</v>
      </c>
      <c r="CX113" s="2"/>
      <c r="CY113" s="119" t="s">
        <v>153</v>
      </c>
      <c r="CZ113" s="160"/>
      <c r="DA113" s="2"/>
      <c r="DB113" s="98">
        <v>30.0</v>
      </c>
      <c r="DC113" s="2"/>
      <c r="DD113" s="101" t="s">
        <v>468</v>
      </c>
      <c r="DE113" s="2"/>
      <c r="DF113" s="279" t="s">
        <v>1186</v>
      </c>
      <c r="DG113" s="173" t="s">
        <v>1187</v>
      </c>
      <c r="DH113" s="121"/>
      <c r="DI113" s="2"/>
      <c r="DJ113" s="2"/>
      <c r="DK113" s="59" t="s">
        <v>1188</v>
      </c>
      <c r="DL113" s="37" t="s">
        <v>6</v>
      </c>
      <c r="DM113" s="37" t="str">
        <f t="shared" si="3"/>
        <v>#NAME?</v>
      </c>
      <c r="DN113" s="61"/>
      <c r="DO113" s="37" t="s">
        <v>128</v>
      </c>
      <c r="DP113" s="105">
        <v>1.0</v>
      </c>
      <c r="DQ113" s="62" t="s">
        <v>93</v>
      </c>
      <c r="DR113" s="63"/>
      <c r="DS113" s="198"/>
      <c r="DT113" s="108"/>
      <c r="DU113" s="108"/>
      <c r="DV113" s="182"/>
      <c r="DW113" s="182"/>
      <c r="DX113" s="182"/>
      <c r="DY113" s="182"/>
      <c r="DZ113" s="182"/>
      <c r="EA113" s="182"/>
      <c r="EB113" s="21"/>
      <c r="EC113" s="21"/>
      <c r="ED113" s="21"/>
      <c r="EE113" s="21"/>
      <c r="EF113" s="149" t="s">
        <v>1189</v>
      </c>
      <c r="EG113" s="69" t="str">
        <f>image("https://www.pokebip.com/pages/icones/objets/attaque-x.png", 3)</f>
        <v/>
      </c>
      <c r="EH113" s="69"/>
      <c r="EI113" s="69"/>
    </row>
    <row r="114" ht="15.75" customHeight="1">
      <c r="A114" s="1">
        <v>114.0</v>
      </c>
      <c r="B114" s="2" t="s">
        <v>1190</v>
      </c>
      <c r="C114" s="7"/>
      <c r="D114" s="140" t="s">
        <v>1191</v>
      </c>
      <c r="E114" s="5"/>
      <c r="F114" s="141"/>
      <c r="G114" s="7"/>
      <c r="H114" s="8" t="s">
        <v>1192</v>
      </c>
      <c r="I114" s="9" t="s">
        <v>1193</v>
      </c>
      <c r="J114" s="10" t="str">
        <f>image("https://archives.bulbagarden.net/media/upload/6/60/114MS6.png", 3)</f>
        <v/>
      </c>
      <c r="K114" s="11" t="s">
        <v>1191</v>
      </c>
      <c r="L114" s="12"/>
      <c r="M114" s="12"/>
      <c r="N114" s="12"/>
      <c r="O114" s="12"/>
      <c r="Q114" s="71">
        <v>65.0</v>
      </c>
      <c r="R114" s="72">
        <v>55.0</v>
      </c>
      <c r="S114" s="73">
        <v>115.0</v>
      </c>
      <c r="T114" s="74">
        <v>100.0</v>
      </c>
      <c r="U114" s="75">
        <v>40.0</v>
      </c>
      <c r="V114" s="76">
        <v>60.0</v>
      </c>
      <c r="W114" s="77">
        <v>435.0</v>
      </c>
      <c r="X114" s="21"/>
      <c r="Y114" s="71">
        <v>65.0</v>
      </c>
      <c r="Z114" s="72">
        <v>55.0</v>
      </c>
      <c r="AA114" s="73">
        <v>115.0</v>
      </c>
      <c r="AB114" s="74">
        <v>100.0</v>
      </c>
      <c r="AC114" s="75">
        <v>40.0</v>
      </c>
      <c r="AD114" s="76">
        <v>60.0</v>
      </c>
      <c r="AE114" s="77">
        <v>435.0</v>
      </c>
      <c r="AF114" s="21"/>
      <c r="AG114" s="71">
        <v>65.0</v>
      </c>
      <c r="AH114" s="72">
        <v>55.0</v>
      </c>
      <c r="AI114" s="73">
        <v>115.0</v>
      </c>
      <c r="AJ114" s="74">
        <v>100.0</v>
      </c>
      <c r="AK114" s="75">
        <v>40.0</v>
      </c>
      <c r="AL114" s="76">
        <v>60.0</v>
      </c>
      <c r="AM114" s="77">
        <v>435.0</v>
      </c>
      <c r="AN114" s="21"/>
      <c r="AO114" s="22">
        <v>65.0</v>
      </c>
      <c r="AP114" s="23">
        <v>55.0</v>
      </c>
      <c r="AQ114" s="23">
        <v>115.0</v>
      </c>
      <c r="AR114" s="23">
        <v>100.0</v>
      </c>
      <c r="AS114" s="23">
        <v>40.0</v>
      </c>
      <c r="AT114" s="23">
        <v>60.0</v>
      </c>
      <c r="AU114" s="24">
        <v>435.0</v>
      </c>
      <c r="AV114" s="21"/>
      <c r="AW114" s="78">
        <v>65.0</v>
      </c>
      <c r="AX114" s="79">
        <v>55.0</v>
      </c>
      <c r="AY114" s="79">
        <v>115.0</v>
      </c>
      <c r="AZ114" s="79">
        <v>100.0</v>
      </c>
      <c r="BA114" s="79">
        <v>40.0</v>
      </c>
      <c r="BB114" s="79">
        <v>60.0</v>
      </c>
      <c r="BC114" s="201">
        <v>435.0</v>
      </c>
      <c r="BE114" s="142" t="s">
        <v>101</v>
      </c>
      <c r="BF114" s="127"/>
      <c r="BG114" s="128"/>
      <c r="BI114" s="31" t="s">
        <v>5</v>
      </c>
      <c r="BJ114" s="32" t="s">
        <v>5</v>
      </c>
      <c r="BK114" s="32">
        <v>1.0</v>
      </c>
      <c r="BL114" s="32" t="s">
        <v>5</v>
      </c>
      <c r="BM114" s="32" t="s">
        <v>5</v>
      </c>
      <c r="BN114" s="33" t="s">
        <v>5</v>
      </c>
      <c r="BP114" s="85" t="s">
        <v>6</v>
      </c>
      <c r="BQ114" s="129"/>
      <c r="BS114" s="87" t="s">
        <v>6</v>
      </c>
      <c r="BT114" s="130"/>
      <c r="BU114" s="37" t="str">
        <f t="shared" si="1"/>
        <v>#NAME?</v>
      </c>
      <c r="BV114" s="89" t="s">
        <v>6</v>
      </c>
      <c r="BW114" s="37" t="str">
        <f t="shared" si="2"/>
        <v>#NAME?</v>
      </c>
      <c r="BX114" s="89"/>
      <c r="BY114" s="39"/>
      <c r="BZ114" s="39"/>
      <c r="CA114" s="40" t="s">
        <v>6</v>
      </c>
      <c r="CB114" s="41"/>
      <c r="CC114" s="90" t="s">
        <v>6</v>
      </c>
      <c r="CD114" s="91"/>
      <c r="CE114" s="21"/>
      <c r="CF114" s="92" t="s">
        <v>43</v>
      </c>
      <c r="CG114" s="93" t="s">
        <v>1194</v>
      </c>
      <c r="CH114" s="21"/>
      <c r="CI114" s="280" t="s">
        <v>43</v>
      </c>
      <c r="CJ114" s="281" t="s">
        <v>1194</v>
      </c>
      <c r="CK114" s="21"/>
      <c r="CL114" s="22" t="s">
        <v>43</v>
      </c>
      <c r="CM114" s="12"/>
      <c r="CN114" s="48"/>
      <c r="CO114" s="282" t="s">
        <v>1194</v>
      </c>
      <c r="CP114" s="21"/>
      <c r="CQ114" s="2" t="s">
        <v>1195</v>
      </c>
      <c r="CR114" s="97">
        <v>60.0</v>
      </c>
      <c r="CS114" s="2" t="s">
        <v>101</v>
      </c>
      <c r="CT114" s="98">
        <v>166.0</v>
      </c>
      <c r="CU114" s="2"/>
      <c r="CV114" s="52" t="s">
        <v>149</v>
      </c>
      <c r="CW114" s="52" t="s">
        <v>149</v>
      </c>
      <c r="CX114" s="2"/>
      <c r="CY114" s="100" t="s">
        <v>6</v>
      </c>
      <c r="CZ114" s="154"/>
      <c r="DA114" s="2"/>
      <c r="DB114" s="98">
        <v>45.0</v>
      </c>
      <c r="DC114" s="2"/>
      <c r="DD114" s="101" t="s">
        <v>150</v>
      </c>
      <c r="DE114" s="2"/>
      <c r="DF114" s="131" t="s">
        <v>1196</v>
      </c>
      <c r="DG114" s="103"/>
      <c r="DH114" s="103"/>
      <c r="DI114" s="21"/>
      <c r="DJ114" s="21"/>
      <c r="DK114" s="59" t="s">
        <v>1197</v>
      </c>
      <c r="DL114" s="37" t="s">
        <v>76</v>
      </c>
      <c r="DM114" s="37" t="str">
        <f t="shared" si="3"/>
        <v>#NAME?</v>
      </c>
      <c r="DN114" s="61"/>
      <c r="DO114" s="37">
        <v>70.0</v>
      </c>
      <c r="DP114" s="105">
        <v>1.0</v>
      </c>
      <c r="DQ114" s="62" t="s">
        <v>93</v>
      </c>
      <c r="DR114" s="63"/>
      <c r="DS114" s="198"/>
      <c r="DT114" s="108"/>
      <c r="DU114" s="108"/>
      <c r="DV114" s="182"/>
      <c r="DW114" s="182"/>
      <c r="DX114" s="182"/>
      <c r="DY114" s="182"/>
      <c r="DZ114" s="182"/>
      <c r="EA114" s="182"/>
      <c r="EB114" s="2"/>
      <c r="EC114" s="2"/>
      <c r="ED114" s="2"/>
      <c r="EE114" s="2"/>
      <c r="EF114" s="149" t="s">
        <v>1198</v>
      </c>
      <c r="EG114" s="69" t="str">
        <f>image("https://www.pokebip.com/pages/icones/objets/defense-x.png", 3)</f>
        <v/>
      </c>
      <c r="EH114" s="69"/>
      <c r="EI114" s="69"/>
    </row>
    <row r="115" ht="15.75" customHeight="1">
      <c r="A115" s="1">
        <v>115.0</v>
      </c>
      <c r="B115" s="2" t="s">
        <v>1199</v>
      </c>
      <c r="C115" s="7"/>
      <c r="D115" s="167" t="s">
        <v>1200</v>
      </c>
      <c r="E115" s="5"/>
      <c r="F115" s="168"/>
      <c r="G115" s="7"/>
      <c r="H115" s="8" t="s">
        <v>1201</v>
      </c>
      <c r="I115" s="9" t="s">
        <v>1202</v>
      </c>
      <c r="J115" s="10" t="str">
        <f>image("https://archives.bulbagarden.net/media/upload/1/12/115MS6.png", 3)</f>
        <v/>
      </c>
      <c r="K115" s="11" t="s">
        <v>1200</v>
      </c>
      <c r="L115" s="12"/>
      <c r="M115" s="12"/>
      <c r="N115" s="12"/>
      <c r="O115" s="12"/>
      <c r="Q115" s="71">
        <v>105.0</v>
      </c>
      <c r="R115" s="72">
        <v>95.0</v>
      </c>
      <c r="S115" s="73">
        <v>80.0</v>
      </c>
      <c r="T115" s="74">
        <v>40.0</v>
      </c>
      <c r="U115" s="75">
        <v>80.0</v>
      </c>
      <c r="V115" s="76">
        <v>90.0</v>
      </c>
      <c r="W115" s="77">
        <v>490.0</v>
      </c>
      <c r="X115" s="21"/>
      <c r="Y115" s="71">
        <v>105.0</v>
      </c>
      <c r="Z115" s="72">
        <v>95.0</v>
      </c>
      <c r="AA115" s="73">
        <v>80.0</v>
      </c>
      <c r="AB115" s="74">
        <v>40.0</v>
      </c>
      <c r="AC115" s="75">
        <v>80.0</v>
      </c>
      <c r="AD115" s="76">
        <v>90.0</v>
      </c>
      <c r="AE115" s="77">
        <v>490.0</v>
      </c>
      <c r="AF115" s="21"/>
      <c r="AG115" s="71">
        <v>105.0</v>
      </c>
      <c r="AH115" s="72">
        <v>95.0</v>
      </c>
      <c r="AI115" s="73">
        <v>80.0</v>
      </c>
      <c r="AJ115" s="74">
        <v>40.0</v>
      </c>
      <c r="AK115" s="75">
        <v>80.0</v>
      </c>
      <c r="AL115" s="76">
        <v>90.0</v>
      </c>
      <c r="AM115" s="77">
        <v>490.0</v>
      </c>
      <c r="AN115" s="21"/>
      <c r="AO115" s="22">
        <v>105.0</v>
      </c>
      <c r="AP115" s="23">
        <v>95.0</v>
      </c>
      <c r="AQ115" s="23">
        <v>80.0</v>
      </c>
      <c r="AR115" s="23">
        <v>40.0</v>
      </c>
      <c r="AS115" s="23">
        <v>80.0</v>
      </c>
      <c r="AT115" s="23">
        <v>90.0</v>
      </c>
      <c r="AU115" s="24">
        <v>490.0</v>
      </c>
      <c r="AV115" s="21"/>
      <c r="AW115" s="78">
        <v>105.0</v>
      </c>
      <c r="AX115" s="79">
        <v>95.0</v>
      </c>
      <c r="AY115" s="79">
        <v>80.0</v>
      </c>
      <c r="AZ115" s="79">
        <v>40.0</v>
      </c>
      <c r="BA115" s="79">
        <v>80.0</v>
      </c>
      <c r="BB115" s="79">
        <v>90.0</v>
      </c>
      <c r="BC115" s="201">
        <v>490.0</v>
      </c>
      <c r="BE115" s="203" t="s">
        <v>409</v>
      </c>
      <c r="BF115" s="113"/>
      <c r="BG115" s="93"/>
      <c r="BI115" s="31">
        <v>2.0</v>
      </c>
      <c r="BJ115" s="32" t="s">
        <v>5</v>
      </c>
      <c r="BK115" s="32" t="s">
        <v>5</v>
      </c>
      <c r="BL115" s="32" t="s">
        <v>5</v>
      </c>
      <c r="BM115" s="32" t="s">
        <v>5</v>
      </c>
      <c r="BN115" s="33" t="s">
        <v>5</v>
      </c>
      <c r="BP115" s="115" t="s">
        <v>156</v>
      </c>
      <c r="BQ115" s="93"/>
      <c r="BS115" s="115" t="s">
        <v>156</v>
      </c>
      <c r="BT115" s="133"/>
      <c r="BU115" s="37" t="str">
        <f t="shared" si="1"/>
        <v>#NAME?</v>
      </c>
      <c r="BV115" s="89" t="s">
        <v>156</v>
      </c>
      <c r="BW115" s="37" t="str">
        <f t="shared" si="2"/>
        <v>#NAME?</v>
      </c>
      <c r="BX115" s="89"/>
      <c r="BY115" s="39"/>
      <c r="BZ115" s="39"/>
      <c r="CA115" s="40" t="s">
        <v>156</v>
      </c>
      <c r="CB115" s="41"/>
      <c r="CC115" s="90" t="s">
        <v>156</v>
      </c>
      <c r="CD115" s="91"/>
      <c r="CE115" s="21"/>
      <c r="CF115" s="92" t="s">
        <v>924</v>
      </c>
      <c r="CG115" s="93" t="s">
        <v>1203</v>
      </c>
      <c r="CH115" s="21"/>
      <c r="CI115" s="278" t="s">
        <v>1203</v>
      </c>
      <c r="CJ115" s="283" t="s">
        <v>924</v>
      </c>
      <c r="CK115" s="21"/>
      <c r="CL115" s="22" t="s">
        <v>1204</v>
      </c>
      <c r="CM115" s="12"/>
      <c r="CN115" s="48"/>
      <c r="CO115" s="284" t="s">
        <v>924</v>
      </c>
      <c r="CP115" s="21"/>
      <c r="CQ115" s="2" t="s">
        <v>1205</v>
      </c>
      <c r="CR115" s="97">
        <v>80.0</v>
      </c>
      <c r="CS115" s="2" t="s">
        <v>409</v>
      </c>
      <c r="CT115" s="98">
        <v>175.0</v>
      </c>
      <c r="CU115" s="2"/>
      <c r="CV115" s="202">
        <v>0.0</v>
      </c>
      <c r="CW115" s="52" t="s">
        <v>397</v>
      </c>
      <c r="CX115" s="2"/>
      <c r="CY115" s="119" t="s">
        <v>14</v>
      </c>
      <c r="CZ115" s="160"/>
      <c r="DA115" s="2"/>
      <c r="DB115" s="98">
        <v>45.0</v>
      </c>
      <c r="DC115" s="2"/>
      <c r="DD115" s="101" t="s">
        <v>150</v>
      </c>
      <c r="DE115" s="2"/>
      <c r="DF115" s="120" t="s">
        <v>914</v>
      </c>
      <c r="DG115" s="121"/>
      <c r="DH115" s="121"/>
      <c r="DI115" s="2"/>
      <c r="DJ115" s="2"/>
      <c r="DK115" s="59" t="s">
        <v>1206</v>
      </c>
      <c r="DL115" s="37" t="s">
        <v>61</v>
      </c>
      <c r="DM115" s="37" t="str">
        <f t="shared" si="3"/>
        <v>#NAME?</v>
      </c>
      <c r="DN115" s="61"/>
      <c r="DO115" s="37">
        <v>120.0</v>
      </c>
      <c r="DP115" s="105">
        <v>1.0</v>
      </c>
      <c r="DQ115" s="62" t="s">
        <v>918</v>
      </c>
      <c r="DR115" s="63"/>
      <c r="DS115" s="198"/>
      <c r="DT115" s="108"/>
      <c r="DU115" s="108"/>
      <c r="DV115" s="182"/>
      <c r="DW115" s="182"/>
      <c r="DX115" s="182"/>
      <c r="DY115" s="182"/>
      <c r="DZ115" s="182"/>
      <c r="EA115" s="182"/>
      <c r="EB115" s="21"/>
      <c r="EC115" s="21"/>
      <c r="ED115" s="21"/>
      <c r="EE115" s="21"/>
      <c r="EF115" s="149" t="s">
        <v>1207</v>
      </c>
      <c r="EG115" s="69" t="str">
        <f>image("https://www.pokebip.com/pages/icones/objets/def-spe-x.png", 3)</f>
        <v/>
      </c>
      <c r="EH115" s="69"/>
      <c r="EI115" s="69"/>
    </row>
    <row r="116" ht="15.75" customHeight="1">
      <c r="A116" s="1">
        <v>116.0</v>
      </c>
      <c r="B116" s="2" t="s">
        <v>1208</v>
      </c>
      <c r="C116" s="7"/>
      <c r="D116" s="140" t="s">
        <v>1209</v>
      </c>
      <c r="E116" s="5"/>
      <c r="F116" s="141"/>
      <c r="G116" s="7"/>
      <c r="H116" s="8" t="s">
        <v>1210</v>
      </c>
      <c r="I116" s="9" t="s">
        <v>1211</v>
      </c>
      <c r="J116" s="10" t="str">
        <f>image("https://archives.bulbagarden.net/media/upload/8/88/116MS6.png", 3)</f>
        <v/>
      </c>
      <c r="K116" s="11" t="s">
        <v>1209</v>
      </c>
      <c r="L116" s="12"/>
      <c r="M116" s="12"/>
      <c r="N116" s="12"/>
      <c r="O116" s="12"/>
      <c r="Q116" s="71">
        <v>30.0</v>
      </c>
      <c r="R116" s="72">
        <v>40.0</v>
      </c>
      <c r="S116" s="73">
        <v>70.0</v>
      </c>
      <c r="T116" s="74">
        <v>70.0</v>
      </c>
      <c r="U116" s="75">
        <v>25.0</v>
      </c>
      <c r="V116" s="76">
        <v>60.0</v>
      </c>
      <c r="W116" s="77">
        <v>295.0</v>
      </c>
      <c r="X116" s="21"/>
      <c r="Y116" s="71">
        <v>30.0</v>
      </c>
      <c r="Z116" s="72">
        <v>40.0</v>
      </c>
      <c r="AA116" s="73">
        <v>70.0</v>
      </c>
      <c r="AB116" s="74">
        <v>70.0</v>
      </c>
      <c r="AC116" s="75">
        <v>25.0</v>
      </c>
      <c r="AD116" s="76">
        <v>60.0</v>
      </c>
      <c r="AE116" s="77">
        <v>295.0</v>
      </c>
      <c r="AF116" s="21"/>
      <c r="AG116" s="71">
        <v>30.0</v>
      </c>
      <c r="AH116" s="72">
        <v>40.0</v>
      </c>
      <c r="AI116" s="73">
        <v>70.0</v>
      </c>
      <c r="AJ116" s="74">
        <v>70.0</v>
      </c>
      <c r="AK116" s="75">
        <v>25.0</v>
      </c>
      <c r="AL116" s="76">
        <v>60.0</v>
      </c>
      <c r="AM116" s="77">
        <v>295.0</v>
      </c>
      <c r="AN116" s="21"/>
      <c r="AO116" s="22">
        <v>30.0</v>
      </c>
      <c r="AP116" s="23">
        <v>40.0</v>
      </c>
      <c r="AQ116" s="23">
        <v>70.0</v>
      </c>
      <c r="AR116" s="23">
        <v>70.0</v>
      </c>
      <c r="AS116" s="23">
        <v>25.0</v>
      </c>
      <c r="AT116" s="23">
        <v>60.0</v>
      </c>
      <c r="AU116" s="24">
        <v>295.0</v>
      </c>
      <c r="AV116" s="21"/>
      <c r="AW116" s="78">
        <v>30.0</v>
      </c>
      <c r="AX116" s="79">
        <v>40.0</v>
      </c>
      <c r="AY116" s="79">
        <v>70.0</v>
      </c>
      <c r="AZ116" s="79">
        <v>70.0</v>
      </c>
      <c r="BA116" s="79">
        <v>25.0</v>
      </c>
      <c r="BB116" s="79">
        <v>60.0</v>
      </c>
      <c r="BC116" s="201">
        <v>295.0</v>
      </c>
      <c r="BE116" s="82" t="s">
        <v>4</v>
      </c>
      <c r="BF116" s="127"/>
      <c r="BG116" s="128"/>
      <c r="BI116" s="31" t="s">
        <v>5</v>
      </c>
      <c r="BJ116" s="32" t="s">
        <v>5</v>
      </c>
      <c r="BK116" s="32" t="s">
        <v>5</v>
      </c>
      <c r="BL116" s="32">
        <v>1.0</v>
      </c>
      <c r="BM116" s="32" t="s">
        <v>5</v>
      </c>
      <c r="BN116" s="33" t="s">
        <v>5</v>
      </c>
      <c r="BP116" s="85" t="s">
        <v>32</v>
      </c>
      <c r="BQ116" s="129"/>
      <c r="BS116" s="87" t="s">
        <v>32</v>
      </c>
      <c r="BT116" s="130"/>
      <c r="BU116" s="37" t="str">
        <f t="shared" si="1"/>
        <v>#NAME?</v>
      </c>
      <c r="BV116" s="89" t="s">
        <v>32</v>
      </c>
      <c r="BW116" s="37" t="str">
        <f t="shared" si="2"/>
        <v>#NAME?</v>
      </c>
      <c r="BX116" s="89"/>
      <c r="BY116" s="39"/>
      <c r="BZ116" s="39"/>
      <c r="CA116" s="40" t="s">
        <v>32</v>
      </c>
      <c r="CB116" s="41"/>
      <c r="CC116" s="90" t="s">
        <v>32</v>
      </c>
      <c r="CD116" s="91"/>
      <c r="CE116" s="21"/>
      <c r="CF116" s="92" t="s">
        <v>1212</v>
      </c>
      <c r="CG116" s="93" t="s">
        <v>301</v>
      </c>
      <c r="CH116" s="21"/>
      <c r="CI116" s="175" t="s">
        <v>1212</v>
      </c>
      <c r="CJ116" s="195" t="s">
        <v>301</v>
      </c>
      <c r="CK116" s="21"/>
      <c r="CL116" s="22" t="s">
        <v>1212</v>
      </c>
      <c r="CM116" s="12"/>
      <c r="CN116" s="48"/>
      <c r="CO116" s="196" t="s">
        <v>301</v>
      </c>
      <c r="CP116" s="21"/>
      <c r="CQ116" s="2" t="s">
        <v>1213</v>
      </c>
      <c r="CR116" s="97">
        <v>20.0</v>
      </c>
      <c r="CS116" s="2" t="s">
        <v>4</v>
      </c>
      <c r="CT116" s="98">
        <v>83.0</v>
      </c>
      <c r="CU116" s="2"/>
      <c r="CV116" s="52" t="s">
        <v>149</v>
      </c>
      <c r="CW116" s="52" t="s">
        <v>149</v>
      </c>
      <c r="CX116" s="2"/>
      <c r="CY116" s="99" t="s">
        <v>106</v>
      </c>
      <c r="CZ116" s="100" t="s">
        <v>61</v>
      </c>
      <c r="DA116" s="2"/>
      <c r="DB116" s="98">
        <v>225.0</v>
      </c>
      <c r="DC116" s="2"/>
      <c r="DD116" s="101" t="s">
        <v>150</v>
      </c>
      <c r="DE116" s="2"/>
      <c r="DF116" s="131" t="s">
        <v>1214</v>
      </c>
      <c r="DG116" s="166" t="s">
        <v>1215</v>
      </c>
      <c r="DH116" s="103"/>
      <c r="DI116" s="21"/>
      <c r="DJ116" s="21"/>
      <c r="DK116" s="59" t="s">
        <v>1216</v>
      </c>
      <c r="DL116" s="37" t="s">
        <v>156</v>
      </c>
      <c r="DM116" s="37" t="str">
        <f t="shared" si="3"/>
        <v>#NAME?</v>
      </c>
      <c r="DN116" s="61"/>
      <c r="DO116" s="37">
        <v>40.0</v>
      </c>
      <c r="DP116" s="105">
        <v>1.0</v>
      </c>
      <c r="DQ116" s="62" t="s">
        <v>20</v>
      </c>
      <c r="DR116" s="155"/>
      <c r="DS116" s="251"/>
      <c r="DT116" s="108"/>
      <c r="DU116" s="108"/>
      <c r="DV116" s="252"/>
      <c r="DW116" s="252"/>
      <c r="DX116" s="252"/>
      <c r="DY116" s="252"/>
      <c r="DZ116" s="252"/>
      <c r="EA116" s="252"/>
      <c r="EB116" s="2"/>
      <c r="EC116" s="2"/>
      <c r="ED116" s="2"/>
      <c r="EE116" s="2"/>
      <c r="EF116" s="149" t="s">
        <v>1217</v>
      </c>
      <c r="EG116" s="69" t="str">
        <f>image("https://www.pokebip.com/pages/icones/objets/defense-speciale.png", 3)</f>
        <v/>
      </c>
      <c r="EH116" s="69"/>
      <c r="EI116" s="69"/>
    </row>
    <row r="117" ht="15.75" customHeight="1">
      <c r="A117" s="1">
        <v>117.0</v>
      </c>
      <c r="B117" s="2" t="s">
        <v>1218</v>
      </c>
      <c r="C117" s="7"/>
      <c r="D117" s="140" t="s">
        <v>1219</v>
      </c>
      <c r="E117" s="5"/>
      <c r="F117" s="141"/>
      <c r="G117" s="7"/>
      <c r="H117" s="8" t="s">
        <v>1220</v>
      </c>
      <c r="I117" s="9" t="s">
        <v>1221</v>
      </c>
      <c r="J117" s="10" t="str">
        <f>image("https://archives.bulbagarden.net/media/upload/6/66/117MS6.png", 3)</f>
        <v/>
      </c>
      <c r="K117" s="11" t="s">
        <v>1219</v>
      </c>
      <c r="L117" s="12"/>
      <c r="M117" s="12"/>
      <c r="N117" s="12"/>
      <c r="O117" s="12"/>
      <c r="Q117" s="71">
        <v>55.0</v>
      </c>
      <c r="R117" s="72">
        <v>65.0</v>
      </c>
      <c r="S117" s="73">
        <v>95.0</v>
      </c>
      <c r="T117" s="74">
        <v>95.0</v>
      </c>
      <c r="U117" s="75">
        <v>45.0</v>
      </c>
      <c r="V117" s="76">
        <v>85.0</v>
      </c>
      <c r="W117" s="77">
        <v>440.0</v>
      </c>
      <c r="X117" s="21"/>
      <c r="Y117" s="71">
        <v>55.0</v>
      </c>
      <c r="Z117" s="72">
        <v>65.0</v>
      </c>
      <c r="AA117" s="73">
        <v>95.0</v>
      </c>
      <c r="AB117" s="74">
        <v>95.0</v>
      </c>
      <c r="AC117" s="75">
        <v>45.0</v>
      </c>
      <c r="AD117" s="76">
        <v>85.0</v>
      </c>
      <c r="AE117" s="77">
        <v>440.0</v>
      </c>
      <c r="AF117" s="21"/>
      <c r="AG117" s="71">
        <v>55.0</v>
      </c>
      <c r="AH117" s="72">
        <v>65.0</v>
      </c>
      <c r="AI117" s="73">
        <v>95.0</v>
      </c>
      <c r="AJ117" s="74">
        <v>95.0</v>
      </c>
      <c r="AK117" s="75">
        <v>45.0</v>
      </c>
      <c r="AL117" s="76">
        <v>85.0</v>
      </c>
      <c r="AM117" s="77">
        <v>440.0</v>
      </c>
      <c r="AN117" s="21"/>
      <c r="AO117" s="22">
        <v>55.0</v>
      </c>
      <c r="AP117" s="23">
        <v>65.0</v>
      </c>
      <c r="AQ117" s="23">
        <v>95.0</v>
      </c>
      <c r="AR117" s="23">
        <v>95.0</v>
      </c>
      <c r="AS117" s="23">
        <v>45.0</v>
      </c>
      <c r="AT117" s="23">
        <v>85.0</v>
      </c>
      <c r="AU117" s="24">
        <v>440.0</v>
      </c>
      <c r="AV117" s="21"/>
      <c r="AW117" s="78">
        <v>55.0</v>
      </c>
      <c r="AX117" s="80">
        <v>65.0</v>
      </c>
      <c r="AY117" s="79">
        <v>95.0</v>
      </c>
      <c r="AZ117" s="80">
        <v>95.0</v>
      </c>
      <c r="BA117" s="79">
        <v>45.0</v>
      </c>
      <c r="BB117" s="80">
        <v>85.0</v>
      </c>
      <c r="BC117" s="81">
        <v>440.0</v>
      </c>
      <c r="BE117" s="142" t="s">
        <v>101</v>
      </c>
      <c r="BF117" s="285" t="s">
        <v>4</v>
      </c>
      <c r="BG117" s="93"/>
      <c r="BI117" s="31" t="s">
        <v>5</v>
      </c>
      <c r="BJ117" s="32" t="s">
        <v>5</v>
      </c>
      <c r="BK117" s="32">
        <v>1.0</v>
      </c>
      <c r="BL117" s="32">
        <v>1.0</v>
      </c>
      <c r="BM117" s="32" t="s">
        <v>5</v>
      </c>
      <c r="BN117" s="33" t="s">
        <v>5</v>
      </c>
      <c r="BP117" s="115" t="s">
        <v>32</v>
      </c>
      <c r="BQ117" s="93"/>
      <c r="BS117" s="115" t="s">
        <v>32</v>
      </c>
      <c r="BT117" s="133"/>
      <c r="BU117" s="37" t="str">
        <f t="shared" si="1"/>
        <v>#NAME?</v>
      </c>
      <c r="BV117" s="89" t="s">
        <v>32</v>
      </c>
      <c r="BW117" s="37" t="str">
        <f t="shared" si="2"/>
        <v>#NAME?</v>
      </c>
      <c r="BX117" s="89"/>
      <c r="BY117" s="39"/>
      <c r="BZ117" s="39"/>
      <c r="CA117" s="40" t="s">
        <v>32</v>
      </c>
      <c r="CB117" s="41"/>
      <c r="CC117" s="90" t="s">
        <v>32</v>
      </c>
      <c r="CD117" s="91"/>
      <c r="CE117" s="21"/>
      <c r="CF117" s="92" t="s">
        <v>394</v>
      </c>
      <c r="CG117" s="93" t="s">
        <v>301</v>
      </c>
      <c r="CH117" s="21"/>
      <c r="CI117" s="92" t="s">
        <v>394</v>
      </c>
      <c r="CJ117" s="93" t="s">
        <v>301</v>
      </c>
      <c r="CK117" s="21"/>
      <c r="CL117" s="22" t="s">
        <v>394</v>
      </c>
      <c r="CM117" s="12"/>
      <c r="CN117" s="48"/>
      <c r="CO117" s="96" t="s">
        <v>301</v>
      </c>
      <c r="CP117" s="21"/>
      <c r="CQ117" s="2" t="s">
        <v>1222</v>
      </c>
      <c r="CR117" s="97">
        <v>40.0</v>
      </c>
      <c r="CS117" s="2" t="s">
        <v>1223</v>
      </c>
      <c r="CT117" s="98">
        <v>155.0</v>
      </c>
      <c r="CU117" s="2"/>
      <c r="CV117" s="52" t="s">
        <v>149</v>
      </c>
      <c r="CW117" s="52" t="s">
        <v>149</v>
      </c>
      <c r="CX117" s="2"/>
      <c r="CY117" s="118" t="s">
        <v>106</v>
      </c>
      <c r="CZ117" s="119" t="s">
        <v>61</v>
      </c>
      <c r="DA117" s="2"/>
      <c r="DB117" s="98">
        <v>75.0</v>
      </c>
      <c r="DC117" s="2"/>
      <c r="DD117" s="101" t="s">
        <v>150</v>
      </c>
      <c r="DE117" s="2"/>
      <c r="DF117" s="120" t="s">
        <v>1224</v>
      </c>
      <c r="DG117" s="173" t="s">
        <v>1215</v>
      </c>
      <c r="DH117" s="121"/>
      <c r="DI117" s="2"/>
      <c r="DJ117" s="2"/>
      <c r="DK117" s="59" t="s">
        <v>1225</v>
      </c>
      <c r="DL117" s="37" t="s">
        <v>76</v>
      </c>
      <c r="DM117" s="37" t="str">
        <f t="shared" si="3"/>
        <v>#NAME?</v>
      </c>
      <c r="DN117" s="61"/>
      <c r="DO117" s="37">
        <v>50.0</v>
      </c>
      <c r="DP117" s="105">
        <v>1.0</v>
      </c>
      <c r="DQ117" s="62" t="s">
        <v>49</v>
      </c>
      <c r="DR117" s="63"/>
      <c r="DS117" s="198"/>
      <c r="DT117" s="108"/>
      <c r="DU117" s="108"/>
      <c r="DV117" s="182"/>
      <c r="DW117" s="182"/>
      <c r="DX117" s="182"/>
      <c r="DY117" s="182"/>
      <c r="DZ117" s="182"/>
      <c r="EA117" s="182"/>
      <c r="EB117" s="21"/>
      <c r="EC117" s="21"/>
      <c r="ED117" s="21"/>
      <c r="EE117" s="21"/>
      <c r="EF117" s="149" t="s">
        <v>1226</v>
      </c>
      <c r="EG117" s="69" t="str">
        <f>image("https://www.pokebip.com/pages/icones/objets/muscle-x.png", 3)</f>
        <v/>
      </c>
      <c r="EH117" s="69"/>
      <c r="EI117" s="69"/>
    </row>
    <row r="118" ht="15.75" customHeight="1">
      <c r="A118" s="1">
        <v>118.0</v>
      </c>
      <c r="B118" s="2" t="s">
        <v>1227</v>
      </c>
      <c r="C118" s="7"/>
      <c r="D118" s="122" t="s">
        <v>1228</v>
      </c>
      <c r="E118" s="5"/>
      <c r="F118" s="123"/>
      <c r="G118" s="7"/>
      <c r="H118" s="8" t="s">
        <v>1229</v>
      </c>
      <c r="I118" s="9" t="s">
        <v>1230</v>
      </c>
      <c r="J118" s="10" t="str">
        <f>image("https://archives.bulbagarden.net/media/upload/c/cf/118MS6.png", 3)</f>
        <v/>
      </c>
      <c r="K118" s="11" t="s">
        <v>1228</v>
      </c>
      <c r="L118" s="12"/>
      <c r="M118" s="12"/>
      <c r="N118" s="12"/>
      <c r="O118" s="12"/>
      <c r="Q118" s="71">
        <v>45.0</v>
      </c>
      <c r="R118" s="72">
        <v>67.0</v>
      </c>
      <c r="S118" s="73">
        <v>60.0</v>
      </c>
      <c r="T118" s="74">
        <v>35.0</v>
      </c>
      <c r="U118" s="75">
        <v>50.0</v>
      </c>
      <c r="V118" s="76">
        <v>63.0</v>
      </c>
      <c r="W118" s="77">
        <v>320.0</v>
      </c>
      <c r="X118" s="21"/>
      <c r="Y118" s="71">
        <v>45.0</v>
      </c>
      <c r="Z118" s="72">
        <v>67.0</v>
      </c>
      <c r="AA118" s="73">
        <v>60.0</v>
      </c>
      <c r="AB118" s="74">
        <v>35.0</v>
      </c>
      <c r="AC118" s="75">
        <v>50.0</v>
      </c>
      <c r="AD118" s="76">
        <v>63.0</v>
      </c>
      <c r="AE118" s="77">
        <v>320.0</v>
      </c>
      <c r="AF118" s="21"/>
      <c r="AG118" s="71">
        <v>45.0</v>
      </c>
      <c r="AH118" s="109">
        <v>77.0</v>
      </c>
      <c r="AI118" s="73">
        <v>60.0</v>
      </c>
      <c r="AJ118" s="162">
        <v>25.0</v>
      </c>
      <c r="AK118" s="75">
        <v>50.0</v>
      </c>
      <c r="AL118" s="109">
        <v>73.0</v>
      </c>
      <c r="AM118" s="110">
        <v>330.0</v>
      </c>
      <c r="AN118" s="21"/>
      <c r="AO118" s="22">
        <v>45.0</v>
      </c>
      <c r="AP118" s="23" t="s">
        <v>1231</v>
      </c>
      <c r="AQ118" s="23">
        <v>60.0</v>
      </c>
      <c r="AR118" s="23" t="s">
        <v>1232</v>
      </c>
      <c r="AS118" s="23">
        <v>50.0</v>
      </c>
      <c r="AT118" s="23" t="s">
        <v>1233</v>
      </c>
      <c r="AU118" s="24" t="s">
        <v>1234</v>
      </c>
      <c r="AV118" s="21"/>
      <c r="AW118" s="78">
        <v>45.0</v>
      </c>
      <c r="AX118" s="111">
        <v>77.0</v>
      </c>
      <c r="AY118" s="80">
        <v>60.0</v>
      </c>
      <c r="AZ118" s="163">
        <v>25.0</v>
      </c>
      <c r="BA118" s="79">
        <v>50.0</v>
      </c>
      <c r="BB118" s="111">
        <v>73.0</v>
      </c>
      <c r="BC118" s="111">
        <v>330.0</v>
      </c>
      <c r="BE118" s="194" t="s">
        <v>325</v>
      </c>
      <c r="BF118" s="127"/>
      <c r="BG118" s="128"/>
      <c r="BI118" s="31" t="s">
        <v>5</v>
      </c>
      <c r="BJ118" s="32">
        <v>1.0</v>
      </c>
      <c r="BK118" s="32" t="s">
        <v>5</v>
      </c>
      <c r="BL118" s="32" t="s">
        <v>5</v>
      </c>
      <c r="BM118" s="32" t="s">
        <v>5</v>
      </c>
      <c r="BN118" s="33" t="s">
        <v>5</v>
      </c>
      <c r="BP118" s="85" t="s">
        <v>32</v>
      </c>
      <c r="BQ118" s="129"/>
      <c r="BS118" s="87" t="s">
        <v>32</v>
      </c>
      <c r="BT118" s="130"/>
      <c r="BU118" s="37" t="str">
        <f t="shared" si="1"/>
        <v>#NAME?</v>
      </c>
      <c r="BV118" s="89" t="s">
        <v>32</v>
      </c>
      <c r="BW118" s="37" t="str">
        <f t="shared" si="2"/>
        <v>#NAME?</v>
      </c>
      <c r="BX118" s="89"/>
      <c r="BY118" s="39"/>
      <c r="BZ118" s="39"/>
      <c r="CA118" s="40" t="s">
        <v>32</v>
      </c>
      <c r="CB118" s="41"/>
      <c r="CC118" s="90" t="s">
        <v>32</v>
      </c>
      <c r="CD118" s="91"/>
      <c r="CE118" s="21"/>
      <c r="CF118" s="92" t="s">
        <v>1212</v>
      </c>
      <c r="CG118" s="93" t="s">
        <v>1235</v>
      </c>
      <c r="CH118" s="21"/>
      <c r="CI118" s="92" t="s">
        <v>1212</v>
      </c>
      <c r="CJ118" s="93" t="s">
        <v>1235</v>
      </c>
      <c r="CK118" s="21"/>
      <c r="CL118" s="22" t="s">
        <v>1212</v>
      </c>
      <c r="CM118" s="12"/>
      <c r="CN118" s="48"/>
      <c r="CO118" s="96" t="s">
        <v>1235</v>
      </c>
      <c r="CP118" s="21"/>
      <c r="CQ118" s="2" t="s">
        <v>913</v>
      </c>
      <c r="CR118" s="97">
        <v>40.0</v>
      </c>
      <c r="CS118" s="2" t="s">
        <v>325</v>
      </c>
      <c r="CT118" s="98">
        <v>111.0</v>
      </c>
      <c r="CU118" s="2"/>
      <c r="CV118" s="256" t="s">
        <v>149</v>
      </c>
      <c r="CW118" s="256" t="s">
        <v>149</v>
      </c>
      <c r="CX118" s="2"/>
      <c r="CY118" s="100" t="s">
        <v>1236</v>
      </c>
      <c r="CZ118" s="154"/>
      <c r="DA118" s="2"/>
      <c r="DB118" s="98">
        <v>225.0</v>
      </c>
      <c r="DC118" s="2"/>
      <c r="DD118" s="101" t="s">
        <v>150</v>
      </c>
      <c r="DE118" s="2"/>
      <c r="DF118" s="131" t="s">
        <v>1237</v>
      </c>
      <c r="DG118" s="166" t="s">
        <v>1238</v>
      </c>
      <c r="DH118" s="103"/>
      <c r="DI118" s="21"/>
      <c r="DJ118" s="21"/>
      <c r="DK118" s="59" t="s">
        <v>1239</v>
      </c>
      <c r="DL118" s="37" t="s">
        <v>18</v>
      </c>
      <c r="DM118" s="37" t="str">
        <f t="shared" si="3"/>
        <v>#NAME?</v>
      </c>
      <c r="DN118" s="61"/>
      <c r="DO118" s="37">
        <v>35.0</v>
      </c>
      <c r="DP118" s="105">
        <v>1.0</v>
      </c>
      <c r="DQ118" s="62" t="s">
        <v>1158</v>
      </c>
      <c r="DR118" s="63"/>
      <c r="DS118" s="198"/>
      <c r="DT118" s="108"/>
      <c r="DU118" s="108"/>
      <c r="DV118" s="182"/>
      <c r="DW118" s="182"/>
      <c r="DX118" s="182"/>
      <c r="DY118" s="182"/>
      <c r="DZ118" s="182"/>
      <c r="EA118" s="182"/>
      <c r="EB118" s="2"/>
      <c r="EC118" s="2"/>
      <c r="ED118" s="2"/>
      <c r="EE118" s="2"/>
      <c r="EF118" s="149" t="s">
        <v>1240</v>
      </c>
      <c r="EG118" s="69" t="str">
        <f>image("https://www.pokebip.com/pages/icones/objets/precision-x.png", 3)</f>
        <v/>
      </c>
      <c r="EH118" s="69"/>
      <c r="EI118" s="69"/>
    </row>
    <row r="119" ht="15.75" customHeight="1">
      <c r="A119" s="1">
        <v>119.0</v>
      </c>
      <c r="B119" s="2" t="s">
        <v>1241</v>
      </c>
      <c r="C119" s="7"/>
      <c r="D119" s="122" t="s">
        <v>1242</v>
      </c>
      <c r="E119" s="5"/>
      <c r="F119" s="123"/>
      <c r="G119" s="7"/>
      <c r="H119" s="8" t="s">
        <v>1243</v>
      </c>
      <c r="I119" s="9" t="s">
        <v>1244</v>
      </c>
      <c r="J119" s="10" t="str">
        <f>image("https://archives.bulbagarden.net/media/upload/4/40/119MS6.png", 3)</f>
        <v/>
      </c>
      <c r="K119" s="11" t="s">
        <v>1242</v>
      </c>
      <c r="L119" s="12"/>
      <c r="M119" s="12"/>
      <c r="N119" s="12"/>
      <c r="O119" s="12"/>
      <c r="Q119" s="71">
        <v>80.0</v>
      </c>
      <c r="R119" s="72">
        <v>92.0</v>
      </c>
      <c r="S119" s="73">
        <v>65.0</v>
      </c>
      <c r="T119" s="74">
        <v>65.0</v>
      </c>
      <c r="U119" s="75">
        <v>80.0</v>
      </c>
      <c r="V119" s="76">
        <v>68.0</v>
      </c>
      <c r="W119" s="77">
        <v>450.0</v>
      </c>
      <c r="X119" s="21"/>
      <c r="Y119" s="71">
        <v>80.0</v>
      </c>
      <c r="Z119" s="72">
        <v>92.0</v>
      </c>
      <c r="AA119" s="73">
        <v>65.0</v>
      </c>
      <c r="AB119" s="74">
        <v>65.0</v>
      </c>
      <c r="AC119" s="75">
        <v>80.0</v>
      </c>
      <c r="AD119" s="76">
        <v>68.0</v>
      </c>
      <c r="AE119" s="77">
        <v>450.0</v>
      </c>
      <c r="AF119" s="21"/>
      <c r="AG119" s="71">
        <v>80.0</v>
      </c>
      <c r="AH119" s="109">
        <v>122.0</v>
      </c>
      <c r="AI119" s="109">
        <v>80.0</v>
      </c>
      <c r="AJ119" s="162">
        <v>45.0</v>
      </c>
      <c r="AK119" s="75">
        <v>80.0</v>
      </c>
      <c r="AL119" s="109">
        <v>78.0</v>
      </c>
      <c r="AM119" s="110">
        <v>485.0</v>
      </c>
      <c r="AN119" s="21"/>
      <c r="AO119" s="22">
        <v>80.0</v>
      </c>
      <c r="AP119" s="23" t="s">
        <v>1245</v>
      </c>
      <c r="AQ119" s="23" t="s">
        <v>337</v>
      </c>
      <c r="AR119" s="23" t="s">
        <v>174</v>
      </c>
      <c r="AS119" s="23">
        <v>80.0</v>
      </c>
      <c r="AT119" s="23" t="s">
        <v>1246</v>
      </c>
      <c r="AU119" s="24" t="s">
        <v>521</v>
      </c>
      <c r="AV119" s="21"/>
      <c r="AW119" s="78">
        <v>80.0</v>
      </c>
      <c r="AX119" s="111">
        <v>122.0</v>
      </c>
      <c r="AY119" s="187">
        <v>80.0</v>
      </c>
      <c r="AZ119" s="163">
        <v>45.0</v>
      </c>
      <c r="BA119" s="79">
        <v>80.0</v>
      </c>
      <c r="BB119" s="111">
        <v>78.0</v>
      </c>
      <c r="BC119" s="111">
        <v>485.0</v>
      </c>
      <c r="BE119" s="194" t="s">
        <v>216</v>
      </c>
      <c r="BF119" s="184"/>
      <c r="BG119" s="128"/>
      <c r="BI119" s="31" t="s">
        <v>5</v>
      </c>
      <c r="BJ119" s="32">
        <v>2.0</v>
      </c>
      <c r="BK119" s="32" t="s">
        <v>5</v>
      </c>
      <c r="BL119" s="32" t="s">
        <v>5</v>
      </c>
      <c r="BM119" s="32" t="s">
        <v>5</v>
      </c>
      <c r="BN119" s="33" t="s">
        <v>5</v>
      </c>
      <c r="BP119" s="115" t="s">
        <v>32</v>
      </c>
      <c r="BQ119" s="93"/>
      <c r="BS119" s="115" t="s">
        <v>32</v>
      </c>
      <c r="BT119" s="133"/>
      <c r="BU119" s="37" t="str">
        <f t="shared" si="1"/>
        <v>#NAME?</v>
      </c>
      <c r="BV119" s="89" t="s">
        <v>32</v>
      </c>
      <c r="BW119" s="37" t="str">
        <f t="shared" si="2"/>
        <v>#NAME?</v>
      </c>
      <c r="BX119" s="89"/>
      <c r="BY119" s="39"/>
      <c r="BZ119" s="39"/>
      <c r="CA119" s="40" t="s">
        <v>32</v>
      </c>
      <c r="CB119" s="41"/>
      <c r="CC119" s="90" t="s">
        <v>32</v>
      </c>
      <c r="CD119" s="91"/>
      <c r="CE119" s="21"/>
      <c r="CF119" s="92" t="s">
        <v>1212</v>
      </c>
      <c r="CG119" s="93" t="s">
        <v>1235</v>
      </c>
      <c r="CH119" s="21"/>
      <c r="CI119" s="92" t="s">
        <v>1212</v>
      </c>
      <c r="CJ119" s="93" t="s">
        <v>1235</v>
      </c>
      <c r="CK119" s="21"/>
      <c r="CL119" s="22" t="s">
        <v>1212</v>
      </c>
      <c r="CM119" s="12"/>
      <c r="CN119" s="48"/>
      <c r="CO119" s="96" t="s">
        <v>1235</v>
      </c>
      <c r="CP119" s="21"/>
      <c r="CQ119" s="2" t="s">
        <v>1247</v>
      </c>
      <c r="CR119" s="97">
        <v>60.0</v>
      </c>
      <c r="CS119" s="2" t="s">
        <v>216</v>
      </c>
      <c r="CT119" s="98">
        <v>170.0</v>
      </c>
      <c r="CU119" s="2"/>
      <c r="CV119" s="256" t="s">
        <v>149</v>
      </c>
      <c r="CW119" s="256" t="s">
        <v>149</v>
      </c>
      <c r="CX119" s="2"/>
      <c r="CY119" s="119" t="s">
        <v>1236</v>
      </c>
      <c r="CZ119" s="160"/>
      <c r="DA119" s="2"/>
      <c r="DB119" s="98">
        <v>60.0</v>
      </c>
      <c r="DC119" s="2"/>
      <c r="DD119" s="101" t="s">
        <v>150</v>
      </c>
      <c r="DE119" s="2"/>
      <c r="DF119" s="120" t="s">
        <v>1248</v>
      </c>
      <c r="DG119" s="173" t="s">
        <v>1238</v>
      </c>
      <c r="DH119" s="121"/>
      <c r="DI119" s="2"/>
      <c r="DJ119" s="2"/>
      <c r="DK119" s="59" t="s">
        <v>1249</v>
      </c>
      <c r="DL119" s="37" t="s">
        <v>109</v>
      </c>
      <c r="DM119" s="37" t="str">
        <f t="shared" si="3"/>
        <v>#NAME?</v>
      </c>
      <c r="DN119" s="61"/>
      <c r="DO119" s="37" t="s">
        <v>359</v>
      </c>
      <c r="DP119" s="37" t="s">
        <v>1250</v>
      </c>
      <c r="DQ119" s="62" t="s">
        <v>20</v>
      </c>
      <c r="DR119" s="63"/>
      <c r="DS119" s="198"/>
      <c r="DT119" s="108"/>
      <c r="DU119" s="108"/>
      <c r="DV119" s="182"/>
      <c r="DW119" s="182"/>
      <c r="DX119" s="182"/>
      <c r="DY119" s="182"/>
      <c r="DZ119" s="182"/>
      <c r="EA119" s="182"/>
      <c r="EB119" s="21"/>
      <c r="EC119" s="21"/>
      <c r="ED119" s="21"/>
      <c r="EE119" s="21"/>
      <c r="EF119" s="149" t="s">
        <v>1251</v>
      </c>
      <c r="EG119" s="69" t="str">
        <f>image("https://www.pokebip.com/pages/icones/objets/special-x.png", 3)</f>
        <v/>
      </c>
      <c r="EH119" s="69"/>
      <c r="EI119" s="69"/>
    </row>
    <row r="120" ht="15.75" customHeight="1">
      <c r="A120" s="1">
        <v>120.0</v>
      </c>
      <c r="B120" s="2" t="s">
        <v>1252</v>
      </c>
      <c r="C120" s="7"/>
      <c r="D120" s="167" t="s">
        <v>1253</v>
      </c>
      <c r="E120" s="5"/>
      <c r="F120" s="168"/>
      <c r="G120" s="7"/>
      <c r="H120" s="8" t="s">
        <v>1254</v>
      </c>
      <c r="I120" s="9" t="s">
        <v>1255</v>
      </c>
      <c r="J120" s="10" t="str">
        <f>image("https://archives.bulbagarden.net/media/upload/d/da/120MS6.png", 3)</f>
        <v/>
      </c>
      <c r="K120" s="11" t="s">
        <v>1253</v>
      </c>
      <c r="L120" s="12"/>
      <c r="M120" s="12"/>
      <c r="N120" s="12"/>
      <c r="O120" s="12"/>
      <c r="Q120" s="71">
        <v>30.0</v>
      </c>
      <c r="R120" s="72">
        <v>45.0</v>
      </c>
      <c r="S120" s="73">
        <v>55.0</v>
      </c>
      <c r="T120" s="74">
        <v>70.0</v>
      </c>
      <c r="U120" s="75">
        <v>55.0</v>
      </c>
      <c r="V120" s="76">
        <v>85.0</v>
      </c>
      <c r="W120" s="77">
        <v>340.0</v>
      </c>
      <c r="X120" s="21"/>
      <c r="Y120" s="71">
        <v>30.0</v>
      </c>
      <c r="Z120" s="72">
        <v>45.0</v>
      </c>
      <c r="AA120" s="73">
        <v>55.0</v>
      </c>
      <c r="AB120" s="74">
        <v>70.0</v>
      </c>
      <c r="AC120" s="75">
        <v>55.0</v>
      </c>
      <c r="AD120" s="76">
        <v>85.0</v>
      </c>
      <c r="AE120" s="77">
        <v>340.0</v>
      </c>
      <c r="AF120" s="21"/>
      <c r="AG120" s="71">
        <v>30.0</v>
      </c>
      <c r="AH120" s="72">
        <v>45.0</v>
      </c>
      <c r="AI120" s="73">
        <v>55.0</v>
      </c>
      <c r="AJ120" s="74">
        <v>70.0</v>
      </c>
      <c r="AK120" s="75">
        <v>55.0</v>
      </c>
      <c r="AL120" s="76">
        <v>85.0</v>
      </c>
      <c r="AM120" s="77">
        <v>340.0</v>
      </c>
      <c r="AN120" s="21"/>
      <c r="AO120" s="22">
        <v>30.0</v>
      </c>
      <c r="AP120" s="23">
        <v>45.0</v>
      </c>
      <c r="AQ120" s="23">
        <v>55.0</v>
      </c>
      <c r="AR120" s="23">
        <v>70.0</v>
      </c>
      <c r="AS120" s="23">
        <v>55.0</v>
      </c>
      <c r="AT120" s="23">
        <v>85.0</v>
      </c>
      <c r="AU120" s="24">
        <v>340.0</v>
      </c>
      <c r="AV120" s="21"/>
      <c r="AW120" s="78">
        <v>30.0</v>
      </c>
      <c r="AX120" s="124">
        <v>45.0</v>
      </c>
      <c r="AY120" s="124">
        <v>55.0</v>
      </c>
      <c r="AZ120" s="124">
        <v>70.0</v>
      </c>
      <c r="BA120" s="79">
        <v>55.0</v>
      </c>
      <c r="BB120" s="124">
        <v>85.0</v>
      </c>
      <c r="BC120" s="125">
        <v>340.0</v>
      </c>
      <c r="BE120" s="126" t="s">
        <v>56</v>
      </c>
      <c r="BF120" s="127"/>
      <c r="BG120" s="128"/>
      <c r="BI120" s="31" t="s">
        <v>5</v>
      </c>
      <c r="BJ120" s="32" t="s">
        <v>5</v>
      </c>
      <c r="BK120" s="32" t="s">
        <v>5</v>
      </c>
      <c r="BL120" s="32" t="s">
        <v>5</v>
      </c>
      <c r="BM120" s="32" t="s">
        <v>5</v>
      </c>
      <c r="BN120" s="33">
        <v>1.0</v>
      </c>
      <c r="BP120" s="85" t="s">
        <v>32</v>
      </c>
      <c r="BQ120" s="129"/>
      <c r="BS120" s="87" t="s">
        <v>32</v>
      </c>
      <c r="BT120" s="130"/>
      <c r="BU120" s="37" t="str">
        <f t="shared" si="1"/>
        <v>#NAME?</v>
      </c>
      <c r="BV120" s="89" t="s">
        <v>32</v>
      </c>
      <c r="BW120" s="37" t="str">
        <f t="shared" si="2"/>
        <v>#NAME?</v>
      </c>
      <c r="BX120" s="89"/>
      <c r="BY120" s="39"/>
      <c r="BZ120" s="39"/>
      <c r="CA120" s="40" t="s">
        <v>32</v>
      </c>
      <c r="CB120" s="41"/>
      <c r="CC120" s="90" t="s">
        <v>32</v>
      </c>
      <c r="CD120" s="91"/>
      <c r="CE120" s="21"/>
      <c r="CF120" s="92" t="s">
        <v>1256</v>
      </c>
      <c r="CG120" s="93" t="s">
        <v>1182</v>
      </c>
      <c r="CH120" s="21"/>
      <c r="CI120" s="92" t="s">
        <v>1256</v>
      </c>
      <c r="CJ120" s="93" t="s">
        <v>1182</v>
      </c>
      <c r="CK120" s="21"/>
      <c r="CL120" s="22" t="s">
        <v>1256</v>
      </c>
      <c r="CM120" s="12"/>
      <c r="CN120" s="48"/>
      <c r="CO120" s="96" t="s">
        <v>1182</v>
      </c>
      <c r="CP120" s="21"/>
      <c r="CQ120" s="2" t="s">
        <v>1257</v>
      </c>
      <c r="CR120" s="97">
        <v>60.0</v>
      </c>
      <c r="CS120" s="2" t="s">
        <v>56</v>
      </c>
      <c r="CT120" s="98">
        <v>106.0</v>
      </c>
      <c r="CU120" s="2"/>
      <c r="CV120" s="52" t="s">
        <v>890</v>
      </c>
      <c r="CW120" s="52" t="s">
        <v>890</v>
      </c>
      <c r="CX120" s="2"/>
      <c r="CY120" s="260" t="s">
        <v>807</v>
      </c>
      <c r="CZ120" s="154"/>
      <c r="DA120" s="2"/>
      <c r="DB120" s="98">
        <v>225.0</v>
      </c>
      <c r="DC120" s="2"/>
      <c r="DD120" s="101" t="s">
        <v>683</v>
      </c>
      <c r="DE120" s="2"/>
      <c r="DF120" s="131" t="s">
        <v>1258</v>
      </c>
      <c r="DG120" s="166" t="s">
        <v>1259</v>
      </c>
      <c r="DH120" s="103" t="s">
        <v>1260</v>
      </c>
      <c r="DI120" s="21"/>
      <c r="DJ120" s="21"/>
      <c r="DK120" s="59" t="s">
        <v>1261</v>
      </c>
      <c r="DL120" s="37" t="s">
        <v>18</v>
      </c>
      <c r="DM120" s="37" t="str">
        <f t="shared" si="3"/>
        <v>#NAME?</v>
      </c>
      <c r="DN120" s="61"/>
      <c r="DO120" s="37">
        <v>60.0</v>
      </c>
      <c r="DP120" s="105">
        <v>1.0</v>
      </c>
      <c r="DQ120" s="62" t="s">
        <v>20</v>
      </c>
      <c r="DR120" s="63"/>
      <c r="DS120" s="198"/>
      <c r="DT120" s="108"/>
      <c r="DU120" s="108"/>
      <c r="DV120" s="182"/>
      <c r="DW120" s="182"/>
      <c r="DX120" s="182"/>
      <c r="DY120" s="182"/>
      <c r="DZ120" s="182"/>
      <c r="EA120" s="182"/>
      <c r="EB120" s="2"/>
      <c r="EC120" s="2"/>
      <c r="ED120" s="2"/>
      <c r="EE120" s="2"/>
      <c r="EF120" s="149" t="s">
        <v>1262</v>
      </c>
      <c r="EG120" s="69" t="str">
        <f>image("https://www.pokebip.com/pages/icones/objets/vitesse-x.png", 3)</f>
        <v/>
      </c>
      <c r="EH120" s="69"/>
      <c r="EI120" s="69"/>
    </row>
    <row r="121" ht="15.75" customHeight="1">
      <c r="A121" s="1">
        <v>121.0</v>
      </c>
      <c r="B121" s="2" t="s">
        <v>1263</v>
      </c>
      <c r="C121" s="7"/>
      <c r="D121" s="180" t="s">
        <v>1264</v>
      </c>
      <c r="E121" s="5"/>
      <c r="F121" s="181"/>
      <c r="G121" s="7"/>
      <c r="H121" s="8" t="s">
        <v>1265</v>
      </c>
      <c r="I121" s="9" t="s">
        <v>1266</v>
      </c>
      <c r="J121" s="10" t="str">
        <f>image("https://archives.bulbagarden.net/media/upload/4/42/121MS6.png", 3)</f>
        <v/>
      </c>
      <c r="K121" s="11" t="s">
        <v>1264</v>
      </c>
      <c r="L121" s="12"/>
      <c r="M121" s="12"/>
      <c r="N121" s="12"/>
      <c r="O121" s="12"/>
      <c r="Q121" s="71">
        <v>60.0</v>
      </c>
      <c r="R121" s="72">
        <v>75.0</v>
      </c>
      <c r="S121" s="73">
        <v>85.0</v>
      </c>
      <c r="T121" s="74">
        <v>100.0</v>
      </c>
      <c r="U121" s="75">
        <v>85.0</v>
      </c>
      <c r="V121" s="76">
        <v>115.0</v>
      </c>
      <c r="W121" s="77">
        <v>520.0</v>
      </c>
      <c r="X121" s="21"/>
      <c r="Y121" s="71">
        <v>60.0</v>
      </c>
      <c r="Z121" s="72">
        <v>75.0</v>
      </c>
      <c r="AA121" s="73">
        <v>85.0</v>
      </c>
      <c r="AB121" s="74">
        <v>100.0</v>
      </c>
      <c r="AC121" s="75">
        <v>85.0</v>
      </c>
      <c r="AD121" s="76">
        <v>115.0</v>
      </c>
      <c r="AE121" s="77">
        <v>520.0</v>
      </c>
      <c r="AF121" s="21"/>
      <c r="AG121" s="71">
        <v>60.0</v>
      </c>
      <c r="AH121" s="72">
        <v>75.0</v>
      </c>
      <c r="AI121" s="73">
        <v>85.0</v>
      </c>
      <c r="AJ121" s="74">
        <v>100.0</v>
      </c>
      <c r="AK121" s="75">
        <v>85.0</v>
      </c>
      <c r="AL121" s="76">
        <v>115.0</v>
      </c>
      <c r="AM121" s="77">
        <v>520.0</v>
      </c>
      <c r="AN121" s="21"/>
      <c r="AO121" s="22">
        <v>60.0</v>
      </c>
      <c r="AP121" s="23">
        <v>75.0</v>
      </c>
      <c r="AQ121" s="23">
        <v>85.0</v>
      </c>
      <c r="AR121" s="23">
        <v>100.0</v>
      </c>
      <c r="AS121" s="23">
        <v>85.0</v>
      </c>
      <c r="AT121" s="23">
        <v>115.0</v>
      </c>
      <c r="AU121" s="24">
        <v>520.0</v>
      </c>
      <c r="AV121" s="21"/>
      <c r="AW121" s="78">
        <v>60.0</v>
      </c>
      <c r="AX121" s="80">
        <v>75.0</v>
      </c>
      <c r="AY121" s="79">
        <v>85.0</v>
      </c>
      <c r="AZ121" s="80">
        <v>100.0</v>
      </c>
      <c r="BA121" s="79">
        <v>85.0</v>
      </c>
      <c r="BB121" s="80">
        <v>115.0</v>
      </c>
      <c r="BC121" s="81">
        <v>520.0</v>
      </c>
      <c r="BE121" s="176" t="s">
        <v>248</v>
      </c>
      <c r="BF121" s="113"/>
      <c r="BG121" s="93"/>
      <c r="BI121" s="31" t="s">
        <v>5</v>
      </c>
      <c r="BJ121" s="32" t="s">
        <v>5</v>
      </c>
      <c r="BK121" s="32" t="s">
        <v>5</v>
      </c>
      <c r="BL121" s="32" t="s">
        <v>5</v>
      </c>
      <c r="BM121" s="32" t="s">
        <v>5</v>
      </c>
      <c r="BN121" s="33">
        <v>2.0</v>
      </c>
      <c r="BP121" s="115" t="s">
        <v>32</v>
      </c>
      <c r="BQ121" s="116" t="s">
        <v>122</v>
      </c>
      <c r="BS121" s="115" t="s">
        <v>32</v>
      </c>
      <c r="BT121" s="286" t="s">
        <v>122</v>
      </c>
      <c r="BU121" s="37" t="str">
        <f t="shared" si="1"/>
        <v>#NAME?</v>
      </c>
      <c r="BV121" s="89" t="s">
        <v>32</v>
      </c>
      <c r="BW121" s="37" t="str">
        <f t="shared" si="2"/>
        <v>#NAME?</v>
      </c>
      <c r="BX121" s="89" t="s">
        <v>122</v>
      </c>
      <c r="BY121" s="134"/>
      <c r="BZ121" s="134"/>
      <c r="CA121" s="135" t="s">
        <v>869</v>
      </c>
      <c r="CB121" s="136"/>
      <c r="CC121" s="90" t="s">
        <v>32</v>
      </c>
      <c r="CD121" s="137" t="s">
        <v>122</v>
      </c>
      <c r="CE121" s="2"/>
      <c r="CF121" s="92" t="s">
        <v>1256</v>
      </c>
      <c r="CG121" s="93" t="s">
        <v>1182</v>
      </c>
      <c r="CH121" s="2"/>
      <c r="CI121" s="92" t="s">
        <v>1256</v>
      </c>
      <c r="CJ121" s="188" t="s">
        <v>1182</v>
      </c>
      <c r="CK121" s="2"/>
      <c r="CL121" s="22" t="s">
        <v>1256</v>
      </c>
      <c r="CM121" s="12"/>
      <c r="CN121" s="48"/>
      <c r="CO121" s="189" t="s">
        <v>1182</v>
      </c>
      <c r="CP121" s="2"/>
      <c r="CQ121" s="2" t="s">
        <v>1205</v>
      </c>
      <c r="CR121" s="97">
        <v>80.0</v>
      </c>
      <c r="CS121" s="2" t="s">
        <v>248</v>
      </c>
      <c r="CT121" s="98">
        <v>207.0</v>
      </c>
      <c r="CU121" s="2"/>
      <c r="CV121" s="52" t="s">
        <v>890</v>
      </c>
      <c r="CW121" s="52" t="s">
        <v>890</v>
      </c>
      <c r="CX121" s="2"/>
      <c r="CY121" s="257" t="s">
        <v>807</v>
      </c>
      <c r="CZ121" s="160"/>
      <c r="DA121" s="2"/>
      <c r="DB121" s="98">
        <v>60.0</v>
      </c>
      <c r="DC121" s="2"/>
      <c r="DD121" s="101" t="s">
        <v>683</v>
      </c>
      <c r="DE121" s="2"/>
      <c r="DF121" s="120" t="s">
        <v>1267</v>
      </c>
      <c r="DG121" s="173" t="s">
        <v>1259</v>
      </c>
      <c r="DH121" s="121" t="s">
        <v>1260</v>
      </c>
      <c r="DI121" s="2"/>
      <c r="DJ121" s="2"/>
      <c r="DK121" s="59" t="s">
        <v>1268</v>
      </c>
      <c r="DL121" s="37" t="s">
        <v>7</v>
      </c>
      <c r="DM121" s="37" t="str">
        <f t="shared" si="3"/>
        <v>#NAME?</v>
      </c>
      <c r="DN121" s="61"/>
      <c r="DO121" s="37" t="s">
        <v>247</v>
      </c>
      <c r="DP121" s="37" t="s">
        <v>1269</v>
      </c>
      <c r="DQ121" s="62" t="s">
        <v>93</v>
      </c>
      <c r="DR121" s="63"/>
      <c r="DS121" s="198"/>
      <c r="DT121" s="108"/>
      <c r="DU121" s="108"/>
      <c r="DV121" s="182"/>
      <c r="DW121" s="182"/>
      <c r="DX121" s="182"/>
      <c r="DY121" s="182"/>
      <c r="DZ121" s="182"/>
      <c r="EA121" s="182"/>
      <c r="EB121" s="2"/>
      <c r="EC121" s="2"/>
      <c r="ED121" s="2"/>
      <c r="EE121" s="2"/>
      <c r="EF121" s="149" t="s">
        <v>1270</v>
      </c>
      <c r="EG121" s="69" t="str">
        <f>image("https://www.pokebip.com/pages/icones/objets/poke-poupee.png", 3)</f>
        <v/>
      </c>
      <c r="EH121" s="69"/>
      <c r="EI121" s="69"/>
    </row>
    <row r="122" ht="15.75" customHeight="1">
      <c r="A122" s="1">
        <v>122.0</v>
      </c>
      <c r="B122" s="2" t="s">
        <v>1271</v>
      </c>
      <c r="C122" s="7"/>
      <c r="D122" s="213" t="s">
        <v>1272</v>
      </c>
      <c r="E122" s="5"/>
      <c r="F122" s="214"/>
      <c r="G122" s="7"/>
      <c r="H122" s="8" t="s">
        <v>1273</v>
      </c>
      <c r="I122" s="9" t="s">
        <v>1274</v>
      </c>
      <c r="J122" s="10" t="str">
        <f>image("https://archives.bulbagarden.net/media/upload/8/84/122MS6.png", 3)</f>
        <v/>
      </c>
      <c r="K122" s="11" t="s">
        <v>1272</v>
      </c>
      <c r="L122" s="12"/>
      <c r="M122" s="12"/>
      <c r="N122" s="12"/>
      <c r="O122" s="12"/>
      <c r="Q122" s="71">
        <v>40.0</v>
      </c>
      <c r="R122" s="72">
        <v>45.0</v>
      </c>
      <c r="S122" s="73">
        <v>65.0</v>
      </c>
      <c r="T122" s="74">
        <v>100.0</v>
      </c>
      <c r="U122" s="75">
        <v>120.0</v>
      </c>
      <c r="V122" s="76">
        <v>90.0</v>
      </c>
      <c r="W122" s="77">
        <v>460.0</v>
      </c>
      <c r="X122" s="21"/>
      <c r="Y122" s="71">
        <v>40.0</v>
      </c>
      <c r="Z122" s="72">
        <v>45.0</v>
      </c>
      <c r="AA122" s="73">
        <v>65.0</v>
      </c>
      <c r="AB122" s="74">
        <v>100.0</v>
      </c>
      <c r="AC122" s="75">
        <v>120.0</v>
      </c>
      <c r="AD122" s="76">
        <v>90.0</v>
      </c>
      <c r="AE122" s="77">
        <v>460.0</v>
      </c>
      <c r="AF122" s="21"/>
      <c r="AG122" s="71">
        <v>40.0</v>
      </c>
      <c r="AH122" s="162">
        <v>35.0</v>
      </c>
      <c r="AI122" s="73">
        <v>65.0</v>
      </c>
      <c r="AJ122" s="109">
        <v>110.0</v>
      </c>
      <c r="AK122" s="75">
        <v>120.0</v>
      </c>
      <c r="AL122" s="109">
        <v>95.0</v>
      </c>
      <c r="AM122" s="110">
        <v>465.0</v>
      </c>
      <c r="AN122" s="21"/>
      <c r="AO122" s="22">
        <v>40.0</v>
      </c>
      <c r="AP122" s="23" t="s">
        <v>232</v>
      </c>
      <c r="AQ122" s="23">
        <v>65.0</v>
      </c>
      <c r="AR122" s="23" t="s">
        <v>40</v>
      </c>
      <c r="AS122" s="23">
        <v>120.0</v>
      </c>
      <c r="AT122" s="23" t="s">
        <v>215</v>
      </c>
      <c r="AU122" s="24" t="s">
        <v>638</v>
      </c>
      <c r="AV122" s="21"/>
      <c r="AW122" s="78">
        <v>40.0</v>
      </c>
      <c r="AX122" s="163">
        <v>35.0</v>
      </c>
      <c r="AY122" s="79">
        <v>65.0</v>
      </c>
      <c r="AZ122" s="111">
        <v>110.0</v>
      </c>
      <c r="BA122" s="79">
        <v>120.0</v>
      </c>
      <c r="BB122" s="111">
        <v>95.0</v>
      </c>
      <c r="BC122" s="111">
        <v>465.0</v>
      </c>
      <c r="BE122" s="150" t="s">
        <v>815</v>
      </c>
      <c r="BF122" s="113"/>
      <c r="BG122" s="84"/>
      <c r="BI122" s="31" t="s">
        <v>5</v>
      </c>
      <c r="BJ122" s="32" t="s">
        <v>5</v>
      </c>
      <c r="BK122" s="32" t="s">
        <v>5</v>
      </c>
      <c r="BL122" s="32" t="s">
        <v>5</v>
      </c>
      <c r="BM122" s="32">
        <v>2.0</v>
      </c>
      <c r="BN122" s="33" t="s">
        <v>5</v>
      </c>
      <c r="BP122" s="85" t="s">
        <v>122</v>
      </c>
      <c r="BQ122" s="129"/>
      <c r="BS122" s="287" t="s">
        <v>122</v>
      </c>
      <c r="BT122" s="288" t="s">
        <v>153</v>
      </c>
      <c r="BU122" s="37" t="str">
        <f t="shared" si="1"/>
        <v>#NAME?</v>
      </c>
      <c r="BV122" s="89" t="s">
        <v>122</v>
      </c>
      <c r="BW122" s="37" t="str">
        <f t="shared" si="2"/>
        <v>#NAME?</v>
      </c>
      <c r="BX122" s="89" t="s">
        <v>461</v>
      </c>
      <c r="BY122" s="39"/>
      <c r="BZ122" s="39"/>
      <c r="CA122" s="40" t="s">
        <v>1275</v>
      </c>
      <c r="CB122" s="41"/>
      <c r="CC122" s="37" t="s">
        <v>122</v>
      </c>
      <c r="CD122" s="139" t="s">
        <v>153</v>
      </c>
      <c r="CE122" s="21"/>
      <c r="CF122" s="92" t="s">
        <v>1067</v>
      </c>
      <c r="CG122" s="93" t="s">
        <v>1276</v>
      </c>
      <c r="CH122" s="21"/>
      <c r="CI122" s="277" t="s">
        <v>1276</v>
      </c>
      <c r="CJ122" s="46" t="s">
        <v>627</v>
      </c>
      <c r="CK122" s="21"/>
      <c r="CL122" s="22" t="s">
        <v>1277</v>
      </c>
      <c r="CM122" s="12"/>
      <c r="CN122" s="48"/>
      <c r="CO122" s="192" t="s">
        <v>1278</v>
      </c>
      <c r="CP122" s="21"/>
      <c r="CQ122" s="2" t="s">
        <v>1279</v>
      </c>
      <c r="CR122" s="97">
        <v>80.0</v>
      </c>
      <c r="CS122" s="2" t="s">
        <v>815</v>
      </c>
      <c r="CT122" s="98">
        <v>136.0</v>
      </c>
      <c r="CU122" s="2"/>
      <c r="CV122" s="52" t="s">
        <v>149</v>
      </c>
      <c r="CW122" s="52" t="s">
        <v>149</v>
      </c>
      <c r="CX122" s="2"/>
      <c r="CY122" s="100" t="s">
        <v>728</v>
      </c>
      <c r="CZ122" s="154"/>
      <c r="DA122" s="2"/>
      <c r="DB122" s="98">
        <v>45.0</v>
      </c>
      <c r="DC122" s="2"/>
      <c r="DD122" s="101" t="s">
        <v>150</v>
      </c>
      <c r="DE122" s="2"/>
      <c r="DF122" s="102" t="s">
        <v>1280</v>
      </c>
      <c r="DG122" s="103"/>
      <c r="DH122" s="103"/>
      <c r="DI122" s="2"/>
      <c r="DJ122" s="2"/>
      <c r="DK122" s="59" t="s">
        <v>1281</v>
      </c>
      <c r="DL122" s="37" t="s">
        <v>7</v>
      </c>
      <c r="DM122" s="37" t="str">
        <f t="shared" si="3"/>
        <v>#NAME?</v>
      </c>
      <c r="DN122" s="61"/>
      <c r="DO122" s="37">
        <v>80.0</v>
      </c>
      <c r="DP122" s="105">
        <v>1.0</v>
      </c>
      <c r="DQ122" s="62" t="s">
        <v>20</v>
      </c>
      <c r="DR122" s="63"/>
      <c r="DS122" s="198"/>
      <c r="DT122" s="108"/>
      <c r="DU122" s="108"/>
      <c r="DV122" s="182"/>
      <c r="DW122" s="182"/>
      <c r="DX122" s="182"/>
      <c r="DY122" s="182"/>
      <c r="DZ122" s="182"/>
      <c r="EA122" s="182"/>
      <c r="EB122" s="2"/>
      <c r="EC122" s="2"/>
      <c r="ED122" s="2"/>
      <c r="EE122" s="2"/>
      <c r="EF122" s="149" t="s">
        <v>1282</v>
      </c>
      <c r="EG122" s="69" t="str">
        <f>image("https://www.pokebip.com/pages/icones/objets/queue-skitty.png", 3)</f>
        <v/>
      </c>
      <c r="EH122" s="69"/>
      <c r="EI122" s="69"/>
    </row>
    <row r="123" ht="15.75" customHeight="1">
      <c r="A123" s="1">
        <v>123.0</v>
      </c>
      <c r="B123" s="2" t="s">
        <v>1283</v>
      </c>
      <c r="C123" s="7"/>
      <c r="D123" s="4" t="s">
        <v>1284</v>
      </c>
      <c r="E123" s="5"/>
      <c r="F123" s="6"/>
      <c r="G123" s="7"/>
      <c r="H123" s="8" t="s">
        <v>1285</v>
      </c>
      <c r="I123" s="9" t="s">
        <v>1286</v>
      </c>
      <c r="J123" s="10" t="str">
        <f>image("https://archives.bulbagarden.net/media/upload/5/5c/123MS6.png", 3)</f>
        <v/>
      </c>
      <c r="K123" s="11" t="s">
        <v>1284</v>
      </c>
      <c r="L123" s="12"/>
      <c r="M123" s="12"/>
      <c r="N123" s="12"/>
      <c r="O123" s="12"/>
      <c r="Q123" s="71">
        <v>70.0</v>
      </c>
      <c r="R123" s="72">
        <v>110.0</v>
      </c>
      <c r="S123" s="73">
        <v>80.0</v>
      </c>
      <c r="T123" s="74">
        <v>55.0</v>
      </c>
      <c r="U123" s="75">
        <v>80.0</v>
      </c>
      <c r="V123" s="76">
        <v>105.0</v>
      </c>
      <c r="W123" s="77">
        <v>500.0</v>
      </c>
      <c r="X123" s="21"/>
      <c r="Y123" s="71">
        <v>70.0</v>
      </c>
      <c r="Z123" s="72">
        <v>110.0</v>
      </c>
      <c r="AA123" s="73">
        <v>80.0</v>
      </c>
      <c r="AB123" s="74">
        <v>55.0</v>
      </c>
      <c r="AC123" s="75">
        <v>80.0</v>
      </c>
      <c r="AD123" s="76">
        <v>105.0</v>
      </c>
      <c r="AE123" s="77">
        <v>500.0</v>
      </c>
      <c r="AF123" s="21"/>
      <c r="AG123" s="71">
        <v>70.0</v>
      </c>
      <c r="AH123" s="72">
        <v>110.0</v>
      </c>
      <c r="AI123" s="73">
        <v>80.0</v>
      </c>
      <c r="AJ123" s="74">
        <v>55.0</v>
      </c>
      <c r="AK123" s="75">
        <v>80.0</v>
      </c>
      <c r="AL123" s="76">
        <v>105.0</v>
      </c>
      <c r="AM123" s="77">
        <v>500.0</v>
      </c>
      <c r="AN123" s="21"/>
      <c r="AO123" s="22">
        <v>70.0</v>
      </c>
      <c r="AP123" s="23">
        <v>110.0</v>
      </c>
      <c r="AQ123" s="23">
        <v>80.0</v>
      </c>
      <c r="AR123" s="23">
        <v>55.0</v>
      </c>
      <c r="AS123" s="23">
        <v>80.0</v>
      </c>
      <c r="AT123" s="23">
        <v>105.0</v>
      </c>
      <c r="AU123" s="24">
        <v>500.0</v>
      </c>
      <c r="AV123" s="21"/>
      <c r="AW123" s="258">
        <v>70.0</v>
      </c>
      <c r="AX123" s="182">
        <v>110.0</v>
      </c>
      <c r="AY123" s="79">
        <v>80.0</v>
      </c>
      <c r="AZ123" s="182">
        <v>55.0</v>
      </c>
      <c r="BA123" s="79">
        <v>80.0</v>
      </c>
      <c r="BB123" s="124">
        <v>105.0</v>
      </c>
      <c r="BC123" s="183">
        <v>500.0</v>
      </c>
      <c r="BE123" s="194" t="s">
        <v>325</v>
      </c>
      <c r="BF123" s="184"/>
      <c r="BG123" s="128"/>
      <c r="BI123" s="31" t="s">
        <v>5</v>
      </c>
      <c r="BJ123" s="32">
        <v>1.0</v>
      </c>
      <c r="BK123" s="32" t="s">
        <v>5</v>
      </c>
      <c r="BL123" s="32" t="s">
        <v>5</v>
      </c>
      <c r="BM123" s="32" t="s">
        <v>5</v>
      </c>
      <c r="BN123" s="33" t="s">
        <v>5</v>
      </c>
      <c r="BP123" s="115" t="s">
        <v>109</v>
      </c>
      <c r="BQ123" s="116" t="s">
        <v>18</v>
      </c>
      <c r="BS123" s="115" t="s">
        <v>109</v>
      </c>
      <c r="BT123" s="289" t="s">
        <v>18</v>
      </c>
      <c r="BU123" s="37" t="str">
        <f t="shared" si="1"/>
        <v>#NAME?</v>
      </c>
      <c r="BV123" s="89" t="s">
        <v>109</v>
      </c>
      <c r="BW123" s="37" t="str">
        <f t="shared" si="2"/>
        <v>#NAME?</v>
      </c>
      <c r="BX123" s="89" t="s">
        <v>18</v>
      </c>
      <c r="BY123" s="144"/>
      <c r="BZ123" s="144"/>
      <c r="CA123" s="145" t="s">
        <v>177</v>
      </c>
      <c r="CB123" s="146"/>
      <c r="CC123" s="90" t="s">
        <v>109</v>
      </c>
      <c r="CD123" s="147" t="s">
        <v>18</v>
      </c>
      <c r="CE123" s="2"/>
      <c r="CF123" s="92" t="s">
        <v>217</v>
      </c>
      <c r="CG123" s="93" t="s">
        <v>627</v>
      </c>
      <c r="CH123" s="2"/>
      <c r="CI123" s="272" t="s">
        <v>627</v>
      </c>
      <c r="CJ123" s="275" t="s">
        <v>217</v>
      </c>
      <c r="CK123" s="2"/>
      <c r="CL123" s="22" t="s">
        <v>628</v>
      </c>
      <c r="CM123" s="12"/>
      <c r="CN123" s="48"/>
      <c r="CO123" s="242" t="s">
        <v>217</v>
      </c>
      <c r="CP123" s="2"/>
      <c r="CQ123" s="2" t="s">
        <v>1287</v>
      </c>
      <c r="CR123" s="97">
        <v>80.0</v>
      </c>
      <c r="CS123" s="2" t="s">
        <v>325</v>
      </c>
      <c r="CT123" s="98">
        <v>187.0</v>
      </c>
      <c r="CU123" s="2"/>
      <c r="CV123" s="52" t="s">
        <v>149</v>
      </c>
      <c r="CW123" s="52" t="s">
        <v>149</v>
      </c>
      <c r="CX123" s="2"/>
      <c r="CY123" s="119" t="s">
        <v>109</v>
      </c>
      <c r="CZ123" s="160"/>
      <c r="DA123" s="2"/>
      <c r="DB123" s="98">
        <v>45.0</v>
      </c>
      <c r="DC123" s="2"/>
      <c r="DD123" s="101" t="s">
        <v>150</v>
      </c>
      <c r="DE123" s="2"/>
      <c r="DF123" s="148" t="s">
        <v>1288</v>
      </c>
      <c r="DG123" s="121"/>
      <c r="DH123" s="121"/>
      <c r="DI123" s="21"/>
      <c r="DJ123" s="21"/>
      <c r="DK123" s="59" t="s">
        <v>1289</v>
      </c>
      <c r="DL123" s="37" t="s">
        <v>7</v>
      </c>
      <c r="DM123" s="37" t="str">
        <f t="shared" si="3"/>
        <v>#NAME?</v>
      </c>
      <c r="DN123" s="61"/>
      <c r="DO123" s="37">
        <v>15.0</v>
      </c>
      <c r="DP123" s="105">
        <v>1.0</v>
      </c>
      <c r="DQ123" s="62" t="s">
        <v>1158</v>
      </c>
      <c r="DR123" s="63"/>
      <c r="DS123" s="198"/>
      <c r="DT123" s="108"/>
      <c r="DU123" s="108"/>
      <c r="DV123" s="182"/>
      <c r="DW123" s="182"/>
      <c r="DX123" s="182"/>
      <c r="DY123" s="182"/>
      <c r="DZ123" s="182"/>
      <c r="EA123" s="182"/>
      <c r="EB123" s="21"/>
      <c r="EC123" s="21"/>
      <c r="ED123" s="21"/>
      <c r="EE123" s="21"/>
      <c r="EF123" s="149" t="s">
        <v>1290</v>
      </c>
      <c r="EG123" s="69" t="str">
        <f>image("https://www.pokebip.com/pages/icones/objets/flute-bleue.png", 3)</f>
        <v/>
      </c>
      <c r="EH123" s="69"/>
      <c r="EI123" s="69"/>
    </row>
    <row r="124" ht="15.75" customHeight="1">
      <c r="A124" s="1">
        <v>124.0</v>
      </c>
      <c r="B124" s="2" t="s">
        <v>1291</v>
      </c>
      <c r="C124" s="7"/>
      <c r="D124" s="122" t="s">
        <v>1292</v>
      </c>
      <c r="E124" s="5"/>
      <c r="F124" s="123"/>
      <c r="G124" s="7"/>
      <c r="H124" s="8" t="s">
        <v>1293</v>
      </c>
      <c r="I124" s="9" t="s">
        <v>1294</v>
      </c>
      <c r="J124" s="10" t="str">
        <f>image("https://archives.bulbagarden.net/media/upload/6/65/124MS6.png", 3)</f>
        <v/>
      </c>
      <c r="K124" s="11" t="s">
        <v>1292</v>
      </c>
      <c r="L124" s="12"/>
      <c r="M124" s="12"/>
      <c r="N124" s="12"/>
      <c r="O124" s="12"/>
      <c r="Q124" s="71">
        <v>65.0</v>
      </c>
      <c r="R124" s="72">
        <v>50.0</v>
      </c>
      <c r="S124" s="73">
        <v>35.0</v>
      </c>
      <c r="T124" s="74">
        <v>115.0</v>
      </c>
      <c r="U124" s="75">
        <v>95.0</v>
      </c>
      <c r="V124" s="76">
        <v>95.0</v>
      </c>
      <c r="W124" s="77">
        <v>455.0</v>
      </c>
      <c r="X124" s="21"/>
      <c r="Y124" s="71">
        <v>65.0</v>
      </c>
      <c r="Z124" s="72">
        <v>50.0</v>
      </c>
      <c r="AA124" s="73">
        <v>35.0</v>
      </c>
      <c r="AB124" s="74">
        <v>115.0</v>
      </c>
      <c r="AC124" s="75">
        <v>95.0</v>
      </c>
      <c r="AD124" s="76">
        <v>95.0</v>
      </c>
      <c r="AE124" s="77">
        <v>455.0</v>
      </c>
      <c r="AF124" s="21"/>
      <c r="AG124" s="261">
        <v>75.0</v>
      </c>
      <c r="AH124" s="162">
        <v>40.0</v>
      </c>
      <c r="AI124" s="73">
        <v>35.0</v>
      </c>
      <c r="AJ124" s="109">
        <v>125.0</v>
      </c>
      <c r="AK124" s="75">
        <v>95.0</v>
      </c>
      <c r="AL124" s="76">
        <v>95.0</v>
      </c>
      <c r="AM124" s="110">
        <v>465.0</v>
      </c>
      <c r="AN124" s="21"/>
      <c r="AO124" s="22" t="s">
        <v>154</v>
      </c>
      <c r="AP124" s="23" t="s">
        <v>214</v>
      </c>
      <c r="AQ124" s="23">
        <v>35.0</v>
      </c>
      <c r="AR124" s="23" t="s">
        <v>1295</v>
      </c>
      <c r="AS124" s="23">
        <v>95.0</v>
      </c>
      <c r="AT124" s="23">
        <v>95.0</v>
      </c>
      <c r="AU124" s="24" t="s">
        <v>638</v>
      </c>
      <c r="AV124" s="21"/>
      <c r="AW124" s="187">
        <v>75.0</v>
      </c>
      <c r="AX124" s="163">
        <v>40.0</v>
      </c>
      <c r="AY124" s="79">
        <v>35.0</v>
      </c>
      <c r="AZ124" s="111">
        <v>125.0</v>
      </c>
      <c r="BA124" s="79">
        <v>95.0</v>
      </c>
      <c r="BB124" s="79">
        <v>95.0</v>
      </c>
      <c r="BC124" s="111">
        <v>465.0</v>
      </c>
      <c r="BE124" s="112" t="s">
        <v>42</v>
      </c>
      <c r="BF124" s="113"/>
      <c r="BG124" s="84"/>
      <c r="BI124" s="31" t="s">
        <v>5</v>
      </c>
      <c r="BJ124" s="32" t="s">
        <v>5</v>
      </c>
      <c r="BK124" s="32" t="s">
        <v>5</v>
      </c>
      <c r="BL124" s="32">
        <v>2.0</v>
      </c>
      <c r="BM124" s="32" t="s">
        <v>5</v>
      </c>
      <c r="BN124" s="33" t="s">
        <v>5</v>
      </c>
      <c r="BP124" s="85" t="s">
        <v>120</v>
      </c>
      <c r="BQ124" s="86" t="s">
        <v>122</v>
      </c>
      <c r="BS124" s="87" t="s">
        <v>120</v>
      </c>
      <c r="BT124" s="88" t="s">
        <v>122</v>
      </c>
      <c r="BU124" s="37" t="str">
        <f t="shared" si="1"/>
        <v>#NAME?</v>
      </c>
      <c r="BV124" s="89" t="s">
        <v>120</v>
      </c>
      <c r="BW124" s="37" t="str">
        <f t="shared" si="2"/>
        <v>#NAME?</v>
      </c>
      <c r="BX124" s="89" t="s">
        <v>122</v>
      </c>
      <c r="BY124" s="39"/>
      <c r="BZ124" s="39"/>
      <c r="CA124" s="40" t="s">
        <v>1296</v>
      </c>
      <c r="CB124" s="41"/>
      <c r="CC124" s="90" t="s">
        <v>120</v>
      </c>
      <c r="CD124" s="91" t="s">
        <v>122</v>
      </c>
      <c r="CE124" s="2"/>
      <c r="CF124" s="92" t="s">
        <v>870</v>
      </c>
      <c r="CG124" s="93" t="s">
        <v>1033</v>
      </c>
      <c r="CH124" s="2"/>
      <c r="CI124" s="152" t="s">
        <v>574</v>
      </c>
      <c r="CJ124" s="290" t="s">
        <v>1033</v>
      </c>
      <c r="CK124" s="2"/>
      <c r="CL124" s="22" t="s">
        <v>1297</v>
      </c>
      <c r="CM124" s="12"/>
      <c r="CN124" s="48"/>
      <c r="CO124" s="282" t="s">
        <v>1033</v>
      </c>
      <c r="CP124" s="2"/>
      <c r="CQ124" s="2" t="s">
        <v>1298</v>
      </c>
      <c r="CR124" s="97">
        <v>60.0</v>
      </c>
      <c r="CS124" s="2" t="s">
        <v>42</v>
      </c>
      <c r="CT124" s="98">
        <v>137.0</v>
      </c>
      <c r="CU124" s="2"/>
      <c r="CV124" s="202">
        <v>0.0</v>
      </c>
      <c r="CW124" s="52" t="s">
        <v>397</v>
      </c>
      <c r="CX124" s="2"/>
      <c r="CY124" s="100" t="s">
        <v>728</v>
      </c>
      <c r="CZ124" s="154"/>
      <c r="DA124" s="2"/>
      <c r="DB124" s="98">
        <v>45.0</v>
      </c>
      <c r="DC124" s="2"/>
      <c r="DD124" s="101" t="s">
        <v>150</v>
      </c>
      <c r="DE124" s="2"/>
      <c r="DF124" s="102" t="s">
        <v>1299</v>
      </c>
      <c r="DG124" s="103"/>
      <c r="DH124" s="103"/>
      <c r="DI124" s="2"/>
      <c r="DJ124" s="2"/>
      <c r="DK124" s="59" t="s">
        <v>1300</v>
      </c>
      <c r="DL124" s="37" t="s">
        <v>7</v>
      </c>
      <c r="DM124" s="37" t="str">
        <f t="shared" si="3"/>
        <v>#NAME?</v>
      </c>
      <c r="DN124" s="61"/>
      <c r="DO124" s="37" t="s">
        <v>128</v>
      </c>
      <c r="DP124" s="105">
        <v>1.0</v>
      </c>
      <c r="DQ124" s="62" t="s">
        <v>472</v>
      </c>
      <c r="DR124" s="63"/>
      <c r="DS124" s="198"/>
      <c r="DT124" s="108"/>
      <c r="DU124" s="108"/>
      <c r="DV124" s="182"/>
      <c r="DW124" s="182"/>
      <c r="DX124" s="182"/>
      <c r="DY124" s="182"/>
      <c r="DZ124" s="182"/>
      <c r="EA124" s="182"/>
      <c r="EB124" s="21"/>
      <c r="EC124" s="21"/>
      <c r="ED124" s="21"/>
      <c r="EE124" s="21"/>
      <c r="EF124" s="149" t="s">
        <v>1301</v>
      </c>
      <c r="EG124" s="69" t="str">
        <f>image("https://www.pokebip.com/pages/icones/objets/flute-jaune.png", 3)</f>
        <v/>
      </c>
      <c r="EH124" s="69"/>
      <c r="EI124" s="69"/>
    </row>
    <row r="125" ht="15.75" customHeight="1">
      <c r="A125" s="1">
        <v>125.0</v>
      </c>
      <c r="B125" s="2" t="s">
        <v>1302</v>
      </c>
      <c r="C125" s="7"/>
      <c r="D125" s="169" t="s">
        <v>1303</v>
      </c>
      <c r="E125" s="5"/>
      <c r="F125" s="170"/>
      <c r="G125" s="7"/>
      <c r="H125" s="8" t="s">
        <v>1304</v>
      </c>
      <c r="I125" s="9" t="s">
        <v>1305</v>
      </c>
      <c r="J125" s="10" t="str">
        <f>image("https://archives.bulbagarden.net/media/upload/9/9b/125MS6.png", 3)</f>
        <v/>
      </c>
      <c r="K125" s="11" t="s">
        <v>1303</v>
      </c>
      <c r="L125" s="12"/>
      <c r="M125" s="12"/>
      <c r="N125" s="12"/>
      <c r="O125" s="12"/>
      <c r="Q125" s="71">
        <v>65.0</v>
      </c>
      <c r="R125" s="72">
        <v>83.0</v>
      </c>
      <c r="S125" s="73">
        <v>57.0</v>
      </c>
      <c r="T125" s="74">
        <v>95.0</v>
      </c>
      <c r="U125" s="75">
        <v>85.0</v>
      </c>
      <c r="V125" s="76">
        <v>105.0</v>
      </c>
      <c r="W125" s="77">
        <v>490.0</v>
      </c>
      <c r="X125" s="21"/>
      <c r="Y125" s="71">
        <v>65.0</v>
      </c>
      <c r="Z125" s="72">
        <v>83.0</v>
      </c>
      <c r="AA125" s="73">
        <v>57.0</v>
      </c>
      <c r="AB125" s="74">
        <v>95.0</v>
      </c>
      <c r="AC125" s="75">
        <v>85.0</v>
      </c>
      <c r="AD125" s="76">
        <v>105.0</v>
      </c>
      <c r="AE125" s="77">
        <v>490.0</v>
      </c>
      <c r="AF125" s="21"/>
      <c r="AG125" s="71">
        <v>65.0</v>
      </c>
      <c r="AH125" s="72">
        <v>83.0</v>
      </c>
      <c r="AI125" s="73">
        <v>57.0</v>
      </c>
      <c r="AJ125" s="74">
        <v>95.0</v>
      </c>
      <c r="AK125" s="75">
        <v>85.0</v>
      </c>
      <c r="AL125" s="76">
        <v>105.0</v>
      </c>
      <c r="AM125" s="77">
        <v>490.0</v>
      </c>
      <c r="AN125" s="21"/>
      <c r="AO125" s="22">
        <v>65.0</v>
      </c>
      <c r="AP125" s="23">
        <v>83.0</v>
      </c>
      <c r="AQ125" s="23">
        <v>57.0</v>
      </c>
      <c r="AR125" s="23">
        <v>95.0</v>
      </c>
      <c r="AS125" s="23">
        <v>85.0</v>
      </c>
      <c r="AT125" s="23">
        <v>105.0</v>
      </c>
      <c r="AU125" s="24">
        <v>490.0</v>
      </c>
      <c r="AV125" s="21"/>
      <c r="AW125" s="265">
        <v>65.0</v>
      </c>
      <c r="AX125" s="124">
        <v>83.0</v>
      </c>
      <c r="AY125" s="79">
        <v>57.0</v>
      </c>
      <c r="AZ125" s="124">
        <v>95.0</v>
      </c>
      <c r="BA125" s="79">
        <v>85.0</v>
      </c>
      <c r="BB125" s="79">
        <v>105.0</v>
      </c>
      <c r="BC125" s="125">
        <v>490.0</v>
      </c>
      <c r="BE125" s="176" t="s">
        <v>248</v>
      </c>
      <c r="BF125" s="113"/>
      <c r="BG125" s="93"/>
      <c r="BI125" s="31" t="s">
        <v>5</v>
      </c>
      <c r="BJ125" s="32" t="s">
        <v>5</v>
      </c>
      <c r="BK125" s="32" t="s">
        <v>5</v>
      </c>
      <c r="BL125" s="32" t="s">
        <v>5</v>
      </c>
      <c r="BM125" s="32" t="s">
        <v>5</v>
      </c>
      <c r="BN125" s="33">
        <v>2.0</v>
      </c>
      <c r="BP125" s="115" t="s">
        <v>197</v>
      </c>
      <c r="BQ125" s="93"/>
      <c r="BS125" s="115" t="s">
        <v>197</v>
      </c>
      <c r="BT125" s="133"/>
      <c r="BU125" s="37" t="str">
        <f t="shared" si="1"/>
        <v>#NAME?</v>
      </c>
      <c r="BV125" s="89" t="s">
        <v>197</v>
      </c>
      <c r="BW125" s="37" t="str">
        <f t="shared" si="2"/>
        <v>#NAME?</v>
      </c>
      <c r="BX125" s="89"/>
      <c r="BY125" s="39"/>
      <c r="BZ125" s="39"/>
      <c r="CA125" s="40" t="s">
        <v>197</v>
      </c>
      <c r="CB125" s="41"/>
      <c r="CC125" s="90" t="s">
        <v>197</v>
      </c>
      <c r="CD125" s="91"/>
      <c r="CE125" s="21"/>
      <c r="CF125" s="92" t="s">
        <v>352</v>
      </c>
      <c r="CG125" s="93"/>
      <c r="CH125" s="21"/>
      <c r="CI125" s="291" t="s">
        <v>352</v>
      </c>
      <c r="CJ125" s="46" t="s">
        <v>666</v>
      </c>
      <c r="CK125" s="21"/>
      <c r="CL125" s="22" t="s">
        <v>352</v>
      </c>
      <c r="CM125" s="12"/>
      <c r="CN125" s="48"/>
      <c r="CO125" s="192" t="s">
        <v>1306</v>
      </c>
      <c r="CP125" s="21"/>
      <c r="CQ125" s="2" t="s">
        <v>249</v>
      </c>
      <c r="CR125" s="97">
        <v>60.0</v>
      </c>
      <c r="CS125" s="2" t="s">
        <v>248</v>
      </c>
      <c r="CT125" s="98">
        <v>156.0</v>
      </c>
      <c r="CU125" s="2"/>
      <c r="CV125" s="52" t="s">
        <v>467</v>
      </c>
      <c r="CW125" s="52" t="s">
        <v>466</v>
      </c>
      <c r="CX125" s="2"/>
      <c r="CY125" s="119" t="s">
        <v>728</v>
      </c>
      <c r="CZ125" s="160"/>
      <c r="DA125" s="2"/>
      <c r="DB125" s="98">
        <v>45.0</v>
      </c>
      <c r="DC125" s="2"/>
      <c r="DD125" s="101" t="s">
        <v>150</v>
      </c>
      <c r="DE125" s="2"/>
      <c r="DF125" s="120" t="s">
        <v>1307</v>
      </c>
      <c r="DG125" s="173" t="s">
        <v>1308</v>
      </c>
      <c r="DH125" s="121"/>
      <c r="DI125" s="2"/>
      <c r="DJ125" s="2"/>
      <c r="DK125" s="59" t="s">
        <v>1309</v>
      </c>
      <c r="DL125" s="37" t="s">
        <v>156</v>
      </c>
      <c r="DM125" s="37" t="str">
        <f t="shared" si="3"/>
        <v>#NAME?</v>
      </c>
      <c r="DN125" s="61"/>
      <c r="DO125" s="37">
        <v>40.0</v>
      </c>
      <c r="DP125" s="105">
        <v>1.0</v>
      </c>
      <c r="DQ125" s="62" t="s">
        <v>1158</v>
      </c>
      <c r="DR125" s="155"/>
      <c r="DS125" s="251"/>
      <c r="DT125" s="108"/>
      <c r="DU125" s="108"/>
      <c r="DV125" s="252"/>
      <c r="DW125" s="252"/>
      <c r="DX125" s="252"/>
      <c r="DY125" s="252"/>
      <c r="DZ125" s="252"/>
      <c r="EA125" s="252"/>
      <c r="EB125" s="2"/>
      <c r="EC125" s="2"/>
      <c r="ED125" s="2"/>
      <c r="EE125" s="2"/>
      <c r="EF125" s="149" t="s">
        <v>1310</v>
      </c>
      <c r="EG125" s="69" t="str">
        <f>image("https://www.pokebip.com/pages/icones/objets/flute-rouge.png", 3)</f>
        <v/>
      </c>
      <c r="EH125" s="69"/>
      <c r="EI125" s="69"/>
    </row>
    <row r="126" ht="15.75" customHeight="1">
      <c r="A126" s="1">
        <v>126.0</v>
      </c>
      <c r="B126" s="2" t="s">
        <v>1311</v>
      </c>
      <c r="C126" s="7"/>
      <c r="D126" s="122" t="s">
        <v>1312</v>
      </c>
      <c r="E126" s="5"/>
      <c r="F126" s="123"/>
      <c r="G126" s="7"/>
      <c r="H126" s="8" t="s">
        <v>1313</v>
      </c>
      <c r="I126" s="9" t="s">
        <v>1314</v>
      </c>
      <c r="J126" s="10" t="str">
        <f>image("https://archives.bulbagarden.net/media/upload/3/39/126MS6.png", 3)</f>
        <v/>
      </c>
      <c r="K126" s="11" t="s">
        <v>1312</v>
      </c>
      <c r="L126" s="12"/>
      <c r="M126" s="12"/>
      <c r="N126" s="12"/>
      <c r="O126" s="12"/>
      <c r="Q126" s="71">
        <v>65.0</v>
      </c>
      <c r="R126" s="72">
        <v>95.0</v>
      </c>
      <c r="S126" s="73">
        <v>57.0</v>
      </c>
      <c r="T126" s="74">
        <v>100.0</v>
      </c>
      <c r="U126" s="75">
        <v>85.0</v>
      </c>
      <c r="V126" s="76">
        <v>93.0</v>
      </c>
      <c r="W126" s="77">
        <v>495.0</v>
      </c>
      <c r="X126" s="21"/>
      <c r="Y126" s="71">
        <v>65.0</v>
      </c>
      <c r="Z126" s="72">
        <v>95.0</v>
      </c>
      <c r="AA126" s="73">
        <v>57.0</v>
      </c>
      <c r="AB126" s="74">
        <v>100.0</v>
      </c>
      <c r="AC126" s="75">
        <v>85.0</v>
      </c>
      <c r="AD126" s="76">
        <v>93.0</v>
      </c>
      <c r="AE126" s="77">
        <v>495.0</v>
      </c>
      <c r="AF126" s="21"/>
      <c r="AG126" s="71">
        <v>65.0</v>
      </c>
      <c r="AH126" s="72">
        <v>95.0</v>
      </c>
      <c r="AI126" s="73">
        <v>57.0</v>
      </c>
      <c r="AJ126" s="74">
        <v>100.0</v>
      </c>
      <c r="AK126" s="75">
        <v>85.0</v>
      </c>
      <c r="AL126" s="76">
        <v>93.0</v>
      </c>
      <c r="AM126" s="77">
        <v>495.0</v>
      </c>
      <c r="AN126" s="21"/>
      <c r="AO126" s="22">
        <v>65.0</v>
      </c>
      <c r="AP126" s="23">
        <v>95.0</v>
      </c>
      <c r="AQ126" s="23">
        <v>57.0</v>
      </c>
      <c r="AR126" s="23">
        <v>100.0</v>
      </c>
      <c r="AS126" s="23">
        <v>85.0</v>
      </c>
      <c r="AT126" s="23">
        <v>93.0</v>
      </c>
      <c r="AU126" s="24">
        <v>495.0</v>
      </c>
      <c r="AV126" s="21"/>
      <c r="AW126" s="78">
        <v>65.0</v>
      </c>
      <c r="AX126" s="79">
        <v>95.0</v>
      </c>
      <c r="AY126" s="79">
        <v>57.0</v>
      </c>
      <c r="AZ126" s="79">
        <v>100.0</v>
      </c>
      <c r="BA126" s="79">
        <v>85.0</v>
      </c>
      <c r="BB126" s="79">
        <v>93.0</v>
      </c>
      <c r="BC126" s="201">
        <v>495.0</v>
      </c>
      <c r="BE126" s="112" t="s">
        <v>42</v>
      </c>
      <c r="BF126" s="113"/>
      <c r="BG126" s="84"/>
      <c r="BI126" s="31" t="s">
        <v>5</v>
      </c>
      <c r="BJ126" s="32" t="s">
        <v>5</v>
      </c>
      <c r="BK126" s="32" t="s">
        <v>5</v>
      </c>
      <c r="BL126" s="32">
        <v>2.0</v>
      </c>
      <c r="BM126" s="32" t="s">
        <v>5</v>
      </c>
      <c r="BN126" s="33" t="s">
        <v>5</v>
      </c>
      <c r="BP126" s="85" t="s">
        <v>34</v>
      </c>
      <c r="BQ126" s="129"/>
      <c r="BS126" s="87" t="s">
        <v>34</v>
      </c>
      <c r="BT126" s="130"/>
      <c r="BU126" s="37" t="str">
        <f t="shared" si="1"/>
        <v>#NAME?</v>
      </c>
      <c r="BV126" s="89" t="s">
        <v>34</v>
      </c>
      <c r="BW126" s="37" t="str">
        <f t="shared" si="2"/>
        <v>#NAME?</v>
      </c>
      <c r="BX126" s="89"/>
      <c r="BY126" s="39"/>
      <c r="BZ126" s="39"/>
      <c r="CA126" s="40" t="s">
        <v>34</v>
      </c>
      <c r="CB126" s="41"/>
      <c r="CC126" s="90" t="s">
        <v>34</v>
      </c>
      <c r="CD126" s="91"/>
      <c r="CE126" s="21"/>
      <c r="CF126" s="92" t="s">
        <v>1315</v>
      </c>
      <c r="CG126" s="93"/>
      <c r="CH126" s="21"/>
      <c r="CI126" s="191" t="s">
        <v>1315</v>
      </c>
      <c r="CJ126" s="152" t="s">
        <v>666</v>
      </c>
      <c r="CK126" s="21"/>
      <c r="CL126" s="22" t="s">
        <v>1315</v>
      </c>
      <c r="CM126" s="12"/>
      <c r="CN126" s="48"/>
      <c r="CO126" s="193" t="s">
        <v>1306</v>
      </c>
      <c r="CP126" s="21"/>
      <c r="CQ126" s="2" t="s">
        <v>1316</v>
      </c>
      <c r="CR126" s="97">
        <v>60.0</v>
      </c>
      <c r="CS126" s="2" t="s">
        <v>42</v>
      </c>
      <c r="CT126" s="98">
        <v>167.0</v>
      </c>
      <c r="CU126" s="2"/>
      <c r="CV126" s="52" t="s">
        <v>467</v>
      </c>
      <c r="CW126" s="52" t="s">
        <v>466</v>
      </c>
      <c r="CX126" s="2"/>
      <c r="CY126" s="100" t="s">
        <v>728</v>
      </c>
      <c r="CZ126" s="154"/>
      <c r="DA126" s="2"/>
      <c r="DB126" s="98">
        <v>45.0</v>
      </c>
      <c r="DC126" s="2"/>
      <c r="DD126" s="101" t="s">
        <v>150</v>
      </c>
      <c r="DE126" s="2"/>
      <c r="DF126" s="102" t="s">
        <v>1317</v>
      </c>
      <c r="DG126" s="166" t="s">
        <v>1318</v>
      </c>
      <c r="DH126" s="103"/>
      <c r="DI126" s="2"/>
      <c r="DJ126" s="2"/>
      <c r="DK126" s="59" t="s">
        <v>1319</v>
      </c>
      <c r="DL126" s="37" t="s">
        <v>6</v>
      </c>
      <c r="DM126" s="37" t="str">
        <f t="shared" si="3"/>
        <v>#NAME?</v>
      </c>
      <c r="DN126" s="61"/>
      <c r="DO126" s="37">
        <v>120.0</v>
      </c>
      <c r="DP126" s="105">
        <v>0.85</v>
      </c>
      <c r="DQ126" s="62" t="s">
        <v>49</v>
      </c>
      <c r="DR126" s="63"/>
      <c r="DS126" s="198"/>
      <c r="DT126" s="108"/>
      <c r="DU126" s="108"/>
      <c r="DV126" s="182"/>
      <c r="DW126" s="182"/>
      <c r="DX126" s="182"/>
      <c r="DY126" s="182"/>
      <c r="DZ126" s="182"/>
      <c r="EA126" s="182"/>
      <c r="EB126" s="21"/>
      <c r="EC126" s="21"/>
      <c r="ED126" s="21"/>
      <c r="EE126" s="21"/>
      <c r="EF126" s="149"/>
      <c r="EG126" s="69" t="str">
        <f>image("", 3)</f>
        <v/>
      </c>
      <c r="EH126" s="69"/>
      <c r="EI126" s="69"/>
    </row>
    <row r="127" ht="15.75" customHeight="1">
      <c r="A127" s="1">
        <v>127.0</v>
      </c>
      <c r="B127" s="2" t="s">
        <v>1320</v>
      </c>
      <c r="C127" s="7"/>
      <c r="D127" s="167" t="s">
        <v>1321</v>
      </c>
      <c r="E127" s="5"/>
      <c r="F127" s="168"/>
      <c r="G127" s="7"/>
      <c r="H127" s="8" t="s">
        <v>1322</v>
      </c>
      <c r="I127" s="9" t="s">
        <v>1323</v>
      </c>
      <c r="J127" s="10" t="str">
        <f>image("https://archives.bulbagarden.net/media/upload/f/fa/127MS6.png", 3)</f>
        <v/>
      </c>
      <c r="K127" s="11" t="s">
        <v>1321</v>
      </c>
      <c r="L127" s="12"/>
      <c r="M127" s="12"/>
      <c r="N127" s="12"/>
      <c r="O127" s="12"/>
      <c r="Q127" s="71">
        <v>65.0</v>
      </c>
      <c r="R127" s="72">
        <v>125.0</v>
      </c>
      <c r="S127" s="73">
        <v>100.0</v>
      </c>
      <c r="T127" s="74">
        <v>55.0</v>
      </c>
      <c r="U127" s="75">
        <v>70.0</v>
      </c>
      <c r="V127" s="76">
        <v>85.0</v>
      </c>
      <c r="W127" s="77">
        <v>500.0</v>
      </c>
      <c r="X127" s="21"/>
      <c r="Y127" s="71">
        <v>65.0</v>
      </c>
      <c r="Z127" s="72">
        <v>125.0</v>
      </c>
      <c r="AA127" s="73">
        <v>100.0</v>
      </c>
      <c r="AB127" s="74">
        <v>55.0</v>
      </c>
      <c r="AC127" s="75">
        <v>70.0</v>
      </c>
      <c r="AD127" s="76">
        <v>85.0</v>
      </c>
      <c r="AE127" s="77">
        <v>500.0</v>
      </c>
      <c r="AF127" s="21"/>
      <c r="AG127" s="71">
        <v>65.0</v>
      </c>
      <c r="AH127" s="72">
        <v>125.0</v>
      </c>
      <c r="AI127" s="73">
        <v>100.0</v>
      </c>
      <c r="AJ127" s="74">
        <v>55.0</v>
      </c>
      <c r="AK127" s="75">
        <v>70.0</v>
      </c>
      <c r="AL127" s="76">
        <v>85.0</v>
      </c>
      <c r="AM127" s="77">
        <v>500.0</v>
      </c>
      <c r="AN127" s="21"/>
      <c r="AO127" s="22">
        <v>65.0</v>
      </c>
      <c r="AP127" s="23">
        <v>125.0</v>
      </c>
      <c r="AQ127" s="23">
        <v>100.0</v>
      </c>
      <c r="AR127" s="23">
        <v>55.0</v>
      </c>
      <c r="AS127" s="23">
        <v>70.0</v>
      </c>
      <c r="AT127" s="23">
        <v>85.0</v>
      </c>
      <c r="AU127" s="24">
        <v>500.0</v>
      </c>
      <c r="AV127" s="21"/>
      <c r="AW127" s="78">
        <v>65.0</v>
      </c>
      <c r="AX127" s="79">
        <v>125.0</v>
      </c>
      <c r="AY127" s="79">
        <v>100.0</v>
      </c>
      <c r="AZ127" s="79">
        <v>55.0</v>
      </c>
      <c r="BA127" s="79">
        <v>70.0</v>
      </c>
      <c r="BB127" s="79">
        <v>85.0</v>
      </c>
      <c r="BC127" s="201">
        <v>500.0</v>
      </c>
      <c r="BE127" s="172" t="s">
        <v>216</v>
      </c>
      <c r="BF127" s="113"/>
      <c r="BG127" s="93"/>
      <c r="BI127" s="31" t="s">
        <v>5</v>
      </c>
      <c r="BJ127" s="32">
        <v>2.0</v>
      </c>
      <c r="BK127" s="32" t="s">
        <v>5</v>
      </c>
      <c r="BL127" s="32" t="s">
        <v>5</v>
      </c>
      <c r="BM127" s="32" t="s">
        <v>5</v>
      </c>
      <c r="BN127" s="33" t="s">
        <v>5</v>
      </c>
      <c r="BP127" s="115" t="s">
        <v>109</v>
      </c>
      <c r="BQ127" s="93"/>
      <c r="BS127" s="115" t="s">
        <v>109</v>
      </c>
      <c r="BT127" s="133"/>
      <c r="BU127" s="37" t="str">
        <f t="shared" si="1"/>
        <v>#NAME?</v>
      </c>
      <c r="BV127" s="89" t="s">
        <v>109</v>
      </c>
      <c r="BW127" s="37" t="str">
        <f t="shared" si="2"/>
        <v>#NAME?</v>
      </c>
      <c r="BX127" s="89"/>
      <c r="BY127" s="39"/>
      <c r="BZ127" s="39"/>
      <c r="CA127" s="40" t="s">
        <v>109</v>
      </c>
      <c r="CB127" s="41"/>
      <c r="CC127" s="90" t="s">
        <v>109</v>
      </c>
      <c r="CD127" s="91"/>
      <c r="CE127" s="21"/>
      <c r="CF127" s="92" t="s">
        <v>1050</v>
      </c>
      <c r="CG127" s="93" t="s">
        <v>1324</v>
      </c>
      <c r="CH127" s="21"/>
      <c r="CI127" s="92" t="s">
        <v>1050</v>
      </c>
      <c r="CJ127" s="195" t="s">
        <v>1324</v>
      </c>
      <c r="CK127" s="21"/>
      <c r="CL127" s="22" t="s">
        <v>1050</v>
      </c>
      <c r="CM127" s="12"/>
      <c r="CN127" s="48"/>
      <c r="CO127" s="196" t="s">
        <v>1324</v>
      </c>
      <c r="CP127" s="21"/>
      <c r="CQ127" s="2" t="s">
        <v>538</v>
      </c>
      <c r="CR127" s="97">
        <v>80.0</v>
      </c>
      <c r="CS127" s="2" t="s">
        <v>216</v>
      </c>
      <c r="CT127" s="98">
        <v>200.0</v>
      </c>
      <c r="CU127" s="2"/>
      <c r="CV127" s="52" t="s">
        <v>149</v>
      </c>
      <c r="CW127" s="52" t="s">
        <v>149</v>
      </c>
      <c r="CX127" s="2"/>
      <c r="CY127" s="119" t="s">
        <v>109</v>
      </c>
      <c r="CZ127" s="160"/>
      <c r="DA127" s="2"/>
      <c r="DB127" s="98">
        <v>45.0</v>
      </c>
      <c r="DC127" s="2"/>
      <c r="DD127" s="101" t="s">
        <v>683</v>
      </c>
      <c r="DE127" s="2"/>
      <c r="DF127" s="120" t="s">
        <v>914</v>
      </c>
      <c r="DG127" s="121"/>
      <c r="DH127" s="121"/>
      <c r="DI127" s="2"/>
      <c r="DJ127" s="2"/>
      <c r="DK127" s="59" t="s">
        <v>1325</v>
      </c>
      <c r="DL127" s="37" t="s">
        <v>156</v>
      </c>
      <c r="DM127" s="37" t="str">
        <f t="shared" si="3"/>
        <v>#NAME?</v>
      </c>
      <c r="DN127" s="61"/>
      <c r="DO127" s="37" t="s">
        <v>19</v>
      </c>
      <c r="DP127" s="105">
        <v>0.9</v>
      </c>
      <c r="DQ127" s="62" t="s">
        <v>93</v>
      </c>
      <c r="DR127" s="63"/>
      <c r="DS127" s="198"/>
      <c r="DT127" s="108"/>
      <c r="DU127" s="108"/>
      <c r="DV127" s="182"/>
      <c r="DW127" s="182"/>
      <c r="DX127" s="182"/>
      <c r="DY127" s="182"/>
      <c r="DZ127" s="182"/>
      <c r="EA127" s="182"/>
      <c r="EB127" s="2"/>
      <c r="EC127" s="2"/>
      <c r="ED127" s="2"/>
      <c r="EE127" s="2"/>
      <c r="EF127" s="149" t="s">
        <v>1326</v>
      </c>
      <c r="EG127" s="69" t="str">
        <f>image("https://www.pokebip.com/pages/icones/balls/bis.png", 3)</f>
        <v/>
      </c>
      <c r="EH127" s="69"/>
      <c r="EI127" s="69"/>
    </row>
    <row r="128" ht="15.75" customHeight="1">
      <c r="A128" s="1">
        <v>128.0</v>
      </c>
      <c r="B128" s="2" t="s">
        <v>1327</v>
      </c>
      <c r="C128" s="7"/>
      <c r="D128" s="167" t="s">
        <v>1328</v>
      </c>
      <c r="E128" s="5"/>
      <c r="F128" s="168"/>
      <c r="G128" s="7"/>
      <c r="H128" s="8" t="s">
        <v>1329</v>
      </c>
      <c r="I128" s="9" t="s">
        <v>1330</v>
      </c>
      <c r="J128" s="10" t="str">
        <f>image("https://archives.bulbagarden.net/media/upload/1/13/128MS6.png", 3)</f>
        <v/>
      </c>
      <c r="K128" s="11" t="s">
        <v>1328</v>
      </c>
      <c r="L128" s="12"/>
      <c r="M128" s="12"/>
      <c r="N128" s="12"/>
      <c r="O128" s="12"/>
      <c r="Q128" s="71">
        <v>75.0</v>
      </c>
      <c r="R128" s="72">
        <v>100.0</v>
      </c>
      <c r="S128" s="73">
        <v>95.0</v>
      </c>
      <c r="T128" s="74">
        <v>40.0</v>
      </c>
      <c r="U128" s="75">
        <v>70.0</v>
      </c>
      <c r="V128" s="76">
        <v>110.0</v>
      </c>
      <c r="W128" s="77">
        <v>490.0</v>
      </c>
      <c r="X128" s="21"/>
      <c r="Y128" s="71">
        <v>75.0</v>
      </c>
      <c r="Z128" s="72">
        <v>100.0</v>
      </c>
      <c r="AA128" s="73">
        <v>95.0</v>
      </c>
      <c r="AB128" s="74">
        <v>40.0</v>
      </c>
      <c r="AC128" s="75">
        <v>70.0</v>
      </c>
      <c r="AD128" s="76">
        <v>110.0</v>
      </c>
      <c r="AE128" s="77">
        <v>490.0</v>
      </c>
      <c r="AF128" s="21"/>
      <c r="AG128" s="71">
        <v>75.0</v>
      </c>
      <c r="AH128" s="72">
        <v>100.0</v>
      </c>
      <c r="AI128" s="73">
        <v>95.0</v>
      </c>
      <c r="AJ128" s="74">
        <v>40.0</v>
      </c>
      <c r="AK128" s="75">
        <v>70.0</v>
      </c>
      <c r="AL128" s="76">
        <v>110.0</v>
      </c>
      <c r="AM128" s="77">
        <v>490.0</v>
      </c>
      <c r="AN128" s="21"/>
      <c r="AO128" s="22">
        <v>75.0</v>
      </c>
      <c r="AP128" s="23">
        <v>100.0</v>
      </c>
      <c r="AQ128" s="23">
        <v>95.0</v>
      </c>
      <c r="AR128" s="23">
        <v>40.0</v>
      </c>
      <c r="AS128" s="23">
        <v>70.0</v>
      </c>
      <c r="AT128" s="23">
        <v>110.0</v>
      </c>
      <c r="AU128" s="24">
        <v>490.0</v>
      </c>
      <c r="AV128" s="21"/>
      <c r="AW128" s="78">
        <v>75.0</v>
      </c>
      <c r="AX128" s="79">
        <v>100.0</v>
      </c>
      <c r="AY128" s="79">
        <v>95.0</v>
      </c>
      <c r="AZ128" s="79">
        <v>40.0</v>
      </c>
      <c r="BA128" s="79">
        <v>70.0</v>
      </c>
      <c r="BB128" s="79">
        <v>110.0</v>
      </c>
      <c r="BC128" s="201">
        <v>490.0</v>
      </c>
      <c r="BE128" s="194" t="s">
        <v>325</v>
      </c>
      <c r="BF128" s="132" t="s">
        <v>56</v>
      </c>
      <c r="BG128" s="84"/>
      <c r="BI128" s="31" t="s">
        <v>5</v>
      </c>
      <c r="BJ128" s="32">
        <v>1.0</v>
      </c>
      <c r="BK128" s="32" t="s">
        <v>5</v>
      </c>
      <c r="BL128" s="32" t="s">
        <v>5</v>
      </c>
      <c r="BM128" s="32" t="s">
        <v>5</v>
      </c>
      <c r="BN128" s="33">
        <v>1.0</v>
      </c>
      <c r="BP128" s="85" t="s">
        <v>156</v>
      </c>
      <c r="BQ128" s="129"/>
      <c r="BS128" s="87" t="s">
        <v>156</v>
      </c>
      <c r="BT128" s="130"/>
      <c r="BU128" s="37" t="str">
        <f t="shared" si="1"/>
        <v>#NAME?</v>
      </c>
      <c r="BV128" s="89" t="s">
        <v>156</v>
      </c>
      <c r="BW128" s="37" t="str">
        <f t="shared" si="2"/>
        <v>#NAME?</v>
      </c>
      <c r="BX128" s="89"/>
      <c r="BY128" s="39"/>
      <c r="BZ128" s="39"/>
      <c r="CA128" s="40" t="s">
        <v>156</v>
      </c>
      <c r="CB128" s="41"/>
      <c r="CC128" s="90" t="s">
        <v>156</v>
      </c>
      <c r="CD128" s="91"/>
      <c r="CE128" s="21"/>
      <c r="CF128" s="92" t="s">
        <v>326</v>
      </c>
      <c r="CG128" s="93" t="s">
        <v>667</v>
      </c>
      <c r="CH128" s="21"/>
      <c r="CI128" s="92" t="s">
        <v>326</v>
      </c>
      <c r="CJ128" s="93" t="s">
        <v>667</v>
      </c>
      <c r="CK128" s="21"/>
      <c r="CL128" s="22" t="s">
        <v>326</v>
      </c>
      <c r="CM128" s="12"/>
      <c r="CN128" s="48"/>
      <c r="CO128" s="96" t="s">
        <v>667</v>
      </c>
      <c r="CP128" s="21"/>
      <c r="CQ128" s="2" t="s">
        <v>1331</v>
      </c>
      <c r="CR128" s="97">
        <v>80.0</v>
      </c>
      <c r="CS128" s="2" t="s">
        <v>1332</v>
      </c>
      <c r="CT128" s="98">
        <v>211.0</v>
      </c>
      <c r="CU128" s="2"/>
      <c r="CV128" s="52" t="s">
        <v>397</v>
      </c>
      <c r="CW128" s="202">
        <v>0.0</v>
      </c>
      <c r="CX128" s="2"/>
      <c r="CY128" s="100" t="s">
        <v>277</v>
      </c>
      <c r="CZ128" s="154"/>
      <c r="DA128" s="2"/>
      <c r="DB128" s="98">
        <v>45.0</v>
      </c>
      <c r="DC128" s="2"/>
      <c r="DD128" s="101" t="s">
        <v>683</v>
      </c>
      <c r="DE128" s="2"/>
      <c r="DF128" s="102" t="s">
        <v>914</v>
      </c>
      <c r="DG128" s="103"/>
      <c r="DH128" s="103"/>
      <c r="DI128" s="2"/>
      <c r="DJ128" s="2"/>
      <c r="DK128" s="59" t="s">
        <v>1333</v>
      </c>
      <c r="DL128" s="37" t="s">
        <v>122</v>
      </c>
      <c r="DM128" s="37" t="str">
        <f t="shared" si="3"/>
        <v>#NAME?</v>
      </c>
      <c r="DN128" s="61"/>
      <c r="DO128" s="37">
        <v>70.0</v>
      </c>
      <c r="DP128" s="105">
        <v>1.0</v>
      </c>
      <c r="DQ128" s="62" t="s">
        <v>20</v>
      </c>
      <c r="DR128" s="63"/>
      <c r="DS128" s="198"/>
      <c r="DT128" s="108"/>
      <c r="DU128" s="108"/>
      <c r="DV128" s="182"/>
      <c r="DW128" s="182"/>
      <c r="DX128" s="182"/>
      <c r="DY128" s="182"/>
      <c r="DZ128" s="182"/>
      <c r="EA128" s="182"/>
      <c r="EB128" s="2"/>
      <c r="EC128" s="2"/>
      <c r="ED128" s="2"/>
      <c r="EE128" s="2"/>
      <c r="EF128" s="149" t="s">
        <v>1334</v>
      </c>
      <c r="EG128" s="69" t="str">
        <f>image("https://www.pokebip.com/pages/icones/balls/chrono.png", 3)</f>
        <v/>
      </c>
      <c r="EH128" s="69"/>
      <c r="EI128" s="69"/>
    </row>
    <row r="129" ht="15.75" customHeight="1">
      <c r="A129" s="1">
        <v>129.0</v>
      </c>
      <c r="B129" s="2" t="s">
        <v>1335</v>
      </c>
      <c r="C129" s="7"/>
      <c r="D129" s="122" t="s">
        <v>1336</v>
      </c>
      <c r="E129" s="5"/>
      <c r="F129" s="123"/>
      <c r="G129" s="7"/>
      <c r="H129" s="8" t="s">
        <v>1337</v>
      </c>
      <c r="I129" s="9" t="s">
        <v>1338</v>
      </c>
      <c r="J129" s="10" t="str">
        <f>image("https://archives.bulbagarden.net/media/upload/8/85/129MS6.png", 3)</f>
        <v/>
      </c>
      <c r="K129" s="11" t="s">
        <v>1336</v>
      </c>
      <c r="L129" s="12"/>
      <c r="M129" s="12"/>
      <c r="N129" s="12"/>
      <c r="O129" s="12"/>
      <c r="Q129" s="71">
        <v>20.0</v>
      </c>
      <c r="R129" s="72">
        <v>10.0</v>
      </c>
      <c r="S129" s="73">
        <v>55.0</v>
      </c>
      <c r="T129" s="74">
        <v>15.0</v>
      </c>
      <c r="U129" s="75">
        <v>20.0</v>
      </c>
      <c r="V129" s="76">
        <v>80.0</v>
      </c>
      <c r="W129" s="77">
        <v>200.0</v>
      </c>
      <c r="X129" s="21"/>
      <c r="Y129" s="71">
        <v>20.0</v>
      </c>
      <c r="Z129" s="72">
        <v>10.0</v>
      </c>
      <c r="AA129" s="73">
        <v>55.0</v>
      </c>
      <c r="AB129" s="74">
        <v>15.0</v>
      </c>
      <c r="AC129" s="75">
        <v>20.0</v>
      </c>
      <c r="AD129" s="76">
        <v>80.0</v>
      </c>
      <c r="AE129" s="77">
        <v>200.0</v>
      </c>
      <c r="AF129" s="21"/>
      <c r="AG129" s="71">
        <v>20.0</v>
      </c>
      <c r="AH129" s="72">
        <v>10.0</v>
      </c>
      <c r="AI129" s="73">
        <v>55.0</v>
      </c>
      <c r="AJ129" s="74">
        <v>15.0</v>
      </c>
      <c r="AK129" s="75">
        <v>20.0</v>
      </c>
      <c r="AL129" s="76">
        <v>80.0</v>
      </c>
      <c r="AM129" s="77">
        <v>200.0</v>
      </c>
      <c r="AN129" s="21"/>
      <c r="AO129" s="22">
        <v>20.0</v>
      </c>
      <c r="AP129" s="23">
        <v>10.0</v>
      </c>
      <c r="AQ129" s="23">
        <v>55.0</v>
      </c>
      <c r="AR129" s="23">
        <v>15.0</v>
      </c>
      <c r="AS129" s="23">
        <v>20.0</v>
      </c>
      <c r="AT129" s="23">
        <v>80.0</v>
      </c>
      <c r="AU129" s="24">
        <v>200.0</v>
      </c>
      <c r="AV129" s="21"/>
      <c r="AW129" s="78">
        <v>20.0</v>
      </c>
      <c r="AX129" s="79">
        <v>10.0</v>
      </c>
      <c r="AY129" s="79">
        <v>55.0</v>
      </c>
      <c r="AZ129" s="79">
        <v>15.0</v>
      </c>
      <c r="BA129" s="79">
        <v>20.0</v>
      </c>
      <c r="BB129" s="79">
        <v>80.0</v>
      </c>
      <c r="BC129" s="201">
        <v>200.0</v>
      </c>
      <c r="BE129" s="126" t="s">
        <v>56</v>
      </c>
      <c r="BF129" s="184"/>
      <c r="BG129" s="128"/>
      <c r="BI129" s="31" t="s">
        <v>5</v>
      </c>
      <c r="BJ129" s="32" t="s">
        <v>5</v>
      </c>
      <c r="BK129" s="32" t="s">
        <v>5</v>
      </c>
      <c r="BL129" s="32" t="s">
        <v>5</v>
      </c>
      <c r="BM129" s="32" t="s">
        <v>5</v>
      </c>
      <c r="BN129" s="33">
        <v>1.0</v>
      </c>
      <c r="BP129" s="115" t="s">
        <v>32</v>
      </c>
      <c r="BQ129" s="93"/>
      <c r="BS129" s="115" t="s">
        <v>32</v>
      </c>
      <c r="BT129" s="133"/>
      <c r="BU129" s="37" t="str">
        <f t="shared" si="1"/>
        <v>#NAME?</v>
      </c>
      <c r="BV129" s="89" t="s">
        <v>32</v>
      </c>
      <c r="BW129" s="37" t="str">
        <f t="shared" si="2"/>
        <v>#NAME?</v>
      </c>
      <c r="BX129" s="89"/>
      <c r="BY129" s="39"/>
      <c r="BZ129" s="39"/>
      <c r="CA129" s="40" t="s">
        <v>32</v>
      </c>
      <c r="CB129" s="41"/>
      <c r="CC129" s="90" t="s">
        <v>32</v>
      </c>
      <c r="CD129" s="91"/>
      <c r="CE129" s="21"/>
      <c r="CF129" s="92" t="s">
        <v>1212</v>
      </c>
      <c r="CG129" s="93"/>
      <c r="CH129" s="21"/>
      <c r="CI129" s="92" t="s">
        <v>1212</v>
      </c>
      <c r="CJ129" s="93"/>
      <c r="CK129" s="21"/>
      <c r="CL129" s="22" t="s">
        <v>1212</v>
      </c>
      <c r="CM129" s="12"/>
      <c r="CN129" s="48"/>
      <c r="CO129" s="95"/>
      <c r="CP129" s="21"/>
      <c r="CQ129" s="2" t="s">
        <v>203</v>
      </c>
      <c r="CR129" s="97">
        <v>20.0</v>
      </c>
      <c r="CS129" s="2" t="s">
        <v>56</v>
      </c>
      <c r="CT129" s="98">
        <v>20.0</v>
      </c>
      <c r="CU129" s="2"/>
      <c r="CV129" s="52" t="s">
        <v>149</v>
      </c>
      <c r="CW129" s="52" t="s">
        <v>149</v>
      </c>
      <c r="CX129" s="2"/>
      <c r="CY129" s="118" t="s">
        <v>1236</v>
      </c>
      <c r="CZ129" s="119" t="s">
        <v>61</v>
      </c>
      <c r="DA129" s="2"/>
      <c r="DB129" s="98">
        <v>255.0</v>
      </c>
      <c r="DC129" s="2"/>
      <c r="DD129" s="101" t="s">
        <v>683</v>
      </c>
      <c r="DE129" s="2"/>
      <c r="DF129" s="148" t="s">
        <v>1339</v>
      </c>
      <c r="DG129" s="121"/>
      <c r="DH129" s="121"/>
      <c r="DI129" s="21"/>
      <c r="DJ129" s="21"/>
      <c r="DK129" s="59" t="s">
        <v>1340</v>
      </c>
      <c r="DL129" s="37" t="s">
        <v>76</v>
      </c>
      <c r="DM129" s="37" t="str">
        <f t="shared" si="3"/>
        <v>#NAME?</v>
      </c>
      <c r="DN129" s="61"/>
      <c r="DO129" s="37" t="s">
        <v>19</v>
      </c>
      <c r="DP129" s="105">
        <v>1.0</v>
      </c>
      <c r="DQ129" s="62" t="s">
        <v>293</v>
      </c>
      <c r="DR129" s="63"/>
      <c r="DS129" s="198"/>
      <c r="DT129" s="108"/>
      <c r="DU129" s="108"/>
      <c r="DV129" s="182"/>
      <c r="DW129" s="182"/>
      <c r="DX129" s="182"/>
      <c r="DY129" s="182"/>
      <c r="DZ129" s="182"/>
      <c r="EA129" s="182"/>
      <c r="EB129" s="21"/>
      <c r="EC129" s="21"/>
      <c r="ED129" s="21"/>
      <c r="EE129" s="21"/>
      <c r="EF129" s="149" t="s">
        <v>1341</v>
      </c>
      <c r="EG129" s="69" t="str">
        <f>image("https://www.pokebip.com/pages/icones/balls/faiblo.png", 3)</f>
        <v/>
      </c>
      <c r="EH129" s="69"/>
      <c r="EI129" s="69"/>
    </row>
    <row r="130" ht="15.75" customHeight="1">
      <c r="A130" s="1">
        <v>130.0</v>
      </c>
      <c r="B130" s="2" t="s">
        <v>1342</v>
      </c>
      <c r="C130" s="7"/>
      <c r="D130" s="140" t="s">
        <v>1343</v>
      </c>
      <c r="E130" s="5"/>
      <c r="F130" s="141"/>
      <c r="G130" s="7"/>
      <c r="H130" s="8" t="s">
        <v>1344</v>
      </c>
      <c r="I130" s="9" t="s">
        <v>1345</v>
      </c>
      <c r="J130" s="10" t="str">
        <f>image("https://archives.bulbagarden.net/media/upload/f/fa/130MS6.png", 3)</f>
        <v/>
      </c>
      <c r="K130" s="11" t="s">
        <v>1343</v>
      </c>
      <c r="L130" s="12"/>
      <c r="M130" s="12"/>
      <c r="N130" s="12"/>
      <c r="O130" s="12"/>
      <c r="Q130" s="71">
        <v>95.0</v>
      </c>
      <c r="R130" s="72">
        <v>125.0</v>
      </c>
      <c r="S130" s="73">
        <v>79.0</v>
      </c>
      <c r="T130" s="74">
        <v>60.0</v>
      </c>
      <c r="U130" s="75">
        <v>100.0</v>
      </c>
      <c r="V130" s="76">
        <v>81.0</v>
      </c>
      <c r="W130" s="77">
        <v>540.0</v>
      </c>
      <c r="X130" s="21"/>
      <c r="Y130" s="71">
        <v>95.0</v>
      </c>
      <c r="Z130" s="72">
        <v>125.0</v>
      </c>
      <c r="AA130" s="73">
        <v>79.0</v>
      </c>
      <c r="AB130" s="74">
        <v>60.0</v>
      </c>
      <c r="AC130" s="75">
        <v>100.0</v>
      </c>
      <c r="AD130" s="76">
        <v>81.0</v>
      </c>
      <c r="AE130" s="77">
        <v>540.0</v>
      </c>
      <c r="AF130" s="21"/>
      <c r="AG130" s="71">
        <v>95.0</v>
      </c>
      <c r="AH130" s="72">
        <v>125.0</v>
      </c>
      <c r="AI130" s="73">
        <v>79.0</v>
      </c>
      <c r="AJ130" s="74">
        <v>60.0</v>
      </c>
      <c r="AK130" s="75">
        <v>100.0</v>
      </c>
      <c r="AL130" s="76">
        <v>81.0</v>
      </c>
      <c r="AM130" s="77">
        <v>540.0</v>
      </c>
      <c r="AN130" s="21"/>
      <c r="AO130" s="22">
        <v>95.0</v>
      </c>
      <c r="AP130" s="23">
        <v>125.0</v>
      </c>
      <c r="AQ130" s="23">
        <v>79.0</v>
      </c>
      <c r="AR130" s="23">
        <v>60.0</v>
      </c>
      <c r="AS130" s="23">
        <v>100.0</v>
      </c>
      <c r="AT130" s="23">
        <v>81.0</v>
      </c>
      <c r="AU130" s="24">
        <v>540.0</v>
      </c>
      <c r="AV130" s="21"/>
      <c r="AW130" s="78">
        <v>95.0</v>
      </c>
      <c r="AX130" s="79">
        <v>125.0</v>
      </c>
      <c r="AY130" s="79">
        <v>79.0</v>
      </c>
      <c r="AZ130" s="79">
        <v>60.0</v>
      </c>
      <c r="BA130" s="79">
        <v>100.0</v>
      </c>
      <c r="BB130" s="79">
        <v>81.0</v>
      </c>
      <c r="BC130" s="201">
        <v>540.0</v>
      </c>
      <c r="BE130" s="172" t="s">
        <v>216</v>
      </c>
      <c r="BF130" s="113"/>
      <c r="BG130" s="84"/>
      <c r="BI130" s="31" t="s">
        <v>5</v>
      </c>
      <c r="BJ130" s="32">
        <v>2.0</v>
      </c>
      <c r="BK130" s="32" t="s">
        <v>5</v>
      </c>
      <c r="BL130" s="32" t="s">
        <v>5</v>
      </c>
      <c r="BM130" s="32" t="s">
        <v>5</v>
      </c>
      <c r="BN130" s="33" t="s">
        <v>5</v>
      </c>
      <c r="BP130" s="85" t="s">
        <v>32</v>
      </c>
      <c r="BQ130" s="86" t="s">
        <v>18</v>
      </c>
      <c r="BS130" s="87" t="s">
        <v>32</v>
      </c>
      <c r="BT130" s="88" t="s">
        <v>18</v>
      </c>
      <c r="BU130" s="37" t="str">
        <f t="shared" si="1"/>
        <v>#NAME?</v>
      </c>
      <c r="BV130" s="89" t="s">
        <v>32</v>
      </c>
      <c r="BW130" s="37" t="str">
        <f t="shared" si="2"/>
        <v>#NAME?</v>
      </c>
      <c r="BX130" s="89" t="s">
        <v>18</v>
      </c>
      <c r="BY130" s="39"/>
      <c r="BZ130" s="39"/>
      <c r="CA130" s="40" t="s">
        <v>1346</v>
      </c>
      <c r="CB130" s="41"/>
      <c r="CC130" s="90" t="s">
        <v>32</v>
      </c>
      <c r="CD130" s="91" t="s">
        <v>18</v>
      </c>
      <c r="CE130" s="2"/>
      <c r="CF130" s="92" t="s">
        <v>326</v>
      </c>
      <c r="CG130" s="93"/>
      <c r="CH130" s="2"/>
      <c r="CI130" s="92" t="s">
        <v>326</v>
      </c>
      <c r="CJ130" s="93"/>
      <c r="CK130" s="2"/>
      <c r="CL130" s="22" t="s">
        <v>326</v>
      </c>
      <c r="CM130" s="12"/>
      <c r="CN130" s="48"/>
      <c r="CO130" s="95"/>
      <c r="CP130" s="2"/>
      <c r="CQ130" s="2" t="s">
        <v>1347</v>
      </c>
      <c r="CR130" s="97">
        <v>120.0</v>
      </c>
      <c r="CS130" s="2" t="s">
        <v>216</v>
      </c>
      <c r="CT130" s="98">
        <v>214.0</v>
      </c>
      <c r="CU130" s="2"/>
      <c r="CV130" s="256" t="s">
        <v>149</v>
      </c>
      <c r="CW130" s="256" t="s">
        <v>149</v>
      </c>
      <c r="CX130" s="2"/>
      <c r="CY130" s="99" t="s">
        <v>1236</v>
      </c>
      <c r="CZ130" s="100" t="s">
        <v>61</v>
      </c>
      <c r="DA130" s="2"/>
      <c r="DB130" s="98">
        <v>45.0</v>
      </c>
      <c r="DC130" s="2"/>
      <c r="DD130" s="101" t="s">
        <v>683</v>
      </c>
      <c r="DE130" s="2"/>
      <c r="DF130" s="102" t="s">
        <v>1348</v>
      </c>
      <c r="DG130" s="103"/>
      <c r="DH130" s="103"/>
      <c r="DI130" s="2"/>
      <c r="DJ130" s="2"/>
      <c r="DK130" s="59" t="s">
        <v>1349</v>
      </c>
      <c r="DL130" s="37" t="s">
        <v>76</v>
      </c>
      <c r="DM130" s="37" t="str">
        <f t="shared" si="3"/>
        <v>#NAME?</v>
      </c>
      <c r="DN130" s="61"/>
      <c r="DO130" s="37">
        <v>40.0</v>
      </c>
      <c r="DP130" s="105">
        <v>1.0</v>
      </c>
      <c r="DQ130" s="62" t="s">
        <v>20</v>
      </c>
      <c r="DR130" s="63"/>
      <c r="DS130" s="198"/>
      <c r="DT130" s="108"/>
      <c r="DU130" s="108"/>
      <c r="DV130" s="182"/>
      <c r="DW130" s="182"/>
      <c r="DX130" s="182"/>
      <c r="DY130" s="182"/>
      <c r="DZ130" s="182"/>
      <c r="EA130" s="182"/>
      <c r="EB130" s="2"/>
      <c r="EC130" s="2"/>
      <c r="ED130" s="2"/>
      <c r="EE130" s="2"/>
      <c r="EF130" s="149" t="s">
        <v>1350</v>
      </c>
      <c r="EG130" s="69" t="str">
        <f>image("https://www.pokebip.com/pages/icones/balls/filet.png", 3)</f>
        <v/>
      </c>
      <c r="EH130" s="69"/>
      <c r="EI130" s="69"/>
    </row>
    <row r="131" ht="15.75" customHeight="1">
      <c r="A131" s="1">
        <v>131.0</v>
      </c>
      <c r="B131" s="2" t="s">
        <v>1351</v>
      </c>
      <c r="C131" s="7"/>
      <c r="D131" s="140" t="s">
        <v>1352</v>
      </c>
      <c r="E131" s="5"/>
      <c r="F131" s="141"/>
      <c r="G131" s="7"/>
      <c r="H131" s="8" t="s">
        <v>1353</v>
      </c>
      <c r="I131" s="9" t="s">
        <v>1354</v>
      </c>
      <c r="J131" s="10" t="str">
        <f>image("https://archives.bulbagarden.net/media/upload/a/ab/131MS6.png", 3)</f>
        <v/>
      </c>
      <c r="K131" s="11" t="s">
        <v>1352</v>
      </c>
      <c r="L131" s="12"/>
      <c r="M131" s="12"/>
      <c r="N131" s="12"/>
      <c r="O131" s="12"/>
      <c r="Q131" s="71">
        <v>130.0</v>
      </c>
      <c r="R131" s="72">
        <v>85.0</v>
      </c>
      <c r="S131" s="73">
        <v>80.0</v>
      </c>
      <c r="T131" s="74">
        <v>85.0</v>
      </c>
      <c r="U131" s="75">
        <v>95.0</v>
      </c>
      <c r="V131" s="76">
        <v>60.0</v>
      </c>
      <c r="W131" s="77">
        <v>535.0</v>
      </c>
      <c r="X131" s="21"/>
      <c r="Y131" s="71">
        <v>130.0</v>
      </c>
      <c r="Z131" s="72">
        <v>85.0</v>
      </c>
      <c r="AA131" s="73">
        <v>80.0</v>
      </c>
      <c r="AB131" s="74">
        <v>85.0</v>
      </c>
      <c r="AC131" s="75">
        <v>95.0</v>
      </c>
      <c r="AD131" s="76">
        <v>60.0</v>
      </c>
      <c r="AE131" s="77">
        <v>535.0</v>
      </c>
      <c r="AF131" s="21"/>
      <c r="AG131" s="71">
        <v>130.0</v>
      </c>
      <c r="AH131" s="72">
        <v>85.0</v>
      </c>
      <c r="AI131" s="73">
        <v>80.0</v>
      </c>
      <c r="AJ131" s="74">
        <v>85.0</v>
      </c>
      <c r="AK131" s="75">
        <v>95.0</v>
      </c>
      <c r="AL131" s="76">
        <v>60.0</v>
      </c>
      <c r="AM131" s="77">
        <v>535.0</v>
      </c>
      <c r="AN131" s="21"/>
      <c r="AO131" s="22">
        <v>130.0</v>
      </c>
      <c r="AP131" s="23">
        <v>85.0</v>
      </c>
      <c r="AQ131" s="23">
        <v>80.0</v>
      </c>
      <c r="AR131" s="23">
        <v>85.0</v>
      </c>
      <c r="AS131" s="23">
        <v>95.0</v>
      </c>
      <c r="AT131" s="23">
        <v>60.0</v>
      </c>
      <c r="AU131" s="24">
        <v>535.0</v>
      </c>
      <c r="AV131" s="21"/>
      <c r="AW131" s="78">
        <v>130.0</v>
      </c>
      <c r="AX131" s="79">
        <v>85.0</v>
      </c>
      <c r="AY131" s="79">
        <v>80.0</v>
      </c>
      <c r="AZ131" s="79">
        <v>85.0</v>
      </c>
      <c r="BA131" s="79">
        <v>95.0</v>
      </c>
      <c r="BB131" s="79">
        <v>60.0</v>
      </c>
      <c r="BC131" s="201">
        <v>535.0</v>
      </c>
      <c r="BE131" s="203" t="s">
        <v>409</v>
      </c>
      <c r="BF131" s="113"/>
      <c r="BG131" s="93"/>
      <c r="BI131" s="31">
        <v>2.0</v>
      </c>
      <c r="BJ131" s="32" t="s">
        <v>5</v>
      </c>
      <c r="BK131" s="32" t="s">
        <v>5</v>
      </c>
      <c r="BL131" s="32" t="s">
        <v>5</v>
      </c>
      <c r="BM131" s="32" t="s">
        <v>5</v>
      </c>
      <c r="BN131" s="33" t="s">
        <v>5</v>
      </c>
      <c r="BP131" s="115" t="s">
        <v>32</v>
      </c>
      <c r="BQ131" s="116" t="s">
        <v>120</v>
      </c>
      <c r="BS131" s="115" t="s">
        <v>32</v>
      </c>
      <c r="BT131" s="117" t="s">
        <v>120</v>
      </c>
      <c r="BU131" s="37" t="str">
        <f t="shared" si="1"/>
        <v>#NAME?</v>
      </c>
      <c r="BV131" s="89" t="s">
        <v>32</v>
      </c>
      <c r="BW131" s="37" t="str">
        <f t="shared" si="2"/>
        <v>#NAME?</v>
      </c>
      <c r="BX131" s="89" t="s">
        <v>120</v>
      </c>
      <c r="BY131" s="39"/>
      <c r="BZ131" s="39"/>
      <c r="CA131" s="40" t="s">
        <v>954</v>
      </c>
      <c r="CB131" s="41"/>
      <c r="CC131" s="90" t="s">
        <v>32</v>
      </c>
      <c r="CD131" s="91" t="s">
        <v>120</v>
      </c>
      <c r="CE131" s="2"/>
      <c r="CF131" s="92" t="s">
        <v>698</v>
      </c>
      <c r="CG131" s="93" t="s">
        <v>981</v>
      </c>
      <c r="CH131" s="2"/>
      <c r="CI131" s="92" t="s">
        <v>698</v>
      </c>
      <c r="CJ131" s="93" t="s">
        <v>981</v>
      </c>
      <c r="CK131" s="2"/>
      <c r="CL131" s="22" t="s">
        <v>698</v>
      </c>
      <c r="CM131" s="12"/>
      <c r="CN131" s="48"/>
      <c r="CO131" s="96" t="s">
        <v>981</v>
      </c>
      <c r="CP131" s="2"/>
      <c r="CQ131" s="2" t="s">
        <v>1355</v>
      </c>
      <c r="CR131" s="97">
        <v>120.0</v>
      </c>
      <c r="CS131" s="2" t="s">
        <v>409</v>
      </c>
      <c r="CT131" s="98">
        <v>219.0</v>
      </c>
      <c r="CU131" s="2"/>
      <c r="CV131" s="52" t="s">
        <v>149</v>
      </c>
      <c r="CW131" s="52" t="s">
        <v>149</v>
      </c>
      <c r="CX131" s="2"/>
      <c r="CY131" s="118" t="s">
        <v>14</v>
      </c>
      <c r="CZ131" s="119" t="s">
        <v>106</v>
      </c>
      <c r="DA131" s="2"/>
      <c r="DB131" s="98">
        <v>45.0</v>
      </c>
      <c r="DC131" s="2"/>
      <c r="DD131" s="101" t="s">
        <v>683</v>
      </c>
      <c r="DE131" s="2"/>
      <c r="DF131" s="120" t="s">
        <v>914</v>
      </c>
      <c r="DG131" s="173" t="s">
        <v>1356</v>
      </c>
      <c r="DH131" s="121"/>
      <c r="DI131" s="2"/>
      <c r="DJ131" s="2"/>
      <c r="DK131" s="59" t="s">
        <v>1357</v>
      </c>
      <c r="DL131" s="37" t="s">
        <v>156</v>
      </c>
      <c r="DM131" s="37" t="str">
        <f t="shared" si="3"/>
        <v>#NAME?</v>
      </c>
      <c r="DN131" s="61"/>
      <c r="DO131" s="37">
        <v>40.0</v>
      </c>
      <c r="DP131" s="105">
        <v>1.0</v>
      </c>
      <c r="DQ131" s="62" t="s">
        <v>342</v>
      </c>
      <c r="DR131" s="63"/>
      <c r="DS131" s="198"/>
      <c r="DT131" s="108"/>
      <c r="DU131" s="108"/>
      <c r="DV131" s="182"/>
      <c r="DW131" s="182"/>
      <c r="DX131" s="182"/>
      <c r="DY131" s="182"/>
      <c r="DZ131" s="182"/>
      <c r="EA131" s="182"/>
      <c r="EB131" s="21"/>
      <c r="EC131" s="21"/>
      <c r="ED131" s="21"/>
      <c r="EE131" s="21"/>
      <c r="EF131" s="149" t="s">
        <v>1358</v>
      </c>
      <c r="EG131" s="69" t="str">
        <f>image("https://www.pokebip.com/pages/icones/balls/honor.png", 3)</f>
        <v/>
      </c>
      <c r="EH131" s="69"/>
      <c r="EI131" s="69"/>
    </row>
    <row r="132" ht="15.75" customHeight="1">
      <c r="A132" s="1">
        <v>132.0</v>
      </c>
      <c r="B132" s="2" t="s">
        <v>1359</v>
      </c>
      <c r="C132" s="7"/>
      <c r="D132" s="180" t="s">
        <v>1360</v>
      </c>
      <c r="E132" s="5"/>
      <c r="F132" s="181"/>
      <c r="G132" s="7"/>
      <c r="H132" s="8" t="s">
        <v>1361</v>
      </c>
      <c r="I132" s="9" t="s">
        <v>1362</v>
      </c>
      <c r="J132" s="10" t="str">
        <f>image("https://archives.bulbagarden.net/media/upload/4/47/132MS6.png", 3)</f>
        <v/>
      </c>
      <c r="K132" s="11" t="s">
        <v>1360</v>
      </c>
      <c r="L132" s="12"/>
      <c r="M132" s="12"/>
      <c r="N132" s="12"/>
      <c r="O132" s="12"/>
      <c r="Q132" s="71">
        <v>48.0</v>
      </c>
      <c r="R132" s="72">
        <v>48.0</v>
      </c>
      <c r="S132" s="73">
        <v>48.0</v>
      </c>
      <c r="T132" s="74">
        <v>48.0</v>
      </c>
      <c r="U132" s="75">
        <v>48.0</v>
      </c>
      <c r="V132" s="76">
        <v>48.0</v>
      </c>
      <c r="W132" s="77">
        <v>288.0</v>
      </c>
      <c r="X132" s="21"/>
      <c r="Y132" s="71">
        <v>48.0</v>
      </c>
      <c r="Z132" s="72">
        <v>48.0</v>
      </c>
      <c r="AA132" s="73">
        <v>48.0</v>
      </c>
      <c r="AB132" s="74">
        <v>48.0</v>
      </c>
      <c r="AC132" s="75">
        <v>48.0</v>
      </c>
      <c r="AD132" s="76">
        <v>48.0</v>
      </c>
      <c r="AE132" s="77">
        <v>288.0</v>
      </c>
      <c r="AF132" s="21"/>
      <c r="AG132" s="71">
        <v>48.0</v>
      </c>
      <c r="AH132" s="72">
        <v>48.0</v>
      </c>
      <c r="AI132" s="73">
        <v>48.0</v>
      </c>
      <c r="AJ132" s="74">
        <v>48.0</v>
      </c>
      <c r="AK132" s="75">
        <v>48.0</v>
      </c>
      <c r="AL132" s="76">
        <v>48.0</v>
      </c>
      <c r="AM132" s="77">
        <v>288.0</v>
      </c>
      <c r="AN132" s="21"/>
      <c r="AO132" s="22">
        <v>48.0</v>
      </c>
      <c r="AP132" s="23">
        <v>48.0</v>
      </c>
      <c r="AQ132" s="23">
        <v>48.0</v>
      </c>
      <c r="AR132" s="23">
        <v>48.0</v>
      </c>
      <c r="AS132" s="23">
        <v>48.0</v>
      </c>
      <c r="AT132" s="23">
        <v>48.0</v>
      </c>
      <c r="AU132" s="24">
        <v>288.0</v>
      </c>
      <c r="AV132" s="21"/>
      <c r="AW132" s="78">
        <v>48.0</v>
      </c>
      <c r="AX132" s="79">
        <v>48.0</v>
      </c>
      <c r="AY132" s="79">
        <v>48.0</v>
      </c>
      <c r="AZ132" s="79">
        <v>48.0</v>
      </c>
      <c r="BA132" s="79">
        <v>48.0</v>
      </c>
      <c r="BB132" s="79">
        <v>48.0</v>
      </c>
      <c r="BC132" s="201">
        <v>288.0</v>
      </c>
      <c r="BE132" s="151" t="s">
        <v>144</v>
      </c>
      <c r="BF132" s="127"/>
      <c r="BG132" s="128"/>
      <c r="BI132" s="31">
        <v>1.0</v>
      </c>
      <c r="BJ132" s="32" t="s">
        <v>5</v>
      </c>
      <c r="BK132" s="32" t="s">
        <v>5</v>
      </c>
      <c r="BL132" s="32" t="s">
        <v>5</v>
      </c>
      <c r="BM132" s="32" t="s">
        <v>5</v>
      </c>
      <c r="BN132" s="33" t="s">
        <v>5</v>
      </c>
      <c r="BP132" s="85" t="s">
        <v>156</v>
      </c>
      <c r="BQ132" s="129"/>
      <c r="BS132" s="87" t="s">
        <v>156</v>
      </c>
      <c r="BT132" s="130"/>
      <c r="BU132" s="37" t="str">
        <f t="shared" si="1"/>
        <v>#NAME?</v>
      </c>
      <c r="BV132" s="89" t="s">
        <v>156</v>
      </c>
      <c r="BW132" s="37" t="str">
        <f t="shared" si="2"/>
        <v>#NAME?</v>
      </c>
      <c r="BX132" s="89"/>
      <c r="BY132" s="39"/>
      <c r="BZ132" s="39"/>
      <c r="CA132" s="40" t="s">
        <v>156</v>
      </c>
      <c r="CB132" s="41"/>
      <c r="CC132" s="90" t="s">
        <v>156</v>
      </c>
      <c r="CD132" s="91"/>
      <c r="CE132" s="21"/>
      <c r="CF132" s="92" t="s">
        <v>639</v>
      </c>
      <c r="CG132" s="93"/>
      <c r="CH132" s="21"/>
      <c r="CI132" s="92" t="s">
        <v>639</v>
      </c>
      <c r="CJ132" s="93"/>
      <c r="CK132" s="21"/>
      <c r="CL132" s="22" t="s">
        <v>639</v>
      </c>
      <c r="CM132" s="12"/>
      <c r="CN132" s="48"/>
      <c r="CO132" s="95"/>
      <c r="CP132" s="21"/>
      <c r="CQ132" s="2" t="s">
        <v>780</v>
      </c>
      <c r="CR132" s="97">
        <v>20.0</v>
      </c>
      <c r="CS132" s="2" t="s">
        <v>144</v>
      </c>
      <c r="CT132" s="98">
        <v>61.0</v>
      </c>
      <c r="CU132" s="2"/>
      <c r="CV132" s="52" t="s">
        <v>890</v>
      </c>
      <c r="CW132" s="52" t="s">
        <v>890</v>
      </c>
      <c r="CX132" s="2"/>
      <c r="CY132" s="292" t="s">
        <v>1359</v>
      </c>
      <c r="CZ132" s="154"/>
      <c r="DA132" s="2"/>
      <c r="DB132" s="98">
        <v>35.0</v>
      </c>
      <c r="DC132" s="2"/>
      <c r="DD132" s="101" t="s">
        <v>150</v>
      </c>
      <c r="DE132" s="2"/>
      <c r="DF132" s="102" t="s">
        <v>914</v>
      </c>
      <c r="DG132" s="166" t="s">
        <v>1363</v>
      </c>
      <c r="DH132" s="103" t="s">
        <v>1364</v>
      </c>
      <c r="DI132" s="2"/>
      <c r="DJ132" s="2"/>
      <c r="DK132" s="59" t="s">
        <v>1365</v>
      </c>
      <c r="DL132" s="37" t="s">
        <v>156</v>
      </c>
      <c r="DM132" s="37" t="str">
        <f t="shared" si="3"/>
        <v>#NAME?</v>
      </c>
      <c r="DN132" s="61"/>
      <c r="DO132" s="37">
        <v>20.0</v>
      </c>
      <c r="DP132" s="105">
        <v>1.0</v>
      </c>
      <c r="DQ132" s="62" t="s">
        <v>20</v>
      </c>
      <c r="DR132" s="63"/>
      <c r="DS132" s="198"/>
      <c r="DT132" s="108"/>
      <c r="DU132" s="108"/>
      <c r="DV132" s="182"/>
      <c r="DW132" s="182"/>
      <c r="DX132" s="182"/>
      <c r="DY132" s="182"/>
      <c r="DZ132" s="182"/>
      <c r="EA132" s="182"/>
      <c r="EB132" s="2"/>
      <c r="EC132" s="2"/>
      <c r="ED132" s="2"/>
      <c r="EE132" s="2"/>
      <c r="EF132" s="149" t="s">
        <v>1366</v>
      </c>
      <c r="EG132" s="69" t="str">
        <f>image("https://www.pokebip.com/pages/icones/balls/hyper.png", 3)</f>
        <v/>
      </c>
      <c r="EH132" s="69"/>
      <c r="EI132" s="69"/>
    </row>
    <row r="133" ht="15.75" customHeight="1">
      <c r="A133" s="1">
        <v>133.0</v>
      </c>
      <c r="B133" s="2" t="s">
        <v>1367</v>
      </c>
      <c r="C133" s="7"/>
      <c r="D133" s="167" t="s">
        <v>1368</v>
      </c>
      <c r="E133" s="5"/>
      <c r="F133" s="168"/>
      <c r="G133" s="7"/>
      <c r="H133" s="8" t="s">
        <v>1369</v>
      </c>
      <c r="I133" s="9" t="s">
        <v>1370</v>
      </c>
      <c r="J133" s="10" t="str">
        <f>image("https://archives.bulbagarden.net/media/upload/6/67/133MS6.png", 3)</f>
        <v/>
      </c>
      <c r="K133" s="11" t="s">
        <v>1368</v>
      </c>
      <c r="L133" s="12"/>
      <c r="M133" s="12"/>
      <c r="N133" s="12"/>
      <c r="O133" s="12"/>
      <c r="Q133" s="71">
        <v>55.0</v>
      </c>
      <c r="R133" s="72">
        <v>55.0</v>
      </c>
      <c r="S133" s="73">
        <v>50.0</v>
      </c>
      <c r="T133" s="74">
        <v>45.0</v>
      </c>
      <c r="U133" s="75">
        <v>65.0</v>
      </c>
      <c r="V133" s="76">
        <v>55.0</v>
      </c>
      <c r="W133" s="77">
        <v>325.0</v>
      </c>
      <c r="X133" s="21"/>
      <c r="Y133" s="71">
        <v>55.0</v>
      </c>
      <c r="Z133" s="72">
        <v>55.0</v>
      </c>
      <c r="AA133" s="73">
        <v>50.0</v>
      </c>
      <c r="AB133" s="74">
        <v>45.0</v>
      </c>
      <c r="AC133" s="75">
        <v>65.0</v>
      </c>
      <c r="AD133" s="76">
        <v>55.0</v>
      </c>
      <c r="AE133" s="77">
        <v>325.0</v>
      </c>
      <c r="AF133" s="21"/>
      <c r="AG133" s="71">
        <v>55.0</v>
      </c>
      <c r="AH133" s="72">
        <v>55.0</v>
      </c>
      <c r="AI133" s="73">
        <v>50.0</v>
      </c>
      <c r="AJ133" s="74">
        <v>45.0</v>
      </c>
      <c r="AK133" s="75">
        <v>65.0</v>
      </c>
      <c r="AL133" s="76">
        <v>55.0</v>
      </c>
      <c r="AM133" s="77">
        <v>325.0</v>
      </c>
      <c r="AN133" s="21"/>
      <c r="AO133" s="22">
        <v>55.0</v>
      </c>
      <c r="AP133" s="23">
        <v>55.0</v>
      </c>
      <c r="AQ133" s="23">
        <v>50.0</v>
      </c>
      <c r="AR133" s="23">
        <v>45.0</v>
      </c>
      <c r="AS133" s="23">
        <v>65.0</v>
      </c>
      <c r="AT133" s="23">
        <v>55.0</v>
      </c>
      <c r="AU133" s="24">
        <v>325.0</v>
      </c>
      <c r="AV133" s="21"/>
      <c r="AW133" s="78">
        <v>55.0</v>
      </c>
      <c r="AX133" s="79">
        <v>55.0</v>
      </c>
      <c r="AY133" s="79">
        <v>50.0</v>
      </c>
      <c r="AZ133" s="79">
        <v>45.0</v>
      </c>
      <c r="BA133" s="79">
        <v>65.0</v>
      </c>
      <c r="BB133" s="79">
        <v>55.0</v>
      </c>
      <c r="BC133" s="201">
        <v>325.0</v>
      </c>
      <c r="BE133" s="225" t="s">
        <v>27</v>
      </c>
      <c r="BF133" s="184"/>
      <c r="BG133" s="128"/>
      <c r="BI133" s="31" t="s">
        <v>5</v>
      </c>
      <c r="BJ133" s="32" t="s">
        <v>5</v>
      </c>
      <c r="BK133" s="32" t="s">
        <v>5</v>
      </c>
      <c r="BL133" s="32" t="s">
        <v>5</v>
      </c>
      <c r="BM133" s="32">
        <v>1.0</v>
      </c>
      <c r="BN133" s="33" t="s">
        <v>5</v>
      </c>
      <c r="BP133" s="115" t="s">
        <v>156</v>
      </c>
      <c r="BQ133" s="93"/>
      <c r="BS133" s="115" t="s">
        <v>156</v>
      </c>
      <c r="BT133" s="133"/>
      <c r="BU133" s="37" t="str">
        <f t="shared" si="1"/>
        <v>#NAME?</v>
      </c>
      <c r="BV133" s="89" t="s">
        <v>156</v>
      </c>
      <c r="BW133" s="37" t="str">
        <f t="shared" si="2"/>
        <v>#NAME?</v>
      </c>
      <c r="BX133" s="89"/>
      <c r="BY133" s="39"/>
      <c r="BZ133" s="39"/>
      <c r="CA133" s="40" t="s">
        <v>156</v>
      </c>
      <c r="CB133" s="41"/>
      <c r="CC133" s="90" t="s">
        <v>156</v>
      </c>
      <c r="CD133" s="91"/>
      <c r="CE133" s="21"/>
      <c r="CF133" s="92" t="s">
        <v>146</v>
      </c>
      <c r="CG133" s="93" t="s">
        <v>1371</v>
      </c>
      <c r="CH133" s="21"/>
      <c r="CI133" s="92" t="s">
        <v>146</v>
      </c>
      <c r="CJ133" s="93" t="s">
        <v>1371</v>
      </c>
      <c r="CK133" s="21"/>
      <c r="CL133" s="22" t="s">
        <v>146</v>
      </c>
      <c r="CM133" s="12"/>
      <c r="CN133" s="48"/>
      <c r="CO133" s="96" t="s">
        <v>1371</v>
      </c>
      <c r="CP133" s="21"/>
      <c r="CQ133" s="2" t="s">
        <v>1051</v>
      </c>
      <c r="CR133" s="97">
        <v>20.0</v>
      </c>
      <c r="CS133" s="2" t="s">
        <v>27</v>
      </c>
      <c r="CT133" s="98">
        <v>92.0</v>
      </c>
      <c r="CU133" s="2"/>
      <c r="CV133" s="52" t="s">
        <v>13</v>
      </c>
      <c r="CW133" s="53">
        <v>0.125</v>
      </c>
      <c r="CX133" s="2"/>
      <c r="CY133" s="119" t="s">
        <v>277</v>
      </c>
      <c r="CZ133" s="160"/>
      <c r="DA133" s="2"/>
      <c r="DB133" s="98">
        <v>45.0</v>
      </c>
      <c r="DC133" s="2"/>
      <c r="DD133" s="101" t="s">
        <v>150</v>
      </c>
      <c r="DE133" s="2"/>
      <c r="DF133" s="148" t="s">
        <v>1372</v>
      </c>
      <c r="DG133" s="121"/>
      <c r="DH133" s="121"/>
      <c r="DI133" s="21"/>
      <c r="DJ133" s="21"/>
      <c r="DK133" s="59" t="s">
        <v>1373</v>
      </c>
      <c r="DL133" s="37" t="s">
        <v>156</v>
      </c>
      <c r="DM133" s="37" t="str">
        <f t="shared" si="3"/>
        <v>#NAME?</v>
      </c>
      <c r="DN133" s="61"/>
      <c r="DO133" s="37">
        <v>20.0</v>
      </c>
      <c r="DP133" s="105">
        <v>1.0</v>
      </c>
      <c r="DQ133" s="62" t="s">
        <v>702</v>
      </c>
      <c r="DR133" s="63"/>
      <c r="DS133" s="198"/>
      <c r="DT133" s="108"/>
      <c r="DU133" s="108"/>
      <c r="DV133" s="182"/>
      <c r="DW133" s="182"/>
      <c r="DX133" s="182"/>
      <c r="DY133" s="182"/>
      <c r="DZ133" s="182"/>
      <c r="EA133" s="182"/>
      <c r="EB133" s="21"/>
      <c r="EC133" s="21"/>
      <c r="ED133" s="21"/>
      <c r="EE133" s="21"/>
      <c r="EF133" s="149" t="s">
        <v>1374</v>
      </c>
      <c r="EG133" s="69" t="str">
        <f>image("https://www.pokebip.com/pages/icones/balls/luxe.png", 3)</f>
        <v/>
      </c>
      <c r="EH133" s="69"/>
      <c r="EI133" s="69"/>
    </row>
    <row r="134" ht="15.75" customHeight="1">
      <c r="A134" s="1">
        <v>134.0</v>
      </c>
      <c r="B134" s="2" t="s">
        <v>1375</v>
      </c>
      <c r="C134" s="7"/>
      <c r="D134" s="140" t="s">
        <v>1376</v>
      </c>
      <c r="E134" s="5"/>
      <c r="F134" s="141"/>
      <c r="G134" s="7"/>
      <c r="H134" s="8" t="s">
        <v>1377</v>
      </c>
      <c r="I134" s="9" t="s">
        <v>1378</v>
      </c>
      <c r="J134" s="10" t="str">
        <f>image("https://archives.bulbagarden.net/media/upload/5/57/134MS6.png", 3)</f>
        <v/>
      </c>
      <c r="K134" s="11" t="s">
        <v>1376</v>
      </c>
      <c r="L134" s="12"/>
      <c r="M134" s="12"/>
      <c r="N134" s="12"/>
      <c r="O134" s="12"/>
      <c r="Q134" s="71">
        <v>130.0</v>
      </c>
      <c r="R134" s="72">
        <v>65.0</v>
      </c>
      <c r="S134" s="73">
        <v>60.0</v>
      </c>
      <c r="T134" s="74">
        <v>110.0</v>
      </c>
      <c r="U134" s="75">
        <v>95.0</v>
      </c>
      <c r="V134" s="76">
        <v>65.0</v>
      </c>
      <c r="W134" s="77">
        <v>525.0</v>
      </c>
      <c r="X134" s="21"/>
      <c r="Y134" s="71">
        <v>130.0</v>
      </c>
      <c r="Z134" s="72">
        <v>65.0</v>
      </c>
      <c r="AA134" s="73">
        <v>60.0</v>
      </c>
      <c r="AB134" s="74">
        <v>110.0</v>
      </c>
      <c r="AC134" s="75">
        <v>95.0</v>
      </c>
      <c r="AD134" s="76">
        <v>65.0</v>
      </c>
      <c r="AE134" s="77">
        <v>525.0</v>
      </c>
      <c r="AF134" s="21"/>
      <c r="AG134" s="71">
        <v>130.0</v>
      </c>
      <c r="AH134" s="72">
        <v>65.0</v>
      </c>
      <c r="AI134" s="73">
        <v>60.0</v>
      </c>
      <c r="AJ134" s="74">
        <v>110.0</v>
      </c>
      <c r="AK134" s="75">
        <v>95.0</v>
      </c>
      <c r="AL134" s="76">
        <v>65.0</v>
      </c>
      <c r="AM134" s="77">
        <v>525.0</v>
      </c>
      <c r="AN134" s="21"/>
      <c r="AO134" s="22">
        <v>130.0</v>
      </c>
      <c r="AP134" s="23">
        <v>65.0</v>
      </c>
      <c r="AQ134" s="23">
        <v>60.0</v>
      </c>
      <c r="AR134" s="23">
        <v>110.0</v>
      </c>
      <c r="AS134" s="23">
        <v>95.0</v>
      </c>
      <c r="AT134" s="23">
        <v>65.0</v>
      </c>
      <c r="AU134" s="24">
        <v>525.0</v>
      </c>
      <c r="AV134" s="21"/>
      <c r="AW134" s="78">
        <v>130.0</v>
      </c>
      <c r="AX134" s="79">
        <v>65.0</v>
      </c>
      <c r="AY134" s="79">
        <v>60.0</v>
      </c>
      <c r="AZ134" s="79">
        <v>110.0</v>
      </c>
      <c r="BA134" s="79">
        <v>95.0</v>
      </c>
      <c r="BB134" s="79">
        <v>65.0</v>
      </c>
      <c r="BC134" s="201">
        <v>525.0</v>
      </c>
      <c r="BE134" s="203" t="s">
        <v>409</v>
      </c>
      <c r="BF134" s="113"/>
      <c r="BG134" s="84"/>
      <c r="BI134" s="31">
        <v>2.0</v>
      </c>
      <c r="BJ134" s="32" t="s">
        <v>5</v>
      </c>
      <c r="BK134" s="32" t="s">
        <v>5</v>
      </c>
      <c r="BL134" s="32" t="s">
        <v>5</v>
      </c>
      <c r="BM134" s="32" t="s">
        <v>5</v>
      </c>
      <c r="BN134" s="33" t="s">
        <v>5</v>
      </c>
      <c r="BP134" s="85" t="s">
        <v>32</v>
      </c>
      <c r="BQ134" s="129"/>
      <c r="BS134" s="87" t="s">
        <v>32</v>
      </c>
      <c r="BT134" s="130"/>
      <c r="BU134" s="37" t="str">
        <f t="shared" si="1"/>
        <v>#NAME?</v>
      </c>
      <c r="BV134" s="89" t="s">
        <v>32</v>
      </c>
      <c r="BW134" s="37" t="str">
        <f t="shared" si="2"/>
        <v>#NAME?</v>
      </c>
      <c r="BX134" s="89"/>
      <c r="BY134" s="39"/>
      <c r="BZ134" s="39"/>
      <c r="CA134" s="40" t="s">
        <v>32</v>
      </c>
      <c r="CB134" s="41"/>
      <c r="CC134" s="90" t="s">
        <v>32</v>
      </c>
      <c r="CD134" s="91"/>
      <c r="CE134" s="21"/>
      <c r="CF134" s="92" t="s">
        <v>698</v>
      </c>
      <c r="CG134" s="93"/>
      <c r="CH134" s="21"/>
      <c r="CI134" s="92" t="s">
        <v>698</v>
      </c>
      <c r="CJ134" s="93"/>
      <c r="CK134" s="21"/>
      <c r="CL134" s="22" t="s">
        <v>698</v>
      </c>
      <c r="CM134" s="12"/>
      <c r="CN134" s="48"/>
      <c r="CO134" s="95"/>
      <c r="CP134" s="21"/>
      <c r="CQ134" s="2" t="s">
        <v>1379</v>
      </c>
      <c r="CR134" s="97">
        <v>60.0</v>
      </c>
      <c r="CS134" s="2" t="s">
        <v>409</v>
      </c>
      <c r="CT134" s="98">
        <v>196.0</v>
      </c>
      <c r="CU134" s="2"/>
      <c r="CV134" s="52" t="s">
        <v>13</v>
      </c>
      <c r="CW134" s="53">
        <v>0.125</v>
      </c>
      <c r="CX134" s="2"/>
      <c r="CY134" s="100" t="s">
        <v>277</v>
      </c>
      <c r="CZ134" s="154"/>
      <c r="DA134" s="2"/>
      <c r="DB134" s="98">
        <v>45.0</v>
      </c>
      <c r="DC134" s="2"/>
      <c r="DD134" s="101" t="s">
        <v>150</v>
      </c>
      <c r="DE134" s="2"/>
      <c r="DF134" s="102" t="s">
        <v>1380</v>
      </c>
      <c r="DG134" s="103"/>
      <c r="DH134" s="103"/>
      <c r="DI134" s="2"/>
      <c r="DJ134" s="2"/>
      <c r="DK134" s="59" t="s">
        <v>1381</v>
      </c>
      <c r="DL134" s="37" t="s">
        <v>6</v>
      </c>
      <c r="DM134" s="37" t="str">
        <f t="shared" si="3"/>
        <v>#NAME?</v>
      </c>
      <c r="DN134" s="61"/>
      <c r="DO134" s="37">
        <v>55.0</v>
      </c>
      <c r="DP134" s="105">
        <v>0.95</v>
      </c>
      <c r="DQ134" s="62" t="s">
        <v>206</v>
      </c>
      <c r="DR134" s="63"/>
      <c r="DS134" s="198"/>
      <c r="DT134" s="108"/>
      <c r="DU134" s="108"/>
      <c r="DV134" s="182"/>
      <c r="DW134" s="182"/>
      <c r="DX134" s="182"/>
      <c r="DY134" s="182"/>
      <c r="DZ134" s="182"/>
      <c r="EA134" s="182"/>
      <c r="EB134" s="2"/>
      <c r="EC134" s="2"/>
      <c r="ED134" s="2"/>
      <c r="EE134" s="2"/>
      <c r="EF134" s="149" t="s">
        <v>1382</v>
      </c>
      <c r="EG134" s="69" t="str">
        <f>image("https://www.pokebip.com/pages/icones/balls/master.png", 3)</f>
        <v/>
      </c>
      <c r="EH134" s="69"/>
      <c r="EI134" s="69"/>
    </row>
    <row r="135" ht="15.75" customHeight="1">
      <c r="A135" s="1">
        <v>135.0</v>
      </c>
      <c r="B135" s="2" t="s">
        <v>1383</v>
      </c>
      <c r="C135" s="7"/>
      <c r="D135" s="169" t="s">
        <v>1384</v>
      </c>
      <c r="E135" s="5"/>
      <c r="F135" s="170"/>
      <c r="G135" s="7"/>
      <c r="H135" s="8" t="s">
        <v>1385</v>
      </c>
      <c r="I135" s="9" t="s">
        <v>1386</v>
      </c>
      <c r="J135" s="10" t="str">
        <f>image("https://archives.bulbagarden.net/media/upload/3/3b/135MS6.png", 3)</f>
        <v/>
      </c>
      <c r="K135" s="11" t="s">
        <v>1384</v>
      </c>
      <c r="L135" s="12"/>
      <c r="M135" s="12"/>
      <c r="N135" s="12"/>
      <c r="O135" s="12"/>
      <c r="Q135" s="71">
        <v>65.0</v>
      </c>
      <c r="R135" s="72">
        <v>65.0</v>
      </c>
      <c r="S135" s="73">
        <v>60.0</v>
      </c>
      <c r="T135" s="74">
        <v>110.0</v>
      </c>
      <c r="U135" s="75">
        <v>95.0</v>
      </c>
      <c r="V135" s="76">
        <v>130.0</v>
      </c>
      <c r="W135" s="77">
        <v>525.0</v>
      </c>
      <c r="X135" s="21"/>
      <c r="Y135" s="71">
        <v>65.0</v>
      </c>
      <c r="Z135" s="72">
        <v>65.0</v>
      </c>
      <c r="AA135" s="73">
        <v>60.0</v>
      </c>
      <c r="AB135" s="74">
        <v>110.0</v>
      </c>
      <c r="AC135" s="75">
        <v>95.0</v>
      </c>
      <c r="AD135" s="76">
        <v>130.0</v>
      </c>
      <c r="AE135" s="77">
        <v>525.0</v>
      </c>
      <c r="AF135" s="21"/>
      <c r="AG135" s="71">
        <v>65.0</v>
      </c>
      <c r="AH135" s="72">
        <v>65.0</v>
      </c>
      <c r="AI135" s="73">
        <v>60.0</v>
      </c>
      <c r="AJ135" s="74">
        <v>110.0</v>
      </c>
      <c r="AK135" s="75">
        <v>95.0</v>
      </c>
      <c r="AL135" s="76">
        <v>130.0</v>
      </c>
      <c r="AM135" s="77">
        <v>525.0</v>
      </c>
      <c r="AN135" s="21"/>
      <c r="AO135" s="22">
        <v>65.0</v>
      </c>
      <c r="AP135" s="23">
        <v>65.0</v>
      </c>
      <c r="AQ135" s="23">
        <v>60.0</v>
      </c>
      <c r="AR135" s="23">
        <v>110.0</v>
      </c>
      <c r="AS135" s="23">
        <v>95.0</v>
      </c>
      <c r="AT135" s="23">
        <v>130.0</v>
      </c>
      <c r="AU135" s="24">
        <v>525.0</v>
      </c>
      <c r="AV135" s="21"/>
      <c r="AW135" s="258">
        <v>65.0</v>
      </c>
      <c r="AX135" s="79">
        <v>65.0</v>
      </c>
      <c r="AY135" s="79">
        <v>60.0</v>
      </c>
      <c r="AZ135" s="80">
        <v>110.0</v>
      </c>
      <c r="BA135" s="80">
        <v>95.0</v>
      </c>
      <c r="BB135" s="80">
        <v>130.0</v>
      </c>
      <c r="BC135" s="201">
        <v>525.0</v>
      </c>
      <c r="BE135" s="176" t="s">
        <v>248</v>
      </c>
      <c r="BF135" s="113"/>
      <c r="BG135" s="93"/>
      <c r="BI135" s="31" t="s">
        <v>5</v>
      </c>
      <c r="BJ135" s="32" t="s">
        <v>5</v>
      </c>
      <c r="BK135" s="32" t="s">
        <v>5</v>
      </c>
      <c r="BL135" s="32" t="s">
        <v>5</v>
      </c>
      <c r="BM135" s="32" t="s">
        <v>5</v>
      </c>
      <c r="BN135" s="33">
        <v>2.0</v>
      </c>
      <c r="BP135" s="115" t="s">
        <v>197</v>
      </c>
      <c r="BQ135" s="93"/>
      <c r="BS135" s="115" t="s">
        <v>197</v>
      </c>
      <c r="BT135" s="133"/>
      <c r="BU135" s="37" t="str">
        <f t="shared" si="1"/>
        <v>#NAME?</v>
      </c>
      <c r="BV135" s="89" t="s">
        <v>197</v>
      </c>
      <c r="BW135" s="37" t="str">
        <f t="shared" si="2"/>
        <v>#NAME?</v>
      </c>
      <c r="BX135" s="89"/>
      <c r="BY135" s="39"/>
      <c r="BZ135" s="39"/>
      <c r="CA135" s="40" t="s">
        <v>197</v>
      </c>
      <c r="CB135" s="41"/>
      <c r="CC135" s="90" t="s">
        <v>197</v>
      </c>
      <c r="CD135" s="91"/>
      <c r="CE135" s="21"/>
      <c r="CF135" s="92" t="s">
        <v>1387</v>
      </c>
      <c r="CG135" s="93"/>
      <c r="CH135" s="21"/>
      <c r="CI135" s="92" t="s">
        <v>1387</v>
      </c>
      <c r="CJ135" s="93"/>
      <c r="CK135" s="21"/>
      <c r="CL135" s="22" t="s">
        <v>1387</v>
      </c>
      <c r="CM135" s="12"/>
      <c r="CN135" s="48"/>
      <c r="CO135" s="95"/>
      <c r="CP135" s="21"/>
      <c r="CQ135" s="2" t="s">
        <v>1388</v>
      </c>
      <c r="CR135" s="97">
        <v>40.0</v>
      </c>
      <c r="CS135" s="2" t="s">
        <v>248</v>
      </c>
      <c r="CT135" s="98">
        <v>197.0</v>
      </c>
      <c r="CU135" s="2"/>
      <c r="CV135" s="256" t="s">
        <v>13</v>
      </c>
      <c r="CW135" s="53">
        <v>0.125</v>
      </c>
      <c r="CX135" s="2"/>
      <c r="CY135" s="119" t="s">
        <v>277</v>
      </c>
      <c r="CZ135" s="160"/>
      <c r="DA135" s="2"/>
      <c r="DB135" s="98">
        <v>45.0</v>
      </c>
      <c r="DC135" s="2"/>
      <c r="DD135" s="101" t="s">
        <v>150</v>
      </c>
      <c r="DE135" s="2"/>
      <c r="DF135" s="120" t="s">
        <v>1389</v>
      </c>
      <c r="DG135" s="121"/>
      <c r="DH135" s="121"/>
      <c r="DI135" s="2"/>
      <c r="DJ135" s="2"/>
      <c r="DK135" s="59" t="s">
        <v>1390</v>
      </c>
      <c r="DL135" s="37" t="s">
        <v>156</v>
      </c>
      <c r="DM135" s="37" t="str">
        <f t="shared" si="3"/>
        <v>#NAME?</v>
      </c>
      <c r="DN135" s="61"/>
      <c r="DO135" s="37" t="s">
        <v>19</v>
      </c>
      <c r="DP135" s="105">
        <v>1.0</v>
      </c>
      <c r="DQ135" s="62" t="s">
        <v>20</v>
      </c>
      <c r="DR135" s="63"/>
      <c r="DS135" s="198"/>
      <c r="DT135" s="108"/>
      <c r="DU135" s="108"/>
      <c r="DV135" s="182"/>
      <c r="DW135" s="182"/>
      <c r="DX135" s="182"/>
      <c r="DY135" s="182"/>
      <c r="DZ135" s="182"/>
      <c r="EA135" s="182"/>
      <c r="EB135" s="21"/>
      <c r="EC135" s="21"/>
      <c r="ED135" s="21"/>
      <c r="EE135" s="21"/>
      <c r="EF135" s="149" t="s">
        <v>1391</v>
      </c>
      <c r="EG135" s="69" t="str">
        <f>image("https://www.pokebip.com/pages/icones/balls/memoire.png", 3)</f>
        <v/>
      </c>
      <c r="EH135" s="69"/>
      <c r="EI135" s="69"/>
    </row>
    <row r="136" ht="15.75" customHeight="1">
      <c r="A136" s="1">
        <v>136.0</v>
      </c>
      <c r="B136" s="2" t="s">
        <v>1392</v>
      </c>
      <c r="C136" s="7"/>
      <c r="D136" s="122" t="s">
        <v>1393</v>
      </c>
      <c r="E136" s="5"/>
      <c r="F136" s="123"/>
      <c r="G136" s="7"/>
      <c r="H136" s="8" t="s">
        <v>1394</v>
      </c>
      <c r="I136" s="9" t="s">
        <v>1395</v>
      </c>
      <c r="J136" s="10" t="str">
        <f>image("https://archives.bulbagarden.net/media/upload/f/fd/136MS6.png", 3)</f>
        <v/>
      </c>
      <c r="K136" s="11" t="s">
        <v>1393</v>
      </c>
      <c r="L136" s="12"/>
      <c r="M136" s="12"/>
      <c r="N136" s="12"/>
      <c r="O136" s="12"/>
      <c r="Q136" s="71">
        <v>65.0</v>
      </c>
      <c r="R136" s="72">
        <v>130.0</v>
      </c>
      <c r="S136" s="73">
        <v>60.0</v>
      </c>
      <c r="T136" s="74">
        <v>95.0</v>
      </c>
      <c r="U136" s="75">
        <v>110.0</v>
      </c>
      <c r="V136" s="76">
        <v>65.0</v>
      </c>
      <c r="W136" s="77">
        <v>525.0</v>
      </c>
      <c r="X136" s="21"/>
      <c r="Y136" s="71">
        <v>65.0</v>
      </c>
      <c r="Z136" s="72">
        <v>130.0</v>
      </c>
      <c r="AA136" s="73">
        <v>60.0</v>
      </c>
      <c r="AB136" s="74">
        <v>95.0</v>
      </c>
      <c r="AC136" s="75">
        <v>110.0</v>
      </c>
      <c r="AD136" s="76">
        <v>65.0</v>
      </c>
      <c r="AE136" s="77">
        <v>525.0</v>
      </c>
      <c r="AF136" s="21"/>
      <c r="AG136" s="261">
        <v>110.0</v>
      </c>
      <c r="AH136" s="72">
        <v>130.0</v>
      </c>
      <c r="AI136" s="73">
        <v>60.0</v>
      </c>
      <c r="AJ136" s="162">
        <v>65.0</v>
      </c>
      <c r="AK136" s="162">
        <v>65.0</v>
      </c>
      <c r="AL136" s="109">
        <v>95.0</v>
      </c>
      <c r="AM136" s="77">
        <v>525.0</v>
      </c>
      <c r="AN136" s="21"/>
      <c r="AO136" s="22" t="s">
        <v>40</v>
      </c>
      <c r="AP136" s="23">
        <v>130.0</v>
      </c>
      <c r="AQ136" s="23">
        <v>60.0</v>
      </c>
      <c r="AR136" s="23" t="s">
        <v>1396</v>
      </c>
      <c r="AS136" s="23" t="s">
        <v>1396</v>
      </c>
      <c r="AT136" s="23" t="s">
        <v>215</v>
      </c>
      <c r="AU136" s="24">
        <v>525.0</v>
      </c>
      <c r="AV136" s="21"/>
      <c r="AW136" s="111">
        <v>110.0</v>
      </c>
      <c r="AX136" s="79">
        <v>130.0</v>
      </c>
      <c r="AY136" s="79">
        <v>60.0</v>
      </c>
      <c r="AZ136" s="163">
        <v>65.0</v>
      </c>
      <c r="BA136" s="163">
        <v>65.0</v>
      </c>
      <c r="BB136" s="164">
        <v>95.0</v>
      </c>
      <c r="BC136" s="201">
        <v>525.0</v>
      </c>
      <c r="BE136" s="172" t="s">
        <v>216</v>
      </c>
      <c r="BF136" s="113"/>
      <c r="BG136" s="84"/>
      <c r="BI136" s="31" t="s">
        <v>5</v>
      </c>
      <c r="BJ136" s="32">
        <v>2.0</v>
      </c>
      <c r="BK136" s="32" t="s">
        <v>5</v>
      </c>
      <c r="BL136" s="32" t="s">
        <v>5</v>
      </c>
      <c r="BM136" s="32" t="s">
        <v>5</v>
      </c>
      <c r="BN136" s="33" t="s">
        <v>5</v>
      </c>
      <c r="BP136" s="85" t="s">
        <v>34</v>
      </c>
      <c r="BQ136" s="129"/>
      <c r="BS136" s="87" t="s">
        <v>34</v>
      </c>
      <c r="BT136" s="130"/>
      <c r="BU136" s="37" t="str">
        <f t="shared" si="1"/>
        <v>#NAME?</v>
      </c>
      <c r="BV136" s="89" t="s">
        <v>34</v>
      </c>
      <c r="BW136" s="37" t="str">
        <f t="shared" si="2"/>
        <v>#NAME?</v>
      </c>
      <c r="BX136" s="89"/>
      <c r="BY136" s="39"/>
      <c r="BZ136" s="39"/>
      <c r="CA136" s="40" t="s">
        <v>34</v>
      </c>
      <c r="CB136" s="41"/>
      <c r="CC136" s="90" t="s">
        <v>34</v>
      </c>
      <c r="CD136" s="91"/>
      <c r="CE136" s="21"/>
      <c r="CF136" s="92" t="s">
        <v>486</v>
      </c>
      <c r="CG136" s="93"/>
      <c r="CH136" s="21"/>
      <c r="CI136" s="92" t="s">
        <v>486</v>
      </c>
      <c r="CJ136" s="93"/>
      <c r="CK136" s="21"/>
      <c r="CL136" s="22" t="s">
        <v>486</v>
      </c>
      <c r="CM136" s="12"/>
      <c r="CN136" s="48"/>
      <c r="CO136" s="95"/>
      <c r="CP136" s="21"/>
      <c r="CQ136" s="2" t="s">
        <v>1222</v>
      </c>
      <c r="CR136" s="97">
        <v>40.0</v>
      </c>
      <c r="CS136" s="2" t="s">
        <v>216</v>
      </c>
      <c r="CT136" s="98">
        <v>198.0</v>
      </c>
      <c r="CU136" s="2"/>
      <c r="CV136" s="52" t="s">
        <v>13</v>
      </c>
      <c r="CW136" s="53">
        <v>0.125</v>
      </c>
      <c r="CX136" s="2"/>
      <c r="CY136" s="100" t="s">
        <v>277</v>
      </c>
      <c r="CZ136" s="154"/>
      <c r="DA136" s="2"/>
      <c r="DB136" s="98">
        <v>45.0</v>
      </c>
      <c r="DC136" s="2"/>
      <c r="DD136" s="101" t="s">
        <v>150</v>
      </c>
      <c r="DE136" s="2"/>
      <c r="DF136" s="102" t="s">
        <v>1397</v>
      </c>
      <c r="DG136" s="103"/>
      <c r="DH136" s="103"/>
      <c r="DI136" s="2"/>
      <c r="DJ136" s="2"/>
      <c r="DK136" s="59" t="s">
        <v>1398</v>
      </c>
      <c r="DL136" s="37" t="s">
        <v>64</v>
      </c>
      <c r="DM136" s="37" t="str">
        <f t="shared" si="3"/>
        <v>#NAME?</v>
      </c>
      <c r="DN136" s="61"/>
      <c r="DO136" s="37">
        <v>60.0</v>
      </c>
      <c r="DP136" s="105">
        <v>1.0</v>
      </c>
      <c r="DQ136" s="62" t="s">
        <v>49</v>
      </c>
      <c r="DR136" s="63"/>
      <c r="DS136" s="198"/>
      <c r="DT136" s="108"/>
      <c r="DU136" s="108"/>
      <c r="DV136" s="182"/>
      <c r="DW136" s="182"/>
      <c r="DX136" s="182"/>
      <c r="DY136" s="182"/>
      <c r="DZ136" s="182"/>
      <c r="EA136" s="182"/>
      <c r="EB136" s="2"/>
      <c r="EC136" s="2"/>
      <c r="ED136" s="2"/>
      <c r="EE136" s="2"/>
      <c r="EF136" s="149" t="s">
        <v>1399</v>
      </c>
      <c r="EG136" s="69" t="str">
        <f>image("https://www.pokebip.com/pages/icones/balls/parc.png", 3)</f>
        <v/>
      </c>
      <c r="EH136" s="69"/>
      <c r="EI136" s="69"/>
    </row>
    <row r="137" ht="15.75" customHeight="1">
      <c r="A137" s="1">
        <v>137.0</v>
      </c>
      <c r="B137" s="2" t="s">
        <v>1400</v>
      </c>
      <c r="C137" s="7"/>
      <c r="D137" s="213" t="s">
        <v>1401</v>
      </c>
      <c r="E137" s="5"/>
      <c r="F137" s="214"/>
      <c r="G137" s="7"/>
      <c r="H137" s="8" t="s">
        <v>1402</v>
      </c>
      <c r="I137" s="9" t="s">
        <v>1403</v>
      </c>
      <c r="J137" s="10" t="str">
        <f>image("https://archives.bulbagarden.net/media/upload/2/28/137MS6.png", 3)</f>
        <v/>
      </c>
      <c r="K137" s="11" t="s">
        <v>1401</v>
      </c>
      <c r="L137" s="12"/>
      <c r="M137" s="12"/>
      <c r="N137" s="12"/>
      <c r="O137" s="12"/>
      <c r="Q137" s="71">
        <v>65.0</v>
      </c>
      <c r="R137" s="72">
        <v>60.0</v>
      </c>
      <c r="S137" s="73">
        <v>70.0</v>
      </c>
      <c r="T137" s="74">
        <v>85.0</v>
      </c>
      <c r="U137" s="75">
        <v>75.0</v>
      </c>
      <c r="V137" s="76">
        <v>40.0</v>
      </c>
      <c r="W137" s="77">
        <v>395.0</v>
      </c>
      <c r="X137" s="21"/>
      <c r="Y137" s="71">
        <v>65.0</v>
      </c>
      <c r="Z137" s="72">
        <v>60.0</v>
      </c>
      <c r="AA137" s="73">
        <v>70.0</v>
      </c>
      <c r="AB137" s="74">
        <v>85.0</v>
      </c>
      <c r="AC137" s="75">
        <v>75.0</v>
      </c>
      <c r="AD137" s="76">
        <v>40.0</v>
      </c>
      <c r="AE137" s="77">
        <v>395.0</v>
      </c>
      <c r="AF137" s="21"/>
      <c r="AG137" s="71">
        <v>65.0</v>
      </c>
      <c r="AH137" s="72">
        <v>60.0</v>
      </c>
      <c r="AI137" s="73">
        <v>70.0</v>
      </c>
      <c r="AJ137" s="74">
        <v>85.0</v>
      </c>
      <c r="AK137" s="75">
        <v>75.0</v>
      </c>
      <c r="AL137" s="76">
        <v>40.0</v>
      </c>
      <c r="AM137" s="77">
        <v>395.0</v>
      </c>
      <c r="AN137" s="21"/>
      <c r="AO137" s="22">
        <v>65.0</v>
      </c>
      <c r="AP137" s="23">
        <v>60.0</v>
      </c>
      <c r="AQ137" s="23">
        <v>70.0</v>
      </c>
      <c r="AR137" s="23">
        <v>85.0</v>
      </c>
      <c r="AS137" s="23">
        <v>75.0</v>
      </c>
      <c r="AT137" s="23">
        <v>40.0</v>
      </c>
      <c r="AU137" s="24">
        <v>395.0</v>
      </c>
      <c r="AV137" s="21"/>
      <c r="AW137" s="265">
        <v>65.0</v>
      </c>
      <c r="AX137" s="79">
        <v>60.0</v>
      </c>
      <c r="AY137" s="79">
        <v>70.0</v>
      </c>
      <c r="AZ137" s="124">
        <v>85.0</v>
      </c>
      <c r="BA137" s="124">
        <v>75.0</v>
      </c>
      <c r="BB137" s="124">
        <v>40.0</v>
      </c>
      <c r="BC137" s="201">
        <v>395.0</v>
      </c>
      <c r="BE137" s="82" t="s">
        <v>4</v>
      </c>
      <c r="BF137" s="184"/>
      <c r="BG137" s="128"/>
      <c r="BI137" s="31" t="s">
        <v>5</v>
      </c>
      <c r="BJ137" s="32" t="s">
        <v>5</v>
      </c>
      <c r="BK137" s="32" t="s">
        <v>5</v>
      </c>
      <c r="BL137" s="32">
        <v>1.0</v>
      </c>
      <c r="BM137" s="32" t="s">
        <v>5</v>
      </c>
      <c r="BN137" s="33" t="s">
        <v>5</v>
      </c>
      <c r="BP137" s="115" t="s">
        <v>156</v>
      </c>
      <c r="BQ137" s="93"/>
      <c r="BS137" s="115" t="s">
        <v>156</v>
      </c>
      <c r="BT137" s="133"/>
      <c r="BU137" s="37" t="str">
        <f t="shared" si="1"/>
        <v>#NAME?</v>
      </c>
      <c r="BV137" s="89" t="s">
        <v>156</v>
      </c>
      <c r="BW137" s="37" t="str">
        <f t="shared" si="2"/>
        <v>#NAME?</v>
      </c>
      <c r="BX137" s="89"/>
      <c r="BY137" s="39"/>
      <c r="BZ137" s="39"/>
      <c r="CA137" s="40" t="s">
        <v>156</v>
      </c>
      <c r="CB137" s="41"/>
      <c r="CC137" s="90" t="s">
        <v>156</v>
      </c>
      <c r="CD137" s="91"/>
      <c r="CE137" s="21"/>
      <c r="CF137" s="92" t="s">
        <v>1404</v>
      </c>
      <c r="CG137" s="93" t="s">
        <v>1405</v>
      </c>
      <c r="CH137" s="21"/>
      <c r="CI137" s="92" t="s">
        <v>1404</v>
      </c>
      <c r="CJ137" s="93" t="s">
        <v>1405</v>
      </c>
      <c r="CK137" s="21"/>
      <c r="CL137" s="22" t="s">
        <v>1404</v>
      </c>
      <c r="CM137" s="12"/>
      <c r="CN137" s="48"/>
      <c r="CO137" s="96" t="s">
        <v>1405</v>
      </c>
      <c r="CP137" s="21"/>
      <c r="CQ137" s="2" t="s">
        <v>1406</v>
      </c>
      <c r="CR137" s="97">
        <v>60.0</v>
      </c>
      <c r="CS137" s="2" t="s">
        <v>4</v>
      </c>
      <c r="CT137" s="98">
        <v>130.0</v>
      </c>
      <c r="CU137" s="2"/>
      <c r="CV137" s="52" t="s">
        <v>890</v>
      </c>
      <c r="CW137" s="52" t="s">
        <v>890</v>
      </c>
      <c r="CX137" s="2"/>
      <c r="CY137" s="257" t="s">
        <v>826</v>
      </c>
      <c r="CZ137" s="160"/>
      <c r="DA137" s="2"/>
      <c r="DB137" s="98">
        <v>45.0</v>
      </c>
      <c r="DC137" s="2"/>
      <c r="DD137" s="101" t="s">
        <v>150</v>
      </c>
      <c r="DE137" s="2"/>
      <c r="DF137" s="148" t="s">
        <v>1407</v>
      </c>
      <c r="DG137" s="121"/>
      <c r="DH137" s="121"/>
      <c r="DI137" s="21"/>
      <c r="DJ137" s="21"/>
      <c r="DK137" s="59" t="s">
        <v>1408</v>
      </c>
      <c r="DL137" s="37" t="s">
        <v>64</v>
      </c>
      <c r="DM137" s="37" t="str">
        <f t="shared" si="3"/>
        <v>#NAME?</v>
      </c>
      <c r="DN137" s="61"/>
      <c r="DO137" s="37" t="s">
        <v>19</v>
      </c>
      <c r="DP137" s="105">
        <v>1.0</v>
      </c>
      <c r="DQ137" s="62" t="s">
        <v>93</v>
      </c>
      <c r="DR137" s="63"/>
      <c r="DS137" s="198"/>
      <c r="DT137" s="108"/>
      <c r="DU137" s="108"/>
      <c r="DV137" s="182"/>
      <c r="DW137" s="182"/>
      <c r="DX137" s="182"/>
      <c r="DY137" s="182"/>
      <c r="DZ137" s="182"/>
      <c r="EA137" s="182"/>
      <c r="EB137" s="2"/>
      <c r="EC137" s="2"/>
      <c r="ED137" s="2"/>
      <c r="EE137" s="2"/>
      <c r="EF137" s="149" t="s">
        <v>1409</v>
      </c>
      <c r="EG137" s="69" t="str">
        <f>image("https://www.pokebip.com/pages/icones/balls/poke.png", 3)</f>
        <v/>
      </c>
      <c r="EH137" s="69"/>
      <c r="EI137" s="69"/>
    </row>
    <row r="138" ht="15.75" customHeight="1">
      <c r="A138" s="1">
        <v>138.0</v>
      </c>
      <c r="B138" s="2" t="s">
        <v>1410</v>
      </c>
      <c r="C138" s="7"/>
      <c r="D138" s="140" t="s">
        <v>1411</v>
      </c>
      <c r="E138" s="5"/>
      <c r="F138" s="141"/>
      <c r="G138" s="7"/>
      <c r="H138" s="8" t="s">
        <v>1412</v>
      </c>
      <c r="I138" s="9" t="s">
        <v>1413</v>
      </c>
      <c r="J138" s="10" t="str">
        <f>image("https://archives.bulbagarden.net/media/upload/2/20/138MS6.png", 3)</f>
        <v/>
      </c>
      <c r="K138" s="11" t="s">
        <v>1411</v>
      </c>
      <c r="L138" s="12"/>
      <c r="M138" s="12"/>
      <c r="N138" s="12"/>
      <c r="O138" s="12"/>
      <c r="Q138" s="71">
        <v>35.0</v>
      </c>
      <c r="R138" s="72">
        <v>40.0</v>
      </c>
      <c r="S138" s="73">
        <v>100.0</v>
      </c>
      <c r="T138" s="74">
        <v>90.0</v>
      </c>
      <c r="U138" s="75">
        <v>55.0</v>
      </c>
      <c r="V138" s="76">
        <v>35.0</v>
      </c>
      <c r="W138" s="77">
        <v>355.0</v>
      </c>
      <c r="X138" s="21"/>
      <c r="Y138" s="71">
        <v>35.0</v>
      </c>
      <c r="Z138" s="72">
        <v>40.0</v>
      </c>
      <c r="AA138" s="73">
        <v>100.0</v>
      </c>
      <c r="AB138" s="74">
        <v>90.0</v>
      </c>
      <c r="AC138" s="75">
        <v>55.0</v>
      </c>
      <c r="AD138" s="76">
        <v>35.0</v>
      </c>
      <c r="AE138" s="77">
        <v>355.0</v>
      </c>
      <c r="AF138" s="21"/>
      <c r="AG138" s="71">
        <v>35.0</v>
      </c>
      <c r="AH138" s="72">
        <v>40.0</v>
      </c>
      <c r="AI138" s="73">
        <v>100.0</v>
      </c>
      <c r="AJ138" s="74">
        <v>90.0</v>
      </c>
      <c r="AK138" s="75">
        <v>55.0</v>
      </c>
      <c r="AL138" s="76">
        <v>35.0</v>
      </c>
      <c r="AM138" s="77">
        <v>355.0</v>
      </c>
      <c r="AN138" s="21"/>
      <c r="AO138" s="22">
        <v>35.0</v>
      </c>
      <c r="AP138" s="23">
        <v>40.0</v>
      </c>
      <c r="AQ138" s="23">
        <v>100.0</v>
      </c>
      <c r="AR138" s="23">
        <v>90.0</v>
      </c>
      <c r="AS138" s="23">
        <v>55.0</v>
      </c>
      <c r="AT138" s="23">
        <v>35.0</v>
      </c>
      <c r="AU138" s="24">
        <v>355.0</v>
      </c>
      <c r="AV138" s="21"/>
      <c r="AW138" s="78">
        <v>35.0</v>
      </c>
      <c r="AX138" s="79">
        <v>40.0</v>
      </c>
      <c r="AY138" s="79">
        <v>100.0</v>
      </c>
      <c r="AZ138" s="79">
        <v>90.0</v>
      </c>
      <c r="BA138" s="79">
        <v>55.0</v>
      </c>
      <c r="BB138" s="79">
        <v>35.0</v>
      </c>
      <c r="BC138" s="201">
        <v>355.0</v>
      </c>
      <c r="BE138" s="142" t="s">
        <v>101</v>
      </c>
      <c r="BF138" s="127"/>
      <c r="BG138" s="128"/>
      <c r="BI138" s="31" t="s">
        <v>5</v>
      </c>
      <c r="BJ138" s="32" t="s">
        <v>5</v>
      </c>
      <c r="BK138" s="32">
        <v>1.0</v>
      </c>
      <c r="BL138" s="32" t="s">
        <v>5</v>
      </c>
      <c r="BM138" s="32" t="s">
        <v>5</v>
      </c>
      <c r="BN138" s="33" t="s">
        <v>5</v>
      </c>
      <c r="BP138" s="85" t="s">
        <v>66</v>
      </c>
      <c r="BQ138" s="86" t="s">
        <v>32</v>
      </c>
      <c r="BS138" s="87" t="s">
        <v>66</v>
      </c>
      <c r="BT138" s="88" t="s">
        <v>32</v>
      </c>
      <c r="BU138" s="37" t="str">
        <f t="shared" si="1"/>
        <v>#NAME?</v>
      </c>
      <c r="BV138" s="89" t="s">
        <v>66</v>
      </c>
      <c r="BW138" s="37" t="str">
        <f t="shared" si="2"/>
        <v>#NAME?</v>
      </c>
      <c r="BX138" s="89" t="s">
        <v>32</v>
      </c>
      <c r="BY138" s="39"/>
      <c r="BZ138" s="39"/>
      <c r="CA138" s="40" t="s">
        <v>1414</v>
      </c>
      <c r="CB138" s="41"/>
      <c r="CC138" s="90" t="s">
        <v>66</v>
      </c>
      <c r="CD138" s="91" t="s">
        <v>32</v>
      </c>
      <c r="CE138" s="2"/>
      <c r="CF138" s="92" t="s">
        <v>1212</v>
      </c>
      <c r="CG138" s="93" t="s">
        <v>981</v>
      </c>
      <c r="CH138" s="2"/>
      <c r="CI138" s="92" t="s">
        <v>1212</v>
      </c>
      <c r="CJ138" s="93" t="s">
        <v>981</v>
      </c>
      <c r="CK138" s="2"/>
      <c r="CL138" s="22" t="s">
        <v>1212</v>
      </c>
      <c r="CM138" s="12"/>
      <c r="CN138" s="48"/>
      <c r="CO138" s="96" t="s">
        <v>981</v>
      </c>
      <c r="CP138" s="2"/>
      <c r="CQ138" s="2" t="s">
        <v>465</v>
      </c>
      <c r="CR138" s="97">
        <v>20.0</v>
      </c>
      <c r="CS138" s="2" t="s">
        <v>101</v>
      </c>
      <c r="CT138" s="98">
        <v>99.0</v>
      </c>
      <c r="CU138" s="2"/>
      <c r="CV138" s="52" t="s">
        <v>13</v>
      </c>
      <c r="CW138" s="53">
        <v>0.125</v>
      </c>
      <c r="CX138" s="2"/>
      <c r="CY138" s="99" t="s">
        <v>106</v>
      </c>
      <c r="CZ138" s="100" t="s">
        <v>807</v>
      </c>
      <c r="DA138" s="2"/>
      <c r="DB138" s="98">
        <v>45.0</v>
      </c>
      <c r="DC138" s="2"/>
      <c r="DD138" s="101" t="s">
        <v>150</v>
      </c>
      <c r="DE138" s="2"/>
      <c r="DF138" s="269" t="s">
        <v>1415</v>
      </c>
      <c r="DG138" s="103"/>
      <c r="DH138" s="103"/>
      <c r="DI138" s="21"/>
      <c r="DJ138" s="21"/>
      <c r="DK138" s="59" t="s">
        <v>1416</v>
      </c>
      <c r="DL138" s="37" t="s">
        <v>66</v>
      </c>
      <c r="DM138" s="37" t="str">
        <f t="shared" si="3"/>
        <v>#NAME?</v>
      </c>
      <c r="DN138" s="61"/>
      <c r="DO138" s="37">
        <v>25.0</v>
      </c>
      <c r="DP138" s="37" t="s">
        <v>266</v>
      </c>
      <c r="DQ138" s="62" t="s">
        <v>49</v>
      </c>
      <c r="DR138" s="63"/>
      <c r="DS138" s="198"/>
      <c r="DT138" s="108"/>
      <c r="DU138" s="108"/>
      <c r="DV138" s="182"/>
      <c r="DW138" s="182"/>
      <c r="DX138" s="182"/>
      <c r="DY138" s="182"/>
      <c r="DZ138" s="182"/>
      <c r="EA138" s="182"/>
      <c r="EB138" s="21"/>
      <c r="EC138" s="21"/>
      <c r="ED138" s="21"/>
      <c r="EE138" s="21"/>
      <c r="EF138" s="149" t="s">
        <v>1417</v>
      </c>
      <c r="EG138" s="69" t="str">
        <f>image("https://www.pokebip.com/pages/icones/balls/rapide.png", 3)</f>
        <v/>
      </c>
      <c r="EH138" s="69"/>
      <c r="EI138" s="69"/>
    </row>
    <row r="139" ht="15.75" customHeight="1">
      <c r="A139" s="1">
        <v>139.0</v>
      </c>
      <c r="B139" s="2" t="s">
        <v>1418</v>
      </c>
      <c r="C139" s="7"/>
      <c r="D139" s="140" t="s">
        <v>1419</v>
      </c>
      <c r="E139" s="5"/>
      <c r="F139" s="141"/>
      <c r="G139" s="7"/>
      <c r="H139" s="8" t="s">
        <v>1420</v>
      </c>
      <c r="I139" s="9" t="s">
        <v>1421</v>
      </c>
      <c r="J139" s="10" t="str">
        <f>image("https://archives.bulbagarden.net/media/upload/a/a4/139MS6.png", 3)</f>
        <v/>
      </c>
      <c r="K139" s="11" t="s">
        <v>1419</v>
      </c>
      <c r="L139" s="12"/>
      <c r="M139" s="12"/>
      <c r="N139" s="12"/>
      <c r="O139" s="12"/>
      <c r="Q139" s="71">
        <v>70.0</v>
      </c>
      <c r="R139" s="72">
        <v>60.0</v>
      </c>
      <c r="S139" s="73">
        <v>125.0</v>
      </c>
      <c r="T139" s="74">
        <v>115.0</v>
      </c>
      <c r="U139" s="75">
        <v>70.0</v>
      </c>
      <c r="V139" s="76">
        <v>55.0</v>
      </c>
      <c r="W139" s="77">
        <v>495.0</v>
      </c>
      <c r="X139" s="21"/>
      <c r="Y139" s="71">
        <v>70.0</v>
      </c>
      <c r="Z139" s="72">
        <v>60.0</v>
      </c>
      <c r="AA139" s="73">
        <v>125.0</v>
      </c>
      <c r="AB139" s="74">
        <v>115.0</v>
      </c>
      <c r="AC139" s="75">
        <v>70.0</v>
      </c>
      <c r="AD139" s="76">
        <v>55.0</v>
      </c>
      <c r="AE139" s="77">
        <v>495.0</v>
      </c>
      <c r="AF139" s="21"/>
      <c r="AG139" s="71">
        <v>70.0</v>
      </c>
      <c r="AH139" s="72">
        <v>60.0</v>
      </c>
      <c r="AI139" s="73">
        <v>125.0</v>
      </c>
      <c r="AJ139" s="74">
        <v>115.0</v>
      </c>
      <c r="AK139" s="75">
        <v>70.0</v>
      </c>
      <c r="AL139" s="76">
        <v>55.0</v>
      </c>
      <c r="AM139" s="77">
        <v>495.0</v>
      </c>
      <c r="AN139" s="21"/>
      <c r="AO139" s="22">
        <v>70.0</v>
      </c>
      <c r="AP139" s="23">
        <v>60.0</v>
      </c>
      <c r="AQ139" s="23">
        <v>125.0</v>
      </c>
      <c r="AR139" s="23">
        <v>115.0</v>
      </c>
      <c r="AS139" s="23">
        <v>70.0</v>
      </c>
      <c r="AT139" s="23">
        <v>55.0</v>
      </c>
      <c r="AU139" s="24">
        <v>495.0</v>
      </c>
      <c r="AV139" s="21"/>
      <c r="AW139" s="78">
        <v>70.0</v>
      </c>
      <c r="AX139" s="79">
        <v>60.0</v>
      </c>
      <c r="AY139" s="79">
        <v>125.0</v>
      </c>
      <c r="AZ139" s="79">
        <v>115.0</v>
      </c>
      <c r="BA139" s="79">
        <v>70.0</v>
      </c>
      <c r="BB139" s="79">
        <v>55.0</v>
      </c>
      <c r="BC139" s="201">
        <v>495.0</v>
      </c>
      <c r="BE139" s="156" t="s">
        <v>162</v>
      </c>
      <c r="BF139" s="113"/>
      <c r="BG139" s="93"/>
      <c r="BI139" s="31" t="s">
        <v>5</v>
      </c>
      <c r="BJ139" s="32" t="s">
        <v>5</v>
      </c>
      <c r="BK139" s="32">
        <v>2.0</v>
      </c>
      <c r="BL139" s="32" t="s">
        <v>5</v>
      </c>
      <c r="BM139" s="32" t="s">
        <v>5</v>
      </c>
      <c r="BN139" s="33" t="s">
        <v>5</v>
      </c>
      <c r="BP139" s="115" t="s">
        <v>66</v>
      </c>
      <c r="BQ139" s="116" t="s">
        <v>32</v>
      </c>
      <c r="BS139" s="115" t="s">
        <v>66</v>
      </c>
      <c r="BT139" s="117" t="s">
        <v>32</v>
      </c>
      <c r="BU139" s="37" t="str">
        <f t="shared" si="1"/>
        <v>#NAME?</v>
      </c>
      <c r="BV139" s="89" t="s">
        <v>66</v>
      </c>
      <c r="BW139" s="37" t="str">
        <f t="shared" si="2"/>
        <v>#NAME?</v>
      </c>
      <c r="BX139" s="89" t="s">
        <v>32</v>
      </c>
      <c r="BY139" s="39"/>
      <c r="BZ139" s="39"/>
      <c r="CA139" s="40" t="s">
        <v>1414</v>
      </c>
      <c r="CB139" s="41"/>
      <c r="CC139" s="90" t="s">
        <v>66</v>
      </c>
      <c r="CD139" s="91" t="s">
        <v>32</v>
      </c>
      <c r="CE139" s="2"/>
      <c r="CF139" s="92" t="s">
        <v>1212</v>
      </c>
      <c r="CG139" s="93" t="s">
        <v>981</v>
      </c>
      <c r="CH139" s="2"/>
      <c r="CI139" s="92" t="s">
        <v>1212</v>
      </c>
      <c r="CJ139" s="93" t="s">
        <v>981</v>
      </c>
      <c r="CK139" s="2"/>
      <c r="CL139" s="22" t="s">
        <v>1212</v>
      </c>
      <c r="CM139" s="12"/>
      <c r="CN139" s="48"/>
      <c r="CO139" s="96" t="s">
        <v>981</v>
      </c>
      <c r="CP139" s="2"/>
      <c r="CQ139" s="2" t="s">
        <v>1195</v>
      </c>
      <c r="CR139" s="97">
        <v>60.0</v>
      </c>
      <c r="CS139" s="2" t="s">
        <v>162</v>
      </c>
      <c r="CT139" s="98">
        <v>199.0</v>
      </c>
      <c r="CU139" s="2"/>
      <c r="CV139" s="52" t="s">
        <v>13</v>
      </c>
      <c r="CW139" s="53">
        <v>0.125</v>
      </c>
      <c r="CX139" s="2"/>
      <c r="CY139" s="118" t="s">
        <v>106</v>
      </c>
      <c r="CZ139" s="119" t="s">
        <v>807</v>
      </c>
      <c r="DA139" s="2"/>
      <c r="DB139" s="98">
        <v>45.0</v>
      </c>
      <c r="DC139" s="2"/>
      <c r="DD139" s="101" t="s">
        <v>150</v>
      </c>
      <c r="DE139" s="2"/>
      <c r="DF139" s="159" t="s">
        <v>1422</v>
      </c>
      <c r="DG139" s="121"/>
      <c r="DH139" s="121"/>
      <c r="DI139" s="2"/>
      <c r="DJ139" s="2"/>
      <c r="DK139" s="59" t="s">
        <v>1423</v>
      </c>
      <c r="DL139" s="230" t="s">
        <v>1424</v>
      </c>
      <c r="DM139" s="231" t="str">
        <f t="shared" si="3"/>
        <v>#NAME?</v>
      </c>
      <c r="DN139" s="61"/>
      <c r="DO139" s="37">
        <v>80.0</v>
      </c>
      <c r="DP139" s="37" t="s">
        <v>1250</v>
      </c>
      <c r="DQ139" s="62" t="s">
        <v>49</v>
      </c>
      <c r="DR139" s="63"/>
      <c r="DS139" s="198"/>
      <c r="DT139" s="108"/>
      <c r="DU139" s="108"/>
      <c r="DV139" s="182"/>
      <c r="DW139" s="182"/>
      <c r="DX139" s="182"/>
      <c r="DY139" s="182"/>
      <c r="DZ139" s="182"/>
      <c r="EA139" s="182"/>
      <c r="EB139" s="2"/>
      <c r="EC139" s="2"/>
      <c r="ED139" s="2"/>
      <c r="EE139" s="2"/>
      <c r="EF139" s="149" t="s">
        <v>1425</v>
      </c>
      <c r="EG139" s="69" t="str">
        <f>image("https://www.pokebip.com/pages/icones/balls/safari.png", 3)</f>
        <v/>
      </c>
      <c r="EH139" s="69"/>
      <c r="EI139" s="69"/>
    </row>
    <row r="140" ht="15.75" customHeight="1">
      <c r="A140" s="1">
        <v>140.0</v>
      </c>
      <c r="B140" s="2" t="s">
        <v>1426</v>
      </c>
      <c r="C140" s="7"/>
      <c r="D140" s="167" t="s">
        <v>1427</v>
      </c>
      <c r="E140" s="5"/>
      <c r="F140" s="168"/>
      <c r="G140" s="7"/>
      <c r="H140" s="8" t="s">
        <v>1428</v>
      </c>
      <c r="I140" s="9" t="s">
        <v>1429</v>
      </c>
      <c r="J140" s="10" t="str">
        <f>image("https://archives.bulbagarden.net/media/upload/8/89/140MS6.png", 3)</f>
        <v/>
      </c>
      <c r="K140" s="11" t="s">
        <v>1427</v>
      </c>
      <c r="L140" s="12"/>
      <c r="M140" s="12"/>
      <c r="N140" s="12"/>
      <c r="O140" s="12"/>
      <c r="Q140" s="71">
        <v>30.0</v>
      </c>
      <c r="R140" s="72">
        <v>80.0</v>
      </c>
      <c r="S140" s="73">
        <v>90.0</v>
      </c>
      <c r="T140" s="74">
        <v>55.0</v>
      </c>
      <c r="U140" s="75">
        <v>45.0</v>
      </c>
      <c r="V140" s="76">
        <v>55.0</v>
      </c>
      <c r="W140" s="77">
        <v>355.0</v>
      </c>
      <c r="X140" s="21"/>
      <c r="Y140" s="71">
        <v>30.0</v>
      </c>
      <c r="Z140" s="72">
        <v>80.0</v>
      </c>
      <c r="AA140" s="73">
        <v>90.0</v>
      </c>
      <c r="AB140" s="74">
        <v>55.0</v>
      </c>
      <c r="AC140" s="75">
        <v>45.0</v>
      </c>
      <c r="AD140" s="76">
        <v>55.0</v>
      </c>
      <c r="AE140" s="77">
        <v>355.0</v>
      </c>
      <c r="AF140" s="21"/>
      <c r="AG140" s="71">
        <v>30.0</v>
      </c>
      <c r="AH140" s="72">
        <v>80.0</v>
      </c>
      <c r="AI140" s="73">
        <v>90.0</v>
      </c>
      <c r="AJ140" s="74">
        <v>55.0</v>
      </c>
      <c r="AK140" s="75">
        <v>45.0</v>
      </c>
      <c r="AL140" s="76">
        <v>55.0</v>
      </c>
      <c r="AM140" s="77">
        <v>355.0</v>
      </c>
      <c r="AN140" s="21"/>
      <c r="AO140" s="22">
        <v>30.0</v>
      </c>
      <c r="AP140" s="23">
        <v>80.0</v>
      </c>
      <c r="AQ140" s="23">
        <v>90.0</v>
      </c>
      <c r="AR140" s="23">
        <v>55.0</v>
      </c>
      <c r="AS140" s="23">
        <v>45.0</v>
      </c>
      <c r="AT140" s="23">
        <v>55.0</v>
      </c>
      <c r="AU140" s="24">
        <v>355.0</v>
      </c>
      <c r="AV140" s="21"/>
      <c r="AW140" s="78">
        <v>30.0</v>
      </c>
      <c r="AX140" s="79">
        <v>80.0</v>
      </c>
      <c r="AY140" s="79">
        <v>90.0</v>
      </c>
      <c r="AZ140" s="79">
        <v>55.0</v>
      </c>
      <c r="BA140" s="79">
        <v>45.0</v>
      </c>
      <c r="BB140" s="79">
        <v>55.0</v>
      </c>
      <c r="BC140" s="201">
        <v>355.0</v>
      </c>
      <c r="BE140" s="142" t="s">
        <v>101</v>
      </c>
      <c r="BF140" s="127"/>
      <c r="BG140" s="128"/>
      <c r="BI140" s="31" t="s">
        <v>5</v>
      </c>
      <c r="BJ140" s="32" t="s">
        <v>5</v>
      </c>
      <c r="BK140" s="32">
        <v>1.0</v>
      </c>
      <c r="BL140" s="32" t="s">
        <v>5</v>
      </c>
      <c r="BM140" s="32" t="s">
        <v>5</v>
      </c>
      <c r="BN140" s="33" t="s">
        <v>5</v>
      </c>
      <c r="BP140" s="85" t="s">
        <v>66</v>
      </c>
      <c r="BQ140" s="86" t="s">
        <v>32</v>
      </c>
      <c r="BS140" s="87" t="s">
        <v>66</v>
      </c>
      <c r="BT140" s="88" t="s">
        <v>32</v>
      </c>
      <c r="BU140" s="37" t="str">
        <f t="shared" si="1"/>
        <v>#NAME?</v>
      </c>
      <c r="BV140" s="89" t="s">
        <v>66</v>
      </c>
      <c r="BW140" s="37" t="str">
        <f t="shared" si="2"/>
        <v>#NAME?</v>
      </c>
      <c r="BX140" s="89" t="s">
        <v>32</v>
      </c>
      <c r="BY140" s="39"/>
      <c r="BZ140" s="39"/>
      <c r="CA140" s="40" t="s">
        <v>1414</v>
      </c>
      <c r="CB140" s="41"/>
      <c r="CC140" s="90" t="s">
        <v>66</v>
      </c>
      <c r="CD140" s="91" t="s">
        <v>32</v>
      </c>
      <c r="CE140" s="2"/>
      <c r="CF140" s="92" t="s">
        <v>1212</v>
      </c>
      <c r="CG140" s="93" t="s">
        <v>1430</v>
      </c>
      <c r="CH140" s="2"/>
      <c r="CI140" s="92" t="s">
        <v>1212</v>
      </c>
      <c r="CJ140" s="93" t="s">
        <v>1430</v>
      </c>
      <c r="CK140" s="2"/>
      <c r="CL140" s="22" t="s">
        <v>1212</v>
      </c>
      <c r="CM140" s="12"/>
      <c r="CN140" s="48"/>
      <c r="CO140" s="96" t="s">
        <v>1430</v>
      </c>
      <c r="CP140" s="2"/>
      <c r="CQ140" s="2" t="s">
        <v>1431</v>
      </c>
      <c r="CR140" s="97">
        <v>40.0</v>
      </c>
      <c r="CS140" s="2" t="s">
        <v>101</v>
      </c>
      <c r="CT140" s="98">
        <v>99.0</v>
      </c>
      <c r="CU140" s="2"/>
      <c r="CV140" s="52" t="s">
        <v>13</v>
      </c>
      <c r="CW140" s="53">
        <v>0.125</v>
      </c>
      <c r="CX140" s="2"/>
      <c r="CY140" s="99" t="s">
        <v>106</v>
      </c>
      <c r="CZ140" s="100" t="s">
        <v>807</v>
      </c>
      <c r="DA140" s="2"/>
      <c r="DB140" s="98">
        <v>45.0</v>
      </c>
      <c r="DC140" s="2"/>
      <c r="DD140" s="101" t="s">
        <v>150</v>
      </c>
      <c r="DE140" s="2"/>
      <c r="DF140" s="293" t="s">
        <v>1432</v>
      </c>
      <c r="DG140" s="103"/>
      <c r="DH140" s="103"/>
      <c r="DI140" s="21"/>
      <c r="DJ140" s="21"/>
      <c r="DK140" s="59" t="s">
        <v>1433</v>
      </c>
      <c r="DL140" s="37" t="s">
        <v>66</v>
      </c>
      <c r="DM140" s="37" t="str">
        <f t="shared" si="3"/>
        <v>#NAME?</v>
      </c>
      <c r="DN140" s="61"/>
      <c r="DO140" s="37">
        <v>75.0</v>
      </c>
      <c r="DP140" s="105">
        <v>0.9</v>
      </c>
      <c r="DQ140" s="62" t="s">
        <v>49</v>
      </c>
      <c r="DR140" s="199"/>
      <c r="DS140" s="244"/>
      <c r="DT140" s="108"/>
      <c r="DU140" s="108"/>
      <c r="DV140" s="200"/>
      <c r="DW140" s="200"/>
      <c r="DX140" s="200"/>
      <c r="DY140" s="200"/>
      <c r="EB140" s="2"/>
      <c r="EC140" s="2"/>
      <c r="ED140" s="2"/>
      <c r="EE140" s="2"/>
      <c r="EF140" s="149" t="s">
        <v>1434</v>
      </c>
      <c r="EG140" s="69" t="str">
        <f>image("https://www.pokebip.com/pages/icones/balls/scuba.png", 3)</f>
        <v/>
      </c>
      <c r="EH140" s="69"/>
      <c r="EI140" s="69"/>
    </row>
    <row r="141" ht="15.75" customHeight="1">
      <c r="A141" s="1">
        <v>141.0</v>
      </c>
      <c r="B141" s="2" t="s">
        <v>1435</v>
      </c>
      <c r="C141" s="7"/>
      <c r="D141" s="167" t="s">
        <v>1436</v>
      </c>
      <c r="E141" s="5"/>
      <c r="F141" s="168"/>
      <c r="G141" s="7"/>
      <c r="H141" s="8" t="s">
        <v>1437</v>
      </c>
      <c r="I141" s="9" t="s">
        <v>1438</v>
      </c>
      <c r="J141" s="10" t="str">
        <f>image("https://archives.bulbagarden.net/media/upload/1/1a/141MS6.png", 3)</f>
        <v/>
      </c>
      <c r="K141" s="11" t="s">
        <v>1436</v>
      </c>
      <c r="L141" s="12"/>
      <c r="M141" s="12"/>
      <c r="N141" s="12"/>
      <c r="O141" s="12"/>
      <c r="Q141" s="71">
        <v>60.0</v>
      </c>
      <c r="R141" s="72">
        <v>115.0</v>
      </c>
      <c r="S141" s="73">
        <v>105.0</v>
      </c>
      <c r="T141" s="74">
        <v>65.0</v>
      </c>
      <c r="U141" s="75">
        <v>70.0</v>
      </c>
      <c r="V141" s="76">
        <v>80.0</v>
      </c>
      <c r="W141" s="77">
        <v>495.0</v>
      </c>
      <c r="X141" s="21"/>
      <c r="Y141" s="71">
        <v>60.0</v>
      </c>
      <c r="Z141" s="72">
        <v>115.0</v>
      </c>
      <c r="AA141" s="73">
        <v>105.0</v>
      </c>
      <c r="AB141" s="74">
        <v>65.0</v>
      </c>
      <c r="AC141" s="75">
        <v>70.0</v>
      </c>
      <c r="AD141" s="76">
        <v>80.0</v>
      </c>
      <c r="AE141" s="77">
        <v>495.0</v>
      </c>
      <c r="AF141" s="21"/>
      <c r="AG141" s="71">
        <v>60.0</v>
      </c>
      <c r="AH141" s="72">
        <v>115.0</v>
      </c>
      <c r="AI141" s="73">
        <v>105.0</v>
      </c>
      <c r="AJ141" s="74">
        <v>65.0</v>
      </c>
      <c r="AK141" s="75">
        <v>70.0</v>
      </c>
      <c r="AL141" s="76">
        <v>80.0</v>
      </c>
      <c r="AM141" s="77">
        <v>495.0</v>
      </c>
      <c r="AN141" s="21"/>
      <c r="AO141" s="22">
        <v>60.0</v>
      </c>
      <c r="AP141" s="23">
        <v>115.0</v>
      </c>
      <c r="AQ141" s="23">
        <v>105.0</v>
      </c>
      <c r="AR141" s="23">
        <v>65.0</v>
      </c>
      <c r="AS141" s="23">
        <v>70.0</v>
      </c>
      <c r="AT141" s="23">
        <v>80.0</v>
      </c>
      <c r="AU141" s="24">
        <v>495.0</v>
      </c>
      <c r="AV141" s="21"/>
      <c r="AW141" s="78">
        <v>60.0</v>
      </c>
      <c r="AX141" s="79">
        <v>115.0</v>
      </c>
      <c r="AY141" s="79">
        <v>105.0</v>
      </c>
      <c r="AZ141" s="79">
        <v>65.0</v>
      </c>
      <c r="BA141" s="79">
        <v>70.0</v>
      </c>
      <c r="BB141" s="79">
        <v>80.0</v>
      </c>
      <c r="BC141" s="201">
        <v>495.0</v>
      </c>
      <c r="BE141" s="172" t="s">
        <v>216</v>
      </c>
      <c r="BF141" s="113"/>
      <c r="BG141" s="93"/>
      <c r="BI141" s="31" t="s">
        <v>5</v>
      </c>
      <c r="BJ141" s="32">
        <v>2.0</v>
      </c>
      <c r="BK141" s="32" t="s">
        <v>5</v>
      </c>
      <c r="BL141" s="32" t="s">
        <v>5</v>
      </c>
      <c r="BM141" s="32" t="s">
        <v>5</v>
      </c>
      <c r="BN141" s="33" t="s">
        <v>5</v>
      </c>
      <c r="BP141" s="115" t="s">
        <v>66</v>
      </c>
      <c r="BQ141" s="116" t="s">
        <v>32</v>
      </c>
      <c r="BS141" s="115" t="s">
        <v>66</v>
      </c>
      <c r="BT141" s="117" t="s">
        <v>32</v>
      </c>
      <c r="BU141" s="37" t="str">
        <f t="shared" si="1"/>
        <v>#NAME?</v>
      </c>
      <c r="BV141" s="89" t="s">
        <v>66</v>
      </c>
      <c r="BW141" s="37" t="str">
        <f t="shared" si="2"/>
        <v>#NAME?</v>
      </c>
      <c r="BX141" s="89" t="s">
        <v>32</v>
      </c>
      <c r="BY141" s="39"/>
      <c r="BZ141" s="39"/>
      <c r="CA141" s="40" t="s">
        <v>1414</v>
      </c>
      <c r="CB141" s="41"/>
      <c r="CC141" s="90" t="s">
        <v>66</v>
      </c>
      <c r="CD141" s="91" t="s">
        <v>32</v>
      </c>
      <c r="CE141" s="2"/>
      <c r="CF141" s="92" t="s">
        <v>1212</v>
      </c>
      <c r="CG141" s="93" t="s">
        <v>1430</v>
      </c>
      <c r="CH141" s="2"/>
      <c r="CI141" s="92" t="s">
        <v>1212</v>
      </c>
      <c r="CJ141" s="93" t="s">
        <v>1430</v>
      </c>
      <c r="CK141" s="2"/>
      <c r="CL141" s="22" t="s">
        <v>1212</v>
      </c>
      <c r="CM141" s="12"/>
      <c r="CN141" s="48"/>
      <c r="CO141" s="96" t="s">
        <v>1430</v>
      </c>
      <c r="CP141" s="2"/>
      <c r="CQ141" s="2" t="s">
        <v>1017</v>
      </c>
      <c r="CR141" s="97">
        <v>60.0</v>
      </c>
      <c r="CS141" s="2" t="s">
        <v>216</v>
      </c>
      <c r="CT141" s="98">
        <v>199.0</v>
      </c>
      <c r="CU141" s="2"/>
      <c r="CV141" s="52" t="s">
        <v>13</v>
      </c>
      <c r="CW141" s="53">
        <v>0.125</v>
      </c>
      <c r="CX141" s="2"/>
      <c r="CY141" s="118" t="s">
        <v>106</v>
      </c>
      <c r="CZ141" s="119" t="s">
        <v>807</v>
      </c>
      <c r="DA141" s="2"/>
      <c r="DB141" s="98">
        <v>45.0</v>
      </c>
      <c r="DC141" s="2"/>
      <c r="DD141" s="101" t="s">
        <v>150</v>
      </c>
      <c r="DE141" s="2"/>
      <c r="DF141" s="159" t="s">
        <v>1439</v>
      </c>
      <c r="DG141" s="121"/>
      <c r="DH141" s="121"/>
      <c r="DI141" s="2"/>
      <c r="DJ141" s="2"/>
      <c r="DK141" s="59" t="s">
        <v>1440</v>
      </c>
      <c r="DL141" s="37" t="s">
        <v>64</v>
      </c>
      <c r="DM141" s="37" t="str">
        <f t="shared" si="3"/>
        <v>#NAME?</v>
      </c>
      <c r="DN141" s="61"/>
      <c r="DO141" s="37" t="s">
        <v>77</v>
      </c>
      <c r="DP141" s="105">
        <v>1.0</v>
      </c>
      <c r="DQ141" s="62" t="s">
        <v>93</v>
      </c>
      <c r="DR141" s="63"/>
      <c r="DS141" s="198"/>
      <c r="DT141" s="108"/>
      <c r="DU141" s="108"/>
      <c r="DV141" s="182"/>
      <c r="DW141" s="182"/>
      <c r="DX141" s="182"/>
      <c r="DY141" s="182"/>
      <c r="EB141" s="2"/>
      <c r="EC141" s="2"/>
      <c r="ED141" s="2"/>
      <c r="EE141" s="2"/>
      <c r="EF141" s="149" t="s">
        <v>1441</v>
      </c>
      <c r="EG141" s="69" t="str">
        <f>image("https://www.pokebip.com/pages/icones/balls/soin.png", 3)</f>
        <v/>
      </c>
      <c r="EH141" s="69"/>
      <c r="EI141" s="69"/>
    </row>
    <row r="142" ht="15.75" customHeight="1">
      <c r="A142" s="1">
        <v>142.0</v>
      </c>
      <c r="B142" s="2" t="s">
        <v>1442</v>
      </c>
      <c r="C142" s="7"/>
      <c r="D142" s="180" t="s">
        <v>1443</v>
      </c>
      <c r="E142" s="5"/>
      <c r="F142" s="181"/>
      <c r="G142" s="7"/>
      <c r="H142" s="8" t="s">
        <v>1444</v>
      </c>
      <c r="I142" s="9" t="s">
        <v>1445</v>
      </c>
      <c r="J142" s="10" t="str">
        <f>image("https://archives.bulbagarden.net/media/upload/6/69/142MS6.png", 3)</f>
        <v/>
      </c>
      <c r="K142" s="11" t="s">
        <v>1443</v>
      </c>
      <c r="L142" s="12"/>
      <c r="M142" s="12"/>
      <c r="N142" s="12"/>
      <c r="O142" s="12"/>
      <c r="Q142" s="71">
        <v>80.0</v>
      </c>
      <c r="R142" s="72">
        <v>105.0</v>
      </c>
      <c r="S142" s="73">
        <v>65.0</v>
      </c>
      <c r="T142" s="74">
        <v>60.0</v>
      </c>
      <c r="U142" s="75">
        <v>75.0</v>
      </c>
      <c r="V142" s="76">
        <v>130.0</v>
      </c>
      <c r="W142" s="77">
        <v>515.0</v>
      </c>
      <c r="X142" s="21"/>
      <c r="Y142" s="71">
        <v>80.0</v>
      </c>
      <c r="Z142" s="72">
        <v>105.0</v>
      </c>
      <c r="AA142" s="73">
        <v>65.0</v>
      </c>
      <c r="AB142" s="74">
        <v>60.0</v>
      </c>
      <c r="AC142" s="75">
        <v>75.0</v>
      </c>
      <c r="AD142" s="76">
        <v>130.0</v>
      </c>
      <c r="AE142" s="77">
        <v>515.0</v>
      </c>
      <c r="AF142" s="21"/>
      <c r="AG142" s="71">
        <v>80.0</v>
      </c>
      <c r="AH142" s="72">
        <v>105.0</v>
      </c>
      <c r="AI142" s="73">
        <v>65.0</v>
      </c>
      <c r="AJ142" s="74">
        <v>60.0</v>
      </c>
      <c r="AK142" s="75">
        <v>75.0</v>
      </c>
      <c r="AL142" s="76">
        <v>130.0</v>
      </c>
      <c r="AM142" s="77">
        <v>515.0</v>
      </c>
      <c r="AN142" s="21"/>
      <c r="AO142" s="22">
        <v>80.0</v>
      </c>
      <c r="AP142" s="23">
        <v>105.0</v>
      </c>
      <c r="AQ142" s="23">
        <v>65.0</v>
      </c>
      <c r="AR142" s="23">
        <v>60.0</v>
      </c>
      <c r="AS142" s="23">
        <v>75.0</v>
      </c>
      <c r="AT142" s="23">
        <v>130.0</v>
      </c>
      <c r="AU142" s="24">
        <v>515.0</v>
      </c>
      <c r="AV142" s="21"/>
      <c r="AW142" s="78">
        <v>80.0</v>
      </c>
      <c r="AX142" s="79">
        <v>105.0</v>
      </c>
      <c r="AY142" s="79">
        <v>65.0</v>
      </c>
      <c r="AZ142" s="79">
        <v>60.0</v>
      </c>
      <c r="BA142" s="79">
        <v>75.0</v>
      </c>
      <c r="BB142" s="79">
        <v>130.0</v>
      </c>
      <c r="BC142" s="201">
        <v>515.0</v>
      </c>
      <c r="BE142" s="176" t="s">
        <v>248</v>
      </c>
      <c r="BF142" s="113"/>
      <c r="BG142" s="84"/>
      <c r="BI142" s="31" t="s">
        <v>5</v>
      </c>
      <c r="BJ142" s="32" t="s">
        <v>5</v>
      </c>
      <c r="BK142" s="32" t="s">
        <v>5</v>
      </c>
      <c r="BL142" s="32" t="s">
        <v>5</v>
      </c>
      <c r="BM142" s="32" t="s">
        <v>5</v>
      </c>
      <c r="BN142" s="33">
        <v>2.0</v>
      </c>
      <c r="BP142" s="85" t="s">
        <v>66</v>
      </c>
      <c r="BQ142" s="86" t="s">
        <v>18</v>
      </c>
      <c r="BS142" s="87" t="s">
        <v>66</v>
      </c>
      <c r="BT142" s="88" t="s">
        <v>18</v>
      </c>
      <c r="BU142" s="37" t="str">
        <f t="shared" si="1"/>
        <v>#NAME?</v>
      </c>
      <c r="BV142" s="89" t="s">
        <v>66</v>
      </c>
      <c r="BW142" s="37" t="str">
        <f t="shared" si="2"/>
        <v>#NAME?</v>
      </c>
      <c r="BX142" s="89" t="s">
        <v>18</v>
      </c>
      <c r="BY142" s="39"/>
      <c r="BZ142" s="39"/>
      <c r="CA142" s="40" t="s">
        <v>1446</v>
      </c>
      <c r="CB142" s="41"/>
      <c r="CC142" s="90" t="s">
        <v>66</v>
      </c>
      <c r="CD142" s="91" t="s">
        <v>18</v>
      </c>
      <c r="CE142" s="2"/>
      <c r="CF142" s="92" t="s">
        <v>824</v>
      </c>
      <c r="CG142" s="93" t="s">
        <v>1447</v>
      </c>
      <c r="CH142" s="2"/>
      <c r="CI142" s="177" t="s">
        <v>824</v>
      </c>
      <c r="CJ142" s="188" t="s">
        <v>1447</v>
      </c>
      <c r="CK142" s="2"/>
      <c r="CL142" s="22" t="s">
        <v>824</v>
      </c>
      <c r="CM142" s="12"/>
      <c r="CN142" s="48"/>
      <c r="CO142" s="189" t="s">
        <v>1447</v>
      </c>
      <c r="CP142" s="2"/>
      <c r="CQ142" s="2" t="s">
        <v>1448</v>
      </c>
      <c r="CR142" s="97">
        <v>80.0</v>
      </c>
      <c r="CS142" s="2" t="s">
        <v>248</v>
      </c>
      <c r="CT142" s="98">
        <v>202.0</v>
      </c>
      <c r="CU142" s="2"/>
      <c r="CV142" s="256" t="s">
        <v>13</v>
      </c>
      <c r="CW142" s="53">
        <v>0.125</v>
      </c>
      <c r="CX142" s="2"/>
      <c r="CY142" s="100" t="s">
        <v>18</v>
      </c>
      <c r="CZ142" s="154"/>
      <c r="DA142" s="2"/>
      <c r="DB142" s="98">
        <v>45.0</v>
      </c>
      <c r="DC142" s="2"/>
      <c r="DD142" s="101" t="s">
        <v>683</v>
      </c>
      <c r="DE142" s="2"/>
      <c r="DF142" s="294" t="s">
        <v>914</v>
      </c>
      <c r="DG142" s="103"/>
      <c r="DH142" s="103"/>
      <c r="DI142" s="2"/>
      <c r="DJ142" s="2"/>
      <c r="DK142" s="59" t="s">
        <v>1449</v>
      </c>
      <c r="DL142" s="37" t="s">
        <v>66</v>
      </c>
      <c r="DM142" s="37" t="str">
        <f t="shared" si="3"/>
        <v>#NAME?</v>
      </c>
      <c r="DN142" s="61"/>
      <c r="DO142" s="37">
        <v>50.0</v>
      </c>
      <c r="DP142" s="105">
        <v>0.9</v>
      </c>
      <c r="DQ142" s="62" t="s">
        <v>93</v>
      </c>
      <c r="DR142" s="63"/>
      <c r="DS142" s="198"/>
      <c r="DT142" s="108"/>
      <c r="DU142" s="108"/>
      <c r="DV142" s="182"/>
      <c r="DW142" s="182"/>
      <c r="DX142" s="182"/>
      <c r="DY142" s="182"/>
      <c r="EB142" s="2"/>
      <c r="EC142" s="2"/>
      <c r="ED142" s="2"/>
      <c r="EE142" s="2"/>
      <c r="EF142" s="149" t="s">
        <v>1450</v>
      </c>
      <c r="EG142" s="69" t="str">
        <f>image("https://www.pokebip.com/pages/icones/balls/sombre.png", 3)</f>
        <v/>
      </c>
      <c r="EH142" s="69"/>
      <c r="EI142" s="69"/>
    </row>
    <row r="143" ht="15.75" customHeight="1">
      <c r="A143" s="1">
        <v>143.0</v>
      </c>
      <c r="B143" s="2" t="s">
        <v>1451</v>
      </c>
      <c r="C143" s="7"/>
      <c r="D143" s="295" t="s">
        <v>1452</v>
      </c>
      <c r="E143" s="5"/>
      <c r="F143" s="296"/>
      <c r="G143" s="7"/>
      <c r="H143" s="8" t="s">
        <v>1453</v>
      </c>
      <c r="I143" s="9" t="s">
        <v>1454</v>
      </c>
      <c r="J143" s="10" t="str">
        <f>image("https://archives.bulbagarden.net/media/upload/d/d1/143MS6.png", 3)</f>
        <v/>
      </c>
      <c r="K143" s="11" t="s">
        <v>1452</v>
      </c>
      <c r="L143" s="12"/>
      <c r="M143" s="12"/>
      <c r="N143" s="12"/>
      <c r="O143" s="12"/>
      <c r="Q143" s="71">
        <v>160.0</v>
      </c>
      <c r="R143" s="72">
        <v>110.0</v>
      </c>
      <c r="S143" s="73">
        <v>65.0</v>
      </c>
      <c r="T143" s="74">
        <v>65.0</v>
      </c>
      <c r="U143" s="75">
        <v>110.0</v>
      </c>
      <c r="V143" s="76">
        <v>30.0</v>
      </c>
      <c r="W143" s="77">
        <v>540.0</v>
      </c>
      <c r="X143" s="21"/>
      <c r="Y143" s="71">
        <v>160.0</v>
      </c>
      <c r="Z143" s="72">
        <v>110.0</v>
      </c>
      <c r="AA143" s="73">
        <v>65.0</v>
      </c>
      <c r="AB143" s="74">
        <v>65.0</v>
      </c>
      <c r="AC143" s="75">
        <v>110.0</v>
      </c>
      <c r="AD143" s="76">
        <v>30.0</v>
      </c>
      <c r="AE143" s="77">
        <v>540.0</v>
      </c>
      <c r="AF143" s="21"/>
      <c r="AG143" s="71">
        <v>160.0</v>
      </c>
      <c r="AH143" s="72">
        <v>110.0</v>
      </c>
      <c r="AI143" s="73">
        <v>65.0</v>
      </c>
      <c r="AJ143" s="74">
        <v>65.0</v>
      </c>
      <c r="AK143" s="75">
        <v>110.0</v>
      </c>
      <c r="AL143" s="76">
        <v>30.0</v>
      </c>
      <c r="AM143" s="77">
        <v>540.0</v>
      </c>
      <c r="AN143" s="21"/>
      <c r="AO143" s="22">
        <v>160.0</v>
      </c>
      <c r="AP143" s="23">
        <v>110.0</v>
      </c>
      <c r="AQ143" s="23">
        <v>65.0</v>
      </c>
      <c r="AR143" s="23">
        <v>65.0</v>
      </c>
      <c r="AS143" s="23">
        <v>110.0</v>
      </c>
      <c r="AT143" s="23">
        <v>30.0</v>
      </c>
      <c r="AU143" s="24">
        <v>540.0</v>
      </c>
      <c r="AV143" s="21"/>
      <c r="AW143" s="78">
        <v>160.0</v>
      </c>
      <c r="AX143" s="79">
        <v>110.0</v>
      </c>
      <c r="AY143" s="79">
        <v>65.0</v>
      </c>
      <c r="AZ143" s="79">
        <v>65.0</v>
      </c>
      <c r="BA143" s="79">
        <v>110.0</v>
      </c>
      <c r="BB143" s="79">
        <v>30.0</v>
      </c>
      <c r="BC143" s="201">
        <v>540.0</v>
      </c>
      <c r="BE143" s="203" t="s">
        <v>409</v>
      </c>
      <c r="BF143" s="113"/>
      <c r="BG143" s="93"/>
      <c r="BI143" s="31">
        <v>2.0</v>
      </c>
      <c r="BJ143" s="32" t="s">
        <v>5</v>
      </c>
      <c r="BK143" s="32" t="s">
        <v>5</v>
      </c>
      <c r="BL143" s="32" t="s">
        <v>5</v>
      </c>
      <c r="BM143" s="32" t="s">
        <v>5</v>
      </c>
      <c r="BN143" s="33" t="s">
        <v>5</v>
      </c>
      <c r="BP143" s="115" t="s">
        <v>156</v>
      </c>
      <c r="BQ143" s="93"/>
      <c r="BS143" s="115" t="s">
        <v>156</v>
      </c>
      <c r="BT143" s="133"/>
      <c r="BU143" s="37" t="str">
        <f t="shared" si="1"/>
        <v>#NAME?</v>
      </c>
      <c r="BV143" s="89" t="s">
        <v>156</v>
      </c>
      <c r="BW143" s="37" t="str">
        <f t="shared" si="2"/>
        <v>#NAME?</v>
      </c>
      <c r="BX143" s="89"/>
      <c r="BY143" s="39"/>
      <c r="BZ143" s="39"/>
      <c r="CA143" s="40" t="s">
        <v>156</v>
      </c>
      <c r="CB143" s="41"/>
      <c r="CC143" s="90" t="s">
        <v>156</v>
      </c>
      <c r="CD143" s="91"/>
      <c r="CE143" s="21"/>
      <c r="CF143" s="92" t="s">
        <v>1455</v>
      </c>
      <c r="CG143" s="93" t="s">
        <v>944</v>
      </c>
      <c r="CH143" s="21"/>
      <c r="CI143" s="278" t="s">
        <v>944</v>
      </c>
      <c r="CJ143" s="273" t="s">
        <v>1455</v>
      </c>
      <c r="CK143" s="21"/>
      <c r="CL143" s="22" t="s">
        <v>1456</v>
      </c>
      <c r="CM143" s="12"/>
      <c r="CN143" s="48"/>
      <c r="CO143" s="239" t="s">
        <v>1455</v>
      </c>
      <c r="CP143" s="21"/>
      <c r="CQ143" s="2" t="s">
        <v>1457</v>
      </c>
      <c r="CR143" s="97">
        <v>120.0</v>
      </c>
      <c r="CS143" s="2" t="s">
        <v>409</v>
      </c>
      <c r="CT143" s="98">
        <v>154.0</v>
      </c>
      <c r="CU143" s="2"/>
      <c r="CV143" s="256" t="s">
        <v>13</v>
      </c>
      <c r="CW143" s="53">
        <v>0.125</v>
      </c>
      <c r="CX143" s="2"/>
      <c r="CY143" s="119" t="s">
        <v>14</v>
      </c>
      <c r="CZ143" s="160"/>
      <c r="DA143" s="2"/>
      <c r="DB143" s="98">
        <v>25.0</v>
      </c>
      <c r="DC143" s="2"/>
      <c r="DD143" s="101" t="s">
        <v>683</v>
      </c>
      <c r="DE143" s="2"/>
      <c r="DF143" s="120" t="s">
        <v>1458</v>
      </c>
      <c r="DG143" s="173" t="s">
        <v>1459</v>
      </c>
      <c r="DH143" s="121"/>
      <c r="DI143" s="2"/>
      <c r="DJ143" s="2"/>
      <c r="DK143" s="59" t="s">
        <v>1460</v>
      </c>
      <c r="DL143" s="37" t="s">
        <v>66</v>
      </c>
      <c r="DM143" s="37" t="str">
        <f t="shared" si="3"/>
        <v>#NAME?</v>
      </c>
      <c r="DN143" s="61"/>
      <c r="DO143" s="37" t="s">
        <v>77</v>
      </c>
      <c r="DP143" s="105">
        <v>0.8</v>
      </c>
      <c r="DQ143" s="62" t="s">
        <v>93</v>
      </c>
      <c r="DR143" s="63"/>
      <c r="DS143" s="198"/>
      <c r="DT143" s="108"/>
      <c r="DU143" s="108"/>
      <c r="DV143" s="182"/>
      <c r="DW143" s="182"/>
      <c r="DX143" s="182"/>
      <c r="DY143" s="182"/>
      <c r="DZ143" s="182"/>
      <c r="EA143" s="182"/>
      <c r="EB143" s="2"/>
      <c r="EC143" s="2"/>
      <c r="ED143" s="2"/>
      <c r="EE143" s="2"/>
      <c r="EF143" s="149" t="s">
        <v>1461</v>
      </c>
      <c r="EG143" s="69" t="str">
        <f>image("https://www.pokebip.com/pages/icones/balls/super.png", 3)</f>
        <v/>
      </c>
      <c r="EH143" s="69"/>
      <c r="EI143" s="69"/>
    </row>
    <row r="144" ht="15.75" customHeight="1">
      <c r="A144" s="1">
        <v>144.0</v>
      </c>
      <c r="B144" s="2" t="s">
        <v>1462</v>
      </c>
      <c r="C144" s="7"/>
      <c r="D144" s="140" t="s">
        <v>1463</v>
      </c>
      <c r="E144" s="5"/>
      <c r="F144" s="141"/>
      <c r="G144" s="7"/>
      <c r="H144" s="8" t="s">
        <v>1464</v>
      </c>
      <c r="I144" s="9" t="s">
        <v>1465</v>
      </c>
      <c r="J144" s="10" t="str">
        <f>image("https://archives.bulbagarden.net/media/upload/0/0c/144MS6.png", 3)</f>
        <v/>
      </c>
      <c r="K144" s="11" t="s">
        <v>1463</v>
      </c>
      <c r="L144" s="12"/>
      <c r="M144" s="12"/>
      <c r="N144" s="12"/>
      <c r="O144" s="12"/>
      <c r="Q144" s="71">
        <v>90.0</v>
      </c>
      <c r="R144" s="72">
        <v>85.0</v>
      </c>
      <c r="S144" s="73">
        <v>100.0</v>
      </c>
      <c r="T144" s="74">
        <v>95.0</v>
      </c>
      <c r="U144" s="75">
        <v>125.0</v>
      </c>
      <c r="V144" s="76">
        <v>85.0</v>
      </c>
      <c r="W144" s="77">
        <v>580.0</v>
      </c>
      <c r="X144" s="21"/>
      <c r="Y144" s="71">
        <v>90.0</v>
      </c>
      <c r="Z144" s="72">
        <v>85.0</v>
      </c>
      <c r="AA144" s="73">
        <v>100.0</v>
      </c>
      <c r="AB144" s="74">
        <v>95.0</v>
      </c>
      <c r="AC144" s="75">
        <v>125.0</v>
      </c>
      <c r="AD144" s="76">
        <v>85.0</v>
      </c>
      <c r="AE144" s="77">
        <v>580.0</v>
      </c>
      <c r="AF144" s="21"/>
      <c r="AG144" s="71">
        <v>90.0</v>
      </c>
      <c r="AH144" s="72">
        <v>85.0</v>
      </c>
      <c r="AI144" s="73">
        <v>100.0</v>
      </c>
      <c r="AJ144" s="74">
        <v>95.0</v>
      </c>
      <c r="AK144" s="75">
        <v>125.0</v>
      </c>
      <c r="AL144" s="76">
        <v>85.0</v>
      </c>
      <c r="AM144" s="77">
        <v>580.0</v>
      </c>
      <c r="AN144" s="21"/>
      <c r="AO144" s="22">
        <v>90.0</v>
      </c>
      <c r="AP144" s="23">
        <v>85.0</v>
      </c>
      <c r="AQ144" s="23">
        <v>100.0</v>
      </c>
      <c r="AR144" s="23">
        <v>95.0</v>
      </c>
      <c r="AS144" s="23">
        <v>125.0</v>
      </c>
      <c r="AT144" s="23">
        <v>85.0</v>
      </c>
      <c r="AU144" s="24">
        <v>580.0</v>
      </c>
      <c r="AV144" s="21"/>
      <c r="AW144" s="78">
        <v>90.0</v>
      </c>
      <c r="AX144" s="79">
        <v>85.0</v>
      </c>
      <c r="AY144" s="79">
        <v>100.0</v>
      </c>
      <c r="AZ144" s="79">
        <v>95.0</v>
      </c>
      <c r="BA144" s="79">
        <v>125.0</v>
      </c>
      <c r="BB144" s="79">
        <v>85.0</v>
      </c>
      <c r="BC144" s="201">
        <v>580.0</v>
      </c>
      <c r="BE144" s="150" t="s">
        <v>129</v>
      </c>
      <c r="BF144" s="138"/>
      <c r="BG144" s="128"/>
      <c r="BI144" s="31" t="s">
        <v>5</v>
      </c>
      <c r="BJ144" s="32" t="s">
        <v>5</v>
      </c>
      <c r="BK144" s="32" t="s">
        <v>5</v>
      </c>
      <c r="BL144" s="32" t="s">
        <v>5</v>
      </c>
      <c r="BM144" s="32">
        <v>3.0</v>
      </c>
      <c r="BN144" s="33" t="s">
        <v>5</v>
      </c>
      <c r="BP144" s="85" t="s">
        <v>120</v>
      </c>
      <c r="BQ144" s="86" t="s">
        <v>18</v>
      </c>
      <c r="BS144" s="87" t="s">
        <v>120</v>
      </c>
      <c r="BT144" s="88" t="s">
        <v>18</v>
      </c>
      <c r="BU144" s="37" t="str">
        <f t="shared" si="1"/>
        <v>#NAME?</v>
      </c>
      <c r="BV144" s="89" t="s">
        <v>120</v>
      </c>
      <c r="BW144" s="37" t="str">
        <f t="shared" si="2"/>
        <v>#NAME?</v>
      </c>
      <c r="BX144" s="89" t="s">
        <v>18</v>
      </c>
      <c r="BY144" s="39"/>
      <c r="BZ144" s="39"/>
      <c r="CA144" s="40" t="s">
        <v>1466</v>
      </c>
      <c r="CB144" s="41"/>
      <c r="CC144" s="90" t="s">
        <v>120</v>
      </c>
      <c r="CD144" s="91" t="s">
        <v>18</v>
      </c>
      <c r="CE144" s="2"/>
      <c r="CF144" s="92" t="s">
        <v>1447</v>
      </c>
      <c r="CG144" s="93"/>
      <c r="CH144" s="2"/>
      <c r="CI144" s="291" t="s">
        <v>1447</v>
      </c>
      <c r="CJ144" s="94" t="s">
        <v>1467</v>
      </c>
      <c r="CK144" s="2"/>
      <c r="CL144" s="22" t="s">
        <v>1447</v>
      </c>
      <c r="CM144" s="12"/>
      <c r="CN144" s="48"/>
      <c r="CO144" s="235" t="s">
        <v>1468</v>
      </c>
      <c r="CP144" s="2"/>
      <c r="CQ144" s="2" t="s">
        <v>1469</v>
      </c>
      <c r="CR144" s="97">
        <v>80.0</v>
      </c>
      <c r="CS144" s="2" t="s">
        <v>129</v>
      </c>
      <c r="CT144" s="98">
        <v>215.0</v>
      </c>
      <c r="CU144" s="2"/>
      <c r="CV144" s="256" t="s">
        <v>890</v>
      </c>
      <c r="CW144" s="256" t="s">
        <v>890</v>
      </c>
      <c r="CX144" s="2"/>
      <c r="CY144" s="100" t="s">
        <v>411</v>
      </c>
      <c r="CZ144" s="154"/>
      <c r="DA144" s="2"/>
      <c r="DB144" s="98">
        <v>3.0</v>
      </c>
      <c r="DC144" s="2"/>
      <c r="DD144" s="101" t="s">
        <v>683</v>
      </c>
      <c r="DE144" s="2"/>
      <c r="DF144" s="102" t="s">
        <v>914</v>
      </c>
      <c r="DG144" s="103"/>
      <c r="DH144" s="103"/>
      <c r="DI144" s="2"/>
      <c r="DJ144" s="2"/>
      <c r="DK144" s="59" t="s">
        <v>1470</v>
      </c>
      <c r="DL144" s="37" t="s">
        <v>66</v>
      </c>
      <c r="DM144" s="37" t="str">
        <f t="shared" si="3"/>
        <v>#NAME?</v>
      </c>
      <c r="DN144" s="61"/>
      <c r="DO144" s="37">
        <v>150.0</v>
      </c>
      <c r="DP144" s="105">
        <v>0.9</v>
      </c>
      <c r="DQ144" s="62" t="s">
        <v>293</v>
      </c>
      <c r="DR144" s="199"/>
      <c r="DS144" s="244"/>
      <c r="DT144" s="108"/>
      <c r="DU144" s="108"/>
      <c r="DV144" s="200"/>
      <c r="DW144" s="200"/>
      <c r="DX144" s="200"/>
      <c r="DY144" s="200"/>
      <c r="DZ144" s="200"/>
      <c r="EA144" s="200"/>
      <c r="EB144" s="21"/>
      <c r="EC144" s="21"/>
      <c r="ED144" s="21"/>
      <c r="EE144" s="21"/>
      <c r="EF144" s="149" t="s">
        <v>1471</v>
      </c>
      <c r="EG144" s="69" t="str">
        <f>image("https://www.pokebip.com/pages/icones/objets/pierre-glace.png", 3)</f>
        <v/>
      </c>
      <c r="EH144" s="69"/>
      <c r="EI144" s="69"/>
    </row>
    <row r="145" ht="15.75" customHeight="1">
      <c r="A145" s="1">
        <v>145.0</v>
      </c>
      <c r="B145" s="2" t="s">
        <v>1472</v>
      </c>
      <c r="C145" s="7"/>
      <c r="D145" s="169" t="s">
        <v>1473</v>
      </c>
      <c r="E145" s="5"/>
      <c r="F145" s="170"/>
      <c r="G145" s="7"/>
      <c r="H145" s="8" t="s">
        <v>1474</v>
      </c>
      <c r="I145" s="9" t="s">
        <v>1475</v>
      </c>
      <c r="J145" s="10" t="str">
        <f>image("https://archives.bulbagarden.net/media/upload/4/49/145MS6.png", 3)</f>
        <v/>
      </c>
      <c r="K145" s="11" t="s">
        <v>1473</v>
      </c>
      <c r="L145" s="12"/>
      <c r="M145" s="12"/>
      <c r="N145" s="12"/>
      <c r="O145" s="12"/>
      <c r="Q145" s="71">
        <v>90.0</v>
      </c>
      <c r="R145" s="72">
        <v>90.0</v>
      </c>
      <c r="S145" s="73">
        <v>85.0</v>
      </c>
      <c r="T145" s="74">
        <v>125.0</v>
      </c>
      <c r="U145" s="75">
        <v>90.0</v>
      </c>
      <c r="V145" s="76">
        <v>100.0</v>
      </c>
      <c r="W145" s="77">
        <v>580.0</v>
      </c>
      <c r="X145" s="21"/>
      <c r="Y145" s="71">
        <v>90.0</v>
      </c>
      <c r="Z145" s="72">
        <v>90.0</v>
      </c>
      <c r="AA145" s="73">
        <v>85.0</v>
      </c>
      <c r="AB145" s="74">
        <v>125.0</v>
      </c>
      <c r="AC145" s="75">
        <v>90.0</v>
      </c>
      <c r="AD145" s="76">
        <v>100.0</v>
      </c>
      <c r="AE145" s="77">
        <v>580.0</v>
      </c>
      <c r="AF145" s="21"/>
      <c r="AG145" s="71">
        <v>90.0</v>
      </c>
      <c r="AH145" s="72">
        <v>90.0</v>
      </c>
      <c r="AI145" s="73">
        <v>85.0</v>
      </c>
      <c r="AJ145" s="74">
        <v>125.0</v>
      </c>
      <c r="AK145" s="75">
        <v>90.0</v>
      </c>
      <c r="AL145" s="76">
        <v>100.0</v>
      </c>
      <c r="AM145" s="77">
        <v>580.0</v>
      </c>
      <c r="AN145" s="21"/>
      <c r="AO145" s="22">
        <v>90.0</v>
      </c>
      <c r="AP145" s="23">
        <v>90.0</v>
      </c>
      <c r="AQ145" s="23">
        <v>85.0</v>
      </c>
      <c r="AR145" s="23">
        <v>125.0</v>
      </c>
      <c r="AS145" s="23">
        <v>90.0</v>
      </c>
      <c r="AT145" s="23">
        <v>100.0</v>
      </c>
      <c r="AU145" s="24">
        <v>580.0</v>
      </c>
      <c r="AV145" s="21"/>
      <c r="AW145" s="78">
        <v>90.0</v>
      </c>
      <c r="AX145" s="79">
        <v>90.0</v>
      </c>
      <c r="AY145" s="79">
        <v>85.0</v>
      </c>
      <c r="AZ145" s="79">
        <v>125.0</v>
      </c>
      <c r="BA145" s="79">
        <v>90.0</v>
      </c>
      <c r="BB145" s="79">
        <v>100.0</v>
      </c>
      <c r="BC145" s="201">
        <v>580.0</v>
      </c>
      <c r="BE145" s="112" t="s">
        <v>85</v>
      </c>
      <c r="BF145" s="138"/>
      <c r="BG145" s="128"/>
      <c r="BI145" s="31" t="s">
        <v>5</v>
      </c>
      <c r="BJ145" s="32" t="s">
        <v>5</v>
      </c>
      <c r="BK145" s="32" t="s">
        <v>5</v>
      </c>
      <c r="BL145" s="32">
        <v>3.0</v>
      </c>
      <c r="BM145" s="32" t="s">
        <v>5</v>
      </c>
      <c r="BN145" s="33" t="s">
        <v>5</v>
      </c>
      <c r="BP145" s="115" t="s">
        <v>197</v>
      </c>
      <c r="BQ145" s="116" t="s">
        <v>18</v>
      </c>
      <c r="BS145" s="115" t="s">
        <v>197</v>
      </c>
      <c r="BT145" s="117" t="s">
        <v>18</v>
      </c>
      <c r="BU145" s="37" t="str">
        <f t="shared" si="1"/>
        <v>#NAME?</v>
      </c>
      <c r="BV145" s="89" t="s">
        <v>197</v>
      </c>
      <c r="BW145" s="37" t="str">
        <f t="shared" si="2"/>
        <v>#NAME?</v>
      </c>
      <c r="BX145" s="89" t="s">
        <v>18</v>
      </c>
      <c r="BY145" s="39"/>
      <c r="BZ145" s="39"/>
      <c r="CA145" s="40" t="s">
        <v>1476</v>
      </c>
      <c r="CB145" s="41"/>
      <c r="CC145" s="90" t="s">
        <v>197</v>
      </c>
      <c r="CD145" s="91" t="s">
        <v>18</v>
      </c>
      <c r="CE145" s="2"/>
      <c r="CF145" s="92" t="s">
        <v>1447</v>
      </c>
      <c r="CG145" s="93"/>
      <c r="CH145" s="2"/>
      <c r="CI145" s="191" t="s">
        <v>1447</v>
      </c>
      <c r="CJ145" s="94" t="s">
        <v>352</v>
      </c>
      <c r="CK145" s="2"/>
      <c r="CL145" s="22" t="s">
        <v>1447</v>
      </c>
      <c r="CM145" s="12"/>
      <c r="CN145" s="48"/>
      <c r="CO145" s="235" t="s">
        <v>1477</v>
      </c>
      <c r="CP145" s="2"/>
      <c r="CQ145" s="2" t="s">
        <v>1478</v>
      </c>
      <c r="CR145" s="97">
        <v>80.0</v>
      </c>
      <c r="CS145" s="2" t="s">
        <v>85</v>
      </c>
      <c r="CT145" s="98">
        <v>216.0</v>
      </c>
      <c r="CU145" s="2"/>
      <c r="CV145" s="52" t="s">
        <v>890</v>
      </c>
      <c r="CW145" s="52" t="s">
        <v>890</v>
      </c>
      <c r="CX145" s="2"/>
      <c r="CY145" s="119" t="s">
        <v>411</v>
      </c>
      <c r="CZ145" s="160"/>
      <c r="DA145" s="2"/>
      <c r="DB145" s="98">
        <v>3.0</v>
      </c>
      <c r="DC145" s="2"/>
      <c r="DD145" s="101" t="s">
        <v>683</v>
      </c>
      <c r="DE145" s="2"/>
      <c r="DF145" s="120" t="s">
        <v>914</v>
      </c>
      <c r="DG145" s="121"/>
      <c r="DH145" s="121"/>
      <c r="DI145" s="2"/>
      <c r="DJ145" s="2"/>
      <c r="DK145" s="59" t="s">
        <v>1479</v>
      </c>
      <c r="DL145" s="37" t="s">
        <v>64</v>
      </c>
      <c r="DM145" s="37" t="str">
        <f t="shared" si="3"/>
        <v>#NAME?</v>
      </c>
      <c r="DN145" s="61"/>
      <c r="DO145" s="37">
        <v>60.0</v>
      </c>
      <c r="DP145" s="105">
        <v>0.85</v>
      </c>
      <c r="DQ145" s="62" t="s">
        <v>93</v>
      </c>
      <c r="DR145" s="63"/>
      <c r="DS145" s="198"/>
      <c r="DT145" s="108"/>
      <c r="DU145" s="108"/>
      <c r="DV145" s="182"/>
      <c r="DW145" s="182"/>
      <c r="DX145" s="182"/>
      <c r="DY145" s="182"/>
      <c r="DZ145" s="182"/>
      <c r="EA145" s="182"/>
      <c r="EB145" s="2"/>
      <c r="EC145" s="2"/>
      <c r="ED145" s="2"/>
      <c r="EE145" s="2"/>
      <c r="EF145" s="149" t="s">
        <v>1480</v>
      </c>
      <c r="EG145" s="69" t="str">
        <f>image("https://www.pokebip.com/pages/icones/objets/pierre-plante.png", 3)</f>
        <v/>
      </c>
      <c r="EH145" s="69"/>
      <c r="EI145" s="69"/>
    </row>
    <row r="146" ht="15.75" customHeight="1">
      <c r="A146" s="1">
        <v>146.0</v>
      </c>
      <c r="B146" s="2" t="s">
        <v>1481</v>
      </c>
      <c r="C146" s="7"/>
      <c r="D146" s="169" t="s">
        <v>1482</v>
      </c>
      <c r="E146" s="5"/>
      <c r="F146" s="170"/>
      <c r="G146" s="7"/>
      <c r="H146" s="8" t="s">
        <v>1483</v>
      </c>
      <c r="I146" s="9" t="s">
        <v>1484</v>
      </c>
      <c r="J146" s="10" t="str">
        <f>image("https://archives.bulbagarden.net/media/upload/5/5a/146MS6.png", 3)</f>
        <v/>
      </c>
      <c r="K146" s="11" t="s">
        <v>1482</v>
      </c>
      <c r="L146" s="12"/>
      <c r="M146" s="12"/>
      <c r="N146" s="12"/>
      <c r="O146" s="12"/>
      <c r="Q146" s="71">
        <v>90.0</v>
      </c>
      <c r="R146" s="72">
        <v>100.0</v>
      </c>
      <c r="S146" s="73">
        <v>90.0</v>
      </c>
      <c r="T146" s="74">
        <v>125.0</v>
      </c>
      <c r="U146" s="75">
        <v>85.0</v>
      </c>
      <c r="V146" s="76">
        <v>90.0</v>
      </c>
      <c r="W146" s="77">
        <v>580.0</v>
      </c>
      <c r="X146" s="21"/>
      <c r="Y146" s="71">
        <v>90.0</v>
      </c>
      <c r="Z146" s="72">
        <v>100.0</v>
      </c>
      <c r="AA146" s="73">
        <v>90.0</v>
      </c>
      <c r="AB146" s="74">
        <v>125.0</v>
      </c>
      <c r="AC146" s="75">
        <v>85.0</v>
      </c>
      <c r="AD146" s="76">
        <v>90.0</v>
      </c>
      <c r="AE146" s="77">
        <v>580.0</v>
      </c>
      <c r="AF146" s="21"/>
      <c r="AG146" s="71">
        <v>90.0</v>
      </c>
      <c r="AH146" s="72">
        <v>100.0</v>
      </c>
      <c r="AI146" s="73">
        <v>90.0</v>
      </c>
      <c r="AJ146" s="74">
        <v>125.0</v>
      </c>
      <c r="AK146" s="75">
        <v>85.0</v>
      </c>
      <c r="AL146" s="76">
        <v>90.0</v>
      </c>
      <c r="AM146" s="77">
        <v>580.0</v>
      </c>
      <c r="AN146" s="21"/>
      <c r="AO146" s="22">
        <v>90.0</v>
      </c>
      <c r="AP146" s="23">
        <v>100.0</v>
      </c>
      <c r="AQ146" s="23">
        <v>90.0</v>
      </c>
      <c r="AR146" s="23">
        <v>125.0</v>
      </c>
      <c r="AS146" s="23">
        <v>85.0</v>
      </c>
      <c r="AT146" s="23">
        <v>90.0</v>
      </c>
      <c r="AU146" s="24">
        <v>580.0</v>
      </c>
      <c r="AV146" s="21"/>
      <c r="AW146" s="78">
        <v>90.0</v>
      </c>
      <c r="AX146" s="79">
        <v>100.0</v>
      </c>
      <c r="AY146" s="79">
        <v>90.0</v>
      </c>
      <c r="AZ146" s="79">
        <v>125.0</v>
      </c>
      <c r="BA146" s="79">
        <v>85.0</v>
      </c>
      <c r="BB146" s="79">
        <v>90.0</v>
      </c>
      <c r="BC146" s="201">
        <v>580.0</v>
      </c>
      <c r="BE146" s="112" t="s">
        <v>85</v>
      </c>
      <c r="BF146" s="138"/>
      <c r="BG146" s="128"/>
      <c r="BI146" s="31" t="s">
        <v>5</v>
      </c>
      <c r="BJ146" s="32" t="s">
        <v>5</v>
      </c>
      <c r="BK146" s="32" t="s">
        <v>5</v>
      </c>
      <c r="BL146" s="32">
        <v>3.0</v>
      </c>
      <c r="BM146" s="32" t="s">
        <v>5</v>
      </c>
      <c r="BN146" s="33" t="s">
        <v>5</v>
      </c>
      <c r="BP146" s="85" t="s">
        <v>34</v>
      </c>
      <c r="BQ146" s="86" t="s">
        <v>18</v>
      </c>
      <c r="BS146" s="87" t="s">
        <v>34</v>
      </c>
      <c r="BT146" s="88" t="s">
        <v>18</v>
      </c>
      <c r="BU146" s="37" t="str">
        <f t="shared" si="1"/>
        <v>#NAME?</v>
      </c>
      <c r="BV146" s="89" t="s">
        <v>34</v>
      </c>
      <c r="BW146" s="37" t="str">
        <f t="shared" si="2"/>
        <v>#NAME?</v>
      </c>
      <c r="BX146" s="89" t="s">
        <v>18</v>
      </c>
      <c r="BY146" s="39"/>
      <c r="BZ146" s="39"/>
      <c r="CA146" s="40" t="s">
        <v>1485</v>
      </c>
      <c r="CB146" s="41"/>
      <c r="CC146" s="90" t="s">
        <v>34</v>
      </c>
      <c r="CD146" s="91" t="s">
        <v>18</v>
      </c>
      <c r="CE146" s="2"/>
      <c r="CF146" s="92" t="s">
        <v>1447</v>
      </c>
      <c r="CG146" s="93"/>
      <c r="CH146" s="2"/>
      <c r="CI146" s="277" t="s">
        <v>1447</v>
      </c>
      <c r="CJ146" s="152" t="s">
        <v>1315</v>
      </c>
      <c r="CK146" s="2"/>
      <c r="CL146" s="22" t="s">
        <v>1447</v>
      </c>
      <c r="CM146" s="12"/>
      <c r="CN146" s="48"/>
      <c r="CO146" s="193" t="s">
        <v>852</v>
      </c>
      <c r="CP146" s="2"/>
      <c r="CQ146" s="2" t="s">
        <v>424</v>
      </c>
      <c r="CR146" s="97">
        <v>80.0</v>
      </c>
      <c r="CS146" s="2" t="s">
        <v>85</v>
      </c>
      <c r="CT146" s="98">
        <v>217.0</v>
      </c>
      <c r="CU146" s="2"/>
      <c r="CV146" s="52" t="s">
        <v>890</v>
      </c>
      <c r="CW146" s="52" t="s">
        <v>890</v>
      </c>
      <c r="CX146" s="2"/>
      <c r="CY146" s="100" t="s">
        <v>411</v>
      </c>
      <c r="CZ146" s="154"/>
      <c r="DA146" s="2"/>
      <c r="DB146" s="98">
        <v>3.0</v>
      </c>
      <c r="DC146" s="2"/>
      <c r="DD146" s="101" t="s">
        <v>683</v>
      </c>
      <c r="DE146" s="2"/>
      <c r="DF146" s="102" t="s">
        <v>914</v>
      </c>
      <c r="DG146" s="103"/>
      <c r="DH146" s="103"/>
      <c r="DI146" s="2"/>
      <c r="DJ146" s="2"/>
      <c r="DK146" s="59" t="s">
        <v>1486</v>
      </c>
      <c r="DL146" s="37" t="s">
        <v>66</v>
      </c>
      <c r="DM146" s="37" t="str">
        <f t="shared" si="3"/>
        <v>#NAME?</v>
      </c>
      <c r="DN146" s="61"/>
      <c r="DO146" s="37">
        <v>30.0</v>
      </c>
      <c r="DP146" s="105">
        <v>0.9</v>
      </c>
      <c r="DQ146" s="62" t="s">
        <v>20</v>
      </c>
      <c r="DR146" s="63"/>
      <c r="DS146" s="198"/>
      <c r="DT146" s="108"/>
      <c r="DU146" s="108"/>
      <c r="DV146" s="182"/>
      <c r="DW146" s="182"/>
      <c r="DX146" s="182"/>
      <c r="DY146" s="182"/>
      <c r="DZ146" s="182"/>
      <c r="EA146" s="182"/>
      <c r="EB146" s="2"/>
      <c r="EC146" s="2"/>
      <c r="ED146" s="2"/>
      <c r="EE146" s="2"/>
      <c r="EF146" s="149" t="s">
        <v>1487</v>
      </c>
      <c r="EG146" s="69" t="str">
        <f>image("https://www.pokebip.com/pages/icones/objets/pierre-feu.png", 3)</f>
        <v/>
      </c>
      <c r="EH146" s="69"/>
      <c r="EI146" s="69"/>
    </row>
    <row r="147" ht="15.75" customHeight="1">
      <c r="A147" s="1">
        <v>147.0</v>
      </c>
      <c r="B147" s="2" t="s">
        <v>1488</v>
      </c>
      <c r="C147" s="7"/>
      <c r="D147" s="140" t="s">
        <v>1489</v>
      </c>
      <c r="E147" s="5"/>
      <c r="F147" s="141"/>
      <c r="G147" s="7"/>
      <c r="H147" s="8" t="s">
        <v>1490</v>
      </c>
      <c r="I147" s="9" t="s">
        <v>1491</v>
      </c>
      <c r="J147" s="10" t="str">
        <f>image("https://archives.bulbagarden.net/media/upload/d/dd/147MS6.png", 3)</f>
        <v/>
      </c>
      <c r="K147" s="11" t="s">
        <v>1489</v>
      </c>
      <c r="L147" s="12"/>
      <c r="M147" s="12"/>
      <c r="N147" s="12"/>
      <c r="O147" s="12"/>
      <c r="Q147" s="71">
        <v>41.0</v>
      </c>
      <c r="R147" s="72">
        <v>64.0</v>
      </c>
      <c r="S147" s="73">
        <v>45.0</v>
      </c>
      <c r="T147" s="74">
        <v>50.0</v>
      </c>
      <c r="U147" s="75">
        <v>50.0</v>
      </c>
      <c r="V147" s="76">
        <v>50.0</v>
      </c>
      <c r="W147" s="77">
        <v>300.0</v>
      </c>
      <c r="X147" s="21"/>
      <c r="Y147" s="71">
        <v>41.0</v>
      </c>
      <c r="Z147" s="72">
        <v>64.0</v>
      </c>
      <c r="AA147" s="73">
        <v>45.0</v>
      </c>
      <c r="AB147" s="74">
        <v>50.0</v>
      </c>
      <c r="AC147" s="75">
        <v>50.0</v>
      </c>
      <c r="AD147" s="76">
        <v>50.0</v>
      </c>
      <c r="AE147" s="77">
        <v>300.0</v>
      </c>
      <c r="AF147" s="21"/>
      <c r="AG147" s="71">
        <v>41.0</v>
      </c>
      <c r="AH147" s="72">
        <v>64.0</v>
      </c>
      <c r="AI147" s="73">
        <v>45.0</v>
      </c>
      <c r="AJ147" s="74">
        <v>50.0</v>
      </c>
      <c r="AK147" s="75">
        <v>50.0</v>
      </c>
      <c r="AL147" s="76">
        <v>50.0</v>
      </c>
      <c r="AM147" s="77">
        <v>300.0</v>
      </c>
      <c r="AN147" s="21"/>
      <c r="AO147" s="22">
        <v>41.0</v>
      </c>
      <c r="AP147" s="23">
        <v>64.0</v>
      </c>
      <c r="AQ147" s="23">
        <v>45.0</v>
      </c>
      <c r="AR147" s="23">
        <v>50.0</v>
      </c>
      <c r="AS147" s="23">
        <v>50.0</v>
      </c>
      <c r="AT147" s="23">
        <v>50.0</v>
      </c>
      <c r="AU147" s="24">
        <v>300.0</v>
      </c>
      <c r="AV147" s="21"/>
      <c r="AW147" s="78">
        <v>41.0</v>
      </c>
      <c r="AX147" s="79">
        <v>64.0</v>
      </c>
      <c r="AY147" s="79">
        <v>45.0</v>
      </c>
      <c r="AZ147" s="79">
        <v>50.0</v>
      </c>
      <c r="BA147" s="79">
        <v>50.0</v>
      </c>
      <c r="BB147" s="79">
        <v>50.0</v>
      </c>
      <c r="BC147" s="201">
        <v>300.0</v>
      </c>
      <c r="BE147" s="194" t="s">
        <v>325</v>
      </c>
      <c r="BF147" s="184"/>
      <c r="BG147" s="128"/>
      <c r="BI147" s="31" t="s">
        <v>5</v>
      </c>
      <c r="BJ147" s="32">
        <v>1.0</v>
      </c>
      <c r="BK147" s="32" t="s">
        <v>5</v>
      </c>
      <c r="BL147" s="32" t="s">
        <v>5</v>
      </c>
      <c r="BM147" s="32" t="s">
        <v>5</v>
      </c>
      <c r="BN147" s="33" t="s">
        <v>5</v>
      </c>
      <c r="BP147" s="115" t="s">
        <v>61</v>
      </c>
      <c r="BQ147" s="93"/>
      <c r="BS147" s="115" t="s">
        <v>61</v>
      </c>
      <c r="BT147" s="133"/>
      <c r="BU147" s="37" t="str">
        <f t="shared" si="1"/>
        <v>#NAME?</v>
      </c>
      <c r="BV147" s="89" t="s">
        <v>61</v>
      </c>
      <c r="BW147" s="37" t="str">
        <f t="shared" si="2"/>
        <v>#NAME?</v>
      </c>
      <c r="BX147" s="89"/>
      <c r="BY147" s="39"/>
      <c r="BZ147" s="39"/>
      <c r="CA147" s="40" t="s">
        <v>61</v>
      </c>
      <c r="CB147" s="41"/>
      <c r="CC147" s="90" t="s">
        <v>61</v>
      </c>
      <c r="CD147" s="91"/>
      <c r="CE147" s="21"/>
      <c r="CF147" s="92" t="s">
        <v>163</v>
      </c>
      <c r="CG147" s="93"/>
      <c r="CH147" s="21"/>
      <c r="CI147" s="46" t="s">
        <v>1492</v>
      </c>
      <c r="CJ147" s="165" t="s">
        <v>163</v>
      </c>
      <c r="CK147" s="21"/>
      <c r="CL147" s="22" t="s">
        <v>1493</v>
      </c>
      <c r="CM147" s="12"/>
      <c r="CN147" s="48"/>
      <c r="CO147" s="196" t="s">
        <v>163</v>
      </c>
      <c r="CP147" s="21"/>
      <c r="CQ147" s="2" t="s">
        <v>1494</v>
      </c>
      <c r="CR147" s="97">
        <v>20.0</v>
      </c>
      <c r="CS147" s="2" t="s">
        <v>325</v>
      </c>
      <c r="CT147" s="98">
        <v>67.0</v>
      </c>
      <c r="CU147" s="2"/>
      <c r="CV147" s="52" t="s">
        <v>149</v>
      </c>
      <c r="CW147" s="52" t="s">
        <v>149</v>
      </c>
      <c r="CX147" s="2"/>
      <c r="CY147" s="118" t="s">
        <v>106</v>
      </c>
      <c r="CZ147" s="119" t="s">
        <v>61</v>
      </c>
      <c r="DA147" s="2"/>
      <c r="DB147" s="98">
        <v>45.0</v>
      </c>
      <c r="DC147" s="2"/>
      <c r="DD147" s="101" t="s">
        <v>683</v>
      </c>
      <c r="DE147" s="2"/>
      <c r="DF147" s="148" t="s">
        <v>1495</v>
      </c>
      <c r="DG147" s="173" t="s">
        <v>1215</v>
      </c>
      <c r="DH147" s="121"/>
      <c r="DI147" s="21"/>
      <c r="DJ147" s="21"/>
      <c r="DK147" s="59" t="s">
        <v>1496</v>
      </c>
      <c r="DL147" s="37" t="s">
        <v>34</v>
      </c>
      <c r="DM147" s="37" t="str">
        <f t="shared" si="3"/>
        <v>#NAME?</v>
      </c>
      <c r="DN147" s="61"/>
      <c r="DO147" s="37">
        <v>100.0</v>
      </c>
      <c r="DP147" s="105">
        <v>0.95</v>
      </c>
      <c r="DQ147" s="62" t="s">
        <v>293</v>
      </c>
      <c r="DR147" s="63"/>
      <c r="DS147" s="198"/>
      <c r="DT147" s="108"/>
      <c r="DU147" s="108"/>
      <c r="DV147" s="182"/>
      <c r="DW147" s="182"/>
      <c r="DX147" s="182"/>
      <c r="DY147" s="182"/>
      <c r="DZ147" s="182"/>
      <c r="EA147" s="182"/>
      <c r="EB147" s="2"/>
      <c r="EC147" s="2"/>
      <c r="ED147" s="2"/>
      <c r="EE147" s="2"/>
      <c r="EF147" s="149" t="s">
        <v>1497</v>
      </c>
      <c r="EG147" s="69" t="str">
        <f>image("https://www.pokebip.com/pages/icones/objets/pierre-eau.png", 3)</f>
        <v/>
      </c>
      <c r="EH147" s="69"/>
      <c r="EI147" s="69"/>
    </row>
    <row r="148" ht="15.75" customHeight="1">
      <c r="A148" s="1">
        <v>148.0</v>
      </c>
      <c r="B148" s="2" t="s">
        <v>1498</v>
      </c>
      <c r="C148" s="7"/>
      <c r="D148" s="140" t="s">
        <v>1499</v>
      </c>
      <c r="E148" s="5"/>
      <c r="F148" s="141"/>
      <c r="G148" s="7"/>
      <c r="H148" s="8" t="s">
        <v>1500</v>
      </c>
      <c r="I148" s="9" t="s">
        <v>1501</v>
      </c>
      <c r="J148" s="10" t="str">
        <f>image("https://archives.bulbagarden.net/media/upload/3/38/148MS6.png", 3)</f>
        <v/>
      </c>
      <c r="K148" s="11" t="s">
        <v>1499</v>
      </c>
      <c r="L148" s="12"/>
      <c r="M148" s="12"/>
      <c r="N148" s="12"/>
      <c r="O148" s="12"/>
      <c r="Q148" s="71">
        <v>61.0</v>
      </c>
      <c r="R148" s="72">
        <v>84.0</v>
      </c>
      <c r="S148" s="73">
        <v>65.0</v>
      </c>
      <c r="T148" s="74">
        <v>70.0</v>
      </c>
      <c r="U148" s="75">
        <v>70.0</v>
      </c>
      <c r="V148" s="76">
        <v>70.0</v>
      </c>
      <c r="W148" s="77">
        <v>420.0</v>
      </c>
      <c r="X148" s="21"/>
      <c r="Y148" s="71">
        <v>61.0</v>
      </c>
      <c r="Z148" s="72">
        <v>84.0</v>
      </c>
      <c r="AA148" s="73">
        <v>65.0</v>
      </c>
      <c r="AB148" s="74">
        <v>70.0</v>
      </c>
      <c r="AC148" s="75">
        <v>70.0</v>
      </c>
      <c r="AD148" s="76">
        <v>70.0</v>
      </c>
      <c r="AE148" s="77">
        <v>420.0</v>
      </c>
      <c r="AF148" s="21"/>
      <c r="AG148" s="71">
        <v>61.0</v>
      </c>
      <c r="AH148" s="72">
        <v>84.0</v>
      </c>
      <c r="AI148" s="73">
        <v>65.0</v>
      </c>
      <c r="AJ148" s="74">
        <v>70.0</v>
      </c>
      <c r="AK148" s="75">
        <v>70.0</v>
      </c>
      <c r="AL148" s="76">
        <v>70.0</v>
      </c>
      <c r="AM148" s="77">
        <v>420.0</v>
      </c>
      <c r="AN148" s="21"/>
      <c r="AO148" s="22">
        <v>61.0</v>
      </c>
      <c r="AP148" s="23">
        <v>84.0</v>
      </c>
      <c r="AQ148" s="23">
        <v>65.0</v>
      </c>
      <c r="AR148" s="23">
        <v>70.0</v>
      </c>
      <c r="AS148" s="23">
        <v>70.0</v>
      </c>
      <c r="AT148" s="23">
        <v>70.0</v>
      </c>
      <c r="AU148" s="24">
        <v>420.0</v>
      </c>
      <c r="AV148" s="21"/>
      <c r="AW148" s="78">
        <v>61.0</v>
      </c>
      <c r="AX148" s="79">
        <v>84.0</v>
      </c>
      <c r="AY148" s="79">
        <v>65.0</v>
      </c>
      <c r="AZ148" s="79">
        <v>70.0</v>
      </c>
      <c r="BA148" s="79">
        <v>70.0</v>
      </c>
      <c r="BB148" s="79">
        <v>70.0</v>
      </c>
      <c r="BC148" s="201">
        <v>420.0</v>
      </c>
      <c r="BE148" s="172" t="s">
        <v>216</v>
      </c>
      <c r="BF148" s="113"/>
      <c r="BG148" s="84"/>
      <c r="BI148" s="31" t="s">
        <v>5</v>
      </c>
      <c r="BJ148" s="32">
        <v>2.0</v>
      </c>
      <c r="BK148" s="32" t="s">
        <v>5</v>
      </c>
      <c r="BL148" s="32" t="s">
        <v>5</v>
      </c>
      <c r="BM148" s="32" t="s">
        <v>5</v>
      </c>
      <c r="BN148" s="33" t="s">
        <v>5</v>
      </c>
      <c r="BP148" s="85" t="s">
        <v>61</v>
      </c>
      <c r="BQ148" s="129"/>
      <c r="BS148" s="87" t="s">
        <v>61</v>
      </c>
      <c r="BT148" s="130"/>
      <c r="BU148" s="37" t="str">
        <f t="shared" si="1"/>
        <v>#NAME?</v>
      </c>
      <c r="BV148" s="89" t="s">
        <v>61</v>
      </c>
      <c r="BW148" s="37" t="str">
        <f t="shared" si="2"/>
        <v>#NAME?</v>
      </c>
      <c r="BX148" s="89"/>
      <c r="BY148" s="39"/>
      <c r="BZ148" s="39"/>
      <c r="CA148" s="40" t="s">
        <v>61</v>
      </c>
      <c r="CB148" s="41"/>
      <c r="CC148" s="90" t="s">
        <v>61</v>
      </c>
      <c r="CD148" s="91"/>
      <c r="CE148" s="21"/>
      <c r="CF148" s="92" t="s">
        <v>163</v>
      </c>
      <c r="CG148" s="93"/>
      <c r="CH148" s="21"/>
      <c r="CI148" s="152" t="s">
        <v>1492</v>
      </c>
      <c r="CJ148" s="153" t="s">
        <v>163</v>
      </c>
      <c r="CK148" s="21"/>
      <c r="CL148" s="22" t="s">
        <v>1493</v>
      </c>
      <c r="CM148" s="12"/>
      <c r="CN148" s="48"/>
      <c r="CO148" s="96" t="s">
        <v>163</v>
      </c>
      <c r="CP148" s="21"/>
      <c r="CQ148" s="2" t="s">
        <v>1502</v>
      </c>
      <c r="CR148" s="97">
        <v>40.0</v>
      </c>
      <c r="CS148" s="2" t="s">
        <v>216</v>
      </c>
      <c r="CT148" s="98">
        <v>144.0</v>
      </c>
      <c r="CU148" s="2"/>
      <c r="CV148" s="256" t="s">
        <v>149</v>
      </c>
      <c r="CW148" s="256" t="s">
        <v>149</v>
      </c>
      <c r="CX148" s="2"/>
      <c r="CY148" s="99" t="s">
        <v>106</v>
      </c>
      <c r="CZ148" s="100" t="s">
        <v>61</v>
      </c>
      <c r="DA148" s="2"/>
      <c r="DB148" s="98">
        <v>45.0</v>
      </c>
      <c r="DC148" s="2"/>
      <c r="DD148" s="101" t="s">
        <v>683</v>
      </c>
      <c r="DE148" s="2"/>
      <c r="DF148" s="102" t="s">
        <v>1503</v>
      </c>
      <c r="DG148" s="166" t="s">
        <v>1215</v>
      </c>
      <c r="DH148" s="103"/>
      <c r="DI148" s="2"/>
      <c r="DJ148" s="2"/>
      <c r="DK148" s="59" t="s">
        <v>1504</v>
      </c>
      <c r="DL148" s="37" t="s">
        <v>1505</v>
      </c>
      <c r="DM148" s="37" t="str">
        <f t="shared" si="3"/>
        <v>#NAME?</v>
      </c>
      <c r="DN148" s="61"/>
      <c r="DO148" s="37" t="s">
        <v>232</v>
      </c>
      <c r="DP148" s="37" t="s">
        <v>136</v>
      </c>
      <c r="DQ148" s="62" t="s">
        <v>472</v>
      </c>
      <c r="DR148" s="63"/>
      <c r="DS148" s="198"/>
      <c r="DT148" s="108"/>
      <c r="DU148" s="108"/>
      <c r="DV148" s="182"/>
      <c r="DW148" s="182"/>
      <c r="DX148" s="182"/>
      <c r="DY148" s="182"/>
      <c r="DZ148" s="182"/>
      <c r="EA148" s="182"/>
      <c r="EB148" s="21"/>
      <c r="EC148" s="21"/>
      <c r="ED148" s="21"/>
      <c r="EE148" s="21"/>
      <c r="EF148" s="149" t="s">
        <v>1506</v>
      </c>
      <c r="EG148" s="69" t="str">
        <f>image("https://www.pokebip.com/pages/icones/objets/pierre-foudre.png", 3)</f>
        <v/>
      </c>
      <c r="EH148" s="69"/>
      <c r="EI148" s="69"/>
    </row>
    <row r="149" ht="15.75" customHeight="1">
      <c r="A149" s="1">
        <v>149.0</v>
      </c>
      <c r="B149" s="2" t="s">
        <v>1507</v>
      </c>
      <c r="C149" s="7"/>
      <c r="D149" s="167" t="s">
        <v>1508</v>
      </c>
      <c r="E149" s="5"/>
      <c r="F149" s="168"/>
      <c r="G149" s="7"/>
      <c r="H149" s="8" t="s">
        <v>1509</v>
      </c>
      <c r="I149" s="9" t="s">
        <v>1510</v>
      </c>
      <c r="J149" s="10" t="str">
        <f>image("https://archives.bulbagarden.net/media/upload/0/08/149MS6.png", 3)</f>
        <v/>
      </c>
      <c r="K149" s="11" t="s">
        <v>1508</v>
      </c>
      <c r="L149" s="12"/>
      <c r="M149" s="12"/>
      <c r="N149" s="12"/>
      <c r="O149" s="12"/>
      <c r="Q149" s="71">
        <v>91.0</v>
      </c>
      <c r="R149" s="72">
        <v>134.0</v>
      </c>
      <c r="S149" s="73">
        <v>95.0</v>
      </c>
      <c r="T149" s="74">
        <v>100.0</v>
      </c>
      <c r="U149" s="75">
        <v>100.0</v>
      </c>
      <c r="V149" s="76">
        <v>80.0</v>
      </c>
      <c r="W149" s="77">
        <v>600.0</v>
      </c>
      <c r="X149" s="21"/>
      <c r="Y149" s="71">
        <v>91.0</v>
      </c>
      <c r="Z149" s="72">
        <v>134.0</v>
      </c>
      <c r="AA149" s="73">
        <v>95.0</v>
      </c>
      <c r="AB149" s="74">
        <v>100.0</v>
      </c>
      <c r="AC149" s="75">
        <v>100.0</v>
      </c>
      <c r="AD149" s="76">
        <v>80.0</v>
      </c>
      <c r="AE149" s="77">
        <v>600.0</v>
      </c>
      <c r="AF149" s="21"/>
      <c r="AG149" s="71">
        <v>91.0</v>
      </c>
      <c r="AH149" s="72">
        <v>134.0</v>
      </c>
      <c r="AI149" s="73">
        <v>95.0</v>
      </c>
      <c r="AJ149" s="74">
        <v>100.0</v>
      </c>
      <c r="AK149" s="75">
        <v>100.0</v>
      </c>
      <c r="AL149" s="76">
        <v>80.0</v>
      </c>
      <c r="AM149" s="77">
        <v>600.0</v>
      </c>
      <c r="AN149" s="21"/>
      <c r="AO149" s="22">
        <v>91.0</v>
      </c>
      <c r="AP149" s="23">
        <v>134.0</v>
      </c>
      <c r="AQ149" s="23">
        <v>95.0</v>
      </c>
      <c r="AR149" s="23">
        <v>100.0</v>
      </c>
      <c r="AS149" s="23">
        <v>100.0</v>
      </c>
      <c r="AT149" s="23">
        <v>80.0</v>
      </c>
      <c r="AU149" s="24">
        <v>600.0</v>
      </c>
      <c r="AV149" s="21"/>
      <c r="AW149" s="78">
        <v>91.0</v>
      </c>
      <c r="AX149" s="79">
        <v>134.0</v>
      </c>
      <c r="AY149" s="79">
        <v>95.0</v>
      </c>
      <c r="AZ149" s="79">
        <v>100.0</v>
      </c>
      <c r="BA149" s="79">
        <v>100.0</v>
      </c>
      <c r="BB149" s="79">
        <v>80.0</v>
      </c>
      <c r="BC149" s="201">
        <v>600.0</v>
      </c>
      <c r="BE149" s="172" t="s">
        <v>451</v>
      </c>
      <c r="BF149" s="138"/>
      <c r="BG149" s="128"/>
      <c r="BI149" s="31" t="s">
        <v>5</v>
      </c>
      <c r="BJ149" s="32">
        <v>3.0</v>
      </c>
      <c r="BK149" s="32" t="s">
        <v>5</v>
      </c>
      <c r="BL149" s="32" t="s">
        <v>5</v>
      </c>
      <c r="BM149" s="32" t="s">
        <v>5</v>
      </c>
      <c r="BN149" s="33" t="s">
        <v>5</v>
      </c>
      <c r="BP149" s="115" t="s">
        <v>61</v>
      </c>
      <c r="BQ149" s="116" t="s">
        <v>18</v>
      </c>
      <c r="BS149" s="115" t="s">
        <v>61</v>
      </c>
      <c r="BT149" s="117" t="s">
        <v>18</v>
      </c>
      <c r="BU149" s="37" t="str">
        <f t="shared" si="1"/>
        <v>#NAME?</v>
      </c>
      <c r="BV149" s="89" t="s">
        <v>61</v>
      </c>
      <c r="BW149" s="37" t="str">
        <f t="shared" si="2"/>
        <v>#NAME?</v>
      </c>
      <c r="BX149" s="89" t="s">
        <v>18</v>
      </c>
      <c r="BY149" s="39"/>
      <c r="BZ149" s="39"/>
      <c r="CA149" s="40" t="s">
        <v>1511</v>
      </c>
      <c r="CB149" s="41"/>
      <c r="CC149" s="90" t="s">
        <v>61</v>
      </c>
      <c r="CD149" s="91" t="s">
        <v>18</v>
      </c>
      <c r="CE149" s="2"/>
      <c r="CF149" s="92" t="s">
        <v>530</v>
      </c>
      <c r="CG149" s="93"/>
      <c r="CH149" s="2"/>
      <c r="CI149" s="291" t="s">
        <v>530</v>
      </c>
      <c r="CJ149" s="297" t="s">
        <v>530</v>
      </c>
      <c r="CK149" s="2"/>
      <c r="CL149" s="22" t="s">
        <v>1493</v>
      </c>
      <c r="CM149" s="12"/>
      <c r="CN149" s="48"/>
      <c r="CO149" s="96" t="s">
        <v>530</v>
      </c>
      <c r="CP149" s="2"/>
      <c r="CQ149" s="2" t="s">
        <v>1025</v>
      </c>
      <c r="CR149" s="97">
        <v>120.0</v>
      </c>
      <c r="CS149" s="2" t="s">
        <v>451</v>
      </c>
      <c r="CT149" s="98">
        <v>218.0</v>
      </c>
      <c r="CU149" s="2"/>
      <c r="CV149" s="256" t="s">
        <v>149</v>
      </c>
      <c r="CW149" s="256" t="s">
        <v>149</v>
      </c>
      <c r="CX149" s="2"/>
      <c r="CY149" s="118" t="s">
        <v>106</v>
      </c>
      <c r="CZ149" s="119" t="s">
        <v>61</v>
      </c>
      <c r="DA149" s="2"/>
      <c r="DB149" s="98">
        <v>45.0</v>
      </c>
      <c r="DC149" s="2"/>
      <c r="DD149" s="101" t="s">
        <v>683</v>
      </c>
      <c r="DE149" s="2"/>
      <c r="DF149" s="120" t="s">
        <v>1512</v>
      </c>
      <c r="DG149" s="173" t="s">
        <v>1215</v>
      </c>
      <c r="DH149" s="121"/>
      <c r="DI149" s="2"/>
      <c r="DJ149" s="2"/>
      <c r="DK149" s="59" t="s">
        <v>1513</v>
      </c>
      <c r="DL149" s="37" t="s">
        <v>79</v>
      </c>
      <c r="DM149" s="37" t="str">
        <f t="shared" si="3"/>
        <v>#NAME?</v>
      </c>
      <c r="DN149" s="61"/>
      <c r="DO149" s="37">
        <v>60.0</v>
      </c>
      <c r="DP149" s="105">
        <v>1.0</v>
      </c>
      <c r="DQ149" s="62" t="s">
        <v>20</v>
      </c>
      <c r="DR149" s="155"/>
      <c r="DS149" s="251"/>
      <c r="DT149" s="108"/>
      <c r="DU149" s="108"/>
      <c r="DV149" s="252"/>
      <c r="DW149" s="252"/>
      <c r="DX149" s="252"/>
      <c r="DY149" s="252"/>
      <c r="DZ149" s="252"/>
      <c r="EA149" s="252"/>
      <c r="EB149" s="2"/>
      <c r="EC149" s="2"/>
      <c r="ED149" s="2"/>
      <c r="EE149" s="2"/>
      <c r="EF149" s="149" t="s">
        <v>1514</v>
      </c>
      <c r="EG149" s="69" t="str">
        <f>image("https://www.pokebip.com/pages/icones/objets/pierre-lune.png", 3)</f>
        <v/>
      </c>
      <c r="EH149" s="69"/>
      <c r="EI149" s="69"/>
    </row>
    <row r="150" ht="15.75" customHeight="1">
      <c r="A150" s="1">
        <v>150.0</v>
      </c>
      <c r="B150" s="2" t="s">
        <v>1515</v>
      </c>
      <c r="C150" s="7"/>
      <c r="D150" s="180" t="s">
        <v>1516</v>
      </c>
      <c r="E150" s="5"/>
      <c r="F150" s="181"/>
      <c r="G150" s="7"/>
      <c r="H150" s="8" t="s">
        <v>1517</v>
      </c>
      <c r="I150" s="9" t="s">
        <v>1518</v>
      </c>
      <c r="J150" s="10" t="str">
        <f>image("https://archives.bulbagarden.net/media/upload/0/00/150MS6.png", 3)</f>
        <v/>
      </c>
      <c r="K150" s="11" t="s">
        <v>1516</v>
      </c>
      <c r="L150" s="12"/>
      <c r="M150" s="12"/>
      <c r="N150" s="12"/>
      <c r="O150" s="12"/>
      <c r="Q150" s="71">
        <v>106.0</v>
      </c>
      <c r="R150" s="72">
        <v>110.0</v>
      </c>
      <c r="S150" s="73">
        <v>90.0</v>
      </c>
      <c r="T150" s="74">
        <v>154.0</v>
      </c>
      <c r="U150" s="75">
        <v>90.0</v>
      </c>
      <c r="V150" s="76">
        <v>130.0</v>
      </c>
      <c r="W150" s="77">
        <v>680.0</v>
      </c>
      <c r="X150" s="21"/>
      <c r="Y150" s="71">
        <v>106.0</v>
      </c>
      <c r="Z150" s="72">
        <v>110.0</v>
      </c>
      <c r="AA150" s="73">
        <v>90.0</v>
      </c>
      <c r="AB150" s="74">
        <v>154.0</v>
      </c>
      <c r="AC150" s="75">
        <v>90.0</v>
      </c>
      <c r="AD150" s="76">
        <v>130.0</v>
      </c>
      <c r="AE150" s="77">
        <v>680.0</v>
      </c>
      <c r="AF150" s="21"/>
      <c r="AG150" s="71">
        <v>106.0</v>
      </c>
      <c r="AH150" s="72">
        <v>110.0</v>
      </c>
      <c r="AI150" s="73">
        <v>90.0</v>
      </c>
      <c r="AJ150" s="74">
        <v>154.0</v>
      </c>
      <c r="AK150" s="75">
        <v>90.0</v>
      </c>
      <c r="AL150" s="76">
        <v>130.0</v>
      </c>
      <c r="AM150" s="77">
        <v>680.0</v>
      </c>
      <c r="AN150" s="21"/>
      <c r="AO150" s="22">
        <v>106.0</v>
      </c>
      <c r="AP150" s="23">
        <v>110.0</v>
      </c>
      <c r="AQ150" s="23">
        <v>90.0</v>
      </c>
      <c r="AR150" s="23">
        <v>154.0</v>
      </c>
      <c r="AS150" s="23">
        <v>90.0</v>
      </c>
      <c r="AT150" s="23">
        <v>130.0</v>
      </c>
      <c r="AU150" s="24">
        <v>680.0</v>
      </c>
      <c r="AV150" s="21"/>
      <c r="AW150" s="78">
        <v>106.0</v>
      </c>
      <c r="AX150" s="79">
        <v>110.0</v>
      </c>
      <c r="AY150" s="79">
        <v>90.0</v>
      </c>
      <c r="AZ150" s="79">
        <v>154.0</v>
      </c>
      <c r="BA150" s="79">
        <v>90.0</v>
      </c>
      <c r="BB150" s="79">
        <v>130.0</v>
      </c>
      <c r="BC150" s="201">
        <v>680.0</v>
      </c>
      <c r="BE150" s="112" t="s">
        <v>85</v>
      </c>
      <c r="BF150" s="138"/>
      <c r="BG150" s="128"/>
      <c r="BI150" s="31" t="s">
        <v>5</v>
      </c>
      <c r="BJ150" s="32" t="s">
        <v>5</v>
      </c>
      <c r="BK150" s="32" t="s">
        <v>5</v>
      </c>
      <c r="BL150" s="32">
        <v>3.0</v>
      </c>
      <c r="BM150" s="32" t="s">
        <v>5</v>
      </c>
      <c r="BN150" s="33" t="s">
        <v>5</v>
      </c>
      <c r="BP150" s="85" t="s">
        <v>122</v>
      </c>
      <c r="BQ150" s="129"/>
      <c r="BS150" s="87" t="s">
        <v>122</v>
      </c>
      <c r="BT150" s="130"/>
      <c r="BU150" s="37" t="str">
        <f t="shared" si="1"/>
        <v>#NAME?</v>
      </c>
      <c r="BV150" s="89" t="s">
        <v>122</v>
      </c>
      <c r="BW150" s="37" t="str">
        <f t="shared" si="2"/>
        <v>#NAME?</v>
      </c>
      <c r="BX150" s="89"/>
      <c r="BY150" s="39"/>
      <c r="BZ150" s="39"/>
      <c r="CA150" s="40" t="s">
        <v>122</v>
      </c>
      <c r="CB150" s="41"/>
      <c r="CC150" s="90" t="s">
        <v>122</v>
      </c>
      <c r="CD150" s="91"/>
      <c r="CE150" s="21"/>
      <c r="CF150" s="92" t="s">
        <v>1447</v>
      </c>
      <c r="CG150" s="93"/>
      <c r="CH150" s="21"/>
      <c r="CI150" s="92" t="s">
        <v>1447</v>
      </c>
      <c r="CJ150" s="195"/>
      <c r="CK150" s="21"/>
      <c r="CL150" s="22" t="s">
        <v>1447</v>
      </c>
      <c r="CM150" s="12"/>
      <c r="CN150" s="48"/>
      <c r="CO150" s="95"/>
      <c r="CP150" s="21"/>
      <c r="CQ150" s="2" t="s">
        <v>1519</v>
      </c>
      <c r="CR150" s="97">
        <v>100.0</v>
      </c>
      <c r="CS150" s="2" t="s">
        <v>85</v>
      </c>
      <c r="CT150" s="98">
        <v>220.0</v>
      </c>
      <c r="CU150" s="2"/>
      <c r="CV150" s="52" t="s">
        <v>890</v>
      </c>
      <c r="CW150" s="52" t="s">
        <v>890</v>
      </c>
      <c r="CX150" s="2"/>
      <c r="CY150" s="100" t="s">
        <v>411</v>
      </c>
      <c r="CZ150" s="154"/>
      <c r="DA150" s="2"/>
      <c r="DB150" s="98">
        <v>3.0</v>
      </c>
      <c r="DC150" s="2"/>
      <c r="DD150" s="101" t="s">
        <v>683</v>
      </c>
      <c r="DE150" s="2"/>
      <c r="DF150" s="102" t="s">
        <v>914</v>
      </c>
      <c r="DG150" s="103"/>
      <c r="DH150" s="103"/>
      <c r="DI150" s="2"/>
      <c r="DJ150" s="2"/>
      <c r="DK150" s="59" t="s">
        <v>1520</v>
      </c>
      <c r="DL150" s="37" t="s">
        <v>156</v>
      </c>
      <c r="DM150" s="37" t="str">
        <f t="shared" si="3"/>
        <v>#NAME?</v>
      </c>
      <c r="DN150" s="61"/>
      <c r="DO150" s="37">
        <v>40.0</v>
      </c>
      <c r="DP150" s="105">
        <v>1.0</v>
      </c>
      <c r="DQ150" s="62" t="s">
        <v>1158</v>
      </c>
      <c r="DR150" s="63"/>
      <c r="DS150" s="198"/>
      <c r="DT150" s="108"/>
      <c r="DU150" s="108"/>
      <c r="DV150" s="182"/>
      <c r="DW150" s="182"/>
      <c r="DX150" s="182"/>
      <c r="DY150" s="182"/>
      <c r="DZ150" s="182"/>
      <c r="EA150" s="182"/>
      <c r="EB150" s="2"/>
      <c r="EC150" s="2"/>
      <c r="ED150" s="2"/>
      <c r="EE150" s="2"/>
      <c r="EF150" s="149" t="s">
        <v>1521</v>
      </c>
      <c r="EG150" s="69" t="str">
        <f>image("https://www.pokebip.com/pages/icones/objets/pierre-soleil.png", 3)</f>
        <v/>
      </c>
      <c r="EH150" s="69"/>
      <c r="EI150" s="69"/>
    </row>
    <row r="151" ht="15.75" customHeight="1">
      <c r="A151" s="1">
        <v>151.0</v>
      </c>
      <c r="B151" s="2" t="s">
        <v>1522</v>
      </c>
      <c r="C151" s="7"/>
      <c r="D151" s="213" t="s">
        <v>1523</v>
      </c>
      <c r="E151" s="5"/>
      <c r="F151" s="214"/>
      <c r="G151" s="7"/>
      <c r="H151" s="8" t="s">
        <v>1524</v>
      </c>
      <c r="I151" s="9" t="s">
        <v>1525</v>
      </c>
      <c r="J151" s="10" t="str">
        <f>image("https://archives.bulbagarden.net/media/upload/8/83/151MS6.png", 3)</f>
        <v/>
      </c>
      <c r="K151" s="11" t="s">
        <v>1523</v>
      </c>
      <c r="L151" s="12"/>
      <c r="M151" s="12"/>
      <c r="N151" s="12"/>
      <c r="O151" s="12"/>
      <c r="Q151" s="298">
        <v>100.0</v>
      </c>
      <c r="R151" s="299">
        <v>100.0</v>
      </c>
      <c r="S151" s="300">
        <v>100.0</v>
      </c>
      <c r="T151" s="301">
        <v>100.0</v>
      </c>
      <c r="U151" s="302">
        <v>100.0</v>
      </c>
      <c r="V151" s="303">
        <v>100.0</v>
      </c>
      <c r="W151" s="304">
        <v>600.0</v>
      </c>
      <c r="X151" s="21"/>
      <c r="Y151" s="298">
        <v>100.0</v>
      </c>
      <c r="Z151" s="299">
        <v>100.0</v>
      </c>
      <c r="AA151" s="300">
        <v>100.0</v>
      </c>
      <c r="AB151" s="301">
        <v>100.0</v>
      </c>
      <c r="AC151" s="302">
        <v>100.0</v>
      </c>
      <c r="AD151" s="303">
        <v>100.0</v>
      </c>
      <c r="AE151" s="304">
        <v>600.0</v>
      </c>
      <c r="AF151" s="21"/>
      <c r="AG151" s="298">
        <v>100.0</v>
      </c>
      <c r="AH151" s="299">
        <v>100.0</v>
      </c>
      <c r="AI151" s="300">
        <v>100.0</v>
      </c>
      <c r="AJ151" s="301">
        <v>100.0</v>
      </c>
      <c r="AK151" s="302">
        <v>100.0</v>
      </c>
      <c r="AL151" s="303">
        <v>100.0</v>
      </c>
      <c r="AM151" s="304">
        <v>600.0</v>
      </c>
      <c r="AN151" s="21"/>
      <c r="AO151" s="22">
        <v>100.0</v>
      </c>
      <c r="AP151" s="23">
        <v>100.0</v>
      </c>
      <c r="AQ151" s="23">
        <v>100.0</v>
      </c>
      <c r="AR151" s="23">
        <v>100.0</v>
      </c>
      <c r="AS151" s="23">
        <v>100.0</v>
      </c>
      <c r="AT151" s="23">
        <v>100.0</v>
      </c>
      <c r="AU151" s="24">
        <v>600.0</v>
      </c>
      <c r="AV151" s="21"/>
      <c r="AW151" s="258">
        <v>100.0</v>
      </c>
      <c r="AX151" s="80">
        <v>100.0</v>
      </c>
      <c r="AY151" s="80">
        <v>100.0</v>
      </c>
      <c r="AZ151" s="80">
        <v>100.0</v>
      </c>
      <c r="BA151" s="80">
        <v>100.0</v>
      </c>
      <c r="BB151" s="80">
        <v>100.0</v>
      </c>
      <c r="BC151" s="81">
        <v>600.0</v>
      </c>
      <c r="BE151" s="305" t="s">
        <v>422</v>
      </c>
      <c r="BF151" s="306"/>
      <c r="BG151" s="307"/>
      <c r="BI151" s="31">
        <v>3.0</v>
      </c>
      <c r="BJ151" s="32" t="s">
        <v>5</v>
      </c>
      <c r="BK151" s="32" t="s">
        <v>5</v>
      </c>
      <c r="BL151" s="32" t="s">
        <v>5</v>
      </c>
      <c r="BM151" s="32" t="s">
        <v>5</v>
      </c>
      <c r="BN151" s="33" t="s">
        <v>5</v>
      </c>
      <c r="BP151" s="308" t="s">
        <v>122</v>
      </c>
      <c r="BQ151" s="188"/>
      <c r="BS151" s="308" t="s">
        <v>122</v>
      </c>
      <c r="BT151" s="309"/>
      <c r="BU151" s="37" t="str">
        <f t="shared" si="1"/>
        <v>#NAME?</v>
      </c>
      <c r="BV151" s="89" t="s">
        <v>122</v>
      </c>
      <c r="BW151" s="37" t="str">
        <f t="shared" si="2"/>
        <v>#NAME?</v>
      </c>
      <c r="BX151" s="89"/>
      <c r="BY151" s="39"/>
      <c r="BZ151" s="39"/>
      <c r="CA151" s="40" t="s">
        <v>122</v>
      </c>
      <c r="CB151" s="41"/>
      <c r="CC151" s="212" t="s">
        <v>122</v>
      </c>
      <c r="CD151" s="137"/>
      <c r="CE151" s="21"/>
      <c r="CF151" s="177" t="s">
        <v>727</v>
      </c>
      <c r="CG151" s="188"/>
      <c r="CH151" s="21"/>
      <c r="CI151" s="177" t="s">
        <v>727</v>
      </c>
      <c r="CJ151" s="188"/>
      <c r="CK151" s="21"/>
      <c r="CL151" s="22" t="s">
        <v>727</v>
      </c>
      <c r="CM151" s="12"/>
      <c r="CN151" s="48"/>
      <c r="CO151" s="153"/>
      <c r="CP151" s="21"/>
      <c r="CQ151" s="2" t="s">
        <v>780</v>
      </c>
      <c r="CR151" s="310">
        <v>20.0</v>
      </c>
      <c r="CS151" s="2" t="s">
        <v>422</v>
      </c>
      <c r="CT151" s="311">
        <v>64.0</v>
      </c>
      <c r="CU151" s="2"/>
      <c r="CV151" s="52" t="s">
        <v>890</v>
      </c>
      <c r="CW151" s="52" t="s">
        <v>890</v>
      </c>
      <c r="CX151" s="2"/>
      <c r="CY151" s="312" t="s">
        <v>411</v>
      </c>
      <c r="CZ151" s="313"/>
      <c r="DA151" s="2"/>
      <c r="DB151" s="311">
        <v>45.0</v>
      </c>
      <c r="DC151" s="2"/>
      <c r="DD151" s="314" t="s">
        <v>15</v>
      </c>
      <c r="DE151" s="2"/>
      <c r="DF151" s="250" t="s">
        <v>914</v>
      </c>
      <c r="DG151" s="315" t="s">
        <v>1526</v>
      </c>
      <c r="DH151" s="316"/>
      <c r="DI151" s="2"/>
      <c r="DJ151" s="2"/>
      <c r="DK151" s="59" t="s">
        <v>1527</v>
      </c>
      <c r="DL151" s="37" t="s">
        <v>156</v>
      </c>
      <c r="DM151" s="37" t="str">
        <f t="shared" si="3"/>
        <v>#NAME?</v>
      </c>
      <c r="DN151" s="61"/>
      <c r="DO151" s="37">
        <v>70.0</v>
      </c>
      <c r="DP151" s="105">
        <v>1.0</v>
      </c>
      <c r="DQ151" s="62" t="s">
        <v>20</v>
      </c>
      <c r="DR151" s="63"/>
      <c r="DS151" s="198"/>
      <c r="DT151" s="108"/>
      <c r="DU151" s="108"/>
      <c r="DV151" s="182"/>
      <c r="DW151" s="182"/>
      <c r="DX151" s="182"/>
      <c r="DY151" s="182"/>
      <c r="DZ151" s="182"/>
      <c r="EA151" s="182"/>
      <c r="EB151" s="2"/>
      <c r="EC151" s="2"/>
      <c r="ED151" s="2"/>
      <c r="EE151" s="2"/>
      <c r="EF151" s="149" t="s">
        <v>1528</v>
      </c>
      <c r="EG151" s="69" t="str">
        <f>image("https://www.pokebip.com/pages/icones/objets/pierre-aube.png", 3)</f>
        <v/>
      </c>
      <c r="EH151" s="69"/>
      <c r="EI151" s="69"/>
    </row>
    <row r="152" ht="15.75" customHeight="1">
      <c r="A152" s="1">
        <v>152.0</v>
      </c>
      <c r="B152" s="2" t="s">
        <v>1529</v>
      </c>
      <c r="C152" s="3"/>
      <c r="D152" s="4" t="s">
        <v>1530</v>
      </c>
      <c r="E152" s="5"/>
      <c r="F152" s="6"/>
      <c r="G152" s="7"/>
      <c r="H152" s="8" t="s">
        <v>1531</v>
      </c>
      <c r="I152" s="9" t="s">
        <v>1532</v>
      </c>
      <c r="J152" s="10" t="str">
        <f>image("https://archives.bulbagarden.net/media/upload/4/41/152MS6.png", 3)</f>
        <v/>
      </c>
      <c r="K152" s="11" t="s">
        <v>1530</v>
      </c>
      <c r="L152" s="12"/>
      <c r="M152" s="12"/>
      <c r="N152" s="12"/>
      <c r="O152" s="12"/>
      <c r="Q152" s="14">
        <v>45.0</v>
      </c>
      <c r="R152" s="15">
        <v>49.0</v>
      </c>
      <c r="S152" s="16">
        <v>65.0</v>
      </c>
      <c r="T152" s="17">
        <v>49.0</v>
      </c>
      <c r="U152" s="18">
        <v>65.0</v>
      </c>
      <c r="V152" s="19">
        <v>45.0</v>
      </c>
      <c r="W152" s="20">
        <v>318.0</v>
      </c>
      <c r="X152" s="21"/>
      <c r="Y152" s="14">
        <v>45.0</v>
      </c>
      <c r="Z152" s="15">
        <v>49.0</v>
      </c>
      <c r="AA152" s="16">
        <v>65.0</v>
      </c>
      <c r="AB152" s="17">
        <v>49.0</v>
      </c>
      <c r="AC152" s="18">
        <v>65.0</v>
      </c>
      <c r="AD152" s="19">
        <v>45.0</v>
      </c>
      <c r="AE152" s="20">
        <v>318.0</v>
      </c>
      <c r="AF152" s="21"/>
      <c r="AG152" s="14">
        <v>45.0</v>
      </c>
      <c r="AH152" s="15">
        <v>49.0</v>
      </c>
      <c r="AI152" s="16">
        <v>65.0</v>
      </c>
      <c r="AJ152" s="17">
        <v>49.0</v>
      </c>
      <c r="AK152" s="18">
        <v>65.0</v>
      </c>
      <c r="AL152" s="19">
        <v>45.0</v>
      </c>
      <c r="AM152" s="20">
        <v>318.0</v>
      </c>
      <c r="AN152" s="21"/>
      <c r="AO152" s="22">
        <v>45.0</v>
      </c>
      <c r="AP152" s="23">
        <v>49.0</v>
      </c>
      <c r="AQ152" s="23">
        <v>65.0</v>
      </c>
      <c r="AR152" s="23">
        <v>49.0</v>
      </c>
      <c r="AS152" s="23">
        <v>65.0</v>
      </c>
      <c r="AT152" s="23">
        <v>45.0</v>
      </c>
      <c r="AU152" s="24">
        <v>318.0</v>
      </c>
      <c r="AV152" s="21"/>
      <c r="AW152" s="25">
        <v>45.0</v>
      </c>
      <c r="AX152" s="26">
        <v>49.0</v>
      </c>
      <c r="AY152" s="26">
        <v>65.0</v>
      </c>
      <c r="AZ152" s="26">
        <v>49.0</v>
      </c>
      <c r="BA152" s="26">
        <v>65.0</v>
      </c>
      <c r="BB152" s="26">
        <v>45.0</v>
      </c>
      <c r="BC152" s="27">
        <v>318.0</v>
      </c>
      <c r="BE152" s="317" t="s">
        <v>27</v>
      </c>
      <c r="BF152" s="318"/>
      <c r="BG152" s="319"/>
      <c r="BI152" s="31" t="s">
        <v>5</v>
      </c>
      <c r="BJ152" s="32" t="s">
        <v>5</v>
      </c>
      <c r="BK152" s="32" t="s">
        <v>5</v>
      </c>
      <c r="BL152" s="32" t="s">
        <v>5</v>
      </c>
      <c r="BM152" s="32">
        <v>1.0</v>
      </c>
      <c r="BN152" s="33" t="s">
        <v>5</v>
      </c>
      <c r="BP152" s="320" t="s">
        <v>6</v>
      </c>
      <c r="BQ152" s="321"/>
      <c r="BS152" s="322" t="s">
        <v>6</v>
      </c>
      <c r="BT152" s="323"/>
      <c r="BU152" s="37" t="str">
        <f t="shared" si="1"/>
        <v>#NAME?</v>
      </c>
      <c r="BV152" s="89" t="s">
        <v>6</v>
      </c>
      <c r="BW152" s="37" t="str">
        <f t="shared" si="2"/>
        <v>#NAME?</v>
      </c>
      <c r="BX152" s="89"/>
      <c r="BY152" s="39"/>
      <c r="BZ152" s="39"/>
      <c r="CA152" s="40" t="s">
        <v>6</v>
      </c>
      <c r="CB152" s="41"/>
      <c r="CC152" s="42" t="s">
        <v>6</v>
      </c>
      <c r="CD152" s="43"/>
      <c r="CE152" s="21"/>
      <c r="CF152" s="44" t="s">
        <v>9</v>
      </c>
      <c r="CG152" s="45"/>
      <c r="CH152" s="21"/>
      <c r="CI152" s="324" t="s">
        <v>9</v>
      </c>
      <c r="CJ152" s="325" t="s">
        <v>1194</v>
      </c>
      <c r="CK152" s="21"/>
      <c r="CL152" s="22" t="s">
        <v>1533</v>
      </c>
      <c r="CM152" s="12"/>
      <c r="CN152" s="48"/>
      <c r="CO152" s="47" t="s">
        <v>9</v>
      </c>
      <c r="CP152" s="21"/>
      <c r="CQ152" s="2" t="s">
        <v>788</v>
      </c>
      <c r="CR152" s="50">
        <v>20.0</v>
      </c>
      <c r="CS152" s="2" t="s">
        <v>27</v>
      </c>
      <c r="CT152" s="51">
        <v>64.0</v>
      </c>
      <c r="CU152" s="2"/>
      <c r="CV152" s="52" t="s">
        <v>13</v>
      </c>
      <c r="CW152" s="53">
        <v>0.125</v>
      </c>
      <c r="CX152" s="2"/>
      <c r="CY152" s="326" t="s">
        <v>14</v>
      </c>
      <c r="CZ152" s="327" t="s">
        <v>6</v>
      </c>
      <c r="DA152" s="2"/>
      <c r="DB152" s="51">
        <v>45.0</v>
      </c>
      <c r="DC152" s="2"/>
      <c r="DD152" s="56" t="s">
        <v>15</v>
      </c>
      <c r="DE152" s="2"/>
      <c r="DF152" s="328" t="s">
        <v>1534</v>
      </c>
      <c r="DG152" s="329"/>
      <c r="DH152" s="329"/>
      <c r="DI152" s="21"/>
      <c r="DJ152" s="21"/>
      <c r="DK152" s="59" t="s">
        <v>1535</v>
      </c>
      <c r="DL152" s="37" t="s">
        <v>6</v>
      </c>
      <c r="DM152" s="37" t="str">
        <f t="shared" si="3"/>
        <v>#NAME?</v>
      </c>
      <c r="DN152" s="61"/>
      <c r="DO152" s="37">
        <v>80.0</v>
      </c>
      <c r="DP152" s="105">
        <v>1.0</v>
      </c>
      <c r="DQ152" s="62" t="s">
        <v>93</v>
      </c>
      <c r="DR152" s="63"/>
      <c r="DS152" s="198"/>
      <c r="DT152" s="108"/>
      <c r="DU152" s="108"/>
      <c r="DV152" s="182"/>
      <c r="DW152" s="182"/>
      <c r="DX152" s="182"/>
      <c r="DY152" s="182"/>
      <c r="DZ152" s="182"/>
      <c r="EA152" s="182"/>
      <c r="EB152" s="21"/>
      <c r="EC152" s="21"/>
      <c r="ED152" s="21"/>
      <c r="EE152" s="21"/>
      <c r="EF152" s="149" t="s">
        <v>1536</v>
      </c>
      <c r="EG152" s="69" t="str">
        <f>image("https://www.pokebip.com/pages/icones/objets/pierre-eclat.png", 3)</f>
        <v/>
      </c>
      <c r="EH152" s="69"/>
      <c r="EI152" s="69"/>
    </row>
    <row r="153" ht="15.75" customHeight="1">
      <c r="A153" s="1">
        <v>153.0</v>
      </c>
      <c r="B153" s="2" t="s">
        <v>1537</v>
      </c>
      <c r="C153" s="7"/>
      <c r="D153" s="4" t="s">
        <v>1538</v>
      </c>
      <c r="E153" s="5"/>
      <c r="F153" s="6"/>
      <c r="G153" s="7"/>
      <c r="H153" s="8" t="s">
        <v>1539</v>
      </c>
      <c r="I153" s="9" t="s">
        <v>1540</v>
      </c>
      <c r="J153" s="10" t="str">
        <f>image("https://archives.bulbagarden.net/media/upload/7/71/153MS6.png", 3)</f>
        <v/>
      </c>
      <c r="K153" s="11" t="s">
        <v>1538</v>
      </c>
      <c r="L153" s="12"/>
      <c r="M153" s="12"/>
      <c r="N153" s="12"/>
      <c r="O153" s="12"/>
      <c r="Q153" s="71">
        <v>60.0</v>
      </c>
      <c r="R153" s="72">
        <v>62.0</v>
      </c>
      <c r="S153" s="73">
        <v>80.0</v>
      </c>
      <c r="T153" s="74">
        <v>63.0</v>
      </c>
      <c r="U153" s="75">
        <v>80.0</v>
      </c>
      <c r="V153" s="76">
        <v>60.0</v>
      </c>
      <c r="W153" s="77">
        <v>405.0</v>
      </c>
      <c r="X153" s="21"/>
      <c r="Y153" s="71">
        <v>60.0</v>
      </c>
      <c r="Z153" s="72">
        <v>62.0</v>
      </c>
      <c r="AA153" s="73">
        <v>80.0</v>
      </c>
      <c r="AB153" s="74">
        <v>63.0</v>
      </c>
      <c r="AC153" s="75">
        <v>80.0</v>
      </c>
      <c r="AD153" s="76">
        <v>60.0</v>
      </c>
      <c r="AE153" s="77">
        <v>405.0</v>
      </c>
      <c r="AF153" s="21"/>
      <c r="AG153" s="71">
        <v>60.0</v>
      </c>
      <c r="AH153" s="72">
        <v>62.0</v>
      </c>
      <c r="AI153" s="73">
        <v>80.0</v>
      </c>
      <c r="AJ153" s="74">
        <v>63.0</v>
      </c>
      <c r="AK153" s="75">
        <v>80.0</v>
      </c>
      <c r="AL153" s="76">
        <v>60.0</v>
      </c>
      <c r="AM153" s="77">
        <v>405.0</v>
      </c>
      <c r="AN153" s="21"/>
      <c r="AO153" s="22">
        <v>60.0</v>
      </c>
      <c r="AP153" s="23">
        <v>62.0</v>
      </c>
      <c r="AQ153" s="23">
        <v>80.0</v>
      </c>
      <c r="AR153" s="23">
        <v>63.0</v>
      </c>
      <c r="AS153" s="23">
        <v>80.0</v>
      </c>
      <c r="AT153" s="23">
        <v>60.0</v>
      </c>
      <c r="AU153" s="24">
        <v>405.0</v>
      </c>
      <c r="AV153" s="21"/>
      <c r="AW153" s="78">
        <v>60.0</v>
      </c>
      <c r="AX153" s="79">
        <v>62.0</v>
      </c>
      <c r="AY153" s="79">
        <v>80.0</v>
      </c>
      <c r="AZ153" s="80">
        <v>63.0</v>
      </c>
      <c r="BA153" s="79">
        <v>80.0</v>
      </c>
      <c r="BB153" s="79">
        <v>60.0</v>
      </c>
      <c r="BC153" s="81">
        <v>405.0</v>
      </c>
      <c r="BE153" s="142" t="s">
        <v>101</v>
      </c>
      <c r="BF153" s="83" t="s">
        <v>27</v>
      </c>
      <c r="BG153" s="93"/>
      <c r="BI153" s="31" t="s">
        <v>5</v>
      </c>
      <c r="BJ153" s="32" t="s">
        <v>5</v>
      </c>
      <c r="BK153" s="32">
        <v>1.0</v>
      </c>
      <c r="BL153" s="32" t="s">
        <v>5</v>
      </c>
      <c r="BM153" s="32">
        <v>1.0</v>
      </c>
      <c r="BN153" s="33" t="s">
        <v>5</v>
      </c>
      <c r="BP153" s="115" t="s">
        <v>6</v>
      </c>
      <c r="BQ153" s="93"/>
      <c r="BS153" s="115" t="s">
        <v>6</v>
      </c>
      <c r="BT153" s="133"/>
      <c r="BU153" s="37" t="str">
        <f t="shared" si="1"/>
        <v>#NAME?</v>
      </c>
      <c r="BV153" s="89" t="s">
        <v>6</v>
      </c>
      <c r="BW153" s="37" t="str">
        <f t="shared" si="2"/>
        <v>#NAME?</v>
      </c>
      <c r="BX153" s="89"/>
      <c r="BY153" s="134"/>
      <c r="BZ153" s="134"/>
      <c r="CA153" s="135" t="s">
        <v>6</v>
      </c>
      <c r="CB153" s="136"/>
      <c r="CC153" s="90" t="s">
        <v>6</v>
      </c>
      <c r="CD153" s="137"/>
      <c r="CE153" s="21"/>
      <c r="CF153" s="92" t="s">
        <v>9</v>
      </c>
      <c r="CG153" s="93"/>
      <c r="CH153" s="21"/>
      <c r="CI153" s="191" t="s">
        <v>9</v>
      </c>
      <c r="CJ153" s="330" t="s">
        <v>1194</v>
      </c>
      <c r="CK153" s="21"/>
      <c r="CL153" s="22" t="s">
        <v>1533</v>
      </c>
      <c r="CM153" s="12"/>
      <c r="CN153" s="48"/>
      <c r="CO153" s="95" t="s">
        <v>9</v>
      </c>
      <c r="CP153" s="21"/>
      <c r="CQ153" s="2" t="s">
        <v>1541</v>
      </c>
      <c r="CR153" s="97">
        <v>40.0</v>
      </c>
      <c r="CS153" s="2" t="s">
        <v>117</v>
      </c>
      <c r="CT153" s="98">
        <v>141.0</v>
      </c>
      <c r="CU153" s="2"/>
      <c r="CV153" s="52" t="s">
        <v>13</v>
      </c>
      <c r="CW153" s="53">
        <v>0.125</v>
      </c>
      <c r="CX153" s="2"/>
      <c r="CY153" s="118" t="s">
        <v>14</v>
      </c>
      <c r="CZ153" s="119" t="s">
        <v>6</v>
      </c>
      <c r="DA153" s="2"/>
      <c r="DB153" s="98">
        <v>45.0</v>
      </c>
      <c r="DC153" s="2"/>
      <c r="DD153" s="101" t="s">
        <v>15</v>
      </c>
      <c r="DE153" s="2"/>
      <c r="DF153" s="120" t="s">
        <v>1542</v>
      </c>
      <c r="DG153" s="121"/>
      <c r="DH153" s="121"/>
      <c r="DI153" s="2"/>
      <c r="DJ153" s="2"/>
      <c r="DK153" s="59" t="s">
        <v>1543</v>
      </c>
      <c r="DL153" s="37" t="s">
        <v>64</v>
      </c>
      <c r="DM153" s="37" t="str">
        <f t="shared" si="3"/>
        <v>#NAME?</v>
      </c>
      <c r="DN153" s="61"/>
      <c r="DO153" s="37" t="s">
        <v>19</v>
      </c>
      <c r="DP153" s="105">
        <v>1.0</v>
      </c>
      <c r="DQ153" s="62" t="s">
        <v>20</v>
      </c>
      <c r="DR153" s="63"/>
      <c r="DS153" s="198"/>
      <c r="DT153" s="108"/>
      <c r="DU153" s="108"/>
      <c r="DV153" s="182"/>
      <c r="DW153" s="182"/>
      <c r="DX153" s="182"/>
      <c r="DY153" s="182"/>
      <c r="DZ153" s="182"/>
      <c r="EA153" s="182"/>
      <c r="EB153" s="21"/>
      <c r="EC153" s="21"/>
      <c r="ED153" s="21"/>
      <c r="EE153" s="21"/>
      <c r="EF153" s="149" t="s">
        <v>1544</v>
      </c>
      <c r="EG153" s="69" t="str">
        <f>image("https://www.pokebip.com/pages/icones/objets/pierre-nuit.png", 3)</f>
        <v/>
      </c>
      <c r="EH153" s="69"/>
      <c r="EI153" s="69"/>
    </row>
    <row r="154" ht="15.75" customHeight="1">
      <c r="A154" s="1">
        <v>154.0</v>
      </c>
      <c r="B154" s="2" t="s">
        <v>1545</v>
      </c>
      <c r="C154" s="7"/>
      <c r="D154" s="4" t="s">
        <v>1546</v>
      </c>
      <c r="E154" s="5"/>
      <c r="F154" s="6"/>
      <c r="G154" s="7"/>
      <c r="H154" s="8" t="s">
        <v>1547</v>
      </c>
      <c r="I154" s="9" t="s">
        <v>1548</v>
      </c>
      <c r="J154" s="10" t="str">
        <f>image("https://archives.bulbagarden.net/media/upload/2/23/154MS6.png", 3)</f>
        <v/>
      </c>
      <c r="K154" s="11" t="s">
        <v>1546</v>
      </c>
      <c r="L154" s="12"/>
      <c r="M154" s="12"/>
      <c r="N154" s="12"/>
      <c r="O154" s="12"/>
      <c r="Q154" s="71">
        <v>80.0</v>
      </c>
      <c r="R154" s="72">
        <v>82.0</v>
      </c>
      <c r="S154" s="73">
        <v>100.0</v>
      </c>
      <c r="T154" s="74">
        <v>83.0</v>
      </c>
      <c r="U154" s="75">
        <v>100.0</v>
      </c>
      <c r="V154" s="76">
        <v>80.0</v>
      </c>
      <c r="W154" s="77">
        <v>525.0</v>
      </c>
      <c r="X154" s="21"/>
      <c r="Y154" s="71">
        <v>80.0</v>
      </c>
      <c r="Z154" s="72">
        <v>82.0</v>
      </c>
      <c r="AA154" s="73">
        <v>100.0</v>
      </c>
      <c r="AB154" s="74">
        <v>83.0</v>
      </c>
      <c r="AC154" s="75">
        <v>100.0</v>
      </c>
      <c r="AD154" s="76">
        <v>80.0</v>
      </c>
      <c r="AE154" s="77">
        <v>525.0</v>
      </c>
      <c r="AF154" s="21"/>
      <c r="AG154" s="71">
        <v>80.0</v>
      </c>
      <c r="AH154" s="72">
        <v>82.0</v>
      </c>
      <c r="AI154" s="73">
        <v>100.0</v>
      </c>
      <c r="AJ154" s="109">
        <v>93.0</v>
      </c>
      <c r="AK154" s="75">
        <v>100.0</v>
      </c>
      <c r="AL154" s="76">
        <v>80.0</v>
      </c>
      <c r="AM154" s="110">
        <v>535.0</v>
      </c>
      <c r="AN154" s="21"/>
      <c r="AO154" s="22">
        <v>80.0</v>
      </c>
      <c r="AP154" s="23">
        <v>82.0</v>
      </c>
      <c r="AQ154" s="23">
        <v>100.0</v>
      </c>
      <c r="AR154" s="23" t="s">
        <v>1549</v>
      </c>
      <c r="AS154" s="23">
        <v>100.0</v>
      </c>
      <c r="AT154" s="23">
        <v>80.0</v>
      </c>
      <c r="AU154" s="24" t="s">
        <v>41</v>
      </c>
      <c r="AV154" s="21"/>
      <c r="AW154" s="78">
        <v>80.0</v>
      </c>
      <c r="AX154" s="79">
        <v>82.0</v>
      </c>
      <c r="AY154" s="79">
        <v>100.0</v>
      </c>
      <c r="AZ154" s="111">
        <v>93.0</v>
      </c>
      <c r="BA154" s="79">
        <v>100.0</v>
      </c>
      <c r="BB154" s="79">
        <v>80.0</v>
      </c>
      <c r="BC154" s="111">
        <v>535.0</v>
      </c>
      <c r="BE154" s="142" t="s">
        <v>101</v>
      </c>
      <c r="BF154" s="331" t="s">
        <v>815</v>
      </c>
      <c r="BG154" s="128"/>
      <c r="BI154" s="31" t="s">
        <v>5</v>
      </c>
      <c r="BJ154" s="32" t="s">
        <v>5</v>
      </c>
      <c r="BK154" s="32">
        <v>1.0</v>
      </c>
      <c r="BL154" s="32" t="s">
        <v>5</v>
      </c>
      <c r="BM154" s="32">
        <v>2.0</v>
      </c>
      <c r="BN154" s="33" t="s">
        <v>5</v>
      </c>
      <c r="BP154" s="85" t="s">
        <v>6</v>
      </c>
      <c r="BQ154" s="129"/>
      <c r="BS154" s="87" t="s">
        <v>6</v>
      </c>
      <c r="BT154" s="130"/>
      <c r="BU154" s="37" t="str">
        <f t="shared" si="1"/>
        <v>#NAME?</v>
      </c>
      <c r="BV154" s="89" t="s">
        <v>6</v>
      </c>
      <c r="BW154" s="37" t="str">
        <f t="shared" si="2"/>
        <v>#NAME?</v>
      </c>
      <c r="BX154" s="89" t="s">
        <v>461</v>
      </c>
      <c r="BY154" s="39"/>
      <c r="BZ154" s="39"/>
      <c r="CA154" s="40" t="s">
        <v>1550</v>
      </c>
      <c r="CB154" s="41"/>
      <c r="CC154" s="37" t="s">
        <v>6</v>
      </c>
      <c r="CD154" s="139" t="s">
        <v>153</v>
      </c>
      <c r="CE154" s="21"/>
      <c r="CF154" s="92" t="s">
        <v>9</v>
      </c>
      <c r="CG154" s="93"/>
      <c r="CH154" s="21"/>
      <c r="CI154" s="277" t="s">
        <v>9</v>
      </c>
      <c r="CJ154" s="332" t="s">
        <v>1194</v>
      </c>
      <c r="CK154" s="21"/>
      <c r="CL154" s="22" t="s">
        <v>1533</v>
      </c>
      <c r="CM154" s="12"/>
      <c r="CN154" s="48"/>
      <c r="CO154" s="95" t="s">
        <v>9</v>
      </c>
      <c r="CP154" s="21"/>
      <c r="CQ154" s="2" t="s">
        <v>1551</v>
      </c>
      <c r="CR154" s="97">
        <v>100.0</v>
      </c>
      <c r="CS154" s="2" t="s">
        <v>1552</v>
      </c>
      <c r="CT154" s="98">
        <v>208.0</v>
      </c>
      <c r="CU154" s="2"/>
      <c r="CV154" s="52" t="s">
        <v>13</v>
      </c>
      <c r="CW154" s="53">
        <v>0.125</v>
      </c>
      <c r="CX154" s="2"/>
      <c r="CY154" s="333" t="s">
        <v>14</v>
      </c>
      <c r="CZ154" s="334" t="s">
        <v>6</v>
      </c>
      <c r="DA154" s="2"/>
      <c r="DB154" s="98">
        <v>45.0</v>
      </c>
      <c r="DC154" s="2"/>
      <c r="DD154" s="101" t="s">
        <v>15</v>
      </c>
      <c r="DE154" s="2"/>
      <c r="DF154" s="335" t="s">
        <v>1553</v>
      </c>
      <c r="DG154" s="336"/>
      <c r="DH154" s="336"/>
      <c r="DI154" s="2"/>
      <c r="DJ154" s="2"/>
      <c r="DK154" s="59" t="s">
        <v>1554</v>
      </c>
      <c r="DL154" s="37" t="s">
        <v>156</v>
      </c>
      <c r="DM154" s="37" t="str">
        <f t="shared" si="3"/>
        <v>#NAME?</v>
      </c>
      <c r="DN154" s="61"/>
      <c r="DO154" s="37">
        <v>200.0</v>
      </c>
      <c r="DP154" s="105">
        <v>1.0</v>
      </c>
      <c r="DQ154" s="62" t="s">
        <v>293</v>
      </c>
      <c r="DR154" s="63"/>
      <c r="DS154" s="198"/>
      <c r="DT154" s="108"/>
      <c r="DU154" s="108"/>
      <c r="DV154" s="182"/>
      <c r="DW154" s="182"/>
      <c r="DX154" s="182"/>
      <c r="DY154" s="182"/>
      <c r="DZ154" s="182"/>
      <c r="EA154" s="182"/>
      <c r="EB154" s="2"/>
      <c r="EC154" s="2"/>
      <c r="ED154" s="2"/>
      <c r="EE154" s="2"/>
      <c r="EF154" s="149" t="s">
        <v>1555</v>
      </c>
      <c r="EG154" s="69" t="str">
        <f>image("https://www.pokebip.com/pages/icones/objets/pierre-ovale.png", 3)</f>
        <v/>
      </c>
      <c r="EH154" s="69"/>
      <c r="EI154" s="69"/>
    </row>
    <row r="155" ht="15.75" customHeight="1">
      <c r="A155" s="1">
        <v>155.0</v>
      </c>
      <c r="B155" s="2" t="s">
        <v>1556</v>
      </c>
      <c r="C155" s="7"/>
      <c r="D155" s="169" t="s">
        <v>1557</v>
      </c>
      <c r="E155" s="5"/>
      <c r="F155" s="170"/>
      <c r="G155" s="7"/>
      <c r="H155" s="8" t="s">
        <v>1558</v>
      </c>
      <c r="I155" s="9" t="s">
        <v>1559</v>
      </c>
      <c r="J155" s="10" t="str">
        <f>image("https://archives.bulbagarden.net/media/upload/9/96/155MS6.png", 3)</f>
        <v/>
      </c>
      <c r="K155" s="11" t="s">
        <v>1557</v>
      </c>
      <c r="L155" s="12"/>
      <c r="M155" s="12"/>
      <c r="N155" s="12"/>
      <c r="O155" s="12"/>
      <c r="Q155" s="71">
        <v>39.0</v>
      </c>
      <c r="R155" s="72">
        <v>52.0</v>
      </c>
      <c r="S155" s="73">
        <v>43.0</v>
      </c>
      <c r="T155" s="74">
        <v>60.0</v>
      </c>
      <c r="U155" s="75">
        <v>50.0</v>
      </c>
      <c r="V155" s="76">
        <v>65.0</v>
      </c>
      <c r="W155" s="77">
        <v>309.0</v>
      </c>
      <c r="X155" s="21"/>
      <c r="Y155" s="71">
        <v>39.0</v>
      </c>
      <c r="Z155" s="72">
        <v>52.0</v>
      </c>
      <c r="AA155" s="73">
        <v>43.0</v>
      </c>
      <c r="AB155" s="74">
        <v>60.0</v>
      </c>
      <c r="AC155" s="75">
        <v>50.0</v>
      </c>
      <c r="AD155" s="76">
        <v>65.0</v>
      </c>
      <c r="AE155" s="77">
        <v>309.0</v>
      </c>
      <c r="AF155" s="21"/>
      <c r="AG155" s="71">
        <v>39.0</v>
      </c>
      <c r="AH155" s="72">
        <v>52.0</v>
      </c>
      <c r="AI155" s="73">
        <v>43.0</v>
      </c>
      <c r="AJ155" s="74">
        <v>60.0</v>
      </c>
      <c r="AK155" s="75">
        <v>50.0</v>
      </c>
      <c r="AL155" s="76">
        <v>65.0</v>
      </c>
      <c r="AM155" s="77">
        <v>309.0</v>
      </c>
      <c r="AN155" s="21"/>
      <c r="AO155" s="22">
        <v>39.0</v>
      </c>
      <c r="AP155" s="23">
        <v>52.0</v>
      </c>
      <c r="AQ155" s="23">
        <v>43.0</v>
      </c>
      <c r="AR155" s="23">
        <v>60.0</v>
      </c>
      <c r="AS155" s="23">
        <v>50.0</v>
      </c>
      <c r="AT155" s="23">
        <v>65.0</v>
      </c>
      <c r="AU155" s="24">
        <v>309.0</v>
      </c>
      <c r="AV155" s="21"/>
      <c r="AW155" s="78">
        <v>39.0</v>
      </c>
      <c r="AX155" s="79">
        <v>52.0</v>
      </c>
      <c r="AY155" s="79">
        <v>43.0</v>
      </c>
      <c r="AZ155" s="124">
        <v>60.0</v>
      </c>
      <c r="BA155" s="79">
        <v>50.0</v>
      </c>
      <c r="BB155" s="79">
        <v>65.0</v>
      </c>
      <c r="BC155" s="125">
        <v>309.0</v>
      </c>
      <c r="BE155" s="126" t="s">
        <v>56</v>
      </c>
      <c r="BF155" s="184"/>
      <c r="BG155" s="128"/>
      <c r="BI155" s="31" t="s">
        <v>5</v>
      </c>
      <c r="BJ155" s="32" t="s">
        <v>5</v>
      </c>
      <c r="BK155" s="32" t="s">
        <v>5</v>
      </c>
      <c r="BL155" s="32" t="s">
        <v>5</v>
      </c>
      <c r="BM155" s="32" t="s">
        <v>5</v>
      </c>
      <c r="BN155" s="33">
        <v>1.0</v>
      </c>
      <c r="BP155" s="115" t="s">
        <v>34</v>
      </c>
      <c r="BQ155" s="93"/>
      <c r="BS155" s="115" t="s">
        <v>34</v>
      </c>
      <c r="BT155" s="133"/>
      <c r="BU155" s="37" t="str">
        <f t="shared" si="1"/>
        <v>#NAME?</v>
      </c>
      <c r="BV155" s="89" t="s">
        <v>34</v>
      </c>
      <c r="BW155" s="37" t="str">
        <f t="shared" si="2"/>
        <v>#NAME?</v>
      </c>
      <c r="BX155" s="89"/>
      <c r="BY155" s="144"/>
      <c r="BZ155" s="144"/>
      <c r="CA155" s="145" t="s">
        <v>34</v>
      </c>
      <c r="CB155" s="146"/>
      <c r="CC155" s="90" t="s">
        <v>34</v>
      </c>
      <c r="CD155" s="147"/>
      <c r="CE155" s="21"/>
      <c r="CF155" s="92" t="s">
        <v>57</v>
      </c>
      <c r="CG155" s="93"/>
      <c r="CH155" s="21"/>
      <c r="CI155" s="46" t="s">
        <v>486</v>
      </c>
      <c r="CJ155" s="165" t="s">
        <v>57</v>
      </c>
      <c r="CK155" s="21"/>
      <c r="CL155" s="22" t="s">
        <v>219</v>
      </c>
      <c r="CM155" s="12"/>
      <c r="CN155" s="48"/>
      <c r="CO155" s="95" t="s">
        <v>57</v>
      </c>
      <c r="CP155" s="21"/>
      <c r="CQ155" s="2" t="s">
        <v>1560</v>
      </c>
      <c r="CR155" s="97">
        <v>20.0</v>
      </c>
      <c r="CS155" s="2" t="s">
        <v>56</v>
      </c>
      <c r="CT155" s="98">
        <v>65.0</v>
      </c>
      <c r="CU155" s="2"/>
      <c r="CV155" s="52" t="s">
        <v>13</v>
      </c>
      <c r="CW155" s="53">
        <v>0.125</v>
      </c>
      <c r="CX155" s="2"/>
      <c r="CY155" s="119" t="s">
        <v>277</v>
      </c>
      <c r="CZ155" s="160"/>
      <c r="DA155" s="2"/>
      <c r="DB155" s="98">
        <v>45.0</v>
      </c>
      <c r="DC155" s="2"/>
      <c r="DD155" s="101" t="s">
        <v>15</v>
      </c>
      <c r="DE155" s="2"/>
      <c r="DF155" s="148" t="s">
        <v>1561</v>
      </c>
      <c r="DG155" s="121"/>
      <c r="DH155" s="121"/>
      <c r="DI155" s="21"/>
      <c r="DJ155" s="21"/>
      <c r="DK155" s="59" t="s">
        <v>1562</v>
      </c>
      <c r="DL155" s="37" t="s">
        <v>92</v>
      </c>
      <c r="DM155" s="37" t="str">
        <f t="shared" si="3"/>
        <v>#NAME?</v>
      </c>
      <c r="DN155" s="61"/>
      <c r="DO155" s="37" t="s">
        <v>337</v>
      </c>
      <c r="DP155" s="105">
        <v>1.0</v>
      </c>
      <c r="DQ155" s="62" t="s">
        <v>93</v>
      </c>
      <c r="DR155" s="63"/>
      <c r="DS155" s="198"/>
      <c r="DT155" s="108"/>
      <c r="DU155" s="108"/>
      <c r="DV155" s="182"/>
      <c r="DW155" s="182"/>
      <c r="DX155" s="182"/>
      <c r="DY155" s="182"/>
      <c r="DZ155" s="182"/>
      <c r="EA155" s="182"/>
      <c r="EB155" s="21"/>
      <c r="EC155" s="21"/>
      <c r="ED155" s="21"/>
      <c r="EE155" s="21"/>
      <c r="EF155" s="149" t="s">
        <v>1563</v>
      </c>
      <c r="EG155" s="69" t="str">
        <f>image("https://www.pokebip.com/pages/icones/objets/pierre-stase.png", 3)</f>
        <v/>
      </c>
      <c r="EH155" s="69"/>
      <c r="EI155" s="69"/>
    </row>
    <row r="156" ht="15.75" customHeight="1">
      <c r="A156" s="1">
        <v>156.0</v>
      </c>
      <c r="B156" s="2" t="s">
        <v>1564</v>
      </c>
      <c r="C156" s="7"/>
      <c r="D156" s="169" t="s">
        <v>1565</v>
      </c>
      <c r="E156" s="5"/>
      <c r="F156" s="170"/>
      <c r="G156" s="7"/>
      <c r="H156" s="8" t="s">
        <v>1566</v>
      </c>
      <c r="I156" s="9" t="s">
        <v>1567</v>
      </c>
      <c r="J156" s="10" t="str">
        <f>image("https://archives.bulbagarden.net/media/upload/d/df/156MS6.png", 3)</f>
        <v/>
      </c>
      <c r="K156" s="11" t="s">
        <v>1565</v>
      </c>
      <c r="L156" s="12"/>
      <c r="M156" s="12"/>
      <c r="N156" s="12"/>
      <c r="O156" s="12"/>
      <c r="Q156" s="71">
        <v>58.0</v>
      </c>
      <c r="R156" s="72">
        <v>64.0</v>
      </c>
      <c r="S156" s="73">
        <v>58.0</v>
      </c>
      <c r="T156" s="74">
        <v>80.0</v>
      </c>
      <c r="U156" s="75">
        <v>65.0</v>
      </c>
      <c r="V156" s="76">
        <v>80.0</v>
      </c>
      <c r="W156" s="77">
        <v>405.0</v>
      </c>
      <c r="X156" s="21"/>
      <c r="Y156" s="71">
        <v>58.0</v>
      </c>
      <c r="Z156" s="72">
        <v>64.0</v>
      </c>
      <c r="AA156" s="73">
        <v>58.0</v>
      </c>
      <c r="AB156" s="74">
        <v>80.0</v>
      </c>
      <c r="AC156" s="75">
        <v>65.0</v>
      </c>
      <c r="AD156" s="76">
        <v>80.0</v>
      </c>
      <c r="AE156" s="77">
        <v>405.0</v>
      </c>
      <c r="AF156" s="21"/>
      <c r="AG156" s="71">
        <v>58.0</v>
      </c>
      <c r="AH156" s="72">
        <v>64.0</v>
      </c>
      <c r="AI156" s="73">
        <v>58.0</v>
      </c>
      <c r="AJ156" s="74">
        <v>80.0</v>
      </c>
      <c r="AK156" s="75">
        <v>65.0</v>
      </c>
      <c r="AL156" s="76">
        <v>80.0</v>
      </c>
      <c r="AM156" s="77">
        <v>405.0</v>
      </c>
      <c r="AN156" s="21"/>
      <c r="AO156" s="22">
        <v>58.0</v>
      </c>
      <c r="AP156" s="23">
        <v>64.0</v>
      </c>
      <c r="AQ156" s="23">
        <v>58.0</v>
      </c>
      <c r="AR156" s="23">
        <v>80.0</v>
      </c>
      <c r="AS156" s="23">
        <v>65.0</v>
      </c>
      <c r="AT156" s="23">
        <v>80.0</v>
      </c>
      <c r="AU156" s="24">
        <v>405.0</v>
      </c>
      <c r="AV156" s="21"/>
      <c r="AW156" s="78">
        <v>58.0</v>
      </c>
      <c r="AX156" s="80">
        <v>64.0</v>
      </c>
      <c r="AY156" s="80">
        <v>58.0</v>
      </c>
      <c r="AZ156" s="80">
        <v>80.0</v>
      </c>
      <c r="BA156" s="80">
        <v>65.0</v>
      </c>
      <c r="BB156" s="80">
        <v>80.0</v>
      </c>
      <c r="BC156" s="81">
        <v>405.0</v>
      </c>
      <c r="BE156" s="82" t="s">
        <v>4</v>
      </c>
      <c r="BF156" s="132" t="s">
        <v>56</v>
      </c>
      <c r="BG156" s="129"/>
      <c r="BI156" s="31" t="s">
        <v>5</v>
      </c>
      <c r="BJ156" s="32" t="s">
        <v>5</v>
      </c>
      <c r="BK156" s="32" t="s">
        <v>5</v>
      </c>
      <c r="BL156" s="32">
        <v>1.0</v>
      </c>
      <c r="BM156" s="32" t="s">
        <v>5</v>
      </c>
      <c r="BN156" s="33">
        <v>1.0</v>
      </c>
      <c r="BP156" s="85" t="s">
        <v>34</v>
      </c>
      <c r="BQ156" s="129"/>
      <c r="BS156" s="87" t="s">
        <v>34</v>
      </c>
      <c r="BT156" s="130"/>
      <c r="BU156" s="37" t="str">
        <f t="shared" si="1"/>
        <v>#NAME?</v>
      </c>
      <c r="BV156" s="89" t="s">
        <v>34</v>
      </c>
      <c r="BW156" s="37" t="str">
        <f t="shared" si="2"/>
        <v>#NAME?</v>
      </c>
      <c r="BX156" s="89"/>
      <c r="BY156" s="39"/>
      <c r="BZ156" s="39"/>
      <c r="CA156" s="40" t="s">
        <v>34</v>
      </c>
      <c r="CB156" s="41"/>
      <c r="CC156" s="90" t="s">
        <v>34</v>
      </c>
      <c r="CD156" s="91"/>
      <c r="CE156" s="21"/>
      <c r="CF156" s="92" t="s">
        <v>57</v>
      </c>
      <c r="CG156" s="93"/>
      <c r="CH156" s="21"/>
      <c r="CI156" s="94" t="s">
        <v>486</v>
      </c>
      <c r="CJ156" s="95" t="s">
        <v>57</v>
      </c>
      <c r="CK156" s="21"/>
      <c r="CL156" s="22" t="s">
        <v>219</v>
      </c>
      <c r="CM156" s="12"/>
      <c r="CN156" s="48"/>
      <c r="CO156" s="95" t="s">
        <v>57</v>
      </c>
      <c r="CP156" s="21"/>
      <c r="CQ156" s="2" t="s">
        <v>72</v>
      </c>
      <c r="CR156" s="97">
        <v>40.0</v>
      </c>
      <c r="CS156" s="2" t="s">
        <v>73</v>
      </c>
      <c r="CT156" s="98">
        <v>142.0</v>
      </c>
      <c r="CU156" s="2"/>
      <c r="CV156" s="52" t="s">
        <v>13</v>
      </c>
      <c r="CW156" s="53">
        <v>0.125</v>
      </c>
      <c r="CX156" s="2"/>
      <c r="CY156" s="334" t="s">
        <v>277</v>
      </c>
      <c r="CZ156" s="337"/>
      <c r="DA156" s="2"/>
      <c r="DB156" s="98">
        <v>45.0</v>
      </c>
      <c r="DC156" s="2"/>
      <c r="DD156" s="101" t="s">
        <v>15</v>
      </c>
      <c r="DE156" s="2"/>
      <c r="DF156" s="335" t="s">
        <v>1568</v>
      </c>
      <c r="DG156" s="336"/>
      <c r="DH156" s="336"/>
      <c r="DI156" s="2"/>
      <c r="DJ156" s="2"/>
      <c r="DK156" s="59" t="s">
        <v>1569</v>
      </c>
      <c r="DL156" s="37" t="s">
        <v>92</v>
      </c>
      <c r="DM156" s="37" t="str">
        <f t="shared" si="3"/>
        <v>#NAME?</v>
      </c>
      <c r="DN156" s="61"/>
      <c r="DO156" s="37">
        <v>120.0</v>
      </c>
      <c r="DP156" s="105">
        <v>1.0</v>
      </c>
      <c r="DQ156" s="62" t="s">
        <v>293</v>
      </c>
      <c r="DR156" s="63"/>
      <c r="DS156" s="198"/>
      <c r="DT156" s="108"/>
      <c r="DU156" s="108"/>
      <c r="DV156" s="182"/>
      <c r="DW156" s="182"/>
      <c r="DX156" s="182"/>
      <c r="DY156" s="182"/>
      <c r="DZ156" s="182"/>
      <c r="EA156" s="182"/>
      <c r="EB156" s="2"/>
      <c r="EC156" s="2"/>
      <c r="ED156" s="2"/>
      <c r="EE156" s="2"/>
      <c r="EF156" s="149" t="s">
        <v>1570</v>
      </c>
      <c r="EG156" s="69" t="str">
        <f>image("https://www.pokebip.com/pages/icones/objets/dent-ocean.png", 3)</f>
        <v/>
      </c>
      <c r="EH156" s="69"/>
      <c r="EI156" s="69"/>
    </row>
    <row r="157" ht="15.75" customHeight="1">
      <c r="A157" s="1">
        <v>157.0</v>
      </c>
      <c r="B157" s="2" t="s">
        <v>1571</v>
      </c>
      <c r="C157" s="7"/>
      <c r="D157" s="169" t="s">
        <v>1572</v>
      </c>
      <c r="E157" s="5"/>
      <c r="F157" s="170"/>
      <c r="G157" s="7"/>
      <c r="H157" s="8" t="s">
        <v>1573</v>
      </c>
      <c r="I157" s="9" t="s">
        <v>1574</v>
      </c>
      <c r="J157" s="10" t="str">
        <f>image("https://archives.bulbagarden.net/media/upload/5/55/157MS6.png", 3)</f>
        <v/>
      </c>
      <c r="K157" s="11" t="s">
        <v>1572</v>
      </c>
      <c r="L157" s="12"/>
      <c r="M157" s="12"/>
      <c r="N157" s="12"/>
      <c r="O157" s="12"/>
      <c r="Q157" s="71">
        <v>78.0</v>
      </c>
      <c r="R157" s="72">
        <v>84.0</v>
      </c>
      <c r="S157" s="73">
        <v>78.0</v>
      </c>
      <c r="T157" s="74">
        <v>109.0</v>
      </c>
      <c r="U157" s="75">
        <v>85.0</v>
      </c>
      <c r="V157" s="76">
        <v>100.0</v>
      </c>
      <c r="W157" s="77">
        <v>534.0</v>
      </c>
      <c r="X157" s="21"/>
      <c r="Y157" s="71">
        <v>78.0</v>
      </c>
      <c r="Z157" s="72">
        <v>84.0</v>
      </c>
      <c r="AA157" s="73">
        <v>78.0</v>
      </c>
      <c r="AB157" s="74">
        <v>109.0</v>
      </c>
      <c r="AC157" s="75">
        <v>85.0</v>
      </c>
      <c r="AD157" s="76">
        <v>100.0</v>
      </c>
      <c r="AE157" s="77">
        <v>534.0</v>
      </c>
      <c r="AF157" s="21"/>
      <c r="AG157" s="71">
        <v>78.0</v>
      </c>
      <c r="AH157" s="162">
        <v>79.0</v>
      </c>
      <c r="AI157" s="162">
        <v>73.0</v>
      </c>
      <c r="AJ157" s="109">
        <v>124.0</v>
      </c>
      <c r="AK157" s="162">
        <v>80.0</v>
      </c>
      <c r="AL157" s="109">
        <v>101.0</v>
      </c>
      <c r="AM157" s="110">
        <v>535.0</v>
      </c>
      <c r="AN157" s="21"/>
      <c r="AO157" s="22">
        <v>78.0</v>
      </c>
      <c r="AP157" s="23" t="s">
        <v>1575</v>
      </c>
      <c r="AQ157" s="23" t="s">
        <v>1576</v>
      </c>
      <c r="AR157" s="23" t="s">
        <v>1577</v>
      </c>
      <c r="AS157" s="23" t="s">
        <v>1578</v>
      </c>
      <c r="AT157" s="23" t="s">
        <v>259</v>
      </c>
      <c r="AU157" s="24" t="s">
        <v>41</v>
      </c>
      <c r="AV157" s="21"/>
      <c r="AW157" s="78">
        <v>78.0</v>
      </c>
      <c r="AX157" s="163">
        <v>79.0</v>
      </c>
      <c r="AY157" s="163">
        <v>73.0</v>
      </c>
      <c r="AZ157" s="197">
        <v>124.0</v>
      </c>
      <c r="BA157" s="163">
        <v>80.0</v>
      </c>
      <c r="BB157" s="164">
        <v>101.0</v>
      </c>
      <c r="BC157" s="111">
        <v>535.0</v>
      </c>
      <c r="BE157" s="112" t="s">
        <v>85</v>
      </c>
      <c r="BF157" s="138"/>
      <c r="BG157" s="128"/>
      <c r="BI157" s="31" t="s">
        <v>5</v>
      </c>
      <c r="BJ157" s="32" t="s">
        <v>5</v>
      </c>
      <c r="BK157" s="32" t="s">
        <v>5</v>
      </c>
      <c r="BL157" s="32">
        <v>3.0</v>
      </c>
      <c r="BM157" s="32" t="s">
        <v>5</v>
      </c>
      <c r="BN157" s="33" t="s">
        <v>5</v>
      </c>
      <c r="BP157" s="115" t="s">
        <v>34</v>
      </c>
      <c r="BQ157" s="93"/>
      <c r="BS157" s="115" t="s">
        <v>34</v>
      </c>
      <c r="BT157" s="133"/>
      <c r="BU157" s="37" t="str">
        <f t="shared" si="1"/>
        <v>#NAME?</v>
      </c>
      <c r="BV157" s="89" t="s">
        <v>34</v>
      </c>
      <c r="BW157" s="37" t="str">
        <f t="shared" si="2"/>
        <v>#NAME?</v>
      </c>
      <c r="BX157" s="89"/>
      <c r="BY157" s="39"/>
      <c r="BZ157" s="39"/>
      <c r="CA157" s="40" t="s">
        <v>34</v>
      </c>
      <c r="CB157" s="41"/>
      <c r="CC157" s="90" t="s">
        <v>34</v>
      </c>
      <c r="CD157" s="91"/>
      <c r="CE157" s="21"/>
      <c r="CF157" s="92" t="s">
        <v>57</v>
      </c>
      <c r="CG157" s="93"/>
      <c r="CH157" s="21"/>
      <c r="CI157" s="152" t="s">
        <v>486</v>
      </c>
      <c r="CJ157" s="95" t="s">
        <v>57</v>
      </c>
      <c r="CK157" s="21"/>
      <c r="CL157" s="22" t="s">
        <v>219</v>
      </c>
      <c r="CM157" s="12"/>
      <c r="CN157" s="48"/>
      <c r="CO157" s="95" t="s">
        <v>57</v>
      </c>
      <c r="CP157" s="21"/>
      <c r="CQ157" s="2" t="s">
        <v>1579</v>
      </c>
      <c r="CR157" s="97">
        <v>80.0</v>
      </c>
      <c r="CS157" s="2" t="s">
        <v>85</v>
      </c>
      <c r="CT157" s="98">
        <v>209.0</v>
      </c>
      <c r="CU157" s="2"/>
      <c r="CV157" s="52" t="s">
        <v>13</v>
      </c>
      <c r="CW157" s="53">
        <v>0.125</v>
      </c>
      <c r="CX157" s="2"/>
      <c r="CY157" s="119" t="s">
        <v>277</v>
      </c>
      <c r="CZ157" s="160"/>
      <c r="DA157" s="2"/>
      <c r="DB157" s="98">
        <v>45.0</v>
      </c>
      <c r="DC157" s="2"/>
      <c r="DD157" s="101" t="s">
        <v>15</v>
      </c>
      <c r="DE157" s="2"/>
      <c r="DF157" s="120" t="s">
        <v>1580</v>
      </c>
      <c r="DG157" s="121"/>
      <c r="DH157" s="121"/>
      <c r="DI157" s="2"/>
      <c r="DJ157" s="2"/>
      <c r="DK157" s="59" t="s">
        <v>1581</v>
      </c>
      <c r="DL157" s="37" t="s">
        <v>92</v>
      </c>
      <c r="DM157" s="37" t="str">
        <f t="shared" si="3"/>
        <v>#NAME?</v>
      </c>
      <c r="DN157" s="61"/>
      <c r="DO157" s="37" t="s">
        <v>337</v>
      </c>
      <c r="DP157" s="37" t="s">
        <v>19</v>
      </c>
      <c r="DQ157" s="62" t="s">
        <v>472</v>
      </c>
      <c r="DR157" s="63"/>
      <c r="DS157" s="198"/>
      <c r="DT157" s="108"/>
      <c r="DU157" s="108"/>
      <c r="DV157" s="182"/>
      <c r="DW157" s="182"/>
      <c r="DX157" s="182"/>
      <c r="DY157" s="182"/>
      <c r="DZ157" s="182"/>
      <c r="EA157" s="182"/>
      <c r="EB157" s="2"/>
      <c r="EC157" s="2"/>
      <c r="ED157" s="2"/>
      <c r="EE157" s="2"/>
      <c r="EF157" s="149" t="s">
        <v>1582</v>
      </c>
      <c r="EG157" s="69" t="str">
        <f>image("https://www.pokebip.com/pages/icones/objets/ecaille-ocean.png", 3)</f>
        <v/>
      </c>
      <c r="EH157" s="69"/>
      <c r="EI157" s="69"/>
    </row>
    <row r="158" ht="15.75" customHeight="1">
      <c r="A158" s="1">
        <v>158.0</v>
      </c>
      <c r="B158" s="2" t="s">
        <v>1583</v>
      </c>
      <c r="C158" s="7"/>
      <c r="D158" s="140" t="s">
        <v>1584</v>
      </c>
      <c r="E158" s="5"/>
      <c r="F158" s="141"/>
      <c r="G158" s="7"/>
      <c r="H158" s="8" t="s">
        <v>1585</v>
      </c>
      <c r="I158" s="9" t="s">
        <v>1586</v>
      </c>
      <c r="J158" s="10" t="str">
        <f>image("https://archives.bulbagarden.net/media/upload/3/39/158MS6.png", 3)</f>
        <v/>
      </c>
      <c r="K158" s="11" t="s">
        <v>1584</v>
      </c>
      <c r="L158" s="12"/>
      <c r="M158" s="12"/>
      <c r="N158" s="12"/>
      <c r="O158" s="12"/>
      <c r="Q158" s="71">
        <v>50.0</v>
      </c>
      <c r="R158" s="72">
        <v>65.0</v>
      </c>
      <c r="S158" s="73">
        <v>64.0</v>
      </c>
      <c r="T158" s="74">
        <v>44.0</v>
      </c>
      <c r="U158" s="75">
        <v>48.0</v>
      </c>
      <c r="V158" s="76">
        <v>43.0</v>
      </c>
      <c r="W158" s="77">
        <v>314.0</v>
      </c>
      <c r="X158" s="21"/>
      <c r="Y158" s="71">
        <v>50.0</v>
      </c>
      <c r="Z158" s="72">
        <v>65.0</v>
      </c>
      <c r="AA158" s="73">
        <v>64.0</v>
      </c>
      <c r="AB158" s="74">
        <v>44.0</v>
      </c>
      <c r="AC158" s="75">
        <v>48.0</v>
      </c>
      <c r="AD158" s="76">
        <v>43.0</v>
      </c>
      <c r="AE158" s="77">
        <v>314.0</v>
      </c>
      <c r="AF158" s="21"/>
      <c r="AG158" s="71">
        <v>50.0</v>
      </c>
      <c r="AH158" s="72">
        <v>65.0</v>
      </c>
      <c r="AI158" s="73">
        <v>64.0</v>
      </c>
      <c r="AJ158" s="74">
        <v>44.0</v>
      </c>
      <c r="AK158" s="75">
        <v>48.0</v>
      </c>
      <c r="AL158" s="76">
        <v>43.0</v>
      </c>
      <c r="AM158" s="77">
        <v>314.0</v>
      </c>
      <c r="AN158" s="21"/>
      <c r="AO158" s="22">
        <v>50.0</v>
      </c>
      <c r="AP158" s="23">
        <v>65.0</v>
      </c>
      <c r="AQ158" s="23">
        <v>64.0</v>
      </c>
      <c r="AR158" s="23">
        <v>44.0</v>
      </c>
      <c r="AS158" s="23">
        <v>48.0</v>
      </c>
      <c r="AT158" s="23">
        <v>43.0</v>
      </c>
      <c r="AU158" s="24">
        <v>314.0</v>
      </c>
      <c r="AV158" s="21"/>
      <c r="AW158" s="78">
        <v>50.0</v>
      </c>
      <c r="AX158" s="124">
        <v>65.0</v>
      </c>
      <c r="AY158" s="124">
        <v>64.0</v>
      </c>
      <c r="AZ158" s="124">
        <v>44.0</v>
      </c>
      <c r="BA158" s="124">
        <v>48.0</v>
      </c>
      <c r="BB158" s="124">
        <v>43.0</v>
      </c>
      <c r="BC158" s="125">
        <v>314.0</v>
      </c>
      <c r="BE158" s="194" t="s">
        <v>325</v>
      </c>
      <c r="BF158" s="338"/>
      <c r="BG158" s="128"/>
      <c r="BI158" s="31" t="s">
        <v>5</v>
      </c>
      <c r="BJ158" s="32">
        <v>1.0</v>
      </c>
      <c r="BK158" s="32" t="s">
        <v>5</v>
      </c>
      <c r="BL158" s="32" t="s">
        <v>5</v>
      </c>
      <c r="BM158" s="32" t="s">
        <v>5</v>
      </c>
      <c r="BN158" s="33" t="s">
        <v>5</v>
      </c>
      <c r="BP158" s="85" t="s">
        <v>32</v>
      </c>
      <c r="BQ158" s="129"/>
      <c r="BS158" s="87" t="s">
        <v>32</v>
      </c>
      <c r="BT158" s="130"/>
      <c r="BU158" s="37" t="str">
        <f t="shared" si="1"/>
        <v>#NAME?</v>
      </c>
      <c r="BV158" s="89" t="s">
        <v>32</v>
      </c>
      <c r="BW158" s="37" t="str">
        <f t="shared" si="2"/>
        <v>#NAME?</v>
      </c>
      <c r="BX158" s="89"/>
      <c r="BY158" s="39"/>
      <c r="BZ158" s="39"/>
      <c r="CA158" s="40" t="s">
        <v>32</v>
      </c>
      <c r="CB158" s="41"/>
      <c r="CC158" s="90" t="s">
        <v>32</v>
      </c>
      <c r="CD158" s="91"/>
      <c r="CE158" s="21"/>
      <c r="CF158" s="92" t="s">
        <v>102</v>
      </c>
      <c r="CG158" s="93"/>
      <c r="CH158" s="21"/>
      <c r="CI158" s="175" t="s">
        <v>102</v>
      </c>
      <c r="CJ158" s="93"/>
      <c r="CK158" s="21"/>
      <c r="CL158" s="22" t="s">
        <v>1587</v>
      </c>
      <c r="CM158" s="12"/>
      <c r="CN158" s="48"/>
      <c r="CO158" s="96" t="s">
        <v>102</v>
      </c>
      <c r="CP158" s="21"/>
      <c r="CQ158" s="2" t="s">
        <v>1155</v>
      </c>
      <c r="CR158" s="97">
        <v>20.0</v>
      </c>
      <c r="CS158" s="2" t="s">
        <v>325</v>
      </c>
      <c r="CT158" s="98">
        <v>66.0</v>
      </c>
      <c r="CU158" s="2"/>
      <c r="CV158" s="52" t="s">
        <v>13</v>
      </c>
      <c r="CW158" s="53">
        <v>0.125</v>
      </c>
      <c r="CX158" s="2"/>
      <c r="CY158" s="333" t="s">
        <v>14</v>
      </c>
      <c r="CZ158" s="334" t="s">
        <v>106</v>
      </c>
      <c r="DA158" s="2"/>
      <c r="DB158" s="98">
        <v>45.0</v>
      </c>
      <c r="DC158" s="2"/>
      <c r="DD158" s="101" t="s">
        <v>15</v>
      </c>
      <c r="DE158" s="2"/>
      <c r="DF158" s="339" t="s">
        <v>1588</v>
      </c>
      <c r="DG158" s="336"/>
      <c r="DH158" s="336"/>
      <c r="DI158" s="21"/>
      <c r="DJ158" s="21"/>
      <c r="DK158" s="59" t="s">
        <v>1589</v>
      </c>
      <c r="DL158" s="37" t="s">
        <v>92</v>
      </c>
      <c r="DM158" s="37" t="str">
        <f t="shared" si="3"/>
        <v>#NAME?</v>
      </c>
      <c r="DN158" s="61"/>
      <c r="DO158" s="37">
        <v>40.0</v>
      </c>
      <c r="DP158" s="105">
        <v>1.0</v>
      </c>
      <c r="DQ158" s="62" t="s">
        <v>342</v>
      </c>
      <c r="DR158" s="155"/>
      <c r="DS158" s="251"/>
      <c r="DT158" s="108"/>
      <c r="DU158" s="108"/>
      <c r="DV158" s="252"/>
      <c r="DW158" s="252"/>
      <c r="DX158" s="252"/>
      <c r="DY158" s="252"/>
      <c r="DZ158" s="252"/>
      <c r="EA158" s="252"/>
      <c r="EB158" s="2"/>
      <c r="EC158" s="2"/>
      <c r="ED158" s="2"/>
      <c r="EE158" s="2"/>
      <c r="EF158" s="149" t="s">
        <v>1590</v>
      </c>
      <c r="EG158" s="69" t="str">
        <f>image("https://www.pokebip.com/pages/icones/objets/ecaille-draco.png", 3)</f>
        <v/>
      </c>
      <c r="EH158" s="69"/>
      <c r="EI158" s="69"/>
    </row>
    <row r="159" ht="15.75" customHeight="1">
      <c r="A159" s="1">
        <v>159.0</v>
      </c>
      <c r="B159" s="2" t="s">
        <v>1591</v>
      </c>
      <c r="C159" s="7"/>
      <c r="D159" s="140" t="s">
        <v>1592</v>
      </c>
      <c r="E159" s="5"/>
      <c r="F159" s="141"/>
      <c r="G159" s="7"/>
      <c r="H159" s="8" t="s">
        <v>1593</v>
      </c>
      <c r="I159" s="9" t="s">
        <v>1594</v>
      </c>
      <c r="J159" s="10" t="str">
        <f>image("https://archives.bulbagarden.net/media/upload/b/b9/159MS6.png", 3)</f>
        <v/>
      </c>
      <c r="K159" s="11" t="s">
        <v>1592</v>
      </c>
      <c r="L159" s="12"/>
      <c r="M159" s="12"/>
      <c r="N159" s="12"/>
      <c r="O159" s="12"/>
      <c r="Q159" s="71">
        <v>65.0</v>
      </c>
      <c r="R159" s="72">
        <v>80.0</v>
      </c>
      <c r="S159" s="73">
        <v>80.0</v>
      </c>
      <c r="T159" s="74">
        <v>59.0</v>
      </c>
      <c r="U159" s="75">
        <v>63.0</v>
      </c>
      <c r="V159" s="76">
        <v>58.0</v>
      </c>
      <c r="W159" s="77">
        <v>405.0</v>
      </c>
      <c r="X159" s="21"/>
      <c r="Y159" s="71">
        <v>65.0</v>
      </c>
      <c r="Z159" s="72">
        <v>80.0</v>
      </c>
      <c r="AA159" s="73">
        <v>80.0</v>
      </c>
      <c r="AB159" s="74">
        <v>59.0</v>
      </c>
      <c r="AC159" s="75">
        <v>63.0</v>
      </c>
      <c r="AD159" s="76">
        <v>58.0</v>
      </c>
      <c r="AE159" s="77">
        <v>405.0</v>
      </c>
      <c r="AF159" s="21"/>
      <c r="AG159" s="71">
        <v>65.0</v>
      </c>
      <c r="AH159" s="72">
        <v>80.0</v>
      </c>
      <c r="AI159" s="73">
        <v>80.0</v>
      </c>
      <c r="AJ159" s="74">
        <v>59.0</v>
      </c>
      <c r="AK159" s="75">
        <v>63.0</v>
      </c>
      <c r="AL159" s="76">
        <v>58.0</v>
      </c>
      <c r="AM159" s="77">
        <v>405.0</v>
      </c>
      <c r="AN159" s="21"/>
      <c r="AO159" s="22">
        <v>65.0</v>
      </c>
      <c r="AP159" s="23">
        <v>80.0</v>
      </c>
      <c r="AQ159" s="23">
        <v>80.0</v>
      </c>
      <c r="AR159" s="23">
        <v>59.0</v>
      </c>
      <c r="AS159" s="23">
        <v>63.0</v>
      </c>
      <c r="AT159" s="23">
        <v>58.0</v>
      </c>
      <c r="AU159" s="24">
        <v>405.0</v>
      </c>
      <c r="AV159" s="21"/>
      <c r="AW159" s="78">
        <v>65.0</v>
      </c>
      <c r="AX159" s="80">
        <v>80.0</v>
      </c>
      <c r="AY159" s="79">
        <v>80.0</v>
      </c>
      <c r="AZ159" s="79">
        <v>59.0</v>
      </c>
      <c r="BA159" s="79">
        <v>63.0</v>
      </c>
      <c r="BB159" s="79">
        <v>58.0</v>
      </c>
      <c r="BC159" s="81">
        <v>405.0</v>
      </c>
      <c r="BE159" s="194" t="s">
        <v>325</v>
      </c>
      <c r="BF159" s="340" t="s">
        <v>101</v>
      </c>
      <c r="BG159" s="93"/>
      <c r="BI159" s="31" t="s">
        <v>5</v>
      </c>
      <c r="BJ159" s="32">
        <v>1.0</v>
      </c>
      <c r="BK159" s="32">
        <v>1.0</v>
      </c>
      <c r="BL159" s="32" t="s">
        <v>5</v>
      </c>
      <c r="BM159" s="32" t="s">
        <v>5</v>
      </c>
      <c r="BN159" s="33" t="s">
        <v>5</v>
      </c>
      <c r="BP159" s="115" t="s">
        <v>32</v>
      </c>
      <c r="BQ159" s="93"/>
      <c r="BS159" s="115" t="s">
        <v>32</v>
      </c>
      <c r="BT159" s="133"/>
      <c r="BU159" s="37" t="str">
        <f t="shared" si="1"/>
        <v>#NAME?</v>
      </c>
      <c r="BV159" s="89" t="s">
        <v>32</v>
      </c>
      <c r="BW159" s="37" t="str">
        <f t="shared" si="2"/>
        <v>#NAME?</v>
      </c>
      <c r="BX159" s="89"/>
      <c r="BY159" s="134"/>
      <c r="BZ159" s="134"/>
      <c r="CA159" s="135" t="s">
        <v>32</v>
      </c>
      <c r="CB159" s="136"/>
      <c r="CC159" s="90" t="s">
        <v>32</v>
      </c>
      <c r="CD159" s="137"/>
      <c r="CE159" s="21"/>
      <c r="CF159" s="92" t="s">
        <v>102</v>
      </c>
      <c r="CG159" s="93"/>
      <c r="CH159" s="21"/>
      <c r="CI159" s="92" t="s">
        <v>102</v>
      </c>
      <c r="CJ159" s="93"/>
      <c r="CK159" s="21"/>
      <c r="CL159" s="22" t="s">
        <v>1587</v>
      </c>
      <c r="CM159" s="12"/>
      <c r="CN159" s="48"/>
      <c r="CO159" s="96" t="s">
        <v>102</v>
      </c>
      <c r="CP159" s="21"/>
      <c r="CQ159" s="2" t="s">
        <v>1222</v>
      </c>
      <c r="CR159" s="97">
        <v>40.0</v>
      </c>
      <c r="CS159" s="2" t="s">
        <v>1595</v>
      </c>
      <c r="CT159" s="98">
        <v>143.0</v>
      </c>
      <c r="CU159" s="2"/>
      <c r="CV159" s="52" t="s">
        <v>13</v>
      </c>
      <c r="CW159" s="53">
        <v>0.125</v>
      </c>
      <c r="CX159" s="2"/>
      <c r="CY159" s="118" t="s">
        <v>14</v>
      </c>
      <c r="CZ159" s="119" t="s">
        <v>106</v>
      </c>
      <c r="DA159" s="2"/>
      <c r="DB159" s="98">
        <v>45.0</v>
      </c>
      <c r="DC159" s="2"/>
      <c r="DD159" s="101" t="s">
        <v>15</v>
      </c>
      <c r="DE159" s="2"/>
      <c r="DF159" s="120" t="s">
        <v>1596</v>
      </c>
      <c r="DG159" s="121"/>
      <c r="DH159" s="121"/>
      <c r="DI159" s="2"/>
      <c r="DJ159" s="2"/>
      <c r="DK159" s="59" t="s">
        <v>1597</v>
      </c>
      <c r="DL159" s="37" t="s">
        <v>156</v>
      </c>
      <c r="DM159" s="37" t="str">
        <f t="shared" si="3"/>
        <v>#NAME?</v>
      </c>
      <c r="DN159" s="61"/>
      <c r="DO159" s="37" t="s">
        <v>917</v>
      </c>
      <c r="DP159" s="105">
        <v>1.0</v>
      </c>
      <c r="DQ159" s="62" t="s">
        <v>49</v>
      </c>
      <c r="DR159" s="63"/>
      <c r="DS159" s="198"/>
      <c r="DT159" s="108"/>
      <c r="DU159" s="108"/>
      <c r="DV159" s="182"/>
      <c r="DW159" s="182"/>
      <c r="DX159" s="182"/>
      <c r="DY159" s="182"/>
      <c r="DZ159" s="182"/>
      <c r="EA159" s="182"/>
      <c r="EB159" s="2"/>
      <c r="EC159" s="2"/>
      <c r="ED159" s="2"/>
      <c r="EE159" s="2"/>
      <c r="EF159" s="149" t="s">
        <v>1598</v>
      </c>
      <c r="EG159" s="69" t="str">
        <f>image("https://www.pokebip.com/pages/icones/objets/electriseur.png", 3)</f>
        <v/>
      </c>
      <c r="EH159" s="69"/>
      <c r="EI159" s="69"/>
    </row>
    <row r="160" ht="15.75" customHeight="1">
      <c r="A160" s="1">
        <v>160.0</v>
      </c>
      <c r="B160" s="2" t="s">
        <v>1599</v>
      </c>
      <c r="C160" s="7"/>
      <c r="D160" s="140" t="s">
        <v>1600</v>
      </c>
      <c r="E160" s="5"/>
      <c r="F160" s="141"/>
      <c r="G160" s="7"/>
      <c r="H160" s="8" t="s">
        <v>1601</v>
      </c>
      <c r="I160" s="9" t="s">
        <v>1602</v>
      </c>
      <c r="J160" s="10" t="str">
        <f>image("https://archives.bulbagarden.net/media/upload/9/99/160MS6.png", 3)</f>
        <v/>
      </c>
      <c r="K160" s="11" t="s">
        <v>1600</v>
      </c>
      <c r="L160" s="12"/>
      <c r="M160" s="12"/>
      <c r="N160" s="12"/>
      <c r="O160" s="12"/>
      <c r="Q160" s="71">
        <v>85.0</v>
      </c>
      <c r="R160" s="72">
        <v>105.0</v>
      </c>
      <c r="S160" s="73">
        <v>100.0</v>
      </c>
      <c r="T160" s="74">
        <v>79.0</v>
      </c>
      <c r="U160" s="75">
        <v>83.0</v>
      </c>
      <c r="V160" s="76">
        <v>78.0</v>
      </c>
      <c r="W160" s="77">
        <v>530.0</v>
      </c>
      <c r="X160" s="21"/>
      <c r="Y160" s="71">
        <v>85.0</v>
      </c>
      <c r="Z160" s="72">
        <v>105.0</v>
      </c>
      <c r="AA160" s="73">
        <v>100.0</v>
      </c>
      <c r="AB160" s="74">
        <v>79.0</v>
      </c>
      <c r="AC160" s="75">
        <v>83.0</v>
      </c>
      <c r="AD160" s="76">
        <v>78.0</v>
      </c>
      <c r="AE160" s="77">
        <v>530.0</v>
      </c>
      <c r="AF160" s="21"/>
      <c r="AG160" s="71">
        <v>85.0</v>
      </c>
      <c r="AH160" s="109">
        <v>110.0</v>
      </c>
      <c r="AI160" s="73">
        <v>100.0</v>
      </c>
      <c r="AJ160" s="74">
        <v>79.0</v>
      </c>
      <c r="AK160" s="75">
        <v>83.0</v>
      </c>
      <c r="AL160" s="76">
        <v>78.0</v>
      </c>
      <c r="AM160" s="110">
        <v>535.0</v>
      </c>
      <c r="AN160" s="21"/>
      <c r="AO160" s="22">
        <v>85.0</v>
      </c>
      <c r="AP160" s="23" t="s">
        <v>40</v>
      </c>
      <c r="AQ160" s="23">
        <v>100.0</v>
      </c>
      <c r="AR160" s="23">
        <v>79.0</v>
      </c>
      <c r="AS160" s="23">
        <v>83.0</v>
      </c>
      <c r="AT160" s="23">
        <v>78.0</v>
      </c>
      <c r="AU160" s="24" t="s">
        <v>41</v>
      </c>
      <c r="AV160" s="21"/>
      <c r="AW160" s="258">
        <v>85.0</v>
      </c>
      <c r="AX160" s="171">
        <v>110.0</v>
      </c>
      <c r="AY160" s="80">
        <v>100.0</v>
      </c>
      <c r="AZ160" s="79">
        <v>79.0</v>
      </c>
      <c r="BA160" s="79">
        <v>83.0</v>
      </c>
      <c r="BB160" s="80">
        <v>78.0</v>
      </c>
      <c r="BC160" s="111">
        <v>535.0</v>
      </c>
      <c r="BE160" s="172" t="s">
        <v>216</v>
      </c>
      <c r="BF160" s="113"/>
      <c r="BG160" s="236" t="s">
        <v>101</v>
      </c>
      <c r="BI160" s="31" t="s">
        <v>5</v>
      </c>
      <c r="BJ160" s="32">
        <v>2.0</v>
      </c>
      <c r="BK160" s="32">
        <v>1.0</v>
      </c>
      <c r="BL160" s="32" t="s">
        <v>5</v>
      </c>
      <c r="BM160" s="32" t="s">
        <v>5</v>
      </c>
      <c r="BN160" s="33" t="s">
        <v>5</v>
      </c>
      <c r="BP160" s="85" t="s">
        <v>32</v>
      </c>
      <c r="BQ160" s="129"/>
      <c r="BS160" s="87" t="s">
        <v>32</v>
      </c>
      <c r="BT160" s="130"/>
      <c r="BU160" s="37" t="str">
        <f t="shared" si="1"/>
        <v>#NAME?</v>
      </c>
      <c r="BV160" s="89" t="s">
        <v>32</v>
      </c>
      <c r="BW160" s="37" t="str">
        <f t="shared" si="2"/>
        <v>#NAME?</v>
      </c>
      <c r="BX160" s="89" t="s">
        <v>380</v>
      </c>
      <c r="BY160" s="39"/>
      <c r="BZ160" s="39"/>
      <c r="CA160" s="40" t="s">
        <v>1603</v>
      </c>
      <c r="CB160" s="41"/>
      <c r="CC160" s="37" t="s">
        <v>32</v>
      </c>
      <c r="CD160" s="139" t="s">
        <v>76</v>
      </c>
      <c r="CE160" s="21"/>
      <c r="CF160" s="92" t="s">
        <v>102</v>
      </c>
      <c r="CG160" s="93"/>
      <c r="CH160" s="21"/>
      <c r="CI160" s="92" t="s">
        <v>102</v>
      </c>
      <c r="CJ160" s="93"/>
      <c r="CK160" s="21"/>
      <c r="CL160" s="22" t="s">
        <v>1587</v>
      </c>
      <c r="CM160" s="12"/>
      <c r="CN160" s="48"/>
      <c r="CO160" s="96" t="s">
        <v>102</v>
      </c>
      <c r="CP160" s="21"/>
      <c r="CQ160" s="2" t="s">
        <v>1604</v>
      </c>
      <c r="CR160" s="97">
        <v>80.0</v>
      </c>
      <c r="CS160" s="2" t="s">
        <v>584</v>
      </c>
      <c r="CT160" s="98">
        <v>210.0</v>
      </c>
      <c r="CU160" s="2"/>
      <c r="CV160" s="52" t="s">
        <v>13</v>
      </c>
      <c r="CW160" s="53">
        <v>0.125</v>
      </c>
      <c r="CX160" s="2"/>
      <c r="CY160" s="333" t="s">
        <v>14</v>
      </c>
      <c r="CZ160" s="334" t="s">
        <v>106</v>
      </c>
      <c r="DA160" s="2"/>
      <c r="DB160" s="98">
        <v>45.0</v>
      </c>
      <c r="DC160" s="2"/>
      <c r="DD160" s="101" t="s">
        <v>15</v>
      </c>
      <c r="DE160" s="2"/>
      <c r="DF160" s="335" t="s">
        <v>1605</v>
      </c>
      <c r="DG160" s="336"/>
      <c r="DH160" s="336"/>
      <c r="DI160" s="2"/>
      <c r="DJ160" s="2"/>
      <c r="DK160" s="59" t="s">
        <v>1606</v>
      </c>
      <c r="DL160" s="37" t="s">
        <v>18</v>
      </c>
      <c r="DM160" s="37" t="str">
        <f t="shared" si="3"/>
        <v>#NAME?</v>
      </c>
      <c r="DN160" s="61"/>
      <c r="DO160" s="37">
        <v>140.0</v>
      </c>
      <c r="DP160" s="105">
        <v>0.9</v>
      </c>
      <c r="DQ160" s="62" t="s">
        <v>293</v>
      </c>
      <c r="DR160" s="199"/>
      <c r="DS160" s="244"/>
      <c r="DT160" s="108"/>
      <c r="DU160" s="108"/>
      <c r="DV160" s="200"/>
      <c r="DW160" s="200"/>
      <c r="DX160" s="200"/>
      <c r="DY160" s="200"/>
      <c r="DZ160" s="200"/>
      <c r="EA160" s="200"/>
      <c r="EB160" s="2"/>
      <c r="EC160" s="2"/>
      <c r="ED160" s="2"/>
      <c r="EE160" s="2"/>
      <c r="EF160" s="149" t="s">
        <v>1607</v>
      </c>
      <c r="EG160" s="69" t="str">
        <f>image("https://www.pokebip.com/pages/icones/objets/magmariseur.png", 3)</f>
        <v/>
      </c>
      <c r="EH160" s="69"/>
      <c r="EI160" s="69"/>
    </row>
    <row r="161" ht="15.75" customHeight="1">
      <c r="A161" s="1">
        <v>161.0</v>
      </c>
      <c r="B161" s="2" t="s">
        <v>1608</v>
      </c>
      <c r="C161" s="7"/>
      <c r="D161" s="167" t="s">
        <v>1609</v>
      </c>
      <c r="E161" s="5"/>
      <c r="F161" s="168"/>
      <c r="G161" s="7"/>
      <c r="H161" s="8" t="s">
        <v>1610</v>
      </c>
      <c r="I161" s="9" t="s">
        <v>1611</v>
      </c>
      <c r="J161" s="10" t="str">
        <f>image("https://archives.bulbagarden.net/media/upload/6/69/161MS6.png", 3)</f>
        <v/>
      </c>
      <c r="K161" s="11" t="s">
        <v>1609</v>
      </c>
      <c r="L161" s="12"/>
      <c r="M161" s="12"/>
      <c r="N161" s="12"/>
      <c r="O161" s="12"/>
      <c r="Q161" s="71">
        <v>35.0</v>
      </c>
      <c r="R161" s="72">
        <v>46.0</v>
      </c>
      <c r="S161" s="73">
        <v>34.0</v>
      </c>
      <c r="T161" s="74">
        <v>35.0</v>
      </c>
      <c r="U161" s="75">
        <v>45.0</v>
      </c>
      <c r="V161" s="76">
        <v>20.0</v>
      </c>
      <c r="W161" s="77">
        <v>215.0</v>
      </c>
      <c r="X161" s="21"/>
      <c r="Y161" s="71">
        <v>35.0</v>
      </c>
      <c r="Z161" s="72">
        <v>46.0</v>
      </c>
      <c r="AA161" s="73">
        <v>34.0</v>
      </c>
      <c r="AB161" s="74">
        <v>35.0</v>
      </c>
      <c r="AC161" s="75">
        <v>45.0</v>
      </c>
      <c r="AD161" s="76">
        <v>20.0</v>
      </c>
      <c r="AE161" s="77">
        <v>215.0</v>
      </c>
      <c r="AF161" s="21"/>
      <c r="AG161" s="261">
        <v>45.0</v>
      </c>
      <c r="AH161" s="162">
        <v>45.0</v>
      </c>
      <c r="AI161" s="109">
        <v>35.0</v>
      </c>
      <c r="AJ161" s="74">
        <v>35.0</v>
      </c>
      <c r="AK161" s="75">
        <v>45.0</v>
      </c>
      <c r="AL161" s="109">
        <v>40.0</v>
      </c>
      <c r="AM161" s="110">
        <v>245.0</v>
      </c>
      <c r="AN161" s="21"/>
      <c r="AO161" s="22" t="s">
        <v>1612</v>
      </c>
      <c r="AP161" s="23" t="s">
        <v>174</v>
      </c>
      <c r="AQ161" s="23" t="s">
        <v>509</v>
      </c>
      <c r="AR161" s="23">
        <v>35.0</v>
      </c>
      <c r="AS161" s="23">
        <v>45.0</v>
      </c>
      <c r="AT161" s="23" t="s">
        <v>350</v>
      </c>
      <c r="AU161" s="24" t="s">
        <v>1613</v>
      </c>
      <c r="AV161" s="21"/>
      <c r="AW161" s="187">
        <v>45.0</v>
      </c>
      <c r="AX161" s="163">
        <v>45.0</v>
      </c>
      <c r="AY161" s="164">
        <v>35.0</v>
      </c>
      <c r="AZ161" s="79">
        <v>35.0</v>
      </c>
      <c r="BA161" s="79">
        <v>45.0</v>
      </c>
      <c r="BB161" s="171">
        <v>40.0</v>
      </c>
      <c r="BC161" s="341">
        <v>245.0</v>
      </c>
      <c r="BE161" s="194" t="s">
        <v>325</v>
      </c>
      <c r="BF161" s="184"/>
      <c r="BG161" s="128"/>
      <c r="BI161" s="31" t="s">
        <v>5</v>
      </c>
      <c r="BJ161" s="32">
        <v>1.0</v>
      </c>
      <c r="BK161" s="32" t="s">
        <v>5</v>
      </c>
      <c r="BL161" s="32" t="s">
        <v>5</v>
      </c>
      <c r="BM161" s="32" t="s">
        <v>5</v>
      </c>
      <c r="BN161" s="33" t="s">
        <v>5</v>
      </c>
      <c r="BP161" s="115" t="s">
        <v>156</v>
      </c>
      <c r="BQ161" s="93"/>
      <c r="BS161" s="115" t="s">
        <v>156</v>
      </c>
      <c r="BT161" s="133"/>
      <c r="BU161" s="37" t="str">
        <f t="shared" si="1"/>
        <v>#NAME?</v>
      </c>
      <c r="BV161" s="89" t="s">
        <v>156</v>
      </c>
      <c r="BW161" s="37" t="str">
        <f t="shared" si="2"/>
        <v>#NAME?</v>
      </c>
      <c r="BX161" s="89"/>
      <c r="BY161" s="144"/>
      <c r="BZ161" s="144"/>
      <c r="CA161" s="145" t="s">
        <v>156</v>
      </c>
      <c r="CB161" s="146"/>
      <c r="CC161" s="90" t="s">
        <v>156</v>
      </c>
      <c r="CD161" s="147"/>
      <c r="CE161" s="21"/>
      <c r="CF161" s="92" t="s">
        <v>146</v>
      </c>
      <c r="CG161" s="93" t="s">
        <v>235</v>
      </c>
      <c r="CH161" s="21"/>
      <c r="CI161" s="92" t="s">
        <v>146</v>
      </c>
      <c r="CJ161" s="93" t="s">
        <v>235</v>
      </c>
      <c r="CK161" s="21"/>
      <c r="CL161" s="22" t="s">
        <v>146</v>
      </c>
      <c r="CM161" s="12"/>
      <c r="CN161" s="48"/>
      <c r="CO161" s="96" t="s">
        <v>235</v>
      </c>
      <c r="CP161" s="21"/>
      <c r="CQ161" s="2" t="s">
        <v>355</v>
      </c>
      <c r="CR161" s="97">
        <v>20.0</v>
      </c>
      <c r="CS161" s="2" t="s">
        <v>325</v>
      </c>
      <c r="CT161" s="98">
        <v>57.0</v>
      </c>
      <c r="CU161" s="2"/>
      <c r="CV161" s="52" t="s">
        <v>149</v>
      </c>
      <c r="CW161" s="52" t="s">
        <v>149</v>
      </c>
      <c r="CX161" s="2"/>
      <c r="CY161" s="119" t="s">
        <v>277</v>
      </c>
      <c r="CZ161" s="160"/>
      <c r="DA161" s="2"/>
      <c r="DB161" s="98">
        <v>255.0</v>
      </c>
      <c r="DC161" s="2"/>
      <c r="DD161" s="101" t="s">
        <v>150</v>
      </c>
      <c r="DE161" s="2"/>
      <c r="DF161" s="148" t="s">
        <v>1614</v>
      </c>
      <c r="DG161" s="121"/>
      <c r="DH161" s="121"/>
      <c r="DI161" s="21"/>
      <c r="DJ161" s="21"/>
      <c r="DK161" s="59" t="s">
        <v>1615</v>
      </c>
      <c r="DL161" s="37" t="s">
        <v>64</v>
      </c>
      <c r="DM161" s="37" t="str">
        <f t="shared" si="3"/>
        <v>#NAME?</v>
      </c>
      <c r="DN161" s="61"/>
      <c r="DO161" s="37">
        <v>85.0</v>
      </c>
      <c r="DP161" s="105">
        <v>0.9</v>
      </c>
      <c r="DQ161" s="62" t="s">
        <v>93</v>
      </c>
      <c r="DR161" s="63"/>
      <c r="DS161" s="198"/>
      <c r="DT161" s="108"/>
      <c r="DU161" s="108"/>
      <c r="DV161" s="182"/>
      <c r="DW161" s="182"/>
      <c r="DX161" s="182"/>
      <c r="DY161" s="182"/>
      <c r="DZ161" s="182"/>
      <c r="EA161" s="182"/>
      <c r="EB161" s="2"/>
      <c r="EC161" s="2"/>
      <c r="ED161" s="2"/>
      <c r="EE161" s="2"/>
      <c r="EF161" s="149" t="s">
        <v>1616</v>
      </c>
      <c r="EG161" s="69" t="str">
        <f>image("https://www.pokebip.com/pages/icones/objets/protecteur.png", 3)</f>
        <v/>
      </c>
      <c r="EH161" s="69"/>
      <c r="EI161" s="69"/>
    </row>
    <row r="162" ht="15.75" customHeight="1">
      <c r="A162" s="1">
        <v>162.0</v>
      </c>
      <c r="B162" s="2" t="s">
        <v>1617</v>
      </c>
      <c r="C162" s="7"/>
      <c r="D162" s="167" t="s">
        <v>1618</v>
      </c>
      <c r="E162" s="5"/>
      <c r="F162" s="168"/>
      <c r="G162" s="7"/>
      <c r="H162" s="8" t="s">
        <v>1619</v>
      </c>
      <c r="I162" s="9" t="s">
        <v>1620</v>
      </c>
      <c r="J162" s="10" t="str">
        <f>image("https://archives.bulbagarden.net/media/upload/4/47/162MS6.png", 3)</f>
        <v/>
      </c>
      <c r="K162" s="11" t="s">
        <v>1618</v>
      </c>
      <c r="L162" s="12"/>
      <c r="M162" s="12"/>
      <c r="N162" s="12"/>
      <c r="O162" s="12"/>
      <c r="Q162" s="71">
        <v>85.0</v>
      </c>
      <c r="R162" s="72">
        <v>76.0</v>
      </c>
      <c r="S162" s="73">
        <v>64.0</v>
      </c>
      <c r="T162" s="74">
        <v>45.0</v>
      </c>
      <c r="U162" s="75">
        <v>55.0</v>
      </c>
      <c r="V162" s="76">
        <v>90.0</v>
      </c>
      <c r="W162" s="77">
        <v>415.0</v>
      </c>
      <c r="X162" s="21"/>
      <c r="Y162" s="71">
        <v>85.0</v>
      </c>
      <c r="Z162" s="72">
        <v>76.0</v>
      </c>
      <c r="AA162" s="73">
        <v>64.0</v>
      </c>
      <c r="AB162" s="74">
        <v>45.0</v>
      </c>
      <c r="AC162" s="75">
        <v>55.0</v>
      </c>
      <c r="AD162" s="76">
        <v>90.0</v>
      </c>
      <c r="AE162" s="77">
        <v>415.0</v>
      </c>
      <c r="AF162" s="21"/>
      <c r="AG162" s="261">
        <v>95.0</v>
      </c>
      <c r="AH162" s="109">
        <v>85.0</v>
      </c>
      <c r="AI162" s="109">
        <v>65.0</v>
      </c>
      <c r="AJ162" s="74">
        <v>45.0</v>
      </c>
      <c r="AK162" s="75">
        <v>55.0</v>
      </c>
      <c r="AL162" s="109">
        <v>105.0</v>
      </c>
      <c r="AM162" s="110">
        <v>450.0</v>
      </c>
      <c r="AN162" s="21"/>
      <c r="AO162" s="22" t="s">
        <v>215</v>
      </c>
      <c r="AP162" s="23" t="s">
        <v>1621</v>
      </c>
      <c r="AQ162" s="23" t="s">
        <v>247</v>
      </c>
      <c r="AR162" s="23">
        <v>45.0</v>
      </c>
      <c r="AS162" s="23">
        <v>55.0</v>
      </c>
      <c r="AT162" s="23" t="s">
        <v>1622</v>
      </c>
      <c r="AU162" s="24" t="s">
        <v>176</v>
      </c>
      <c r="AV162" s="21"/>
      <c r="AW162" s="111">
        <v>95.0</v>
      </c>
      <c r="AX162" s="227">
        <v>85.0</v>
      </c>
      <c r="AY162" s="227">
        <v>65.0</v>
      </c>
      <c r="AZ162" s="79">
        <v>45.0</v>
      </c>
      <c r="BA162" s="79">
        <v>55.0</v>
      </c>
      <c r="BB162" s="111">
        <v>105.0</v>
      </c>
      <c r="BC162" s="111">
        <v>450.0</v>
      </c>
      <c r="BE162" s="176" t="s">
        <v>248</v>
      </c>
      <c r="BF162" s="113"/>
      <c r="BG162" s="129"/>
      <c r="BI162" s="31" t="s">
        <v>5</v>
      </c>
      <c r="BJ162" s="32" t="s">
        <v>5</v>
      </c>
      <c r="BK162" s="32" t="s">
        <v>5</v>
      </c>
      <c r="BL162" s="32" t="s">
        <v>5</v>
      </c>
      <c r="BM162" s="32" t="s">
        <v>5</v>
      </c>
      <c r="BN162" s="33">
        <v>2.0</v>
      </c>
      <c r="BP162" s="85" t="s">
        <v>156</v>
      </c>
      <c r="BQ162" s="129"/>
      <c r="BS162" s="87" t="s">
        <v>156</v>
      </c>
      <c r="BT162" s="130"/>
      <c r="BU162" s="37" t="str">
        <f t="shared" si="1"/>
        <v>#NAME?</v>
      </c>
      <c r="BV162" s="89" t="s">
        <v>156</v>
      </c>
      <c r="BW162" s="37" t="str">
        <f t="shared" si="2"/>
        <v>#NAME?</v>
      </c>
      <c r="BX162" s="89"/>
      <c r="BY162" s="39"/>
      <c r="BZ162" s="39"/>
      <c r="CA162" s="40" t="s">
        <v>156</v>
      </c>
      <c r="CB162" s="41"/>
      <c r="CC162" s="90" t="s">
        <v>156</v>
      </c>
      <c r="CD162" s="91"/>
      <c r="CE162" s="21"/>
      <c r="CF162" s="92" t="s">
        <v>146</v>
      </c>
      <c r="CG162" s="93" t="s">
        <v>235</v>
      </c>
      <c r="CH162" s="21"/>
      <c r="CI162" s="177" t="s">
        <v>146</v>
      </c>
      <c r="CJ162" s="93" t="s">
        <v>235</v>
      </c>
      <c r="CK162" s="21"/>
      <c r="CL162" s="22" t="s">
        <v>1623</v>
      </c>
      <c r="CM162" s="12"/>
      <c r="CN162" s="48"/>
      <c r="CO162" s="96" t="s">
        <v>146</v>
      </c>
      <c r="CP162" s="21"/>
      <c r="CQ162" s="2" t="s">
        <v>1624</v>
      </c>
      <c r="CR162" s="97">
        <v>60.0</v>
      </c>
      <c r="CS162" s="2" t="s">
        <v>248</v>
      </c>
      <c r="CT162" s="98">
        <v>116.0</v>
      </c>
      <c r="CU162" s="2"/>
      <c r="CV162" s="52" t="s">
        <v>149</v>
      </c>
      <c r="CW162" s="52" t="s">
        <v>149</v>
      </c>
      <c r="CX162" s="2"/>
      <c r="CY162" s="334" t="s">
        <v>277</v>
      </c>
      <c r="CZ162" s="337"/>
      <c r="DA162" s="2"/>
      <c r="DB162" s="98">
        <v>90.0</v>
      </c>
      <c r="DC162" s="2"/>
      <c r="DD162" s="101" t="s">
        <v>150</v>
      </c>
      <c r="DE162" s="2"/>
      <c r="DF162" s="335" t="s">
        <v>1625</v>
      </c>
      <c r="DG162" s="336"/>
      <c r="DH162" s="336"/>
      <c r="DI162" s="2"/>
      <c r="DJ162" s="2"/>
      <c r="DK162" s="59" t="s">
        <v>1626</v>
      </c>
      <c r="DL162" s="37" t="s">
        <v>156</v>
      </c>
      <c r="DM162" s="37" t="str">
        <f t="shared" si="3"/>
        <v>#NAME?</v>
      </c>
      <c r="DN162" s="61"/>
      <c r="DO162" s="37">
        <v>80.0</v>
      </c>
      <c r="DP162" s="105">
        <v>0.75</v>
      </c>
      <c r="DQ162" s="62" t="s">
        <v>20</v>
      </c>
      <c r="DR162" s="63"/>
      <c r="DS162" s="198"/>
      <c r="DT162" s="108"/>
      <c r="DU162" s="108"/>
      <c r="DV162" s="182"/>
      <c r="DW162" s="182"/>
      <c r="DX162" s="182"/>
      <c r="DY162" s="182"/>
      <c r="DZ162" s="182"/>
      <c r="EA162" s="182"/>
      <c r="EB162" s="21"/>
      <c r="EC162" s="21"/>
      <c r="ED162" s="21"/>
      <c r="EE162" s="21"/>
      <c r="EF162" s="149" t="s">
        <v>1627</v>
      </c>
      <c r="EG162" s="69" t="str">
        <f>image("https://www.pokebip.com/pages/icones/objets/ameliorator.png", 3)</f>
        <v/>
      </c>
      <c r="EH162" s="69"/>
      <c r="EI162" s="69"/>
    </row>
    <row r="163" ht="15.75" customHeight="1">
      <c r="A163" s="1">
        <v>163.0</v>
      </c>
      <c r="B163" s="2" t="s">
        <v>1628</v>
      </c>
      <c r="C163" s="7"/>
      <c r="D163" s="167" t="s">
        <v>1629</v>
      </c>
      <c r="E163" s="5"/>
      <c r="F163" s="168"/>
      <c r="G163" s="7"/>
      <c r="H163" s="8" t="s">
        <v>1630</v>
      </c>
      <c r="I163" s="9" t="s">
        <v>1631</v>
      </c>
      <c r="J163" s="10" t="str">
        <f>image("https://archives.bulbagarden.net/media/upload/9/9b/163MS6.png", 3)</f>
        <v/>
      </c>
      <c r="K163" s="11" t="s">
        <v>1629</v>
      </c>
      <c r="L163" s="12"/>
      <c r="M163" s="12"/>
      <c r="N163" s="12"/>
      <c r="O163" s="12"/>
      <c r="Q163" s="71">
        <v>60.0</v>
      </c>
      <c r="R163" s="72">
        <v>30.0</v>
      </c>
      <c r="S163" s="73">
        <v>30.0</v>
      </c>
      <c r="T163" s="74">
        <v>36.0</v>
      </c>
      <c r="U163" s="75">
        <v>56.0</v>
      </c>
      <c r="V163" s="76">
        <v>50.0</v>
      </c>
      <c r="W163" s="77">
        <v>262.0</v>
      </c>
      <c r="X163" s="21"/>
      <c r="Y163" s="71">
        <v>60.0</v>
      </c>
      <c r="Z163" s="72">
        <v>30.0</v>
      </c>
      <c r="AA163" s="73">
        <v>30.0</v>
      </c>
      <c r="AB163" s="74">
        <v>36.0</v>
      </c>
      <c r="AC163" s="75">
        <v>56.0</v>
      </c>
      <c r="AD163" s="76">
        <v>50.0</v>
      </c>
      <c r="AE163" s="77">
        <v>262.0</v>
      </c>
      <c r="AF163" s="21"/>
      <c r="AG163" s="71">
        <v>60.0</v>
      </c>
      <c r="AH163" s="72">
        <v>30.0</v>
      </c>
      <c r="AI163" s="73">
        <v>30.0</v>
      </c>
      <c r="AJ163" s="74">
        <v>36.0</v>
      </c>
      <c r="AK163" s="75">
        <v>56.0</v>
      </c>
      <c r="AL163" s="76">
        <v>50.0</v>
      </c>
      <c r="AM163" s="77">
        <v>262.0</v>
      </c>
      <c r="AN163" s="21"/>
      <c r="AO163" s="22">
        <v>60.0</v>
      </c>
      <c r="AP163" s="23">
        <v>30.0</v>
      </c>
      <c r="AQ163" s="23">
        <v>30.0</v>
      </c>
      <c r="AR163" s="23">
        <v>36.0</v>
      </c>
      <c r="AS163" s="23">
        <v>56.0</v>
      </c>
      <c r="AT163" s="23">
        <v>50.0</v>
      </c>
      <c r="AU163" s="24">
        <v>262.0</v>
      </c>
      <c r="AV163" s="21"/>
      <c r="AW163" s="265">
        <v>60.0</v>
      </c>
      <c r="AX163" s="182">
        <v>30.0</v>
      </c>
      <c r="AY163" s="182">
        <v>30.0</v>
      </c>
      <c r="AZ163" s="80">
        <v>36.0</v>
      </c>
      <c r="BA163" s="80">
        <v>56.0</v>
      </c>
      <c r="BB163" s="182">
        <v>50.0</v>
      </c>
      <c r="BC163" s="183">
        <v>262.0</v>
      </c>
      <c r="BE163" s="151" t="s">
        <v>144</v>
      </c>
      <c r="BF163" s="184"/>
      <c r="BG163" s="128"/>
      <c r="BI163" s="31">
        <v>1.0</v>
      </c>
      <c r="BJ163" s="32" t="s">
        <v>5</v>
      </c>
      <c r="BK163" s="32" t="s">
        <v>5</v>
      </c>
      <c r="BL163" s="32" t="s">
        <v>5</v>
      </c>
      <c r="BM163" s="32" t="s">
        <v>5</v>
      </c>
      <c r="BN163" s="33" t="s">
        <v>5</v>
      </c>
      <c r="BP163" s="115" t="s">
        <v>156</v>
      </c>
      <c r="BQ163" s="116" t="s">
        <v>18</v>
      </c>
      <c r="BS163" s="115" t="s">
        <v>156</v>
      </c>
      <c r="BT163" s="117" t="s">
        <v>18</v>
      </c>
      <c r="BU163" s="37" t="str">
        <f t="shared" si="1"/>
        <v>#NAME?</v>
      </c>
      <c r="BV163" s="89" t="s">
        <v>156</v>
      </c>
      <c r="BW163" s="37" t="str">
        <f t="shared" si="2"/>
        <v>#NAME?</v>
      </c>
      <c r="BX163" s="89" t="s">
        <v>18</v>
      </c>
      <c r="BY163" s="134"/>
      <c r="BZ163" s="134"/>
      <c r="CA163" s="135" t="s">
        <v>234</v>
      </c>
      <c r="CB163" s="136"/>
      <c r="CC163" s="212" t="s">
        <v>156</v>
      </c>
      <c r="CD163" s="91" t="s">
        <v>18</v>
      </c>
      <c r="CE163" s="2"/>
      <c r="CF163" s="92" t="s">
        <v>1032</v>
      </c>
      <c r="CG163" s="93" t="s">
        <v>235</v>
      </c>
      <c r="CH163" s="2"/>
      <c r="CI163" s="46" t="s">
        <v>179</v>
      </c>
      <c r="CJ163" s="95" t="s">
        <v>1032</v>
      </c>
      <c r="CK163" s="2"/>
      <c r="CL163" s="22" t="s">
        <v>180</v>
      </c>
      <c r="CM163" s="12"/>
      <c r="CN163" s="48"/>
      <c r="CO163" s="96" t="s">
        <v>1032</v>
      </c>
      <c r="CP163" s="2"/>
      <c r="CQ163" s="2" t="s">
        <v>1632</v>
      </c>
      <c r="CR163" s="97">
        <v>40.0</v>
      </c>
      <c r="CS163" s="2" t="s">
        <v>144</v>
      </c>
      <c r="CT163" s="98">
        <v>58.0</v>
      </c>
      <c r="CU163" s="2"/>
      <c r="CV163" s="52" t="s">
        <v>149</v>
      </c>
      <c r="CW163" s="52" t="s">
        <v>149</v>
      </c>
      <c r="CX163" s="2"/>
      <c r="CY163" s="119" t="s">
        <v>18</v>
      </c>
      <c r="CZ163" s="160"/>
      <c r="DA163" s="2"/>
      <c r="DB163" s="98">
        <v>255.0</v>
      </c>
      <c r="DC163" s="2"/>
      <c r="DD163" s="101" t="s">
        <v>150</v>
      </c>
      <c r="DE163" s="2"/>
      <c r="DF163" s="148" t="s">
        <v>1633</v>
      </c>
      <c r="DG163" s="121"/>
      <c r="DH163" s="121"/>
      <c r="DI163" s="21"/>
      <c r="DJ163" s="21"/>
      <c r="DK163" s="59" t="s">
        <v>1634</v>
      </c>
      <c r="DL163" s="37" t="s">
        <v>156</v>
      </c>
      <c r="DM163" s="37" t="str">
        <f t="shared" si="3"/>
        <v>#NAME?</v>
      </c>
      <c r="DN163" s="61"/>
      <c r="DO163" s="37">
        <v>70.0</v>
      </c>
      <c r="DP163" s="105">
        <v>1.0</v>
      </c>
      <c r="DQ163" s="62" t="s">
        <v>20</v>
      </c>
      <c r="DR163" s="63"/>
      <c r="DS163" s="198"/>
      <c r="DT163" s="108"/>
      <c r="DU163" s="108"/>
      <c r="DV163" s="182"/>
      <c r="DW163" s="182"/>
      <c r="DX163" s="182"/>
      <c r="DY163" s="182"/>
      <c r="DZ163" s="182"/>
      <c r="EA163" s="182"/>
      <c r="EB163" s="2"/>
      <c r="EC163" s="2"/>
      <c r="ED163" s="2"/>
      <c r="EE163" s="2"/>
      <c r="EF163" s="149" t="s">
        <v>1635</v>
      </c>
      <c r="EG163" s="69" t="str">
        <f>image("https://www.pokebip.com/pages/icones/objets/cd-douteux.png", 3)</f>
        <v/>
      </c>
      <c r="EH163" s="69"/>
      <c r="EI163" s="69"/>
    </row>
    <row r="164" ht="15.75" customHeight="1">
      <c r="A164" s="1">
        <v>164.0</v>
      </c>
      <c r="B164" s="2" t="s">
        <v>1636</v>
      </c>
      <c r="C164" s="7"/>
      <c r="D164" s="167" t="s">
        <v>1637</v>
      </c>
      <c r="E164" s="5"/>
      <c r="F164" s="168"/>
      <c r="G164" s="7"/>
      <c r="H164" s="8" t="s">
        <v>1638</v>
      </c>
      <c r="I164" s="9" t="s">
        <v>1639</v>
      </c>
      <c r="J164" s="10" t="str">
        <f>image("https://archives.bulbagarden.net/media/upload/b/b5/164MS6.png", 3)</f>
        <v/>
      </c>
      <c r="K164" s="11" t="s">
        <v>1637</v>
      </c>
      <c r="L164" s="12"/>
      <c r="M164" s="12"/>
      <c r="N164" s="12"/>
      <c r="O164" s="12"/>
      <c r="Q164" s="71">
        <v>100.0</v>
      </c>
      <c r="R164" s="72">
        <v>50.0</v>
      </c>
      <c r="S164" s="73">
        <v>50.0</v>
      </c>
      <c r="T164" s="74">
        <v>76.0</v>
      </c>
      <c r="U164" s="75">
        <v>96.0</v>
      </c>
      <c r="V164" s="76">
        <v>70.0</v>
      </c>
      <c r="W164" s="77">
        <v>442.0</v>
      </c>
      <c r="X164" s="21"/>
      <c r="Y164" s="71">
        <v>100.0</v>
      </c>
      <c r="Z164" s="72">
        <v>50.0</v>
      </c>
      <c r="AA164" s="73">
        <v>50.0</v>
      </c>
      <c r="AB164" s="109">
        <v>86.0</v>
      </c>
      <c r="AC164" s="75">
        <v>96.0</v>
      </c>
      <c r="AD164" s="76">
        <v>70.0</v>
      </c>
      <c r="AE164" s="110">
        <v>452.0</v>
      </c>
      <c r="AF164" s="21"/>
      <c r="AG164" s="71">
        <v>100.0</v>
      </c>
      <c r="AH164" s="162">
        <v>40.0</v>
      </c>
      <c r="AI164" s="162">
        <v>40.0</v>
      </c>
      <c r="AJ164" s="109">
        <v>106.0</v>
      </c>
      <c r="AK164" s="109">
        <v>116.0</v>
      </c>
      <c r="AL164" s="162">
        <v>60.0</v>
      </c>
      <c r="AM164" s="110">
        <v>462.0</v>
      </c>
      <c r="AN164" s="21"/>
      <c r="AO164" s="22">
        <v>100.0</v>
      </c>
      <c r="AP164" s="23" t="s">
        <v>214</v>
      </c>
      <c r="AQ164" s="23" t="s">
        <v>214</v>
      </c>
      <c r="AR164" s="23" t="s">
        <v>1640</v>
      </c>
      <c r="AS164" s="23" t="s">
        <v>1641</v>
      </c>
      <c r="AT164" s="23" t="s">
        <v>257</v>
      </c>
      <c r="AU164" s="24" t="s">
        <v>314</v>
      </c>
      <c r="AV164" s="21"/>
      <c r="AW164" s="78">
        <v>100.0</v>
      </c>
      <c r="AX164" s="163">
        <v>40.0</v>
      </c>
      <c r="AY164" s="163">
        <v>40.0</v>
      </c>
      <c r="AZ164" s="342">
        <v>106.0</v>
      </c>
      <c r="BA164" s="187">
        <v>116.0</v>
      </c>
      <c r="BB164" s="163">
        <v>60.0</v>
      </c>
      <c r="BC164" s="164">
        <v>462.0</v>
      </c>
      <c r="BE164" s="203" t="s">
        <v>409</v>
      </c>
      <c r="BF164" s="113"/>
      <c r="BG164" s="129"/>
      <c r="BI164" s="31">
        <v>2.0</v>
      </c>
      <c r="BJ164" s="32" t="s">
        <v>5</v>
      </c>
      <c r="BK164" s="32" t="s">
        <v>5</v>
      </c>
      <c r="BL164" s="32" t="s">
        <v>5</v>
      </c>
      <c r="BM164" s="32" t="s">
        <v>5</v>
      </c>
      <c r="BN164" s="33" t="s">
        <v>5</v>
      </c>
      <c r="BP164" s="85" t="s">
        <v>156</v>
      </c>
      <c r="BQ164" s="86" t="s">
        <v>18</v>
      </c>
      <c r="BS164" s="87" t="s">
        <v>156</v>
      </c>
      <c r="BT164" s="88" t="s">
        <v>18</v>
      </c>
      <c r="BU164" s="37" t="str">
        <f t="shared" si="1"/>
        <v>#NAME?</v>
      </c>
      <c r="BV164" s="89" t="s">
        <v>370</v>
      </c>
      <c r="BW164" s="37" t="str">
        <f t="shared" si="2"/>
        <v>#NAME?</v>
      </c>
      <c r="BX164" s="89" t="s">
        <v>18</v>
      </c>
      <c r="BY164" s="39"/>
      <c r="BZ164" s="39"/>
      <c r="CA164" s="40" t="s">
        <v>1642</v>
      </c>
      <c r="CB164" s="41"/>
      <c r="CC164" s="24" t="s">
        <v>122</v>
      </c>
      <c r="CD164" s="62" t="s">
        <v>18</v>
      </c>
      <c r="CE164" s="2"/>
      <c r="CF164" s="92" t="s">
        <v>1032</v>
      </c>
      <c r="CG164" s="93" t="s">
        <v>235</v>
      </c>
      <c r="CH164" s="2"/>
      <c r="CI164" s="152" t="s">
        <v>179</v>
      </c>
      <c r="CJ164" s="95" t="s">
        <v>1032</v>
      </c>
      <c r="CK164" s="2"/>
      <c r="CL164" s="22" t="s">
        <v>180</v>
      </c>
      <c r="CM164" s="12"/>
      <c r="CN164" s="48"/>
      <c r="CO164" s="189" t="s">
        <v>1032</v>
      </c>
      <c r="CP164" s="2"/>
      <c r="CQ164" s="2" t="s">
        <v>1643</v>
      </c>
      <c r="CR164" s="97">
        <v>60.0</v>
      </c>
      <c r="CS164" s="2" t="s">
        <v>409</v>
      </c>
      <c r="CT164" s="98">
        <v>162.0</v>
      </c>
      <c r="CU164" s="2"/>
      <c r="CV164" s="52" t="s">
        <v>149</v>
      </c>
      <c r="CW164" s="52" t="s">
        <v>149</v>
      </c>
      <c r="CX164" s="2"/>
      <c r="CY164" s="334" t="s">
        <v>18</v>
      </c>
      <c r="CZ164" s="337"/>
      <c r="DA164" s="2"/>
      <c r="DB164" s="98">
        <v>90.0</v>
      </c>
      <c r="DC164" s="2"/>
      <c r="DD164" s="101" t="s">
        <v>150</v>
      </c>
      <c r="DE164" s="2"/>
      <c r="DF164" s="335" t="s">
        <v>1644</v>
      </c>
      <c r="DG164" s="336"/>
      <c r="DH164" s="336"/>
      <c r="DI164" s="2"/>
      <c r="DJ164" s="2"/>
      <c r="DK164" s="59" t="s">
        <v>1645</v>
      </c>
      <c r="DL164" s="37" t="s">
        <v>156</v>
      </c>
      <c r="DM164" s="37" t="str">
        <f t="shared" si="3"/>
        <v>#NAME?</v>
      </c>
      <c r="DN164" s="61"/>
      <c r="DO164" s="37" t="s">
        <v>288</v>
      </c>
      <c r="DP164" s="105">
        <v>1.0</v>
      </c>
      <c r="DQ164" s="62" t="s">
        <v>49</v>
      </c>
      <c r="DR164" s="63"/>
      <c r="DS164" s="198"/>
      <c r="DT164" s="108"/>
      <c r="DU164" s="108"/>
      <c r="DV164" s="182"/>
      <c r="DW164" s="182"/>
      <c r="DX164" s="182"/>
      <c r="DY164" s="182"/>
      <c r="DZ164" s="182"/>
      <c r="EA164" s="182"/>
      <c r="EB164" s="2"/>
      <c r="EC164" s="2"/>
      <c r="ED164" s="2"/>
      <c r="EE164" s="2"/>
      <c r="EF164" s="149" t="s">
        <v>949</v>
      </c>
      <c r="EG164" s="69" t="str">
        <f>image("https://www.pokebip.com/pages/icones/objets/roche-royale.png", 3)</f>
        <v/>
      </c>
      <c r="EH164" s="69"/>
      <c r="EI164" s="69"/>
    </row>
    <row r="165" ht="15.75" customHeight="1">
      <c r="A165" s="1">
        <v>165.0</v>
      </c>
      <c r="B165" s="2" t="s">
        <v>1646</v>
      </c>
      <c r="C165" s="7"/>
      <c r="D165" s="122" t="s">
        <v>1647</v>
      </c>
      <c r="E165" s="5"/>
      <c r="F165" s="123"/>
      <c r="G165" s="7"/>
      <c r="H165" s="8" t="s">
        <v>1648</v>
      </c>
      <c r="I165" s="9" t="s">
        <v>1649</v>
      </c>
      <c r="J165" s="10" t="str">
        <f>image("https://archives.bulbagarden.net/media/upload/f/fe/165MS6.png", 3)</f>
        <v/>
      </c>
      <c r="K165" s="11" t="s">
        <v>1647</v>
      </c>
      <c r="L165" s="12"/>
      <c r="M165" s="12"/>
      <c r="N165" s="12"/>
      <c r="O165" s="12"/>
      <c r="Q165" s="71">
        <v>40.0</v>
      </c>
      <c r="R165" s="72">
        <v>20.0</v>
      </c>
      <c r="S165" s="73">
        <v>30.0</v>
      </c>
      <c r="T165" s="74">
        <v>40.0</v>
      </c>
      <c r="U165" s="75">
        <v>80.0</v>
      </c>
      <c r="V165" s="76">
        <v>55.0</v>
      </c>
      <c r="W165" s="77">
        <v>265.0</v>
      </c>
      <c r="X165" s="21"/>
      <c r="Y165" s="71">
        <v>40.0</v>
      </c>
      <c r="Z165" s="72">
        <v>20.0</v>
      </c>
      <c r="AA165" s="73">
        <v>30.0</v>
      </c>
      <c r="AB165" s="74">
        <v>40.0</v>
      </c>
      <c r="AC165" s="75">
        <v>80.0</v>
      </c>
      <c r="AD165" s="76">
        <v>55.0</v>
      </c>
      <c r="AE165" s="77">
        <v>265.0</v>
      </c>
      <c r="AF165" s="21"/>
      <c r="AG165" s="71">
        <v>40.0</v>
      </c>
      <c r="AH165" s="109">
        <v>50.0</v>
      </c>
      <c r="AI165" s="73">
        <v>30.0</v>
      </c>
      <c r="AJ165" s="162">
        <v>20.0</v>
      </c>
      <c r="AK165" s="75">
        <v>80.0</v>
      </c>
      <c r="AL165" s="76">
        <v>55.0</v>
      </c>
      <c r="AM165" s="110">
        <v>275.0</v>
      </c>
      <c r="AN165" s="21"/>
      <c r="AO165" s="22">
        <v>40.0</v>
      </c>
      <c r="AP165" s="23" t="s">
        <v>233</v>
      </c>
      <c r="AQ165" s="23">
        <v>30.0</v>
      </c>
      <c r="AR165" s="23" t="s">
        <v>1650</v>
      </c>
      <c r="AS165" s="23">
        <v>80.0</v>
      </c>
      <c r="AT165" s="23">
        <v>55.0</v>
      </c>
      <c r="AU165" s="24" t="s">
        <v>1651</v>
      </c>
      <c r="AV165" s="21"/>
      <c r="AW165" s="258">
        <v>40.0</v>
      </c>
      <c r="AX165" s="227">
        <v>50.0</v>
      </c>
      <c r="AY165" s="124">
        <v>30.0</v>
      </c>
      <c r="AZ165" s="163">
        <v>20.0</v>
      </c>
      <c r="BA165" s="124">
        <v>80.0</v>
      </c>
      <c r="BB165" s="124">
        <v>55.0</v>
      </c>
      <c r="BC165" s="111">
        <v>275.0</v>
      </c>
      <c r="BE165" s="225" t="s">
        <v>27</v>
      </c>
      <c r="BF165" s="184"/>
      <c r="BG165" s="128"/>
      <c r="BI165" s="31" t="s">
        <v>5</v>
      </c>
      <c r="BJ165" s="32" t="s">
        <v>5</v>
      </c>
      <c r="BK165" s="32" t="s">
        <v>5</v>
      </c>
      <c r="BL165" s="32" t="s">
        <v>5</v>
      </c>
      <c r="BM165" s="32">
        <v>1.0</v>
      </c>
      <c r="BN165" s="33" t="s">
        <v>5</v>
      </c>
      <c r="BP165" s="115" t="s">
        <v>109</v>
      </c>
      <c r="BQ165" s="116" t="s">
        <v>18</v>
      </c>
      <c r="BS165" s="115" t="s">
        <v>109</v>
      </c>
      <c r="BT165" s="117" t="s">
        <v>18</v>
      </c>
      <c r="BU165" s="37" t="str">
        <f t="shared" si="1"/>
        <v>#NAME?</v>
      </c>
      <c r="BV165" s="89" t="s">
        <v>109</v>
      </c>
      <c r="BW165" s="37" t="str">
        <f t="shared" si="2"/>
        <v>#NAME?</v>
      </c>
      <c r="BX165" s="89" t="s">
        <v>18</v>
      </c>
      <c r="BY165" s="144"/>
      <c r="BZ165" s="144"/>
      <c r="CA165" s="145" t="s">
        <v>177</v>
      </c>
      <c r="CB165" s="146"/>
      <c r="CC165" s="224" t="s">
        <v>109</v>
      </c>
      <c r="CD165" s="91" t="s">
        <v>18</v>
      </c>
      <c r="CE165" s="2"/>
      <c r="CF165" s="92" t="s">
        <v>217</v>
      </c>
      <c r="CG165" s="93" t="s">
        <v>924</v>
      </c>
      <c r="CH165" s="2"/>
      <c r="CI165" s="175" t="s">
        <v>217</v>
      </c>
      <c r="CJ165" s="93" t="s">
        <v>924</v>
      </c>
      <c r="CK165" s="2"/>
      <c r="CL165" s="22" t="s">
        <v>1278</v>
      </c>
      <c r="CM165" s="12"/>
      <c r="CN165" s="48"/>
      <c r="CO165" s="239" t="s">
        <v>1652</v>
      </c>
      <c r="CP165" s="2"/>
      <c r="CQ165" s="2" t="s">
        <v>1653</v>
      </c>
      <c r="CR165" s="97">
        <v>40.0</v>
      </c>
      <c r="CS165" s="2" t="s">
        <v>27</v>
      </c>
      <c r="CT165" s="98">
        <v>54.0</v>
      </c>
      <c r="CU165" s="2"/>
      <c r="CV165" s="52" t="s">
        <v>149</v>
      </c>
      <c r="CW165" s="52" t="s">
        <v>149</v>
      </c>
      <c r="CX165" s="2"/>
      <c r="CY165" s="119" t="s">
        <v>109</v>
      </c>
      <c r="CZ165" s="160"/>
      <c r="DA165" s="2"/>
      <c r="DB165" s="98">
        <v>255.0</v>
      </c>
      <c r="DC165" s="2"/>
      <c r="DD165" s="101" t="s">
        <v>468</v>
      </c>
      <c r="DE165" s="2"/>
      <c r="DF165" s="148" t="s">
        <v>1654</v>
      </c>
      <c r="DG165" s="121"/>
      <c r="DH165" s="121"/>
      <c r="DI165" s="21"/>
      <c r="DJ165" s="21"/>
      <c r="DK165" s="59" t="s">
        <v>1655</v>
      </c>
      <c r="DL165" s="37" t="s">
        <v>197</v>
      </c>
      <c r="DM165" s="37" t="str">
        <f t="shared" si="3"/>
        <v>#NAME?</v>
      </c>
      <c r="DN165" s="61"/>
      <c r="DO165" s="37">
        <v>65.0</v>
      </c>
      <c r="DP165" s="105">
        <v>1.0</v>
      </c>
      <c r="DQ165" s="62" t="s">
        <v>20</v>
      </c>
      <c r="DR165" s="63"/>
      <c r="DS165" s="198"/>
      <c r="DT165" s="108"/>
      <c r="DU165" s="108"/>
      <c r="DV165" s="182"/>
      <c r="DW165" s="182"/>
      <c r="DX165" s="182"/>
      <c r="DY165" s="182"/>
      <c r="DZ165" s="182"/>
      <c r="EA165" s="182"/>
      <c r="EB165" s="2"/>
      <c r="EC165" s="2"/>
      <c r="ED165" s="2"/>
      <c r="EE165" s="2"/>
      <c r="EF165" s="149" t="s">
        <v>96</v>
      </c>
      <c r="EG165" s="69" t="str">
        <f>image("https://www.pokebip.com/pages/icones/objets/peau-metal.png", 3)</f>
        <v/>
      </c>
      <c r="EH165" s="69"/>
      <c r="EI165" s="69"/>
    </row>
    <row r="166" ht="15.75" customHeight="1">
      <c r="A166" s="1">
        <v>166.0</v>
      </c>
      <c r="B166" s="2" t="s">
        <v>1656</v>
      </c>
      <c r="C166" s="7"/>
      <c r="D166" s="122" t="s">
        <v>1657</v>
      </c>
      <c r="E166" s="5"/>
      <c r="F166" s="123"/>
      <c r="G166" s="7"/>
      <c r="H166" s="8" t="s">
        <v>1658</v>
      </c>
      <c r="I166" s="9" t="s">
        <v>1659</v>
      </c>
      <c r="J166" s="10" t="str">
        <f>image("https://archives.bulbagarden.net/media/upload/1/10/166MS6.png", 3)</f>
        <v/>
      </c>
      <c r="K166" s="11" t="s">
        <v>1657</v>
      </c>
      <c r="L166" s="12"/>
      <c r="M166" s="12"/>
      <c r="N166" s="12"/>
      <c r="O166" s="12"/>
      <c r="Q166" s="71">
        <v>55.0</v>
      </c>
      <c r="R166" s="72">
        <v>35.0</v>
      </c>
      <c r="S166" s="73">
        <v>50.0</v>
      </c>
      <c r="T166" s="74">
        <v>55.0</v>
      </c>
      <c r="U166" s="75">
        <v>110.0</v>
      </c>
      <c r="V166" s="76">
        <v>85.0</v>
      </c>
      <c r="W166" s="77">
        <v>390.0</v>
      </c>
      <c r="X166" s="21"/>
      <c r="Y166" s="71">
        <v>55.0</v>
      </c>
      <c r="Z166" s="72">
        <v>35.0</v>
      </c>
      <c r="AA166" s="73">
        <v>50.0</v>
      </c>
      <c r="AB166" s="74">
        <v>55.0</v>
      </c>
      <c r="AC166" s="75">
        <v>110.0</v>
      </c>
      <c r="AD166" s="76">
        <v>85.0</v>
      </c>
      <c r="AE166" s="77">
        <v>390.0</v>
      </c>
      <c r="AF166" s="21"/>
      <c r="AG166" s="261">
        <v>65.0</v>
      </c>
      <c r="AH166" s="109">
        <v>105.0</v>
      </c>
      <c r="AI166" s="73">
        <v>50.0</v>
      </c>
      <c r="AJ166" s="162">
        <v>35.0</v>
      </c>
      <c r="AK166" s="75">
        <v>110.0</v>
      </c>
      <c r="AL166" s="76">
        <v>85.0</v>
      </c>
      <c r="AM166" s="110">
        <v>450.0</v>
      </c>
      <c r="AN166" s="21"/>
      <c r="AO166" s="22" t="s">
        <v>247</v>
      </c>
      <c r="AP166" s="23" t="s">
        <v>1622</v>
      </c>
      <c r="AQ166" s="23">
        <v>50.0</v>
      </c>
      <c r="AR166" s="23" t="s">
        <v>232</v>
      </c>
      <c r="AS166" s="23">
        <v>110.0</v>
      </c>
      <c r="AT166" s="23">
        <v>85.0</v>
      </c>
      <c r="AU166" s="24" t="s">
        <v>176</v>
      </c>
      <c r="AV166" s="21"/>
      <c r="AW166" s="111">
        <v>65.0</v>
      </c>
      <c r="AX166" s="111">
        <v>105.0</v>
      </c>
      <c r="AY166" s="79">
        <v>50.0</v>
      </c>
      <c r="AZ166" s="163">
        <v>35.0</v>
      </c>
      <c r="BA166" s="79">
        <v>110.0</v>
      </c>
      <c r="BB166" s="80">
        <v>85.0</v>
      </c>
      <c r="BC166" s="111">
        <v>450.0</v>
      </c>
      <c r="BE166" s="150" t="s">
        <v>815</v>
      </c>
      <c r="BF166" s="113"/>
      <c r="BG166" s="129"/>
      <c r="BI166" s="31" t="s">
        <v>5</v>
      </c>
      <c r="BJ166" s="32" t="s">
        <v>5</v>
      </c>
      <c r="BK166" s="32" t="s">
        <v>5</v>
      </c>
      <c r="BL166" s="32" t="s">
        <v>5</v>
      </c>
      <c r="BM166" s="32">
        <v>2.0</v>
      </c>
      <c r="BN166" s="33" t="s">
        <v>5</v>
      </c>
      <c r="BP166" s="85" t="s">
        <v>109</v>
      </c>
      <c r="BQ166" s="86" t="s">
        <v>18</v>
      </c>
      <c r="BS166" s="87" t="s">
        <v>109</v>
      </c>
      <c r="BT166" s="88" t="s">
        <v>18</v>
      </c>
      <c r="BU166" s="37" t="str">
        <f t="shared" si="1"/>
        <v>#NAME?</v>
      </c>
      <c r="BV166" s="89" t="s">
        <v>109</v>
      </c>
      <c r="BW166" s="37" t="str">
        <f t="shared" si="2"/>
        <v>#NAME?</v>
      </c>
      <c r="BX166" s="89" t="s">
        <v>18</v>
      </c>
      <c r="BY166" s="39"/>
      <c r="BZ166" s="39"/>
      <c r="CA166" s="40" t="s">
        <v>177</v>
      </c>
      <c r="CB166" s="41"/>
      <c r="CC166" s="90" t="s">
        <v>109</v>
      </c>
      <c r="CD166" s="91" t="s">
        <v>18</v>
      </c>
      <c r="CE166" s="2"/>
      <c r="CF166" s="92" t="s">
        <v>217</v>
      </c>
      <c r="CG166" s="93" t="s">
        <v>924</v>
      </c>
      <c r="CH166" s="2"/>
      <c r="CI166" s="92" t="s">
        <v>217</v>
      </c>
      <c r="CJ166" s="93" t="s">
        <v>924</v>
      </c>
      <c r="CK166" s="2"/>
      <c r="CL166" s="22" t="s">
        <v>1278</v>
      </c>
      <c r="CM166" s="12"/>
      <c r="CN166" s="48"/>
      <c r="CO166" s="242" t="s">
        <v>1652</v>
      </c>
      <c r="CP166" s="2"/>
      <c r="CQ166" s="2" t="s">
        <v>1660</v>
      </c>
      <c r="CR166" s="97">
        <v>60.0</v>
      </c>
      <c r="CS166" s="2" t="s">
        <v>815</v>
      </c>
      <c r="CT166" s="98">
        <v>134.0</v>
      </c>
      <c r="CU166" s="2"/>
      <c r="CV166" s="52" t="s">
        <v>149</v>
      </c>
      <c r="CW166" s="52" t="s">
        <v>149</v>
      </c>
      <c r="CX166" s="2"/>
      <c r="CY166" s="334" t="s">
        <v>109</v>
      </c>
      <c r="CZ166" s="337"/>
      <c r="DA166" s="2"/>
      <c r="DB166" s="98">
        <v>90.0</v>
      </c>
      <c r="DC166" s="2"/>
      <c r="DD166" s="101" t="s">
        <v>468</v>
      </c>
      <c r="DE166" s="2"/>
      <c r="DF166" s="335" t="s">
        <v>1661</v>
      </c>
      <c r="DG166" s="336"/>
      <c r="DH166" s="336"/>
      <c r="DI166" s="2"/>
      <c r="DJ166" s="2"/>
      <c r="DK166" s="59" t="s">
        <v>1662</v>
      </c>
      <c r="DL166" s="37" t="s">
        <v>156</v>
      </c>
      <c r="DM166" s="37" t="str">
        <f t="shared" si="3"/>
        <v>#NAME?</v>
      </c>
      <c r="DN166" s="61"/>
      <c r="DO166" s="37">
        <v>20.0</v>
      </c>
      <c r="DP166" s="105">
        <v>1.0</v>
      </c>
      <c r="DQ166" s="62" t="s">
        <v>93</v>
      </c>
      <c r="DR166" s="63"/>
      <c r="DS166" s="198"/>
      <c r="DT166" s="108"/>
      <c r="DU166" s="108"/>
      <c r="DV166" s="182"/>
      <c r="DW166" s="182"/>
      <c r="DX166" s="182"/>
      <c r="DY166" s="182"/>
      <c r="DZ166" s="182"/>
      <c r="EA166" s="182"/>
      <c r="EB166" s="2"/>
      <c r="EC166" s="2"/>
      <c r="ED166" s="2"/>
      <c r="EE166" s="2"/>
      <c r="EF166" s="149" t="s">
        <v>1663</v>
      </c>
      <c r="EG166" s="69" t="str">
        <f>image("https://www.pokebip.com/pages/icones/objets/tissu-fauche.png", 3)</f>
        <v/>
      </c>
      <c r="EH166" s="69"/>
      <c r="EI166" s="69"/>
    </row>
    <row r="167" ht="15.75" customHeight="1">
      <c r="A167" s="1">
        <v>167.0</v>
      </c>
      <c r="B167" s="2" t="s">
        <v>1664</v>
      </c>
      <c r="C167" s="7"/>
      <c r="D167" s="4" t="s">
        <v>1665</v>
      </c>
      <c r="E167" s="5"/>
      <c r="F167" s="6"/>
      <c r="G167" s="7"/>
      <c r="H167" s="8" t="s">
        <v>1666</v>
      </c>
      <c r="I167" s="9" t="s">
        <v>1667</v>
      </c>
      <c r="J167" s="10" t="str">
        <f>image("https://archives.bulbagarden.net/media/upload/7/71/167MS6.png", 3)</f>
        <v/>
      </c>
      <c r="K167" s="11" t="s">
        <v>1665</v>
      </c>
      <c r="L167" s="12"/>
      <c r="M167" s="12"/>
      <c r="N167" s="12"/>
      <c r="O167" s="12"/>
      <c r="Q167" s="71">
        <v>40.0</v>
      </c>
      <c r="R167" s="72">
        <v>60.0</v>
      </c>
      <c r="S167" s="73">
        <v>40.0</v>
      </c>
      <c r="T167" s="74">
        <v>40.0</v>
      </c>
      <c r="U167" s="75">
        <v>40.0</v>
      </c>
      <c r="V167" s="76">
        <v>30.0</v>
      </c>
      <c r="W167" s="77">
        <v>250.0</v>
      </c>
      <c r="X167" s="21"/>
      <c r="Y167" s="71">
        <v>40.0</v>
      </c>
      <c r="Z167" s="72">
        <v>60.0</v>
      </c>
      <c r="AA167" s="73">
        <v>40.0</v>
      </c>
      <c r="AB167" s="74">
        <v>40.0</v>
      </c>
      <c r="AC167" s="75">
        <v>40.0</v>
      </c>
      <c r="AD167" s="76">
        <v>30.0</v>
      </c>
      <c r="AE167" s="77">
        <v>250.0</v>
      </c>
      <c r="AF167" s="21"/>
      <c r="AG167" s="71">
        <v>40.0</v>
      </c>
      <c r="AH167" s="109">
        <v>70.0</v>
      </c>
      <c r="AI167" s="73">
        <v>40.0</v>
      </c>
      <c r="AJ167" s="74">
        <v>40.0</v>
      </c>
      <c r="AK167" s="75">
        <v>40.0</v>
      </c>
      <c r="AL167" s="109">
        <v>45.0</v>
      </c>
      <c r="AM167" s="110">
        <v>275.0</v>
      </c>
      <c r="AN167" s="21"/>
      <c r="AO167" s="22">
        <v>40.0</v>
      </c>
      <c r="AP167" s="23" t="s">
        <v>288</v>
      </c>
      <c r="AQ167" s="23">
        <v>40.0</v>
      </c>
      <c r="AR167" s="23">
        <v>40.0</v>
      </c>
      <c r="AS167" s="23">
        <v>40.0</v>
      </c>
      <c r="AT167" s="23" t="s">
        <v>1612</v>
      </c>
      <c r="AU167" s="24" t="s">
        <v>1651</v>
      </c>
      <c r="AV167" s="21"/>
      <c r="AW167" s="265">
        <v>40.0</v>
      </c>
      <c r="AX167" s="111">
        <v>70.0</v>
      </c>
      <c r="AY167" s="79">
        <v>40.0</v>
      </c>
      <c r="AZ167" s="182">
        <v>40.0</v>
      </c>
      <c r="BA167" s="80">
        <v>40.0</v>
      </c>
      <c r="BB167" s="111">
        <v>45.0</v>
      </c>
      <c r="BC167" s="227">
        <v>275.0</v>
      </c>
      <c r="BE167" s="194" t="s">
        <v>325</v>
      </c>
      <c r="BF167" s="184"/>
      <c r="BG167" s="128"/>
      <c r="BI167" s="31" t="s">
        <v>5</v>
      </c>
      <c r="BJ167" s="32">
        <v>1.0</v>
      </c>
      <c r="BK167" s="32" t="s">
        <v>5</v>
      </c>
      <c r="BL167" s="32" t="s">
        <v>5</v>
      </c>
      <c r="BM167" s="32" t="s">
        <v>5</v>
      </c>
      <c r="BN167" s="33" t="s">
        <v>5</v>
      </c>
      <c r="BP167" s="115" t="s">
        <v>109</v>
      </c>
      <c r="BQ167" s="116" t="s">
        <v>7</v>
      </c>
      <c r="BS167" s="115" t="s">
        <v>109</v>
      </c>
      <c r="BT167" s="117" t="s">
        <v>7</v>
      </c>
      <c r="BU167" s="37" t="str">
        <f t="shared" si="1"/>
        <v>#NAME?</v>
      </c>
      <c r="BV167" s="89" t="s">
        <v>109</v>
      </c>
      <c r="BW167" s="37" t="str">
        <f t="shared" si="2"/>
        <v>#NAME?</v>
      </c>
      <c r="BX167" s="89" t="s">
        <v>7</v>
      </c>
      <c r="BY167" s="39"/>
      <c r="BZ167" s="39"/>
      <c r="CA167" s="40" t="s">
        <v>191</v>
      </c>
      <c r="CB167" s="41"/>
      <c r="CC167" s="90" t="s">
        <v>109</v>
      </c>
      <c r="CD167" s="91" t="s">
        <v>7</v>
      </c>
      <c r="CE167" s="2"/>
      <c r="CF167" s="92" t="s">
        <v>217</v>
      </c>
      <c r="CG167" s="93" t="s">
        <v>1032</v>
      </c>
      <c r="CH167" s="2"/>
      <c r="CI167" s="92" t="s">
        <v>217</v>
      </c>
      <c r="CJ167" s="93" t="s">
        <v>1032</v>
      </c>
      <c r="CK167" s="2"/>
      <c r="CL167" s="22" t="s">
        <v>217</v>
      </c>
      <c r="CM167" s="12"/>
      <c r="CN167" s="48"/>
      <c r="CO167" s="196" t="s">
        <v>1032</v>
      </c>
      <c r="CP167" s="2"/>
      <c r="CQ167" s="2" t="s">
        <v>60</v>
      </c>
      <c r="CR167" s="97">
        <v>20.0</v>
      </c>
      <c r="CS167" s="2" t="s">
        <v>325</v>
      </c>
      <c r="CT167" s="98">
        <v>54.0</v>
      </c>
      <c r="CU167" s="2"/>
      <c r="CV167" s="52" t="s">
        <v>149</v>
      </c>
      <c r="CW167" s="52" t="s">
        <v>149</v>
      </c>
      <c r="CX167" s="2"/>
      <c r="CY167" s="119" t="s">
        <v>109</v>
      </c>
      <c r="CZ167" s="160"/>
      <c r="DA167" s="2"/>
      <c r="DB167" s="98">
        <v>255.0</v>
      </c>
      <c r="DC167" s="2"/>
      <c r="DD167" s="101" t="s">
        <v>468</v>
      </c>
      <c r="DE167" s="2"/>
      <c r="DF167" s="148" t="s">
        <v>1668</v>
      </c>
      <c r="DG167" s="121"/>
      <c r="DH167" s="121"/>
      <c r="DI167" s="21"/>
      <c r="DJ167" s="21"/>
      <c r="DK167" s="59" t="s">
        <v>1669</v>
      </c>
      <c r="DL167" s="37" t="s">
        <v>95</v>
      </c>
      <c r="DM167" s="37" t="str">
        <f t="shared" si="3"/>
        <v>#NAME?</v>
      </c>
      <c r="DN167" s="61"/>
      <c r="DO167" s="37">
        <v>70.0</v>
      </c>
      <c r="DP167" s="105">
        <v>0.9</v>
      </c>
      <c r="DQ167" s="62" t="s">
        <v>206</v>
      </c>
      <c r="DR167" s="63"/>
      <c r="DS167" s="198"/>
      <c r="DT167" s="108"/>
      <c r="DU167" s="108"/>
      <c r="DV167" s="182"/>
      <c r="DW167" s="182"/>
      <c r="DX167" s="182"/>
      <c r="DY167" s="182"/>
      <c r="DZ167" s="182"/>
      <c r="EA167" s="182"/>
      <c r="EB167" s="21"/>
      <c r="EC167" s="21"/>
      <c r="ED167" s="21"/>
      <c r="EE167" s="21"/>
      <c r="EF167" s="149" t="s">
        <v>1670</v>
      </c>
      <c r="EG167" s="69" t="str">
        <f>image("https://www.pokebip.com/pages/icones/objets/croc-rasoir.png", 3)</f>
        <v/>
      </c>
      <c r="EH167" s="69"/>
      <c r="EI167" s="69"/>
    </row>
    <row r="168" ht="15.75" customHeight="1">
      <c r="A168" s="1">
        <v>168.0</v>
      </c>
      <c r="B168" s="2" t="s">
        <v>1671</v>
      </c>
      <c r="C168" s="7"/>
      <c r="D168" s="122" t="s">
        <v>1672</v>
      </c>
      <c r="E168" s="5"/>
      <c r="F168" s="123"/>
      <c r="G168" s="7"/>
      <c r="H168" s="8" t="s">
        <v>1673</v>
      </c>
      <c r="I168" s="9" t="s">
        <v>1674</v>
      </c>
      <c r="J168" s="10" t="str">
        <f>image("https://archives.bulbagarden.net/media/upload/9/96/168MS6.png", 3)</f>
        <v/>
      </c>
      <c r="K168" s="11" t="s">
        <v>1672</v>
      </c>
      <c r="L168" s="12"/>
      <c r="M168" s="12"/>
      <c r="N168" s="12"/>
      <c r="O168" s="12"/>
      <c r="Q168" s="71">
        <v>70.0</v>
      </c>
      <c r="R168" s="72">
        <v>90.0</v>
      </c>
      <c r="S168" s="73">
        <v>70.0</v>
      </c>
      <c r="T168" s="74">
        <v>60.0</v>
      </c>
      <c r="U168" s="75">
        <v>60.0</v>
      </c>
      <c r="V168" s="76">
        <v>40.0</v>
      </c>
      <c r="W168" s="77">
        <v>390.0</v>
      </c>
      <c r="X168" s="21"/>
      <c r="Y168" s="71">
        <v>70.0</v>
      </c>
      <c r="Z168" s="72">
        <v>90.0</v>
      </c>
      <c r="AA168" s="73">
        <v>70.0</v>
      </c>
      <c r="AB168" s="74">
        <v>60.0</v>
      </c>
      <c r="AC168" s="109">
        <v>70.0</v>
      </c>
      <c r="AD168" s="76">
        <v>40.0</v>
      </c>
      <c r="AE168" s="110">
        <v>400.0</v>
      </c>
      <c r="AF168" s="21"/>
      <c r="AG168" s="71">
        <v>70.0</v>
      </c>
      <c r="AH168" s="109">
        <v>110.0</v>
      </c>
      <c r="AI168" s="73">
        <v>70.0</v>
      </c>
      <c r="AJ168" s="162">
        <v>50.0</v>
      </c>
      <c r="AK168" s="109">
        <v>70.0</v>
      </c>
      <c r="AL168" s="109">
        <v>80.0</v>
      </c>
      <c r="AM168" s="110">
        <v>450.0</v>
      </c>
      <c r="AN168" s="21"/>
      <c r="AO168" s="22">
        <v>70.0</v>
      </c>
      <c r="AP168" s="23" t="s">
        <v>40</v>
      </c>
      <c r="AQ168" s="23">
        <v>70.0</v>
      </c>
      <c r="AR168" s="23" t="s">
        <v>246</v>
      </c>
      <c r="AS168" s="23" t="s">
        <v>288</v>
      </c>
      <c r="AT168" s="23" t="s">
        <v>337</v>
      </c>
      <c r="AU168" s="24" t="s">
        <v>176</v>
      </c>
      <c r="AV168" s="21"/>
      <c r="AW168" s="78">
        <v>70.0</v>
      </c>
      <c r="AX168" s="111">
        <v>110.0</v>
      </c>
      <c r="AY168" s="79">
        <v>70.0</v>
      </c>
      <c r="AZ168" s="163">
        <v>50.0</v>
      </c>
      <c r="BA168" s="164">
        <v>70.0</v>
      </c>
      <c r="BB168" s="227">
        <v>80.0</v>
      </c>
      <c r="BC168" s="227">
        <v>450.0</v>
      </c>
      <c r="BE168" s="172" t="s">
        <v>216</v>
      </c>
      <c r="BF168" s="113"/>
      <c r="BG168" s="129"/>
      <c r="BI168" s="31" t="s">
        <v>5</v>
      </c>
      <c r="BJ168" s="32">
        <v>2.0</v>
      </c>
      <c r="BK168" s="32" t="s">
        <v>5</v>
      </c>
      <c r="BL168" s="32" t="s">
        <v>5</v>
      </c>
      <c r="BM168" s="32" t="s">
        <v>5</v>
      </c>
      <c r="BN168" s="33" t="s">
        <v>5</v>
      </c>
      <c r="BP168" s="85" t="s">
        <v>109</v>
      </c>
      <c r="BQ168" s="86" t="s">
        <v>7</v>
      </c>
      <c r="BS168" s="87" t="s">
        <v>109</v>
      </c>
      <c r="BT168" s="88" t="s">
        <v>7</v>
      </c>
      <c r="BU168" s="37" t="str">
        <f t="shared" si="1"/>
        <v>#NAME?</v>
      </c>
      <c r="BV168" s="89" t="s">
        <v>109</v>
      </c>
      <c r="BW168" s="37" t="str">
        <f t="shared" si="2"/>
        <v>#NAME?</v>
      </c>
      <c r="BX168" s="89" t="s">
        <v>7</v>
      </c>
      <c r="BY168" s="39"/>
      <c r="BZ168" s="39"/>
      <c r="CA168" s="40" t="s">
        <v>191</v>
      </c>
      <c r="CB168" s="41"/>
      <c r="CC168" s="90" t="s">
        <v>109</v>
      </c>
      <c r="CD168" s="91" t="s">
        <v>7</v>
      </c>
      <c r="CE168" s="2"/>
      <c r="CF168" s="92" t="s">
        <v>217</v>
      </c>
      <c r="CG168" s="93" t="s">
        <v>1032</v>
      </c>
      <c r="CH168" s="2"/>
      <c r="CI168" s="92" t="s">
        <v>217</v>
      </c>
      <c r="CJ168" s="93" t="s">
        <v>1032</v>
      </c>
      <c r="CK168" s="2"/>
      <c r="CL168" s="22" t="s">
        <v>217</v>
      </c>
      <c r="CM168" s="12"/>
      <c r="CN168" s="48"/>
      <c r="CO168" s="96" t="s">
        <v>1032</v>
      </c>
      <c r="CP168" s="2"/>
      <c r="CQ168" s="2" t="s">
        <v>1675</v>
      </c>
      <c r="CR168" s="97">
        <v>60.0</v>
      </c>
      <c r="CS168" s="2" t="s">
        <v>216</v>
      </c>
      <c r="CT168" s="98">
        <v>134.0</v>
      </c>
      <c r="CU168" s="2"/>
      <c r="CV168" s="52" t="s">
        <v>149</v>
      </c>
      <c r="CW168" s="52" t="s">
        <v>149</v>
      </c>
      <c r="CX168" s="2"/>
      <c r="CY168" s="334" t="s">
        <v>109</v>
      </c>
      <c r="CZ168" s="337"/>
      <c r="DA168" s="2"/>
      <c r="DB168" s="98">
        <v>90.0</v>
      </c>
      <c r="DC168" s="2"/>
      <c r="DD168" s="101" t="s">
        <v>468</v>
      </c>
      <c r="DE168" s="2"/>
      <c r="DF168" s="335" t="s">
        <v>1676</v>
      </c>
      <c r="DG168" s="336"/>
      <c r="DH168" s="336"/>
      <c r="DI168" s="2"/>
      <c r="DJ168" s="2"/>
      <c r="DK168" s="59" t="s">
        <v>1677</v>
      </c>
      <c r="DL168" s="37" t="s">
        <v>156</v>
      </c>
      <c r="DM168" s="37" t="str">
        <f t="shared" si="3"/>
        <v>#NAME?</v>
      </c>
      <c r="DN168" s="61"/>
      <c r="DO168" s="37">
        <v>65.0</v>
      </c>
      <c r="DP168" s="105">
        <v>1.0</v>
      </c>
      <c r="DQ168" s="62" t="s">
        <v>20</v>
      </c>
      <c r="DR168" s="63"/>
      <c r="DS168" s="198"/>
      <c r="DT168" s="108"/>
      <c r="DU168" s="108"/>
      <c r="DV168" s="182"/>
      <c r="DW168" s="182"/>
      <c r="DX168" s="182"/>
      <c r="DY168" s="182"/>
      <c r="DZ168" s="182"/>
      <c r="EA168" s="182"/>
      <c r="EB168" s="2"/>
      <c r="EC168" s="2"/>
      <c r="ED168" s="2"/>
      <c r="EE168" s="2"/>
      <c r="EF168" s="149" t="s">
        <v>1678</v>
      </c>
      <c r="EG168" s="69" t="str">
        <f>image("https://www.pokebip.com/pages/icones/objets/griffe-rasoir.png", 3)</f>
        <v/>
      </c>
      <c r="EH168" s="69"/>
      <c r="EI168" s="69"/>
    </row>
    <row r="169" ht="15.75" customHeight="1">
      <c r="A169" s="1">
        <v>169.0</v>
      </c>
      <c r="B169" s="2" t="s">
        <v>1679</v>
      </c>
      <c r="C169" s="7"/>
      <c r="D169" s="180" t="s">
        <v>1680</v>
      </c>
      <c r="E169" s="5"/>
      <c r="F169" s="181"/>
      <c r="G169" s="7"/>
      <c r="H169" s="8" t="s">
        <v>1681</v>
      </c>
      <c r="I169" s="9" t="s">
        <v>1682</v>
      </c>
      <c r="J169" s="10" t="str">
        <f>image("https://archives.bulbagarden.net/media/upload/e/e8/169MS6.png", 3)</f>
        <v/>
      </c>
      <c r="K169" s="11" t="s">
        <v>1680</v>
      </c>
      <c r="L169" s="12"/>
      <c r="M169" s="12"/>
      <c r="N169" s="12"/>
      <c r="O169" s="12"/>
      <c r="Q169" s="71">
        <v>85.0</v>
      </c>
      <c r="R169" s="72">
        <v>90.0</v>
      </c>
      <c r="S169" s="73">
        <v>80.0</v>
      </c>
      <c r="T169" s="74">
        <v>70.0</v>
      </c>
      <c r="U169" s="75">
        <v>80.0</v>
      </c>
      <c r="V169" s="76">
        <v>130.0</v>
      </c>
      <c r="W169" s="77">
        <v>535.0</v>
      </c>
      <c r="X169" s="21"/>
      <c r="Y169" s="71">
        <v>85.0</v>
      </c>
      <c r="Z169" s="72">
        <v>90.0</v>
      </c>
      <c r="AA169" s="73">
        <v>80.0</v>
      </c>
      <c r="AB169" s="74">
        <v>70.0</v>
      </c>
      <c r="AC169" s="75">
        <v>80.0</v>
      </c>
      <c r="AD169" s="76">
        <v>130.0</v>
      </c>
      <c r="AE169" s="77">
        <v>535.0</v>
      </c>
      <c r="AF169" s="21"/>
      <c r="AG169" s="71">
        <v>85.0</v>
      </c>
      <c r="AH169" s="72">
        <v>90.0</v>
      </c>
      <c r="AI169" s="73">
        <v>80.0</v>
      </c>
      <c r="AJ169" s="74">
        <v>70.0</v>
      </c>
      <c r="AK169" s="75">
        <v>80.0</v>
      </c>
      <c r="AL169" s="76">
        <v>130.0</v>
      </c>
      <c r="AM169" s="77">
        <v>535.0</v>
      </c>
      <c r="AN169" s="21"/>
      <c r="AO169" s="22">
        <v>85.0</v>
      </c>
      <c r="AP169" s="23">
        <v>90.0</v>
      </c>
      <c r="AQ169" s="23">
        <v>80.0</v>
      </c>
      <c r="AR169" s="23">
        <v>70.0</v>
      </c>
      <c r="AS169" s="23">
        <v>80.0</v>
      </c>
      <c r="AT169" s="23">
        <v>130.0</v>
      </c>
      <c r="AU169" s="24">
        <v>535.0</v>
      </c>
      <c r="AV169" s="21"/>
      <c r="AW169" s="78">
        <v>85.0</v>
      </c>
      <c r="AX169" s="124">
        <v>90.0</v>
      </c>
      <c r="AY169" s="79">
        <v>80.0</v>
      </c>
      <c r="AZ169" s="124">
        <v>70.0</v>
      </c>
      <c r="BA169" s="124">
        <v>80.0</v>
      </c>
      <c r="BB169" s="124">
        <v>130.0</v>
      </c>
      <c r="BC169" s="125">
        <v>535.0</v>
      </c>
      <c r="BE169" s="176" t="s">
        <v>261</v>
      </c>
      <c r="BF169" s="138"/>
      <c r="BG169" s="128"/>
      <c r="BI169" s="31" t="s">
        <v>5</v>
      </c>
      <c r="BJ169" s="32" t="s">
        <v>5</v>
      </c>
      <c r="BK169" s="32" t="s">
        <v>5</v>
      </c>
      <c r="BL169" s="32" t="s">
        <v>5</v>
      </c>
      <c r="BM169" s="32" t="s">
        <v>5</v>
      </c>
      <c r="BN169" s="33">
        <v>3.0</v>
      </c>
      <c r="BP169" s="115" t="s">
        <v>7</v>
      </c>
      <c r="BQ169" s="116" t="s">
        <v>18</v>
      </c>
      <c r="BS169" s="115" t="s">
        <v>7</v>
      </c>
      <c r="BT169" s="117" t="s">
        <v>18</v>
      </c>
      <c r="BU169" s="37" t="str">
        <f t="shared" si="1"/>
        <v>#NAME?</v>
      </c>
      <c r="BV169" s="89" t="s">
        <v>7</v>
      </c>
      <c r="BW169" s="37" t="str">
        <f t="shared" si="2"/>
        <v>#NAME?</v>
      </c>
      <c r="BX169" s="89" t="s">
        <v>18</v>
      </c>
      <c r="BY169" s="39"/>
      <c r="BZ169" s="39"/>
      <c r="CA169" s="40" t="s">
        <v>529</v>
      </c>
      <c r="CB169" s="41"/>
      <c r="CC169" s="90" t="s">
        <v>7</v>
      </c>
      <c r="CD169" s="91" t="s">
        <v>18</v>
      </c>
      <c r="CE169" s="2"/>
      <c r="CF169" s="92" t="s">
        <v>530</v>
      </c>
      <c r="CG169" s="93"/>
      <c r="CH169" s="2"/>
      <c r="CI169" s="92" t="s">
        <v>530</v>
      </c>
      <c r="CJ169" s="188"/>
      <c r="CK169" s="2"/>
      <c r="CL169" s="22" t="s">
        <v>530</v>
      </c>
      <c r="CM169" s="12"/>
      <c r="CN169" s="48"/>
      <c r="CO169" s="153"/>
      <c r="CP169" s="2"/>
      <c r="CQ169" s="2" t="s">
        <v>1683</v>
      </c>
      <c r="CR169" s="97">
        <v>80.0</v>
      </c>
      <c r="CS169" s="2" t="s">
        <v>261</v>
      </c>
      <c r="CT169" s="98">
        <v>204.0</v>
      </c>
      <c r="CU169" s="2"/>
      <c r="CV169" s="52" t="s">
        <v>149</v>
      </c>
      <c r="CW169" s="52" t="s">
        <v>149</v>
      </c>
      <c r="CX169" s="2"/>
      <c r="CY169" s="119" t="s">
        <v>18</v>
      </c>
      <c r="CZ169" s="160"/>
      <c r="DA169" s="2"/>
      <c r="DB169" s="98">
        <v>90.0</v>
      </c>
      <c r="DC169" s="2"/>
      <c r="DD169" s="101" t="s">
        <v>150</v>
      </c>
      <c r="DE169" s="2"/>
      <c r="DF169" s="120" t="s">
        <v>1684</v>
      </c>
      <c r="DG169" s="121"/>
      <c r="DH169" s="121"/>
      <c r="DI169" s="2"/>
      <c r="DJ169" s="2"/>
      <c r="DK169" s="59" t="s">
        <v>1685</v>
      </c>
      <c r="DL169" s="37" t="s">
        <v>66</v>
      </c>
      <c r="DM169" s="37" t="str">
        <f t="shared" si="3"/>
        <v>#NAME?</v>
      </c>
      <c r="DN169" s="61"/>
      <c r="DO169" s="37">
        <v>100.0</v>
      </c>
      <c r="DP169" s="105">
        <v>0.8</v>
      </c>
      <c r="DQ169" s="62" t="s">
        <v>293</v>
      </c>
      <c r="DR169" s="63"/>
      <c r="DS169" s="198"/>
      <c r="DT169" s="108"/>
      <c r="DU169" s="108"/>
      <c r="DV169" s="182"/>
      <c r="DW169" s="182"/>
      <c r="DX169" s="182"/>
      <c r="DY169" s="182"/>
      <c r="DZ169" s="182"/>
      <c r="EA169" s="182"/>
      <c r="EB169" s="2"/>
      <c r="EC169" s="2"/>
      <c r="ED169" s="2"/>
      <c r="EE169" s="2"/>
      <c r="EF169" s="68"/>
      <c r="EG169" s="69" t="str">
        <f>image("", 3)</f>
        <v/>
      </c>
      <c r="EH169" s="69"/>
      <c r="EI169" s="69"/>
    </row>
    <row r="170" ht="15.75" customHeight="1">
      <c r="A170" s="1">
        <v>170.0</v>
      </c>
      <c r="B170" s="2" t="s">
        <v>1686</v>
      </c>
      <c r="C170" s="7"/>
      <c r="D170" s="140" t="s">
        <v>1687</v>
      </c>
      <c r="E170" s="5"/>
      <c r="F170" s="141"/>
      <c r="G170" s="7"/>
      <c r="H170" s="8" t="s">
        <v>1688</v>
      </c>
      <c r="I170" s="9" t="s">
        <v>1689</v>
      </c>
      <c r="J170" s="10" t="str">
        <f>image("https://archives.bulbagarden.net/media/upload/8/82/170MS6.png", 3)</f>
        <v/>
      </c>
      <c r="K170" s="11" t="s">
        <v>1687</v>
      </c>
      <c r="L170" s="12"/>
      <c r="M170" s="12"/>
      <c r="N170" s="12"/>
      <c r="O170" s="12"/>
      <c r="Q170" s="71">
        <v>75.0</v>
      </c>
      <c r="R170" s="72">
        <v>38.0</v>
      </c>
      <c r="S170" s="73">
        <v>38.0</v>
      </c>
      <c r="T170" s="74">
        <v>56.0</v>
      </c>
      <c r="U170" s="75">
        <v>56.0</v>
      </c>
      <c r="V170" s="76">
        <v>67.0</v>
      </c>
      <c r="W170" s="77">
        <v>330.0</v>
      </c>
      <c r="X170" s="21"/>
      <c r="Y170" s="71">
        <v>75.0</v>
      </c>
      <c r="Z170" s="72">
        <v>38.0</v>
      </c>
      <c r="AA170" s="73">
        <v>38.0</v>
      </c>
      <c r="AB170" s="74">
        <v>56.0</v>
      </c>
      <c r="AC170" s="75">
        <v>56.0</v>
      </c>
      <c r="AD170" s="76">
        <v>67.0</v>
      </c>
      <c r="AE170" s="77">
        <v>330.0</v>
      </c>
      <c r="AF170" s="21"/>
      <c r="AG170" s="71">
        <v>75.0</v>
      </c>
      <c r="AH170" s="72">
        <v>38.0</v>
      </c>
      <c r="AI170" s="73">
        <v>38.0</v>
      </c>
      <c r="AJ170" s="74">
        <v>56.0</v>
      </c>
      <c r="AK170" s="75">
        <v>56.0</v>
      </c>
      <c r="AL170" s="76">
        <v>67.0</v>
      </c>
      <c r="AM170" s="77">
        <v>330.0</v>
      </c>
      <c r="AN170" s="21"/>
      <c r="AO170" s="22">
        <v>75.0</v>
      </c>
      <c r="AP170" s="23">
        <v>38.0</v>
      </c>
      <c r="AQ170" s="23">
        <v>38.0</v>
      </c>
      <c r="AR170" s="23">
        <v>56.0</v>
      </c>
      <c r="AS170" s="23">
        <v>56.0</v>
      </c>
      <c r="AT170" s="23">
        <v>67.0</v>
      </c>
      <c r="AU170" s="24">
        <v>330.0</v>
      </c>
      <c r="AV170" s="21"/>
      <c r="AW170" s="78">
        <v>75.0</v>
      </c>
      <c r="AX170" s="79">
        <v>38.0</v>
      </c>
      <c r="AY170" s="79">
        <v>38.0</v>
      </c>
      <c r="AZ170" s="79">
        <v>56.0</v>
      </c>
      <c r="BA170" s="79">
        <v>56.0</v>
      </c>
      <c r="BB170" s="79">
        <v>67.0</v>
      </c>
      <c r="BC170" s="201">
        <v>330.0</v>
      </c>
      <c r="BE170" s="151" t="s">
        <v>144</v>
      </c>
      <c r="BF170" s="338"/>
      <c r="BG170" s="128"/>
      <c r="BI170" s="31">
        <v>1.0</v>
      </c>
      <c r="BJ170" s="32" t="s">
        <v>5</v>
      </c>
      <c r="BK170" s="32" t="s">
        <v>5</v>
      </c>
      <c r="BL170" s="32" t="s">
        <v>5</v>
      </c>
      <c r="BM170" s="32" t="s">
        <v>5</v>
      </c>
      <c r="BN170" s="33" t="s">
        <v>5</v>
      </c>
      <c r="BP170" s="85" t="s">
        <v>32</v>
      </c>
      <c r="BQ170" s="86" t="s">
        <v>197</v>
      </c>
      <c r="BS170" s="87" t="s">
        <v>32</v>
      </c>
      <c r="BT170" s="88" t="s">
        <v>197</v>
      </c>
      <c r="BU170" s="37" t="str">
        <f t="shared" si="1"/>
        <v>#NAME?</v>
      </c>
      <c r="BV170" s="89" t="s">
        <v>32</v>
      </c>
      <c r="BW170" s="37" t="str">
        <f t="shared" si="2"/>
        <v>#NAME?</v>
      </c>
      <c r="BX170" s="89" t="s">
        <v>197</v>
      </c>
      <c r="BY170" s="39"/>
      <c r="BZ170" s="39"/>
      <c r="CA170" s="40" t="s">
        <v>1690</v>
      </c>
      <c r="CB170" s="41"/>
      <c r="CC170" s="90" t="s">
        <v>32</v>
      </c>
      <c r="CD170" s="91" t="s">
        <v>197</v>
      </c>
      <c r="CE170" s="2"/>
      <c r="CF170" s="92" t="s">
        <v>1387</v>
      </c>
      <c r="CG170" s="93" t="s">
        <v>1256</v>
      </c>
      <c r="CH170" s="2"/>
      <c r="CI170" s="191" t="s">
        <v>1387</v>
      </c>
      <c r="CJ170" s="46" t="s">
        <v>698</v>
      </c>
      <c r="CK170" s="2"/>
      <c r="CL170" s="22" t="s">
        <v>1387</v>
      </c>
      <c r="CM170" s="12"/>
      <c r="CN170" s="48"/>
      <c r="CO170" s="192" t="s">
        <v>1691</v>
      </c>
      <c r="CP170" s="2"/>
      <c r="CQ170" s="2" t="s">
        <v>377</v>
      </c>
      <c r="CR170" s="97">
        <v>40.0</v>
      </c>
      <c r="CS170" s="2" t="s">
        <v>144</v>
      </c>
      <c r="CT170" s="98">
        <v>90.0</v>
      </c>
      <c r="CU170" s="2"/>
      <c r="CV170" s="52" t="s">
        <v>149</v>
      </c>
      <c r="CW170" s="52" t="s">
        <v>149</v>
      </c>
      <c r="CX170" s="2"/>
      <c r="CY170" s="334" t="s">
        <v>1236</v>
      </c>
      <c r="CZ170" s="337"/>
      <c r="DA170" s="2"/>
      <c r="DB170" s="98">
        <v>190.0</v>
      </c>
      <c r="DC170" s="2"/>
      <c r="DD170" s="101" t="s">
        <v>683</v>
      </c>
      <c r="DE170" s="2"/>
      <c r="DF170" s="339" t="s">
        <v>1692</v>
      </c>
      <c r="DG170" s="343" t="s">
        <v>1693</v>
      </c>
      <c r="DH170" s="336"/>
      <c r="DI170" s="21"/>
      <c r="DJ170" s="21"/>
      <c r="DK170" s="59" t="s">
        <v>1694</v>
      </c>
      <c r="DL170" s="37" t="s">
        <v>156</v>
      </c>
      <c r="DM170" s="37" t="str">
        <f t="shared" si="3"/>
        <v>#NAME?</v>
      </c>
      <c r="DN170" s="61"/>
      <c r="DO170" s="37" t="s">
        <v>175</v>
      </c>
      <c r="DP170" s="105">
        <v>1.0</v>
      </c>
      <c r="DQ170" s="62" t="s">
        <v>93</v>
      </c>
      <c r="DR170" s="63"/>
      <c r="DS170" s="198"/>
      <c r="DT170" s="108"/>
      <c r="DU170" s="108"/>
      <c r="DV170" s="182"/>
      <c r="DW170" s="182"/>
      <c r="DX170" s="182"/>
      <c r="DY170" s="182"/>
      <c r="DZ170" s="182"/>
      <c r="EA170" s="182"/>
      <c r="EB170" s="21"/>
      <c r="EC170" s="21"/>
      <c r="ED170" s="21"/>
      <c r="EE170" s="21"/>
      <c r="EF170" s="149" t="s">
        <v>1695</v>
      </c>
      <c r="EG170" s="69" t="str">
        <f>image("https://www.pokebip.com/pages/icones/objets/encens-bizarre.png", 3)</f>
        <v/>
      </c>
      <c r="EH170" s="69"/>
      <c r="EI170" s="69"/>
    </row>
    <row r="171" ht="15.75" customHeight="1">
      <c r="A171" s="1">
        <v>171.0</v>
      </c>
      <c r="B171" s="2" t="s">
        <v>1696</v>
      </c>
      <c r="C171" s="7"/>
      <c r="D171" s="140" t="s">
        <v>1697</v>
      </c>
      <c r="E171" s="5"/>
      <c r="F171" s="141"/>
      <c r="G171" s="7"/>
      <c r="H171" s="8" t="s">
        <v>1698</v>
      </c>
      <c r="I171" s="9" t="s">
        <v>1699</v>
      </c>
      <c r="J171" s="10" t="str">
        <f>image("https://archives.bulbagarden.net/media/upload/b/b2/171MS6.png", 3)</f>
        <v/>
      </c>
      <c r="K171" s="11" t="s">
        <v>1697</v>
      </c>
      <c r="L171" s="12"/>
      <c r="M171" s="12"/>
      <c r="N171" s="12"/>
      <c r="O171" s="12"/>
      <c r="Q171" s="71">
        <v>125.0</v>
      </c>
      <c r="R171" s="72">
        <v>58.0</v>
      </c>
      <c r="S171" s="73">
        <v>58.0</v>
      </c>
      <c r="T171" s="74">
        <v>76.0</v>
      </c>
      <c r="U171" s="75">
        <v>76.0</v>
      </c>
      <c r="V171" s="76">
        <v>67.0</v>
      </c>
      <c r="W171" s="77">
        <v>460.0</v>
      </c>
      <c r="X171" s="21"/>
      <c r="Y171" s="71">
        <v>125.0</v>
      </c>
      <c r="Z171" s="72">
        <v>58.0</v>
      </c>
      <c r="AA171" s="73">
        <v>58.0</v>
      </c>
      <c r="AB171" s="74">
        <v>76.0</v>
      </c>
      <c r="AC171" s="75">
        <v>76.0</v>
      </c>
      <c r="AD171" s="76">
        <v>67.0</v>
      </c>
      <c r="AE171" s="77">
        <v>460.0</v>
      </c>
      <c r="AF171" s="21"/>
      <c r="AG171" s="71">
        <v>125.0</v>
      </c>
      <c r="AH171" s="72">
        <v>58.0</v>
      </c>
      <c r="AI171" s="73">
        <v>58.0</v>
      </c>
      <c r="AJ171" s="74">
        <v>76.0</v>
      </c>
      <c r="AK171" s="75">
        <v>76.0</v>
      </c>
      <c r="AL171" s="76">
        <v>67.0</v>
      </c>
      <c r="AM171" s="77">
        <v>460.0</v>
      </c>
      <c r="AN171" s="21"/>
      <c r="AO171" s="22">
        <v>125.0</v>
      </c>
      <c r="AP171" s="23">
        <v>58.0</v>
      </c>
      <c r="AQ171" s="23">
        <v>58.0</v>
      </c>
      <c r="AR171" s="23">
        <v>76.0</v>
      </c>
      <c r="AS171" s="23">
        <v>76.0</v>
      </c>
      <c r="AT171" s="23">
        <v>67.0</v>
      </c>
      <c r="AU171" s="24">
        <v>460.0</v>
      </c>
      <c r="AV171" s="21"/>
      <c r="AW171" s="78">
        <v>125.0</v>
      </c>
      <c r="AX171" s="79">
        <v>58.0</v>
      </c>
      <c r="AY171" s="79">
        <v>58.0</v>
      </c>
      <c r="AZ171" s="79">
        <v>76.0</v>
      </c>
      <c r="BA171" s="79">
        <v>76.0</v>
      </c>
      <c r="BB171" s="79">
        <v>67.0</v>
      </c>
      <c r="BC171" s="201">
        <v>460.0</v>
      </c>
      <c r="BE171" s="203" t="s">
        <v>409</v>
      </c>
      <c r="BF171" s="113"/>
      <c r="BG171" s="93"/>
      <c r="BI171" s="31">
        <v>2.0</v>
      </c>
      <c r="BJ171" s="32" t="s">
        <v>5</v>
      </c>
      <c r="BK171" s="32" t="s">
        <v>5</v>
      </c>
      <c r="BL171" s="32" t="s">
        <v>5</v>
      </c>
      <c r="BM171" s="32" t="s">
        <v>5</v>
      </c>
      <c r="BN171" s="33" t="s">
        <v>5</v>
      </c>
      <c r="BP171" s="115" t="s">
        <v>32</v>
      </c>
      <c r="BQ171" s="116" t="s">
        <v>197</v>
      </c>
      <c r="BS171" s="115" t="s">
        <v>32</v>
      </c>
      <c r="BT171" s="117" t="s">
        <v>197</v>
      </c>
      <c r="BU171" s="37" t="str">
        <f t="shared" si="1"/>
        <v>#NAME?</v>
      </c>
      <c r="BV171" s="89" t="s">
        <v>32</v>
      </c>
      <c r="BW171" s="37" t="str">
        <f t="shared" si="2"/>
        <v>#NAME?</v>
      </c>
      <c r="BX171" s="89" t="s">
        <v>197</v>
      </c>
      <c r="BY171" s="39"/>
      <c r="BZ171" s="39"/>
      <c r="CA171" s="40" t="s">
        <v>1690</v>
      </c>
      <c r="CB171" s="41"/>
      <c r="CC171" s="90" t="s">
        <v>32</v>
      </c>
      <c r="CD171" s="91" t="s">
        <v>197</v>
      </c>
      <c r="CE171" s="2"/>
      <c r="CF171" s="92" t="s">
        <v>1387</v>
      </c>
      <c r="CG171" s="93" t="s">
        <v>1256</v>
      </c>
      <c r="CH171" s="2"/>
      <c r="CI171" s="191" t="s">
        <v>1387</v>
      </c>
      <c r="CJ171" s="94" t="s">
        <v>698</v>
      </c>
      <c r="CK171" s="2"/>
      <c r="CL171" s="22" t="s">
        <v>1387</v>
      </c>
      <c r="CM171" s="12"/>
      <c r="CN171" s="48"/>
      <c r="CO171" s="235" t="s">
        <v>1691</v>
      </c>
      <c r="CP171" s="2"/>
      <c r="CQ171" s="2" t="s">
        <v>116</v>
      </c>
      <c r="CR171" s="97">
        <v>40.0</v>
      </c>
      <c r="CS171" s="2" t="s">
        <v>409</v>
      </c>
      <c r="CT171" s="98">
        <v>156.0</v>
      </c>
      <c r="CU171" s="2"/>
      <c r="CV171" s="52" t="s">
        <v>149</v>
      </c>
      <c r="CW171" s="52" t="s">
        <v>149</v>
      </c>
      <c r="CX171" s="2"/>
      <c r="CY171" s="119" t="s">
        <v>1236</v>
      </c>
      <c r="CZ171" s="160"/>
      <c r="DA171" s="2"/>
      <c r="DB171" s="98">
        <v>75.0</v>
      </c>
      <c r="DC171" s="2"/>
      <c r="DD171" s="101" t="s">
        <v>683</v>
      </c>
      <c r="DE171" s="2"/>
      <c r="DF171" s="120" t="s">
        <v>1700</v>
      </c>
      <c r="DG171" s="173" t="s">
        <v>1693</v>
      </c>
      <c r="DH171" s="121"/>
      <c r="DI171" s="2"/>
      <c r="DJ171" s="2"/>
      <c r="DK171" s="59" t="s">
        <v>1701</v>
      </c>
      <c r="DL171" s="37" t="s">
        <v>156</v>
      </c>
      <c r="DM171" s="37" t="str">
        <f t="shared" si="3"/>
        <v>#NAME?</v>
      </c>
      <c r="DN171" s="61"/>
      <c r="DO171" s="37">
        <v>50.0</v>
      </c>
      <c r="DP171" s="37" t="s">
        <v>19</v>
      </c>
      <c r="DQ171" s="62" t="s">
        <v>1702</v>
      </c>
      <c r="DR171" s="63"/>
      <c r="DS171" s="198"/>
      <c r="DT171" s="108"/>
      <c r="DU171" s="108"/>
      <c r="DV171" s="182"/>
      <c r="DW171" s="182"/>
      <c r="DX171" s="182"/>
      <c r="DY171" s="182"/>
      <c r="DZ171" s="182"/>
      <c r="EA171" s="182"/>
      <c r="EB171" s="2"/>
      <c r="EC171" s="2"/>
      <c r="ED171" s="2"/>
      <c r="EE171" s="2"/>
      <c r="EF171" s="149" t="s">
        <v>1703</v>
      </c>
      <c r="EG171" s="69" t="str">
        <f>image("https://www.pokebip.com/pages/icones/objets/encens-doux.png", 3)</f>
        <v/>
      </c>
      <c r="EH171" s="69"/>
      <c r="EI171" s="69"/>
    </row>
    <row r="172" ht="15.75" customHeight="1">
      <c r="A172" s="1">
        <v>172.0</v>
      </c>
      <c r="B172" s="2" t="s">
        <v>1704</v>
      </c>
      <c r="C172" s="7"/>
      <c r="D172" s="169" t="s">
        <v>1705</v>
      </c>
      <c r="E172" s="5"/>
      <c r="F172" s="170"/>
      <c r="G172" s="7"/>
      <c r="H172" s="8" t="s">
        <v>1706</v>
      </c>
      <c r="I172" s="9" t="s">
        <v>1707</v>
      </c>
      <c r="J172" s="10" t="str">
        <f>image("https://archives.bulbagarden.net/media/upload/5/55/172MS6.png", 3)</f>
        <v/>
      </c>
      <c r="K172" s="11" t="s">
        <v>1705</v>
      </c>
      <c r="L172" s="12"/>
      <c r="M172" s="12"/>
      <c r="N172" s="12"/>
      <c r="O172" s="12"/>
      <c r="Q172" s="71">
        <v>20.0</v>
      </c>
      <c r="R172" s="72">
        <v>40.0</v>
      </c>
      <c r="S172" s="73">
        <v>15.0</v>
      </c>
      <c r="T172" s="74">
        <v>35.0</v>
      </c>
      <c r="U172" s="75">
        <v>35.0</v>
      </c>
      <c r="V172" s="76">
        <v>60.0</v>
      </c>
      <c r="W172" s="77">
        <v>205.0</v>
      </c>
      <c r="X172" s="21"/>
      <c r="Y172" s="71">
        <v>20.0</v>
      </c>
      <c r="Z172" s="72">
        <v>40.0</v>
      </c>
      <c r="AA172" s="73">
        <v>15.0</v>
      </c>
      <c r="AB172" s="74">
        <v>35.0</v>
      </c>
      <c r="AC172" s="75">
        <v>35.0</v>
      </c>
      <c r="AD172" s="76">
        <v>60.0</v>
      </c>
      <c r="AE172" s="77">
        <v>205.0</v>
      </c>
      <c r="AF172" s="21"/>
      <c r="AG172" s="71">
        <v>20.0</v>
      </c>
      <c r="AH172" s="72">
        <v>40.0</v>
      </c>
      <c r="AI172" s="73">
        <v>15.0</v>
      </c>
      <c r="AJ172" s="74">
        <v>35.0</v>
      </c>
      <c r="AK172" s="75">
        <v>35.0</v>
      </c>
      <c r="AL172" s="76">
        <v>60.0</v>
      </c>
      <c r="AM172" s="77">
        <v>205.0</v>
      </c>
      <c r="AN172" s="21"/>
      <c r="AO172" s="22">
        <v>20.0</v>
      </c>
      <c r="AP172" s="23">
        <v>40.0</v>
      </c>
      <c r="AQ172" s="23">
        <v>15.0</v>
      </c>
      <c r="AR172" s="23">
        <v>35.0</v>
      </c>
      <c r="AS172" s="23">
        <v>35.0</v>
      </c>
      <c r="AT172" s="23">
        <v>60.0</v>
      </c>
      <c r="AU172" s="24">
        <v>205.0</v>
      </c>
      <c r="AV172" s="21"/>
      <c r="AW172" s="78">
        <v>20.0</v>
      </c>
      <c r="AX172" s="79">
        <v>40.0</v>
      </c>
      <c r="AY172" s="79">
        <v>15.0</v>
      </c>
      <c r="AZ172" s="79">
        <v>35.0</v>
      </c>
      <c r="BA172" s="79">
        <v>35.0</v>
      </c>
      <c r="BB172" s="79">
        <v>60.0</v>
      </c>
      <c r="BC172" s="201">
        <v>205.0</v>
      </c>
      <c r="BE172" s="126" t="s">
        <v>56</v>
      </c>
      <c r="BF172" s="338"/>
      <c r="BG172" s="128"/>
      <c r="BI172" s="31" t="s">
        <v>5</v>
      </c>
      <c r="BJ172" s="32" t="s">
        <v>5</v>
      </c>
      <c r="BK172" s="32" t="s">
        <v>5</v>
      </c>
      <c r="BL172" s="32" t="s">
        <v>5</v>
      </c>
      <c r="BM172" s="32" t="s">
        <v>5</v>
      </c>
      <c r="BN172" s="33">
        <v>1.0</v>
      </c>
      <c r="BP172" s="85" t="s">
        <v>197</v>
      </c>
      <c r="BQ172" s="129"/>
      <c r="BS172" s="211" t="s">
        <v>197</v>
      </c>
      <c r="BT172" s="130"/>
      <c r="BU172" s="37" t="str">
        <f t="shared" si="1"/>
        <v>#NAME?</v>
      </c>
      <c r="BV172" s="89" t="s">
        <v>197</v>
      </c>
      <c r="BW172" s="37" t="str">
        <f t="shared" si="2"/>
        <v>#NAME?</v>
      </c>
      <c r="BX172" s="89"/>
      <c r="BY172" s="134"/>
      <c r="BZ172" s="134"/>
      <c r="CA172" s="135" t="s">
        <v>197</v>
      </c>
      <c r="CB172" s="136"/>
      <c r="CC172" s="212" t="s">
        <v>197</v>
      </c>
      <c r="CD172" s="91"/>
      <c r="CE172" s="21"/>
      <c r="CF172" s="92" t="s">
        <v>352</v>
      </c>
      <c r="CG172" s="93"/>
      <c r="CH172" s="21"/>
      <c r="CI172" s="191" t="s">
        <v>352</v>
      </c>
      <c r="CJ172" s="152" t="s">
        <v>353</v>
      </c>
      <c r="CK172" s="21"/>
      <c r="CL172" s="22" t="s">
        <v>352</v>
      </c>
      <c r="CM172" s="12"/>
      <c r="CN172" s="48"/>
      <c r="CO172" s="193" t="s">
        <v>354</v>
      </c>
      <c r="CP172" s="21"/>
      <c r="CQ172" s="2" t="s">
        <v>303</v>
      </c>
      <c r="CR172" s="97">
        <v>20.0</v>
      </c>
      <c r="CS172" s="2" t="s">
        <v>56</v>
      </c>
      <c r="CT172" s="98">
        <v>42.0</v>
      </c>
      <c r="CU172" s="2"/>
      <c r="CV172" s="52" t="s">
        <v>149</v>
      </c>
      <c r="CW172" s="52" t="s">
        <v>149</v>
      </c>
      <c r="CX172" s="2"/>
      <c r="CY172" s="334" t="s">
        <v>411</v>
      </c>
      <c r="CZ172" s="337"/>
      <c r="DA172" s="2"/>
      <c r="DB172" s="98">
        <v>190.0</v>
      </c>
      <c r="DC172" s="2"/>
      <c r="DD172" s="101" t="s">
        <v>150</v>
      </c>
      <c r="DE172" s="2"/>
      <c r="DF172" s="339" t="s">
        <v>1708</v>
      </c>
      <c r="DG172" s="336"/>
      <c r="DH172" s="336"/>
      <c r="DI172" s="21"/>
      <c r="DJ172" s="21"/>
      <c r="DK172" s="59" t="s">
        <v>1709</v>
      </c>
      <c r="DL172" s="37" t="s">
        <v>1710</v>
      </c>
      <c r="DM172" s="37" t="str">
        <f t="shared" si="3"/>
        <v>#NAME?</v>
      </c>
      <c r="DN172" s="61"/>
      <c r="DO172" s="37" t="s">
        <v>1578</v>
      </c>
      <c r="DP172" s="37" t="s">
        <v>1711</v>
      </c>
      <c r="DQ172" s="62" t="s">
        <v>137</v>
      </c>
      <c r="DR172" s="63"/>
      <c r="DS172" s="198"/>
      <c r="DT172" s="108"/>
      <c r="DU172" s="108"/>
      <c r="DV172" s="182"/>
      <c r="DW172" s="182"/>
      <c r="DX172" s="182"/>
      <c r="DY172" s="182"/>
      <c r="DZ172" s="182"/>
      <c r="EA172" s="182"/>
      <c r="EB172" s="2"/>
      <c r="EC172" s="2"/>
      <c r="ED172" s="2"/>
      <c r="EE172" s="2"/>
      <c r="EF172" s="149" t="s">
        <v>1712</v>
      </c>
      <c r="EG172" s="69" t="str">
        <f>image("https://www.pokebip.com/pages/icones/objets/encens-fleur.png", 3)</f>
        <v/>
      </c>
      <c r="EH172" s="69"/>
      <c r="EI172" s="69"/>
    </row>
    <row r="173" ht="15.75" customHeight="1">
      <c r="A173" s="1">
        <v>173.0</v>
      </c>
      <c r="B173" s="2" t="s">
        <v>1713</v>
      </c>
      <c r="C173" s="7"/>
      <c r="D173" s="213" t="s">
        <v>1714</v>
      </c>
      <c r="E173" s="5"/>
      <c r="F173" s="214"/>
      <c r="G173" s="7"/>
      <c r="H173" s="8" t="s">
        <v>1715</v>
      </c>
      <c r="I173" s="9" t="s">
        <v>1716</v>
      </c>
      <c r="J173" s="10" t="str">
        <f>image("https://archives.bulbagarden.net/media/upload/9/9c/173MS6.png", 3)</f>
        <v/>
      </c>
      <c r="K173" s="11" t="s">
        <v>1714</v>
      </c>
      <c r="L173" s="12"/>
      <c r="M173" s="12"/>
      <c r="N173" s="12"/>
      <c r="O173" s="12"/>
      <c r="Q173" s="71">
        <v>50.0</v>
      </c>
      <c r="R173" s="72">
        <v>25.0</v>
      </c>
      <c r="S173" s="73">
        <v>28.0</v>
      </c>
      <c r="T173" s="74">
        <v>45.0</v>
      </c>
      <c r="U173" s="75">
        <v>55.0</v>
      </c>
      <c r="V173" s="76">
        <v>15.0</v>
      </c>
      <c r="W173" s="77">
        <v>218.0</v>
      </c>
      <c r="X173" s="21"/>
      <c r="Y173" s="71">
        <v>50.0</v>
      </c>
      <c r="Z173" s="72">
        <v>25.0</v>
      </c>
      <c r="AA173" s="73">
        <v>28.0</v>
      </c>
      <c r="AB173" s="74">
        <v>45.0</v>
      </c>
      <c r="AC173" s="75">
        <v>55.0</v>
      </c>
      <c r="AD173" s="76">
        <v>15.0</v>
      </c>
      <c r="AE173" s="77">
        <v>218.0</v>
      </c>
      <c r="AF173" s="21"/>
      <c r="AG173" s="71">
        <v>50.0</v>
      </c>
      <c r="AH173" s="72">
        <v>25.0</v>
      </c>
      <c r="AI173" s="73">
        <v>28.0</v>
      </c>
      <c r="AJ173" s="74">
        <v>45.0</v>
      </c>
      <c r="AK173" s="75">
        <v>55.0</v>
      </c>
      <c r="AL173" s="76">
        <v>15.0</v>
      </c>
      <c r="AM173" s="77">
        <v>218.0</v>
      </c>
      <c r="AN173" s="21"/>
      <c r="AO173" s="22">
        <v>50.0</v>
      </c>
      <c r="AP173" s="23">
        <v>25.0</v>
      </c>
      <c r="AQ173" s="23">
        <v>28.0</v>
      </c>
      <c r="AR173" s="23">
        <v>45.0</v>
      </c>
      <c r="AS173" s="23">
        <v>55.0</v>
      </c>
      <c r="AT173" s="23">
        <v>15.0</v>
      </c>
      <c r="AU173" s="24">
        <v>218.0</v>
      </c>
      <c r="AV173" s="21"/>
      <c r="AW173" s="78">
        <v>50.0</v>
      </c>
      <c r="AX173" s="79">
        <v>25.0</v>
      </c>
      <c r="AY173" s="79">
        <v>28.0</v>
      </c>
      <c r="AZ173" s="79">
        <v>45.0</v>
      </c>
      <c r="BA173" s="79">
        <v>55.0</v>
      </c>
      <c r="BB173" s="79">
        <v>15.0</v>
      </c>
      <c r="BC173" s="201">
        <v>218.0</v>
      </c>
      <c r="BE173" s="150" t="s">
        <v>815</v>
      </c>
      <c r="BF173" s="113"/>
      <c r="BG173" s="93"/>
      <c r="BI173" s="31" t="s">
        <v>5</v>
      </c>
      <c r="BJ173" s="32" t="s">
        <v>5</v>
      </c>
      <c r="BK173" s="32" t="s">
        <v>5</v>
      </c>
      <c r="BL173" s="32" t="s">
        <v>5</v>
      </c>
      <c r="BM173" s="234">
        <v>2.0</v>
      </c>
      <c r="BN173" s="33" t="s">
        <v>5</v>
      </c>
      <c r="BP173" s="115" t="s">
        <v>156</v>
      </c>
      <c r="BQ173" s="93"/>
      <c r="BS173" s="344" t="s">
        <v>153</v>
      </c>
      <c r="BT173" s="345"/>
      <c r="BU173" s="37" t="str">
        <f t="shared" si="1"/>
        <v>#NAME?</v>
      </c>
      <c r="BV173" s="89" t="s">
        <v>461</v>
      </c>
      <c r="BW173" s="37" t="str">
        <f t="shared" si="2"/>
        <v>#NAME?</v>
      </c>
      <c r="BX173" s="89"/>
      <c r="BY173" s="39"/>
      <c r="BZ173" s="39"/>
      <c r="CA173" s="40" t="s">
        <v>462</v>
      </c>
      <c r="CB173" s="41"/>
      <c r="CC173" s="24" t="s">
        <v>153</v>
      </c>
      <c r="CD173" s="346"/>
      <c r="CE173" s="21"/>
      <c r="CF173" s="92" t="s">
        <v>463</v>
      </c>
      <c r="CG173" s="93" t="s">
        <v>464</v>
      </c>
      <c r="CH173" s="21"/>
      <c r="CI173" s="92" t="s">
        <v>463</v>
      </c>
      <c r="CJ173" s="195" t="s">
        <v>464</v>
      </c>
      <c r="CK173" s="21"/>
      <c r="CL173" s="22" t="s">
        <v>463</v>
      </c>
      <c r="CM173" s="12"/>
      <c r="CN173" s="48"/>
      <c r="CO173" s="282" t="s">
        <v>464</v>
      </c>
      <c r="CP173" s="21"/>
      <c r="CQ173" s="2" t="s">
        <v>1717</v>
      </c>
      <c r="CR173" s="97">
        <v>20.0</v>
      </c>
      <c r="CS173" s="2" t="s">
        <v>815</v>
      </c>
      <c r="CT173" s="98">
        <v>37.0</v>
      </c>
      <c r="CU173" s="2"/>
      <c r="CV173" s="52" t="s">
        <v>466</v>
      </c>
      <c r="CW173" s="347">
        <v>0.75</v>
      </c>
      <c r="CX173" s="2"/>
      <c r="CY173" s="119" t="s">
        <v>411</v>
      </c>
      <c r="CZ173" s="160"/>
      <c r="DA173" s="2"/>
      <c r="DB173" s="98">
        <v>150.0</v>
      </c>
      <c r="DC173" s="2"/>
      <c r="DD173" s="101" t="s">
        <v>468</v>
      </c>
      <c r="DE173" s="2"/>
      <c r="DF173" s="148" t="s">
        <v>1718</v>
      </c>
      <c r="DG173" s="173" t="s">
        <v>470</v>
      </c>
      <c r="DH173" s="121"/>
      <c r="DI173" s="21"/>
      <c r="DJ173" s="21"/>
      <c r="DK173" s="59" t="s">
        <v>1719</v>
      </c>
      <c r="DL173" s="37" t="s">
        <v>153</v>
      </c>
      <c r="DM173" s="37" t="str">
        <f t="shared" si="3"/>
        <v>#NAME?</v>
      </c>
      <c r="DN173" s="61"/>
      <c r="DO173" s="37">
        <v>90.0</v>
      </c>
      <c r="DP173" s="105">
        <v>0.9</v>
      </c>
      <c r="DQ173" s="62" t="s">
        <v>49</v>
      </c>
      <c r="DR173" s="155"/>
      <c r="DS173" s="251"/>
      <c r="DT173" s="108"/>
      <c r="DU173" s="108"/>
      <c r="DV173" s="252"/>
      <c r="DW173" s="252"/>
      <c r="DX173" s="252"/>
      <c r="DY173" s="252"/>
      <c r="DZ173" s="252"/>
      <c r="EA173" s="252"/>
      <c r="EB173" s="21"/>
      <c r="EC173" s="21"/>
      <c r="ED173" s="21"/>
      <c r="EE173" s="21"/>
      <c r="EF173" s="149" t="s">
        <v>1720</v>
      </c>
      <c r="EG173" s="69" t="str">
        <f>image("https://www.pokebip.com/pages/icones/objets/encens-mer.png", 3)</f>
        <v/>
      </c>
      <c r="EH173" s="69"/>
      <c r="EI173" s="69"/>
    </row>
    <row r="174" ht="15.75" customHeight="1">
      <c r="A174" s="1">
        <v>174.0</v>
      </c>
      <c r="B174" s="2" t="s">
        <v>1721</v>
      </c>
      <c r="C174" s="7"/>
      <c r="D174" s="213" t="s">
        <v>1722</v>
      </c>
      <c r="E174" s="5"/>
      <c r="F174" s="214"/>
      <c r="G174" s="7"/>
      <c r="H174" s="8" t="s">
        <v>1723</v>
      </c>
      <c r="I174" s="9" t="s">
        <v>1724</v>
      </c>
      <c r="J174" s="10" t="str">
        <f>image("https://archives.bulbagarden.net/media/upload/5/59/174MS6.png", 3)</f>
        <v/>
      </c>
      <c r="K174" s="11" t="s">
        <v>1722</v>
      </c>
      <c r="L174" s="12"/>
      <c r="M174" s="12"/>
      <c r="N174" s="12"/>
      <c r="O174" s="12"/>
      <c r="Q174" s="71">
        <v>90.0</v>
      </c>
      <c r="R174" s="72">
        <v>30.0</v>
      </c>
      <c r="S174" s="73">
        <v>15.0</v>
      </c>
      <c r="T174" s="74">
        <v>40.0</v>
      </c>
      <c r="U174" s="75">
        <v>20.0</v>
      </c>
      <c r="V174" s="76">
        <v>15.0</v>
      </c>
      <c r="W174" s="77">
        <v>210.0</v>
      </c>
      <c r="X174" s="21"/>
      <c r="Y174" s="71">
        <v>90.0</v>
      </c>
      <c r="Z174" s="72">
        <v>30.0</v>
      </c>
      <c r="AA174" s="73">
        <v>15.0</v>
      </c>
      <c r="AB174" s="74">
        <v>40.0</v>
      </c>
      <c r="AC174" s="75">
        <v>20.0</v>
      </c>
      <c r="AD174" s="76">
        <v>15.0</v>
      </c>
      <c r="AE174" s="77">
        <v>210.0</v>
      </c>
      <c r="AF174" s="21"/>
      <c r="AG174" s="71">
        <v>90.0</v>
      </c>
      <c r="AH174" s="72">
        <v>30.0</v>
      </c>
      <c r="AI174" s="73">
        <v>15.0</v>
      </c>
      <c r="AJ174" s="74">
        <v>40.0</v>
      </c>
      <c r="AK174" s="75">
        <v>20.0</v>
      </c>
      <c r="AL174" s="76">
        <v>15.0</v>
      </c>
      <c r="AM174" s="77">
        <v>210.0</v>
      </c>
      <c r="AN174" s="21"/>
      <c r="AO174" s="22">
        <v>90.0</v>
      </c>
      <c r="AP174" s="23">
        <v>30.0</v>
      </c>
      <c r="AQ174" s="23">
        <v>15.0</v>
      </c>
      <c r="AR174" s="23">
        <v>40.0</v>
      </c>
      <c r="AS174" s="23">
        <v>20.0</v>
      </c>
      <c r="AT174" s="23">
        <v>15.0</v>
      </c>
      <c r="AU174" s="24">
        <v>210.0</v>
      </c>
      <c r="AV174" s="21"/>
      <c r="AW174" s="78">
        <v>90.0</v>
      </c>
      <c r="AX174" s="79">
        <v>30.0</v>
      </c>
      <c r="AY174" s="79">
        <v>15.0</v>
      </c>
      <c r="AZ174" s="79">
        <v>40.0</v>
      </c>
      <c r="BA174" s="79">
        <v>20.0</v>
      </c>
      <c r="BB174" s="79">
        <v>15.0</v>
      </c>
      <c r="BC174" s="201">
        <v>210.0</v>
      </c>
      <c r="BE174" s="151" t="s">
        <v>144</v>
      </c>
      <c r="BF174" s="338"/>
      <c r="BG174" s="128"/>
      <c r="BI174" s="31">
        <v>1.0</v>
      </c>
      <c r="BJ174" s="32" t="s">
        <v>5</v>
      </c>
      <c r="BK174" s="32" t="s">
        <v>5</v>
      </c>
      <c r="BL174" s="32" t="s">
        <v>5</v>
      </c>
      <c r="BM174" s="32" t="s">
        <v>5</v>
      </c>
      <c r="BN174" s="33" t="s">
        <v>5</v>
      </c>
      <c r="BP174" s="85" t="s">
        <v>156</v>
      </c>
      <c r="BQ174" s="129"/>
      <c r="BS174" s="348" t="s">
        <v>156</v>
      </c>
      <c r="BT174" s="288" t="s">
        <v>153</v>
      </c>
      <c r="BU174" s="37" t="str">
        <f t="shared" si="1"/>
        <v>#NAME?</v>
      </c>
      <c r="BV174" s="89" t="s">
        <v>156</v>
      </c>
      <c r="BW174" s="37" t="str">
        <f t="shared" si="2"/>
        <v>#NAME?</v>
      </c>
      <c r="BX174" s="89" t="s">
        <v>461</v>
      </c>
      <c r="BY174" s="39"/>
      <c r="BZ174" s="39"/>
      <c r="CA174" s="40" t="s">
        <v>1725</v>
      </c>
      <c r="CB174" s="41"/>
      <c r="CC174" s="349" t="s">
        <v>156</v>
      </c>
      <c r="CD174" s="139" t="s">
        <v>153</v>
      </c>
      <c r="CE174" s="21"/>
      <c r="CF174" s="92" t="s">
        <v>463</v>
      </c>
      <c r="CG174" s="93"/>
      <c r="CH174" s="21"/>
      <c r="CI174" s="177" t="s">
        <v>463</v>
      </c>
      <c r="CJ174" s="93"/>
      <c r="CK174" s="21"/>
      <c r="CL174" s="22" t="s">
        <v>463</v>
      </c>
      <c r="CM174" s="12"/>
      <c r="CN174" s="48"/>
      <c r="CO174" s="159" t="s">
        <v>511</v>
      </c>
      <c r="CP174" s="21"/>
      <c r="CQ174" s="2" t="s">
        <v>1146</v>
      </c>
      <c r="CR174" s="97">
        <v>20.0</v>
      </c>
      <c r="CS174" s="2" t="s">
        <v>144</v>
      </c>
      <c r="CT174" s="98">
        <v>39.0</v>
      </c>
      <c r="CU174" s="2"/>
      <c r="CV174" s="52" t="s">
        <v>466</v>
      </c>
      <c r="CW174" s="347">
        <v>0.75</v>
      </c>
      <c r="CX174" s="2"/>
      <c r="CY174" s="334" t="s">
        <v>411</v>
      </c>
      <c r="CZ174" s="337"/>
      <c r="DA174" s="2"/>
      <c r="DB174" s="98">
        <v>170.0</v>
      </c>
      <c r="DC174" s="2"/>
      <c r="DD174" s="101" t="s">
        <v>468</v>
      </c>
      <c r="DE174" s="2"/>
      <c r="DF174" s="339" t="s">
        <v>1726</v>
      </c>
      <c r="DG174" s="336"/>
      <c r="DH174" s="336"/>
      <c r="DI174" s="21"/>
      <c r="DJ174" s="21"/>
      <c r="DK174" s="59" t="s">
        <v>1727</v>
      </c>
      <c r="DL174" s="37" t="s">
        <v>76</v>
      </c>
      <c r="DM174" s="37" t="str">
        <f t="shared" si="3"/>
        <v>#NAME?</v>
      </c>
      <c r="DN174" s="61"/>
      <c r="DO174" s="37" t="s">
        <v>258</v>
      </c>
      <c r="DP174" s="105">
        <v>1.0</v>
      </c>
      <c r="DQ174" s="62" t="s">
        <v>293</v>
      </c>
      <c r="DR174" s="63"/>
      <c r="DS174" s="198"/>
      <c r="DT174" s="108"/>
      <c r="DU174" s="108"/>
      <c r="DV174" s="182"/>
      <c r="DW174" s="182"/>
      <c r="DX174" s="182"/>
      <c r="DY174" s="182"/>
      <c r="DZ174" s="182"/>
      <c r="EA174" s="182"/>
      <c r="EB174" s="2"/>
      <c r="EC174" s="2"/>
      <c r="ED174" s="2"/>
      <c r="EE174" s="2"/>
      <c r="EF174" s="149" t="s">
        <v>1728</v>
      </c>
      <c r="EG174" s="69" t="str">
        <f>image("https://www.pokebip.com/pages/icones/objets/encens-plein.png", 3)</f>
        <v/>
      </c>
      <c r="EH174" s="69"/>
      <c r="EI174" s="69"/>
    </row>
    <row r="175" ht="15.75" customHeight="1">
      <c r="A175" s="1">
        <v>175.0</v>
      </c>
      <c r="B175" s="2" t="s">
        <v>1729</v>
      </c>
      <c r="C175" s="7"/>
      <c r="D175" s="161" t="s">
        <v>1730</v>
      </c>
      <c r="E175" s="5"/>
      <c r="F175" s="7"/>
      <c r="G175" s="7"/>
      <c r="H175" s="8" t="s">
        <v>1731</v>
      </c>
      <c r="I175" s="9" t="s">
        <v>1732</v>
      </c>
      <c r="J175" s="10" t="str">
        <f>image("https://archives.bulbagarden.net/media/upload/d/d1/175MS6.png", 3)</f>
        <v/>
      </c>
      <c r="K175" s="11" t="s">
        <v>1730</v>
      </c>
      <c r="L175" s="12"/>
      <c r="M175" s="12"/>
      <c r="N175" s="12"/>
      <c r="O175" s="12"/>
      <c r="Q175" s="71">
        <v>35.0</v>
      </c>
      <c r="R175" s="72">
        <v>20.0</v>
      </c>
      <c r="S175" s="73">
        <v>65.0</v>
      </c>
      <c r="T175" s="74">
        <v>40.0</v>
      </c>
      <c r="U175" s="75">
        <v>65.0</v>
      </c>
      <c r="V175" s="76">
        <v>20.0</v>
      </c>
      <c r="W175" s="77">
        <v>245.0</v>
      </c>
      <c r="X175" s="21"/>
      <c r="Y175" s="71">
        <v>35.0</v>
      </c>
      <c r="Z175" s="72">
        <v>20.0</v>
      </c>
      <c r="AA175" s="73">
        <v>65.0</v>
      </c>
      <c r="AB175" s="74">
        <v>40.0</v>
      </c>
      <c r="AC175" s="75">
        <v>65.0</v>
      </c>
      <c r="AD175" s="76">
        <v>20.0</v>
      </c>
      <c r="AE175" s="77">
        <v>245.0</v>
      </c>
      <c r="AF175" s="21"/>
      <c r="AG175" s="71">
        <v>35.0</v>
      </c>
      <c r="AH175" s="72">
        <v>20.0</v>
      </c>
      <c r="AI175" s="73">
        <v>65.0</v>
      </c>
      <c r="AJ175" s="74">
        <v>40.0</v>
      </c>
      <c r="AK175" s="75">
        <v>65.0</v>
      </c>
      <c r="AL175" s="76">
        <v>20.0</v>
      </c>
      <c r="AM175" s="77">
        <v>245.0</v>
      </c>
      <c r="AN175" s="21"/>
      <c r="AO175" s="22">
        <v>35.0</v>
      </c>
      <c r="AP175" s="23">
        <v>20.0</v>
      </c>
      <c r="AQ175" s="23">
        <v>65.0</v>
      </c>
      <c r="AR175" s="23">
        <v>40.0</v>
      </c>
      <c r="AS175" s="23">
        <v>65.0</v>
      </c>
      <c r="AT175" s="23">
        <v>20.0</v>
      </c>
      <c r="AU175" s="24">
        <v>245.0</v>
      </c>
      <c r="AV175" s="21"/>
      <c r="AW175" s="78">
        <v>35.0</v>
      </c>
      <c r="AX175" s="79">
        <v>20.0</v>
      </c>
      <c r="AY175" s="79">
        <v>65.0</v>
      </c>
      <c r="AZ175" s="79">
        <v>40.0</v>
      </c>
      <c r="BA175" s="79">
        <v>65.0</v>
      </c>
      <c r="BB175" s="79">
        <v>20.0</v>
      </c>
      <c r="BC175" s="201">
        <v>245.0</v>
      </c>
      <c r="BE175" s="225" t="s">
        <v>27</v>
      </c>
      <c r="BF175" s="184"/>
      <c r="BG175" s="128"/>
      <c r="BI175" s="31" t="s">
        <v>5</v>
      </c>
      <c r="BJ175" s="32" t="s">
        <v>5</v>
      </c>
      <c r="BK175" s="32" t="s">
        <v>5</v>
      </c>
      <c r="BL175" s="32" t="s">
        <v>5</v>
      </c>
      <c r="BM175" s="32">
        <v>1.0</v>
      </c>
      <c r="BN175" s="33" t="s">
        <v>5</v>
      </c>
      <c r="BP175" s="115" t="s">
        <v>156</v>
      </c>
      <c r="BQ175" s="93"/>
      <c r="BS175" s="215" t="s">
        <v>153</v>
      </c>
      <c r="BT175" s="60"/>
      <c r="BU175" s="37" t="str">
        <f t="shared" si="1"/>
        <v>#NAME?</v>
      </c>
      <c r="BV175" s="89" t="s">
        <v>461</v>
      </c>
      <c r="BW175" s="37" t="str">
        <f t="shared" si="2"/>
        <v>#NAME?</v>
      </c>
      <c r="BX175" s="89"/>
      <c r="BY175" s="39"/>
      <c r="BZ175" s="39"/>
      <c r="CA175" s="40" t="s">
        <v>462</v>
      </c>
      <c r="CB175" s="41"/>
      <c r="CC175" s="216" t="s">
        <v>153</v>
      </c>
      <c r="CD175" s="350"/>
      <c r="CE175" s="21"/>
      <c r="CF175" s="92" t="s">
        <v>1733</v>
      </c>
      <c r="CG175" s="93" t="s">
        <v>1183</v>
      </c>
      <c r="CH175" s="21"/>
      <c r="CI175" s="95" t="s">
        <v>1183</v>
      </c>
      <c r="CJ175" s="351" t="s">
        <v>1734</v>
      </c>
      <c r="CK175" s="21"/>
      <c r="CL175" s="22" t="s">
        <v>1184</v>
      </c>
      <c r="CM175" s="12"/>
      <c r="CN175" s="48"/>
      <c r="CO175" s="239" t="s">
        <v>912</v>
      </c>
      <c r="CP175" s="21"/>
      <c r="CQ175" s="2" t="s">
        <v>1735</v>
      </c>
      <c r="CR175" s="97">
        <v>20.0</v>
      </c>
      <c r="CS175" s="2" t="s">
        <v>27</v>
      </c>
      <c r="CT175" s="98">
        <v>74.0</v>
      </c>
      <c r="CU175" s="2"/>
      <c r="CV175" s="52" t="s">
        <v>13</v>
      </c>
      <c r="CW175" s="53">
        <v>0.125</v>
      </c>
      <c r="CX175" s="2"/>
      <c r="CY175" s="119" t="s">
        <v>411</v>
      </c>
      <c r="CZ175" s="160"/>
      <c r="DA175" s="2"/>
      <c r="DB175" s="98">
        <v>190.0</v>
      </c>
      <c r="DC175" s="2"/>
      <c r="DD175" s="101" t="s">
        <v>468</v>
      </c>
      <c r="DE175" s="2"/>
      <c r="DF175" s="148" t="s">
        <v>1736</v>
      </c>
      <c r="DG175" s="121"/>
      <c r="DH175" s="121"/>
      <c r="DI175" s="21"/>
      <c r="DJ175" s="21"/>
      <c r="DK175" s="59" t="s">
        <v>1737</v>
      </c>
      <c r="DL175" s="37" t="s">
        <v>156</v>
      </c>
      <c r="DM175" s="37" t="str">
        <f t="shared" si="3"/>
        <v>#NAME?</v>
      </c>
      <c r="DN175" s="61"/>
      <c r="DO175" s="37" t="s">
        <v>19</v>
      </c>
      <c r="DP175" s="105">
        <v>0.9</v>
      </c>
      <c r="DQ175" s="62" t="s">
        <v>49</v>
      </c>
      <c r="DR175" s="63"/>
      <c r="DS175" s="198"/>
      <c r="DT175" s="108"/>
      <c r="DU175" s="108"/>
      <c r="DV175" s="182"/>
      <c r="DW175" s="182"/>
      <c r="DX175" s="182"/>
      <c r="DY175" s="182"/>
      <c r="DZ175" s="182"/>
      <c r="EA175" s="182"/>
      <c r="EB175" s="2"/>
      <c r="EC175" s="2"/>
      <c r="ED175" s="2"/>
      <c r="EE175" s="2"/>
      <c r="EF175" s="149" t="s">
        <v>1738</v>
      </c>
      <c r="EG175" s="69" t="str">
        <f>image("https://www.pokebip.com/pages/icones/objets/encens-pur.png", 3)</f>
        <v/>
      </c>
      <c r="EH175" s="69"/>
      <c r="EI175" s="69"/>
    </row>
    <row r="176" ht="15.75" customHeight="1">
      <c r="A176" s="1">
        <v>176.0</v>
      </c>
      <c r="B176" s="2" t="s">
        <v>1739</v>
      </c>
      <c r="C176" s="7"/>
      <c r="D176" s="352" t="s">
        <v>1740</v>
      </c>
      <c r="E176" s="5"/>
      <c r="F176" s="7"/>
      <c r="G176" s="7"/>
      <c r="H176" s="8" t="s">
        <v>1741</v>
      </c>
      <c r="I176" s="9" t="s">
        <v>1742</v>
      </c>
      <c r="J176" s="10" t="str">
        <f>image("https://archives.bulbagarden.net/media/upload/0/0a/176MS6.png", 3)</f>
        <v/>
      </c>
      <c r="K176" s="11" t="s">
        <v>1740</v>
      </c>
      <c r="L176" s="12"/>
      <c r="M176" s="12"/>
      <c r="N176" s="12"/>
      <c r="O176" s="12"/>
      <c r="Q176" s="71">
        <v>55.0</v>
      </c>
      <c r="R176" s="72">
        <v>40.0</v>
      </c>
      <c r="S176" s="73">
        <v>85.0</v>
      </c>
      <c r="T176" s="74">
        <v>80.0</v>
      </c>
      <c r="U176" s="75">
        <v>105.0</v>
      </c>
      <c r="V176" s="76">
        <v>40.0</v>
      </c>
      <c r="W176" s="77">
        <v>405.0</v>
      </c>
      <c r="X176" s="21"/>
      <c r="Y176" s="71">
        <v>55.0</v>
      </c>
      <c r="Z176" s="72">
        <v>40.0</v>
      </c>
      <c r="AA176" s="73">
        <v>85.0</v>
      </c>
      <c r="AB176" s="74">
        <v>80.0</v>
      </c>
      <c r="AC176" s="75">
        <v>105.0</v>
      </c>
      <c r="AD176" s="76">
        <v>40.0</v>
      </c>
      <c r="AE176" s="77">
        <v>405.0</v>
      </c>
      <c r="AF176" s="21"/>
      <c r="AG176" s="71">
        <v>55.0</v>
      </c>
      <c r="AH176" s="72">
        <v>40.0</v>
      </c>
      <c r="AI176" s="73">
        <v>85.0</v>
      </c>
      <c r="AJ176" s="74">
        <v>80.0</v>
      </c>
      <c r="AK176" s="75">
        <v>105.0</v>
      </c>
      <c r="AL176" s="76">
        <v>40.0</v>
      </c>
      <c r="AM176" s="77">
        <v>405.0</v>
      </c>
      <c r="AN176" s="21"/>
      <c r="AO176" s="22">
        <v>55.0</v>
      </c>
      <c r="AP176" s="23">
        <v>40.0</v>
      </c>
      <c r="AQ176" s="23">
        <v>85.0</v>
      </c>
      <c r="AR176" s="23">
        <v>80.0</v>
      </c>
      <c r="AS176" s="23">
        <v>105.0</v>
      </c>
      <c r="AT176" s="23">
        <v>40.0</v>
      </c>
      <c r="AU176" s="24">
        <v>405.0</v>
      </c>
      <c r="AV176" s="21"/>
      <c r="AW176" s="78">
        <v>55.0</v>
      </c>
      <c r="AX176" s="79">
        <v>40.0</v>
      </c>
      <c r="AY176" s="79">
        <v>85.0</v>
      </c>
      <c r="AZ176" s="79">
        <v>80.0</v>
      </c>
      <c r="BA176" s="79">
        <v>105.0</v>
      </c>
      <c r="BB176" s="79">
        <v>40.0</v>
      </c>
      <c r="BC176" s="201">
        <v>405.0</v>
      </c>
      <c r="BE176" s="150" t="s">
        <v>815</v>
      </c>
      <c r="BF176" s="113"/>
      <c r="BG176" s="129"/>
      <c r="BI176" s="31" t="s">
        <v>5</v>
      </c>
      <c r="BJ176" s="32" t="s">
        <v>5</v>
      </c>
      <c r="BK176" s="32" t="s">
        <v>5</v>
      </c>
      <c r="BL176" s="32" t="s">
        <v>5</v>
      </c>
      <c r="BM176" s="32">
        <v>2.0</v>
      </c>
      <c r="BN176" s="33" t="s">
        <v>5</v>
      </c>
      <c r="BP176" s="85" t="s">
        <v>156</v>
      </c>
      <c r="BQ176" s="86" t="s">
        <v>18</v>
      </c>
      <c r="BS176" s="217" t="s">
        <v>153</v>
      </c>
      <c r="BT176" s="353" t="s">
        <v>18</v>
      </c>
      <c r="BU176" s="37" t="str">
        <f t="shared" si="1"/>
        <v>#NAME?</v>
      </c>
      <c r="BV176" s="89" t="s">
        <v>461</v>
      </c>
      <c r="BW176" s="37" t="str">
        <f t="shared" si="2"/>
        <v>#NAME?</v>
      </c>
      <c r="BX176" s="89" t="s">
        <v>18</v>
      </c>
      <c r="BY176" s="39"/>
      <c r="BZ176" s="39"/>
      <c r="CA176" s="40" t="s">
        <v>1743</v>
      </c>
      <c r="CB176" s="41"/>
      <c r="CC176" s="219" t="s">
        <v>153</v>
      </c>
      <c r="CD176" s="62" t="s">
        <v>18</v>
      </c>
      <c r="CE176" s="2"/>
      <c r="CF176" s="92" t="s">
        <v>1733</v>
      </c>
      <c r="CG176" s="93" t="s">
        <v>1183</v>
      </c>
      <c r="CH176" s="2"/>
      <c r="CI176" s="95" t="s">
        <v>1183</v>
      </c>
      <c r="CJ176" s="354" t="s">
        <v>1734</v>
      </c>
      <c r="CK176" s="2"/>
      <c r="CL176" s="22" t="s">
        <v>1184</v>
      </c>
      <c r="CM176" s="12"/>
      <c r="CN176" s="48"/>
      <c r="CO176" s="242" t="s">
        <v>912</v>
      </c>
      <c r="CP176" s="2"/>
      <c r="CQ176" s="2" t="s">
        <v>192</v>
      </c>
      <c r="CR176" s="97">
        <v>20.0</v>
      </c>
      <c r="CS176" s="2" t="s">
        <v>815</v>
      </c>
      <c r="CT176" s="98">
        <v>114.0</v>
      </c>
      <c r="CU176" s="2"/>
      <c r="CV176" s="52" t="s">
        <v>13</v>
      </c>
      <c r="CW176" s="53">
        <v>0.125</v>
      </c>
      <c r="CX176" s="2"/>
      <c r="CY176" s="333" t="s">
        <v>18</v>
      </c>
      <c r="CZ176" s="334" t="s">
        <v>153</v>
      </c>
      <c r="DA176" s="2"/>
      <c r="DB176" s="98">
        <v>75.0</v>
      </c>
      <c r="DC176" s="2"/>
      <c r="DD176" s="101" t="s">
        <v>468</v>
      </c>
      <c r="DE176" s="2"/>
      <c r="DF176" s="335" t="s">
        <v>1744</v>
      </c>
      <c r="DG176" s="336"/>
      <c r="DH176" s="336"/>
      <c r="DI176" s="2"/>
      <c r="DJ176" s="2"/>
      <c r="DK176" s="59" t="s">
        <v>1745</v>
      </c>
      <c r="DL176" s="37" t="s">
        <v>64</v>
      </c>
      <c r="DM176" s="37" t="str">
        <f t="shared" si="3"/>
        <v>#NAME?</v>
      </c>
      <c r="DN176" s="61"/>
      <c r="DO176" s="37">
        <v>120.0</v>
      </c>
      <c r="DP176" s="105">
        <v>1.0</v>
      </c>
      <c r="DQ176" s="62" t="s">
        <v>293</v>
      </c>
      <c r="DR176" s="63"/>
      <c r="DS176" s="198"/>
      <c r="DT176" s="108"/>
      <c r="DU176" s="108"/>
      <c r="DV176" s="182"/>
      <c r="DW176" s="182"/>
      <c r="DX176" s="182"/>
      <c r="DY176" s="182"/>
      <c r="DZ176" s="182"/>
      <c r="EA176" s="182"/>
      <c r="EB176" s="21"/>
      <c r="EC176" s="21"/>
      <c r="ED176" s="21"/>
      <c r="EE176" s="21"/>
      <c r="EF176" s="149" t="s">
        <v>1746</v>
      </c>
      <c r="EG176" s="69" t="str">
        <f>image("https://www.pokebip.com/pages/icones/objets/encens-roc.png", 3)</f>
        <v/>
      </c>
      <c r="EH176" s="69"/>
      <c r="EI176" s="69"/>
    </row>
    <row r="177" ht="15.75" customHeight="1">
      <c r="A177" s="1">
        <v>177.0</v>
      </c>
      <c r="B177" s="2" t="s">
        <v>1747</v>
      </c>
      <c r="C177" s="7"/>
      <c r="D177" s="4" t="s">
        <v>1748</v>
      </c>
      <c r="E177" s="5"/>
      <c r="F177" s="6"/>
      <c r="G177" s="7"/>
      <c r="H177" s="8" t="s">
        <v>1749</v>
      </c>
      <c r="I177" s="9" t="s">
        <v>1750</v>
      </c>
      <c r="J177" s="10" t="str">
        <f>image("https://archives.bulbagarden.net/media/upload/0/0b/177MS6.png", 3)</f>
        <v/>
      </c>
      <c r="K177" s="11" t="s">
        <v>1748</v>
      </c>
      <c r="L177" s="12"/>
      <c r="M177" s="12"/>
      <c r="N177" s="12"/>
      <c r="O177" s="12"/>
      <c r="Q177" s="71">
        <v>40.0</v>
      </c>
      <c r="R177" s="72">
        <v>50.0</v>
      </c>
      <c r="S177" s="73">
        <v>45.0</v>
      </c>
      <c r="T177" s="74">
        <v>70.0</v>
      </c>
      <c r="U177" s="75">
        <v>45.0</v>
      </c>
      <c r="V177" s="76">
        <v>70.0</v>
      </c>
      <c r="W177" s="77">
        <v>320.0</v>
      </c>
      <c r="X177" s="21"/>
      <c r="Y177" s="71">
        <v>40.0</v>
      </c>
      <c r="Z177" s="72">
        <v>50.0</v>
      </c>
      <c r="AA177" s="73">
        <v>45.0</v>
      </c>
      <c r="AB177" s="74">
        <v>70.0</v>
      </c>
      <c r="AC177" s="75">
        <v>45.0</v>
      </c>
      <c r="AD177" s="76">
        <v>70.0</v>
      </c>
      <c r="AE177" s="77">
        <v>320.0</v>
      </c>
      <c r="AF177" s="21"/>
      <c r="AG177" s="71">
        <v>40.0</v>
      </c>
      <c r="AH177" s="72">
        <v>50.0</v>
      </c>
      <c r="AI177" s="73">
        <v>45.0</v>
      </c>
      <c r="AJ177" s="74">
        <v>70.0</v>
      </c>
      <c r="AK177" s="75">
        <v>45.0</v>
      </c>
      <c r="AL177" s="76">
        <v>70.0</v>
      </c>
      <c r="AM177" s="77">
        <v>320.0</v>
      </c>
      <c r="AN177" s="21"/>
      <c r="AO177" s="22">
        <v>40.0</v>
      </c>
      <c r="AP177" s="23">
        <v>50.0</v>
      </c>
      <c r="AQ177" s="23">
        <v>45.0</v>
      </c>
      <c r="AR177" s="23">
        <v>70.0</v>
      </c>
      <c r="AS177" s="23">
        <v>45.0</v>
      </c>
      <c r="AT177" s="23">
        <v>70.0</v>
      </c>
      <c r="AU177" s="24">
        <v>320.0</v>
      </c>
      <c r="AV177" s="21"/>
      <c r="AW177" s="78">
        <v>40.0</v>
      </c>
      <c r="AX177" s="79">
        <v>50.0</v>
      </c>
      <c r="AY177" s="79">
        <v>45.0</v>
      </c>
      <c r="AZ177" s="79">
        <v>70.0</v>
      </c>
      <c r="BA177" s="79">
        <v>45.0</v>
      </c>
      <c r="BB177" s="79">
        <v>70.0</v>
      </c>
      <c r="BC177" s="201">
        <v>320.0</v>
      </c>
      <c r="BE177" s="82" t="s">
        <v>4</v>
      </c>
      <c r="BF177" s="184"/>
      <c r="BG177" s="128"/>
      <c r="BI177" s="31" t="s">
        <v>5</v>
      </c>
      <c r="BJ177" s="32" t="s">
        <v>5</v>
      </c>
      <c r="BK177" s="32" t="s">
        <v>5</v>
      </c>
      <c r="BL177" s="32">
        <v>1.0</v>
      </c>
      <c r="BM177" s="32" t="s">
        <v>5</v>
      </c>
      <c r="BN177" s="33" t="s">
        <v>5</v>
      </c>
      <c r="BP177" s="115" t="s">
        <v>122</v>
      </c>
      <c r="BQ177" s="116" t="s">
        <v>18</v>
      </c>
      <c r="BS177" s="221" t="s">
        <v>122</v>
      </c>
      <c r="BT177" s="117" t="s">
        <v>18</v>
      </c>
      <c r="BU177" s="37" t="str">
        <f t="shared" si="1"/>
        <v>#NAME?</v>
      </c>
      <c r="BV177" s="89" t="s">
        <v>122</v>
      </c>
      <c r="BW177" s="37" t="str">
        <f t="shared" si="2"/>
        <v>#NAME?</v>
      </c>
      <c r="BX177" s="89" t="s">
        <v>18</v>
      </c>
      <c r="BY177" s="144"/>
      <c r="BZ177" s="144"/>
      <c r="CA177" s="145" t="s">
        <v>1751</v>
      </c>
      <c r="CB177" s="146"/>
      <c r="CC177" s="224" t="s">
        <v>122</v>
      </c>
      <c r="CD177" s="91" t="s">
        <v>18</v>
      </c>
      <c r="CE177" s="2"/>
      <c r="CF177" s="92" t="s">
        <v>727</v>
      </c>
      <c r="CG177" s="93" t="s">
        <v>924</v>
      </c>
      <c r="CH177" s="2"/>
      <c r="CI177" s="175" t="s">
        <v>727</v>
      </c>
      <c r="CJ177" s="93" t="s">
        <v>924</v>
      </c>
      <c r="CK177" s="2"/>
      <c r="CL177" s="22" t="s">
        <v>727</v>
      </c>
      <c r="CM177" s="12"/>
      <c r="CN177" s="48"/>
      <c r="CO177" s="96" t="s">
        <v>924</v>
      </c>
      <c r="CP177" s="2"/>
      <c r="CQ177" s="2" t="s">
        <v>303</v>
      </c>
      <c r="CR177" s="97">
        <v>20.0</v>
      </c>
      <c r="CS177" s="2" t="s">
        <v>4</v>
      </c>
      <c r="CT177" s="98">
        <v>73.0</v>
      </c>
      <c r="CU177" s="2"/>
      <c r="CV177" s="52" t="s">
        <v>149</v>
      </c>
      <c r="CW177" s="52" t="s">
        <v>149</v>
      </c>
      <c r="CX177" s="2"/>
      <c r="CY177" s="119" t="s">
        <v>18</v>
      </c>
      <c r="CZ177" s="160"/>
      <c r="DA177" s="2"/>
      <c r="DB177" s="98">
        <v>190.0</v>
      </c>
      <c r="DC177" s="2"/>
      <c r="DD177" s="101" t="s">
        <v>150</v>
      </c>
      <c r="DE177" s="2"/>
      <c r="DF177" s="148" t="s">
        <v>1752</v>
      </c>
      <c r="DG177" s="121"/>
      <c r="DH177" s="121"/>
      <c r="DI177" s="21"/>
      <c r="DJ177" s="21"/>
      <c r="DK177" s="59" t="s">
        <v>1753</v>
      </c>
      <c r="DL177" s="37" t="s">
        <v>156</v>
      </c>
      <c r="DM177" s="37" t="str">
        <f t="shared" si="3"/>
        <v>#NAME?</v>
      </c>
      <c r="DN177" s="61"/>
      <c r="DO177" s="37" t="s">
        <v>350</v>
      </c>
      <c r="DP177" s="37" t="s">
        <v>225</v>
      </c>
      <c r="DQ177" s="62" t="s">
        <v>1158</v>
      </c>
      <c r="DR177" s="63"/>
      <c r="DS177" s="198"/>
      <c r="DT177" s="108"/>
      <c r="DU177" s="108"/>
      <c r="DV177" s="182"/>
      <c r="DW177" s="182"/>
      <c r="DX177" s="182"/>
      <c r="DY177" s="182"/>
      <c r="DZ177" s="182"/>
      <c r="EA177" s="182"/>
      <c r="EB177" s="2"/>
      <c r="EC177" s="2"/>
      <c r="ED177" s="2"/>
      <c r="EE177" s="2"/>
      <c r="EF177" s="149" t="s">
        <v>1754</v>
      </c>
      <c r="EG177" s="69" t="str">
        <f>image("https://www.pokebip.com/pages/icones/objets/encens-vague.png", 3)</f>
        <v/>
      </c>
      <c r="EH177" s="69"/>
      <c r="EI177" s="69"/>
    </row>
    <row r="178" ht="15.75" customHeight="1">
      <c r="A178" s="1">
        <v>178.0</v>
      </c>
      <c r="B178" s="2" t="s">
        <v>1755</v>
      </c>
      <c r="C178" s="7"/>
      <c r="D178" s="4" t="s">
        <v>1756</v>
      </c>
      <c r="E178" s="5"/>
      <c r="F178" s="6"/>
      <c r="G178" s="7"/>
      <c r="H178" s="8" t="s">
        <v>1757</v>
      </c>
      <c r="I178" s="9" t="s">
        <v>1758</v>
      </c>
      <c r="J178" s="10" t="str">
        <f>image("https://archives.bulbagarden.net/media/upload/d/d2/178MS6.png", 3)</f>
        <v/>
      </c>
      <c r="K178" s="11" t="s">
        <v>1756</v>
      </c>
      <c r="L178" s="12"/>
      <c r="M178" s="12"/>
      <c r="N178" s="12"/>
      <c r="O178" s="12"/>
      <c r="Q178" s="71">
        <v>65.0</v>
      </c>
      <c r="R178" s="72">
        <v>75.0</v>
      </c>
      <c r="S178" s="73">
        <v>70.0</v>
      </c>
      <c r="T178" s="74">
        <v>95.0</v>
      </c>
      <c r="U178" s="75">
        <v>70.0</v>
      </c>
      <c r="V178" s="76">
        <v>95.0</v>
      </c>
      <c r="W178" s="77">
        <v>470.0</v>
      </c>
      <c r="X178" s="21"/>
      <c r="Y178" s="71">
        <v>65.0</v>
      </c>
      <c r="Z178" s="72">
        <v>75.0</v>
      </c>
      <c r="AA178" s="73">
        <v>70.0</v>
      </c>
      <c r="AB178" s="74">
        <v>95.0</v>
      </c>
      <c r="AC178" s="75">
        <v>70.0</v>
      </c>
      <c r="AD178" s="76">
        <v>95.0</v>
      </c>
      <c r="AE178" s="77">
        <v>470.0</v>
      </c>
      <c r="AF178" s="21"/>
      <c r="AG178" s="71">
        <v>65.0</v>
      </c>
      <c r="AH178" s="72">
        <v>75.0</v>
      </c>
      <c r="AI178" s="73">
        <v>70.0</v>
      </c>
      <c r="AJ178" s="74">
        <v>95.0</v>
      </c>
      <c r="AK178" s="75">
        <v>70.0</v>
      </c>
      <c r="AL178" s="76">
        <v>95.0</v>
      </c>
      <c r="AM178" s="77">
        <v>470.0</v>
      </c>
      <c r="AN178" s="21"/>
      <c r="AO178" s="22">
        <v>65.0</v>
      </c>
      <c r="AP178" s="23">
        <v>75.0</v>
      </c>
      <c r="AQ178" s="23">
        <v>70.0</v>
      </c>
      <c r="AR178" s="23">
        <v>95.0</v>
      </c>
      <c r="AS178" s="23">
        <v>70.0</v>
      </c>
      <c r="AT178" s="23">
        <v>95.0</v>
      </c>
      <c r="AU178" s="24">
        <v>470.0</v>
      </c>
      <c r="AV178" s="21"/>
      <c r="AW178" s="78">
        <v>65.0</v>
      </c>
      <c r="AX178" s="79">
        <v>75.0</v>
      </c>
      <c r="AY178" s="79">
        <v>70.0</v>
      </c>
      <c r="AZ178" s="79">
        <v>95.0</v>
      </c>
      <c r="BA178" s="79">
        <v>70.0</v>
      </c>
      <c r="BB178" s="79">
        <v>95.0</v>
      </c>
      <c r="BC178" s="201">
        <v>470.0</v>
      </c>
      <c r="BE178" s="82" t="s">
        <v>4</v>
      </c>
      <c r="BF178" s="132" t="s">
        <v>56</v>
      </c>
      <c r="BG178" s="129"/>
      <c r="BI178" s="31" t="s">
        <v>5</v>
      </c>
      <c r="BJ178" s="32" t="s">
        <v>5</v>
      </c>
      <c r="BK178" s="32" t="s">
        <v>5</v>
      </c>
      <c r="BL178" s="32">
        <v>1.0</v>
      </c>
      <c r="BM178" s="32" t="s">
        <v>5</v>
      </c>
      <c r="BN178" s="33">
        <v>1.0</v>
      </c>
      <c r="BP178" s="85" t="s">
        <v>122</v>
      </c>
      <c r="BQ178" s="86" t="s">
        <v>18</v>
      </c>
      <c r="BS178" s="87" t="s">
        <v>122</v>
      </c>
      <c r="BT178" s="88" t="s">
        <v>18</v>
      </c>
      <c r="BU178" s="37" t="str">
        <f t="shared" si="1"/>
        <v>#NAME?</v>
      </c>
      <c r="BV178" s="89" t="s">
        <v>122</v>
      </c>
      <c r="BW178" s="37" t="str">
        <f t="shared" si="2"/>
        <v>#NAME?</v>
      </c>
      <c r="BX178" s="89" t="s">
        <v>18</v>
      </c>
      <c r="BY178" s="39"/>
      <c r="BZ178" s="39"/>
      <c r="CA178" s="40" t="s">
        <v>1751</v>
      </c>
      <c r="CB178" s="41"/>
      <c r="CC178" s="90" t="s">
        <v>122</v>
      </c>
      <c r="CD178" s="91" t="s">
        <v>18</v>
      </c>
      <c r="CE178" s="2"/>
      <c r="CF178" s="92" t="s">
        <v>727</v>
      </c>
      <c r="CG178" s="93" t="s">
        <v>924</v>
      </c>
      <c r="CH178" s="2"/>
      <c r="CI178" s="92" t="s">
        <v>727</v>
      </c>
      <c r="CJ178" s="93" t="s">
        <v>924</v>
      </c>
      <c r="CK178" s="2"/>
      <c r="CL178" s="22" t="s">
        <v>727</v>
      </c>
      <c r="CM178" s="12"/>
      <c r="CN178" s="48"/>
      <c r="CO178" s="96" t="s">
        <v>924</v>
      </c>
      <c r="CP178" s="2"/>
      <c r="CQ178" s="2" t="s">
        <v>913</v>
      </c>
      <c r="CR178" s="97">
        <v>40.0</v>
      </c>
      <c r="CS178" s="2" t="s">
        <v>73</v>
      </c>
      <c r="CT178" s="98">
        <v>171.0</v>
      </c>
      <c r="CU178" s="2"/>
      <c r="CV178" s="52" t="s">
        <v>149</v>
      </c>
      <c r="CW178" s="52" t="s">
        <v>149</v>
      </c>
      <c r="CX178" s="2"/>
      <c r="CY178" s="334" t="s">
        <v>18</v>
      </c>
      <c r="CZ178" s="337"/>
      <c r="DA178" s="2"/>
      <c r="DB178" s="98">
        <v>75.0</v>
      </c>
      <c r="DC178" s="2"/>
      <c r="DD178" s="101" t="s">
        <v>150</v>
      </c>
      <c r="DE178" s="2"/>
      <c r="DF178" s="335" t="s">
        <v>1759</v>
      </c>
      <c r="DG178" s="336"/>
      <c r="DH178" s="336"/>
      <c r="DI178" s="2"/>
      <c r="DJ178" s="2"/>
      <c r="DK178" s="59" t="s">
        <v>1760</v>
      </c>
      <c r="DL178" s="37" t="s">
        <v>156</v>
      </c>
      <c r="DM178" s="37" t="str">
        <f t="shared" si="3"/>
        <v>#NAME?</v>
      </c>
      <c r="DN178" s="61"/>
      <c r="DO178" s="37">
        <v>90.0</v>
      </c>
      <c r="DP178" s="105">
        <v>0.85</v>
      </c>
      <c r="DQ178" s="62" t="s">
        <v>20</v>
      </c>
      <c r="DR178" s="63"/>
      <c r="DS178" s="198"/>
      <c r="DT178" s="108"/>
      <c r="DU178" s="108"/>
      <c r="DV178" s="182"/>
      <c r="DW178" s="182"/>
      <c r="DX178" s="182"/>
      <c r="DY178" s="182"/>
      <c r="DZ178" s="182"/>
      <c r="EA178" s="182"/>
      <c r="EB178" s="21"/>
      <c r="EC178" s="21"/>
      <c r="ED178" s="21"/>
      <c r="EE178" s="21"/>
      <c r="EF178" s="149" t="s">
        <v>1761</v>
      </c>
      <c r="EG178" s="69" t="str">
        <f>image("https://www.pokebip.com/pages/icones/objets/encens-veine.png", 3)</f>
        <v/>
      </c>
      <c r="EH178" s="69"/>
      <c r="EI178" s="69"/>
    </row>
    <row r="179" ht="15.75" customHeight="1">
      <c r="A179" s="1">
        <v>179.0</v>
      </c>
      <c r="B179" s="2" t="s">
        <v>1762</v>
      </c>
      <c r="C179" s="7"/>
      <c r="D179" s="352" t="s">
        <v>1763</v>
      </c>
      <c r="E179" s="5"/>
      <c r="F179" s="7"/>
      <c r="G179" s="7"/>
      <c r="H179" s="8" t="s">
        <v>1764</v>
      </c>
      <c r="I179" s="9" t="s">
        <v>1765</v>
      </c>
      <c r="J179" s="10" t="str">
        <f>image("https://archives.bulbagarden.net/media/upload/e/e8/179MS6.png", 3)</f>
        <v/>
      </c>
      <c r="K179" s="11" t="s">
        <v>1763</v>
      </c>
      <c r="L179" s="12"/>
      <c r="M179" s="12"/>
      <c r="N179" s="12"/>
      <c r="O179" s="12"/>
      <c r="Q179" s="71">
        <v>55.0</v>
      </c>
      <c r="R179" s="72">
        <v>40.0</v>
      </c>
      <c r="S179" s="73">
        <v>40.0</v>
      </c>
      <c r="T179" s="74">
        <v>65.0</v>
      </c>
      <c r="U179" s="75">
        <v>45.0</v>
      </c>
      <c r="V179" s="76">
        <v>35.0</v>
      </c>
      <c r="W179" s="77">
        <v>280.0</v>
      </c>
      <c r="X179" s="21"/>
      <c r="Y179" s="71">
        <v>55.0</v>
      </c>
      <c r="Z179" s="72">
        <v>40.0</v>
      </c>
      <c r="AA179" s="73">
        <v>40.0</v>
      </c>
      <c r="AB179" s="74">
        <v>65.0</v>
      </c>
      <c r="AC179" s="75">
        <v>45.0</v>
      </c>
      <c r="AD179" s="76">
        <v>35.0</v>
      </c>
      <c r="AE179" s="77">
        <v>280.0</v>
      </c>
      <c r="AF179" s="21"/>
      <c r="AG179" s="71">
        <v>55.0</v>
      </c>
      <c r="AH179" s="72">
        <v>40.0</v>
      </c>
      <c r="AI179" s="73">
        <v>40.0</v>
      </c>
      <c r="AJ179" s="74">
        <v>65.0</v>
      </c>
      <c r="AK179" s="75">
        <v>45.0</v>
      </c>
      <c r="AL179" s="76">
        <v>35.0</v>
      </c>
      <c r="AM179" s="77">
        <v>280.0</v>
      </c>
      <c r="AN179" s="21"/>
      <c r="AO179" s="22">
        <v>55.0</v>
      </c>
      <c r="AP179" s="23">
        <v>40.0</v>
      </c>
      <c r="AQ179" s="23">
        <v>40.0</v>
      </c>
      <c r="AR179" s="23">
        <v>65.0</v>
      </c>
      <c r="AS179" s="23">
        <v>45.0</v>
      </c>
      <c r="AT179" s="23">
        <v>35.0</v>
      </c>
      <c r="AU179" s="24">
        <v>280.0</v>
      </c>
      <c r="AV179" s="21"/>
      <c r="AW179" s="78">
        <v>55.0</v>
      </c>
      <c r="AX179" s="79">
        <v>40.0</v>
      </c>
      <c r="AY179" s="79">
        <v>40.0</v>
      </c>
      <c r="AZ179" s="79">
        <v>65.0</v>
      </c>
      <c r="BA179" s="79">
        <v>45.0</v>
      </c>
      <c r="BB179" s="79">
        <v>35.0</v>
      </c>
      <c r="BC179" s="201">
        <v>280.0</v>
      </c>
      <c r="BE179" s="82" t="s">
        <v>4</v>
      </c>
      <c r="BF179" s="184"/>
      <c r="BG179" s="128"/>
      <c r="BI179" s="31" t="s">
        <v>5</v>
      </c>
      <c r="BJ179" s="32" t="s">
        <v>5</v>
      </c>
      <c r="BK179" s="32" t="s">
        <v>5</v>
      </c>
      <c r="BL179" s="234">
        <v>1.0</v>
      </c>
      <c r="BM179" s="32" t="s">
        <v>5</v>
      </c>
      <c r="BN179" s="33" t="s">
        <v>5</v>
      </c>
      <c r="BP179" s="115" t="s">
        <v>197</v>
      </c>
      <c r="BQ179" s="93"/>
      <c r="BS179" s="115" t="s">
        <v>197</v>
      </c>
      <c r="BT179" s="133"/>
      <c r="BU179" s="37" t="str">
        <f t="shared" si="1"/>
        <v>#NAME?</v>
      </c>
      <c r="BV179" s="89" t="s">
        <v>197</v>
      </c>
      <c r="BW179" s="37" t="str">
        <f t="shared" si="2"/>
        <v>#NAME?</v>
      </c>
      <c r="BX179" s="89"/>
      <c r="BY179" s="39"/>
      <c r="BZ179" s="39"/>
      <c r="CA179" s="40" t="s">
        <v>197</v>
      </c>
      <c r="CB179" s="41"/>
      <c r="CC179" s="90" t="s">
        <v>197</v>
      </c>
      <c r="CD179" s="91"/>
      <c r="CE179" s="21"/>
      <c r="CF179" s="92" t="s">
        <v>352</v>
      </c>
      <c r="CG179" s="93"/>
      <c r="CH179" s="21"/>
      <c r="CI179" s="92" t="s">
        <v>352</v>
      </c>
      <c r="CJ179" s="93"/>
      <c r="CK179" s="21"/>
      <c r="CL179" s="22" t="s">
        <v>352</v>
      </c>
      <c r="CM179" s="12"/>
      <c r="CN179" s="48"/>
      <c r="CO179" s="95"/>
      <c r="CP179" s="21"/>
      <c r="CQ179" s="2" t="s">
        <v>1766</v>
      </c>
      <c r="CR179" s="97">
        <v>20.0</v>
      </c>
      <c r="CS179" s="2" t="s">
        <v>4</v>
      </c>
      <c r="CT179" s="98">
        <v>59.0</v>
      </c>
      <c r="CU179" s="2"/>
      <c r="CV179" s="52" t="s">
        <v>149</v>
      </c>
      <c r="CW179" s="52" t="s">
        <v>149</v>
      </c>
      <c r="CX179" s="2"/>
      <c r="CY179" s="118" t="s">
        <v>14</v>
      </c>
      <c r="CZ179" s="119" t="s">
        <v>277</v>
      </c>
      <c r="DA179" s="2"/>
      <c r="DB179" s="98">
        <v>235.0</v>
      </c>
      <c r="DC179" s="2"/>
      <c r="DD179" s="101" t="s">
        <v>15</v>
      </c>
      <c r="DE179" s="2"/>
      <c r="DF179" s="148" t="s">
        <v>1767</v>
      </c>
      <c r="DG179" s="121"/>
      <c r="DH179" s="121"/>
      <c r="DI179" s="21"/>
      <c r="DJ179" s="21"/>
      <c r="DK179" s="59" t="s">
        <v>1768</v>
      </c>
      <c r="DL179" s="37" t="s">
        <v>76</v>
      </c>
      <c r="DM179" s="37" t="str">
        <f t="shared" si="3"/>
        <v>#NAME?</v>
      </c>
      <c r="DN179" s="61"/>
      <c r="DO179" s="37" t="s">
        <v>77</v>
      </c>
      <c r="DP179" s="105">
        <v>1.0</v>
      </c>
      <c r="DQ179" s="62" t="s">
        <v>206</v>
      </c>
      <c r="DR179" s="63"/>
      <c r="DS179" s="198"/>
      <c r="DT179" s="108"/>
      <c r="DU179" s="108"/>
      <c r="DV179" s="182"/>
      <c r="DW179" s="182"/>
      <c r="DX179" s="182"/>
      <c r="DY179" s="182"/>
      <c r="DZ179" s="182"/>
      <c r="EA179" s="182"/>
      <c r="EB179" s="2"/>
      <c r="EC179" s="2"/>
      <c r="ED179" s="2"/>
      <c r="EE179" s="2"/>
      <c r="EF179" s="68"/>
      <c r="EG179" s="69" t="str">
        <f>image("", 3)</f>
        <v/>
      </c>
      <c r="EH179" s="69"/>
      <c r="EI179" s="69"/>
    </row>
    <row r="180" ht="15.75" customHeight="1">
      <c r="A180" s="1">
        <v>180.0</v>
      </c>
      <c r="B180" s="2" t="s">
        <v>1769</v>
      </c>
      <c r="C180" s="7"/>
      <c r="D180" s="213" t="s">
        <v>1770</v>
      </c>
      <c r="E180" s="5"/>
      <c r="F180" s="214"/>
      <c r="G180" s="7"/>
      <c r="H180" s="8" t="s">
        <v>1771</v>
      </c>
      <c r="I180" s="9" t="s">
        <v>1772</v>
      </c>
      <c r="J180" s="355" t="str">
        <f>image("https://archives.bulbagarden.net/media/upload/e/eb/180MS6.png", 3)</f>
        <v/>
      </c>
      <c r="K180" s="11" t="s">
        <v>1770</v>
      </c>
      <c r="L180" s="12"/>
      <c r="M180" s="12"/>
      <c r="N180" s="12"/>
      <c r="O180" s="12"/>
      <c r="Q180" s="71">
        <v>70.0</v>
      </c>
      <c r="R180" s="72">
        <v>55.0</v>
      </c>
      <c r="S180" s="73">
        <v>55.0</v>
      </c>
      <c r="T180" s="74">
        <v>80.0</v>
      </c>
      <c r="U180" s="75">
        <v>60.0</v>
      </c>
      <c r="V180" s="76">
        <v>45.0</v>
      </c>
      <c r="W180" s="77">
        <v>365.0</v>
      </c>
      <c r="X180" s="21"/>
      <c r="Y180" s="71">
        <v>70.0</v>
      </c>
      <c r="Z180" s="72">
        <v>55.0</v>
      </c>
      <c r="AA180" s="73">
        <v>55.0</v>
      </c>
      <c r="AB180" s="74">
        <v>80.0</v>
      </c>
      <c r="AC180" s="75">
        <v>60.0</v>
      </c>
      <c r="AD180" s="76">
        <v>45.0</v>
      </c>
      <c r="AE180" s="77">
        <v>365.0</v>
      </c>
      <c r="AF180" s="21"/>
      <c r="AG180" s="71">
        <v>70.0</v>
      </c>
      <c r="AH180" s="72">
        <v>55.0</v>
      </c>
      <c r="AI180" s="73">
        <v>55.0</v>
      </c>
      <c r="AJ180" s="74">
        <v>80.0</v>
      </c>
      <c r="AK180" s="75">
        <v>60.0</v>
      </c>
      <c r="AL180" s="76">
        <v>45.0</v>
      </c>
      <c r="AM180" s="77">
        <v>365.0</v>
      </c>
      <c r="AN180" s="21"/>
      <c r="AO180" s="22">
        <v>70.0</v>
      </c>
      <c r="AP180" s="23">
        <v>55.0</v>
      </c>
      <c r="AQ180" s="23">
        <v>55.0</v>
      </c>
      <c r="AR180" s="23">
        <v>80.0</v>
      </c>
      <c r="AS180" s="23">
        <v>60.0</v>
      </c>
      <c r="AT180" s="23">
        <v>45.0</v>
      </c>
      <c r="AU180" s="24">
        <v>365.0</v>
      </c>
      <c r="AV180" s="21"/>
      <c r="AW180" s="78">
        <v>70.0</v>
      </c>
      <c r="AX180" s="79">
        <v>55.0</v>
      </c>
      <c r="AY180" s="80">
        <v>55.0</v>
      </c>
      <c r="AZ180" s="79">
        <v>80.0</v>
      </c>
      <c r="BA180" s="79">
        <v>60.0</v>
      </c>
      <c r="BB180" s="79">
        <v>45.0</v>
      </c>
      <c r="BC180" s="81">
        <v>365.0</v>
      </c>
      <c r="BE180" s="112" t="s">
        <v>42</v>
      </c>
      <c r="BF180" s="113"/>
      <c r="BG180" s="129"/>
      <c r="BI180" s="31" t="s">
        <v>5</v>
      </c>
      <c r="BJ180" s="32" t="s">
        <v>5</v>
      </c>
      <c r="BK180" s="32" t="s">
        <v>5</v>
      </c>
      <c r="BL180" s="32">
        <v>2.0</v>
      </c>
      <c r="BM180" s="32" t="s">
        <v>5</v>
      </c>
      <c r="BN180" s="33" t="s">
        <v>5</v>
      </c>
      <c r="BP180" s="85" t="s">
        <v>197</v>
      </c>
      <c r="BQ180" s="129"/>
      <c r="BS180" s="87" t="s">
        <v>197</v>
      </c>
      <c r="BT180" s="130"/>
      <c r="BU180" s="37" t="str">
        <f t="shared" si="1"/>
        <v>#NAME?</v>
      </c>
      <c r="BV180" s="89" t="s">
        <v>197</v>
      </c>
      <c r="BW180" s="37" t="str">
        <f t="shared" si="2"/>
        <v>#NAME?</v>
      </c>
      <c r="BX180" s="89"/>
      <c r="BY180" s="134"/>
      <c r="BZ180" s="134"/>
      <c r="CA180" s="135" t="s">
        <v>197</v>
      </c>
      <c r="CB180" s="136"/>
      <c r="CC180" s="90" t="s">
        <v>197</v>
      </c>
      <c r="CD180" s="137"/>
      <c r="CE180" s="21"/>
      <c r="CF180" s="92" t="s">
        <v>352</v>
      </c>
      <c r="CG180" s="93"/>
      <c r="CH180" s="21"/>
      <c r="CI180" s="92" t="s">
        <v>352</v>
      </c>
      <c r="CJ180" s="93"/>
      <c r="CK180" s="21"/>
      <c r="CL180" s="22" t="s">
        <v>352</v>
      </c>
      <c r="CM180" s="12"/>
      <c r="CN180" s="48"/>
      <c r="CO180" s="95"/>
      <c r="CP180" s="21"/>
      <c r="CQ180" s="2" t="s">
        <v>1773</v>
      </c>
      <c r="CR180" s="97">
        <v>40.0</v>
      </c>
      <c r="CS180" s="2" t="s">
        <v>42</v>
      </c>
      <c r="CT180" s="98">
        <v>117.0</v>
      </c>
      <c r="CU180" s="2"/>
      <c r="CV180" s="52" t="s">
        <v>149</v>
      </c>
      <c r="CW180" s="52" t="s">
        <v>149</v>
      </c>
      <c r="CX180" s="2"/>
      <c r="CY180" s="333" t="s">
        <v>14</v>
      </c>
      <c r="CZ180" s="334" t="s">
        <v>277</v>
      </c>
      <c r="DA180" s="2"/>
      <c r="DB180" s="98">
        <v>120.0</v>
      </c>
      <c r="DC180" s="2"/>
      <c r="DD180" s="101" t="s">
        <v>15</v>
      </c>
      <c r="DE180" s="2"/>
      <c r="DF180" s="335" t="s">
        <v>1774</v>
      </c>
      <c r="DG180" s="336"/>
      <c r="DH180" s="336"/>
      <c r="DI180" s="2"/>
      <c r="DJ180" s="2"/>
      <c r="DK180" s="59" t="s">
        <v>1775</v>
      </c>
      <c r="DL180" s="37" t="s">
        <v>156</v>
      </c>
      <c r="DM180" s="37" t="str">
        <f t="shared" si="3"/>
        <v>#NAME?</v>
      </c>
      <c r="DN180" s="61"/>
      <c r="DO180" s="37" t="s">
        <v>842</v>
      </c>
      <c r="DP180" s="105">
        <v>1.0</v>
      </c>
      <c r="DQ180" s="62" t="s">
        <v>918</v>
      </c>
      <c r="DR180" s="199"/>
      <c r="DS180" s="244"/>
      <c r="DT180" s="108"/>
      <c r="DU180" s="108"/>
      <c r="DV180" s="200"/>
      <c r="DW180" s="200"/>
      <c r="DX180" s="200"/>
      <c r="DY180" s="200"/>
      <c r="DZ180" s="200"/>
      <c r="EA180" s="200"/>
      <c r="EB180" s="21"/>
      <c r="EC180" s="21"/>
      <c r="ED180" s="21"/>
      <c r="EE180" s="21"/>
      <c r="EF180" s="149" t="s">
        <v>1776</v>
      </c>
      <c r="EG180" s="69" t="str">
        <f>image("https://www.pokebip.com/pages/icones/objets/fossile-nautile.png", 3)</f>
        <v/>
      </c>
      <c r="EH180" s="69"/>
      <c r="EI180" s="69"/>
    </row>
    <row r="181" ht="15.75" customHeight="1">
      <c r="A181" s="1">
        <v>181.0</v>
      </c>
      <c r="B181" s="2" t="s">
        <v>1777</v>
      </c>
      <c r="C181" s="7"/>
      <c r="D181" s="169" t="s">
        <v>1778</v>
      </c>
      <c r="E181" s="5"/>
      <c r="F181" s="170"/>
      <c r="G181" s="7"/>
      <c r="H181" s="8" t="s">
        <v>1779</v>
      </c>
      <c r="I181" s="9" t="s">
        <v>1780</v>
      </c>
      <c r="J181" s="355" t="str">
        <f>image("https://archives.bulbagarden.net/media/upload/8/89/181MS6.png", 3)</f>
        <v/>
      </c>
      <c r="K181" s="11" t="s">
        <v>1778</v>
      </c>
      <c r="L181" s="12"/>
      <c r="M181" s="12"/>
      <c r="N181" s="12"/>
      <c r="O181" s="12"/>
      <c r="Q181" s="71">
        <v>90.0</v>
      </c>
      <c r="R181" s="72">
        <v>75.0</v>
      </c>
      <c r="S181" s="73">
        <v>75.0</v>
      </c>
      <c r="T181" s="74">
        <v>115.0</v>
      </c>
      <c r="U181" s="75">
        <v>90.0</v>
      </c>
      <c r="V181" s="76">
        <v>55.0</v>
      </c>
      <c r="W181" s="77">
        <v>500.0</v>
      </c>
      <c r="X181" s="21"/>
      <c r="Y181" s="71">
        <v>90.0</v>
      </c>
      <c r="Z181" s="72">
        <v>75.0</v>
      </c>
      <c r="AA181" s="109">
        <v>85.0</v>
      </c>
      <c r="AB181" s="74">
        <v>115.0</v>
      </c>
      <c r="AC181" s="75">
        <v>90.0</v>
      </c>
      <c r="AD181" s="76">
        <v>55.0</v>
      </c>
      <c r="AE181" s="110">
        <v>510.0</v>
      </c>
      <c r="AF181" s="21"/>
      <c r="AG181" s="71">
        <v>90.0</v>
      </c>
      <c r="AH181" s="72">
        <v>75.0</v>
      </c>
      <c r="AI181" s="109">
        <v>85.0</v>
      </c>
      <c r="AJ181" s="74">
        <v>115.0</v>
      </c>
      <c r="AK181" s="75">
        <v>90.0</v>
      </c>
      <c r="AL181" s="76">
        <v>55.0</v>
      </c>
      <c r="AM181" s="110">
        <v>510.0</v>
      </c>
      <c r="AN181" s="21"/>
      <c r="AO181" s="22">
        <v>90.0</v>
      </c>
      <c r="AP181" s="23">
        <v>75.0</v>
      </c>
      <c r="AQ181" s="23" t="s">
        <v>1621</v>
      </c>
      <c r="AR181" s="23">
        <v>115.0</v>
      </c>
      <c r="AS181" s="23">
        <v>90.0</v>
      </c>
      <c r="AT181" s="23">
        <v>55.0</v>
      </c>
      <c r="AU181" s="24" t="s">
        <v>716</v>
      </c>
      <c r="AV181" s="21"/>
      <c r="AW181" s="78">
        <v>90.0</v>
      </c>
      <c r="AX181" s="79">
        <v>75.0</v>
      </c>
      <c r="AY181" s="111">
        <v>85.0</v>
      </c>
      <c r="AZ181" s="79">
        <v>115.0</v>
      </c>
      <c r="BA181" s="79">
        <v>90.0</v>
      </c>
      <c r="BB181" s="79">
        <v>55.0</v>
      </c>
      <c r="BC181" s="111">
        <v>510.0</v>
      </c>
      <c r="BE181" s="112" t="s">
        <v>85</v>
      </c>
      <c r="BF181" s="138"/>
      <c r="BG181" s="128"/>
      <c r="BI181" s="31" t="s">
        <v>5</v>
      </c>
      <c r="BJ181" s="32" t="s">
        <v>5</v>
      </c>
      <c r="BK181" s="32" t="s">
        <v>5</v>
      </c>
      <c r="BL181" s="32">
        <v>3.0</v>
      </c>
      <c r="BM181" s="32" t="s">
        <v>5</v>
      </c>
      <c r="BN181" s="33" t="s">
        <v>5</v>
      </c>
      <c r="BP181" s="115" t="s">
        <v>197</v>
      </c>
      <c r="BQ181" s="93"/>
      <c r="BS181" s="115" t="s">
        <v>197</v>
      </c>
      <c r="BT181" s="133"/>
      <c r="BU181" s="37" t="str">
        <f t="shared" si="1"/>
        <v>#NAME?</v>
      </c>
      <c r="BV181" s="89" t="s">
        <v>197</v>
      </c>
      <c r="BW181" s="37" t="str">
        <f t="shared" si="2"/>
        <v>#NAME?</v>
      </c>
      <c r="BX181" s="89" t="s">
        <v>1781</v>
      </c>
      <c r="BY181" s="39"/>
      <c r="BZ181" s="39"/>
      <c r="CA181" s="40" t="s">
        <v>1782</v>
      </c>
      <c r="CB181" s="41"/>
      <c r="CC181" s="37" t="s">
        <v>197</v>
      </c>
      <c r="CD181" s="139" t="s">
        <v>61</v>
      </c>
      <c r="CE181" s="21"/>
      <c r="CF181" s="92" t="s">
        <v>352</v>
      </c>
      <c r="CG181" s="93"/>
      <c r="CH181" s="21"/>
      <c r="CI181" s="92" t="s">
        <v>352</v>
      </c>
      <c r="CJ181" s="188"/>
      <c r="CK181" s="21"/>
      <c r="CL181" s="22" t="s">
        <v>352</v>
      </c>
      <c r="CM181" s="12"/>
      <c r="CN181" s="48"/>
      <c r="CO181" s="153"/>
      <c r="CP181" s="21"/>
      <c r="CQ181" s="2" t="s">
        <v>1783</v>
      </c>
      <c r="CR181" s="97">
        <v>80.0</v>
      </c>
      <c r="CS181" s="2" t="s">
        <v>85</v>
      </c>
      <c r="CT181" s="98">
        <v>194.0</v>
      </c>
      <c r="CU181" s="2"/>
      <c r="CV181" s="52" t="s">
        <v>149</v>
      </c>
      <c r="CW181" s="52" t="s">
        <v>149</v>
      </c>
      <c r="CX181" s="2"/>
      <c r="CY181" s="118" t="s">
        <v>14</v>
      </c>
      <c r="CZ181" s="119" t="s">
        <v>277</v>
      </c>
      <c r="DA181" s="2"/>
      <c r="DB181" s="98">
        <v>45.0</v>
      </c>
      <c r="DC181" s="2"/>
      <c r="DD181" s="101" t="s">
        <v>15</v>
      </c>
      <c r="DE181" s="2"/>
      <c r="DF181" s="120" t="s">
        <v>1784</v>
      </c>
      <c r="DG181" s="121"/>
      <c r="DH181" s="121"/>
      <c r="DI181" s="2"/>
      <c r="DJ181" s="2"/>
      <c r="DK181" s="59" t="s">
        <v>1785</v>
      </c>
      <c r="DL181" s="37" t="s">
        <v>197</v>
      </c>
      <c r="DM181" s="37" t="str">
        <f t="shared" si="3"/>
        <v>#NAME?</v>
      </c>
      <c r="DN181" s="61"/>
      <c r="DO181" s="37">
        <v>65.0</v>
      </c>
      <c r="DP181" s="105">
        <v>0.95</v>
      </c>
      <c r="DQ181" s="62" t="s">
        <v>93</v>
      </c>
      <c r="DR181" s="155"/>
      <c r="DS181" s="251"/>
      <c r="DT181" s="108"/>
      <c r="DU181" s="108"/>
      <c r="DV181" s="252"/>
      <c r="DW181" s="252"/>
      <c r="DX181" s="252"/>
      <c r="DY181" s="252"/>
      <c r="DZ181" s="252"/>
      <c r="EA181" s="252"/>
      <c r="EB181" s="2"/>
      <c r="EC181" s="2"/>
      <c r="ED181" s="2"/>
      <c r="EE181" s="2"/>
      <c r="EF181" s="149" t="s">
        <v>1786</v>
      </c>
      <c r="EG181" s="69" t="str">
        <f>image("https://www.pokebip.com/pages/icones/objets/fossile-dome.png", 3)</f>
        <v/>
      </c>
      <c r="EH181" s="69"/>
      <c r="EI181" s="69"/>
    </row>
    <row r="182" ht="15.75" customHeight="1">
      <c r="A182" s="1">
        <v>182.0</v>
      </c>
      <c r="B182" s="2" t="s">
        <v>1787</v>
      </c>
      <c r="C182" s="7"/>
      <c r="D182" s="4" t="s">
        <v>1788</v>
      </c>
      <c r="E182" s="5"/>
      <c r="F182" s="6"/>
      <c r="G182" s="7"/>
      <c r="H182" s="8" t="s">
        <v>1789</v>
      </c>
      <c r="I182" s="9" t="s">
        <v>1790</v>
      </c>
      <c r="J182" s="355" t="str">
        <f>image("https://archives.bulbagarden.net/media/upload/7/75/182MS6.png", 3)</f>
        <v/>
      </c>
      <c r="K182" s="11" t="s">
        <v>1788</v>
      </c>
      <c r="L182" s="12"/>
      <c r="M182" s="12"/>
      <c r="N182" s="12"/>
      <c r="O182" s="12"/>
      <c r="Q182" s="71">
        <v>75.0</v>
      </c>
      <c r="R182" s="72">
        <v>80.0</v>
      </c>
      <c r="S182" s="73">
        <v>85.0</v>
      </c>
      <c r="T182" s="74">
        <v>90.0</v>
      </c>
      <c r="U182" s="75">
        <v>100.0</v>
      </c>
      <c r="V182" s="76">
        <v>50.0</v>
      </c>
      <c r="W182" s="77">
        <v>480.0</v>
      </c>
      <c r="X182" s="21"/>
      <c r="Y182" s="71">
        <v>75.0</v>
      </c>
      <c r="Z182" s="72">
        <v>80.0</v>
      </c>
      <c r="AA182" s="109">
        <v>95.0</v>
      </c>
      <c r="AB182" s="74">
        <v>90.0</v>
      </c>
      <c r="AC182" s="75">
        <v>100.0</v>
      </c>
      <c r="AD182" s="76">
        <v>50.0</v>
      </c>
      <c r="AE182" s="110">
        <v>490.0</v>
      </c>
      <c r="AF182" s="21"/>
      <c r="AG182" s="71">
        <v>75.0</v>
      </c>
      <c r="AH182" s="72">
        <v>80.0</v>
      </c>
      <c r="AI182" s="109">
        <v>95.0</v>
      </c>
      <c r="AJ182" s="74">
        <v>90.0</v>
      </c>
      <c r="AK182" s="75">
        <v>100.0</v>
      </c>
      <c r="AL182" s="76">
        <v>50.0</v>
      </c>
      <c r="AM182" s="110">
        <v>490.0</v>
      </c>
      <c r="AN182" s="21"/>
      <c r="AO182" s="22">
        <v>75.0</v>
      </c>
      <c r="AP182" s="23">
        <v>80.0</v>
      </c>
      <c r="AQ182" s="23" t="s">
        <v>215</v>
      </c>
      <c r="AR182" s="23">
        <v>90.0</v>
      </c>
      <c r="AS182" s="23">
        <v>100.0</v>
      </c>
      <c r="AT182" s="23">
        <v>50.0</v>
      </c>
      <c r="AU182" s="24" t="s">
        <v>562</v>
      </c>
      <c r="AV182" s="21"/>
      <c r="AW182" s="78">
        <v>75.0</v>
      </c>
      <c r="AX182" s="79">
        <v>80.0</v>
      </c>
      <c r="AY182" s="111">
        <v>95.0</v>
      </c>
      <c r="AZ182" s="80">
        <v>90.0</v>
      </c>
      <c r="BA182" s="79">
        <v>100.0</v>
      </c>
      <c r="BB182" s="79">
        <v>50.0</v>
      </c>
      <c r="BC182" s="111">
        <v>490.0</v>
      </c>
      <c r="BE182" s="150" t="s">
        <v>129</v>
      </c>
      <c r="BF182" s="138"/>
      <c r="BG182" s="128"/>
      <c r="BI182" s="31" t="s">
        <v>5</v>
      </c>
      <c r="BJ182" s="32" t="s">
        <v>5</v>
      </c>
      <c r="BK182" s="32" t="s">
        <v>5</v>
      </c>
      <c r="BL182" s="32" t="s">
        <v>5</v>
      </c>
      <c r="BM182" s="32">
        <v>3.0</v>
      </c>
      <c r="BN182" s="33" t="s">
        <v>5</v>
      </c>
      <c r="BP182" s="85" t="s">
        <v>6</v>
      </c>
      <c r="BQ182" s="129"/>
      <c r="BS182" s="87" t="s">
        <v>6</v>
      </c>
      <c r="BT182" s="356"/>
      <c r="BU182" s="37" t="str">
        <f t="shared" si="1"/>
        <v>#NAME?</v>
      </c>
      <c r="BV182" s="89" t="s">
        <v>6</v>
      </c>
      <c r="BW182" s="37" t="str">
        <f t="shared" si="2"/>
        <v>#NAME?</v>
      </c>
      <c r="BX182" s="89"/>
      <c r="BY182" s="65"/>
      <c r="BZ182" s="65"/>
      <c r="CA182" s="222" t="s">
        <v>6</v>
      </c>
      <c r="CB182" s="223"/>
      <c r="CC182" s="90" t="s">
        <v>6</v>
      </c>
      <c r="CD182" s="107"/>
      <c r="CE182" s="21"/>
      <c r="CF182" s="92" t="s">
        <v>43</v>
      </c>
      <c r="CG182" s="93"/>
      <c r="CH182" s="21"/>
      <c r="CI182" s="277" t="s">
        <v>43</v>
      </c>
      <c r="CJ182" s="46" t="s">
        <v>43</v>
      </c>
      <c r="CK182" s="21"/>
      <c r="CL182" s="22" t="s">
        <v>43</v>
      </c>
      <c r="CM182" s="12"/>
      <c r="CN182" s="48"/>
      <c r="CO182" s="192" t="s">
        <v>1791</v>
      </c>
      <c r="CP182" s="21"/>
      <c r="CQ182" s="2" t="s">
        <v>1792</v>
      </c>
      <c r="CR182" s="97">
        <v>20.0</v>
      </c>
      <c r="CS182" s="2" t="s">
        <v>129</v>
      </c>
      <c r="CT182" s="98">
        <v>184.0</v>
      </c>
      <c r="CU182" s="2"/>
      <c r="CV182" s="52" t="s">
        <v>149</v>
      </c>
      <c r="CW182" s="52" t="s">
        <v>149</v>
      </c>
      <c r="CX182" s="2"/>
      <c r="CY182" s="334" t="s">
        <v>6</v>
      </c>
      <c r="CZ182" s="337"/>
      <c r="DA182" s="2"/>
      <c r="DB182" s="98">
        <v>45.0</v>
      </c>
      <c r="DC182" s="2"/>
      <c r="DD182" s="101" t="s">
        <v>15</v>
      </c>
      <c r="DE182" s="2"/>
      <c r="DF182" s="335" t="s">
        <v>1793</v>
      </c>
      <c r="DG182" s="336"/>
      <c r="DH182" s="336"/>
      <c r="DI182" s="2"/>
      <c r="DJ182" s="2"/>
      <c r="DK182" s="59" t="s">
        <v>1794</v>
      </c>
      <c r="DL182" s="37" t="s">
        <v>197</v>
      </c>
      <c r="DM182" s="37" t="str">
        <f t="shared" si="3"/>
        <v>#NAME?</v>
      </c>
      <c r="DN182" s="61"/>
      <c r="DO182" s="37">
        <v>75.0</v>
      </c>
      <c r="DP182" s="105">
        <v>1.0</v>
      </c>
      <c r="DQ182" s="62" t="s">
        <v>93</v>
      </c>
      <c r="DR182" s="63"/>
      <c r="DS182" s="198"/>
      <c r="DT182" s="108"/>
      <c r="DU182" s="108"/>
      <c r="DV182" s="182"/>
      <c r="DW182" s="182"/>
      <c r="DX182" s="182"/>
      <c r="DY182" s="182"/>
      <c r="DZ182" s="182"/>
      <c r="EA182" s="182"/>
      <c r="EB182" s="21"/>
      <c r="EC182" s="21"/>
      <c r="ED182" s="21"/>
      <c r="EE182" s="21"/>
      <c r="EF182" s="149" t="s">
        <v>1795</v>
      </c>
      <c r="EG182" s="69" t="str">
        <f>image("https://www.pokebip.com/pages/icones/objets/vieil-ambre.png", 3)</f>
        <v/>
      </c>
      <c r="EH182" s="69"/>
      <c r="EI182" s="69"/>
    </row>
    <row r="183" ht="15.75" customHeight="1">
      <c r="A183" s="1">
        <v>183.0</v>
      </c>
      <c r="B183" s="2" t="s">
        <v>1796</v>
      </c>
      <c r="C183" s="7"/>
      <c r="D183" s="140" t="s">
        <v>1797</v>
      </c>
      <c r="E183" s="5"/>
      <c r="F183" s="141"/>
      <c r="G183" s="7"/>
      <c r="H183" s="8" t="s">
        <v>1798</v>
      </c>
      <c r="I183" s="9" t="s">
        <v>1799</v>
      </c>
      <c r="J183" s="355" t="str">
        <f>image("https://archives.bulbagarden.net/media/upload/d/d7/183MS6.png", 3)</f>
        <v/>
      </c>
      <c r="K183" s="11" t="s">
        <v>1797</v>
      </c>
      <c r="L183" s="12"/>
      <c r="M183" s="12"/>
      <c r="N183" s="12"/>
      <c r="O183" s="12"/>
      <c r="Q183" s="71">
        <v>70.0</v>
      </c>
      <c r="R183" s="72">
        <v>20.0</v>
      </c>
      <c r="S183" s="73">
        <v>50.0</v>
      </c>
      <c r="T183" s="74">
        <v>20.0</v>
      </c>
      <c r="U183" s="75">
        <v>50.0</v>
      </c>
      <c r="V183" s="76">
        <v>40.0</v>
      </c>
      <c r="W183" s="77">
        <v>250.0</v>
      </c>
      <c r="X183" s="21"/>
      <c r="Y183" s="71">
        <v>70.0</v>
      </c>
      <c r="Z183" s="72">
        <v>20.0</v>
      </c>
      <c r="AA183" s="73">
        <v>50.0</v>
      </c>
      <c r="AB183" s="74">
        <v>20.0</v>
      </c>
      <c r="AC183" s="75">
        <v>50.0</v>
      </c>
      <c r="AD183" s="76">
        <v>40.0</v>
      </c>
      <c r="AE183" s="77">
        <v>250.0</v>
      </c>
      <c r="AF183" s="21"/>
      <c r="AG183" s="71">
        <v>70.0</v>
      </c>
      <c r="AH183" s="72">
        <v>20.0</v>
      </c>
      <c r="AI183" s="73">
        <v>50.0</v>
      </c>
      <c r="AJ183" s="109">
        <v>40.0</v>
      </c>
      <c r="AK183" s="75">
        <v>50.0</v>
      </c>
      <c r="AL183" s="76">
        <v>40.0</v>
      </c>
      <c r="AM183" s="110">
        <v>270.0</v>
      </c>
      <c r="AN183" s="21"/>
      <c r="AO183" s="22">
        <v>70.0</v>
      </c>
      <c r="AP183" s="23">
        <v>20.0</v>
      </c>
      <c r="AQ183" s="23">
        <v>50.0</v>
      </c>
      <c r="AR183" s="23" t="s">
        <v>350</v>
      </c>
      <c r="AS183" s="23">
        <v>50.0</v>
      </c>
      <c r="AT183" s="23">
        <v>40.0</v>
      </c>
      <c r="AU183" s="24" t="s">
        <v>1800</v>
      </c>
      <c r="AV183" s="21"/>
      <c r="AW183" s="258">
        <v>70.0</v>
      </c>
      <c r="AX183" s="79">
        <v>20.0</v>
      </c>
      <c r="AY183" s="124">
        <v>50.0</v>
      </c>
      <c r="AZ183" s="111">
        <v>40.0</v>
      </c>
      <c r="BA183" s="79">
        <v>50.0</v>
      </c>
      <c r="BB183" s="79">
        <v>40.0</v>
      </c>
      <c r="BC183" s="111">
        <v>270.0</v>
      </c>
      <c r="BE183" s="203" t="s">
        <v>409</v>
      </c>
      <c r="BF183" s="113"/>
      <c r="BG183" s="93"/>
      <c r="BI183" s="31">
        <v>2.0</v>
      </c>
      <c r="BJ183" s="32" t="s">
        <v>5</v>
      </c>
      <c r="BK183" s="32" t="s">
        <v>5</v>
      </c>
      <c r="BL183" s="32" t="s">
        <v>5</v>
      </c>
      <c r="BM183" s="32" t="s">
        <v>5</v>
      </c>
      <c r="BN183" s="33" t="s">
        <v>5</v>
      </c>
      <c r="BP183" s="115" t="s">
        <v>32</v>
      </c>
      <c r="BQ183" s="93"/>
      <c r="BS183" s="357" t="s">
        <v>32</v>
      </c>
      <c r="BT183" s="358" t="s">
        <v>153</v>
      </c>
      <c r="BU183" s="37" t="str">
        <f t="shared" si="1"/>
        <v>#NAME?</v>
      </c>
      <c r="BV183" s="89" t="s">
        <v>32</v>
      </c>
      <c r="BW183" s="37" t="str">
        <f t="shared" si="2"/>
        <v>#NAME?</v>
      </c>
      <c r="BX183" s="89" t="s">
        <v>461</v>
      </c>
      <c r="BY183" s="39"/>
      <c r="BZ183" s="39"/>
      <c r="CA183" s="40" t="s">
        <v>1801</v>
      </c>
      <c r="CB183" s="41"/>
      <c r="CC183" s="37" t="s">
        <v>32</v>
      </c>
      <c r="CD183" s="226" t="s">
        <v>153</v>
      </c>
      <c r="CE183" s="21"/>
      <c r="CF183" s="92" t="s">
        <v>944</v>
      </c>
      <c r="CG183" s="93" t="s">
        <v>1802</v>
      </c>
      <c r="CH183" s="21"/>
      <c r="CI183" s="272" t="s">
        <v>1802</v>
      </c>
      <c r="CJ183" s="359" t="s">
        <v>944</v>
      </c>
      <c r="CK183" s="21"/>
      <c r="CL183" s="22" t="s">
        <v>1803</v>
      </c>
      <c r="CM183" s="12"/>
      <c r="CN183" s="48"/>
      <c r="CO183" s="360" t="s">
        <v>944</v>
      </c>
      <c r="CP183" s="21"/>
      <c r="CQ183" s="2" t="s">
        <v>60</v>
      </c>
      <c r="CR183" s="97">
        <v>20.0</v>
      </c>
      <c r="CS183" s="2" t="s">
        <v>409</v>
      </c>
      <c r="CT183" s="98">
        <v>58.0</v>
      </c>
      <c r="CU183" s="2"/>
      <c r="CV183" s="52" t="s">
        <v>149</v>
      </c>
      <c r="CW183" s="52" t="s">
        <v>149</v>
      </c>
      <c r="CX183" s="2"/>
      <c r="CY183" s="118" t="s">
        <v>106</v>
      </c>
      <c r="CZ183" s="119" t="s">
        <v>153</v>
      </c>
      <c r="DA183" s="2"/>
      <c r="DB183" s="98">
        <v>190.0</v>
      </c>
      <c r="DC183" s="2"/>
      <c r="DD183" s="101" t="s">
        <v>468</v>
      </c>
      <c r="DE183" s="2"/>
      <c r="DF183" s="120" t="s">
        <v>1804</v>
      </c>
      <c r="DG183" s="121"/>
      <c r="DH183" s="121"/>
      <c r="DI183" s="2"/>
      <c r="DJ183" s="2"/>
      <c r="DK183" s="59" t="s">
        <v>1805</v>
      </c>
      <c r="DL183" s="37" t="s">
        <v>64</v>
      </c>
      <c r="DM183" s="37" t="str">
        <f t="shared" si="3"/>
        <v>#NAME?</v>
      </c>
      <c r="DN183" s="61"/>
      <c r="DO183" s="37">
        <v>10.0</v>
      </c>
      <c r="DP183" s="105">
        <v>0.9</v>
      </c>
      <c r="DQ183" s="62" t="s">
        <v>49</v>
      </c>
      <c r="DR183" s="63"/>
      <c r="DS183" s="198"/>
      <c r="DT183" s="108"/>
      <c r="DU183" s="108"/>
      <c r="DV183" s="182"/>
      <c r="DW183" s="182"/>
      <c r="DX183" s="182"/>
      <c r="DY183" s="182"/>
      <c r="DZ183" s="182"/>
      <c r="EA183" s="182"/>
      <c r="EB183" s="2"/>
      <c r="EC183" s="2"/>
      <c r="ED183" s="2"/>
      <c r="EE183" s="2"/>
      <c r="EF183" s="149" t="s">
        <v>1806</v>
      </c>
      <c r="EG183" s="69" t="str">
        <f>image("https://www.pokebip.com/pages/icones/objets/fossile-racine.png", 3)</f>
        <v/>
      </c>
      <c r="EH183" s="69"/>
      <c r="EI183" s="69"/>
    </row>
    <row r="184" ht="15.75" customHeight="1">
      <c r="A184" s="1">
        <v>184.0</v>
      </c>
      <c r="B184" s="2" t="s">
        <v>1807</v>
      </c>
      <c r="C184" s="7"/>
      <c r="D184" s="140" t="s">
        <v>1808</v>
      </c>
      <c r="E184" s="5"/>
      <c r="F184" s="141"/>
      <c r="G184" s="7"/>
      <c r="H184" s="8" t="s">
        <v>1809</v>
      </c>
      <c r="I184" s="9" t="s">
        <v>1810</v>
      </c>
      <c r="J184" s="355" t="str">
        <f>image("https://archives.bulbagarden.net/media/upload/c/c3/184MS6.png", 3)</f>
        <v/>
      </c>
      <c r="K184" s="11" t="s">
        <v>1808</v>
      </c>
      <c r="L184" s="12"/>
      <c r="M184" s="12"/>
      <c r="N184" s="12"/>
      <c r="O184" s="12"/>
      <c r="Q184" s="71">
        <v>100.0</v>
      </c>
      <c r="R184" s="72">
        <v>50.0</v>
      </c>
      <c r="S184" s="73">
        <v>80.0</v>
      </c>
      <c r="T184" s="74">
        <v>50.0</v>
      </c>
      <c r="U184" s="75">
        <v>80.0</v>
      </c>
      <c r="V184" s="76">
        <v>50.0</v>
      </c>
      <c r="W184" s="77">
        <v>410.0</v>
      </c>
      <c r="X184" s="21"/>
      <c r="Y184" s="71">
        <v>100.0</v>
      </c>
      <c r="Z184" s="72">
        <v>50.0</v>
      </c>
      <c r="AA184" s="73">
        <v>80.0</v>
      </c>
      <c r="AB184" s="109">
        <v>60.0</v>
      </c>
      <c r="AC184" s="75">
        <v>80.0</v>
      </c>
      <c r="AD184" s="76">
        <v>50.0</v>
      </c>
      <c r="AE184" s="110">
        <v>420.0</v>
      </c>
      <c r="AF184" s="21"/>
      <c r="AG184" s="261">
        <v>110.0</v>
      </c>
      <c r="AH184" s="72">
        <v>50.0</v>
      </c>
      <c r="AI184" s="73">
        <v>80.0</v>
      </c>
      <c r="AJ184" s="74">
        <v>80.0</v>
      </c>
      <c r="AK184" s="75">
        <v>80.0</v>
      </c>
      <c r="AL184" s="76">
        <v>50.0</v>
      </c>
      <c r="AM184" s="110">
        <v>450.0</v>
      </c>
      <c r="AN184" s="21"/>
      <c r="AO184" s="22" t="s">
        <v>40</v>
      </c>
      <c r="AP184" s="23">
        <v>50.0</v>
      </c>
      <c r="AQ184" s="23">
        <v>80.0</v>
      </c>
      <c r="AR184" s="23" t="s">
        <v>337</v>
      </c>
      <c r="AS184" s="23">
        <v>80.0</v>
      </c>
      <c r="AT184" s="23">
        <v>50.0</v>
      </c>
      <c r="AU184" s="24" t="s">
        <v>176</v>
      </c>
      <c r="AV184" s="21"/>
      <c r="AW184" s="111">
        <v>110.0</v>
      </c>
      <c r="AX184" s="80">
        <v>50.0</v>
      </c>
      <c r="AY184" s="80">
        <v>80.0</v>
      </c>
      <c r="AZ184" s="80">
        <v>80.0</v>
      </c>
      <c r="BA184" s="80">
        <v>80.0</v>
      </c>
      <c r="BB184" s="79">
        <v>50.0</v>
      </c>
      <c r="BC184" s="111">
        <v>450.0</v>
      </c>
      <c r="BE184" s="203" t="s">
        <v>422</v>
      </c>
      <c r="BF184" s="138"/>
      <c r="BG184" s="128"/>
      <c r="BI184" s="31">
        <v>3.0</v>
      </c>
      <c r="BJ184" s="32" t="s">
        <v>5</v>
      </c>
      <c r="BK184" s="32" t="s">
        <v>5</v>
      </c>
      <c r="BL184" s="32" t="s">
        <v>5</v>
      </c>
      <c r="BM184" s="32" t="s">
        <v>5</v>
      </c>
      <c r="BN184" s="33" t="s">
        <v>5</v>
      </c>
      <c r="BP184" s="85" t="s">
        <v>32</v>
      </c>
      <c r="BQ184" s="129"/>
      <c r="BS184" s="287" t="s">
        <v>32</v>
      </c>
      <c r="BT184" s="361" t="s">
        <v>153</v>
      </c>
      <c r="BU184" s="37" t="str">
        <f t="shared" si="1"/>
        <v>#NAME?</v>
      </c>
      <c r="BV184" s="89" t="s">
        <v>32</v>
      </c>
      <c r="BW184" s="37" t="str">
        <f t="shared" si="2"/>
        <v>#NAME?</v>
      </c>
      <c r="BX184" s="89" t="s">
        <v>461</v>
      </c>
      <c r="BY184" s="39"/>
      <c r="BZ184" s="39"/>
      <c r="CA184" s="40" t="s">
        <v>1801</v>
      </c>
      <c r="CB184" s="41"/>
      <c r="CC184" s="37" t="s">
        <v>32</v>
      </c>
      <c r="CD184" s="233" t="s">
        <v>153</v>
      </c>
      <c r="CE184" s="21"/>
      <c r="CF184" s="92" t="s">
        <v>944</v>
      </c>
      <c r="CG184" s="93" t="s">
        <v>1802</v>
      </c>
      <c r="CH184" s="21"/>
      <c r="CI184" s="362" t="s">
        <v>1802</v>
      </c>
      <c r="CJ184" s="359" t="s">
        <v>944</v>
      </c>
      <c r="CK184" s="21"/>
      <c r="CL184" s="22" t="s">
        <v>1803</v>
      </c>
      <c r="CM184" s="12"/>
      <c r="CN184" s="48"/>
      <c r="CO184" s="360" t="s">
        <v>944</v>
      </c>
      <c r="CP184" s="21"/>
      <c r="CQ184" s="2" t="s">
        <v>1811</v>
      </c>
      <c r="CR184" s="97">
        <v>60.0</v>
      </c>
      <c r="CS184" s="2" t="s">
        <v>422</v>
      </c>
      <c r="CT184" s="98">
        <v>153.0</v>
      </c>
      <c r="CU184" s="2"/>
      <c r="CV184" s="52" t="s">
        <v>149</v>
      </c>
      <c r="CW184" s="52" t="s">
        <v>149</v>
      </c>
      <c r="CX184" s="2"/>
      <c r="CY184" s="333" t="s">
        <v>106</v>
      </c>
      <c r="CZ184" s="334" t="s">
        <v>153</v>
      </c>
      <c r="DA184" s="2"/>
      <c r="DB184" s="98">
        <v>75.0</v>
      </c>
      <c r="DC184" s="2"/>
      <c r="DD184" s="101" t="s">
        <v>468</v>
      </c>
      <c r="DE184" s="2"/>
      <c r="DF184" s="335" t="s">
        <v>1812</v>
      </c>
      <c r="DG184" s="336"/>
      <c r="DH184" s="336"/>
      <c r="DI184" s="2"/>
      <c r="DJ184" s="2"/>
      <c r="DK184" s="59" t="s">
        <v>1813</v>
      </c>
      <c r="DL184" s="37" t="s">
        <v>109</v>
      </c>
      <c r="DM184" s="37" t="str">
        <f t="shared" si="3"/>
        <v>#NAME?</v>
      </c>
      <c r="DN184" s="61"/>
      <c r="DO184" s="37">
        <v>25.0</v>
      </c>
      <c r="DP184" s="105">
        <v>1.0</v>
      </c>
      <c r="DQ184" s="62" t="s">
        <v>20</v>
      </c>
      <c r="DR184" s="63"/>
      <c r="DS184" s="198"/>
      <c r="DT184" s="108"/>
      <c r="DU184" s="108"/>
      <c r="DV184" s="182"/>
      <c r="DW184" s="182"/>
      <c r="DX184" s="182"/>
      <c r="DY184" s="182"/>
      <c r="DZ184" s="182"/>
      <c r="EA184" s="182"/>
      <c r="EB184" s="2"/>
      <c r="EC184" s="2"/>
      <c r="ED184" s="2"/>
      <c r="EE184" s="2"/>
      <c r="EF184" s="149" t="s">
        <v>1814</v>
      </c>
      <c r="EG184" s="69" t="str">
        <f>image("https://www.pokebip.com/pages/icones/objets/fossile-griffe.png", 3)</f>
        <v/>
      </c>
      <c r="EH184" s="69"/>
      <c r="EI184" s="69"/>
    </row>
    <row r="185" ht="15.75" customHeight="1">
      <c r="A185" s="1">
        <v>185.0</v>
      </c>
      <c r="B185" s="2" t="s">
        <v>1815</v>
      </c>
      <c r="C185" s="7"/>
      <c r="D185" s="167" t="s">
        <v>1816</v>
      </c>
      <c r="E185" s="5"/>
      <c r="F185" s="168"/>
      <c r="G185" s="7"/>
      <c r="H185" s="8" t="s">
        <v>1817</v>
      </c>
      <c r="I185" s="9" t="s">
        <v>1818</v>
      </c>
      <c r="J185" s="355" t="str">
        <f>image("https://archives.bulbagarden.net/media/upload/8/82/185MS6.png", 3)</f>
        <v/>
      </c>
      <c r="K185" s="11" t="s">
        <v>1816</v>
      </c>
      <c r="L185" s="12"/>
      <c r="M185" s="12"/>
      <c r="N185" s="12"/>
      <c r="O185" s="12"/>
      <c r="Q185" s="71">
        <v>70.0</v>
      </c>
      <c r="R185" s="72">
        <v>100.0</v>
      </c>
      <c r="S185" s="73">
        <v>115.0</v>
      </c>
      <c r="T185" s="74">
        <v>30.0</v>
      </c>
      <c r="U185" s="75">
        <v>65.0</v>
      </c>
      <c r="V185" s="76">
        <v>30.0</v>
      </c>
      <c r="W185" s="77">
        <v>410.0</v>
      </c>
      <c r="X185" s="21"/>
      <c r="Y185" s="71">
        <v>70.0</v>
      </c>
      <c r="Z185" s="72">
        <v>100.0</v>
      </c>
      <c r="AA185" s="73">
        <v>115.0</v>
      </c>
      <c r="AB185" s="74">
        <v>30.0</v>
      </c>
      <c r="AC185" s="75">
        <v>65.0</v>
      </c>
      <c r="AD185" s="76">
        <v>30.0</v>
      </c>
      <c r="AE185" s="77">
        <v>410.0</v>
      </c>
      <c r="AF185" s="21"/>
      <c r="AG185" s="261">
        <v>90.0</v>
      </c>
      <c r="AH185" s="109">
        <v>115.0</v>
      </c>
      <c r="AI185" s="109">
        <v>125.0</v>
      </c>
      <c r="AJ185" s="74">
        <v>30.0</v>
      </c>
      <c r="AK185" s="109">
        <v>75.0</v>
      </c>
      <c r="AL185" s="76">
        <v>30.0</v>
      </c>
      <c r="AM185" s="110">
        <v>465.0</v>
      </c>
      <c r="AN185" s="21"/>
      <c r="AO185" s="22" t="s">
        <v>128</v>
      </c>
      <c r="AP185" s="23" t="s">
        <v>213</v>
      </c>
      <c r="AQ185" s="23" t="s">
        <v>1295</v>
      </c>
      <c r="AR185" s="23">
        <v>30.0</v>
      </c>
      <c r="AS185" s="23" t="s">
        <v>154</v>
      </c>
      <c r="AT185" s="23">
        <v>30.0</v>
      </c>
      <c r="AU185" s="24" t="s">
        <v>638</v>
      </c>
      <c r="AV185" s="21"/>
      <c r="AW185" s="227">
        <v>90.0</v>
      </c>
      <c r="AX185" s="111">
        <v>115.0</v>
      </c>
      <c r="AY185" s="111">
        <v>125.0</v>
      </c>
      <c r="AZ185" s="124">
        <v>30.0</v>
      </c>
      <c r="BA185" s="111">
        <v>75.0</v>
      </c>
      <c r="BB185" s="79">
        <v>30.0</v>
      </c>
      <c r="BC185" s="111">
        <v>465.0</v>
      </c>
      <c r="BE185" s="156" t="s">
        <v>162</v>
      </c>
      <c r="BF185" s="113"/>
      <c r="BG185" s="93"/>
      <c r="BI185" s="31" t="s">
        <v>5</v>
      </c>
      <c r="BJ185" s="32" t="s">
        <v>5</v>
      </c>
      <c r="BK185" s="32">
        <v>2.0</v>
      </c>
      <c r="BL185" s="32" t="s">
        <v>5</v>
      </c>
      <c r="BM185" s="32" t="s">
        <v>5</v>
      </c>
      <c r="BN185" s="33" t="s">
        <v>5</v>
      </c>
      <c r="BP185" s="115" t="s">
        <v>66</v>
      </c>
      <c r="BQ185" s="93"/>
      <c r="BS185" s="115" t="s">
        <v>66</v>
      </c>
      <c r="BT185" s="363"/>
      <c r="BU185" s="37" t="str">
        <f t="shared" si="1"/>
        <v>#NAME?</v>
      </c>
      <c r="BV185" s="89" t="s">
        <v>66</v>
      </c>
      <c r="BW185" s="37" t="str">
        <f t="shared" si="2"/>
        <v>#NAME?</v>
      </c>
      <c r="BX185" s="89"/>
      <c r="BY185" s="144"/>
      <c r="BZ185" s="144"/>
      <c r="CA185" s="145" t="s">
        <v>66</v>
      </c>
      <c r="CB185" s="146"/>
      <c r="CC185" s="90" t="s">
        <v>66</v>
      </c>
      <c r="CD185" s="147"/>
      <c r="CE185" s="21"/>
      <c r="CF185" s="92" t="s">
        <v>825</v>
      </c>
      <c r="CG185" s="93" t="s">
        <v>824</v>
      </c>
      <c r="CH185" s="21"/>
      <c r="CI185" s="362" t="s">
        <v>824</v>
      </c>
      <c r="CJ185" s="275" t="s">
        <v>825</v>
      </c>
      <c r="CK185" s="21"/>
      <c r="CL185" s="22" t="s">
        <v>1165</v>
      </c>
      <c r="CM185" s="12"/>
      <c r="CN185" s="48"/>
      <c r="CO185" s="242" t="s">
        <v>825</v>
      </c>
      <c r="CP185" s="21"/>
      <c r="CQ185" s="2" t="s">
        <v>315</v>
      </c>
      <c r="CR185" s="97">
        <v>60.0</v>
      </c>
      <c r="CS185" s="2" t="s">
        <v>162</v>
      </c>
      <c r="CT185" s="98">
        <v>135.0</v>
      </c>
      <c r="CU185" s="2"/>
      <c r="CV185" s="52" t="s">
        <v>149</v>
      </c>
      <c r="CW185" s="52" t="s">
        <v>149</v>
      </c>
      <c r="CX185" s="2"/>
      <c r="CY185" s="119" t="s">
        <v>826</v>
      </c>
      <c r="CZ185" s="160"/>
      <c r="DA185" s="2"/>
      <c r="DB185" s="98">
        <v>65.0</v>
      </c>
      <c r="DC185" s="2"/>
      <c r="DD185" s="101" t="s">
        <v>150</v>
      </c>
      <c r="DE185" s="2"/>
      <c r="DF185" s="250" t="s">
        <v>1819</v>
      </c>
      <c r="DG185" s="121"/>
      <c r="DH185" s="121"/>
      <c r="DI185" s="2"/>
      <c r="DJ185" s="2"/>
      <c r="DK185" s="59" t="s">
        <v>1820</v>
      </c>
      <c r="DL185" s="37" t="s">
        <v>109</v>
      </c>
      <c r="DM185" s="37" t="str">
        <f t="shared" si="3"/>
        <v>#NAME?</v>
      </c>
      <c r="DN185" s="61"/>
      <c r="DO185" s="37">
        <v>70.0</v>
      </c>
      <c r="DP185" s="105">
        <v>1.0</v>
      </c>
      <c r="DQ185" s="62" t="s">
        <v>20</v>
      </c>
      <c r="DR185" s="63"/>
      <c r="DS185" s="198"/>
      <c r="DT185" s="108"/>
      <c r="DU185" s="108"/>
      <c r="DV185" s="182"/>
      <c r="DW185" s="182"/>
      <c r="DX185" s="182"/>
      <c r="DY185" s="182"/>
      <c r="DZ185" s="182"/>
      <c r="EA185" s="182"/>
      <c r="EB185" s="21"/>
      <c r="EC185" s="21"/>
      <c r="ED185" s="21"/>
      <c r="EE185" s="21"/>
      <c r="EF185" s="149" t="s">
        <v>1821</v>
      </c>
      <c r="EG185" s="69" t="str">
        <f>image("https://www.pokebip.com/pages/icones/objets/fossile-crane.png", 3)</f>
        <v/>
      </c>
      <c r="EH185" s="69"/>
      <c r="EI185" s="69"/>
    </row>
    <row r="186" ht="15.75" customHeight="1">
      <c r="A186" s="1">
        <v>186.0</v>
      </c>
      <c r="B186" s="2" t="s">
        <v>1822</v>
      </c>
      <c r="C186" s="7"/>
      <c r="D186" s="4" t="s">
        <v>1823</v>
      </c>
      <c r="E186" s="5"/>
      <c r="F186" s="6"/>
      <c r="G186" s="7"/>
      <c r="H186" s="8" t="s">
        <v>1824</v>
      </c>
      <c r="I186" s="9" t="s">
        <v>1825</v>
      </c>
      <c r="J186" s="355" t="str">
        <f>image("https://archives.bulbagarden.net/media/upload/8/8c/186MS6.png", 3)</f>
        <v/>
      </c>
      <c r="K186" s="11" t="s">
        <v>1823</v>
      </c>
      <c r="L186" s="12"/>
      <c r="M186" s="12"/>
      <c r="N186" s="12"/>
      <c r="O186" s="12"/>
      <c r="Q186" s="71">
        <v>90.0</v>
      </c>
      <c r="R186" s="72">
        <v>75.0</v>
      </c>
      <c r="S186" s="73">
        <v>75.0</v>
      </c>
      <c r="T186" s="74">
        <v>90.0</v>
      </c>
      <c r="U186" s="75">
        <v>100.0</v>
      </c>
      <c r="V186" s="76">
        <v>70.0</v>
      </c>
      <c r="W186" s="77">
        <v>500.0</v>
      </c>
      <c r="X186" s="21"/>
      <c r="Y186" s="71">
        <v>90.0</v>
      </c>
      <c r="Z186" s="72">
        <v>75.0</v>
      </c>
      <c r="AA186" s="73">
        <v>75.0</v>
      </c>
      <c r="AB186" s="74">
        <v>90.0</v>
      </c>
      <c r="AC186" s="75">
        <v>100.0</v>
      </c>
      <c r="AD186" s="76">
        <v>70.0</v>
      </c>
      <c r="AE186" s="77">
        <v>500.0</v>
      </c>
      <c r="AF186" s="21"/>
      <c r="AG186" s="71">
        <v>90.0</v>
      </c>
      <c r="AH186" s="72">
        <v>75.0</v>
      </c>
      <c r="AI186" s="73">
        <v>75.0</v>
      </c>
      <c r="AJ186" s="74">
        <v>90.0</v>
      </c>
      <c r="AK186" s="75">
        <v>100.0</v>
      </c>
      <c r="AL186" s="76">
        <v>70.0</v>
      </c>
      <c r="AM186" s="77">
        <v>500.0</v>
      </c>
      <c r="AN186" s="21"/>
      <c r="AO186" s="22">
        <v>90.0</v>
      </c>
      <c r="AP186" s="23">
        <v>75.0</v>
      </c>
      <c r="AQ186" s="23">
        <v>75.0</v>
      </c>
      <c r="AR186" s="23">
        <v>90.0</v>
      </c>
      <c r="AS186" s="23">
        <v>100.0</v>
      </c>
      <c r="AT186" s="23">
        <v>70.0</v>
      </c>
      <c r="AU186" s="24">
        <v>500.0</v>
      </c>
      <c r="AV186" s="21"/>
      <c r="AW186" s="265">
        <v>90.0</v>
      </c>
      <c r="AX186" s="124">
        <v>75.0</v>
      </c>
      <c r="AY186" s="124">
        <v>75.0</v>
      </c>
      <c r="AZ186" s="80">
        <v>90.0</v>
      </c>
      <c r="BA186" s="124">
        <v>100.0</v>
      </c>
      <c r="BB186" s="79">
        <v>70.0</v>
      </c>
      <c r="BC186" s="183">
        <v>500.0</v>
      </c>
      <c r="BE186" s="150" t="s">
        <v>129</v>
      </c>
      <c r="BF186" s="138"/>
      <c r="BG186" s="128"/>
      <c r="BI186" s="31" t="s">
        <v>5</v>
      </c>
      <c r="BJ186" s="32" t="s">
        <v>5</v>
      </c>
      <c r="BK186" s="32" t="s">
        <v>5</v>
      </c>
      <c r="BL186" s="32" t="s">
        <v>5</v>
      </c>
      <c r="BM186" s="32">
        <v>3.0</v>
      </c>
      <c r="BN186" s="33" t="s">
        <v>5</v>
      </c>
      <c r="BP186" s="85" t="s">
        <v>32</v>
      </c>
      <c r="BQ186" s="129"/>
      <c r="BS186" s="87" t="s">
        <v>32</v>
      </c>
      <c r="BT186" s="130"/>
      <c r="BU186" s="37" t="str">
        <f t="shared" si="1"/>
        <v>#NAME?</v>
      </c>
      <c r="BV186" s="89" t="s">
        <v>32</v>
      </c>
      <c r="BW186" s="37" t="str">
        <f t="shared" si="2"/>
        <v>#NAME?</v>
      </c>
      <c r="BX186" s="89"/>
      <c r="BY186" s="39"/>
      <c r="BZ186" s="39"/>
      <c r="CA186" s="40" t="s">
        <v>32</v>
      </c>
      <c r="CB186" s="41"/>
      <c r="CC186" s="90" t="s">
        <v>32</v>
      </c>
      <c r="CD186" s="91"/>
      <c r="CE186" s="21"/>
      <c r="CF186" s="92" t="s">
        <v>698</v>
      </c>
      <c r="CG186" s="93" t="s">
        <v>646</v>
      </c>
      <c r="CH186" s="21"/>
      <c r="CI186" s="152" t="s">
        <v>1826</v>
      </c>
      <c r="CJ186" s="165" t="s">
        <v>646</v>
      </c>
      <c r="CK186" s="21"/>
      <c r="CL186" s="22" t="s">
        <v>130</v>
      </c>
      <c r="CM186" s="12"/>
      <c r="CN186" s="48"/>
      <c r="CO186" s="196" t="s">
        <v>646</v>
      </c>
      <c r="CP186" s="21"/>
      <c r="CQ186" s="2" t="s">
        <v>1827</v>
      </c>
      <c r="CR186" s="97">
        <v>60.0</v>
      </c>
      <c r="CS186" s="2" t="s">
        <v>129</v>
      </c>
      <c r="CT186" s="98">
        <v>185.0</v>
      </c>
      <c r="CU186" s="2"/>
      <c r="CV186" s="52" t="s">
        <v>149</v>
      </c>
      <c r="CW186" s="52" t="s">
        <v>149</v>
      </c>
      <c r="CX186" s="2"/>
      <c r="CY186" s="334" t="s">
        <v>106</v>
      </c>
      <c r="CZ186" s="337"/>
      <c r="DA186" s="2"/>
      <c r="DB186" s="98">
        <v>45.0</v>
      </c>
      <c r="DC186" s="2"/>
      <c r="DD186" s="101" t="s">
        <v>15</v>
      </c>
      <c r="DE186" s="2"/>
      <c r="DF186" s="159" t="s">
        <v>1828</v>
      </c>
      <c r="DG186" s="343" t="s">
        <v>709</v>
      </c>
      <c r="DH186" s="336"/>
      <c r="DI186" s="2"/>
      <c r="DJ186" s="2"/>
      <c r="DK186" s="59" t="s">
        <v>1829</v>
      </c>
      <c r="DL186" s="37" t="s">
        <v>156</v>
      </c>
      <c r="DM186" s="37" t="str">
        <f t="shared" si="3"/>
        <v>#NAME?</v>
      </c>
      <c r="DN186" s="61"/>
      <c r="DO186" s="37">
        <v>55.0</v>
      </c>
      <c r="DP186" s="105">
        <v>1.0</v>
      </c>
      <c r="DQ186" s="62" t="s">
        <v>342</v>
      </c>
      <c r="DR186" s="63"/>
      <c r="DS186" s="198"/>
      <c r="DT186" s="108"/>
      <c r="DU186" s="108"/>
      <c r="DV186" s="182"/>
      <c r="DW186" s="182"/>
      <c r="DX186" s="182"/>
      <c r="DY186" s="182"/>
      <c r="DZ186" s="182"/>
      <c r="EA186" s="182"/>
      <c r="EB186" s="2"/>
      <c r="EC186" s="2"/>
      <c r="ED186" s="2"/>
      <c r="EE186" s="2"/>
      <c r="EF186" s="149" t="s">
        <v>1830</v>
      </c>
      <c r="EG186" s="69" t="str">
        <f>image("https://www.pokebip.com/pages/icones/objets/fossile-armure.png", 3)</f>
        <v/>
      </c>
      <c r="EH186" s="69"/>
      <c r="EI186" s="69"/>
    </row>
    <row r="187" ht="15.75" customHeight="1">
      <c r="A187" s="1">
        <v>187.0</v>
      </c>
      <c r="B187" s="2" t="s">
        <v>1831</v>
      </c>
      <c r="C187" s="7"/>
      <c r="D187" s="213" t="s">
        <v>1832</v>
      </c>
      <c r="E187" s="5"/>
      <c r="F187" s="214"/>
      <c r="G187" s="7"/>
      <c r="H187" s="8" t="s">
        <v>1833</v>
      </c>
      <c r="I187" s="9" t="s">
        <v>1834</v>
      </c>
      <c r="J187" s="355" t="str">
        <f>image("https://archives.bulbagarden.net/media/upload/b/b3/187MS6.png", 3)</f>
        <v/>
      </c>
      <c r="K187" s="11" t="s">
        <v>1832</v>
      </c>
      <c r="L187" s="12"/>
      <c r="M187" s="12"/>
      <c r="N187" s="12"/>
      <c r="O187" s="12"/>
      <c r="Q187" s="71">
        <v>35.0</v>
      </c>
      <c r="R187" s="72">
        <v>35.0</v>
      </c>
      <c r="S187" s="73">
        <v>40.0</v>
      </c>
      <c r="T187" s="74">
        <v>35.0</v>
      </c>
      <c r="U187" s="75">
        <v>55.0</v>
      </c>
      <c r="V187" s="76">
        <v>50.0</v>
      </c>
      <c r="W187" s="77">
        <v>250.0</v>
      </c>
      <c r="X187" s="21"/>
      <c r="Y187" s="71">
        <v>35.0</v>
      </c>
      <c r="Z187" s="72">
        <v>35.0</v>
      </c>
      <c r="AA187" s="73">
        <v>40.0</v>
      </c>
      <c r="AB187" s="74">
        <v>35.0</v>
      </c>
      <c r="AC187" s="75">
        <v>55.0</v>
      </c>
      <c r="AD187" s="76">
        <v>50.0</v>
      </c>
      <c r="AE187" s="77">
        <v>250.0</v>
      </c>
      <c r="AF187" s="21"/>
      <c r="AG187" s="71">
        <v>35.0</v>
      </c>
      <c r="AH187" s="72">
        <v>35.0</v>
      </c>
      <c r="AI187" s="73">
        <v>40.0</v>
      </c>
      <c r="AJ187" s="109">
        <v>45.0</v>
      </c>
      <c r="AK187" s="75">
        <v>55.0</v>
      </c>
      <c r="AL187" s="76">
        <v>50.0</v>
      </c>
      <c r="AM187" s="110">
        <v>260.0</v>
      </c>
      <c r="AN187" s="21"/>
      <c r="AO187" s="22">
        <v>35.0</v>
      </c>
      <c r="AP187" s="23">
        <v>35.0</v>
      </c>
      <c r="AQ187" s="23">
        <v>40.0</v>
      </c>
      <c r="AR187" s="23" t="s">
        <v>1612</v>
      </c>
      <c r="AS187" s="23">
        <v>55.0</v>
      </c>
      <c r="AT187" s="23">
        <v>50.0</v>
      </c>
      <c r="AU187" s="24" t="s">
        <v>1835</v>
      </c>
      <c r="AV187" s="21"/>
      <c r="AW187" s="78">
        <v>35.0</v>
      </c>
      <c r="AX187" s="79">
        <v>35.0</v>
      </c>
      <c r="AY187" s="79">
        <v>40.0</v>
      </c>
      <c r="AZ187" s="111">
        <v>45.0</v>
      </c>
      <c r="BA187" s="79">
        <v>55.0</v>
      </c>
      <c r="BB187" s="79">
        <v>50.0</v>
      </c>
      <c r="BC187" s="111">
        <v>260.0</v>
      </c>
      <c r="BE187" s="225" t="s">
        <v>27</v>
      </c>
      <c r="BF187" s="184"/>
      <c r="BG187" s="128"/>
      <c r="BI187" s="31" t="s">
        <v>5</v>
      </c>
      <c r="BJ187" s="32" t="s">
        <v>5</v>
      </c>
      <c r="BK187" s="32" t="s">
        <v>5</v>
      </c>
      <c r="BL187" s="32" t="s">
        <v>5</v>
      </c>
      <c r="BM187" s="32">
        <v>1.0</v>
      </c>
      <c r="BN187" s="33" t="s">
        <v>5</v>
      </c>
      <c r="BP187" s="115" t="s">
        <v>6</v>
      </c>
      <c r="BQ187" s="116" t="s">
        <v>18</v>
      </c>
      <c r="BS187" s="115" t="s">
        <v>6</v>
      </c>
      <c r="BT187" s="117" t="s">
        <v>18</v>
      </c>
      <c r="BU187" s="37" t="str">
        <f t="shared" si="1"/>
        <v>#NAME?</v>
      </c>
      <c r="BV187" s="89" t="s">
        <v>6</v>
      </c>
      <c r="BW187" s="37" t="str">
        <f t="shared" si="2"/>
        <v>#NAME?</v>
      </c>
      <c r="BX187" s="89" t="s">
        <v>18</v>
      </c>
      <c r="BY187" s="39"/>
      <c r="BZ187" s="39"/>
      <c r="CA187" s="40" t="s">
        <v>1836</v>
      </c>
      <c r="CB187" s="41"/>
      <c r="CC187" s="90" t="s">
        <v>6</v>
      </c>
      <c r="CD187" s="91" t="s">
        <v>18</v>
      </c>
      <c r="CE187" s="2"/>
      <c r="CF187" s="92" t="s">
        <v>43</v>
      </c>
      <c r="CG187" s="93" t="s">
        <v>1194</v>
      </c>
      <c r="CH187" s="2"/>
      <c r="CI187" s="175" t="s">
        <v>43</v>
      </c>
      <c r="CJ187" s="93" t="s">
        <v>1194</v>
      </c>
      <c r="CK187" s="2"/>
      <c r="CL187" s="22" t="s">
        <v>43</v>
      </c>
      <c r="CM187" s="12"/>
      <c r="CN187" s="48"/>
      <c r="CO187" s="96" t="s">
        <v>1194</v>
      </c>
      <c r="CP187" s="2"/>
      <c r="CQ187" s="2" t="s">
        <v>1837</v>
      </c>
      <c r="CR187" s="97">
        <v>20.0</v>
      </c>
      <c r="CS187" s="2" t="s">
        <v>27</v>
      </c>
      <c r="CT187" s="98">
        <v>74.0</v>
      </c>
      <c r="CU187" s="2"/>
      <c r="CV187" s="52" t="s">
        <v>149</v>
      </c>
      <c r="CW187" s="52" t="s">
        <v>149</v>
      </c>
      <c r="CX187" s="2"/>
      <c r="CY187" s="118" t="s">
        <v>153</v>
      </c>
      <c r="CZ187" s="119" t="s">
        <v>6</v>
      </c>
      <c r="DA187" s="2"/>
      <c r="DB187" s="98">
        <v>255.0</v>
      </c>
      <c r="DC187" s="2"/>
      <c r="DD187" s="101" t="s">
        <v>15</v>
      </c>
      <c r="DE187" s="2"/>
      <c r="DF187" s="253" t="s">
        <v>1838</v>
      </c>
      <c r="DG187" s="121"/>
      <c r="DH187" s="121"/>
      <c r="DI187" s="21"/>
      <c r="DJ187" s="21"/>
      <c r="DK187" s="59" t="s">
        <v>1839</v>
      </c>
      <c r="DL187" s="37" t="s">
        <v>6</v>
      </c>
      <c r="DM187" s="37" t="str">
        <f t="shared" si="3"/>
        <v>#NAME?</v>
      </c>
      <c r="DN187" s="61"/>
      <c r="DO187" s="37" t="s">
        <v>1612</v>
      </c>
      <c r="DP187" s="105">
        <v>1.0</v>
      </c>
      <c r="DQ187" s="62" t="s">
        <v>206</v>
      </c>
      <c r="DR187" s="63"/>
      <c r="DS187" s="198"/>
      <c r="DT187" s="108"/>
      <c r="DU187" s="108"/>
      <c r="DV187" s="182"/>
      <c r="DW187" s="182"/>
      <c r="DX187" s="182"/>
      <c r="DY187" s="182"/>
      <c r="DZ187" s="182"/>
      <c r="EA187" s="182"/>
      <c r="EB187" s="21"/>
      <c r="EC187" s="21"/>
      <c r="ED187" s="21"/>
      <c r="EE187" s="21"/>
      <c r="EF187" s="149" t="s">
        <v>1840</v>
      </c>
      <c r="EG187" s="69" t="str">
        <f>image("https://www.pokebip.com/pages/icones/objets/cle-de-voute.png", 3)</f>
        <v/>
      </c>
      <c r="EH187" s="69"/>
      <c r="EI187" s="69"/>
    </row>
    <row r="188" ht="15.75" customHeight="1">
      <c r="A188" s="1">
        <v>188.0</v>
      </c>
      <c r="B188" s="2" t="s">
        <v>1841</v>
      </c>
      <c r="C188" s="7"/>
      <c r="D188" s="4" t="s">
        <v>1842</v>
      </c>
      <c r="E188" s="5"/>
      <c r="F188" s="6"/>
      <c r="G188" s="7"/>
      <c r="H188" s="8" t="s">
        <v>1843</v>
      </c>
      <c r="I188" s="9" t="s">
        <v>1844</v>
      </c>
      <c r="J188" s="355" t="str">
        <f>image("https://archives.bulbagarden.net/media/upload/d/d4/188MS6.png", 3)</f>
        <v/>
      </c>
      <c r="K188" s="11" t="s">
        <v>1842</v>
      </c>
      <c r="L188" s="12"/>
      <c r="M188" s="12"/>
      <c r="N188" s="12"/>
      <c r="O188" s="12"/>
      <c r="Q188" s="71">
        <v>55.0</v>
      </c>
      <c r="R188" s="72">
        <v>45.0</v>
      </c>
      <c r="S188" s="73">
        <v>50.0</v>
      </c>
      <c r="T188" s="74">
        <v>45.0</v>
      </c>
      <c r="U188" s="75">
        <v>65.0</v>
      </c>
      <c r="V188" s="76">
        <v>80.0</v>
      </c>
      <c r="W188" s="77">
        <v>340.0</v>
      </c>
      <c r="X188" s="21"/>
      <c r="Y188" s="71">
        <v>55.0</v>
      </c>
      <c r="Z188" s="72">
        <v>45.0</v>
      </c>
      <c r="AA188" s="73">
        <v>50.0</v>
      </c>
      <c r="AB188" s="74">
        <v>45.0</v>
      </c>
      <c r="AC188" s="75">
        <v>65.0</v>
      </c>
      <c r="AD188" s="76">
        <v>80.0</v>
      </c>
      <c r="AE188" s="77">
        <v>340.0</v>
      </c>
      <c r="AF188" s="21"/>
      <c r="AG188" s="71">
        <v>55.0</v>
      </c>
      <c r="AH188" s="72">
        <v>45.0</v>
      </c>
      <c r="AI188" s="73">
        <v>50.0</v>
      </c>
      <c r="AJ188" s="109">
        <v>65.0</v>
      </c>
      <c r="AK188" s="75">
        <v>65.0</v>
      </c>
      <c r="AL188" s="76">
        <v>80.0</v>
      </c>
      <c r="AM188" s="110">
        <v>360.0</v>
      </c>
      <c r="AN188" s="21"/>
      <c r="AO188" s="22">
        <v>55.0</v>
      </c>
      <c r="AP188" s="23">
        <v>45.0</v>
      </c>
      <c r="AQ188" s="23">
        <v>50.0</v>
      </c>
      <c r="AR188" s="23" t="s">
        <v>247</v>
      </c>
      <c r="AS188" s="23">
        <v>65.0</v>
      </c>
      <c r="AT188" s="23">
        <v>80.0</v>
      </c>
      <c r="AU188" s="24" t="s">
        <v>1845</v>
      </c>
      <c r="AV188" s="21"/>
      <c r="AW188" s="78">
        <v>55.0</v>
      </c>
      <c r="AX188" s="79">
        <v>45.0</v>
      </c>
      <c r="AY188" s="79">
        <v>50.0</v>
      </c>
      <c r="AZ188" s="111">
        <v>65.0</v>
      </c>
      <c r="BA188" s="80">
        <v>65.0</v>
      </c>
      <c r="BB188" s="79">
        <v>80.0</v>
      </c>
      <c r="BC188" s="111">
        <v>360.0</v>
      </c>
      <c r="BE188" s="176" t="s">
        <v>248</v>
      </c>
      <c r="BF188" s="113"/>
      <c r="BG188" s="129"/>
      <c r="BI188" s="31" t="s">
        <v>5</v>
      </c>
      <c r="BJ188" s="32" t="s">
        <v>5</v>
      </c>
      <c r="BK188" s="32" t="s">
        <v>5</v>
      </c>
      <c r="BL188" s="32" t="s">
        <v>5</v>
      </c>
      <c r="BM188" s="32" t="s">
        <v>5</v>
      </c>
      <c r="BN188" s="33">
        <v>2.0</v>
      </c>
      <c r="BP188" s="85" t="s">
        <v>6</v>
      </c>
      <c r="BQ188" s="86" t="s">
        <v>18</v>
      </c>
      <c r="BS188" s="87" t="s">
        <v>6</v>
      </c>
      <c r="BT188" s="88" t="s">
        <v>18</v>
      </c>
      <c r="BU188" s="37" t="str">
        <f t="shared" si="1"/>
        <v>#NAME?</v>
      </c>
      <c r="BV188" s="89" t="s">
        <v>6</v>
      </c>
      <c r="BW188" s="37" t="str">
        <f t="shared" si="2"/>
        <v>#NAME?</v>
      </c>
      <c r="BX188" s="89" t="s">
        <v>18</v>
      </c>
      <c r="BY188" s="39"/>
      <c r="BZ188" s="39"/>
      <c r="CA188" s="40" t="s">
        <v>1836</v>
      </c>
      <c r="CB188" s="41"/>
      <c r="CC188" s="90" t="s">
        <v>6</v>
      </c>
      <c r="CD188" s="91" t="s">
        <v>18</v>
      </c>
      <c r="CE188" s="2"/>
      <c r="CF188" s="92" t="s">
        <v>43</v>
      </c>
      <c r="CG188" s="93" t="s">
        <v>1194</v>
      </c>
      <c r="CH188" s="2"/>
      <c r="CI188" s="92" t="s">
        <v>43</v>
      </c>
      <c r="CJ188" s="93" t="s">
        <v>1194</v>
      </c>
      <c r="CK188" s="2"/>
      <c r="CL188" s="22" t="s">
        <v>43</v>
      </c>
      <c r="CM188" s="12"/>
      <c r="CN188" s="48"/>
      <c r="CO188" s="96" t="s">
        <v>1194</v>
      </c>
      <c r="CP188" s="2"/>
      <c r="CQ188" s="2" t="s">
        <v>1146</v>
      </c>
      <c r="CR188" s="97">
        <v>20.0</v>
      </c>
      <c r="CS188" s="2" t="s">
        <v>248</v>
      </c>
      <c r="CT188" s="98">
        <v>136.0</v>
      </c>
      <c r="CU188" s="2"/>
      <c r="CV188" s="52" t="s">
        <v>149</v>
      </c>
      <c r="CW188" s="52" t="s">
        <v>149</v>
      </c>
      <c r="CX188" s="2"/>
      <c r="CY188" s="333" t="s">
        <v>153</v>
      </c>
      <c r="CZ188" s="334" t="s">
        <v>6</v>
      </c>
      <c r="DA188" s="2"/>
      <c r="DB188" s="98">
        <v>120.0</v>
      </c>
      <c r="DC188" s="2"/>
      <c r="DD188" s="101" t="s">
        <v>15</v>
      </c>
      <c r="DE188" s="2"/>
      <c r="DF188" s="335" t="s">
        <v>1846</v>
      </c>
      <c r="DG188" s="336"/>
      <c r="DH188" s="336"/>
      <c r="DI188" s="2"/>
      <c r="DJ188" s="2"/>
      <c r="DK188" s="59" t="s">
        <v>1847</v>
      </c>
      <c r="DL188" s="37" t="s">
        <v>64</v>
      </c>
      <c r="DM188" s="37" t="str">
        <f t="shared" si="3"/>
        <v>#NAME?</v>
      </c>
      <c r="DN188" s="61"/>
      <c r="DO188" s="37">
        <v>70.0</v>
      </c>
      <c r="DP188" s="37" t="s">
        <v>19</v>
      </c>
      <c r="DQ188" s="62" t="s">
        <v>49</v>
      </c>
      <c r="DR188" s="199"/>
      <c r="DS188" s="244"/>
      <c r="DT188" s="108"/>
      <c r="DU188" s="108"/>
      <c r="DV188" s="200"/>
      <c r="DW188" s="200"/>
      <c r="DX188" s="200"/>
      <c r="DY188" s="200"/>
      <c r="DZ188" s="200"/>
      <c r="EA188" s="200"/>
      <c r="EB188" s="21"/>
      <c r="EC188" s="21"/>
      <c r="ED188" s="21"/>
      <c r="EE188" s="21"/>
      <c r="EG188" s="69" t="str">
        <f>image("", 3)</f>
        <v/>
      </c>
      <c r="EH188" s="69"/>
      <c r="EI188" s="69"/>
    </row>
    <row r="189" ht="15.75" customHeight="1">
      <c r="A189" s="1">
        <v>189.0</v>
      </c>
      <c r="B189" s="2" t="s">
        <v>1848</v>
      </c>
      <c r="C189" s="7"/>
      <c r="D189" s="140" t="s">
        <v>1849</v>
      </c>
      <c r="E189" s="5"/>
      <c r="F189" s="141"/>
      <c r="G189" s="7"/>
      <c r="H189" s="8" t="s">
        <v>1850</v>
      </c>
      <c r="I189" s="9" t="s">
        <v>1851</v>
      </c>
      <c r="J189" s="355" t="str">
        <f>image("https://archives.bulbagarden.net/media/upload/5/5b/189MS6.png", 3)</f>
        <v/>
      </c>
      <c r="K189" s="11" t="s">
        <v>1849</v>
      </c>
      <c r="L189" s="12"/>
      <c r="M189" s="12"/>
      <c r="N189" s="12"/>
      <c r="O189" s="12"/>
      <c r="Q189" s="71">
        <v>75.0</v>
      </c>
      <c r="R189" s="72">
        <v>55.0</v>
      </c>
      <c r="S189" s="73">
        <v>70.0</v>
      </c>
      <c r="T189" s="74">
        <v>55.0</v>
      </c>
      <c r="U189" s="75">
        <v>85.0</v>
      </c>
      <c r="V189" s="76">
        <v>110.0</v>
      </c>
      <c r="W189" s="77">
        <v>450.0</v>
      </c>
      <c r="X189" s="21"/>
      <c r="Y189" s="71">
        <v>75.0</v>
      </c>
      <c r="Z189" s="72">
        <v>55.0</v>
      </c>
      <c r="AA189" s="73">
        <v>70.0</v>
      </c>
      <c r="AB189" s="74">
        <v>55.0</v>
      </c>
      <c r="AC189" s="109">
        <v>95.0</v>
      </c>
      <c r="AD189" s="76">
        <v>110.0</v>
      </c>
      <c r="AE189" s="110">
        <v>460.0</v>
      </c>
      <c r="AF189" s="21"/>
      <c r="AG189" s="71">
        <v>75.0</v>
      </c>
      <c r="AH189" s="72">
        <v>55.0</v>
      </c>
      <c r="AI189" s="73">
        <v>70.0</v>
      </c>
      <c r="AJ189" s="109">
        <v>85.0</v>
      </c>
      <c r="AK189" s="109">
        <v>95.0</v>
      </c>
      <c r="AL189" s="76">
        <v>110.0</v>
      </c>
      <c r="AM189" s="110">
        <v>490.0</v>
      </c>
      <c r="AN189" s="21"/>
      <c r="AO189" s="22">
        <v>75.0</v>
      </c>
      <c r="AP189" s="23">
        <v>55.0</v>
      </c>
      <c r="AQ189" s="23">
        <v>70.0</v>
      </c>
      <c r="AR189" s="23" t="s">
        <v>1621</v>
      </c>
      <c r="AS189" s="23" t="s">
        <v>215</v>
      </c>
      <c r="AT189" s="23">
        <v>110.0</v>
      </c>
      <c r="AU189" s="24" t="s">
        <v>562</v>
      </c>
      <c r="AV189" s="21"/>
      <c r="AW189" s="78">
        <v>75.0</v>
      </c>
      <c r="AX189" s="79">
        <v>55.0</v>
      </c>
      <c r="AY189" s="79">
        <v>70.0</v>
      </c>
      <c r="AZ189" s="111">
        <v>85.0</v>
      </c>
      <c r="BA189" s="111">
        <v>95.0</v>
      </c>
      <c r="BB189" s="79">
        <v>110.0</v>
      </c>
      <c r="BC189" s="111">
        <v>490.0</v>
      </c>
      <c r="BE189" s="176" t="s">
        <v>261</v>
      </c>
      <c r="BF189" s="138"/>
      <c r="BG189" s="128"/>
      <c r="BI189" s="31" t="s">
        <v>5</v>
      </c>
      <c r="BJ189" s="32" t="s">
        <v>5</v>
      </c>
      <c r="BK189" s="32" t="s">
        <v>5</v>
      </c>
      <c r="BL189" s="32" t="s">
        <v>5</v>
      </c>
      <c r="BM189" s="32" t="s">
        <v>5</v>
      </c>
      <c r="BN189" s="33">
        <v>3.0</v>
      </c>
      <c r="BP189" s="115" t="s">
        <v>6</v>
      </c>
      <c r="BQ189" s="116" t="s">
        <v>18</v>
      </c>
      <c r="BS189" s="115" t="s">
        <v>6</v>
      </c>
      <c r="BT189" s="117" t="s">
        <v>18</v>
      </c>
      <c r="BU189" s="37" t="str">
        <f t="shared" si="1"/>
        <v>#NAME?</v>
      </c>
      <c r="BV189" s="89" t="s">
        <v>6</v>
      </c>
      <c r="BW189" s="37" t="str">
        <f t="shared" si="2"/>
        <v>#NAME?</v>
      </c>
      <c r="BX189" s="89" t="s">
        <v>18</v>
      </c>
      <c r="BY189" s="39"/>
      <c r="BZ189" s="39"/>
      <c r="CA189" s="40" t="s">
        <v>1836</v>
      </c>
      <c r="CB189" s="41"/>
      <c r="CC189" s="90" t="s">
        <v>6</v>
      </c>
      <c r="CD189" s="91" t="s">
        <v>18</v>
      </c>
      <c r="CE189" s="2"/>
      <c r="CF189" s="92" t="s">
        <v>43</v>
      </c>
      <c r="CG189" s="93" t="s">
        <v>1194</v>
      </c>
      <c r="CH189" s="2"/>
      <c r="CI189" s="92" t="s">
        <v>43</v>
      </c>
      <c r="CJ189" s="93" t="s">
        <v>1194</v>
      </c>
      <c r="CK189" s="2"/>
      <c r="CL189" s="22" t="s">
        <v>43</v>
      </c>
      <c r="CM189" s="12"/>
      <c r="CN189" s="48"/>
      <c r="CO189" s="96" t="s">
        <v>1194</v>
      </c>
      <c r="CP189" s="2"/>
      <c r="CQ189" s="2" t="s">
        <v>1717</v>
      </c>
      <c r="CR189" s="97">
        <v>20.0</v>
      </c>
      <c r="CS189" s="2" t="s">
        <v>261</v>
      </c>
      <c r="CT189" s="98">
        <v>176.0</v>
      </c>
      <c r="CU189" s="2"/>
      <c r="CV189" s="52" t="s">
        <v>149</v>
      </c>
      <c r="CW189" s="52" t="s">
        <v>149</v>
      </c>
      <c r="CX189" s="2"/>
      <c r="CY189" s="118" t="s">
        <v>153</v>
      </c>
      <c r="CZ189" s="119" t="s">
        <v>6</v>
      </c>
      <c r="DA189" s="2"/>
      <c r="DB189" s="98">
        <v>45.0</v>
      </c>
      <c r="DC189" s="2"/>
      <c r="DD189" s="101" t="s">
        <v>15</v>
      </c>
      <c r="DE189" s="2"/>
      <c r="DF189" s="120" t="s">
        <v>1852</v>
      </c>
      <c r="DG189" s="121"/>
      <c r="DH189" s="121"/>
      <c r="DI189" s="2"/>
      <c r="DJ189" s="2"/>
      <c r="DK189" s="59" t="s">
        <v>1853</v>
      </c>
      <c r="DL189" s="37" t="s">
        <v>1854</v>
      </c>
      <c r="DM189" s="37" t="str">
        <f t="shared" si="3"/>
        <v>#NAME?</v>
      </c>
      <c r="DN189" s="61"/>
      <c r="DO189" s="37" t="s">
        <v>1855</v>
      </c>
      <c r="DP189" s="37" t="s">
        <v>401</v>
      </c>
      <c r="DQ189" s="62" t="s">
        <v>472</v>
      </c>
      <c r="DR189" s="63"/>
      <c r="DS189" s="198"/>
      <c r="DT189" s="108"/>
      <c r="DU189" s="108"/>
      <c r="DV189" s="182"/>
      <c r="DW189" s="182"/>
      <c r="DX189" s="182"/>
      <c r="DY189" s="182"/>
      <c r="DZ189" s="182"/>
      <c r="EA189" s="182"/>
      <c r="EB189" s="21"/>
      <c r="EC189" s="21"/>
      <c r="ED189" s="21"/>
      <c r="EE189" s="21"/>
      <c r="EF189" s="149" t="s">
        <v>1856</v>
      </c>
      <c r="EG189" s="69" t="str">
        <f>image("https://www.pokebip.com/pages/icones/objets/potion.png", 3)</f>
        <v/>
      </c>
      <c r="EH189" s="69"/>
      <c r="EI189" s="69"/>
    </row>
    <row r="190" ht="15.75" customHeight="1">
      <c r="A190" s="1">
        <v>190.0</v>
      </c>
      <c r="B190" s="2" t="s">
        <v>1857</v>
      </c>
      <c r="C190" s="7"/>
      <c r="D190" s="180" t="s">
        <v>1858</v>
      </c>
      <c r="E190" s="5"/>
      <c r="F190" s="181"/>
      <c r="G190" s="7"/>
      <c r="H190" s="8" t="s">
        <v>1859</v>
      </c>
      <c r="I190" s="9" t="s">
        <v>1860</v>
      </c>
      <c r="J190" s="355" t="str">
        <f>image("https://archives.bulbagarden.net/media/upload/9/92/190MS6.png", 3)</f>
        <v/>
      </c>
      <c r="K190" s="11" t="s">
        <v>1858</v>
      </c>
      <c r="L190" s="12"/>
      <c r="M190" s="12"/>
      <c r="N190" s="12"/>
      <c r="O190" s="12"/>
      <c r="Q190" s="71">
        <v>55.0</v>
      </c>
      <c r="R190" s="72">
        <v>70.0</v>
      </c>
      <c r="S190" s="73">
        <v>55.0</v>
      </c>
      <c r="T190" s="74">
        <v>40.0</v>
      </c>
      <c r="U190" s="75">
        <v>55.0</v>
      </c>
      <c r="V190" s="76">
        <v>85.0</v>
      </c>
      <c r="W190" s="77">
        <v>360.0</v>
      </c>
      <c r="X190" s="21"/>
      <c r="Y190" s="71">
        <v>55.0</v>
      </c>
      <c r="Z190" s="72">
        <v>70.0</v>
      </c>
      <c r="AA190" s="73">
        <v>55.0</v>
      </c>
      <c r="AB190" s="74">
        <v>40.0</v>
      </c>
      <c r="AC190" s="75">
        <v>55.0</v>
      </c>
      <c r="AD190" s="76">
        <v>85.0</v>
      </c>
      <c r="AE190" s="77">
        <v>360.0</v>
      </c>
      <c r="AF190" s="21"/>
      <c r="AG190" s="71">
        <v>55.0</v>
      </c>
      <c r="AH190" s="72">
        <v>70.0</v>
      </c>
      <c r="AI190" s="73">
        <v>55.0</v>
      </c>
      <c r="AJ190" s="74">
        <v>40.0</v>
      </c>
      <c r="AK190" s="75">
        <v>55.0</v>
      </c>
      <c r="AL190" s="76">
        <v>85.0</v>
      </c>
      <c r="AM190" s="77">
        <v>360.0</v>
      </c>
      <c r="AN190" s="21"/>
      <c r="AO190" s="22">
        <v>55.0</v>
      </c>
      <c r="AP190" s="23">
        <v>70.0</v>
      </c>
      <c r="AQ190" s="23">
        <v>55.0</v>
      </c>
      <c r="AR190" s="23">
        <v>40.0</v>
      </c>
      <c r="AS190" s="23">
        <v>55.0</v>
      </c>
      <c r="AT190" s="23">
        <v>85.0</v>
      </c>
      <c r="AU190" s="24">
        <v>360.0</v>
      </c>
      <c r="AV190" s="21"/>
      <c r="AW190" s="78">
        <v>55.0</v>
      </c>
      <c r="AX190" s="79">
        <v>70.0</v>
      </c>
      <c r="AY190" s="79">
        <v>55.0</v>
      </c>
      <c r="AZ190" s="124">
        <v>40.0</v>
      </c>
      <c r="BA190" s="124">
        <v>55.0</v>
      </c>
      <c r="BB190" s="79">
        <v>85.0</v>
      </c>
      <c r="BC190" s="125">
        <v>360.0</v>
      </c>
      <c r="BE190" s="126" t="s">
        <v>56</v>
      </c>
      <c r="BF190" s="338"/>
      <c r="BG190" s="128"/>
      <c r="BI190" s="31" t="s">
        <v>5</v>
      </c>
      <c r="BJ190" s="32" t="s">
        <v>5</v>
      </c>
      <c r="BK190" s="32" t="s">
        <v>5</v>
      </c>
      <c r="BL190" s="32" t="s">
        <v>5</v>
      </c>
      <c r="BM190" s="32" t="s">
        <v>5</v>
      </c>
      <c r="BN190" s="33">
        <v>1.0</v>
      </c>
      <c r="BP190" s="85" t="s">
        <v>156</v>
      </c>
      <c r="BQ190" s="129"/>
      <c r="BS190" s="87" t="s">
        <v>156</v>
      </c>
      <c r="BT190" s="130"/>
      <c r="BU190" s="37" t="str">
        <f t="shared" si="1"/>
        <v>#NAME?</v>
      </c>
      <c r="BV190" s="89" t="s">
        <v>156</v>
      </c>
      <c r="BW190" s="37" t="str">
        <f t="shared" si="2"/>
        <v>#NAME?</v>
      </c>
      <c r="BX190" s="89"/>
      <c r="BY190" s="39"/>
      <c r="BZ190" s="39"/>
      <c r="CA190" s="40" t="s">
        <v>156</v>
      </c>
      <c r="CB190" s="41"/>
      <c r="CC190" s="90" t="s">
        <v>156</v>
      </c>
      <c r="CD190" s="91"/>
      <c r="CE190" s="21"/>
      <c r="CF190" s="92" t="s">
        <v>146</v>
      </c>
      <c r="CG190" s="93" t="s">
        <v>626</v>
      </c>
      <c r="CH190" s="21"/>
      <c r="CI190" s="92" t="s">
        <v>146</v>
      </c>
      <c r="CJ190" s="93" t="s">
        <v>626</v>
      </c>
      <c r="CK190" s="21"/>
      <c r="CL190" s="22" t="s">
        <v>146</v>
      </c>
      <c r="CM190" s="12"/>
      <c r="CN190" s="48"/>
      <c r="CO190" s="96" t="s">
        <v>626</v>
      </c>
      <c r="CP190" s="21"/>
      <c r="CQ190" s="2" t="s">
        <v>1431</v>
      </c>
      <c r="CR190" s="97">
        <v>40.0</v>
      </c>
      <c r="CS190" s="2" t="s">
        <v>56</v>
      </c>
      <c r="CT190" s="98">
        <v>94.0</v>
      </c>
      <c r="CU190" s="2"/>
      <c r="CV190" s="52" t="s">
        <v>149</v>
      </c>
      <c r="CW190" s="52" t="s">
        <v>149</v>
      </c>
      <c r="CX190" s="2"/>
      <c r="CY190" s="334" t="s">
        <v>277</v>
      </c>
      <c r="CZ190" s="337"/>
      <c r="DA190" s="2"/>
      <c r="DB190" s="98">
        <v>45.0</v>
      </c>
      <c r="DC190" s="2"/>
      <c r="DD190" s="101" t="s">
        <v>468</v>
      </c>
      <c r="DE190" s="2"/>
      <c r="DF190" s="339" t="s">
        <v>1861</v>
      </c>
      <c r="DG190" s="336"/>
      <c r="DH190" s="336"/>
      <c r="DI190" s="21"/>
      <c r="DJ190" s="21"/>
      <c r="DK190" s="59" t="s">
        <v>1862</v>
      </c>
      <c r="DL190" s="37" t="s">
        <v>197</v>
      </c>
      <c r="DM190" s="37" t="str">
        <f t="shared" si="3"/>
        <v>#NAME?</v>
      </c>
      <c r="DN190" s="61"/>
      <c r="DO190" s="37" t="s">
        <v>175</v>
      </c>
      <c r="DP190" s="105">
        <v>1.0</v>
      </c>
      <c r="DQ190" s="62" t="s">
        <v>93</v>
      </c>
      <c r="DR190" s="155"/>
      <c r="DS190" s="251"/>
      <c r="DT190" s="108"/>
      <c r="DU190" s="108"/>
      <c r="DV190" s="252"/>
      <c r="DW190" s="252"/>
      <c r="DX190" s="252"/>
      <c r="DY190" s="252"/>
      <c r="DZ190" s="252"/>
      <c r="EA190" s="252"/>
      <c r="EB190" s="21"/>
      <c r="EC190" s="21"/>
      <c r="ED190" s="21"/>
      <c r="EE190" s="21"/>
      <c r="EF190" s="149" t="s">
        <v>1863</v>
      </c>
      <c r="EG190" s="69" t="str">
        <f>image("https://www.pokebip.com/pages/icones/objets/super-potion.png", 3)</f>
        <v/>
      </c>
      <c r="EH190" s="69"/>
      <c r="EI190" s="69"/>
    </row>
    <row r="191" ht="15.75" customHeight="1">
      <c r="A191" s="1">
        <v>191.0</v>
      </c>
      <c r="B191" s="2" t="s">
        <v>1864</v>
      </c>
      <c r="C191" s="7"/>
      <c r="D191" s="169" t="s">
        <v>1865</v>
      </c>
      <c r="E191" s="5"/>
      <c r="F191" s="170"/>
      <c r="G191" s="7"/>
      <c r="H191" s="8" t="s">
        <v>1866</v>
      </c>
      <c r="I191" s="9" t="s">
        <v>1867</v>
      </c>
      <c r="J191" s="355" t="str">
        <f>image("https://archives.bulbagarden.net/media/upload/b/b6/191MS6.png", 3)</f>
        <v/>
      </c>
      <c r="K191" s="11" t="s">
        <v>1865</v>
      </c>
      <c r="L191" s="12"/>
      <c r="M191" s="12"/>
      <c r="N191" s="12"/>
      <c r="O191" s="12"/>
      <c r="Q191" s="71">
        <v>30.0</v>
      </c>
      <c r="R191" s="72">
        <v>30.0</v>
      </c>
      <c r="S191" s="73">
        <v>30.0</v>
      </c>
      <c r="T191" s="74">
        <v>30.0</v>
      </c>
      <c r="U191" s="75">
        <v>30.0</v>
      </c>
      <c r="V191" s="76">
        <v>30.0</v>
      </c>
      <c r="W191" s="77">
        <v>180.0</v>
      </c>
      <c r="X191" s="21"/>
      <c r="Y191" s="71">
        <v>30.0</v>
      </c>
      <c r="Z191" s="72">
        <v>30.0</v>
      </c>
      <c r="AA191" s="73">
        <v>30.0</v>
      </c>
      <c r="AB191" s="74">
        <v>30.0</v>
      </c>
      <c r="AC191" s="75">
        <v>30.0</v>
      </c>
      <c r="AD191" s="76">
        <v>30.0</v>
      </c>
      <c r="AE191" s="77">
        <v>180.0</v>
      </c>
      <c r="AF191" s="21"/>
      <c r="AG191" s="71">
        <v>30.0</v>
      </c>
      <c r="AH191" s="72">
        <v>30.0</v>
      </c>
      <c r="AI191" s="73">
        <v>30.0</v>
      </c>
      <c r="AJ191" s="74">
        <v>30.0</v>
      </c>
      <c r="AK191" s="75">
        <v>30.0</v>
      </c>
      <c r="AL191" s="76">
        <v>30.0</v>
      </c>
      <c r="AM191" s="77">
        <v>180.0</v>
      </c>
      <c r="AN191" s="21"/>
      <c r="AO191" s="22">
        <v>30.0</v>
      </c>
      <c r="AP191" s="23">
        <v>30.0</v>
      </c>
      <c r="AQ191" s="23">
        <v>30.0</v>
      </c>
      <c r="AR191" s="23">
        <v>30.0</v>
      </c>
      <c r="AS191" s="23">
        <v>30.0</v>
      </c>
      <c r="AT191" s="23">
        <v>30.0</v>
      </c>
      <c r="AU191" s="24">
        <v>180.0</v>
      </c>
      <c r="AV191" s="21"/>
      <c r="AW191" s="258">
        <v>30.0</v>
      </c>
      <c r="AX191" s="80">
        <v>30.0</v>
      </c>
      <c r="AY191" s="80">
        <v>30.0</v>
      </c>
      <c r="AZ191" s="80">
        <v>30.0</v>
      </c>
      <c r="BA191" s="80">
        <v>30.0</v>
      </c>
      <c r="BB191" s="79">
        <v>30.0</v>
      </c>
      <c r="BC191" s="81">
        <v>180.0</v>
      </c>
      <c r="BE191" s="82" t="s">
        <v>4</v>
      </c>
      <c r="BF191" s="184"/>
      <c r="BG191" s="128"/>
      <c r="BI191" s="31" t="s">
        <v>5</v>
      </c>
      <c r="BJ191" s="32" t="s">
        <v>5</v>
      </c>
      <c r="BK191" s="32" t="s">
        <v>5</v>
      </c>
      <c r="BL191" s="32">
        <v>1.0</v>
      </c>
      <c r="BM191" s="32" t="s">
        <v>5</v>
      </c>
      <c r="BN191" s="33" t="s">
        <v>5</v>
      </c>
      <c r="BP191" s="115" t="s">
        <v>6</v>
      </c>
      <c r="BQ191" s="93"/>
      <c r="BS191" s="115" t="s">
        <v>6</v>
      </c>
      <c r="BT191" s="133"/>
      <c r="BU191" s="37" t="str">
        <f t="shared" si="1"/>
        <v>#NAME?</v>
      </c>
      <c r="BV191" s="89" t="s">
        <v>6</v>
      </c>
      <c r="BW191" s="37" t="str">
        <f t="shared" si="2"/>
        <v>#NAME?</v>
      </c>
      <c r="BX191" s="89"/>
      <c r="BY191" s="39"/>
      <c r="BZ191" s="39"/>
      <c r="CA191" s="40" t="s">
        <v>6</v>
      </c>
      <c r="CB191" s="41"/>
      <c r="CC191" s="90" t="s">
        <v>6</v>
      </c>
      <c r="CD191" s="91"/>
      <c r="CE191" s="21"/>
      <c r="CF191" s="92" t="s">
        <v>43</v>
      </c>
      <c r="CG191" s="93" t="s">
        <v>58</v>
      </c>
      <c r="CH191" s="21"/>
      <c r="CI191" s="92" t="s">
        <v>43</v>
      </c>
      <c r="CJ191" s="93" t="s">
        <v>58</v>
      </c>
      <c r="CK191" s="21"/>
      <c r="CL191" s="22" t="s">
        <v>43</v>
      </c>
      <c r="CM191" s="12"/>
      <c r="CN191" s="48"/>
      <c r="CO191" s="96" t="s">
        <v>58</v>
      </c>
      <c r="CP191" s="21"/>
      <c r="CQ191" s="2" t="s">
        <v>237</v>
      </c>
      <c r="CR191" s="97">
        <v>20.0</v>
      </c>
      <c r="CS191" s="2" t="s">
        <v>4</v>
      </c>
      <c r="CT191" s="98">
        <v>52.0</v>
      </c>
      <c r="CU191" s="2"/>
      <c r="CV191" s="52" t="s">
        <v>149</v>
      </c>
      <c r="CW191" s="52" t="s">
        <v>149</v>
      </c>
      <c r="CX191" s="2"/>
      <c r="CY191" s="119" t="s">
        <v>6</v>
      </c>
      <c r="CZ191" s="160"/>
      <c r="DA191" s="2"/>
      <c r="DB191" s="98">
        <v>235.0</v>
      </c>
      <c r="DC191" s="2"/>
      <c r="DD191" s="101" t="s">
        <v>15</v>
      </c>
      <c r="DE191" s="2"/>
      <c r="DF191" s="148" t="s">
        <v>1868</v>
      </c>
      <c r="DG191" s="121"/>
      <c r="DH191" s="121"/>
      <c r="DI191" s="21"/>
      <c r="DJ191" s="21"/>
      <c r="DK191" s="59" t="s">
        <v>1869</v>
      </c>
      <c r="DL191" s="37" t="s">
        <v>64</v>
      </c>
      <c r="DM191" s="37" t="str">
        <f t="shared" si="3"/>
        <v>#NAME?</v>
      </c>
      <c r="DN191" s="61"/>
      <c r="DO191" s="37" t="s">
        <v>288</v>
      </c>
      <c r="DP191" s="105">
        <v>1.0</v>
      </c>
      <c r="DQ191" s="62" t="s">
        <v>49</v>
      </c>
      <c r="DR191" s="63"/>
      <c r="DS191" s="198"/>
      <c r="DT191" s="108"/>
      <c r="DU191" s="108"/>
      <c r="DV191" s="182"/>
      <c r="DW191" s="182"/>
      <c r="DX191" s="182"/>
      <c r="DY191" s="182"/>
      <c r="DZ191" s="182"/>
      <c r="EA191" s="182"/>
      <c r="EB191" s="2"/>
      <c r="EC191" s="2"/>
      <c r="ED191" s="2"/>
      <c r="EE191" s="2"/>
      <c r="EF191" s="149" t="s">
        <v>1870</v>
      </c>
      <c r="EG191" s="69" t="str">
        <f>image("https://www.pokebip.com/pages/icones/objets/hyper-potion.png", 3)</f>
        <v/>
      </c>
      <c r="EH191" s="69"/>
      <c r="EI191" s="69"/>
    </row>
    <row r="192" ht="15.75" customHeight="1">
      <c r="A192" s="1">
        <v>192.0</v>
      </c>
      <c r="B192" s="2" t="s">
        <v>1871</v>
      </c>
      <c r="C192" s="7"/>
      <c r="D192" s="169" t="s">
        <v>1872</v>
      </c>
      <c r="E192" s="5"/>
      <c r="F192" s="170"/>
      <c r="G192" s="7"/>
      <c r="H192" s="8" t="s">
        <v>1873</v>
      </c>
      <c r="I192" s="9" t="s">
        <v>1874</v>
      </c>
      <c r="J192" s="355" t="str">
        <f>image("https://archives.bulbagarden.net/media/upload/8/89/192MS6.png", 3)</f>
        <v/>
      </c>
      <c r="K192" s="11" t="s">
        <v>1872</v>
      </c>
      <c r="L192" s="12"/>
      <c r="M192" s="12"/>
      <c r="N192" s="12"/>
      <c r="O192" s="12"/>
      <c r="Q192" s="71">
        <v>75.0</v>
      </c>
      <c r="R192" s="72">
        <v>75.0</v>
      </c>
      <c r="S192" s="73">
        <v>55.0</v>
      </c>
      <c r="T192" s="74">
        <v>105.0</v>
      </c>
      <c r="U192" s="75">
        <v>85.0</v>
      </c>
      <c r="V192" s="76">
        <v>30.0</v>
      </c>
      <c r="W192" s="77">
        <v>425.0</v>
      </c>
      <c r="X192" s="21"/>
      <c r="Y192" s="71">
        <v>75.0</v>
      </c>
      <c r="Z192" s="72">
        <v>75.0</v>
      </c>
      <c r="AA192" s="73">
        <v>55.0</v>
      </c>
      <c r="AB192" s="74">
        <v>105.0</v>
      </c>
      <c r="AC192" s="75">
        <v>85.0</v>
      </c>
      <c r="AD192" s="76">
        <v>30.0</v>
      </c>
      <c r="AE192" s="77">
        <v>425.0</v>
      </c>
      <c r="AF192" s="21"/>
      <c r="AG192" s="261">
        <v>85.0</v>
      </c>
      <c r="AH192" s="162">
        <v>55.0</v>
      </c>
      <c r="AI192" s="109">
        <v>85.0</v>
      </c>
      <c r="AJ192" s="109">
        <v>125.0</v>
      </c>
      <c r="AK192" s="109">
        <v>95.0</v>
      </c>
      <c r="AL192" s="76">
        <v>30.0</v>
      </c>
      <c r="AM192" s="110">
        <v>475.0</v>
      </c>
      <c r="AN192" s="21"/>
      <c r="AO192" s="22" t="s">
        <v>1621</v>
      </c>
      <c r="AP192" s="23" t="s">
        <v>336</v>
      </c>
      <c r="AQ192" s="23" t="s">
        <v>1621</v>
      </c>
      <c r="AR192" s="23" t="s">
        <v>1295</v>
      </c>
      <c r="AS192" s="23" t="s">
        <v>215</v>
      </c>
      <c r="AT192" s="23">
        <v>30.0</v>
      </c>
      <c r="AU192" s="24" t="s">
        <v>1875</v>
      </c>
      <c r="AV192" s="21"/>
      <c r="AW192" s="187">
        <v>85.0</v>
      </c>
      <c r="AX192" s="163">
        <v>55.0</v>
      </c>
      <c r="AY192" s="164">
        <v>85.0</v>
      </c>
      <c r="AZ192" s="111">
        <v>125.0</v>
      </c>
      <c r="BA192" s="111">
        <v>95.0</v>
      </c>
      <c r="BB192" s="79">
        <v>30.0</v>
      </c>
      <c r="BC192" s="111">
        <v>475.0</v>
      </c>
      <c r="BE192" s="112" t="s">
        <v>42</v>
      </c>
      <c r="BF192" s="113"/>
      <c r="BG192" s="129"/>
      <c r="BI192" s="31" t="s">
        <v>5</v>
      </c>
      <c r="BJ192" s="32" t="s">
        <v>5</v>
      </c>
      <c r="BK192" s="32" t="s">
        <v>5</v>
      </c>
      <c r="BL192" s="32">
        <v>2.0</v>
      </c>
      <c r="BM192" s="32" t="s">
        <v>5</v>
      </c>
      <c r="BN192" s="33" t="s">
        <v>5</v>
      </c>
      <c r="BP192" s="85" t="s">
        <v>6</v>
      </c>
      <c r="BQ192" s="129"/>
      <c r="BS192" s="87" t="s">
        <v>6</v>
      </c>
      <c r="BT192" s="130"/>
      <c r="BU192" s="37" t="str">
        <f t="shared" si="1"/>
        <v>#NAME?</v>
      </c>
      <c r="BV192" s="89" t="s">
        <v>6</v>
      </c>
      <c r="BW192" s="37" t="str">
        <f t="shared" si="2"/>
        <v>#NAME?</v>
      </c>
      <c r="BX192" s="89"/>
      <c r="BY192" s="39"/>
      <c r="BZ192" s="39"/>
      <c r="CA192" s="40" t="s">
        <v>6</v>
      </c>
      <c r="CB192" s="41"/>
      <c r="CC192" s="90" t="s">
        <v>6</v>
      </c>
      <c r="CD192" s="91"/>
      <c r="CE192" s="21"/>
      <c r="CF192" s="92" t="s">
        <v>43</v>
      </c>
      <c r="CG192" s="93" t="s">
        <v>58</v>
      </c>
      <c r="CH192" s="21"/>
      <c r="CI192" s="92" t="s">
        <v>43</v>
      </c>
      <c r="CJ192" s="93" t="s">
        <v>58</v>
      </c>
      <c r="CK192" s="21"/>
      <c r="CL192" s="22" t="s">
        <v>43</v>
      </c>
      <c r="CM192" s="12"/>
      <c r="CN192" s="48"/>
      <c r="CO192" s="96" t="s">
        <v>58</v>
      </c>
      <c r="CP192" s="21"/>
      <c r="CQ192" s="2" t="s">
        <v>60</v>
      </c>
      <c r="CR192" s="97">
        <v>20.0</v>
      </c>
      <c r="CS192" s="2" t="s">
        <v>42</v>
      </c>
      <c r="CT192" s="98">
        <v>146.0</v>
      </c>
      <c r="CU192" s="2"/>
      <c r="CV192" s="52" t="s">
        <v>149</v>
      </c>
      <c r="CW192" s="52" t="s">
        <v>149</v>
      </c>
      <c r="CX192" s="2"/>
      <c r="CY192" s="334" t="s">
        <v>6</v>
      </c>
      <c r="CZ192" s="337"/>
      <c r="DA192" s="2"/>
      <c r="DB192" s="98">
        <v>120.0</v>
      </c>
      <c r="DC192" s="2"/>
      <c r="DD192" s="101" t="s">
        <v>15</v>
      </c>
      <c r="DE192" s="2"/>
      <c r="DF192" s="335" t="s">
        <v>1876</v>
      </c>
      <c r="DG192" s="336"/>
      <c r="DH192" s="336"/>
      <c r="DI192" s="2"/>
      <c r="DJ192" s="2"/>
      <c r="DK192" s="59" t="s">
        <v>1877</v>
      </c>
      <c r="DL192" s="37" t="s">
        <v>32</v>
      </c>
      <c r="DM192" s="37" t="str">
        <f t="shared" si="3"/>
        <v>#NAME?</v>
      </c>
      <c r="DN192" s="61"/>
      <c r="DO192" s="37">
        <v>80.0</v>
      </c>
      <c r="DP192" s="105">
        <v>1.0</v>
      </c>
      <c r="DQ192" s="62" t="s">
        <v>93</v>
      </c>
      <c r="DR192" s="63"/>
      <c r="DS192" s="198"/>
      <c r="DT192" s="108"/>
      <c r="DU192" s="108"/>
      <c r="DV192" s="182"/>
      <c r="DW192" s="182"/>
      <c r="DX192" s="182"/>
      <c r="DY192" s="182"/>
      <c r="DZ192" s="182"/>
      <c r="EA192" s="182"/>
      <c r="EB192" s="21"/>
      <c r="EC192" s="21"/>
      <c r="ED192" s="21"/>
      <c r="EE192" s="21"/>
      <c r="EF192" s="149" t="s">
        <v>1878</v>
      </c>
      <c r="EG192" s="69" t="str">
        <f>image("https://www.pokebip.com/pages/icones/objets/potion-max.png", 3)</f>
        <v/>
      </c>
      <c r="EH192" s="69"/>
      <c r="EI192" s="69"/>
    </row>
    <row r="193" ht="15.75" customHeight="1">
      <c r="A193" s="1">
        <v>193.0</v>
      </c>
      <c r="B193" s="2" t="s">
        <v>1879</v>
      </c>
      <c r="C193" s="7"/>
      <c r="D193" s="122" t="s">
        <v>1880</v>
      </c>
      <c r="E193" s="5"/>
      <c r="F193" s="123"/>
      <c r="G193" s="7"/>
      <c r="H193" s="8" t="s">
        <v>1881</v>
      </c>
      <c r="I193" s="9" t="s">
        <v>1882</v>
      </c>
      <c r="J193" s="355" t="str">
        <f>image("https://archives.bulbagarden.net/media/upload/1/1c/193MS6.png", 3)</f>
        <v/>
      </c>
      <c r="K193" s="11" t="s">
        <v>1880</v>
      </c>
      <c r="L193" s="12"/>
      <c r="M193" s="12"/>
      <c r="N193" s="12"/>
      <c r="O193" s="12"/>
      <c r="Q193" s="71">
        <v>65.0</v>
      </c>
      <c r="R193" s="72">
        <v>65.0</v>
      </c>
      <c r="S193" s="73">
        <v>45.0</v>
      </c>
      <c r="T193" s="74">
        <v>75.0</v>
      </c>
      <c r="U193" s="75">
        <v>45.0</v>
      </c>
      <c r="V193" s="76">
        <v>95.0</v>
      </c>
      <c r="W193" s="77">
        <v>390.0</v>
      </c>
      <c r="X193" s="21"/>
      <c r="Y193" s="71">
        <v>65.0</v>
      </c>
      <c r="Z193" s="72">
        <v>65.0</v>
      </c>
      <c r="AA193" s="73">
        <v>45.0</v>
      </c>
      <c r="AB193" s="74">
        <v>75.0</v>
      </c>
      <c r="AC193" s="75">
        <v>45.0</v>
      </c>
      <c r="AD193" s="76">
        <v>95.0</v>
      </c>
      <c r="AE193" s="77">
        <v>390.0</v>
      </c>
      <c r="AF193" s="21"/>
      <c r="AG193" s="71">
        <v>65.0</v>
      </c>
      <c r="AH193" s="72">
        <v>65.0</v>
      </c>
      <c r="AI193" s="73">
        <v>45.0</v>
      </c>
      <c r="AJ193" s="74">
        <v>75.0</v>
      </c>
      <c r="AK193" s="75">
        <v>45.0</v>
      </c>
      <c r="AL193" s="76">
        <v>95.0</v>
      </c>
      <c r="AM193" s="77">
        <v>390.0</v>
      </c>
      <c r="AN193" s="21"/>
      <c r="AO193" s="22">
        <v>65.0</v>
      </c>
      <c r="AP193" s="23">
        <v>65.0</v>
      </c>
      <c r="AQ193" s="23">
        <v>45.0</v>
      </c>
      <c r="AR193" s="23">
        <v>75.0</v>
      </c>
      <c r="AS193" s="23">
        <v>45.0</v>
      </c>
      <c r="AT193" s="23">
        <v>95.0</v>
      </c>
      <c r="AU193" s="24">
        <v>390.0</v>
      </c>
      <c r="AV193" s="21"/>
      <c r="AW193" s="265">
        <v>65.0</v>
      </c>
      <c r="AX193" s="182">
        <v>65.0</v>
      </c>
      <c r="AY193" s="182">
        <v>45.0</v>
      </c>
      <c r="AZ193" s="124">
        <v>75.0</v>
      </c>
      <c r="BA193" s="124">
        <v>45.0</v>
      </c>
      <c r="BB193" s="79">
        <v>95.0</v>
      </c>
      <c r="BC193" s="183">
        <v>390.0</v>
      </c>
      <c r="BE193" s="176" t="s">
        <v>248</v>
      </c>
      <c r="BF193" s="113"/>
      <c r="BG193" s="93"/>
      <c r="BI193" s="31" t="s">
        <v>5</v>
      </c>
      <c r="BJ193" s="32" t="s">
        <v>5</v>
      </c>
      <c r="BK193" s="32" t="s">
        <v>5</v>
      </c>
      <c r="BL193" s="32" t="s">
        <v>5</v>
      </c>
      <c r="BM193" s="32" t="s">
        <v>5</v>
      </c>
      <c r="BN193" s="33">
        <v>2.0</v>
      </c>
      <c r="BP193" s="115" t="s">
        <v>109</v>
      </c>
      <c r="BQ193" s="116" t="s">
        <v>18</v>
      </c>
      <c r="BS193" s="115" t="s">
        <v>109</v>
      </c>
      <c r="BT193" s="117" t="s">
        <v>18</v>
      </c>
      <c r="BU193" s="37" t="str">
        <f t="shared" si="1"/>
        <v>#NAME?</v>
      </c>
      <c r="BV193" s="89" t="s">
        <v>109</v>
      </c>
      <c r="BW193" s="37" t="str">
        <f t="shared" si="2"/>
        <v>#NAME?</v>
      </c>
      <c r="BX193" s="89" t="s">
        <v>18</v>
      </c>
      <c r="BY193" s="39"/>
      <c r="BZ193" s="39"/>
      <c r="CA193" s="40" t="s">
        <v>177</v>
      </c>
      <c r="CB193" s="41"/>
      <c r="CC193" s="90" t="s">
        <v>109</v>
      </c>
      <c r="CD193" s="91" t="s">
        <v>18</v>
      </c>
      <c r="CE193" s="2"/>
      <c r="CF193" s="92" t="s">
        <v>1883</v>
      </c>
      <c r="CG193" s="93" t="s">
        <v>178</v>
      </c>
      <c r="CH193" s="2"/>
      <c r="CI193" s="177" t="s">
        <v>1883</v>
      </c>
      <c r="CJ193" s="188" t="s">
        <v>178</v>
      </c>
      <c r="CK193" s="2"/>
      <c r="CL193" s="22" t="s">
        <v>1883</v>
      </c>
      <c r="CM193" s="12"/>
      <c r="CN193" s="48"/>
      <c r="CO193" s="189" t="s">
        <v>178</v>
      </c>
      <c r="CP193" s="2"/>
      <c r="CQ193" s="2" t="s">
        <v>315</v>
      </c>
      <c r="CR193" s="97">
        <v>60.0</v>
      </c>
      <c r="CS193" s="2" t="s">
        <v>248</v>
      </c>
      <c r="CT193" s="98">
        <v>147.0</v>
      </c>
      <c r="CU193" s="2"/>
      <c r="CV193" s="52" t="s">
        <v>149</v>
      </c>
      <c r="CW193" s="52" t="s">
        <v>149</v>
      </c>
      <c r="CX193" s="2"/>
      <c r="CY193" s="119" t="s">
        <v>109</v>
      </c>
      <c r="CZ193" s="160"/>
      <c r="DA193" s="2"/>
      <c r="DB193" s="98">
        <v>75.0</v>
      </c>
      <c r="DC193" s="2"/>
      <c r="DD193" s="101" t="s">
        <v>150</v>
      </c>
      <c r="DE193" s="2"/>
      <c r="DF193" s="148" t="s">
        <v>1884</v>
      </c>
      <c r="DG193" s="173" t="s">
        <v>1885</v>
      </c>
      <c r="DH193" s="121"/>
      <c r="DI193" s="21"/>
      <c r="DJ193" s="21"/>
      <c r="DK193" s="59" t="s">
        <v>1886</v>
      </c>
      <c r="DL193" s="37" t="s">
        <v>18</v>
      </c>
      <c r="DM193" s="37" t="str">
        <f t="shared" si="3"/>
        <v>#NAME?</v>
      </c>
      <c r="DN193" s="61"/>
      <c r="DO193" s="37">
        <v>60.0</v>
      </c>
      <c r="DP193" s="105">
        <v>1.0</v>
      </c>
      <c r="DQ193" s="62" t="s">
        <v>1158</v>
      </c>
      <c r="DR193" s="63"/>
      <c r="DS193" s="198"/>
      <c r="DT193" s="108"/>
      <c r="DU193" s="108"/>
      <c r="DV193" s="182"/>
      <c r="DW193" s="182"/>
      <c r="DX193" s="182"/>
      <c r="DY193" s="182"/>
      <c r="DZ193" s="182"/>
      <c r="EA193" s="182"/>
      <c r="EB193" s="2"/>
      <c r="EC193" s="2"/>
      <c r="ED193" s="2"/>
      <c r="EE193" s="2"/>
      <c r="EF193" s="149" t="s">
        <v>1887</v>
      </c>
      <c r="EG193" s="69" t="str">
        <f>image("https://www.pokebip.com/pages/icones/objets/guerison.png", 3)</f>
        <v/>
      </c>
      <c r="EH193" s="69"/>
      <c r="EI193" s="69"/>
    </row>
    <row r="194" ht="15.75" customHeight="1">
      <c r="A194" s="1">
        <v>194.0</v>
      </c>
      <c r="B194" s="2" t="s">
        <v>1888</v>
      </c>
      <c r="C194" s="7"/>
      <c r="D194" s="140" t="s">
        <v>1889</v>
      </c>
      <c r="E194" s="5"/>
      <c r="F194" s="141"/>
      <c r="G194" s="7"/>
      <c r="H194" s="8" t="s">
        <v>1890</v>
      </c>
      <c r="I194" s="9" t="s">
        <v>1891</v>
      </c>
      <c r="J194" s="355" t="str">
        <f>image("https://archives.bulbagarden.net/media/upload/7/70/194MS6.png", 3)</f>
        <v/>
      </c>
      <c r="K194" s="11" t="s">
        <v>1889</v>
      </c>
      <c r="L194" s="12"/>
      <c r="M194" s="12"/>
      <c r="N194" s="12"/>
      <c r="O194" s="12"/>
      <c r="Q194" s="71">
        <v>55.0</v>
      </c>
      <c r="R194" s="72">
        <v>45.0</v>
      </c>
      <c r="S194" s="73">
        <v>45.0</v>
      </c>
      <c r="T194" s="74">
        <v>25.0</v>
      </c>
      <c r="U194" s="75">
        <v>25.0</v>
      </c>
      <c r="V194" s="76">
        <v>15.0</v>
      </c>
      <c r="W194" s="77">
        <v>210.0</v>
      </c>
      <c r="X194" s="21"/>
      <c r="Y194" s="71">
        <v>55.0</v>
      </c>
      <c r="Z194" s="72">
        <v>45.0</v>
      </c>
      <c r="AA194" s="73">
        <v>45.0</v>
      </c>
      <c r="AB194" s="74">
        <v>25.0</v>
      </c>
      <c r="AC194" s="75">
        <v>25.0</v>
      </c>
      <c r="AD194" s="76">
        <v>15.0</v>
      </c>
      <c r="AE194" s="77">
        <v>210.0</v>
      </c>
      <c r="AF194" s="21"/>
      <c r="AG194" s="71">
        <v>55.0</v>
      </c>
      <c r="AH194" s="109">
        <v>55.0</v>
      </c>
      <c r="AI194" s="109">
        <v>55.0</v>
      </c>
      <c r="AJ194" s="74">
        <v>25.0</v>
      </c>
      <c r="AK194" s="75">
        <v>25.0</v>
      </c>
      <c r="AL194" s="76">
        <v>15.0</v>
      </c>
      <c r="AM194" s="110">
        <v>230.0</v>
      </c>
      <c r="AN194" s="21"/>
      <c r="AO194" s="22">
        <v>55.0</v>
      </c>
      <c r="AP194" s="23" t="s">
        <v>507</v>
      </c>
      <c r="AQ194" s="23" t="s">
        <v>507</v>
      </c>
      <c r="AR194" s="23">
        <v>25.0</v>
      </c>
      <c r="AS194" s="23">
        <v>25.0</v>
      </c>
      <c r="AT194" s="23">
        <v>15.0</v>
      </c>
      <c r="AU194" s="24" t="s">
        <v>1892</v>
      </c>
      <c r="AV194" s="21"/>
      <c r="AW194" s="78">
        <v>55.0</v>
      </c>
      <c r="AX194" s="111">
        <v>55.0</v>
      </c>
      <c r="AY194" s="111">
        <v>55.0</v>
      </c>
      <c r="AZ194" s="79">
        <v>25.0</v>
      </c>
      <c r="BA194" s="79">
        <v>25.0</v>
      </c>
      <c r="BB194" s="79">
        <v>15.0</v>
      </c>
      <c r="BC194" s="111">
        <v>230.0</v>
      </c>
      <c r="BE194" s="151" t="s">
        <v>144</v>
      </c>
      <c r="BF194" s="338"/>
      <c r="BG194" s="128"/>
      <c r="BI194" s="31">
        <v>1.0</v>
      </c>
      <c r="BJ194" s="32" t="s">
        <v>5</v>
      </c>
      <c r="BK194" s="32" t="s">
        <v>5</v>
      </c>
      <c r="BL194" s="32" t="s">
        <v>5</v>
      </c>
      <c r="BM194" s="32" t="s">
        <v>5</v>
      </c>
      <c r="BN194" s="33" t="s">
        <v>5</v>
      </c>
      <c r="BP194" s="85" t="s">
        <v>32</v>
      </c>
      <c r="BQ194" s="86" t="s">
        <v>79</v>
      </c>
      <c r="BS194" s="87" t="s">
        <v>32</v>
      </c>
      <c r="BT194" s="88" t="s">
        <v>79</v>
      </c>
      <c r="BU194" s="37" t="str">
        <f t="shared" si="1"/>
        <v>#NAME?</v>
      </c>
      <c r="BV194" s="89" t="s">
        <v>32</v>
      </c>
      <c r="BW194" s="37" t="str">
        <f t="shared" si="2"/>
        <v>#NAME?</v>
      </c>
      <c r="BX194" s="89" t="s">
        <v>79</v>
      </c>
      <c r="BY194" s="39"/>
      <c r="BZ194" s="39"/>
      <c r="CA194" s="40" t="s">
        <v>1893</v>
      </c>
      <c r="CB194" s="41"/>
      <c r="CC194" s="90" t="s">
        <v>32</v>
      </c>
      <c r="CD194" s="91" t="s">
        <v>79</v>
      </c>
      <c r="CE194" s="2"/>
      <c r="CF194" s="92" t="s">
        <v>646</v>
      </c>
      <c r="CG194" s="93" t="s">
        <v>698</v>
      </c>
      <c r="CH194" s="2"/>
      <c r="CI194" s="272" t="s">
        <v>698</v>
      </c>
      <c r="CJ194" s="273" t="s">
        <v>1894</v>
      </c>
      <c r="CK194" s="2"/>
      <c r="CL194" s="22" t="s">
        <v>1895</v>
      </c>
      <c r="CM194" s="12"/>
      <c r="CN194" s="48"/>
      <c r="CO194" s="239" t="s">
        <v>1896</v>
      </c>
      <c r="CP194" s="2"/>
      <c r="CQ194" s="2" t="s">
        <v>60</v>
      </c>
      <c r="CR194" s="97">
        <v>20.0</v>
      </c>
      <c r="CS194" s="2" t="s">
        <v>144</v>
      </c>
      <c r="CT194" s="98">
        <v>52.0</v>
      </c>
      <c r="CU194" s="2"/>
      <c r="CV194" s="52" t="s">
        <v>149</v>
      </c>
      <c r="CW194" s="52" t="s">
        <v>149</v>
      </c>
      <c r="CX194" s="2"/>
      <c r="CY194" s="333" t="s">
        <v>106</v>
      </c>
      <c r="CZ194" s="334" t="s">
        <v>277</v>
      </c>
      <c r="DA194" s="2"/>
      <c r="DB194" s="98">
        <v>255.0</v>
      </c>
      <c r="DC194" s="2"/>
      <c r="DD194" s="101" t="s">
        <v>150</v>
      </c>
      <c r="DE194" s="2"/>
      <c r="DF194" s="339" t="s">
        <v>1897</v>
      </c>
      <c r="DG194" s="336"/>
      <c r="DH194" s="336"/>
      <c r="DI194" s="21"/>
      <c r="DJ194" s="21"/>
      <c r="DK194" s="59" t="s">
        <v>1898</v>
      </c>
      <c r="DL194" s="37" t="s">
        <v>6</v>
      </c>
      <c r="DM194" s="37" t="str">
        <f t="shared" si="3"/>
        <v>#NAME?</v>
      </c>
      <c r="DN194" s="61"/>
      <c r="DO194" s="37">
        <v>120.0</v>
      </c>
      <c r="DP194" s="105">
        <v>1.0</v>
      </c>
      <c r="DQ194" s="62" t="s">
        <v>93</v>
      </c>
      <c r="DR194" s="63"/>
      <c r="DS194" s="198"/>
      <c r="DT194" s="108"/>
      <c r="DU194" s="108"/>
      <c r="DV194" s="182"/>
      <c r="DW194" s="182"/>
      <c r="DX194" s="182"/>
      <c r="DY194" s="182"/>
      <c r="DZ194" s="182"/>
      <c r="EA194" s="182"/>
      <c r="EB194" s="21"/>
      <c r="EC194" s="21"/>
      <c r="ED194" s="21"/>
      <c r="EE194" s="21"/>
      <c r="EF194" s="149" t="s">
        <v>1899</v>
      </c>
      <c r="EG194" s="69" t="str">
        <f>image("https://www.pokebip.com/pages/icones/objets/antidote.png", 3)</f>
        <v/>
      </c>
      <c r="EH194" s="69"/>
      <c r="EI194" s="69"/>
    </row>
    <row r="195" ht="15.75" customHeight="1">
      <c r="A195" s="1">
        <v>195.0</v>
      </c>
      <c r="B195" s="2" t="s">
        <v>1900</v>
      </c>
      <c r="C195" s="7"/>
      <c r="D195" s="140" t="s">
        <v>1901</v>
      </c>
      <c r="E195" s="5"/>
      <c r="F195" s="141"/>
      <c r="G195" s="7"/>
      <c r="H195" s="8" t="s">
        <v>1902</v>
      </c>
      <c r="I195" s="9" t="s">
        <v>1903</v>
      </c>
      <c r="J195" s="355" t="str">
        <f>image("https://archives.bulbagarden.net/media/upload/9/9d/195MS6.png", 3)</f>
        <v/>
      </c>
      <c r="K195" s="11" t="s">
        <v>1901</v>
      </c>
      <c r="L195" s="12"/>
      <c r="M195" s="12"/>
      <c r="N195" s="12"/>
      <c r="O195" s="12"/>
      <c r="Q195" s="71">
        <v>95.0</v>
      </c>
      <c r="R195" s="72">
        <v>85.0</v>
      </c>
      <c r="S195" s="73">
        <v>85.0</v>
      </c>
      <c r="T195" s="74">
        <v>65.0</v>
      </c>
      <c r="U195" s="75">
        <v>65.0</v>
      </c>
      <c r="V195" s="76">
        <v>35.0</v>
      </c>
      <c r="W195" s="77">
        <v>430.0</v>
      </c>
      <c r="X195" s="21"/>
      <c r="Y195" s="71">
        <v>95.0</v>
      </c>
      <c r="Z195" s="72">
        <v>85.0</v>
      </c>
      <c r="AA195" s="73">
        <v>85.0</v>
      </c>
      <c r="AB195" s="74">
        <v>65.0</v>
      </c>
      <c r="AC195" s="75">
        <v>65.0</v>
      </c>
      <c r="AD195" s="76">
        <v>35.0</v>
      </c>
      <c r="AE195" s="77">
        <v>430.0</v>
      </c>
      <c r="AF195" s="21"/>
      <c r="AG195" s="71">
        <v>95.0</v>
      </c>
      <c r="AH195" s="109">
        <v>95.0</v>
      </c>
      <c r="AI195" s="109">
        <v>95.0</v>
      </c>
      <c r="AJ195" s="74">
        <v>65.0</v>
      </c>
      <c r="AK195" s="75">
        <v>65.0</v>
      </c>
      <c r="AL195" s="76">
        <v>35.0</v>
      </c>
      <c r="AM195" s="110">
        <v>450.0</v>
      </c>
      <c r="AN195" s="21"/>
      <c r="AO195" s="22">
        <v>95.0</v>
      </c>
      <c r="AP195" s="23" t="s">
        <v>215</v>
      </c>
      <c r="AQ195" s="23" t="s">
        <v>215</v>
      </c>
      <c r="AR195" s="23">
        <v>65.0</v>
      </c>
      <c r="AS195" s="23">
        <v>65.0</v>
      </c>
      <c r="AT195" s="23">
        <v>35.0</v>
      </c>
      <c r="AU195" s="24" t="s">
        <v>176</v>
      </c>
      <c r="AV195" s="21"/>
      <c r="AW195" s="78">
        <v>95.0</v>
      </c>
      <c r="AX195" s="111">
        <v>95.0</v>
      </c>
      <c r="AY195" s="111">
        <v>95.0</v>
      </c>
      <c r="AZ195" s="79">
        <v>65.0</v>
      </c>
      <c r="BA195" s="79">
        <v>65.0</v>
      </c>
      <c r="BB195" s="79">
        <v>35.0</v>
      </c>
      <c r="BC195" s="111">
        <v>450.0</v>
      </c>
      <c r="BE195" s="203" t="s">
        <v>409</v>
      </c>
      <c r="BF195" s="113"/>
      <c r="BG195" s="93"/>
      <c r="BI195" s="31">
        <v>2.0</v>
      </c>
      <c r="BJ195" s="32" t="s">
        <v>5</v>
      </c>
      <c r="BK195" s="32" t="s">
        <v>5</v>
      </c>
      <c r="BL195" s="32" t="s">
        <v>5</v>
      </c>
      <c r="BM195" s="32" t="s">
        <v>5</v>
      </c>
      <c r="BN195" s="33" t="s">
        <v>5</v>
      </c>
      <c r="BP195" s="115" t="s">
        <v>32</v>
      </c>
      <c r="BQ195" s="116" t="s">
        <v>79</v>
      </c>
      <c r="BS195" s="115" t="s">
        <v>32</v>
      </c>
      <c r="BT195" s="117" t="s">
        <v>79</v>
      </c>
      <c r="BU195" s="37" t="str">
        <f t="shared" si="1"/>
        <v>#NAME?</v>
      </c>
      <c r="BV195" s="89" t="s">
        <v>32</v>
      </c>
      <c r="BW195" s="37" t="str">
        <f t="shared" si="2"/>
        <v>#NAME?</v>
      </c>
      <c r="BX195" s="89" t="s">
        <v>79</v>
      </c>
      <c r="BY195" s="39"/>
      <c r="BZ195" s="39"/>
      <c r="CA195" s="40" t="s">
        <v>1893</v>
      </c>
      <c r="CB195" s="41"/>
      <c r="CC195" s="90" t="s">
        <v>32</v>
      </c>
      <c r="CD195" s="91" t="s">
        <v>79</v>
      </c>
      <c r="CE195" s="2"/>
      <c r="CF195" s="92" t="s">
        <v>646</v>
      </c>
      <c r="CG195" s="93" t="s">
        <v>698</v>
      </c>
      <c r="CH195" s="2"/>
      <c r="CI195" s="274" t="s">
        <v>698</v>
      </c>
      <c r="CJ195" s="275" t="s">
        <v>1894</v>
      </c>
      <c r="CK195" s="2"/>
      <c r="CL195" s="22" t="s">
        <v>1895</v>
      </c>
      <c r="CM195" s="12"/>
      <c r="CN195" s="48"/>
      <c r="CO195" s="242" t="s">
        <v>1896</v>
      </c>
      <c r="CP195" s="2"/>
      <c r="CQ195" s="2" t="s">
        <v>1683</v>
      </c>
      <c r="CR195" s="97">
        <v>80.0</v>
      </c>
      <c r="CS195" s="2" t="s">
        <v>409</v>
      </c>
      <c r="CT195" s="98">
        <v>137.0</v>
      </c>
      <c r="CU195" s="2"/>
      <c r="CV195" s="52" t="s">
        <v>149</v>
      </c>
      <c r="CW195" s="52" t="s">
        <v>149</v>
      </c>
      <c r="CX195" s="2"/>
      <c r="CY195" s="118" t="s">
        <v>106</v>
      </c>
      <c r="CZ195" s="119" t="s">
        <v>277</v>
      </c>
      <c r="DA195" s="2"/>
      <c r="DB195" s="98">
        <v>90.0</v>
      </c>
      <c r="DC195" s="2"/>
      <c r="DD195" s="101" t="s">
        <v>150</v>
      </c>
      <c r="DE195" s="2"/>
      <c r="DF195" s="250" t="s">
        <v>1904</v>
      </c>
      <c r="DG195" s="121"/>
      <c r="DH195" s="121"/>
      <c r="DI195" s="2"/>
      <c r="DJ195" s="2"/>
      <c r="DK195" s="59" t="s">
        <v>1905</v>
      </c>
      <c r="DL195" s="37" t="s">
        <v>156</v>
      </c>
      <c r="DM195" s="37" t="str">
        <f t="shared" si="3"/>
        <v>#NAME?</v>
      </c>
      <c r="DN195" s="61"/>
      <c r="DO195" s="37">
        <v>15.0</v>
      </c>
      <c r="DP195" s="37" t="s">
        <v>266</v>
      </c>
      <c r="DQ195" s="62" t="s">
        <v>20</v>
      </c>
      <c r="DR195" s="63"/>
      <c r="DS195" s="198"/>
      <c r="DT195" s="108"/>
      <c r="DU195" s="108"/>
      <c r="DV195" s="182"/>
      <c r="DW195" s="182"/>
      <c r="DX195" s="182"/>
      <c r="DY195" s="182"/>
      <c r="DZ195" s="182"/>
      <c r="EA195" s="182"/>
      <c r="EB195" s="2"/>
      <c r="EC195" s="2"/>
      <c r="ED195" s="2"/>
      <c r="EE195" s="2"/>
      <c r="EF195" s="149" t="s">
        <v>1906</v>
      </c>
      <c r="EG195" s="69" t="str">
        <f>image("https://www.pokebip.com/pages/icones/objets/anti-para.png", 3)</f>
        <v/>
      </c>
      <c r="EH195" s="69"/>
      <c r="EI195" s="69"/>
    </row>
    <row r="196" ht="15.75" customHeight="1">
      <c r="A196" s="1">
        <v>196.0</v>
      </c>
      <c r="B196" s="2" t="s">
        <v>1907</v>
      </c>
      <c r="C196" s="7"/>
      <c r="D196" s="180" t="s">
        <v>1908</v>
      </c>
      <c r="E196" s="5"/>
      <c r="F196" s="181"/>
      <c r="G196" s="7"/>
      <c r="H196" s="8" t="s">
        <v>1909</v>
      </c>
      <c r="I196" s="9" t="s">
        <v>1910</v>
      </c>
      <c r="J196" s="355" t="str">
        <f>image("https://archives.bulbagarden.net/media/upload/6/65/196MS6.png", 3)</f>
        <v/>
      </c>
      <c r="K196" s="11" t="s">
        <v>1908</v>
      </c>
      <c r="L196" s="12"/>
      <c r="M196" s="12"/>
      <c r="N196" s="12"/>
      <c r="O196" s="12"/>
      <c r="Q196" s="71">
        <v>65.0</v>
      </c>
      <c r="R196" s="72">
        <v>65.0</v>
      </c>
      <c r="S196" s="73">
        <v>60.0</v>
      </c>
      <c r="T196" s="74">
        <v>130.0</v>
      </c>
      <c r="U196" s="75">
        <v>95.0</v>
      </c>
      <c r="V196" s="76">
        <v>110.0</v>
      </c>
      <c r="W196" s="77">
        <v>525.0</v>
      </c>
      <c r="X196" s="21"/>
      <c r="Y196" s="71">
        <v>65.0</v>
      </c>
      <c r="Z196" s="72">
        <v>65.0</v>
      </c>
      <c r="AA196" s="73">
        <v>60.0</v>
      </c>
      <c r="AB196" s="74">
        <v>130.0</v>
      </c>
      <c r="AC196" s="75">
        <v>95.0</v>
      </c>
      <c r="AD196" s="76">
        <v>110.0</v>
      </c>
      <c r="AE196" s="77">
        <v>525.0</v>
      </c>
      <c r="AF196" s="21"/>
      <c r="AG196" s="71">
        <v>65.0</v>
      </c>
      <c r="AH196" s="72">
        <v>65.0</v>
      </c>
      <c r="AI196" s="73">
        <v>60.0</v>
      </c>
      <c r="AJ196" s="74">
        <v>130.0</v>
      </c>
      <c r="AK196" s="75">
        <v>95.0</v>
      </c>
      <c r="AL196" s="76">
        <v>110.0</v>
      </c>
      <c r="AM196" s="77">
        <v>525.0</v>
      </c>
      <c r="AN196" s="21"/>
      <c r="AO196" s="22">
        <v>65.0</v>
      </c>
      <c r="AP196" s="23">
        <v>65.0</v>
      </c>
      <c r="AQ196" s="23">
        <v>60.0</v>
      </c>
      <c r="AR196" s="23">
        <v>130.0</v>
      </c>
      <c r="AS196" s="23">
        <v>95.0</v>
      </c>
      <c r="AT196" s="23">
        <v>110.0</v>
      </c>
      <c r="AU196" s="24">
        <v>525.0</v>
      </c>
      <c r="AV196" s="21"/>
      <c r="AW196" s="78">
        <v>65.0</v>
      </c>
      <c r="AX196" s="124">
        <v>65.0</v>
      </c>
      <c r="AY196" s="124">
        <v>60.0</v>
      </c>
      <c r="AZ196" s="79">
        <v>130.0</v>
      </c>
      <c r="BA196" s="79">
        <v>95.0</v>
      </c>
      <c r="BB196" s="79">
        <v>110.0</v>
      </c>
      <c r="BC196" s="125">
        <v>525.0</v>
      </c>
      <c r="BE196" s="112" t="s">
        <v>42</v>
      </c>
      <c r="BF196" s="113"/>
      <c r="BG196" s="129"/>
      <c r="BI196" s="31" t="s">
        <v>5</v>
      </c>
      <c r="BJ196" s="32" t="s">
        <v>5</v>
      </c>
      <c r="BK196" s="32" t="s">
        <v>5</v>
      </c>
      <c r="BL196" s="32">
        <v>2.0</v>
      </c>
      <c r="BM196" s="32" t="s">
        <v>5</v>
      </c>
      <c r="BN196" s="33" t="s">
        <v>5</v>
      </c>
      <c r="BP196" s="85" t="s">
        <v>122</v>
      </c>
      <c r="BQ196" s="129"/>
      <c r="BS196" s="87" t="s">
        <v>122</v>
      </c>
      <c r="BT196" s="130"/>
      <c r="BU196" s="37" t="str">
        <f t="shared" si="1"/>
        <v>#NAME?</v>
      </c>
      <c r="BV196" s="89" t="s">
        <v>122</v>
      </c>
      <c r="BW196" s="37" t="str">
        <f t="shared" si="2"/>
        <v>#NAME?</v>
      </c>
      <c r="BX196" s="89"/>
      <c r="BY196" s="39"/>
      <c r="BZ196" s="39"/>
      <c r="CA196" s="40" t="s">
        <v>122</v>
      </c>
      <c r="CB196" s="41"/>
      <c r="CC196" s="90" t="s">
        <v>122</v>
      </c>
      <c r="CD196" s="91"/>
      <c r="CE196" s="21"/>
      <c r="CF196" s="92" t="s">
        <v>727</v>
      </c>
      <c r="CG196" s="93"/>
      <c r="CH196" s="21"/>
      <c r="CI196" s="175" t="s">
        <v>727</v>
      </c>
      <c r="CJ196" s="195"/>
      <c r="CK196" s="21"/>
      <c r="CL196" s="22" t="s">
        <v>727</v>
      </c>
      <c r="CM196" s="12"/>
      <c r="CN196" s="48"/>
      <c r="CO196" s="165"/>
      <c r="CP196" s="21"/>
      <c r="CQ196" s="2" t="s">
        <v>1911</v>
      </c>
      <c r="CR196" s="97">
        <v>60.0</v>
      </c>
      <c r="CS196" s="2" t="s">
        <v>42</v>
      </c>
      <c r="CT196" s="98">
        <v>197.0</v>
      </c>
      <c r="CU196" s="2"/>
      <c r="CV196" s="52" t="s">
        <v>13</v>
      </c>
      <c r="CW196" s="53">
        <v>0.125</v>
      </c>
      <c r="CX196" s="2"/>
      <c r="CY196" s="334" t="s">
        <v>277</v>
      </c>
      <c r="CZ196" s="337"/>
      <c r="DA196" s="2"/>
      <c r="DB196" s="98">
        <v>45.0</v>
      </c>
      <c r="DC196" s="2"/>
      <c r="DD196" s="101" t="s">
        <v>150</v>
      </c>
      <c r="DE196" s="2"/>
      <c r="DF196" s="192" t="s">
        <v>1912</v>
      </c>
      <c r="DG196" s="336"/>
      <c r="DH196" s="336"/>
      <c r="DI196" s="2"/>
      <c r="DJ196" s="2"/>
      <c r="DK196" s="59" t="s">
        <v>1913</v>
      </c>
      <c r="DL196" s="37" t="s">
        <v>109</v>
      </c>
      <c r="DM196" s="37" t="str">
        <f t="shared" si="3"/>
        <v>#NAME?</v>
      </c>
      <c r="DN196" s="61"/>
      <c r="DO196" s="37">
        <v>80.0</v>
      </c>
      <c r="DP196" s="105">
        <v>1.0</v>
      </c>
      <c r="DQ196" s="62" t="s">
        <v>93</v>
      </c>
      <c r="DR196" s="63"/>
      <c r="DS196" s="198"/>
      <c r="DT196" s="108"/>
      <c r="DU196" s="108"/>
      <c r="DV196" s="182"/>
      <c r="DW196" s="182"/>
      <c r="DX196" s="182"/>
      <c r="DY196" s="182"/>
      <c r="DZ196" s="182"/>
      <c r="EA196" s="182"/>
      <c r="EB196" s="2"/>
      <c r="EC196" s="2"/>
      <c r="ED196" s="2"/>
      <c r="EE196" s="2"/>
      <c r="EF196" s="149" t="s">
        <v>1914</v>
      </c>
      <c r="EG196" s="69" t="str">
        <f>image("https://www.pokebip.com/pages/icones/objets/anti-brule.png", 3)</f>
        <v/>
      </c>
      <c r="EH196" s="69"/>
      <c r="EI196" s="69"/>
    </row>
    <row r="197" ht="15.75" customHeight="1">
      <c r="A197" s="1">
        <v>197.0</v>
      </c>
      <c r="B197" s="2" t="s">
        <v>1915</v>
      </c>
      <c r="C197" s="7"/>
      <c r="D197" s="295" t="s">
        <v>1916</v>
      </c>
      <c r="E197" s="5"/>
      <c r="F197" s="296"/>
      <c r="G197" s="7"/>
      <c r="H197" s="8" t="s">
        <v>1917</v>
      </c>
      <c r="I197" s="9" t="s">
        <v>1918</v>
      </c>
      <c r="J197" s="355" t="str">
        <f>image("https://archives.bulbagarden.net/media/upload/c/cf/197MS6.png", 3)</f>
        <v/>
      </c>
      <c r="K197" s="11" t="s">
        <v>1916</v>
      </c>
      <c r="L197" s="12"/>
      <c r="M197" s="12"/>
      <c r="N197" s="12"/>
      <c r="O197" s="12"/>
      <c r="Q197" s="71">
        <v>95.0</v>
      </c>
      <c r="R197" s="72">
        <v>65.0</v>
      </c>
      <c r="S197" s="73">
        <v>110.0</v>
      </c>
      <c r="T197" s="74">
        <v>60.0</v>
      </c>
      <c r="U197" s="75">
        <v>130.0</v>
      </c>
      <c r="V197" s="76">
        <v>65.0</v>
      </c>
      <c r="W197" s="77">
        <v>525.0</v>
      </c>
      <c r="X197" s="21"/>
      <c r="Y197" s="71">
        <v>95.0</v>
      </c>
      <c r="Z197" s="72">
        <v>65.0</v>
      </c>
      <c r="AA197" s="73">
        <v>110.0</v>
      </c>
      <c r="AB197" s="74">
        <v>60.0</v>
      </c>
      <c r="AC197" s="75">
        <v>130.0</v>
      </c>
      <c r="AD197" s="76">
        <v>65.0</v>
      </c>
      <c r="AE197" s="77">
        <v>525.0</v>
      </c>
      <c r="AF197" s="21"/>
      <c r="AG197" s="71">
        <v>95.0</v>
      </c>
      <c r="AH197" s="72">
        <v>65.0</v>
      </c>
      <c r="AI197" s="73">
        <v>110.0</v>
      </c>
      <c r="AJ197" s="74">
        <v>60.0</v>
      </c>
      <c r="AK197" s="75">
        <v>130.0</v>
      </c>
      <c r="AL197" s="76">
        <v>65.0</v>
      </c>
      <c r="AM197" s="77">
        <v>525.0</v>
      </c>
      <c r="AN197" s="21"/>
      <c r="AO197" s="22">
        <v>95.0</v>
      </c>
      <c r="AP197" s="23">
        <v>65.0</v>
      </c>
      <c r="AQ197" s="23">
        <v>110.0</v>
      </c>
      <c r="AR197" s="23">
        <v>60.0</v>
      </c>
      <c r="AS197" s="23">
        <v>130.0</v>
      </c>
      <c r="AT197" s="23">
        <v>65.0</v>
      </c>
      <c r="AU197" s="24">
        <v>525.0</v>
      </c>
      <c r="AV197" s="21"/>
      <c r="AW197" s="78">
        <v>95.0</v>
      </c>
      <c r="AX197" s="79">
        <v>65.0</v>
      </c>
      <c r="AY197" s="79">
        <v>110.0</v>
      </c>
      <c r="AZ197" s="79">
        <v>60.0</v>
      </c>
      <c r="BA197" s="79">
        <v>130.0</v>
      </c>
      <c r="BB197" s="79">
        <v>65.0</v>
      </c>
      <c r="BC197" s="201">
        <v>525.0</v>
      </c>
      <c r="BE197" s="150" t="s">
        <v>815</v>
      </c>
      <c r="BF197" s="113"/>
      <c r="BG197" s="93"/>
      <c r="BI197" s="31" t="s">
        <v>5</v>
      </c>
      <c r="BJ197" s="32" t="s">
        <v>5</v>
      </c>
      <c r="BK197" s="32" t="s">
        <v>5</v>
      </c>
      <c r="BL197" s="32" t="s">
        <v>5</v>
      </c>
      <c r="BM197" s="32">
        <v>2.0</v>
      </c>
      <c r="BN197" s="33" t="s">
        <v>5</v>
      </c>
      <c r="BP197" s="115" t="s">
        <v>76</v>
      </c>
      <c r="BQ197" s="93"/>
      <c r="BS197" s="115" t="s">
        <v>76</v>
      </c>
      <c r="BT197" s="133"/>
      <c r="BU197" s="37" t="str">
        <f t="shared" si="1"/>
        <v>#NAME?</v>
      </c>
      <c r="BV197" s="89" t="s">
        <v>76</v>
      </c>
      <c r="BW197" s="37" t="str">
        <f t="shared" si="2"/>
        <v>#NAME?</v>
      </c>
      <c r="BX197" s="89"/>
      <c r="BY197" s="39"/>
      <c r="BZ197" s="39"/>
      <c r="CA197" s="40" t="s">
        <v>76</v>
      </c>
      <c r="CB197" s="41"/>
      <c r="CC197" s="90" t="s">
        <v>76</v>
      </c>
      <c r="CD197" s="91"/>
      <c r="CE197" s="21"/>
      <c r="CF197" s="92" t="s">
        <v>727</v>
      </c>
      <c r="CG197" s="93"/>
      <c r="CH197" s="21"/>
      <c r="CI197" s="177" t="s">
        <v>727</v>
      </c>
      <c r="CJ197" s="188"/>
      <c r="CK197" s="21"/>
      <c r="CL197" s="22" t="s">
        <v>727</v>
      </c>
      <c r="CM197" s="12"/>
      <c r="CN197" s="48"/>
      <c r="CO197" s="153"/>
      <c r="CP197" s="21"/>
      <c r="CQ197" s="2" t="s">
        <v>1919</v>
      </c>
      <c r="CR197" s="97">
        <v>60.0</v>
      </c>
      <c r="CS197" s="2" t="s">
        <v>815</v>
      </c>
      <c r="CT197" s="98">
        <v>197.0</v>
      </c>
      <c r="CU197" s="2"/>
      <c r="CV197" s="52" t="s">
        <v>13</v>
      </c>
      <c r="CW197" s="53">
        <v>0.125</v>
      </c>
      <c r="CX197" s="2"/>
      <c r="CY197" s="119" t="s">
        <v>277</v>
      </c>
      <c r="CZ197" s="160"/>
      <c r="DA197" s="2"/>
      <c r="DB197" s="98">
        <v>45.0</v>
      </c>
      <c r="DC197" s="2"/>
      <c r="DD197" s="101" t="s">
        <v>150</v>
      </c>
      <c r="DE197" s="2"/>
      <c r="DF197" s="193" t="s">
        <v>1920</v>
      </c>
      <c r="DG197" s="121"/>
      <c r="DH197" s="121"/>
      <c r="DI197" s="2"/>
      <c r="DJ197" s="2"/>
      <c r="DK197" s="59" t="s">
        <v>1921</v>
      </c>
      <c r="DL197" s="37" t="s">
        <v>122</v>
      </c>
      <c r="DM197" s="37" t="str">
        <f t="shared" si="3"/>
        <v>#NAME?</v>
      </c>
      <c r="DN197" s="61"/>
      <c r="DO197" s="37">
        <v>80.0</v>
      </c>
      <c r="DP197" s="105">
        <v>0.9</v>
      </c>
      <c r="DQ197" s="62" t="s">
        <v>93</v>
      </c>
      <c r="DR197" s="63"/>
      <c r="DS197" s="198"/>
      <c r="DT197" s="108"/>
      <c r="DU197" s="108"/>
      <c r="DV197" s="182"/>
      <c r="DW197" s="182"/>
      <c r="DX197" s="182"/>
      <c r="DY197" s="182"/>
      <c r="DZ197" s="182"/>
      <c r="EA197" s="182"/>
      <c r="EB197" s="2"/>
      <c r="EC197" s="2"/>
      <c r="ED197" s="2"/>
      <c r="EE197" s="2"/>
      <c r="EF197" s="149" t="s">
        <v>1922</v>
      </c>
      <c r="EG197" s="69" t="str">
        <f>image("https://www.pokebip.com/pages/icones/objets/antigel.png", 3)</f>
        <v/>
      </c>
      <c r="EH197" s="69"/>
      <c r="EI197" s="69"/>
    </row>
    <row r="198" ht="15.75" customHeight="1">
      <c r="A198" s="1">
        <v>198.0</v>
      </c>
      <c r="B198" s="2" t="s">
        <v>1923</v>
      </c>
      <c r="C198" s="7"/>
      <c r="D198" s="295" t="s">
        <v>1924</v>
      </c>
      <c r="E198" s="5"/>
      <c r="F198" s="296"/>
      <c r="G198" s="7"/>
      <c r="H198" s="8" t="s">
        <v>1925</v>
      </c>
      <c r="I198" s="9" t="s">
        <v>1926</v>
      </c>
      <c r="J198" s="355" t="str">
        <f>image("https://archives.bulbagarden.net/media/upload/4/4f/198MS6.png", 3)</f>
        <v/>
      </c>
      <c r="K198" s="11" t="s">
        <v>1924</v>
      </c>
      <c r="L198" s="12"/>
      <c r="M198" s="12"/>
      <c r="N198" s="12"/>
      <c r="O198" s="12"/>
      <c r="Q198" s="71">
        <v>60.0</v>
      </c>
      <c r="R198" s="72">
        <v>85.0</v>
      </c>
      <c r="S198" s="73">
        <v>42.0</v>
      </c>
      <c r="T198" s="74">
        <v>85.0</v>
      </c>
      <c r="U198" s="75">
        <v>42.0</v>
      </c>
      <c r="V198" s="76">
        <v>91.0</v>
      </c>
      <c r="W198" s="77">
        <v>405.0</v>
      </c>
      <c r="X198" s="21"/>
      <c r="Y198" s="71">
        <v>60.0</v>
      </c>
      <c r="Z198" s="72">
        <v>85.0</v>
      </c>
      <c r="AA198" s="73">
        <v>42.0</v>
      </c>
      <c r="AB198" s="74">
        <v>85.0</v>
      </c>
      <c r="AC198" s="75">
        <v>42.0</v>
      </c>
      <c r="AD198" s="76">
        <v>91.0</v>
      </c>
      <c r="AE198" s="77">
        <v>405.0</v>
      </c>
      <c r="AF198" s="21"/>
      <c r="AG198" s="71">
        <v>60.0</v>
      </c>
      <c r="AH198" s="72">
        <v>85.0</v>
      </c>
      <c r="AI198" s="73">
        <v>42.0</v>
      </c>
      <c r="AJ198" s="74">
        <v>85.0</v>
      </c>
      <c r="AK198" s="75">
        <v>42.0</v>
      </c>
      <c r="AL198" s="76">
        <v>91.0</v>
      </c>
      <c r="AM198" s="77">
        <v>405.0</v>
      </c>
      <c r="AN198" s="21"/>
      <c r="AO198" s="22">
        <v>60.0</v>
      </c>
      <c r="AP198" s="23">
        <v>85.0</v>
      </c>
      <c r="AQ198" s="23">
        <v>42.0</v>
      </c>
      <c r="AR198" s="23">
        <v>85.0</v>
      </c>
      <c r="AS198" s="23">
        <v>42.0</v>
      </c>
      <c r="AT198" s="23">
        <v>91.0</v>
      </c>
      <c r="AU198" s="24">
        <v>405.0</v>
      </c>
      <c r="AV198" s="21"/>
      <c r="AW198" s="78">
        <v>60.0</v>
      </c>
      <c r="AX198" s="79">
        <v>85.0</v>
      </c>
      <c r="AY198" s="79">
        <v>42.0</v>
      </c>
      <c r="AZ198" s="79">
        <v>85.0</v>
      </c>
      <c r="BA198" s="79">
        <v>42.0</v>
      </c>
      <c r="BB198" s="79">
        <v>91.0</v>
      </c>
      <c r="BC198" s="201">
        <v>405.0</v>
      </c>
      <c r="BE198" s="126" t="s">
        <v>56</v>
      </c>
      <c r="BF198" s="338"/>
      <c r="BG198" s="128"/>
      <c r="BI198" s="31" t="s">
        <v>5</v>
      </c>
      <c r="BJ198" s="32" t="s">
        <v>5</v>
      </c>
      <c r="BK198" s="32" t="s">
        <v>5</v>
      </c>
      <c r="BL198" s="32" t="s">
        <v>5</v>
      </c>
      <c r="BM198" s="32" t="s">
        <v>5</v>
      </c>
      <c r="BN198" s="33">
        <v>1.0</v>
      </c>
      <c r="BP198" s="85" t="s">
        <v>76</v>
      </c>
      <c r="BQ198" s="86" t="s">
        <v>18</v>
      </c>
      <c r="BS198" s="87" t="s">
        <v>76</v>
      </c>
      <c r="BT198" s="88" t="s">
        <v>18</v>
      </c>
      <c r="BU198" s="37" t="str">
        <f t="shared" si="1"/>
        <v>#NAME?</v>
      </c>
      <c r="BV198" s="89" t="s">
        <v>76</v>
      </c>
      <c r="BW198" s="37" t="str">
        <f t="shared" si="2"/>
        <v>#NAME?</v>
      </c>
      <c r="BX198" s="89" t="s">
        <v>18</v>
      </c>
      <c r="BY198" s="39"/>
      <c r="BZ198" s="39"/>
      <c r="CA198" s="40" t="s">
        <v>1927</v>
      </c>
      <c r="CB198" s="41"/>
      <c r="CC198" s="90" t="s">
        <v>76</v>
      </c>
      <c r="CD198" s="91" t="s">
        <v>18</v>
      </c>
      <c r="CE198" s="2"/>
      <c r="CF198" s="92" t="s">
        <v>1032</v>
      </c>
      <c r="CG198" s="93" t="s">
        <v>1734</v>
      </c>
      <c r="CH198" s="2"/>
      <c r="CI198" s="278" t="s">
        <v>1734</v>
      </c>
      <c r="CJ198" s="283" t="s">
        <v>1032</v>
      </c>
      <c r="CK198" s="2"/>
      <c r="CL198" s="22" t="s">
        <v>1928</v>
      </c>
      <c r="CM198" s="12"/>
      <c r="CN198" s="48"/>
      <c r="CO198" s="284" t="s">
        <v>1032</v>
      </c>
      <c r="CP198" s="2"/>
      <c r="CQ198" s="2" t="s">
        <v>1929</v>
      </c>
      <c r="CR198" s="97">
        <v>20.0</v>
      </c>
      <c r="CS198" s="2" t="s">
        <v>56</v>
      </c>
      <c r="CT198" s="98">
        <v>107.0</v>
      </c>
      <c r="CU198" s="2"/>
      <c r="CV198" s="52" t="s">
        <v>149</v>
      </c>
      <c r="CW198" s="52" t="s">
        <v>149</v>
      </c>
      <c r="CX198" s="2"/>
      <c r="CY198" s="334" t="s">
        <v>18</v>
      </c>
      <c r="CZ198" s="337"/>
      <c r="DA198" s="2"/>
      <c r="DB198" s="98">
        <v>30.0</v>
      </c>
      <c r="DC198" s="2"/>
      <c r="DD198" s="101" t="s">
        <v>15</v>
      </c>
      <c r="DE198" s="2"/>
      <c r="DF198" s="364" t="s">
        <v>1930</v>
      </c>
      <c r="DG198" s="336"/>
      <c r="DH198" s="336"/>
      <c r="DI198" s="21"/>
      <c r="DJ198" s="21"/>
      <c r="DK198" s="59" t="s">
        <v>1931</v>
      </c>
      <c r="DL198" s="37" t="s">
        <v>6</v>
      </c>
      <c r="DM198" s="37" t="str">
        <f t="shared" si="3"/>
        <v>#NAME?</v>
      </c>
      <c r="DN198" s="61"/>
      <c r="DO198" s="37">
        <v>20.0</v>
      </c>
      <c r="DP198" s="105">
        <v>1.0</v>
      </c>
      <c r="DQ198" s="62" t="s">
        <v>206</v>
      </c>
      <c r="DR198" s="63"/>
      <c r="DS198" s="198"/>
      <c r="DT198" s="108"/>
      <c r="DU198" s="108"/>
      <c r="DV198" s="182"/>
      <c r="DW198" s="182"/>
      <c r="DX198" s="182"/>
      <c r="DY198" s="182"/>
      <c r="DZ198" s="182"/>
      <c r="EA198" s="182"/>
      <c r="EB198" s="2"/>
      <c r="EC198" s="2"/>
      <c r="ED198" s="2"/>
      <c r="EE198" s="2"/>
      <c r="EF198" s="149" t="s">
        <v>1932</v>
      </c>
      <c r="EG198" s="69" t="str">
        <f>image("https://www.pokebip.com/pages/icones/objets/reveil.png", 3)</f>
        <v/>
      </c>
      <c r="EH198" s="69"/>
      <c r="EI198" s="69"/>
    </row>
    <row r="199" ht="15.75" customHeight="1">
      <c r="A199" s="1">
        <v>199.0</v>
      </c>
      <c r="B199" s="2" t="s">
        <v>1933</v>
      </c>
      <c r="C199" s="7"/>
      <c r="D199" s="213" t="s">
        <v>1934</v>
      </c>
      <c r="E199" s="5"/>
      <c r="F199" s="214"/>
      <c r="G199" s="7"/>
      <c r="H199" s="8" t="s">
        <v>1935</v>
      </c>
      <c r="I199" s="9" t="s">
        <v>1936</v>
      </c>
      <c r="J199" s="355" t="str">
        <f>image("https://archives.bulbagarden.net/media/upload/b/bb/199MS6.png", 3)</f>
        <v/>
      </c>
      <c r="K199" s="11" t="s">
        <v>1934</v>
      </c>
      <c r="L199" s="12"/>
      <c r="M199" s="12"/>
      <c r="N199" s="12"/>
      <c r="O199" s="12"/>
      <c r="Q199" s="71">
        <v>95.0</v>
      </c>
      <c r="R199" s="72">
        <v>75.0</v>
      </c>
      <c r="S199" s="73">
        <v>80.0</v>
      </c>
      <c r="T199" s="74">
        <v>100.0</v>
      </c>
      <c r="U199" s="75">
        <v>110.0</v>
      </c>
      <c r="V199" s="76">
        <v>30.0</v>
      </c>
      <c r="W199" s="77">
        <v>490.0</v>
      </c>
      <c r="X199" s="21"/>
      <c r="Y199" s="71">
        <v>95.0</v>
      </c>
      <c r="Z199" s="72">
        <v>75.0</v>
      </c>
      <c r="AA199" s="73">
        <v>80.0</v>
      </c>
      <c r="AB199" s="74">
        <v>100.0</v>
      </c>
      <c r="AC199" s="75">
        <v>110.0</v>
      </c>
      <c r="AD199" s="76">
        <v>30.0</v>
      </c>
      <c r="AE199" s="77">
        <v>490.0</v>
      </c>
      <c r="AF199" s="21"/>
      <c r="AG199" s="71">
        <v>95.0</v>
      </c>
      <c r="AH199" s="72">
        <v>75.0</v>
      </c>
      <c r="AI199" s="73">
        <v>80.0</v>
      </c>
      <c r="AJ199" s="74">
        <v>100.0</v>
      </c>
      <c r="AK199" s="75">
        <v>110.0</v>
      </c>
      <c r="AL199" s="76">
        <v>30.0</v>
      </c>
      <c r="AM199" s="77">
        <v>490.0</v>
      </c>
      <c r="AN199" s="21"/>
      <c r="AO199" s="22">
        <v>95.0</v>
      </c>
      <c r="AP199" s="23">
        <v>75.0</v>
      </c>
      <c r="AQ199" s="23">
        <v>80.0</v>
      </c>
      <c r="AR199" s="23">
        <v>100.0</v>
      </c>
      <c r="AS199" s="23">
        <v>110.0</v>
      </c>
      <c r="AT199" s="23">
        <v>30.0</v>
      </c>
      <c r="AU199" s="24">
        <v>490.0</v>
      </c>
      <c r="AV199" s="21"/>
      <c r="AW199" s="78">
        <v>95.0</v>
      </c>
      <c r="AX199" s="79">
        <v>75.0</v>
      </c>
      <c r="AY199" s="79">
        <v>80.0</v>
      </c>
      <c r="AZ199" s="79">
        <v>100.0</v>
      </c>
      <c r="BA199" s="79">
        <v>110.0</v>
      </c>
      <c r="BB199" s="79">
        <v>30.0</v>
      </c>
      <c r="BC199" s="201">
        <v>490.0</v>
      </c>
      <c r="BE199" s="150" t="s">
        <v>129</v>
      </c>
      <c r="BF199" s="138"/>
      <c r="BG199" s="128"/>
      <c r="BI199" s="31" t="s">
        <v>5</v>
      </c>
      <c r="BJ199" s="32" t="s">
        <v>5</v>
      </c>
      <c r="BK199" s="32" t="s">
        <v>5</v>
      </c>
      <c r="BL199" s="32" t="s">
        <v>5</v>
      </c>
      <c r="BM199" s="32">
        <v>3.0</v>
      </c>
      <c r="BN199" s="33" t="s">
        <v>5</v>
      </c>
      <c r="BP199" s="115" t="s">
        <v>32</v>
      </c>
      <c r="BQ199" s="116" t="s">
        <v>122</v>
      </c>
      <c r="BS199" s="115" t="s">
        <v>32</v>
      </c>
      <c r="BT199" s="117" t="s">
        <v>122</v>
      </c>
      <c r="BU199" s="37" t="str">
        <f t="shared" si="1"/>
        <v>#NAME?</v>
      </c>
      <c r="BV199" s="89" t="s">
        <v>32</v>
      </c>
      <c r="BW199" s="37" t="str">
        <f t="shared" si="2"/>
        <v>#NAME?</v>
      </c>
      <c r="BX199" s="89" t="s">
        <v>122</v>
      </c>
      <c r="BY199" s="134"/>
      <c r="BZ199" s="134"/>
      <c r="CA199" s="135" t="s">
        <v>869</v>
      </c>
      <c r="CB199" s="136"/>
      <c r="CC199" s="90" t="s">
        <v>32</v>
      </c>
      <c r="CD199" s="137" t="s">
        <v>122</v>
      </c>
      <c r="CE199" s="2"/>
      <c r="CF199" s="92" t="s">
        <v>870</v>
      </c>
      <c r="CG199" s="93" t="s">
        <v>871</v>
      </c>
      <c r="CH199" s="2"/>
      <c r="CI199" s="175" t="s">
        <v>870</v>
      </c>
      <c r="CJ199" s="195" t="s">
        <v>871</v>
      </c>
      <c r="CK199" s="2"/>
      <c r="CL199" s="22" t="s">
        <v>870</v>
      </c>
      <c r="CM199" s="12"/>
      <c r="CN199" s="48"/>
      <c r="CO199" s="196" t="s">
        <v>871</v>
      </c>
      <c r="CP199" s="2"/>
      <c r="CQ199" s="2" t="s">
        <v>1579</v>
      </c>
      <c r="CR199" s="97">
        <v>80.0</v>
      </c>
      <c r="CS199" s="2" t="s">
        <v>129</v>
      </c>
      <c r="CT199" s="98">
        <v>164.0</v>
      </c>
      <c r="CU199" s="2"/>
      <c r="CV199" s="256" t="s">
        <v>149</v>
      </c>
      <c r="CW199" s="256" t="s">
        <v>149</v>
      </c>
      <c r="CX199" s="2"/>
      <c r="CY199" s="118" t="s">
        <v>14</v>
      </c>
      <c r="CZ199" s="119" t="s">
        <v>106</v>
      </c>
      <c r="DA199" s="2"/>
      <c r="DB199" s="98">
        <v>70.0</v>
      </c>
      <c r="DC199" s="2"/>
      <c r="DD199" s="101" t="s">
        <v>150</v>
      </c>
      <c r="DE199" s="2"/>
      <c r="DF199" s="159" t="s">
        <v>1937</v>
      </c>
      <c r="DG199" s="173" t="s">
        <v>709</v>
      </c>
      <c r="DH199" s="121"/>
      <c r="DI199" s="2"/>
      <c r="DJ199" s="2"/>
      <c r="DK199" s="59" t="s">
        <v>1938</v>
      </c>
      <c r="DL199" s="37" t="s">
        <v>7</v>
      </c>
      <c r="DM199" s="37" t="str">
        <f t="shared" si="3"/>
        <v>#NAME?</v>
      </c>
      <c r="DN199" s="61"/>
      <c r="DO199" s="37">
        <v>40.0</v>
      </c>
      <c r="DP199" s="105">
        <v>1.0</v>
      </c>
      <c r="DQ199" s="62" t="s">
        <v>342</v>
      </c>
      <c r="DR199" s="63"/>
      <c r="DS199" s="198"/>
      <c r="DT199" s="108"/>
      <c r="DU199" s="108"/>
      <c r="DV199" s="182"/>
      <c r="DW199" s="182"/>
      <c r="DX199" s="182"/>
      <c r="DY199" s="182"/>
      <c r="DZ199" s="182"/>
      <c r="EA199" s="182"/>
      <c r="EB199" s="2"/>
      <c r="EC199" s="2"/>
      <c r="ED199" s="2"/>
      <c r="EE199" s="2"/>
      <c r="EF199" s="149" t="s">
        <v>1939</v>
      </c>
      <c r="EG199" s="69" t="str">
        <f>image("https://www.pokebip.com/pages/icones/objets/total-soin.png", 3)</f>
        <v/>
      </c>
      <c r="EH199" s="69"/>
      <c r="EI199" s="69"/>
    </row>
    <row r="200" ht="15.75" customHeight="1">
      <c r="A200" s="1">
        <v>200.0</v>
      </c>
      <c r="B200" s="2" t="s">
        <v>1940</v>
      </c>
      <c r="C200" s="7"/>
      <c r="D200" s="247" t="s">
        <v>1941</v>
      </c>
      <c r="E200" s="5"/>
      <c r="F200" s="248"/>
      <c r="G200" s="7"/>
      <c r="H200" s="8" t="s">
        <v>1942</v>
      </c>
      <c r="I200" s="9" t="s">
        <v>1943</v>
      </c>
      <c r="J200" s="355" t="str">
        <f>image("https://archives.bulbagarden.net/media/upload/e/e3/200MS6.png", 3)</f>
        <v/>
      </c>
      <c r="K200" s="11" t="s">
        <v>1941</v>
      </c>
      <c r="L200" s="12"/>
      <c r="M200" s="12"/>
      <c r="N200" s="12"/>
      <c r="O200" s="12"/>
      <c r="Q200" s="71">
        <v>60.0</v>
      </c>
      <c r="R200" s="72">
        <v>60.0</v>
      </c>
      <c r="S200" s="73">
        <v>60.0</v>
      </c>
      <c r="T200" s="74">
        <v>85.0</v>
      </c>
      <c r="U200" s="75">
        <v>85.0</v>
      </c>
      <c r="V200" s="76">
        <v>85.0</v>
      </c>
      <c r="W200" s="77">
        <v>435.0</v>
      </c>
      <c r="X200" s="21"/>
      <c r="Y200" s="71">
        <v>60.0</v>
      </c>
      <c r="Z200" s="72">
        <v>60.0</v>
      </c>
      <c r="AA200" s="73">
        <v>60.0</v>
      </c>
      <c r="AB200" s="74">
        <v>85.0</v>
      </c>
      <c r="AC200" s="75">
        <v>85.0</v>
      </c>
      <c r="AD200" s="76">
        <v>85.0</v>
      </c>
      <c r="AE200" s="77">
        <v>435.0</v>
      </c>
      <c r="AF200" s="21"/>
      <c r="AG200" s="71">
        <v>60.0</v>
      </c>
      <c r="AH200" s="72">
        <v>60.0</v>
      </c>
      <c r="AI200" s="73">
        <v>60.0</v>
      </c>
      <c r="AJ200" s="74">
        <v>85.0</v>
      </c>
      <c r="AK200" s="75">
        <v>85.0</v>
      </c>
      <c r="AL200" s="76">
        <v>85.0</v>
      </c>
      <c r="AM200" s="77">
        <v>435.0</v>
      </c>
      <c r="AN200" s="21"/>
      <c r="AO200" s="22">
        <v>60.0</v>
      </c>
      <c r="AP200" s="23">
        <v>60.0</v>
      </c>
      <c r="AQ200" s="23">
        <v>60.0</v>
      </c>
      <c r="AR200" s="23">
        <v>85.0</v>
      </c>
      <c r="AS200" s="23">
        <v>85.0</v>
      </c>
      <c r="AT200" s="23">
        <v>85.0</v>
      </c>
      <c r="AU200" s="24">
        <v>435.0</v>
      </c>
      <c r="AV200" s="21"/>
      <c r="AW200" s="258">
        <v>60.0</v>
      </c>
      <c r="AX200" s="80">
        <v>60.0</v>
      </c>
      <c r="AY200" s="80">
        <v>60.0</v>
      </c>
      <c r="AZ200" s="80">
        <v>85.0</v>
      </c>
      <c r="BA200" s="80">
        <v>85.0</v>
      </c>
      <c r="BB200" s="80">
        <v>85.0</v>
      </c>
      <c r="BC200" s="81">
        <v>435.0</v>
      </c>
      <c r="BE200" s="225" t="s">
        <v>27</v>
      </c>
      <c r="BF200" s="338"/>
      <c r="BG200" s="128"/>
      <c r="BI200" s="31" t="s">
        <v>5</v>
      </c>
      <c r="BJ200" s="32" t="s">
        <v>5</v>
      </c>
      <c r="BK200" s="32" t="s">
        <v>5</v>
      </c>
      <c r="BL200" s="32" t="s">
        <v>5</v>
      </c>
      <c r="BM200" s="32">
        <v>1.0</v>
      </c>
      <c r="BN200" s="33" t="s">
        <v>5</v>
      </c>
      <c r="BP200" s="85" t="s">
        <v>92</v>
      </c>
      <c r="BQ200" s="129"/>
      <c r="BS200" s="87" t="s">
        <v>92</v>
      </c>
      <c r="BT200" s="130"/>
      <c r="BU200" s="37" t="str">
        <f t="shared" si="1"/>
        <v>#NAME?</v>
      </c>
      <c r="BV200" s="89" t="s">
        <v>92</v>
      </c>
      <c r="BW200" s="37" t="str">
        <f t="shared" si="2"/>
        <v>#NAME?</v>
      </c>
      <c r="BX200" s="89" t="s">
        <v>461</v>
      </c>
      <c r="BY200" s="39"/>
      <c r="BZ200" s="39"/>
      <c r="CA200" s="40" t="s">
        <v>1944</v>
      </c>
      <c r="CB200" s="41"/>
      <c r="CC200" s="37" t="s">
        <v>92</v>
      </c>
      <c r="CD200" s="139" t="s">
        <v>153</v>
      </c>
      <c r="CE200" s="21"/>
      <c r="CF200" s="92" t="s">
        <v>1001</v>
      </c>
      <c r="CG200" s="93"/>
      <c r="CH200" s="21"/>
      <c r="CI200" s="92" t="s">
        <v>1001</v>
      </c>
      <c r="CJ200" s="93"/>
      <c r="CK200" s="21"/>
      <c r="CL200" s="22" t="s">
        <v>1001</v>
      </c>
      <c r="CM200" s="12"/>
      <c r="CN200" s="48"/>
      <c r="CO200" s="95"/>
      <c r="CP200" s="21"/>
      <c r="CQ200" s="2" t="s">
        <v>1146</v>
      </c>
      <c r="CR200" s="97">
        <v>20.0</v>
      </c>
      <c r="CS200" s="2" t="s">
        <v>27</v>
      </c>
      <c r="CT200" s="98">
        <v>147.0</v>
      </c>
      <c r="CU200" s="2"/>
      <c r="CV200" s="52" t="s">
        <v>149</v>
      </c>
      <c r="CW200" s="52" t="s">
        <v>149</v>
      </c>
      <c r="CX200" s="2"/>
      <c r="CY200" s="334" t="s">
        <v>964</v>
      </c>
      <c r="CZ200" s="337"/>
      <c r="DA200" s="2"/>
      <c r="DB200" s="311">
        <v>45.0</v>
      </c>
      <c r="DC200" s="2"/>
      <c r="DD200" s="101" t="s">
        <v>468</v>
      </c>
      <c r="DE200" s="2"/>
      <c r="DF200" s="365" t="s">
        <v>1945</v>
      </c>
      <c r="DG200" s="336"/>
      <c r="DH200" s="336"/>
      <c r="DI200" s="21"/>
      <c r="DJ200" s="21"/>
      <c r="DK200" s="59" t="s">
        <v>1946</v>
      </c>
      <c r="DL200" s="37" t="s">
        <v>18</v>
      </c>
      <c r="DM200" s="37" t="str">
        <f t="shared" si="3"/>
        <v>#NAME?</v>
      </c>
      <c r="DN200" s="61"/>
      <c r="DO200" s="37">
        <v>100.0</v>
      </c>
      <c r="DP200" s="105">
        <v>0.95</v>
      </c>
      <c r="DQ200" s="62" t="s">
        <v>293</v>
      </c>
      <c r="DR200" s="63"/>
      <c r="DS200" s="198"/>
      <c r="DT200" s="108"/>
      <c r="DU200" s="108"/>
      <c r="DV200" s="182"/>
      <c r="DW200" s="182"/>
      <c r="DX200" s="182"/>
      <c r="DY200" s="182"/>
      <c r="DZ200" s="182"/>
      <c r="EA200" s="182"/>
      <c r="EB200" s="2"/>
      <c r="EC200" s="2"/>
      <c r="ED200" s="2"/>
      <c r="EE200" s="2"/>
      <c r="EF200" s="149" t="s">
        <v>1947</v>
      </c>
      <c r="EG200" s="69" t="str">
        <f>image("https://www.pokebip.com/pages/icones/objets/eau-fraiche.png", 3)</f>
        <v/>
      </c>
      <c r="EH200" s="69"/>
      <c r="EI200" s="69"/>
    </row>
    <row r="201" ht="15.75" customHeight="1">
      <c r="A201" s="1">
        <v>201.0</v>
      </c>
      <c r="B201" s="2" t="s">
        <v>1948</v>
      </c>
      <c r="C201" s="7"/>
      <c r="D201" s="295" t="s">
        <v>1949</v>
      </c>
      <c r="E201" s="5"/>
      <c r="F201" s="296"/>
      <c r="G201" s="7"/>
      <c r="H201" s="8" t="s">
        <v>1950</v>
      </c>
      <c r="I201" s="9" t="s">
        <v>1951</v>
      </c>
      <c r="J201" s="355" t="str">
        <f>image("https://archives.bulbagarden.net/media/upload/5/52/201FMS6.png", 3)</f>
        <v/>
      </c>
      <c r="K201" s="11" t="s">
        <v>1949</v>
      </c>
      <c r="L201" s="12"/>
      <c r="M201" s="12"/>
      <c r="N201" s="12"/>
      <c r="O201" s="12"/>
      <c r="Q201" s="71">
        <v>48.0</v>
      </c>
      <c r="R201" s="72">
        <v>72.0</v>
      </c>
      <c r="S201" s="73">
        <v>48.0</v>
      </c>
      <c r="T201" s="74">
        <v>72.0</v>
      </c>
      <c r="U201" s="75">
        <v>48.0</v>
      </c>
      <c r="V201" s="76">
        <v>48.0</v>
      </c>
      <c r="W201" s="77">
        <v>336.0</v>
      </c>
      <c r="X201" s="21"/>
      <c r="Y201" s="71">
        <v>48.0</v>
      </c>
      <c r="Z201" s="72">
        <v>72.0</v>
      </c>
      <c r="AA201" s="73">
        <v>48.0</v>
      </c>
      <c r="AB201" s="74">
        <v>72.0</v>
      </c>
      <c r="AC201" s="75">
        <v>48.0</v>
      </c>
      <c r="AD201" s="76">
        <v>48.0</v>
      </c>
      <c r="AE201" s="77">
        <v>336.0</v>
      </c>
      <c r="AF201" s="21"/>
      <c r="AG201" s="261">
        <v>54.0</v>
      </c>
      <c r="AH201" s="109">
        <v>108.0</v>
      </c>
      <c r="AI201" s="109">
        <v>54.0</v>
      </c>
      <c r="AJ201" s="109">
        <v>108.0</v>
      </c>
      <c r="AK201" s="109">
        <v>54.0</v>
      </c>
      <c r="AL201" s="109">
        <v>54.0</v>
      </c>
      <c r="AM201" s="110">
        <v>432.0</v>
      </c>
      <c r="AN201" s="21"/>
      <c r="AO201" s="22" t="s">
        <v>1952</v>
      </c>
      <c r="AP201" s="23" t="s">
        <v>1953</v>
      </c>
      <c r="AQ201" s="23" t="s">
        <v>1952</v>
      </c>
      <c r="AR201" s="23" t="s">
        <v>1953</v>
      </c>
      <c r="AS201" s="23" t="s">
        <v>1952</v>
      </c>
      <c r="AT201" s="23" t="s">
        <v>1952</v>
      </c>
      <c r="AU201" s="24" t="s">
        <v>1954</v>
      </c>
      <c r="AV201" s="21"/>
      <c r="AW201" s="111">
        <v>54.0</v>
      </c>
      <c r="AX201" s="111">
        <v>108.0</v>
      </c>
      <c r="AY201" s="111">
        <v>54.0</v>
      </c>
      <c r="AZ201" s="111">
        <v>108.0</v>
      </c>
      <c r="BA201" s="111">
        <v>54.0</v>
      </c>
      <c r="BB201" s="111">
        <v>54.0</v>
      </c>
      <c r="BC201" s="111">
        <v>432.0</v>
      </c>
      <c r="BE201" s="194" t="s">
        <v>325</v>
      </c>
      <c r="BF201" s="285" t="s">
        <v>4</v>
      </c>
      <c r="BG201" s="93"/>
      <c r="BI201" s="31" t="s">
        <v>5</v>
      </c>
      <c r="BJ201" s="32">
        <v>1.0</v>
      </c>
      <c r="BK201" s="32" t="s">
        <v>5</v>
      </c>
      <c r="BL201" s="32">
        <v>1.0</v>
      </c>
      <c r="BM201" s="32" t="s">
        <v>5</v>
      </c>
      <c r="BN201" s="33" t="s">
        <v>5</v>
      </c>
      <c r="BP201" s="115" t="s">
        <v>122</v>
      </c>
      <c r="BQ201" s="93"/>
      <c r="BS201" s="115" t="s">
        <v>122</v>
      </c>
      <c r="BT201" s="133"/>
      <c r="BU201" s="37" t="str">
        <f t="shared" si="1"/>
        <v>#NAME?</v>
      </c>
      <c r="BV201" s="89" t="s">
        <v>122</v>
      </c>
      <c r="BW201" s="37" t="str">
        <f t="shared" si="2"/>
        <v>#NAME?</v>
      </c>
      <c r="BX201" s="89"/>
      <c r="BY201" s="144"/>
      <c r="BZ201" s="144"/>
      <c r="CA201" s="145" t="s">
        <v>122</v>
      </c>
      <c r="CB201" s="146"/>
      <c r="CC201" s="90" t="s">
        <v>122</v>
      </c>
      <c r="CD201" s="147"/>
      <c r="CE201" s="21"/>
      <c r="CF201" s="92" t="s">
        <v>1001</v>
      </c>
      <c r="CG201" s="93"/>
      <c r="CH201" s="21"/>
      <c r="CI201" s="92" t="s">
        <v>1001</v>
      </c>
      <c r="CJ201" s="93"/>
      <c r="CK201" s="21"/>
      <c r="CL201" s="22" t="s">
        <v>1001</v>
      </c>
      <c r="CM201" s="12"/>
      <c r="CN201" s="48"/>
      <c r="CO201" s="95"/>
      <c r="CP201" s="21"/>
      <c r="CQ201" s="2" t="s">
        <v>1955</v>
      </c>
      <c r="CR201" s="97">
        <v>20.0</v>
      </c>
      <c r="CS201" s="2" t="s">
        <v>1956</v>
      </c>
      <c r="CT201" s="98">
        <v>61.0</v>
      </c>
      <c r="CU201" s="2"/>
      <c r="CV201" s="52" t="s">
        <v>890</v>
      </c>
      <c r="CW201" s="52" t="s">
        <v>890</v>
      </c>
      <c r="CX201" s="2"/>
      <c r="CY201" s="119" t="s">
        <v>411</v>
      </c>
      <c r="CZ201" s="160"/>
      <c r="DA201" s="2"/>
      <c r="DB201" s="344">
        <v>255.0</v>
      </c>
      <c r="DC201" s="2"/>
      <c r="DD201" s="101" t="s">
        <v>150</v>
      </c>
      <c r="DE201" s="2"/>
      <c r="DF201" s="120" t="s">
        <v>914</v>
      </c>
      <c r="DG201" s="121"/>
      <c r="DH201" s="121"/>
      <c r="DI201" s="2"/>
      <c r="DJ201" s="2"/>
      <c r="DK201" s="59" t="s">
        <v>1957</v>
      </c>
      <c r="DL201" s="37" t="s">
        <v>18</v>
      </c>
      <c r="DM201" s="37" t="str">
        <f t="shared" si="3"/>
        <v>#NAME?</v>
      </c>
      <c r="DN201" s="61"/>
      <c r="DO201" s="37" t="s">
        <v>77</v>
      </c>
      <c r="DP201" s="105">
        <v>0.95</v>
      </c>
      <c r="DQ201" s="62" t="s">
        <v>206</v>
      </c>
      <c r="DR201" s="63"/>
      <c r="DS201" s="198"/>
      <c r="DT201" s="108"/>
      <c r="DU201" s="108"/>
      <c r="DV201" s="182"/>
      <c r="DW201" s="182"/>
      <c r="DX201" s="182"/>
      <c r="DY201" s="182"/>
      <c r="DZ201" s="182"/>
      <c r="EA201" s="182"/>
      <c r="EB201" s="2"/>
      <c r="EC201" s="2"/>
      <c r="ED201" s="2"/>
      <c r="EE201" s="2"/>
      <c r="EF201" s="149" t="s">
        <v>1958</v>
      </c>
      <c r="EG201" s="69" t="str">
        <f>image("https://www.pokebip.com/pages/icones/objets/soda-cool.png", 3)</f>
        <v/>
      </c>
      <c r="EH201" s="69"/>
      <c r="EI201" s="69"/>
    </row>
    <row r="202" ht="15.75" customHeight="1">
      <c r="A202" s="1">
        <v>202.0</v>
      </c>
      <c r="B202" s="2" t="s">
        <v>1959</v>
      </c>
      <c r="C202" s="7"/>
      <c r="D202" s="140" t="s">
        <v>1960</v>
      </c>
      <c r="E202" s="5"/>
      <c r="F202" s="141"/>
      <c r="G202" s="7"/>
      <c r="H202" s="8" t="s">
        <v>1961</v>
      </c>
      <c r="I202" s="9" t="s">
        <v>1962</v>
      </c>
      <c r="J202" s="355" t="str">
        <f>image("https://archives.bulbagarden.net/media/upload/3/37/202MS6.png", 3)</f>
        <v/>
      </c>
      <c r="K202" s="11" t="s">
        <v>1960</v>
      </c>
      <c r="L202" s="12"/>
      <c r="M202" s="12"/>
      <c r="N202" s="12"/>
      <c r="O202" s="12"/>
      <c r="Q202" s="71">
        <v>190.0</v>
      </c>
      <c r="R202" s="72">
        <v>33.0</v>
      </c>
      <c r="S202" s="73">
        <v>58.0</v>
      </c>
      <c r="T202" s="74">
        <v>33.0</v>
      </c>
      <c r="U202" s="75">
        <v>58.0</v>
      </c>
      <c r="V202" s="76">
        <v>33.0</v>
      </c>
      <c r="W202" s="77">
        <v>405.0</v>
      </c>
      <c r="X202" s="21"/>
      <c r="Y202" s="71">
        <v>190.0</v>
      </c>
      <c r="Z202" s="72">
        <v>33.0</v>
      </c>
      <c r="AA202" s="73">
        <v>58.0</v>
      </c>
      <c r="AB202" s="74">
        <v>33.0</v>
      </c>
      <c r="AC202" s="75">
        <v>58.0</v>
      </c>
      <c r="AD202" s="76">
        <v>33.0</v>
      </c>
      <c r="AE202" s="77">
        <v>405.0</v>
      </c>
      <c r="AF202" s="21"/>
      <c r="AG202" s="71">
        <v>190.0</v>
      </c>
      <c r="AH202" s="72">
        <v>33.0</v>
      </c>
      <c r="AI202" s="73">
        <v>58.0</v>
      </c>
      <c r="AJ202" s="74">
        <v>33.0</v>
      </c>
      <c r="AK202" s="75">
        <v>58.0</v>
      </c>
      <c r="AL202" s="76">
        <v>33.0</v>
      </c>
      <c r="AM202" s="77">
        <v>405.0</v>
      </c>
      <c r="AN202" s="21"/>
      <c r="AO202" s="22">
        <v>190.0</v>
      </c>
      <c r="AP202" s="23">
        <v>33.0</v>
      </c>
      <c r="AQ202" s="23">
        <v>58.0</v>
      </c>
      <c r="AR202" s="23">
        <v>33.0</v>
      </c>
      <c r="AS202" s="23">
        <v>58.0</v>
      </c>
      <c r="AT202" s="23">
        <v>33.0</v>
      </c>
      <c r="AU202" s="24">
        <v>405.0</v>
      </c>
      <c r="AV202" s="21"/>
      <c r="AW202" s="265">
        <v>190.0</v>
      </c>
      <c r="AX202" s="124">
        <v>33.0</v>
      </c>
      <c r="AY202" s="124">
        <v>58.0</v>
      </c>
      <c r="AZ202" s="124">
        <v>33.0</v>
      </c>
      <c r="BA202" s="124">
        <v>58.0</v>
      </c>
      <c r="BB202" s="124">
        <v>33.0</v>
      </c>
      <c r="BC202" s="125">
        <v>405.0</v>
      </c>
      <c r="BE202" s="203" t="s">
        <v>409</v>
      </c>
      <c r="BF202" s="113"/>
      <c r="BG202" s="129"/>
      <c r="BI202" s="31">
        <v>2.0</v>
      </c>
      <c r="BJ202" s="32" t="s">
        <v>5</v>
      </c>
      <c r="BK202" s="32" t="s">
        <v>5</v>
      </c>
      <c r="BL202" s="32" t="s">
        <v>5</v>
      </c>
      <c r="BM202" s="32" t="s">
        <v>5</v>
      </c>
      <c r="BN202" s="33" t="s">
        <v>5</v>
      </c>
      <c r="BP202" s="85" t="s">
        <v>122</v>
      </c>
      <c r="BQ202" s="129"/>
      <c r="BS202" s="87" t="s">
        <v>122</v>
      </c>
      <c r="BT202" s="130"/>
      <c r="BU202" s="37" t="str">
        <f t="shared" si="1"/>
        <v>#NAME?</v>
      </c>
      <c r="BV202" s="89" t="s">
        <v>122</v>
      </c>
      <c r="BW202" s="37" t="str">
        <f t="shared" si="2"/>
        <v>#NAME?</v>
      </c>
      <c r="BX202" s="89"/>
      <c r="BY202" s="39"/>
      <c r="BZ202" s="39"/>
      <c r="CA202" s="40" t="s">
        <v>122</v>
      </c>
      <c r="CB202" s="41"/>
      <c r="CC202" s="90" t="s">
        <v>122</v>
      </c>
      <c r="CD202" s="91"/>
      <c r="CE202" s="21"/>
      <c r="CF202" s="92" t="s">
        <v>1963</v>
      </c>
      <c r="CG202" s="93"/>
      <c r="CH202" s="21"/>
      <c r="CI202" s="92" t="s">
        <v>1963</v>
      </c>
      <c r="CJ202" s="93"/>
      <c r="CK202" s="21"/>
      <c r="CL202" s="22" t="s">
        <v>1963</v>
      </c>
      <c r="CM202" s="12"/>
      <c r="CN202" s="48"/>
      <c r="CO202" s="95"/>
      <c r="CP202" s="21"/>
      <c r="CQ202" s="2" t="s">
        <v>1811</v>
      </c>
      <c r="CR202" s="97">
        <v>60.0</v>
      </c>
      <c r="CS202" s="2" t="s">
        <v>409</v>
      </c>
      <c r="CT202" s="98">
        <v>177.0</v>
      </c>
      <c r="CU202" s="2"/>
      <c r="CV202" s="52" t="s">
        <v>149</v>
      </c>
      <c r="CW202" s="52" t="s">
        <v>149</v>
      </c>
      <c r="CX202" s="2"/>
      <c r="CY202" s="334" t="s">
        <v>964</v>
      </c>
      <c r="CZ202" s="337"/>
      <c r="DA202" s="2"/>
      <c r="DB202" s="366">
        <v>45.0</v>
      </c>
      <c r="DC202" s="2"/>
      <c r="DD202" s="101" t="s">
        <v>150</v>
      </c>
      <c r="DE202" s="2"/>
      <c r="DF202" s="335" t="s">
        <v>1964</v>
      </c>
      <c r="DG202" s="336"/>
      <c r="DH202" s="336"/>
      <c r="DI202" s="2"/>
      <c r="DJ202" s="2"/>
      <c r="DK202" s="59" t="s">
        <v>1965</v>
      </c>
      <c r="DL202" s="37" t="s">
        <v>18</v>
      </c>
      <c r="DM202" s="37" t="str">
        <f t="shared" si="3"/>
        <v>#NAME?</v>
      </c>
      <c r="DN202" s="61"/>
      <c r="DO202" s="37">
        <v>75.0</v>
      </c>
      <c r="DP202" s="105">
        <v>0.95</v>
      </c>
      <c r="DQ202" s="62" t="s">
        <v>472</v>
      </c>
      <c r="DR202" s="63"/>
      <c r="DS202" s="198"/>
      <c r="DT202" s="108"/>
      <c r="DU202" s="108"/>
      <c r="DV202" s="182"/>
      <c r="DW202" s="182"/>
      <c r="DX202" s="182"/>
      <c r="DY202" s="182"/>
      <c r="DZ202" s="182"/>
      <c r="EA202" s="182"/>
      <c r="EB202" s="21"/>
      <c r="EC202" s="21"/>
      <c r="ED202" s="21"/>
      <c r="EE202" s="21"/>
      <c r="EF202" s="149" t="s">
        <v>1966</v>
      </c>
      <c r="EG202" s="69" t="str">
        <f>image("https://www.pokebip.com/pages/icones/objets/limonade.png", 3)</f>
        <v/>
      </c>
      <c r="EH202" s="69"/>
      <c r="EI202" s="69"/>
    </row>
    <row r="203" ht="15.75" customHeight="1">
      <c r="A203" s="1">
        <v>203.0</v>
      </c>
      <c r="B203" s="2" t="s">
        <v>1967</v>
      </c>
      <c r="C203" s="7"/>
      <c r="D203" s="169" t="s">
        <v>1968</v>
      </c>
      <c r="E203" s="5"/>
      <c r="F203" s="170"/>
      <c r="G203" s="7"/>
      <c r="H203" s="8" t="s">
        <v>1969</v>
      </c>
      <c r="I203" s="9" t="s">
        <v>1970</v>
      </c>
      <c r="J203" s="355" t="str">
        <f>image("https://archives.bulbagarden.net/media/upload/b/bc/203MS6.png", 3)</f>
        <v/>
      </c>
      <c r="K203" s="11" t="s">
        <v>1968</v>
      </c>
      <c r="L203" s="12"/>
      <c r="M203" s="12"/>
      <c r="N203" s="12"/>
      <c r="O203" s="12"/>
      <c r="Q203" s="71">
        <v>70.0</v>
      </c>
      <c r="R203" s="72">
        <v>80.0</v>
      </c>
      <c r="S203" s="73">
        <v>65.0</v>
      </c>
      <c r="T203" s="74">
        <v>90.0</v>
      </c>
      <c r="U203" s="75">
        <v>65.0</v>
      </c>
      <c r="V203" s="76">
        <v>85.0</v>
      </c>
      <c r="W203" s="77">
        <v>455.0</v>
      </c>
      <c r="X203" s="21"/>
      <c r="Y203" s="71">
        <v>70.0</v>
      </c>
      <c r="Z203" s="72">
        <v>80.0</v>
      </c>
      <c r="AA203" s="73">
        <v>65.0</v>
      </c>
      <c r="AB203" s="74">
        <v>90.0</v>
      </c>
      <c r="AC203" s="75">
        <v>65.0</v>
      </c>
      <c r="AD203" s="76">
        <v>85.0</v>
      </c>
      <c r="AE203" s="77">
        <v>455.0</v>
      </c>
      <c r="AF203" s="21"/>
      <c r="AG203" s="71">
        <v>70.0</v>
      </c>
      <c r="AH203" s="72">
        <v>80.0</v>
      </c>
      <c r="AI203" s="73">
        <v>65.0</v>
      </c>
      <c r="AJ203" s="74">
        <v>90.0</v>
      </c>
      <c r="AK203" s="75">
        <v>65.0</v>
      </c>
      <c r="AL203" s="76">
        <v>85.0</v>
      </c>
      <c r="AM203" s="77">
        <v>455.0</v>
      </c>
      <c r="AN203" s="21"/>
      <c r="AO203" s="22">
        <v>70.0</v>
      </c>
      <c r="AP203" s="23">
        <v>80.0</v>
      </c>
      <c r="AQ203" s="23">
        <v>65.0</v>
      </c>
      <c r="AR203" s="23">
        <v>90.0</v>
      </c>
      <c r="AS203" s="23">
        <v>65.0</v>
      </c>
      <c r="AT203" s="23">
        <v>85.0</v>
      </c>
      <c r="AU203" s="24">
        <v>455.0</v>
      </c>
      <c r="AV203" s="21"/>
      <c r="AW203" s="78">
        <v>70.0</v>
      </c>
      <c r="AX203" s="79">
        <v>80.0</v>
      </c>
      <c r="AY203" s="79">
        <v>65.0</v>
      </c>
      <c r="AZ203" s="79">
        <v>90.0</v>
      </c>
      <c r="BA203" s="79">
        <v>65.0</v>
      </c>
      <c r="BB203" s="79">
        <v>85.0</v>
      </c>
      <c r="BC203" s="201">
        <v>455.0</v>
      </c>
      <c r="BE203" s="112" t="s">
        <v>42</v>
      </c>
      <c r="BF203" s="113"/>
      <c r="BG203" s="93"/>
      <c r="BI203" s="31" t="s">
        <v>5</v>
      </c>
      <c r="BJ203" s="32" t="s">
        <v>5</v>
      </c>
      <c r="BK203" s="32" t="s">
        <v>5</v>
      </c>
      <c r="BL203" s="32">
        <v>2.0</v>
      </c>
      <c r="BM203" s="32" t="s">
        <v>5</v>
      </c>
      <c r="BN203" s="33" t="s">
        <v>5</v>
      </c>
      <c r="BP203" s="115" t="s">
        <v>156</v>
      </c>
      <c r="BQ203" s="116" t="s">
        <v>122</v>
      </c>
      <c r="BS203" s="115" t="s">
        <v>156</v>
      </c>
      <c r="BT203" s="117" t="s">
        <v>122</v>
      </c>
      <c r="BU203" s="37" t="str">
        <f t="shared" si="1"/>
        <v>#NAME?</v>
      </c>
      <c r="BV203" s="89" t="s">
        <v>156</v>
      </c>
      <c r="BW203" s="37" t="str">
        <f t="shared" si="2"/>
        <v>#NAME?</v>
      </c>
      <c r="BX203" s="89" t="s">
        <v>122</v>
      </c>
      <c r="BY203" s="39"/>
      <c r="BZ203" s="39"/>
      <c r="CA203" s="40" t="s">
        <v>1971</v>
      </c>
      <c r="CB203" s="41"/>
      <c r="CC203" s="90" t="s">
        <v>156</v>
      </c>
      <c r="CD203" s="91" t="s">
        <v>122</v>
      </c>
      <c r="CE203" s="2"/>
      <c r="CF203" s="92" t="s">
        <v>530</v>
      </c>
      <c r="CG203" s="93" t="s">
        <v>924</v>
      </c>
      <c r="CH203" s="2"/>
      <c r="CI203" s="92" t="s">
        <v>530</v>
      </c>
      <c r="CJ203" s="93" t="s">
        <v>924</v>
      </c>
      <c r="CK203" s="2"/>
      <c r="CL203" s="22" t="s">
        <v>530</v>
      </c>
      <c r="CM203" s="12"/>
      <c r="CN203" s="48"/>
      <c r="CO203" s="96" t="s">
        <v>924</v>
      </c>
      <c r="CP203" s="2"/>
      <c r="CQ203" s="2" t="s">
        <v>1972</v>
      </c>
      <c r="CR203" s="97">
        <v>60.0</v>
      </c>
      <c r="CS203" s="2" t="s">
        <v>42</v>
      </c>
      <c r="CT203" s="98">
        <v>149.0</v>
      </c>
      <c r="CU203" s="2"/>
      <c r="CV203" s="52" t="s">
        <v>149</v>
      </c>
      <c r="CW203" s="52" t="s">
        <v>149</v>
      </c>
      <c r="CX203" s="2"/>
      <c r="CY203" s="119" t="s">
        <v>277</v>
      </c>
      <c r="CZ203" s="160"/>
      <c r="DA203" s="2"/>
      <c r="DB203" s="98">
        <v>60.0</v>
      </c>
      <c r="DC203" s="2"/>
      <c r="DD203" s="101" t="s">
        <v>150</v>
      </c>
      <c r="DE203" s="2"/>
      <c r="DF203" s="120" t="s">
        <v>914</v>
      </c>
      <c r="DG203" s="121"/>
      <c r="DH203" s="121"/>
      <c r="DI203" s="2"/>
      <c r="DJ203" s="2"/>
      <c r="DK203" s="59" t="s">
        <v>1973</v>
      </c>
      <c r="DL203" s="37" t="s">
        <v>66</v>
      </c>
      <c r="DM203" s="37" t="str">
        <f t="shared" si="3"/>
        <v>#NAME?</v>
      </c>
      <c r="DN203" s="61"/>
      <c r="DO203" s="37">
        <v>60.0</v>
      </c>
      <c r="DP203" s="105">
        <v>1.0</v>
      </c>
      <c r="DQ203" s="62" t="s">
        <v>293</v>
      </c>
      <c r="DR203" s="63"/>
      <c r="DS203" s="198"/>
      <c r="DT203" s="108"/>
      <c r="DU203" s="108"/>
      <c r="DV203" s="182"/>
      <c r="DW203" s="182"/>
      <c r="DX203" s="182"/>
      <c r="DY203" s="182"/>
      <c r="DZ203" s="182"/>
      <c r="EA203" s="182"/>
      <c r="EB203" s="2"/>
      <c r="EC203" s="2"/>
      <c r="ED203" s="2"/>
      <c r="EE203" s="2"/>
      <c r="EF203" s="149" t="s">
        <v>1974</v>
      </c>
      <c r="EG203" s="69" t="str">
        <f>image("https://www.pokebip.com/pages/icones/objets/lait-meumeu-3g.png", 3)</f>
        <v/>
      </c>
      <c r="EH203" s="69"/>
      <c r="EI203" s="69"/>
    </row>
    <row r="204" ht="15.75" customHeight="1">
      <c r="A204" s="1">
        <v>204.0</v>
      </c>
      <c r="B204" s="2" t="s">
        <v>1975</v>
      </c>
      <c r="C204" s="7"/>
      <c r="D204" s="247" t="s">
        <v>1976</v>
      </c>
      <c r="E204" s="5"/>
      <c r="F204" s="248"/>
      <c r="G204" s="7"/>
      <c r="H204" s="8" t="s">
        <v>1977</v>
      </c>
      <c r="I204" s="9" t="s">
        <v>1978</v>
      </c>
      <c r="J204" s="355" t="str">
        <f>image("https://archives.bulbagarden.net/media/upload/d/db/204MS6.png", 3)</f>
        <v/>
      </c>
      <c r="K204" s="11" t="s">
        <v>1976</v>
      </c>
      <c r="L204" s="12"/>
      <c r="M204" s="12"/>
      <c r="N204" s="12"/>
      <c r="O204" s="12"/>
      <c r="Q204" s="71">
        <v>50.0</v>
      </c>
      <c r="R204" s="72">
        <v>65.0</v>
      </c>
      <c r="S204" s="73">
        <v>90.0</v>
      </c>
      <c r="T204" s="74">
        <v>35.0</v>
      </c>
      <c r="U204" s="75">
        <v>35.0</v>
      </c>
      <c r="V204" s="76">
        <v>15.0</v>
      </c>
      <c r="W204" s="77">
        <v>290.0</v>
      </c>
      <c r="X204" s="21"/>
      <c r="Y204" s="71">
        <v>50.0</v>
      </c>
      <c r="Z204" s="72">
        <v>65.0</v>
      </c>
      <c r="AA204" s="73">
        <v>90.0</v>
      </c>
      <c r="AB204" s="74">
        <v>35.0</v>
      </c>
      <c r="AC204" s="75">
        <v>35.0</v>
      </c>
      <c r="AD204" s="76">
        <v>15.0</v>
      </c>
      <c r="AE204" s="77">
        <v>290.0</v>
      </c>
      <c r="AF204" s="21"/>
      <c r="AG204" s="71">
        <v>50.0</v>
      </c>
      <c r="AH204" s="72">
        <v>65.0</v>
      </c>
      <c r="AI204" s="73">
        <v>90.0</v>
      </c>
      <c r="AJ204" s="74">
        <v>35.0</v>
      </c>
      <c r="AK204" s="75">
        <v>35.0</v>
      </c>
      <c r="AL204" s="76">
        <v>15.0</v>
      </c>
      <c r="AM204" s="77">
        <v>290.0</v>
      </c>
      <c r="AN204" s="21"/>
      <c r="AO204" s="22">
        <v>50.0</v>
      </c>
      <c r="AP204" s="23">
        <v>65.0</v>
      </c>
      <c r="AQ204" s="23">
        <v>90.0</v>
      </c>
      <c r="AR204" s="23">
        <v>35.0</v>
      </c>
      <c r="AS204" s="23">
        <v>35.0</v>
      </c>
      <c r="AT204" s="23">
        <v>15.0</v>
      </c>
      <c r="AU204" s="24">
        <v>290.0</v>
      </c>
      <c r="AV204" s="21"/>
      <c r="AW204" s="78">
        <v>50.0</v>
      </c>
      <c r="AX204" s="79">
        <v>65.0</v>
      </c>
      <c r="AY204" s="79">
        <v>90.0</v>
      </c>
      <c r="AZ204" s="79">
        <v>35.0</v>
      </c>
      <c r="BA204" s="79">
        <v>35.0</v>
      </c>
      <c r="BB204" s="79">
        <v>15.0</v>
      </c>
      <c r="BC204" s="201">
        <v>290.0</v>
      </c>
      <c r="BE204" s="142" t="s">
        <v>101</v>
      </c>
      <c r="BF204" s="338"/>
      <c r="BG204" s="128"/>
      <c r="BI204" s="31" t="s">
        <v>5</v>
      </c>
      <c r="BJ204" s="32" t="s">
        <v>5</v>
      </c>
      <c r="BK204" s="32">
        <v>1.0</v>
      </c>
      <c r="BL204" s="32" t="s">
        <v>5</v>
      </c>
      <c r="BM204" s="32" t="s">
        <v>5</v>
      </c>
      <c r="BN204" s="33" t="s">
        <v>5</v>
      </c>
      <c r="BP204" s="85" t="s">
        <v>109</v>
      </c>
      <c r="BQ204" s="129"/>
      <c r="BS204" s="87" t="s">
        <v>109</v>
      </c>
      <c r="BT204" s="130"/>
      <c r="BU204" s="37" t="str">
        <f t="shared" si="1"/>
        <v>#NAME?</v>
      </c>
      <c r="BV204" s="89" t="s">
        <v>109</v>
      </c>
      <c r="BW204" s="37" t="str">
        <f t="shared" si="2"/>
        <v>#NAME?</v>
      </c>
      <c r="BX204" s="89"/>
      <c r="BY204" s="39"/>
      <c r="BZ204" s="39"/>
      <c r="CA204" s="40" t="s">
        <v>109</v>
      </c>
      <c r="CB204" s="41"/>
      <c r="CC204" s="90" t="s">
        <v>109</v>
      </c>
      <c r="CD204" s="91"/>
      <c r="CE204" s="21"/>
      <c r="CF204" s="92" t="s">
        <v>825</v>
      </c>
      <c r="CG204" s="93"/>
      <c r="CH204" s="21"/>
      <c r="CI204" s="92" t="s">
        <v>825</v>
      </c>
      <c r="CJ204" s="93"/>
      <c r="CK204" s="21"/>
      <c r="CL204" s="22" t="s">
        <v>825</v>
      </c>
      <c r="CM204" s="12"/>
      <c r="CN204" s="48"/>
      <c r="CO204" s="95"/>
      <c r="CP204" s="21"/>
      <c r="CQ204" s="2" t="s">
        <v>1979</v>
      </c>
      <c r="CR204" s="97">
        <v>20.0</v>
      </c>
      <c r="CS204" s="2" t="s">
        <v>101</v>
      </c>
      <c r="CT204" s="98">
        <v>60.0</v>
      </c>
      <c r="CU204" s="2"/>
      <c r="CV204" s="52" t="s">
        <v>149</v>
      </c>
      <c r="CW204" s="52" t="s">
        <v>149</v>
      </c>
      <c r="CX204" s="2"/>
      <c r="CY204" s="334" t="s">
        <v>109</v>
      </c>
      <c r="CZ204" s="337"/>
      <c r="DA204" s="2"/>
      <c r="DB204" s="98">
        <v>190.0</v>
      </c>
      <c r="DC204" s="2"/>
      <c r="DD204" s="101" t="s">
        <v>150</v>
      </c>
      <c r="DE204" s="2"/>
      <c r="DF204" s="339" t="s">
        <v>1980</v>
      </c>
      <c r="DG204" s="336"/>
      <c r="DH204" s="336"/>
      <c r="DI204" s="21"/>
      <c r="DJ204" s="21"/>
      <c r="DK204" s="59" t="s">
        <v>1981</v>
      </c>
      <c r="DL204" s="37" t="s">
        <v>64</v>
      </c>
      <c r="DM204" s="37" t="str">
        <f t="shared" si="3"/>
        <v>#NAME?</v>
      </c>
      <c r="DN204" s="61"/>
      <c r="DO204" s="37" t="s">
        <v>1578</v>
      </c>
      <c r="DP204" s="37" t="s">
        <v>19</v>
      </c>
      <c r="DQ204" s="62" t="s">
        <v>20</v>
      </c>
      <c r="DR204" s="155"/>
      <c r="DS204" s="251"/>
      <c r="DT204" s="108"/>
      <c r="DU204" s="108"/>
      <c r="DV204" s="252"/>
      <c r="DW204" s="252"/>
      <c r="DX204" s="252"/>
      <c r="DY204" s="252"/>
      <c r="DZ204" s="252"/>
      <c r="EA204" s="252"/>
      <c r="EB204" s="2"/>
      <c r="EC204" s="2"/>
      <c r="ED204" s="2"/>
      <c r="EE204" s="2"/>
      <c r="EF204" s="149" t="s">
        <v>1982</v>
      </c>
      <c r="EG204" s="69" t="str">
        <f>image("https://www.pokebip.com/pages/icones/objets/rappel.png", 3)</f>
        <v/>
      </c>
      <c r="EH204" s="69"/>
      <c r="EI204" s="69"/>
    </row>
    <row r="205" ht="15.75" customHeight="1">
      <c r="A205" s="1">
        <v>205.0</v>
      </c>
      <c r="B205" s="2" t="s">
        <v>1983</v>
      </c>
      <c r="C205" s="7"/>
      <c r="D205" s="180" t="s">
        <v>1984</v>
      </c>
      <c r="E205" s="5"/>
      <c r="F205" s="181"/>
      <c r="G205" s="7"/>
      <c r="H205" s="8" t="s">
        <v>1985</v>
      </c>
      <c r="I205" s="9" t="s">
        <v>1986</v>
      </c>
      <c r="J205" s="355" t="str">
        <f>image("https://archives.bulbagarden.net/media/upload/c/c4/205MS6.png", 3)</f>
        <v/>
      </c>
      <c r="K205" s="11" t="s">
        <v>1984</v>
      </c>
      <c r="L205" s="12"/>
      <c r="M205" s="12"/>
      <c r="N205" s="12"/>
      <c r="O205" s="12"/>
      <c r="Q205" s="71">
        <v>75.0</v>
      </c>
      <c r="R205" s="72">
        <v>90.0</v>
      </c>
      <c r="S205" s="73">
        <v>140.0</v>
      </c>
      <c r="T205" s="74">
        <v>60.0</v>
      </c>
      <c r="U205" s="75">
        <v>60.0</v>
      </c>
      <c r="V205" s="76">
        <v>40.0</v>
      </c>
      <c r="W205" s="77">
        <v>465.0</v>
      </c>
      <c r="X205" s="21"/>
      <c r="Y205" s="71">
        <v>75.0</v>
      </c>
      <c r="Z205" s="72">
        <v>90.0</v>
      </c>
      <c r="AA205" s="73">
        <v>140.0</v>
      </c>
      <c r="AB205" s="74">
        <v>60.0</v>
      </c>
      <c r="AC205" s="75">
        <v>60.0</v>
      </c>
      <c r="AD205" s="76">
        <v>40.0</v>
      </c>
      <c r="AE205" s="77">
        <v>465.0</v>
      </c>
      <c r="AF205" s="21"/>
      <c r="AG205" s="71">
        <v>75.0</v>
      </c>
      <c r="AH205" s="72">
        <v>90.0</v>
      </c>
      <c r="AI205" s="73">
        <v>140.0</v>
      </c>
      <c r="AJ205" s="74">
        <v>60.0</v>
      </c>
      <c r="AK205" s="75">
        <v>60.0</v>
      </c>
      <c r="AL205" s="76">
        <v>40.0</v>
      </c>
      <c r="AM205" s="77">
        <v>465.0</v>
      </c>
      <c r="AN205" s="21"/>
      <c r="AO205" s="22">
        <v>75.0</v>
      </c>
      <c r="AP205" s="23">
        <v>90.0</v>
      </c>
      <c r="AQ205" s="23">
        <v>140.0</v>
      </c>
      <c r="AR205" s="23">
        <v>60.0</v>
      </c>
      <c r="AS205" s="23">
        <v>60.0</v>
      </c>
      <c r="AT205" s="23">
        <v>40.0</v>
      </c>
      <c r="AU205" s="24">
        <v>465.0</v>
      </c>
      <c r="AV205" s="21"/>
      <c r="AW205" s="258">
        <v>75.0</v>
      </c>
      <c r="AX205" s="80">
        <v>90.0</v>
      </c>
      <c r="AY205" s="80">
        <v>140.0</v>
      </c>
      <c r="AZ205" s="80">
        <v>60.0</v>
      </c>
      <c r="BA205" s="80">
        <v>60.0</v>
      </c>
      <c r="BB205" s="79">
        <v>40.0</v>
      </c>
      <c r="BC205" s="81">
        <v>465.0</v>
      </c>
      <c r="BE205" s="156" t="s">
        <v>162</v>
      </c>
      <c r="BF205" s="113"/>
      <c r="BG205" s="93"/>
      <c r="BI205" s="31" t="s">
        <v>5</v>
      </c>
      <c r="BJ205" s="32" t="s">
        <v>5</v>
      </c>
      <c r="BK205" s="32">
        <v>2.0</v>
      </c>
      <c r="BL205" s="32" t="s">
        <v>5</v>
      </c>
      <c r="BM205" s="32" t="s">
        <v>5</v>
      </c>
      <c r="BN205" s="33" t="s">
        <v>5</v>
      </c>
      <c r="BP205" s="115" t="s">
        <v>109</v>
      </c>
      <c r="BQ205" s="116" t="s">
        <v>95</v>
      </c>
      <c r="BS205" s="115" t="s">
        <v>109</v>
      </c>
      <c r="BT205" s="117" t="s">
        <v>95</v>
      </c>
      <c r="BU205" s="37" t="str">
        <f t="shared" si="1"/>
        <v>#NAME?</v>
      </c>
      <c r="BV205" s="89" t="s">
        <v>109</v>
      </c>
      <c r="BW205" s="37" t="str">
        <f t="shared" si="2"/>
        <v>#NAME?</v>
      </c>
      <c r="BX205" s="89" t="s">
        <v>95</v>
      </c>
      <c r="BY205" s="39"/>
      <c r="BZ205" s="39"/>
      <c r="CA205" s="40" t="s">
        <v>1987</v>
      </c>
      <c r="CB205" s="41"/>
      <c r="CC205" s="90" t="s">
        <v>109</v>
      </c>
      <c r="CD205" s="91" t="s">
        <v>95</v>
      </c>
      <c r="CE205" s="2"/>
      <c r="CF205" s="92" t="s">
        <v>825</v>
      </c>
      <c r="CG205" s="93"/>
      <c r="CH205" s="2"/>
      <c r="CI205" s="92" t="s">
        <v>825</v>
      </c>
      <c r="CJ205" s="93"/>
      <c r="CK205" s="2"/>
      <c r="CL205" s="22" t="s">
        <v>825</v>
      </c>
      <c r="CM205" s="12"/>
      <c r="CN205" s="48"/>
      <c r="CO205" s="95"/>
      <c r="CP205" s="2"/>
      <c r="CQ205" s="2" t="s">
        <v>1988</v>
      </c>
      <c r="CR205" s="97">
        <v>100.0</v>
      </c>
      <c r="CS205" s="2" t="s">
        <v>162</v>
      </c>
      <c r="CT205" s="98">
        <v>118.0</v>
      </c>
      <c r="CU205" s="2"/>
      <c r="CV205" s="52" t="s">
        <v>149</v>
      </c>
      <c r="CW205" s="52" t="s">
        <v>149</v>
      </c>
      <c r="CX205" s="2"/>
      <c r="CY205" s="119" t="s">
        <v>109</v>
      </c>
      <c r="CZ205" s="160"/>
      <c r="DA205" s="2"/>
      <c r="DB205" s="98">
        <v>75.0</v>
      </c>
      <c r="DC205" s="2"/>
      <c r="DD205" s="101" t="s">
        <v>150</v>
      </c>
      <c r="DE205" s="2"/>
      <c r="DF205" s="120" t="s">
        <v>1989</v>
      </c>
      <c r="DG205" s="121"/>
      <c r="DH205" s="121"/>
      <c r="DI205" s="2"/>
      <c r="DJ205" s="2"/>
      <c r="DK205" s="59" t="s">
        <v>1990</v>
      </c>
      <c r="DL205" s="37" t="s">
        <v>120</v>
      </c>
      <c r="DM205" s="37" t="str">
        <f t="shared" si="3"/>
        <v>#NAME?</v>
      </c>
      <c r="DN205" s="61"/>
      <c r="DO205" s="37" t="s">
        <v>154</v>
      </c>
      <c r="DP205" s="105">
        <v>1.0</v>
      </c>
      <c r="DQ205" s="62" t="s">
        <v>472</v>
      </c>
      <c r="DR205" s="63"/>
      <c r="DS205" s="198"/>
      <c r="DT205" s="108"/>
      <c r="DU205" s="108"/>
      <c r="DV205" s="182"/>
      <c r="DW205" s="182"/>
      <c r="DX205" s="182"/>
      <c r="DY205" s="182"/>
      <c r="DZ205" s="182"/>
      <c r="EA205" s="182"/>
      <c r="EB205" s="21"/>
      <c r="EC205" s="21"/>
      <c r="ED205" s="21"/>
      <c r="EE205" s="21"/>
      <c r="EF205" s="149" t="s">
        <v>1991</v>
      </c>
      <c r="EG205" s="69" t="str">
        <f>image("https://www.pokebip.com/pages/icones/objets/rappel-max.png", 3)</f>
        <v/>
      </c>
      <c r="EH205" s="69"/>
      <c r="EI205" s="69"/>
    </row>
    <row r="206" ht="15.75" customHeight="1">
      <c r="A206" s="1">
        <v>206.0</v>
      </c>
      <c r="B206" s="2" t="s">
        <v>1992</v>
      </c>
      <c r="C206" s="7"/>
      <c r="D206" s="169" t="s">
        <v>1993</v>
      </c>
      <c r="E206" s="5"/>
      <c r="F206" s="170"/>
      <c r="G206" s="7"/>
      <c r="H206" s="8" t="s">
        <v>1994</v>
      </c>
      <c r="I206" s="9" t="s">
        <v>1995</v>
      </c>
      <c r="J206" s="355" t="str">
        <f>image("https://archives.bulbagarden.net/media/upload/3/32/206MS6.png", 3)</f>
        <v/>
      </c>
      <c r="K206" s="11" t="s">
        <v>1993</v>
      </c>
      <c r="L206" s="12"/>
      <c r="M206" s="12"/>
      <c r="N206" s="12"/>
      <c r="O206" s="12"/>
      <c r="Q206" s="71">
        <v>100.0</v>
      </c>
      <c r="R206" s="72">
        <v>70.0</v>
      </c>
      <c r="S206" s="73">
        <v>70.0</v>
      </c>
      <c r="T206" s="74">
        <v>65.0</v>
      </c>
      <c r="U206" s="75">
        <v>65.0</v>
      </c>
      <c r="V206" s="76">
        <v>45.0</v>
      </c>
      <c r="W206" s="77">
        <v>415.0</v>
      </c>
      <c r="X206" s="21"/>
      <c r="Y206" s="71">
        <v>100.0</v>
      </c>
      <c r="Z206" s="72">
        <v>70.0</v>
      </c>
      <c r="AA206" s="73">
        <v>70.0</v>
      </c>
      <c r="AB206" s="74">
        <v>65.0</v>
      </c>
      <c r="AC206" s="75">
        <v>65.0</v>
      </c>
      <c r="AD206" s="76">
        <v>45.0</v>
      </c>
      <c r="AE206" s="77">
        <v>415.0</v>
      </c>
      <c r="AF206" s="21"/>
      <c r="AG206" s="261">
        <v>105.0</v>
      </c>
      <c r="AH206" s="109">
        <v>95.0</v>
      </c>
      <c r="AI206" s="109">
        <v>95.0</v>
      </c>
      <c r="AJ206" s="162">
        <v>55.0</v>
      </c>
      <c r="AK206" s="162">
        <v>55.0</v>
      </c>
      <c r="AL206" s="76">
        <v>45.0</v>
      </c>
      <c r="AM206" s="110">
        <v>450.0</v>
      </c>
      <c r="AN206" s="21"/>
      <c r="AO206" s="22" t="s">
        <v>1622</v>
      </c>
      <c r="AP206" s="23" t="s">
        <v>215</v>
      </c>
      <c r="AQ206" s="23" t="s">
        <v>215</v>
      </c>
      <c r="AR206" s="23" t="s">
        <v>336</v>
      </c>
      <c r="AS206" s="23" t="s">
        <v>336</v>
      </c>
      <c r="AT206" s="23">
        <v>45.0</v>
      </c>
      <c r="AU206" s="24" t="s">
        <v>176</v>
      </c>
      <c r="AV206" s="21"/>
      <c r="AW206" s="111">
        <v>105.0</v>
      </c>
      <c r="AX206" s="111">
        <v>95.0</v>
      </c>
      <c r="AY206" s="187">
        <v>95.0</v>
      </c>
      <c r="AZ206" s="163">
        <v>55.0</v>
      </c>
      <c r="BA206" s="163">
        <v>55.0</v>
      </c>
      <c r="BB206" s="79">
        <v>45.0</v>
      </c>
      <c r="BC206" s="111">
        <v>450.0</v>
      </c>
      <c r="BE206" s="151" t="s">
        <v>144</v>
      </c>
      <c r="BF206" s="338"/>
      <c r="BG206" s="128"/>
      <c r="BI206" s="31">
        <v>1.0</v>
      </c>
      <c r="BJ206" s="32" t="s">
        <v>5</v>
      </c>
      <c r="BK206" s="32" t="s">
        <v>5</v>
      </c>
      <c r="BL206" s="32" t="s">
        <v>5</v>
      </c>
      <c r="BM206" s="32" t="s">
        <v>5</v>
      </c>
      <c r="BN206" s="33" t="s">
        <v>5</v>
      </c>
      <c r="BP206" s="85" t="s">
        <v>156</v>
      </c>
      <c r="BQ206" s="129"/>
      <c r="BS206" s="87" t="s">
        <v>156</v>
      </c>
      <c r="BT206" s="130"/>
      <c r="BU206" s="37" t="str">
        <f t="shared" si="1"/>
        <v>#NAME?</v>
      </c>
      <c r="BV206" s="89" t="s">
        <v>156</v>
      </c>
      <c r="BW206" s="37" t="str">
        <f t="shared" si="2"/>
        <v>#NAME?</v>
      </c>
      <c r="BX206" s="89"/>
      <c r="BY206" s="39"/>
      <c r="BZ206" s="39"/>
      <c r="CA206" s="40" t="s">
        <v>156</v>
      </c>
      <c r="CB206" s="41"/>
      <c r="CC206" s="90" t="s">
        <v>156</v>
      </c>
      <c r="CD206" s="91"/>
      <c r="CE206" s="21"/>
      <c r="CF206" s="92" t="s">
        <v>1183</v>
      </c>
      <c r="CG206" s="93" t="s">
        <v>146</v>
      </c>
      <c r="CH206" s="21"/>
      <c r="CI206" s="177" t="s">
        <v>1183</v>
      </c>
      <c r="CJ206" s="188" t="s">
        <v>146</v>
      </c>
      <c r="CK206" s="21"/>
      <c r="CL206" s="22" t="s">
        <v>1183</v>
      </c>
      <c r="CM206" s="12"/>
      <c r="CN206" s="48"/>
      <c r="CO206" s="189" t="s">
        <v>146</v>
      </c>
      <c r="CP206" s="21"/>
      <c r="CQ206" s="2" t="s">
        <v>1996</v>
      </c>
      <c r="CR206" s="97">
        <v>40.0</v>
      </c>
      <c r="CS206" s="2" t="s">
        <v>144</v>
      </c>
      <c r="CT206" s="98">
        <v>125.0</v>
      </c>
      <c r="CU206" s="2"/>
      <c r="CV206" s="52" t="s">
        <v>149</v>
      </c>
      <c r="CW206" s="52" t="s">
        <v>149</v>
      </c>
      <c r="CX206" s="2"/>
      <c r="CY206" s="334" t="s">
        <v>277</v>
      </c>
      <c r="CZ206" s="337"/>
      <c r="DA206" s="2"/>
      <c r="DB206" s="98">
        <v>190.0</v>
      </c>
      <c r="DC206" s="2"/>
      <c r="DD206" s="101" t="s">
        <v>150</v>
      </c>
      <c r="DE206" s="2"/>
      <c r="DF206" s="335" t="s">
        <v>914</v>
      </c>
      <c r="DG206" s="336"/>
      <c r="DH206" s="336"/>
      <c r="DI206" s="2"/>
      <c r="DJ206" s="2"/>
      <c r="DK206" s="59" t="s">
        <v>1997</v>
      </c>
      <c r="DL206" s="37" t="s">
        <v>34</v>
      </c>
      <c r="DM206" s="37" t="str">
        <f t="shared" si="3"/>
        <v>#NAME?</v>
      </c>
      <c r="DN206" s="61"/>
      <c r="DO206" s="37">
        <v>150.0</v>
      </c>
      <c r="DP206" s="105">
        <v>0.9</v>
      </c>
      <c r="DQ206" s="62" t="s">
        <v>293</v>
      </c>
      <c r="DR206" s="63"/>
      <c r="DS206" s="198"/>
      <c r="DT206" s="108"/>
      <c r="DU206" s="108"/>
      <c r="DV206" s="182"/>
      <c r="DW206" s="182"/>
      <c r="DX206" s="182"/>
      <c r="DY206" s="182"/>
      <c r="DZ206" s="182"/>
      <c r="EA206" s="182"/>
      <c r="EB206" s="21"/>
      <c r="EC206" s="21"/>
      <c r="ED206" s="21"/>
      <c r="EE206" s="21"/>
      <c r="EF206" s="149" t="s">
        <v>1998</v>
      </c>
      <c r="EG206" s="69" t="str">
        <f>image("https://www.pokebip.com/pages/icones/objets/jus-de-baie.png", 3)</f>
        <v/>
      </c>
      <c r="EH206" s="69"/>
      <c r="EI206" s="69"/>
    </row>
    <row r="207" ht="15.75" customHeight="1">
      <c r="A207" s="1">
        <v>207.0</v>
      </c>
      <c r="B207" s="2" t="s">
        <v>1999</v>
      </c>
      <c r="C207" s="7"/>
      <c r="D207" s="180" t="s">
        <v>2000</v>
      </c>
      <c r="E207" s="5"/>
      <c r="F207" s="181"/>
      <c r="G207" s="7"/>
      <c r="H207" s="8" t="s">
        <v>2001</v>
      </c>
      <c r="I207" s="9" t="s">
        <v>2002</v>
      </c>
      <c r="J207" s="355" t="str">
        <f>image("https://archives.bulbagarden.net/media/upload/2/27/207MS6.png", 3)</f>
        <v/>
      </c>
      <c r="K207" s="11" t="s">
        <v>2000</v>
      </c>
      <c r="L207" s="12"/>
      <c r="M207" s="12"/>
      <c r="N207" s="12"/>
      <c r="O207" s="12"/>
      <c r="Q207" s="71">
        <v>65.0</v>
      </c>
      <c r="R207" s="72">
        <v>75.0</v>
      </c>
      <c r="S207" s="73">
        <v>105.0</v>
      </c>
      <c r="T207" s="74">
        <v>35.0</v>
      </c>
      <c r="U207" s="75">
        <v>65.0</v>
      </c>
      <c r="V207" s="76">
        <v>85.0</v>
      </c>
      <c r="W207" s="77">
        <v>430.0</v>
      </c>
      <c r="X207" s="21"/>
      <c r="Y207" s="71">
        <v>65.0</v>
      </c>
      <c r="Z207" s="72">
        <v>75.0</v>
      </c>
      <c r="AA207" s="73">
        <v>105.0</v>
      </c>
      <c r="AB207" s="74">
        <v>35.0</v>
      </c>
      <c r="AC207" s="75">
        <v>65.0</v>
      </c>
      <c r="AD207" s="76">
        <v>85.0</v>
      </c>
      <c r="AE207" s="77">
        <v>430.0</v>
      </c>
      <c r="AF207" s="21"/>
      <c r="AG207" s="71">
        <v>65.0</v>
      </c>
      <c r="AH207" s="72">
        <v>75.0</v>
      </c>
      <c r="AI207" s="73">
        <v>105.0</v>
      </c>
      <c r="AJ207" s="74">
        <v>35.0</v>
      </c>
      <c r="AK207" s="75">
        <v>65.0</v>
      </c>
      <c r="AL207" s="76">
        <v>85.0</v>
      </c>
      <c r="AM207" s="77">
        <v>430.0</v>
      </c>
      <c r="AN207" s="21"/>
      <c r="AO207" s="22">
        <v>65.0</v>
      </c>
      <c r="AP207" s="23">
        <v>75.0</v>
      </c>
      <c r="AQ207" s="23">
        <v>105.0</v>
      </c>
      <c r="AR207" s="23">
        <v>35.0</v>
      </c>
      <c r="AS207" s="23">
        <v>65.0</v>
      </c>
      <c r="AT207" s="23">
        <v>85.0</v>
      </c>
      <c r="AU207" s="24">
        <v>430.0</v>
      </c>
      <c r="AV207" s="21"/>
      <c r="AW207" s="265">
        <v>65.0</v>
      </c>
      <c r="AX207" s="182">
        <v>75.0</v>
      </c>
      <c r="AY207" s="124">
        <v>105.0</v>
      </c>
      <c r="AZ207" s="182">
        <v>35.0</v>
      </c>
      <c r="BA207" s="124">
        <v>65.0</v>
      </c>
      <c r="BB207" s="79">
        <v>85.0</v>
      </c>
      <c r="BC207" s="183">
        <v>430.0</v>
      </c>
      <c r="BE207" s="142" t="s">
        <v>101</v>
      </c>
      <c r="BF207" s="184"/>
      <c r="BG207" s="128"/>
      <c r="BI207" s="31" t="s">
        <v>5</v>
      </c>
      <c r="BJ207" s="32" t="s">
        <v>5</v>
      </c>
      <c r="BK207" s="32">
        <v>1.0</v>
      </c>
      <c r="BL207" s="32" t="s">
        <v>5</v>
      </c>
      <c r="BM207" s="32" t="s">
        <v>5</v>
      </c>
      <c r="BN207" s="33" t="s">
        <v>5</v>
      </c>
      <c r="BP207" s="115" t="s">
        <v>79</v>
      </c>
      <c r="BQ207" s="116" t="s">
        <v>18</v>
      </c>
      <c r="BS207" s="115" t="s">
        <v>79</v>
      </c>
      <c r="BT207" s="117" t="s">
        <v>18</v>
      </c>
      <c r="BU207" s="37" t="str">
        <f t="shared" si="1"/>
        <v>#NAME?</v>
      </c>
      <c r="BV207" s="89" t="s">
        <v>79</v>
      </c>
      <c r="BW207" s="37" t="str">
        <f t="shared" si="2"/>
        <v>#NAME?</v>
      </c>
      <c r="BX207" s="89" t="s">
        <v>18</v>
      </c>
      <c r="BY207" s="39"/>
      <c r="BZ207" s="39"/>
      <c r="CA207" s="40" t="s">
        <v>2003</v>
      </c>
      <c r="CB207" s="41"/>
      <c r="CC207" s="90" t="s">
        <v>79</v>
      </c>
      <c r="CD207" s="91" t="s">
        <v>18</v>
      </c>
      <c r="CE207" s="2"/>
      <c r="CF207" s="92" t="s">
        <v>1050</v>
      </c>
      <c r="CG207" s="93" t="s">
        <v>376</v>
      </c>
      <c r="CH207" s="2"/>
      <c r="CI207" s="278" t="s">
        <v>2004</v>
      </c>
      <c r="CJ207" s="283" t="s">
        <v>1050</v>
      </c>
      <c r="CK207" s="2"/>
      <c r="CL207" s="22" t="s">
        <v>2005</v>
      </c>
      <c r="CM207" s="12"/>
      <c r="CN207" s="48"/>
      <c r="CO207" s="284" t="s">
        <v>1050</v>
      </c>
      <c r="CP207" s="2"/>
      <c r="CQ207" s="2" t="s">
        <v>2006</v>
      </c>
      <c r="CR207" s="97">
        <v>80.0</v>
      </c>
      <c r="CS207" s="2" t="s">
        <v>101</v>
      </c>
      <c r="CT207" s="98">
        <v>108.0</v>
      </c>
      <c r="CU207" s="2"/>
      <c r="CV207" s="52" t="s">
        <v>149</v>
      </c>
      <c r="CW207" s="52" t="s">
        <v>149</v>
      </c>
      <c r="CX207" s="2"/>
      <c r="CY207" s="119" t="s">
        <v>109</v>
      </c>
      <c r="CZ207" s="160"/>
      <c r="DA207" s="2"/>
      <c r="DB207" s="98">
        <v>60.0</v>
      </c>
      <c r="DC207" s="2"/>
      <c r="DD207" s="101" t="s">
        <v>15</v>
      </c>
      <c r="DE207" s="2"/>
      <c r="DF207" s="276" t="s">
        <v>2007</v>
      </c>
      <c r="DG207" s="121"/>
      <c r="DH207" s="121"/>
      <c r="DI207" s="21"/>
      <c r="DJ207" s="21"/>
      <c r="DK207" s="59" t="s">
        <v>2008</v>
      </c>
      <c r="DL207" s="37" t="s">
        <v>120</v>
      </c>
      <c r="DM207" s="37" t="str">
        <f t="shared" si="3"/>
        <v>#NAME?</v>
      </c>
      <c r="DN207" s="61"/>
      <c r="DO207" s="37" t="s">
        <v>2009</v>
      </c>
      <c r="DP207" s="105">
        <v>0.7</v>
      </c>
      <c r="DQ207" s="62" t="s">
        <v>293</v>
      </c>
      <c r="DR207" s="155"/>
      <c r="DS207" s="251"/>
      <c r="DT207" s="108"/>
      <c r="DU207" s="108"/>
      <c r="DV207" s="252"/>
      <c r="DW207" s="252"/>
      <c r="DX207" s="252"/>
      <c r="DY207" s="252"/>
      <c r="DZ207" s="252"/>
      <c r="EA207" s="252"/>
      <c r="EB207" s="2"/>
      <c r="EC207" s="2"/>
      <c r="ED207" s="2"/>
      <c r="EE207" s="2"/>
      <c r="EF207" s="149" t="s">
        <v>2010</v>
      </c>
      <c r="EG207" s="69" t="str">
        <f>image("https://www.pokebip.com/pages/icones/objets/lava-cookie.png", 3)</f>
        <v/>
      </c>
      <c r="EH207" s="69"/>
      <c r="EI207" s="69"/>
    </row>
    <row r="208" ht="15.75" customHeight="1">
      <c r="A208" s="1">
        <v>208.0</v>
      </c>
      <c r="B208" s="2" t="s">
        <v>2011</v>
      </c>
      <c r="C208" s="7"/>
      <c r="D208" s="247" t="s">
        <v>2012</v>
      </c>
      <c r="E208" s="5"/>
      <c r="F208" s="248"/>
      <c r="G208" s="7"/>
      <c r="H208" s="8" t="s">
        <v>2013</v>
      </c>
      <c r="I208" s="9" t="s">
        <v>2014</v>
      </c>
      <c r="J208" s="355" t="str">
        <f>image("https://archives.bulbagarden.net/media/upload/b/b5/208MS6.png", 3)</f>
        <v/>
      </c>
      <c r="K208" s="11" t="s">
        <v>2012</v>
      </c>
      <c r="L208" s="12"/>
      <c r="M208" s="12"/>
      <c r="N208" s="12"/>
      <c r="O208" s="12"/>
      <c r="Q208" s="71">
        <v>75.0</v>
      </c>
      <c r="R208" s="72">
        <v>85.0</v>
      </c>
      <c r="S208" s="73">
        <v>200.0</v>
      </c>
      <c r="T208" s="74">
        <v>55.0</v>
      </c>
      <c r="U208" s="75">
        <v>65.0</v>
      </c>
      <c r="V208" s="76">
        <v>30.0</v>
      </c>
      <c r="W208" s="77">
        <v>510.0</v>
      </c>
      <c r="X208" s="21"/>
      <c r="Y208" s="71">
        <v>75.0</v>
      </c>
      <c r="Z208" s="72">
        <v>85.0</v>
      </c>
      <c r="AA208" s="73">
        <v>200.0</v>
      </c>
      <c r="AB208" s="74">
        <v>55.0</v>
      </c>
      <c r="AC208" s="75">
        <v>65.0</v>
      </c>
      <c r="AD208" s="76">
        <v>30.0</v>
      </c>
      <c r="AE208" s="77">
        <v>510.0</v>
      </c>
      <c r="AF208" s="21"/>
      <c r="AG208" s="71">
        <v>75.0</v>
      </c>
      <c r="AH208" s="109">
        <v>105.0</v>
      </c>
      <c r="AI208" s="73">
        <v>200.0</v>
      </c>
      <c r="AJ208" s="162">
        <v>45.0</v>
      </c>
      <c r="AK208" s="75">
        <v>65.0</v>
      </c>
      <c r="AL208" s="76">
        <v>30.0</v>
      </c>
      <c r="AM208" s="110">
        <v>520.0</v>
      </c>
      <c r="AN208" s="21"/>
      <c r="AO208" s="22">
        <v>75.0</v>
      </c>
      <c r="AP208" s="23" t="s">
        <v>1622</v>
      </c>
      <c r="AQ208" s="23">
        <v>200.0</v>
      </c>
      <c r="AR208" s="23" t="s">
        <v>174</v>
      </c>
      <c r="AS208" s="23">
        <v>65.0</v>
      </c>
      <c r="AT208" s="23">
        <v>30.0</v>
      </c>
      <c r="AU208" s="24" t="s">
        <v>2015</v>
      </c>
      <c r="AV208" s="21"/>
      <c r="AW208" s="78">
        <v>75.0</v>
      </c>
      <c r="AX208" s="111">
        <v>105.0</v>
      </c>
      <c r="AY208" s="79">
        <v>200.0</v>
      </c>
      <c r="AZ208" s="163">
        <v>45.0</v>
      </c>
      <c r="BA208" s="79">
        <v>65.0</v>
      </c>
      <c r="BB208" s="79">
        <v>30.0</v>
      </c>
      <c r="BC208" s="111">
        <v>520.0</v>
      </c>
      <c r="BE208" s="156" t="s">
        <v>162</v>
      </c>
      <c r="BF208" s="113"/>
      <c r="BG208" s="129"/>
      <c r="BI208" s="31" t="s">
        <v>5</v>
      </c>
      <c r="BJ208" s="32" t="s">
        <v>5</v>
      </c>
      <c r="BK208" s="32">
        <v>2.0</v>
      </c>
      <c r="BL208" s="32" t="s">
        <v>5</v>
      </c>
      <c r="BM208" s="32" t="s">
        <v>5</v>
      </c>
      <c r="BN208" s="33" t="s">
        <v>5</v>
      </c>
      <c r="BP208" s="85" t="s">
        <v>95</v>
      </c>
      <c r="BQ208" s="86" t="s">
        <v>79</v>
      </c>
      <c r="BS208" s="211" t="s">
        <v>95</v>
      </c>
      <c r="BT208" s="88" t="s">
        <v>79</v>
      </c>
      <c r="BU208" s="37" t="str">
        <f t="shared" si="1"/>
        <v>#NAME?</v>
      </c>
      <c r="BV208" s="89" t="s">
        <v>95</v>
      </c>
      <c r="BW208" s="37" t="str">
        <f t="shared" si="2"/>
        <v>#NAME?</v>
      </c>
      <c r="BX208" s="89" t="s">
        <v>79</v>
      </c>
      <c r="BY208" s="134"/>
      <c r="BZ208" s="134"/>
      <c r="CA208" s="135" t="s">
        <v>2016</v>
      </c>
      <c r="CB208" s="136"/>
      <c r="CC208" s="212" t="s">
        <v>95</v>
      </c>
      <c r="CD208" s="91" t="s">
        <v>79</v>
      </c>
      <c r="CE208" s="2"/>
      <c r="CF208" s="92" t="s">
        <v>824</v>
      </c>
      <c r="CG208" s="93" t="s">
        <v>825</v>
      </c>
      <c r="CH208" s="2"/>
      <c r="CI208" s="175" t="s">
        <v>824</v>
      </c>
      <c r="CJ208" s="195" t="s">
        <v>825</v>
      </c>
      <c r="CK208" s="2"/>
      <c r="CL208" s="22" t="s">
        <v>824</v>
      </c>
      <c r="CM208" s="12"/>
      <c r="CN208" s="48"/>
      <c r="CO208" s="196" t="s">
        <v>825</v>
      </c>
      <c r="CP208" s="2"/>
      <c r="CQ208" s="2" t="s">
        <v>2017</v>
      </c>
      <c r="CR208" s="97">
        <v>120.0</v>
      </c>
      <c r="CS208" s="2" t="s">
        <v>162</v>
      </c>
      <c r="CT208" s="98">
        <v>196.0</v>
      </c>
      <c r="CU208" s="2"/>
      <c r="CV208" s="52" t="s">
        <v>149</v>
      </c>
      <c r="CW208" s="52" t="s">
        <v>149</v>
      </c>
      <c r="CX208" s="2"/>
      <c r="CY208" s="334" t="s">
        <v>826</v>
      </c>
      <c r="CZ208" s="337"/>
      <c r="DA208" s="2"/>
      <c r="DB208" s="98">
        <v>25.0</v>
      </c>
      <c r="DC208" s="2"/>
      <c r="DD208" s="101" t="s">
        <v>150</v>
      </c>
      <c r="DE208" s="2"/>
      <c r="DF208" s="159" t="s">
        <v>2018</v>
      </c>
      <c r="DG208" s="343" t="s">
        <v>892</v>
      </c>
      <c r="DH208" s="336"/>
      <c r="DI208" s="2"/>
      <c r="DJ208" s="2"/>
      <c r="DK208" s="59" t="s">
        <v>2019</v>
      </c>
      <c r="DL208" s="37" t="s">
        <v>2020</v>
      </c>
      <c r="DM208" s="37" t="str">
        <f t="shared" si="3"/>
        <v>#NAME?</v>
      </c>
      <c r="DN208" s="61"/>
      <c r="DO208" s="37" t="s">
        <v>1396</v>
      </c>
      <c r="DP208" s="37" t="s">
        <v>401</v>
      </c>
      <c r="DQ208" s="62" t="s">
        <v>918</v>
      </c>
      <c r="DR208" s="63"/>
      <c r="DS208" s="198"/>
      <c r="DT208" s="108"/>
      <c r="DU208" s="108"/>
      <c r="DV208" s="182"/>
      <c r="DW208" s="182"/>
      <c r="DX208" s="182"/>
      <c r="DY208" s="182"/>
      <c r="DZ208" s="182"/>
      <c r="EA208" s="182"/>
      <c r="EB208" s="21"/>
      <c r="EC208" s="21"/>
      <c r="ED208" s="21"/>
      <c r="EE208" s="21"/>
      <c r="EF208" s="149" t="s">
        <v>2021</v>
      </c>
      <c r="EG208" s="69" t="str">
        <f>image("https://www.pokebip.com/pages/icones/objets/vieux-gateau.png", 3)</f>
        <v/>
      </c>
      <c r="EH208" s="69"/>
      <c r="EI208" s="69"/>
    </row>
    <row r="209" ht="15.75" customHeight="1">
      <c r="A209" s="1">
        <v>209.0</v>
      </c>
      <c r="B209" s="2" t="s">
        <v>2022</v>
      </c>
      <c r="C209" s="7"/>
      <c r="D209" s="213" t="s">
        <v>2023</v>
      </c>
      <c r="E209" s="5"/>
      <c r="F209" s="214"/>
      <c r="G209" s="7"/>
      <c r="H209" s="8" t="s">
        <v>2024</v>
      </c>
      <c r="I209" s="9" t="s">
        <v>2025</v>
      </c>
      <c r="J209" s="355" t="str">
        <f>image("https://archives.bulbagarden.net/media/upload/d/d4/209MS6.png", 3)</f>
        <v/>
      </c>
      <c r="K209" s="11" t="s">
        <v>2023</v>
      </c>
      <c r="L209" s="12"/>
      <c r="M209" s="12"/>
      <c r="N209" s="12"/>
      <c r="O209" s="12"/>
      <c r="Q209" s="71">
        <v>60.0</v>
      </c>
      <c r="R209" s="72">
        <v>80.0</v>
      </c>
      <c r="S209" s="73">
        <v>50.0</v>
      </c>
      <c r="T209" s="74">
        <v>40.0</v>
      </c>
      <c r="U209" s="75">
        <v>40.0</v>
      </c>
      <c r="V209" s="76">
        <v>30.0</v>
      </c>
      <c r="W209" s="77">
        <v>300.0</v>
      </c>
      <c r="X209" s="21"/>
      <c r="Y209" s="71">
        <v>60.0</v>
      </c>
      <c r="Z209" s="72">
        <v>80.0</v>
      </c>
      <c r="AA209" s="73">
        <v>50.0</v>
      </c>
      <c r="AB209" s="74">
        <v>40.0</v>
      </c>
      <c r="AC209" s="75">
        <v>40.0</v>
      </c>
      <c r="AD209" s="76">
        <v>30.0</v>
      </c>
      <c r="AE209" s="77">
        <v>300.0</v>
      </c>
      <c r="AF209" s="21"/>
      <c r="AG209" s="71">
        <v>60.0</v>
      </c>
      <c r="AH209" s="72">
        <v>80.0</v>
      </c>
      <c r="AI209" s="73">
        <v>50.0</v>
      </c>
      <c r="AJ209" s="74">
        <v>40.0</v>
      </c>
      <c r="AK209" s="75">
        <v>40.0</v>
      </c>
      <c r="AL209" s="76">
        <v>30.0</v>
      </c>
      <c r="AM209" s="77">
        <v>300.0</v>
      </c>
      <c r="AN209" s="21"/>
      <c r="AO209" s="22">
        <v>60.0</v>
      </c>
      <c r="AP209" s="23">
        <v>80.0</v>
      </c>
      <c r="AQ209" s="23">
        <v>50.0</v>
      </c>
      <c r="AR209" s="23">
        <v>40.0</v>
      </c>
      <c r="AS209" s="23">
        <v>40.0</v>
      </c>
      <c r="AT209" s="23">
        <v>30.0</v>
      </c>
      <c r="AU209" s="24">
        <v>300.0</v>
      </c>
      <c r="AV209" s="21"/>
      <c r="AW209" s="78">
        <v>60.0</v>
      </c>
      <c r="AX209" s="124">
        <v>80.0</v>
      </c>
      <c r="AY209" s="79">
        <v>50.0</v>
      </c>
      <c r="AZ209" s="124">
        <v>40.0</v>
      </c>
      <c r="BA209" s="79">
        <v>40.0</v>
      </c>
      <c r="BB209" s="79">
        <v>30.0</v>
      </c>
      <c r="BC209" s="125">
        <v>300.0</v>
      </c>
      <c r="BE209" s="194" t="s">
        <v>325</v>
      </c>
      <c r="BF209" s="184"/>
      <c r="BG209" s="128"/>
      <c r="BI209" s="31" t="s">
        <v>5</v>
      </c>
      <c r="BJ209" s="32">
        <v>1.0</v>
      </c>
      <c r="BK209" s="32" t="s">
        <v>5</v>
      </c>
      <c r="BL209" s="32" t="s">
        <v>5</v>
      </c>
      <c r="BM209" s="32" t="s">
        <v>5</v>
      </c>
      <c r="BN209" s="33" t="s">
        <v>5</v>
      </c>
      <c r="BP209" s="115" t="s">
        <v>156</v>
      </c>
      <c r="BQ209" s="93"/>
      <c r="BS209" s="215" t="s">
        <v>153</v>
      </c>
      <c r="BT209" s="37"/>
      <c r="BU209" s="37" t="str">
        <f t="shared" si="1"/>
        <v>#NAME?</v>
      </c>
      <c r="BV209" s="89" t="s">
        <v>461</v>
      </c>
      <c r="BW209" s="37" t="str">
        <f t="shared" si="2"/>
        <v>#NAME?</v>
      </c>
      <c r="BX209" s="89"/>
      <c r="BY209" s="39"/>
      <c r="BZ209" s="39"/>
      <c r="CA209" s="40" t="s">
        <v>462</v>
      </c>
      <c r="CB209" s="41"/>
      <c r="CC209" s="216" t="s">
        <v>153</v>
      </c>
      <c r="CD209" s="62"/>
      <c r="CE209" s="21"/>
      <c r="CF209" s="92" t="s">
        <v>326</v>
      </c>
      <c r="CG209" s="93" t="s">
        <v>146</v>
      </c>
      <c r="CH209" s="21"/>
      <c r="CI209" s="92" t="s">
        <v>326</v>
      </c>
      <c r="CJ209" s="93" t="s">
        <v>146</v>
      </c>
      <c r="CK209" s="21"/>
      <c r="CL209" s="22" t="s">
        <v>326</v>
      </c>
      <c r="CM209" s="12"/>
      <c r="CN209" s="48"/>
      <c r="CO209" s="96" t="s">
        <v>146</v>
      </c>
      <c r="CP209" s="21"/>
      <c r="CQ209" s="2" t="s">
        <v>1766</v>
      </c>
      <c r="CR209" s="97">
        <v>20.0</v>
      </c>
      <c r="CS209" s="2" t="s">
        <v>325</v>
      </c>
      <c r="CT209" s="98">
        <v>63.0</v>
      </c>
      <c r="CU209" s="2"/>
      <c r="CV209" s="52" t="s">
        <v>466</v>
      </c>
      <c r="CW209" s="347">
        <v>0.75</v>
      </c>
      <c r="CX209" s="2"/>
      <c r="CY209" s="118" t="s">
        <v>277</v>
      </c>
      <c r="CZ209" s="119" t="s">
        <v>153</v>
      </c>
      <c r="DA209" s="2"/>
      <c r="DB209" s="98">
        <v>190.0</v>
      </c>
      <c r="DC209" s="2"/>
      <c r="DD209" s="101" t="s">
        <v>468</v>
      </c>
      <c r="DE209" s="2"/>
      <c r="DF209" s="253" t="s">
        <v>2026</v>
      </c>
      <c r="DG209" s="121"/>
      <c r="DH209" s="121"/>
      <c r="DI209" s="21"/>
      <c r="DJ209" s="21"/>
      <c r="DK209" s="59" t="s">
        <v>2027</v>
      </c>
      <c r="DL209" s="37" t="s">
        <v>32</v>
      </c>
      <c r="DM209" s="37" t="str">
        <f t="shared" si="3"/>
        <v>#NAME?</v>
      </c>
      <c r="DN209" s="61"/>
      <c r="DO209" s="37">
        <v>80.0</v>
      </c>
      <c r="DP209" s="105">
        <v>1.0</v>
      </c>
      <c r="DQ209" s="62" t="s">
        <v>93</v>
      </c>
      <c r="DR209" s="63"/>
      <c r="DS209" s="198"/>
      <c r="DT209" s="108"/>
      <c r="DU209" s="108"/>
      <c r="DV209" s="182"/>
      <c r="DW209" s="182"/>
      <c r="DX209" s="182"/>
      <c r="DY209" s="182"/>
      <c r="DZ209" s="182"/>
      <c r="EA209" s="182"/>
      <c r="EB209" s="21"/>
      <c r="EC209" s="21"/>
      <c r="ED209" s="21"/>
      <c r="EE209" s="21"/>
      <c r="EF209" s="149" t="s">
        <v>2028</v>
      </c>
      <c r="EG209" s="69" t="str">
        <f>image("https://www.pokebip.com/pages/icones/objets/huile.png", 3)</f>
        <v/>
      </c>
      <c r="EH209" s="69"/>
      <c r="EI209" s="69"/>
    </row>
    <row r="210" ht="15.75" customHeight="1">
      <c r="A210" s="1">
        <v>210.0</v>
      </c>
      <c r="B210" s="2" t="s">
        <v>2029</v>
      </c>
      <c r="C210" s="7"/>
      <c r="D210" s="180" t="s">
        <v>2030</v>
      </c>
      <c r="E210" s="5"/>
      <c r="F210" s="181"/>
      <c r="G210" s="7"/>
      <c r="H210" s="8" t="s">
        <v>2031</v>
      </c>
      <c r="I210" s="9" t="s">
        <v>2032</v>
      </c>
      <c r="J210" s="355" t="str">
        <f>image("https://archives.bulbagarden.net/media/upload/8/8e/210MS6.png", 3)</f>
        <v/>
      </c>
      <c r="K210" s="11" t="s">
        <v>2030</v>
      </c>
      <c r="L210" s="12"/>
      <c r="M210" s="12"/>
      <c r="N210" s="12"/>
      <c r="O210" s="12"/>
      <c r="Q210" s="71">
        <v>90.0</v>
      </c>
      <c r="R210" s="72">
        <v>120.0</v>
      </c>
      <c r="S210" s="73">
        <v>75.0</v>
      </c>
      <c r="T210" s="74">
        <v>60.0</v>
      </c>
      <c r="U210" s="75">
        <v>60.0</v>
      </c>
      <c r="V210" s="76">
        <v>45.0</v>
      </c>
      <c r="W210" s="77">
        <v>450.0</v>
      </c>
      <c r="X210" s="21"/>
      <c r="Y210" s="71">
        <v>90.0</v>
      </c>
      <c r="Z210" s="72">
        <v>120.0</v>
      </c>
      <c r="AA210" s="73">
        <v>75.0</v>
      </c>
      <c r="AB210" s="74">
        <v>60.0</v>
      </c>
      <c r="AC210" s="75">
        <v>60.0</v>
      </c>
      <c r="AD210" s="76">
        <v>45.0</v>
      </c>
      <c r="AE210" s="77">
        <v>450.0</v>
      </c>
      <c r="AF210" s="21"/>
      <c r="AG210" s="71">
        <v>90.0</v>
      </c>
      <c r="AH210" s="72">
        <v>120.0</v>
      </c>
      <c r="AI210" s="73">
        <v>75.0</v>
      </c>
      <c r="AJ210" s="74">
        <v>60.0</v>
      </c>
      <c r="AK210" s="75">
        <v>60.0</v>
      </c>
      <c r="AL210" s="76">
        <v>45.0</v>
      </c>
      <c r="AM210" s="77">
        <v>450.0</v>
      </c>
      <c r="AN210" s="21"/>
      <c r="AO210" s="22">
        <v>90.0</v>
      </c>
      <c r="AP210" s="23">
        <v>120.0</v>
      </c>
      <c r="AQ210" s="23">
        <v>75.0</v>
      </c>
      <c r="AR210" s="23">
        <v>60.0</v>
      </c>
      <c r="AS210" s="23">
        <v>60.0</v>
      </c>
      <c r="AT210" s="23">
        <v>45.0</v>
      </c>
      <c r="AU210" s="24">
        <v>450.0</v>
      </c>
      <c r="AV210" s="21"/>
      <c r="AW210" s="78">
        <v>90.0</v>
      </c>
      <c r="AX210" s="79">
        <v>120.0</v>
      </c>
      <c r="AY210" s="80">
        <v>75.0</v>
      </c>
      <c r="AZ210" s="80">
        <v>60.0</v>
      </c>
      <c r="BA210" s="79">
        <v>60.0</v>
      </c>
      <c r="BB210" s="80">
        <v>45.0</v>
      </c>
      <c r="BC210" s="81">
        <v>450.0</v>
      </c>
      <c r="BE210" s="172" t="s">
        <v>216</v>
      </c>
      <c r="BF210" s="113"/>
      <c r="BG210" s="129"/>
      <c r="BI210" s="31" t="s">
        <v>5</v>
      </c>
      <c r="BJ210" s="32">
        <v>2.0</v>
      </c>
      <c r="BK210" s="32" t="s">
        <v>5</v>
      </c>
      <c r="BL210" s="32" t="s">
        <v>5</v>
      </c>
      <c r="BM210" s="32" t="s">
        <v>5</v>
      </c>
      <c r="BN210" s="33" t="s">
        <v>5</v>
      </c>
      <c r="BP210" s="85" t="s">
        <v>156</v>
      </c>
      <c r="BQ210" s="129"/>
      <c r="BS210" s="217" t="s">
        <v>153</v>
      </c>
      <c r="BT210" s="218"/>
      <c r="BU210" s="37" t="str">
        <f t="shared" si="1"/>
        <v>#NAME?</v>
      </c>
      <c r="BV210" s="89" t="s">
        <v>461</v>
      </c>
      <c r="BW210" s="37" t="str">
        <f t="shared" si="2"/>
        <v>#NAME?</v>
      </c>
      <c r="BX210" s="89"/>
      <c r="BY210" s="39"/>
      <c r="BZ210" s="39"/>
      <c r="CA210" s="40" t="s">
        <v>462</v>
      </c>
      <c r="CB210" s="41"/>
      <c r="CC210" s="219" t="s">
        <v>153</v>
      </c>
      <c r="CD210" s="62"/>
      <c r="CE210" s="21"/>
      <c r="CF210" s="92" t="s">
        <v>326</v>
      </c>
      <c r="CG210" s="93" t="s">
        <v>2033</v>
      </c>
      <c r="CH210" s="21"/>
      <c r="CI210" s="92" t="s">
        <v>326</v>
      </c>
      <c r="CJ210" s="93" t="s">
        <v>2033</v>
      </c>
      <c r="CK210" s="21"/>
      <c r="CL210" s="22" t="s">
        <v>326</v>
      </c>
      <c r="CM210" s="12"/>
      <c r="CN210" s="48"/>
      <c r="CO210" s="96" t="s">
        <v>2033</v>
      </c>
      <c r="CP210" s="21"/>
      <c r="CQ210" s="2" t="s">
        <v>2034</v>
      </c>
      <c r="CR210" s="97">
        <v>60.0</v>
      </c>
      <c r="CS210" s="2" t="s">
        <v>216</v>
      </c>
      <c r="CT210" s="98">
        <v>178.0</v>
      </c>
      <c r="CU210" s="2"/>
      <c r="CV210" s="52" t="s">
        <v>466</v>
      </c>
      <c r="CW210" s="347">
        <v>0.75</v>
      </c>
      <c r="CX210" s="2"/>
      <c r="CY210" s="333" t="s">
        <v>277</v>
      </c>
      <c r="CZ210" s="334" t="s">
        <v>153</v>
      </c>
      <c r="DA210" s="2"/>
      <c r="DB210" s="98">
        <v>75.0</v>
      </c>
      <c r="DC210" s="2"/>
      <c r="DD210" s="101" t="s">
        <v>468</v>
      </c>
      <c r="DE210" s="2"/>
      <c r="DF210" s="335" t="s">
        <v>2035</v>
      </c>
      <c r="DG210" s="336"/>
      <c r="DH210" s="336"/>
      <c r="DI210" s="2"/>
      <c r="DJ210" s="2"/>
      <c r="DK210" s="59" t="s">
        <v>2036</v>
      </c>
      <c r="DL210" s="37" t="s">
        <v>32</v>
      </c>
      <c r="DM210" s="37" t="str">
        <f t="shared" si="3"/>
        <v>#NAME?</v>
      </c>
      <c r="DN210" s="61"/>
      <c r="DO210" s="37" t="s">
        <v>350</v>
      </c>
      <c r="DP210" s="105">
        <v>1.0</v>
      </c>
      <c r="DQ210" s="62" t="s">
        <v>342</v>
      </c>
      <c r="DR210" s="155"/>
      <c r="DS210" s="251"/>
      <c r="DT210" s="108"/>
      <c r="DU210" s="108"/>
      <c r="DV210" s="252"/>
      <c r="DW210" s="252"/>
      <c r="DX210" s="252"/>
      <c r="DY210" s="252"/>
      <c r="DZ210" s="252"/>
      <c r="EA210" s="252"/>
      <c r="EB210" s="2"/>
      <c r="EC210" s="2"/>
      <c r="ED210" s="2"/>
      <c r="EE210" s="2"/>
      <c r="EF210" s="149" t="s">
        <v>2037</v>
      </c>
      <c r="EG210" s="69" t="str">
        <f>image("https://www.pokebip.com/pages/icones/objets/huile-max.png", 3)</f>
        <v/>
      </c>
      <c r="EH210" s="69"/>
      <c r="EI210" s="69"/>
    </row>
    <row r="211" ht="15.75" customHeight="1">
      <c r="A211" s="1">
        <v>211.0</v>
      </c>
      <c r="B211" s="2" t="s">
        <v>2038</v>
      </c>
      <c r="C211" s="7"/>
      <c r="D211" s="247" t="s">
        <v>2039</v>
      </c>
      <c r="E211" s="5"/>
      <c r="F211" s="248"/>
      <c r="G211" s="7"/>
      <c r="H211" s="8" t="s">
        <v>2040</v>
      </c>
      <c r="I211" s="9" t="s">
        <v>2041</v>
      </c>
      <c r="J211" s="355" t="str">
        <f>image("https://archives.bulbagarden.net/media/upload/7/7c/211MS6.png", 3)</f>
        <v/>
      </c>
      <c r="K211" s="11" t="s">
        <v>2039</v>
      </c>
      <c r="L211" s="12"/>
      <c r="M211" s="12"/>
      <c r="N211" s="12"/>
      <c r="O211" s="12"/>
      <c r="Q211" s="71">
        <v>65.0</v>
      </c>
      <c r="R211" s="72">
        <v>95.0</v>
      </c>
      <c r="S211" s="73">
        <v>75.0</v>
      </c>
      <c r="T211" s="74">
        <v>55.0</v>
      </c>
      <c r="U211" s="75">
        <v>55.0</v>
      </c>
      <c r="V211" s="76">
        <v>85.0</v>
      </c>
      <c r="W211" s="77">
        <v>430.0</v>
      </c>
      <c r="X211" s="21"/>
      <c r="Y211" s="71">
        <v>65.0</v>
      </c>
      <c r="Z211" s="72">
        <v>95.0</v>
      </c>
      <c r="AA211" s="109">
        <v>85.0</v>
      </c>
      <c r="AB211" s="74">
        <v>55.0</v>
      </c>
      <c r="AC211" s="75">
        <v>55.0</v>
      </c>
      <c r="AD211" s="76">
        <v>85.0</v>
      </c>
      <c r="AE211" s="110">
        <v>440.0</v>
      </c>
      <c r="AF211" s="21"/>
      <c r="AG211" s="71">
        <v>65.0</v>
      </c>
      <c r="AH211" s="72">
        <v>95.0</v>
      </c>
      <c r="AI211" s="109">
        <v>95.0</v>
      </c>
      <c r="AJ211" s="162">
        <v>45.0</v>
      </c>
      <c r="AK211" s="75">
        <v>55.0</v>
      </c>
      <c r="AL211" s="109">
        <v>95.0</v>
      </c>
      <c r="AM211" s="110">
        <v>450.0</v>
      </c>
      <c r="AN211" s="21"/>
      <c r="AO211" s="22">
        <v>65.0</v>
      </c>
      <c r="AP211" s="23">
        <v>95.0</v>
      </c>
      <c r="AQ211" s="23" t="s">
        <v>215</v>
      </c>
      <c r="AR211" s="23" t="s">
        <v>174</v>
      </c>
      <c r="AS211" s="23">
        <v>55.0</v>
      </c>
      <c r="AT211" s="23" t="s">
        <v>215</v>
      </c>
      <c r="AU211" s="24" t="s">
        <v>176</v>
      </c>
      <c r="AV211" s="21"/>
      <c r="AW211" s="78">
        <v>65.0</v>
      </c>
      <c r="AX211" s="79">
        <v>95.0</v>
      </c>
      <c r="AY211" s="187">
        <v>95.0</v>
      </c>
      <c r="AZ211" s="163">
        <v>45.0</v>
      </c>
      <c r="BA211" s="79">
        <v>55.0</v>
      </c>
      <c r="BB211" s="111">
        <v>95.0</v>
      </c>
      <c r="BC211" s="111">
        <v>450.0</v>
      </c>
      <c r="BE211" s="194" t="s">
        <v>325</v>
      </c>
      <c r="BF211" s="184"/>
      <c r="BG211" s="128"/>
      <c r="BI211" s="31" t="s">
        <v>5</v>
      </c>
      <c r="BJ211" s="32">
        <v>1.0</v>
      </c>
      <c r="BK211" s="32" t="s">
        <v>5</v>
      </c>
      <c r="BL211" s="32" t="s">
        <v>5</v>
      </c>
      <c r="BM211" s="32" t="s">
        <v>5</v>
      </c>
      <c r="BN211" s="33" t="s">
        <v>5</v>
      </c>
      <c r="BP211" s="115" t="s">
        <v>32</v>
      </c>
      <c r="BQ211" s="116" t="s">
        <v>7</v>
      </c>
      <c r="BS211" s="221" t="s">
        <v>32</v>
      </c>
      <c r="BT211" s="117" t="s">
        <v>7</v>
      </c>
      <c r="BU211" s="37" t="str">
        <f t="shared" si="1"/>
        <v>#NAME?</v>
      </c>
      <c r="BV211" s="89" t="s">
        <v>32</v>
      </c>
      <c r="BW211" s="37" t="str">
        <f t="shared" si="2"/>
        <v>#NAME?</v>
      </c>
      <c r="BX211" s="89" t="s">
        <v>7</v>
      </c>
      <c r="BY211" s="144"/>
      <c r="BZ211" s="144"/>
      <c r="CA211" s="145" t="s">
        <v>803</v>
      </c>
      <c r="CB211" s="146"/>
      <c r="CC211" s="224" t="s">
        <v>32</v>
      </c>
      <c r="CD211" s="91" t="s">
        <v>7</v>
      </c>
      <c r="CE211" s="2"/>
      <c r="CF211" s="92" t="s">
        <v>394</v>
      </c>
      <c r="CG211" s="93" t="s">
        <v>1212</v>
      </c>
      <c r="CH211" s="2"/>
      <c r="CI211" s="177" t="s">
        <v>394</v>
      </c>
      <c r="CJ211" s="188" t="s">
        <v>1212</v>
      </c>
      <c r="CK211" s="2"/>
      <c r="CL211" s="22" t="s">
        <v>394</v>
      </c>
      <c r="CM211" s="12"/>
      <c r="CN211" s="48"/>
      <c r="CO211" s="189" t="s">
        <v>1212</v>
      </c>
      <c r="CP211" s="2"/>
      <c r="CQ211" s="2" t="s">
        <v>2042</v>
      </c>
      <c r="CR211" s="97">
        <v>20.0</v>
      </c>
      <c r="CS211" s="2" t="s">
        <v>325</v>
      </c>
      <c r="CT211" s="98">
        <v>100.0</v>
      </c>
      <c r="CU211" s="2"/>
      <c r="CV211" s="52" t="s">
        <v>149</v>
      </c>
      <c r="CW211" s="52" t="s">
        <v>149</v>
      </c>
      <c r="CX211" s="2"/>
      <c r="CY211" s="119" t="s">
        <v>1236</v>
      </c>
      <c r="CZ211" s="160"/>
      <c r="DA211" s="2"/>
      <c r="DB211" s="98">
        <v>45.0</v>
      </c>
      <c r="DC211" s="2"/>
      <c r="DD211" s="101" t="s">
        <v>150</v>
      </c>
      <c r="DE211" s="2"/>
      <c r="DF211" s="250" t="s">
        <v>914</v>
      </c>
      <c r="DG211" s="173" t="s">
        <v>223</v>
      </c>
      <c r="DH211" s="121"/>
      <c r="DI211" s="2"/>
      <c r="DJ211" s="2"/>
      <c r="DK211" s="59" t="s">
        <v>2043</v>
      </c>
      <c r="DL211" s="37" t="s">
        <v>32</v>
      </c>
      <c r="DM211" s="37" t="str">
        <f t="shared" si="3"/>
        <v>#NAME?</v>
      </c>
      <c r="DN211" s="61"/>
      <c r="DO211" s="37" t="s">
        <v>154</v>
      </c>
      <c r="DP211" s="105">
        <v>1.0</v>
      </c>
      <c r="DQ211" s="62" t="s">
        <v>93</v>
      </c>
      <c r="DR211" s="63"/>
      <c r="DS211" s="198"/>
      <c r="DT211" s="108"/>
      <c r="DU211" s="108"/>
      <c r="DV211" s="182"/>
      <c r="DW211" s="182"/>
      <c r="DX211" s="182"/>
      <c r="DY211" s="182"/>
      <c r="DZ211" s="182"/>
      <c r="EA211" s="182"/>
      <c r="EB211" s="2"/>
      <c r="EC211" s="2"/>
      <c r="ED211" s="2"/>
      <c r="EE211" s="2"/>
      <c r="EF211" s="149" t="s">
        <v>2044</v>
      </c>
      <c r="EG211" s="69" t="str">
        <f>image("https://www.pokebip.com/pages/icones/objets/elixir.png", 3)</f>
        <v/>
      </c>
      <c r="EH211" s="69"/>
      <c r="EI211" s="69"/>
    </row>
    <row r="212" ht="15.75" customHeight="1">
      <c r="A212" s="1">
        <v>212.0</v>
      </c>
      <c r="B212" s="2" t="s">
        <v>2045</v>
      </c>
      <c r="C212" s="7"/>
      <c r="D212" s="122" t="s">
        <v>2046</v>
      </c>
      <c r="E212" s="5"/>
      <c r="F212" s="123"/>
      <c r="G212" s="7"/>
      <c r="H212" s="8" t="s">
        <v>2047</v>
      </c>
      <c r="I212" s="9" t="s">
        <v>2048</v>
      </c>
      <c r="J212" s="355" t="str">
        <f>image("https://archives.bulbagarden.net/media/upload/9/9b/212MS6.png", 3)</f>
        <v/>
      </c>
      <c r="K212" s="11" t="s">
        <v>2046</v>
      </c>
      <c r="L212" s="12"/>
      <c r="M212" s="12"/>
      <c r="N212" s="12"/>
      <c r="O212" s="12"/>
      <c r="Q212" s="71">
        <v>70.0</v>
      </c>
      <c r="R212" s="72">
        <v>130.0</v>
      </c>
      <c r="S212" s="73">
        <v>100.0</v>
      </c>
      <c r="T212" s="74">
        <v>55.0</v>
      </c>
      <c r="U212" s="75">
        <v>80.0</v>
      </c>
      <c r="V212" s="76">
        <v>65.0</v>
      </c>
      <c r="W212" s="77">
        <v>500.0</v>
      </c>
      <c r="X212" s="21"/>
      <c r="Y212" s="71">
        <v>70.0</v>
      </c>
      <c r="Z212" s="72">
        <v>130.0</v>
      </c>
      <c r="AA212" s="73">
        <v>100.0</v>
      </c>
      <c r="AB212" s="74">
        <v>55.0</v>
      </c>
      <c r="AC212" s="75">
        <v>80.0</v>
      </c>
      <c r="AD212" s="76">
        <v>65.0</v>
      </c>
      <c r="AE212" s="77">
        <v>500.0</v>
      </c>
      <c r="AF212" s="21"/>
      <c r="AG212" s="71">
        <v>70.0</v>
      </c>
      <c r="AH212" s="72">
        <v>130.0</v>
      </c>
      <c r="AI212" s="73">
        <v>100.0</v>
      </c>
      <c r="AJ212" s="74">
        <v>55.0</v>
      </c>
      <c r="AK212" s="75">
        <v>80.0</v>
      </c>
      <c r="AL212" s="76">
        <v>65.0</v>
      </c>
      <c r="AM212" s="77">
        <v>500.0</v>
      </c>
      <c r="AN212" s="21"/>
      <c r="AO212" s="22">
        <v>70.0</v>
      </c>
      <c r="AP212" s="23">
        <v>130.0</v>
      </c>
      <c r="AQ212" s="23">
        <v>100.0</v>
      </c>
      <c r="AR212" s="23">
        <v>55.0</v>
      </c>
      <c r="AS212" s="23">
        <v>80.0</v>
      </c>
      <c r="AT212" s="23">
        <v>65.0</v>
      </c>
      <c r="AU212" s="24">
        <v>500.0</v>
      </c>
      <c r="AV212" s="21"/>
      <c r="AW212" s="78">
        <v>70.0</v>
      </c>
      <c r="AX212" s="79">
        <v>130.0</v>
      </c>
      <c r="AY212" s="124">
        <v>100.0</v>
      </c>
      <c r="AZ212" s="124">
        <v>55.0</v>
      </c>
      <c r="BA212" s="79">
        <v>80.0</v>
      </c>
      <c r="BB212" s="124">
        <v>65.0</v>
      </c>
      <c r="BC212" s="125">
        <v>500.0</v>
      </c>
      <c r="BE212" s="172" t="s">
        <v>216</v>
      </c>
      <c r="BF212" s="113"/>
      <c r="BG212" s="129"/>
      <c r="BI212" s="31" t="s">
        <v>5</v>
      </c>
      <c r="BJ212" s="32">
        <v>2.0</v>
      </c>
      <c r="BK212" s="32" t="s">
        <v>5</v>
      </c>
      <c r="BL212" s="32" t="s">
        <v>5</v>
      </c>
      <c r="BM212" s="32" t="s">
        <v>5</v>
      </c>
      <c r="BN212" s="33" t="s">
        <v>5</v>
      </c>
      <c r="BP212" s="85" t="s">
        <v>109</v>
      </c>
      <c r="BQ212" s="86" t="s">
        <v>95</v>
      </c>
      <c r="BS212" s="87" t="s">
        <v>109</v>
      </c>
      <c r="BT212" s="88" t="s">
        <v>95</v>
      </c>
      <c r="BU212" s="37" t="str">
        <f t="shared" si="1"/>
        <v>#NAME?</v>
      </c>
      <c r="BV212" s="89" t="s">
        <v>109</v>
      </c>
      <c r="BW212" s="37" t="str">
        <f t="shared" si="2"/>
        <v>#NAME?</v>
      </c>
      <c r="BX212" s="89" t="s">
        <v>95</v>
      </c>
      <c r="BY212" s="39"/>
      <c r="BZ212" s="39"/>
      <c r="CA212" s="40" t="s">
        <v>1987</v>
      </c>
      <c r="CB212" s="41"/>
      <c r="CC212" s="90" t="s">
        <v>109</v>
      </c>
      <c r="CD212" s="91" t="s">
        <v>95</v>
      </c>
      <c r="CE212" s="2"/>
      <c r="CF212" s="92" t="s">
        <v>217</v>
      </c>
      <c r="CG212" s="93" t="s">
        <v>627</v>
      </c>
      <c r="CH212" s="2"/>
      <c r="CI212" s="278" t="s">
        <v>2049</v>
      </c>
      <c r="CJ212" s="283" t="s">
        <v>217</v>
      </c>
      <c r="CK212" s="2"/>
      <c r="CL212" s="22" t="s">
        <v>2050</v>
      </c>
      <c r="CM212" s="12"/>
      <c r="CN212" s="48"/>
      <c r="CO212" s="284" t="s">
        <v>217</v>
      </c>
      <c r="CP212" s="2"/>
      <c r="CQ212" s="2" t="s">
        <v>2051</v>
      </c>
      <c r="CR212" s="97">
        <v>100.0</v>
      </c>
      <c r="CS212" s="2" t="s">
        <v>216</v>
      </c>
      <c r="CT212" s="98">
        <v>200.0</v>
      </c>
      <c r="CU212" s="2"/>
      <c r="CV212" s="52" t="s">
        <v>149</v>
      </c>
      <c r="CW212" s="52" t="s">
        <v>149</v>
      </c>
      <c r="CX212" s="2"/>
      <c r="CY212" s="334" t="s">
        <v>109</v>
      </c>
      <c r="CZ212" s="337"/>
      <c r="DA212" s="2"/>
      <c r="DB212" s="98">
        <v>25.0</v>
      </c>
      <c r="DC212" s="2"/>
      <c r="DD212" s="101" t="s">
        <v>150</v>
      </c>
      <c r="DE212" s="2"/>
      <c r="DF212" s="159" t="s">
        <v>2052</v>
      </c>
      <c r="DG212" s="336"/>
      <c r="DH212" s="336"/>
      <c r="DI212" s="2"/>
      <c r="DJ212" s="2"/>
      <c r="DK212" s="59" t="s">
        <v>2053</v>
      </c>
      <c r="DL212" s="37" t="s">
        <v>109</v>
      </c>
      <c r="DM212" s="37" t="str">
        <f t="shared" si="3"/>
        <v>#NAME?</v>
      </c>
      <c r="DN212" s="61"/>
      <c r="DO212" s="37">
        <v>90.0</v>
      </c>
      <c r="DP212" s="105">
        <v>1.0</v>
      </c>
      <c r="DQ212" s="62" t="s">
        <v>49</v>
      </c>
      <c r="DR212" s="63"/>
      <c r="DS212" s="198"/>
      <c r="DT212" s="108"/>
      <c r="DU212" s="108"/>
      <c r="DV212" s="182"/>
      <c r="DW212" s="182"/>
      <c r="DX212" s="182"/>
      <c r="DY212" s="182"/>
      <c r="DZ212" s="182"/>
      <c r="EA212" s="182"/>
      <c r="EB212" s="2"/>
      <c r="EC212" s="2"/>
      <c r="ED212" s="2"/>
      <c r="EE212" s="2"/>
      <c r="EF212" s="149" t="s">
        <v>2054</v>
      </c>
      <c r="EG212" s="69" t="str">
        <f>image("https://www.pokebip.com/pages/icones/objets/max-elixir.png", 3)</f>
        <v/>
      </c>
      <c r="EH212" s="69"/>
      <c r="EI212" s="69"/>
    </row>
    <row r="213" ht="15.75" customHeight="1">
      <c r="A213" s="1">
        <v>213.0</v>
      </c>
      <c r="B213" s="2" t="s">
        <v>2055</v>
      </c>
      <c r="C213" s="7"/>
      <c r="D213" s="169" t="s">
        <v>2056</v>
      </c>
      <c r="E213" s="5"/>
      <c r="F213" s="170"/>
      <c r="G213" s="7"/>
      <c r="H213" s="8" t="s">
        <v>2057</v>
      </c>
      <c r="I213" s="9" t="s">
        <v>2058</v>
      </c>
      <c r="J213" s="355" t="str">
        <f>image("https://archives.bulbagarden.net/media/upload/d/da/213MS6.png", 3)</f>
        <v/>
      </c>
      <c r="K213" s="11" t="s">
        <v>2056</v>
      </c>
      <c r="L213" s="12"/>
      <c r="M213" s="12"/>
      <c r="N213" s="12"/>
      <c r="O213" s="12"/>
      <c r="Q213" s="71">
        <v>20.0</v>
      </c>
      <c r="R213" s="72">
        <v>10.0</v>
      </c>
      <c r="S213" s="73">
        <v>230.0</v>
      </c>
      <c r="T213" s="74">
        <v>10.0</v>
      </c>
      <c r="U213" s="75">
        <v>230.0</v>
      </c>
      <c r="V213" s="76">
        <v>5.0</v>
      </c>
      <c r="W213" s="77">
        <v>505.0</v>
      </c>
      <c r="X213" s="21"/>
      <c r="Y213" s="71">
        <v>20.0</v>
      </c>
      <c r="Z213" s="72">
        <v>10.0</v>
      </c>
      <c r="AA213" s="73">
        <v>230.0</v>
      </c>
      <c r="AB213" s="74">
        <v>10.0</v>
      </c>
      <c r="AC213" s="75">
        <v>230.0</v>
      </c>
      <c r="AD213" s="76">
        <v>5.0</v>
      </c>
      <c r="AE213" s="77">
        <v>505.0</v>
      </c>
      <c r="AF213" s="21"/>
      <c r="AG213" s="71">
        <v>20.0</v>
      </c>
      <c r="AH213" s="72">
        <v>10.0</v>
      </c>
      <c r="AI213" s="73">
        <v>230.0</v>
      </c>
      <c r="AJ213" s="74">
        <v>10.0</v>
      </c>
      <c r="AK213" s="75">
        <v>230.0</v>
      </c>
      <c r="AL213" s="76">
        <v>5.0</v>
      </c>
      <c r="AM213" s="77">
        <v>505.0</v>
      </c>
      <c r="AN213" s="21"/>
      <c r="AO213" s="22">
        <v>20.0</v>
      </c>
      <c r="AP213" s="23">
        <v>10.0</v>
      </c>
      <c r="AQ213" s="23">
        <v>230.0</v>
      </c>
      <c r="AR213" s="23">
        <v>10.0</v>
      </c>
      <c r="AS213" s="23">
        <v>230.0</v>
      </c>
      <c r="AT213" s="23">
        <v>5.0</v>
      </c>
      <c r="AU213" s="24">
        <v>505.0</v>
      </c>
      <c r="AV213" s="21"/>
      <c r="AW213" s="78">
        <v>20.0</v>
      </c>
      <c r="AX213" s="79">
        <v>10.0</v>
      </c>
      <c r="AY213" s="79">
        <v>230.0</v>
      </c>
      <c r="AZ213" s="79">
        <v>10.0</v>
      </c>
      <c r="BA213" s="79">
        <v>230.0</v>
      </c>
      <c r="BB213" s="79">
        <v>5.0</v>
      </c>
      <c r="BC213" s="201">
        <v>505.0</v>
      </c>
      <c r="BE213" s="142" t="s">
        <v>101</v>
      </c>
      <c r="BF213" s="83" t="s">
        <v>27</v>
      </c>
      <c r="BG213" s="93"/>
      <c r="BI213" s="31" t="s">
        <v>5</v>
      </c>
      <c r="BJ213" s="32" t="s">
        <v>5</v>
      </c>
      <c r="BK213" s="32">
        <v>1.0</v>
      </c>
      <c r="BL213" s="32" t="s">
        <v>5</v>
      </c>
      <c r="BM213" s="32">
        <v>1.0</v>
      </c>
      <c r="BN213" s="33" t="s">
        <v>5</v>
      </c>
      <c r="BP213" s="115" t="s">
        <v>109</v>
      </c>
      <c r="BQ213" s="116" t="s">
        <v>66</v>
      </c>
      <c r="BS213" s="115" t="s">
        <v>109</v>
      </c>
      <c r="BT213" s="117" t="s">
        <v>66</v>
      </c>
      <c r="BU213" s="37" t="str">
        <f t="shared" si="1"/>
        <v>#NAME?</v>
      </c>
      <c r="BV213" s="89" t="s">
        <v>109</v>
      </c>
      <c r="BW213" s="37" t="str">
        <f t="shared" si="2"/>
        <v>#NAME?</v>
      </c>
      <c r="BX213" s="89" t="s">
        <v>66</v>
      </c>
      <c r="BY213" s="39"/>
      <c r="BZ213" s="39"/>
      <c r="CA213" s="40" t="s">
        <v>2059</v>
      </c>
      <c r="CB213" s="41"/>
      <c r="CC213" s="90" t="s">
        <v>109</v>
      </c>
      <c r="CD213" s="91" t="s">
        <v>66</v>
      </c>
      <c r="CE213" s="2"/>
      <c r="CF213" s="92" t="s">
        <v>825</v>
      </c>
      <c r="CG213" s="93" t="s">
        <v>778</v>
      </c>
      <c r="CH213" s="2"/>
      <c r="CI213" s="280" t="s">
        <v>825</v>
      </c>
      <c r="CJ213" s="281" t="s">
        <v>778</v>
      </c>
      <c r="CK213" s="2"/>
      <c r="CL213" s="22" t="s">
        <v>825</v>
      </c>
      <c r="CM213" s="12"/>
      <c r="CN213" s="48"/>
      <c r="CO213" s="282" t="s">
        <v>778</v>
      </c>
      <c r="CP213" s="2"/>
      <c r="CQ213" s="2" t="s">
        <v>2060</v>
      </c>
      <c r="CR213" s="97">
        <v>40.0</v>
      </c>
      <c r="CS213" s="2" t="s">
        <v>117</v>
      </c>
      <c r="CT213" s="98">
        <v>80.0</v>
      </c>
      <c r="CU213" s="2"/>
      <c r="CV213" s="52" t="s">
        <v>149</v>
      </c>
      <c r="CW213" s="52" t="s">
        <v>149</v>
      </c>
      <c r="CX213" s="2"/>
      <c r="CY213" s="119" t="s">
        <v>109</v>
      </c>
      <c r="CZ213" s="160"/>
      <c r="DA213" s="2"/>
      <c r="DB213" s="98">
        <v>190.0</v>
      </c>
      <c r="DC213" s="2"/>
      <c r="DD213" s="101" t="s">
        <v>15</v>
      </c>
      <c r="DE213" s="2"/>
      <c r="DF213" s="279" t="s">
        <v>914</v>
      </c>
      <c r="DG213" s="173" t="s">
        <v>2061</v>
      </c>
      <c r="DH213" s="121"/>
      <c r="DI213" s="2"/>
      <c r="DJ213" s="2"/>
      <c r="DK213" s="59" t="s">
        <v>2062</v>
      </c>
      <c r="DL213" s="37" t="s">
        <v>197</v>
      </c>
      <c r="DM213" s="37" t="str">
        <f t="shared" si="3"/>
        <v>#NAME?</v>
      </c>
      <c r="DN213" s="61"/>
      <c r="DO213" s="37">
        <v>50.0</v>
      </c>
      <c r="DP213" s="105">
        <v>0.9</v>
      </c>
      <c r="DQ213" s="62" t="s">
        <v>49</v>
      </c>
      <c r="DR213" s="199"/>
      <c r="DS213" s="244"/>
      <c r="DT213" s="108"/>
      <c r="DU213" s="108"/>
      <c r="DV213" s="200"/>
      <c r="DW213" s="200"/>
      <c r="DX213" s="200"/>
      <c r="DY213" s="200"/>
      <c r="DZ213" s="200"/>
      <c r="EA213" s="200"/>
      <c r="EB213" s="21"/>
      <c r="EC213" s="21"/>
      <c r="ED213" s="21"/>
      <c r="EE213" s="21"/>
      <c r="EF213" s="149" t="s">
        <v>2063</v>
      </c>
      <c r="EG213" s="69" t="str">
        <f>image("https://www.pokebip.com/pages/icones/objets/poudre-soin.png", 3)</f>
        <v/>
      </c>
      <c r="EH213" s="69"/>
      <c r="EI213" s="69"/>
    </row>
    <row r="214" ht="15.75" customHeight="1">
      <c r="A214" s="1">
        <v>214.0</v>
      </c>
      <c r="B214" s="2" t="s">
        <v>2064</v>
      </c>
      <c r="C214" s="7"/>
      <c r="D214" s="140" t="s">
        <v>2065</v>
      </c>
      <c r="E214" s="5"/>
      <c r="F214" s="141"/>
      <c r="G214" s="7"/>
      <c r="H214" s="8" t="s">
        <v>2066</v>
      </c>
      <c r="I214" s="9" t="s">
        <v>2067</v>
      </c>
      <c r="J214" s="355" t="str">
        <f>image("https://archives.bulbagarden.net/media/upload/6/6c/214MS6.png", 3)</f>
        <v/>
      </c>
      <c r="K214" s="11" t="s">
        <v>2065</v>
      </c>
      <c r="L214" s="12"/>
      <c r="M214" s="12"/>
      <c r="N214" s="12"/>
      <c r="O214" s="12"/>
      <c r="Q214" s="71">
        <v>80.0</v>
      </c>
      <c r="R214" s="72">
        <v>125.0</v>
      </c>
      <c r="S214" s="73">
        <v>75.0</v>
      </c>
      <c r="T214" s="74">
        <v>40.0</v>
      </c>
      <c r="U214" s="75">
        <v>95.0</v>
      </c>
      <c r="V214" s="76">
        <v>85.0</v>
      </c>
      <c r="W214" s="77">
        <v>500.0</v>
      </c>
      <c r="X214" s="21"/>
      <c r="Y214" s="71">
        <v>80.0</v>
      </c>
      <c r="Z214" s="72">
        <v>125.0</v>
      </c>
      <c r="AA214" s="73">
        <v>75.0</v>
      </c>
      <c r="AB214" s="74">
        <v>40.0</v>
      </c>
      <c r="AC214" s="75">
        <v>95.0</v>
      </c>
      <c r="AD214" s="76">
        <v>85.0</v>
      </c>
      <c r="AE214" s="77">
        <v>500.0</v>
      </c>
      <c r="AF214" s="21"/>
      <c r="AG214" s="71">
        <v>80.0</v>
      </c>
      <c r="AH214" s="72">
        <v>125.0</v>
      </c>
      <c r="AI214" s="73">
        <v>75.0</v>
      </c>
      <c r="AJ214" s="74">
        <v>40.0</v>
      </c>
      <c r="AK214" s="75">
        <v>95.0</v>
      </c>
      <c r="AL214" s="76">
        <v>85.0</v>
      </c>
      <c r="AM214" s="77">
        <v>500.0</v>
      </c>
      <c r="AN214" s="21"/>
      <c r="AO214" s="22">
        <v>80.0</v>
      </c>
      <c r="AP214" s="23">
        <v>125.0</v>
      </c>
      <c r="AQ214" s="23">
        <v>75.0</v>
      </c>
      <c r="AR214" s="23">
        <v>40.0</v>
      </c>
      <c r="AS214" s="23">
        <v>95.0</v>
      </c>
      <c r="AT214" s="23">
        <v>85.0</v>
      </c>
      <c r="AU214" s="24">
        <v>500.0</v>
      </c>
      <c r="AV214" s="21"/>
      <c r="AW214" s="78">
        <v>80.0</v>
      </c>
      <c r="AX214" s="79">
        <v>125.0</v>
      </c>
      <c r="AY214" s="79">
        <v>75.0</v>
      </c>
      <c r="AZ214" s="79">
        <v>40.0</v>
      </c>
      <c r="BA214" s="79">
        <v>95.0</v>
      </c>
      <c r="BB214" s="79">
        <v>85.0</v>
      </c>
      <c r="BC214" s="201">
        <v>500.0</v>
      </c>
      <c r="BE214" s="172" t="s">
        <v>216</v>
      </c>
      <c r="BF214" s="113"/>
      <c r="BG214" s="129"/>
      <c r="BI214" s="31" t="s">
        <v>5</v>
      </c>
      <c r="BJ214" s="32">
        <v>2.0</v>
      </c>
      <c r="BK214" s="32" t="s">
        <v>5</v>
      </c>
      <c r="BL214" s="32" t="s">
        <v>5</v>
      </c>
      <c r="BM214" s="32" t="s">
        <v>5</v>
      </c>
      <c r="BN214" s="33" t="s">
        <v>5</v>
      </c>
      <c r="BP214" s="85" t="s">
        <v>109</v>
      </c>
      <c r="BQ214" s="86" t="s">
        <v>64</v>
      </c>
      <c r="BS214" s="87" t="s">
        <v>109</v>
      </c>
      <c r="BT214" s="88" t="s">
        <v>64</v>
      </c>
      <c r="BU214" s="37" t="str">
        <f t="shared" si="1"/>
        <v>#NAME?</v>
      </c>
      <c r="BV214" s="89" t="s">
        <v>109</v>
      </c>
      <c r="BW214" s="37" t="str">
        <f t="shared" si="2"/>
        <v>#NAME?</v>
      </c>
      <c r="BX214" s="89" t="s">
        <v>64</v>
      </c>
      <c r="BY214" s="39"/>
      <c r="BZ214" s="39"/>
      <c r="CA214" s="40" t="s">
        <v>2068</v>
      </c>
      <c r="CB214" s="41"/>
      <c r="CC214" s="90" t="s">
        <v>109</v>
      </c>
      <c r="CD214" s="91" t="s">
        <v>64</v>
      </c>
      <c r="CE214" s="2"/>
      <c r="CF214" s="92" t="s">
        <v>217</v>
      </c>
      <c r="CG214" s="93" t="s">
        <v>273</v>
      </c>
      <c r="CH214" s="2"/>
      <c r="CI214" s="278" t="s">
        <v>2069</v>
      </c>
      <c r="CJ214" s="283" t="s">
        <v>217</v>
      </c>
      <c r="CK214" s="2"/>
      <c r="CL214" s="22" t="s">
        <v>2070</v>
      </c>
      <c r="CM214" s="12"/>
      <c r="CN214" s="48"/>
      <c r="CO214" s="284" t="s">
        <v>2071</v>
      </c>
      <c r="CP214" s="2"/>
      <c r="CQ214" s="2" t="s">
        <v>719</v>
      </c>
      <c r="CR214" s="97">
        <v>80.0</v>
      </c>
      <c r="CS214" s="2" t="s">
        <v>216</v>
      </c>
      <c r="CT214" s="98">
        <v>200.0</v>
      </c>
      <c r="CU214" s="2"/>
      <c r="CV214" s="52" t="s">
        <v>149</v>
      </c>
      <c r="CW214" s="52" t="s">
        <v>149</v>
      </c>
      <c r="CX214" s="2"/>
      <c r="CY214" s="334" t="s">
        <v>109</v>
      </c>
      <c r="CZ214" s="337"/>
      <c r="DA214" s="2"/>
      <c r="DB214" s="98">
        <v>45.0</v>
      </c>
      <c r="DC214" s="2"/>
      <c r="DD214" s="101" t="s">
        <v>683</v>
      </c>
      <c r="DE214" s="2"/>
      <c r="DF214" s="335" t="s">
        <v>914</v>
      </c>
      <c r="DG214" s="336"/>
      <c r="DH214" s="336"/>
      <c r="DI214" s="2"/>
      <c r="DJ214" s="2"/>
      <c r="DK214" s="59" t="s">
        <v>2072</v>
      </c>
      <c r="DL214" s="37" t="s">
        <v>18</v>
      </c>
      <c r="DM214" s="37" t="str">
        <f t="shared" si="3"/>
        <v>#NAME?</v>
      </c>
      <c r="DN214" s="61"/>
      <c r="DO214" s="37" t="s">
        <v>128</v>
      </c>
      <c r="DP214" s="105">
        <v>1.0</v>
      </c>
      <c r="DQ214" s="62" t="s">
        <v>93</v>
      </c>
      <c r="DR214" s="63"/>
      <c r="DS214" s="198"/>
      <c r="DT214" s="108"/>
      <c r="DU214" s="108"/>
      <c r="DV214" s="182"/>
      <c r="DW214" s="182"/>
      <c r="DX214" s="182"/>
      <c r="DY214" s="182"/>
      <c r="DZ214" s="182"/>
      <c r="EA214" s="182"/>
      <c r="EB214" s="2"/>
      <c r="EC214" s="2"/>
      <c r="ED214" s="2"/>
      <c r="EE214" s="2"/>
      <c r="EF214" s="149" t="s">
        <v>2073</v>
      </c>
      <c r="EG214" s="69" t="str">
        <f>image("https://www.pokebip.com/pages/icones/objets/poudre-energie.png", 3)</f>
        <v/>
      </c>
      <c r="EH214" s="69"/>
      <c r="EI214" s="69"/>
    </row>
    <row r="215" ht="15.75" customHeight="1">
      <c r="A215" s="1">
        <v>215.0</v>
      </c>
      <c r="B215" s="2" t="s">
        <v>2074</v>
      </c>
      <c r="C215" s="7"/>
      <c r="D215" s="295" t="s">
        <v>2075</v>
      </c>
      <c r="E215" s="5"/>
      <c r="F215" s="296"/>
      <c r="G215" s="7"/>
      <c r="H215" s="8" t="s">
        <v>2076</v>
      </c>
      <c r="I215" s="9" t="s">
        <v>2077</v>
      </c>
      <c r="J215" s="355" t="str">
        <f>image("https://archives.bulbagarden.net/media/upload/0/0d/215MS6.png", 3)</f>
        <v/>
      </c>
      <c r="K215" s="11" t="s">
        <v>2075</v>
      </c>
      <c r="L215" s="12"/>
      <c r="M215" s="12"/>
      <c r="N215" s="12"/>
      <c r="O215" s="12"/>
      <c r="Q215" s="71">
        <v>55.0</v>
      </c>
      <c r="R215" s="72">
        <v>95.0</v>
      </c>
      <c r="S215" s="73">
        <v>55.0</v>
      </c>
      <c r="T215" s="74">
        <v>35.0</v>
      </c>
      <c r="U215" s="75">
        <v>75.0</v>
      </c>
      <c r="V215" s="76">
        <v>115.0</v>
      </c>
      <c r="W215" s="77">
        <v>430.0</v>
      </c>
      <c r="X215" s="21"/>
      <c r="Y215" s="71">
        <v>55.0</v>
      </c>
      <c r="Z215" s="72">
        <v>95.0</v>
      </c>
      <c r="AA215" s="73">
        <v>55.0</v>
      </c>
      <c r="AB215" s="74">
        <v>35.0</v>
      </c>
      <c r="AC215" s="75">
        <v>75.0</v>
      </c>
      <c r="AD215" s="76">
        <v>115.0</v>
      </c>
      <c r="AE215" s="77">
        <v>430.0</v>
      </c>
      <c r="AF215" s="21"/>
      <c r="AG215" s="71">
        <v>55.0</v>
      </c>
      <c r="AH215" s="72">
        <v>95.0</v>
      </c>
      <c r="AI215" s="73">
        <v>55.0</v>
      </c>
      <c r="AJ215" s="74">
        <v>35.0</v>
      </c>
      <c r="AK215" s="75">
        <v>75.0</v>
      </c>
      <c r="AL215" s="76">
        <v>115.0</v>
      </c>
      <c r="AM215" s="77">
        <v>430.0</v>
      </c>
      <c r="AN215" s="21"/>
      <c r="AO215" s="22">
        <v>55.0</v>
      </c>
      <c r="AP215" s="23">
        <v>95.0</v>
      </c>
      <c r="AQ215" s="23">
        <v>55.0</v>
      </c>
      <c r="AR215" s="23">
        <v>35.0</v>
      </c>
      <c r="AS215" s="23">
        <v>75.0</v>
      </c>
      <c r="AT215" s="23">
        <v>115.0</v>
      </c>
      <c r="AU215" s="24">
        <v>430.0</v>
      </c>
      <c r="AV215" s="21"/>
      <c r="AW215" s="78">
        <v>55.0</v>
      </c>
      <c r="AX215" s="79">
        <v>95.0</v>
      </c>
      <c r="AY215" s="79">
        <v>55.0</v>
      </c>
      <c r="AZ215" s="79">
        <v>35.0</v>
      </c>
      <c r="BA215" s="79">
        <v>75.0</v>
      </c>
      <c r="BB215" s="79">
        <v>115.0</v>
      </c>
      <c r="BC215" s="201">
        <v>430.0</v>
      </c>
      <c r="BE215" s="126" t="s">
        <v>56</v>
      </c>
      <c r="BF215" s="184"/>
      <c r="BG215" s="128"/>
      <c r="BI215" s="31" t="s">
        <v>5</v>
      </c>
      <c r="BJ215" s="32" t="s">
        <v>5</v>
      </c>
      <c r="BK215" s="32" t="s">
        <v>5</v>
      </c>
      <c r="BL215" s="32" t="s">
        <v>5</v>
      </c>
      <c r="BM215" s="32" t="s">
        <v>5</v>
      </c>
      <c r="BN215" s="33">
        <v>1.0</v>
      </c>
      <c r="BP215" s="115" t="s">
        <v>76</v>
      </c>
      <c r="BQ215" s="116" t="s">
        <v>120</v>
      </c>
      <c r="BS215" s="115" t="s">
        <v>76</v>
      </c>
      <c r="BT215" s="117" t="s">
        <v>120</v>
      </c>
      <c r="BU215" s="37" t="str">
        <f t="shared" si="1"/>
        <v>#NAME?</v>
      </c>
      <c r="BV215" s="89" t="s">
        <v>76</v>
      </c>
      <c r="BW215" s="37" t="str">
        <f t="shared" si="2"/>
        <v>#NAME?</v>
      </c>
      <c r="BX215" s="89" t="s">
        <v>120</v>
      </c>
      <c r="BY215" s="39"/>
      <c r="BZ215" s="39"/>
      <c r="CA215" s="40" t="s">
        <v>2078</v>
      </c>
      <c r="CB215" s="41"/>
      <c r="CC215" s="90" t="s">
        <v>76</v>
      </c>
      <c r="CD215" s="91" t="s">
        <v>120</v>
      </c>
      <c r="CE215" s="2"/>
      <c r="CF215" s="92" t="s">
        <v>530</v>
      </c>
      <c r="CG215" s="93" t="s">
        <v>235</v>
      </c>
      <c r="CH215" s="2"/>
      <c r="CI215" s="175" t="s">
        <v>530</v>
      </c>
      <c r="CJ215" s="195" t="s">
        <v>235</v>
      </c>
      <c r="CK215" s="2"/>
      <c r="CL215" s="22" t="s">
        <v>1278</v>
      </c>
      <c r="CM215" s="12"/>
      <c r="CN215" s="48"/>
      <c r="CO215" s="196" t="s">
        <v>530</v>
      </c>
      <c r="CP215" s="2"/>
      <c r="CQ215" s="2" t="s">
        <v>668</v>
      </c>
      <c r="CR215" s="97">
        <v>60.0</v>
      </c>
      <c r="CS215" s="2" t="s">
        <v>56</v>
      </c>
      <c r="CT215" s="98">
        <v>132.0</v>
      </c>
      <c r="CU215" s="2"/>
      <c r="CV215" s="52" t="s">
        <v>149</v>
      </c>
      <c r="CW215" s="52" t="s">
        <v>149</v>
      </c>
      <c r="CX215" s="2"/>
      <c r="CY215" s="119" t="s">
        <v>277</v>
      </c>
      <c r="CZ215" s="160"/>
      <c r="DA215" s="2"/>
      <c r="DB215" s="98">
        <v>60.0</v>
      </c>
      <c r="DC215" s="2"/>
      <c r="DD215" s="101" t="s">
        <v>15</v>
      </c>
      <c r="DE215" s="2"/>
      <c r="DF215" s="148" t="s">
        <v>2079</v>
      </c>
      <c r="DG215" s="173" t="s">
        <v>631</v>
      </c>
      <c r="DH215" s="121"/>
      <c r="DI215" s="21"/>
      <c r="DJ215" s="21"/>
      <c r="DK215" s="59" t="s">
        <v>2080</v>
      </c>
      <c r="DL215" s="37" t="s">
        <v>122</v>
      </c>
      <c r="DM215" s="37" t="str">
        <f t="shared" si="3"/>
        <v>#NAME?</v>
      </c>
      <c r="DN215" s="61"/>
      <c r="DO215" s="37">
        <v>50.0</v>
      </c>
      <c r="DP215" s="105">
        <v>1.0</v>
      </c>
      <c r="DQ215" s="62" t="s">
        <v>206</v>
      </c>
      <c r="DR215" s="63"/>
      <c r="DS215" s="198"/>
      <c r="DT215" s="108"/>
      <c r="DU215" s="108"/>
      <c r="DV215" s="182"/>
      <c r="DW215" s="182"/>
      <c r="DX215" s="182"/>
      <c r="DY215" s="182"/>
      <c r="DZ215" s="182"/>
      <c r="EA215" s="182"/>
      <c r="EB215" s="21"/>
      <c r="EC215" s="21"/>
      <c r="ED215" s="21"/>
      <c r="EE215" s="21"/>
      <c r="EF215" s="149" t="s">
        <v>2081</v>
      </c>
      <c r="EG215" s="69" t="str">
        <f>image("https://www.pokebip.com/pages/icones/objets/racinenergie.png", 3)</f>
        <v/>
      </c>
      <c r="EH215" s="69"/>
      <c r="EI215" s="69"/>
    </row>
    <row r="216" ht="15.75" customHeight="1">
      <c r="A216" s="1">
        <v>216.0</v>
      </c>
      <c r="B216" s="2" t="s">
        <v>2082</v>
      </c>
      <c r="C216" s="7"/>
      <c r="D216" s="167" t="s">
        <v>2083</v>
      </c>
      <c r="E216" s="5"/>
      <c r="F216" s="168"/>
      <c r="G216" s="7"/>
      <c r="H216" s="8" t="s">
        <v>2084</v>
      </c>
      <c r="I216" s="9" t="s">
        <v>2085</v>
      </c>
      <c r="J216" s="355" t="str">
        <f>image("https://archives.bulbagarden.net/media/upload/9/90/216MS6.png", 3)</f>
        <v/>
      </c>
      <c r="K216" s="11" t="s">
        <v>2083</v>
      </c>
      <c r="L216" s="12"/>
      <c r="M216" s="12"/>
      <c r="N216" s="12"/>
      <c r="O216" s="12"/>
      <c r="Q216" s="71">
        <v>60.0</v>
      </c>
      <c r="R216" s="72">
        <v>80.0</v>
      </c>
      <c r="S216" s="73">
        <v>50.0</v>
      </c>
      <c r="T216" s="74">
        <v>50.0</v>
      </c>
      <c r="U216" s="75">
        <v>50.0</v>
      </c>
      <c r="V216" s="76">
        <v>40.0</v>
      </c>
      <c r="W216" s="77">
        <v>330.0</v>
      </c>
      <c r="X216" s="21"/>
      <c r="Y216" s="71">
        <v>60.0</v>
      </c>
      <c r="Z216" s="72">
        <v>80.0</v>
      </c>
      <c r="AA216" s="73">
        <v>50.0</v>
      </c>
      <c r="AB216" s="74">
        <v>50.0</v>
      </c>
      <c r="AC216" s="75">
        <v>50.0</v>
      </c>
      <c r="AD216" s="76">
        <v>40.0</v>
      </c>
      <c r="AE216" s="77">
        <v>330.0</v>
      </c>
      <c r="AF216" s="21"/>
      <c r="AG216" s="71">
        <v>60.0</v>
      </c>
      <c r="AH216" s="72">
        <v>80.0</v>
      </c>
      <c r="AI216" s="73">
        <v>50.0</v>
      </c>
      <c r="AJ216" s="74">
        <v>50.0</v>
      </c>
      <c r="AK216" s="75">
        <v>50.0</v>
      </c>
      <c r="AL216" s="76">
        <v>40.0</v>
      </c>
      <c r="AM216" s="77">
        <v>330.0</v>
      </c>
      <c r="AN216" s="21"/>
      <c r="AO216" s="22">
        <v>60.0</v>
      </c>
      <c r="AP216" s="23">
        <v>80.0</v>
      </c>
      <c r="AQ216" s="23">
        <v>50.0</v>
      </c>
      <c r="AR216" s="23">
        <v>50.0</v>
      </c>
      <c r="AS216" s="23">
        <v>50.0</v>
      </c>
      <c r="AT216" s="23">
        <v>40.0</v>
      </c>
      <c r="AU216" s="24">
        <v>330.0</v>
      </c>
      <c r="AV216" s="21"/>
      <c r="AW216" s="78">
        <v>60.0</v>
      </c>
      <c r="AX216" s="79">
        <v>80.0</v>
      </c>
      <c r="AY216" s="79">
        <v>50.0</v>
      </c>
      <c r="AZ216" s="79">
        <v>50.0</v>
      </c>
      <c r="BA216" s="79">
        <v>50.0</v>
      </c>
      <c r="BB216" s="79">
        <v>40.0</v>
      </c>
      <c r="BC216" s="201">
        <v>330.0</v>
      </c>
      <c r="BE216" s="194" t="s">
        <v>325</v>
      </c>
      <c r="BF216" s="338"/>
      <c r="BG216" s="128"/>
      <c r="BI216" s="31" t="s">
        <v>5</v>
      </c>
      <c r="BJ216" s="32">
        <v>1.0</v>
      </c>
      <c r="BK216" s="32" t="s">
        <v>5</v>
      </c>
      <c r="BL216" s="32" t="s">
        <v>5</v>
      </c>
      <c r="BM216" s="32" t="s">
        <v>5</v>
      </c>
      <c r="BN216" s="33" t="s">
        <v>5</v>
      </c>
      <c r="BP216" s="85" t="s">
        <v>156</v>
      </c>
      <c r="BQ216" s="129"/>
      <c r="BS216" s="87" t="s">
        <v>156</v>
      </c>
      <c r="BT216" s="130"/>
      <c r="BU216" s="37" t="str">
        <f t="shared" si="1"/>
        <v>#NAME?</v>
      </c>
      <c r="BV216" s="89" t="s">
        <v>156</v>
      </c>
      <c r="BW216" s="37" t="str">
        <f t="shared" si="2"/>
        <v>#NAME?</v>
      </c>
      <c r="BX216" s="89"/>
      <c r="BY216" s="39"/>
      <c r="BZ216" s="39"/>
      <c r="CA216" s="40" t="s">
        <v>156</v>
      </c>
      <c r="CB216" s="41"/>
      <c r="CC216" s="90" t="s">
        <v>156</v>
      </c>
      <c r="CD216" s="91"/>
      <c r="CE216" s="21"/>
      <c r="CF216" s="92" t="s">
        <v>626</v>
      </c>
      <c r="CG216" s="93" t="s">
        <v>2033</v>
      </c>
      <c r="CH216" s="21"/>
      <c r="CI216" s="92" t="s">
        <v>626</v>
      </c>
      <c r="CJ216" s="93" t="s">
        <v>2033</v>
      </c>
      <c r="CK216" s="21"/>
      <c r="CL216" s="22" t="s">
        <v>626</v>
      </c>
      <c r="CM216" s="12"/>
      <c r="CN216" s="48"/>
      <c r="CO216" s="96" t="s">
        <v>2033</v>
      </c>
      <c r="CP216" s="21"/>
      <c r="CQ216" s="2" t="s">
        <v>2086</v>
      </c>
      <c r="CR216" s="97">
        <v>20.0</v>
      </c>
      <c r="CS216" s="2" t="s">
        <v>325</v>
      </c>
      <c r="CT216" s="98">
        <v>124.0</v>
      </c>
      <c r="CU216" s="2"/>
      <c r="CV216" s="52" t="s">
        <v>149</v>
      </c>
      <c r="CW216" s="52" t="s">
        <v>149</v>
      </c>
      <c r="CX216" s="2"/>
      <c r="CY216" s="334" t="s">
        <v>277</v>
      </c>
      <c r="CZ216" s="337"/>
      <c r="DA216" s="2"/>
      <c r="DB216" s="98">
        <v>120.0</v>
      </c>
      <c r="DC216" s="2"/>
      <c r="DD216" s="101" t="s">
        <v>150</v>
      </c>
      <c r="DE216" s="2"/>
      <c r="DF216" s="339" t="s">
        <v>2087</v>
      </c>
      <c r="DG216" s="336"/>
      <c r="DH216" s="336"/>
      <c r="DI216" s="21"/>
      <c r="DJ216" s="21"/>
      <c r="DK216" s="59" t="s">
        <v>2088</v>
      </c>
      <c r="DL216" s="37" t="s">
        <v>76</v>
      </c>
      <c r="DM216" s="37" t="str">
        <f t="shared" si="3"/>
        <v>#NAME?</v>
      </c>
      <c r="DN216" s="61"/>
      <c r="DO216" s="37">
        <v>80.0</v>
      </c>
      <c r="DP216" s="105">
        <v>1.0</v>
      </c>
      <c r="DQ216" s="62" t="s">
        <v>93</v>
      </c>
      <c r="DR216" s="199"/>
      <c r="DS216" s="244"/>
      <c r="DT216" s="108"/>
      <c r="DU216" s="108"/>
      <c r="DV216" s="200"/>
      <c r="DW216" s="200"/>
      <c r="DX216" s="200"/>
      <c r="DY216" s="200"/>
      <c r="DZ216" s="200"/>
      <c r="EA216" s="200"/>
      <c r="EB216" s="2"/>
      <c r="EC216" s="2"/>
      <c r="ED216" s="2"/>
      <c r="EE216" s="2"/>
      <c r="EF216" s="149" t="s">
        <v>2089</v>
      </c>
      <c r="EG216" s="69" t="str">
        <f>image("https://www.pokebip.com/pages/icones/objets/herbe-rappel.png", 3)</f>
        <v/>
      </c>
      <c r="EH216" s="69"/>
      <c r="EI216" s="69"/>
    </row>
    <row r="217" ht="15.75" customHeight="1">
      <c r="A217" s="1">
        <v>217.0</v>
      </c>
      <c r="B217" s="2" t="s">
        <v>2090</v>
      </c>
      <c r="C217" s="7"/>
      <c r="D217" s="167" t="s">
        <v>2091</v>
      </c>
      <c r="E217" s="5"/>
      <c r="F217" s="168"/>
      <c r="G217" s="7"/>
      <c r="H217" s="8" t="s">
        <v>2092</v>
      </c>
      <c r="I217" s="9" t="s">
        <v>2093</v>
      </c>
      <c r="J217" s="355" t="str">
        <f>image("https://archives.bulbagarden.net/media/upload/6/6d/217MS6.png", 3)</f>
        <v/>
      </c>
      <c r="K217" s="11" t="s">
        <v>2091</v>
      </c>
      <c r="L217" s="12"/>
      <c r="M217" s="12"/>
      <c r="N217" s="12"/>
      <c r="O217" s="12"/>
      <c r="Q217" s="71">
        <v>90.0</v>
      </c>
      <c r="R217" s="72">
        <v>130.0</v>
      </c>
      <c r="S217" s="73">
        <v>75.0</v>
      </c>
      <c r="T217" s="74">
        <v>75.0</v>
      </c>
      <c r="U217" s="75">
        <v>75.0</v>
      </c>
      <c r="V217" s="76">
        <v>55.0</v>
      </c>
      <c r="W217" s="77">
        <v>500.0</v>
      </c>
      <c r="X217" s="21"/>
      <c r="Y217" s="71">
        <v>90.0</v>
      </c>
      <c r="Z217" s="72">
        <v>130.0</v>
      </c>
      <c r="AA217" s="73">
        <v>75.0</v>
      </c>
      <c r="AB217" s="74">
        <v>75.0</v>
      </c>
      <c r="AC217" s="75">
        <v>75.0</v>
      </c>
      <c r="AD217" s="76">
        <v>55.0</v>
      </c>
      <c r="AE217" s="77">
        <v>500.0</v>
      </c>
      <c r="AF217" s="21"/>
      <c r="AG217" s="71">
        <v>90.0</v>
      </c>
      <c r="AH217" s="72">
        <v>130.0</v>
      </c>
      <c r="AI217" s="73">
        <v>75.0</v>
      </c>
      <c r="AJ217" s="74">
        <v>75.0</v>
      </c>
      <c r="AK217" s="75">
        <v>75.0</v>
      </c>
      <c r="AL217" s="76">
        <v>55.0</v>
      </c>
      <c r="AM217" s="77">
        <v>500.0</v>
      </c>
      <c r="AN217" s="21"/>
      <c r="AO217" s="22">
        <v>90.0</v>
      </c>
      <c r="AP217" s="23">
        <v>130.0</v>
      </c>
      <c r="AQ217" s="23">
        <v>75.0</v>
      </c>
      <c r="AR217" s="23">
        <v>75.0</v>
      </c>
      <c r="AS217" s="23">
        <v>75.0</v>
      </c>
      <c r="AT217" s="23">
        <v>55.0</v>
      </c>
      <c r="AU217" s="24">
        <v>500.0</v>
      </c>
      <c r="AV217" s="21"/>
      <c r="AW217" s="258">
        <v>90.0</v>
      </c>
      <c r="AX217" s="80">
        <v>130.0</v>
      </c>
      <c r="AY217" s="80">
        <v>75.0</v>
      </c>
      <c r="AZ217" s="80">
        <v>75.0</v>
      </c>
      <c r="BA217" s="80">
        <v>75.0</v>
      </c>
      <c r="BB217" s="79">
        <v>55.0</v>
      </c>
      <c r="BC217" s="81">
        <v>500.0</v>
      </c>
      <c r="BE217" s="172" t="s">
        <v>216</v>
      </c>
      <c r="BF217" s="113"/>
      <c r="BG217" s="93"/>
      <c r="BI217" s="31" t="s">
        <v>5</v>
      </c>
      <c r="BJ217" s="32">
        <v>2.0</v>
      </c>
      <c r="BK217" s="32" t="s">
        <v>5</v>
      </c>
      <c r="BL217" s="32" t="s">
        <v>5</v>
      </c>
      <c r="BM217" s="32" t="s">
        <v>5</v>
      </c>
      <c r="BN217" s="33" t="s">
        <v>5</v>
      </c>
      <c r="BP217" s="115" t="s">
        <v>156</v>
      </c>
      <c r="BQ217" s="93"/>
      <c r="BS217" s="115" t="s">
        <v>156</v>
      </c>
      <c r="BT217" s="133"/>
      <c r="BU217" s="37" t="str">
        <f t="shared" si="1"/>
        <v>#NAME?</v>
      </c>
      <c r="BV217" s="89" t="s">
        <v>156</v>
      </c>
      <c r="BW217" s="37" t="str">
        <f t="shared" si="2"/>
        <v>#NAME?</v>
      </c>
      <c r="BX217" s="89"/>
      <c r="BY217" s="39"/>
      <c r="BZ217" s="39"/>
      <c r="CA217" s="40" t="s">
        <v>156</v>
      </c>
      <c r="CB217" s="41"/>
      <c r="CC217" s="90" t="s">
        <v>156</v>
      </c>
      <c r="CD217" s="91"/>
      <c r="CE217" s="21"/>
      <c r="CF217" s="92" t="s">
        <v>273</v>
      </c>
      <c r="CG217" s="93" t="s">
        <v>2033</v>
      </c>
      <c r="CH217" s="21"/>
      <c r="CI217" s="92" t="s">
        <v>273</v>
      </c>
      <c r="CJ217" s="93" t="s">
        <v>2033</v>
      </c>
      <c r="CK217" s="21"/>
      <c r="CL217" s="22" t="s">
        <v>273</v>
      </c>
      <c r="CM217" s="12"/>
      <c r="CN217" s="48"/>
      <c r="CO217" s="96" t="s">
        <v>2033</v>
      </c>
      <c r="CP217" s="21"/>
      <c r="CQ217" s="2" t="s">
        <v>1988</v>
      </c>
      <c r="CR217" s="97">
        <v>100.0</v>
      </c>
      <c r="CS217" s="2" t="s">
        <v>216</v>
      </c>
      <c r="CT217" s="98">
        <v>189.0</v>
      </c>
      <c r="CU217" s="2"/>
      <c r="CV217" s="52" t="s">
        <v>149</v>
      </c>
      <c r="CW217" s="52" t="s">
        <v>149</v>
      </c>
      <c r="CX217" s="2"/>
      <c r="CY217" s="119" t="s">
        <v>277</v>
      </c>
      <c r="CZ217" s="160"/>
      <c r="DA217" s="2"/>
      <c r="DB217" s="98">
        <v>60.0</v>
      </c>
      <c r="DC217" s="2"/>
      <c r="DD217" s="101" t="s">
        <v>150</v>
      </c>
      <c r="DE217" s="2"/>
      <c r="DF217" s="120" t="s">
        <v>2094</v>
      </c>
      <c r="DG217" s="121"/>
      <c r="DH217" s="121"/>
      <c r="DI217" s="2"/>
      <c r="DJ217" s="2"/>
      <c r="DK217" s="59" t="s">
        <v>2095</v>
      </c>
      <c r="DL217" s="37" t="s">
        <v>197</v>
      </c>
      <c r="DM217" s="37" t="str">
        <f t="shared" si="3"/>
        <v>#NAME?</v>
      </c>
      <c r="DN217" s="61"/>
      <c r="DO217" s="37">
        <v>80.0</v>
      </c>
      <c r="DP217" s="105">
        <v>1.0</v>
      </c>
      <c r="DQ217" s="62" t="s">
        <v>93</v>
      </c>
      <c r="DR217" s="63"/>
      <c r="DS217" s="198"/>
      <c r="DT217" s="108"/>
      <c r="DU217" s="108"/>
      <c r="DV217" s="182"/>
      <c r="DW217" s="182"/>
      <c r="DX217" s="182"/>
      <c r="DY217" s="182"/>
      <c r="DZ217" s="182"/>
      <c r="EA217" s="182"/>
      <c r="EB217" s="2"/>
      <c r="EC217" s="2"/>
      <c r="ED217" s="2"/>
      <c r="EE217" s="2"/>
      <c r="EF217" s="149" t="s">
        <v>2096</v>
      </c>
      <c r="EG217" s="69" t="str">
        <f>image("https://www.pokebip.com/pages/icones/objets/cendres-sacrees.png", 3)</f>
        <v/>
      </c>
      <c r="EH217" s="69"/>
      <c r="EI217" s="69"/>
    </row>
    <row r="218" ht="15.75" customHeight="1">
      <c r="A218" s="1">
        <v>218.0</v>
      </c>
      <c r="B218" s="2" t="s">
        <v>2097</v>
      </c>
      <c r="C218" s="7"/>
      <c r="D218" s="122" t="s">
        <v>2098</v>
      </c>
      <c r="E218" s="5"/>
      <c r="F218" s="123"/>
      <c r="G218" s="7"/>
      <c r="H218" s="8" t="s">
        <v>2099</v>
      </c>
      <c r="I218" s="9" t="s">
        <v>2100</v>
      </c>
      <c r="J218" s="355" t="str">
        <f>image("https://archives.bulbagarden.net/media/upload/8/8e/218MS6.png", 3)</f>
        <v/>
      </c>
      <c r="K218" s="11" t="s">
        <v>2098</v>
      </c>
      <c r="L218" s="12"/>
      <c r="M218" s="12"/>
      <c r="N218" s="12"/>
      <c r="O218" s="12"/>
      <c r="Q218" s="71">
        <v>40.0</v>
      </c>
      <c r="R218" s="72">
        <v>40.0</v>
      </c>
      <c r="S218" s="73">
        <v>40.0</v>
      </c>
      <c r="T218" s="74">
        <v>70.0</v>
      </c>
      <c r="U218" s="75">
        <v>40.0</v>
      </c>
      <c r="V218" s="76">
        <v>20.0</v>
      </c>
      <c r="W218" s="77">
        <v>250.0</v>
      </c>
      <c r="X218" s="21"/>
      <c r="Y218" s="71">
        <v>40.0</v>
      </c>
      <c r="Z218" s="72">
        <v>40.0</v>
      </c>
      <c r="AA218" s="73">
        <v>40.0</v>
      </c>
      <c r="AB218" s="74">
        <v>70.0</v>
      </c>
      <c r="AC218" s="75">
        <v>40.0</v>
      </c>
      <c r="AD218" s="76">
        <v>20.0</v>
      </c>
      <c r="AE218" s="77">
        <v>250.0</v>
      </c>
      <c r="AF218" s="21"/>
      <c r="AG218" s="261">
        <v>50.0</v>
      </c>
      <c r="AH218" s="109">
        <v>50.0</v>
      </c>
      <c r="AI218" s="109">
        <v>50.0</v>
      </c>
      <c r="AJ218" s="109">
        <v>90.0</v>
      </c>
      <c r="AK218" s="109">
        <v>50.0</v>
      </c>
      <c r="AL218" s="76">
        <v>20.0</v>
      </c>
      <c r="AM218" s="110">
        <v>310.0</v>
      </c>
      <c r="AN218" s="21"/>
      <c r="AO218" s="22" t="s">
        <v>233</v>
      </c>
      <c r="AP218" s="23" t="s">
        <v>233</v>
      </c>
      <c r="AQ218" s="23" t="s">
        <v>233</v>
      </c>
      <c r="AR218" s="23" t="s">
        <v>128</v>
      </c>
      <c r="AS218" s="23" t="s">
        <v>233</v>
      </c>
      <c r="AT218" s="23">
        <v>20.0</v>
      </c>
      <c r="AU218" s="24" t="s">
        <v>2101</v>
      </c>
      <c r="AV218" s="21"/>
      <c r="AW218" s="171">
        <v>50.0</v>
      </c>
      <c r="AX218" s="111">
        <v>50.0</v>
      </c>
      <c r="AY218" s="171">
        <v>50.0</v>
      </c>
      <c r="AZ218" s="171">
        <v>90.0</v>
      </c>
      <c r="BA218" s="171">
        <v>50.0</v>
      </c>
      <c r="BB218" s="79">
        <v>20.0</v>
      </c>
      <c r="BC218" s="111">
        <v>310.0</v>
      </c>
      <c r="BE218" s="82" t="s">
        <v>4</v>
      </c>
      <c r="BF218" s="338"/>
      <c r="BG218" s="128"/>
      <c r="BI218" s="31" t="s">
        <v>5</v>
      </c>
      <c r="BJ218" s="32" t="s">
        <v>5</v>
      </c>
      <c r="BK218" s="32" t="s">
        <v>5</v>
      </c>
      <c r="BL218" s="32">
        <v>1.0</v>
      </c>
      <c r="BM218" s="32" t="s">
        <v>5</v>
      </c>
      <c r="BN218" s="33" t="s">
        <v>5</v>
      </c>
      <c r="BP218" s="85" t="s">
        <v>34</v>
      </c>
      <c r="BQ218" s="129"/>
      <c r="BS218" s="87" t="s">
        <v>34</v>
      </c>
      <c r="BT218" s="130"/>
      <c r="BU218" s="37" t="str">
        <f t="shared" si="1"/>
        <v>#NAME?</v>
      </c>
      <c r="BV218" s="89" t="s">
        <v>34</v>
      </c>
      <c r="BW218" s="37" t="str">
        <f t="shared" si="2"/>
        <v>#NAME?</v>
      </c>
      <c r="BX218" s="89"/>
      <c r="BY218" s="39"/>
      <c r="BZ218" s="39"/>
      <c r="CA218" s="40" t="s">
        <v>34</v>
      </c>
      <c r="CB218" s="41"/>
      <c r="CC218" s="90" t="s">
        <v>34</v>
      </c>
      <c r="CD218" s="91"/>
      <c r="CE218" s="21"/>
      <c r="CF218" s="92" t="s">
        <v>2102</v>
      </c>
      <c r="CG218" s="93" t="s">
        <v>1315</v>
      </c>
      <c r="CH218" s="21"/>
      <c r="CI218" s="92" t="s">
        <v>2102</v>
      </c>
      <c r="CJ218" s="93" t="s">
        <v>1315</v>
      </c>
      <c r="CK218" s="21"/>
      <c r="CL218" s="22" t="s">
        <v>2102</v>
      </c>
      <c r="CM218" s="12"/>
      <c r="CN218" s="48"/>
      <c r="CO218" s="96" t="s">
        <v>1315</v>
      </c>
      <c r="CP218" s="21"/>
      <c r="CQ218" s="2" t="s">
        <v>1195</v>
      </c>
      <c r="CR218" s="97">
        <v>60.0</v>
      </c>
      <c r="CS218" s="2" t="s">
        <v>4</v>
      </c>
      <c r="CT218" s="98">
        <v>78.0</v>
      </c>
      <c r="CU218" s="2"/>
      <c r="CV218" s="52" t="s">
        <v>149</v>
      </c>
      <c r="CW218" s="52" t="s">
        <v>149</v>
      </c>
      <c r="CX218" s="2"/>
      <c r="CY218" s="334" t="s">
        <v>964</v>
      </c>
      <c r="CZ218" s="337"/>
      <c r="DA218" s="2"/>
      <c r="DB218" s="98">
        <v>190.0</v>
      </c>
      <c r="DC218" s="2"/>
      <c r="DD218" s="101" t="s">
        <v>150</v>
      </c>
      <c r="DE218" s="2"/>
      <c r="DF218" s="367" t="s">
        <v>2103</v>
      </c>
      <c r="DG218" s="336"/>
      <c r="DH218" s="336"/>
      <c r="DI218" s="21"/>
      <c r="DJ218" s="21"/>
      <c r="DK218" s="59" t="s">
        <v>2104</v>
      </c>
      <c r="DL218" s="37" t="s">
        <v>95</v>
      </c>
      <c r="DM218" s="37" t="str">
        <f t="shared" si="3"/>
        <v>#NAME?</v>
      </c>
      <c r="DN218" s="61"/>
      <c r="DO218" s="37" t="s">
        <v>1054</v>
      </c>
      <c r="DP218" s="37" t="s">
        <v>225</v>
      </c>
      <c r="DQ218" s="62" t="s">
        <v>293</v>
      </c>
      <c r="DR218" s="63"/>
      <c r="DS218" s="198"/>
      <c r="DT218" s="108"/>
      <c r="DU218" s="108"/>
      <c r="DV218" s="182"/>
      <c r="DW218" s="182"/>
      <c r="DX218" s="182"/>
      <c r="DY218" s="182"/>
      <c r="DZ218" s="182"/>
      <c r="EA218" s="182"/>
      <c r="EB218" s="2"/>
      <c r="EC218" s="2"/>
      <c r="ED218" s="2"/>
      <c r="EE218" s="2"/>
      <c r="EF218" s="68"/>
      <c r="EG218" s="69" t="str">
        <f>image("", 3)</f>
        <v/>
      </c>
      <c r="EH218" s="69"/>
      <c r="EI218" s="69"/>
    </row>
    <row r="219" ht="15.75" customHeight="1">
      <c r="A219" s="1">
        <v>219.0</v>
      </c>
      <c r="B219" s="2" t="s">
        <v>2105</v>
      </c>
      <c r="C219" s="7"/>
      <c r="D219" s="122" t="s">
        <v>2106</v>
      </c>
      <c r="E219" s="5"/>
      <c r="F219" s="123"/>
      <c r="G219" s="7"/>
      <c r="H219" s="8" t="s">
        <v>2107</v>
      </c>
      <c r="I219" s="9" t="s">
        <v>2108</v>
      </c>
      <c r="J219" s="355" t="str">
        <f>image("https://archives.bulbagarden.net/media/upload/e/e3/219MS6.png", 3)</f>
        <v/>
      </c>
      <c r="K219" s="11" t="s">
        <v>2106</v>
      </c>
      <c r="L219" s="12"/>
      <c r="M219" s="12"/>
      <c r="N219" s="12"/>
      <c r="O219" s="12"/>
      <c r="Q219" s="71">
        <v>50.0</v>
      </c>
      <c r="R219" s="72">
        <v>50.0</v>
      </c>
      <c r="S219" s="73">
        <v>120.0</v>
      </c>
      <c r="T219" s="74">
        <v>80.0</v>
      </c>
      <c r="U219" s="75">
        <v>80.0</v>
      </c>
      <c r="V219" s="76">
        <v>30.0</v>
      </c>
      <c r="W219" s="77">
        <v>410.0</v>
      </c>
      <c r="X219" s="21"/>
      <c r="Y219" s="261">
        <v>60.0</v>
      </c>
      <c r="Z219" s="72">
        <v>50.0</v>
      </c>
      <c r="AA219" s="73">
        <v>120.0</v>
      </c>
      <c r="AB219" s="109">
        <v>90.0</v>
      </c>
      <c r="AC219" s="75">
        <v>80.0</v>
      </c>
      <c r="AD219" s="76">
        <v>30.0</v>
      </c>
      <c r="AE219" s="110">
        <v>430.0</v>
      </c>
      <c r="AF219" s="21"/>
      <c r="AG219" s="261">
        <v>60.0</v>
      </c>
      <c r="AH219" s="72">
        <v>50.0</v>
      </c>
      <c r="AI219" s="109">
        <v>150.0</v>
      </c>
      <c r="AJ219" s="109">
        <v>110.0</v>
      </c>
      <c r="AK219" s="109">
        <v>100.0</v>
      </c>
      <c r="AL219" s="76">
        <v>30.0</v>
      </c>
      <c r="AM219" s="110">
        <v>500.0</v>
      </c>
      <c r="AN219" s="21"/>
      <c r="AO219" s="22" t="s">
        <v>77</v>
      </c>
      <c r="AP219" s="23">
        <v>50.0</v>
      </c>
      <c r="AQ219" s="23" t="s">
        <v>1076</v>
      </c>
      <c r="AR219" s="23" t="s">
        <v>40</v>
      </c>
      <c r="AS219" s="23" t="s">
        <v>175</v>
      </c>
      <c r="AT219" s="23">
        <v>30.0</v>
      </c>
      <c r="AU219" s="24" t="s">
        <v>745</v>
      </c>
      <c r="AV219" s="21"/>
      <c r="AW219" s="111">
        <v>60.0</v>
      </c>
      <c r="AX219" s="124">
        <v>50.0</v>
      </c>
      <c r="AY219" s="111">
        <v>150.0</v>
      </c>
      <c r="AZ219" s="111">
        <v>110.0</v>
      </c>
      <c r="BA219" s="111">
        <v>100.0</v>
      </c>
      <c r="BB219" s="79">
        <v>30.0</v>
      </c>
      <c r="BC219" s="111">
        <v>500.0</v>
      </c>
      <c r="BE219" s="156" t="s">
        <v>162</v>
      </c>
      <c r="BF219" s="113"/>
      <c r="BG219" s="93"/>
      <c r="BI219" s="31" t="s">
        <v>5</v>
      </c>
      <c r="BJ219" s="32" t="s">
        <v>5</v>
      </c>
      <c r="BK219" s="32">
        <v>2.0</v>
      </c>
      <c r="BL219" s="32" t="s">
        <v>5</v>
      </c>
      <c r="BM219" s="32" t="s">
        <v>5</v>
      </c>
      <c r="BN219" s="33" t="s">
        <v>5</v>
      </c>
      <c r="BP219" s="115" t="s">
        <v>34</v>
      </c>
      <c r="BQ219" s="116" t="s">
        <v>66</v>
      </c>
      <c r="BS219" s="115" t="s">
        <v>34</v>
      </c>
      <c r="BT219" s="117" t="s">
        <v>66</v>
      </c>
      <c r="BU219" s="37" t="str">
        <f t="shared" si="1"/>
        <v>#NAME?</v>
      </c>
      <c r="BV219" s="89" t="s">
        <v>34</v>
      </c>
      <c r="BW219" s="37" t="str">
        <f t="shared" si="2"/>
        <v>#NAME?</v>
      </c>
      <c r="BX219" s="89" t="s">
        <v>66</v>
      </c>
      <c r="BY219" s="39"/>
      <c r="BZ219" s="39"/>
      <c r="CA219" s="40" t="s">
        <v>2109</v>
      </c>
      <c r="CB219" s="41"/>
      <c r="CC219" s="90" t="s">
        <v>34</v>
      </c>
      <c r="CD219" s="91" t="s">
        <v>66</v>
      </c>
      <c r="CE219" s="2"/>
      <c r="CF219" s="92" t="s">
        <v>2102</v>
      </c>
      <c r="CG219" s="93" t="s">
        <v>1315</v>
      </c>
      <c r="CH219" s="2"/>
      <c r="CI219" s="177" t="s">
        <v>2102</v>
      </c>
      <c r="CJ219" s="93" t="s">
        <v>1315</v>
      </c>
      <c r="CK219" s="2"/>
      <c r="CL219" s="22" t="s">
        <v>2110</v>
      </c>
      <c r="CM219" s="12"/>
      <c r="CN219" s="48"/>
      <c r="CO219" s="96" t="s">
        <v>1315</v>
      </c>
      <c r="CP219" s="2"/>
      <c r="CQ219" s="2" t="s">
        <v>538</v>
      </c>
      <c r="CR219" s="97">
        <v>80.0</v>
      </c>
      <c r="CS219" s="2" t="s">
        <v>162</v>
      </c>
      <c r="CT219" s="98">
        <v>154.0</v>
      </c>
      <c r="CU219" s="2"/>
      <c r="CV219" s="52" t="s">
        <v>149</v>
      </c>
      <c r="CW219" s="52" t="s">
        <v>149</v>
      </c>
      <c r="CX219" s="2"/>
      <c r="CY219" s="119" t="s">
        <v>964</v>
      </c>
      <c r="CZ219" s="160"/>
      <c r="DA219" s="2"/>
      <c r="DB219" s="98">
        <v>75.0</v>
      </c>
      <c r="DC219" s="2"/>
      <c r="DD219" s="101" t="s">
        <v>150</v>
      </c>
      <c r="DE219" s="2"/>
      <c r="DF219" s="159" t="s">
        <v>2111</v>
      </c>
      <c r="DG219" s="121"/>
      <c r="DH219" s="121"/>
      <c r="DI219" s="2"/>
      <c r="DJ219" s="2"/>
      <c r="DK219" s="59" t="s">
        <v>2112</v>
      </c>
      <c r="DL219" s="37" t="s">
        <v>61</v>
      </c>
      <c r="DM219" s="37" t="str">
        <f t="shared" si="3"/>
        <v>#NAME?</v>
      </c>
      <c r="DN219" s="61"/>
      <c r="DO219" s="37" t="s">
        <v>2113</v>
      </c>
      <c r="DP219" s="105">
        <v>0.9</v>
      </c>
      <c r="DQ219" s="62" t="s">
        <v>293</v>
      </c>
      <c r="DR219" s="63"/>
      <c r="DS219" s="198"/>
      <c r="DT219" s="108"/>
      <c r="DU219" s="108"/>
      <c r="DV219" s="182"/>
      <c r="DW219" s="182"/>
      <c r="DX219" s="182"/>
      <c r="DY219" s="182"/>
      <c r="DZ219" s="182"/>
      <c r="EA219" s="182"/>
      <c r="EB219" s="21"/>
      <c r="EC219" s="21"/>
      <c r="ED219" s="21"/>
      <c r="EE219" s="21"/>
      <c r="EF219" s="149" t="s">
        <v>2114</v>
      </c>
      <c r="EG219" s="69" t="str">
        <f>image("https://www.pokebip.com/pages/icones/objets/super-bonbon.png", 3)</f>
        <v/>
      </c>
      <c r="EH219" s="69"/>
      <c r="EI219" s="69"/>
    </row>
    <row r="220" ht="15.75" customHeight="1">
      <c r="A220" s="1">
        <v>220.0</v>
      </c>
      <c r="B220" s="2" t="s">
        <v>2115</v>
      </c>
      <c r="C220" s="7"/>
      <c r="D220" s="167" t="s">
        <v>2116</v>
      </c>
      <c r="E220" s="5"/>
      <c r="F220" s="168"/>
      <c r="G220" s="7"/>
      <c r="H220" s="8" t="s">
        <v>2117</v>
      </c>
      <c r="I220" s="9" t="s">
        <v>2118</v>
      </c>
      <c r="J220" s="355" t="str">
        <f>image("https://archives.bulbagarden.net/media/upload/d/d5/220MS6.png", 3)</f>
        <v/>
      </c>
      <c r="K220" s="11" t="s">
        <v>2116</v>
      </c>
      <c r="L220" s="12"/>
      <c r="M220" s="12"/>
      <c r="N220" s="12"/>
      <c r="O220" s="12"/>
      <c r="Q220" s="71">
        <v>50.0</v>
      </c>
      <c r="R220" s="72">
        <v>50.0</v>
      </c>
      <c r="S220" s="73">
        <v>40.0</v>
      </c>
      <c r="T220" s="74">
        <v>30.0</v>
      </c>
      <c r="U220" s="75">
        <v>30.0</v>
      </c>
      <c r="V220" s="76">
        <v>50.0</v>
      </c>
      <c r="W220" s="77">
        <v>250.0</v>
      </c>
      <c r="X220" s="21"/>
      <c r="Y220" s="71">
        <v>50.0</v>
      </c>
      <c r="Z220" s="72">
        <v>50.0</v>
      </c>
      <c r="AA220" s="73">
        <v>40.0</v>
      </c>
      <c r="AB220" s="74">
        <v>30.0</v>
      </c>
      <c r="AC220" s="75">
        <v>30.0</v>
      </c>
      <c r="AD220" s="76">
        <v>50.0</v>
      </c>
      <c r="AE220" s="77">
        <v>250.0</v>
      </c>
      <c r="AF220" s="21"/>
      <c r="AG220" s="71">
        <v>50.0</v>
      </c>
      <c r="AH220" s="72">
        <v>50.0</v>
      </c>
      <c r="AI220" s="73">
        <v>40.0</v>
      </c>
      <c r="AJ220" s="74">
        <v>30.0</v>
      </c>
      <c r="AK220" s="75">
        <v>30.0</v>
      </c>
      <c r="AL220" s="76">
        <v>50.0</v>
      </c>
      <c r="AM220" s="77">
        <v>250.0</v>
      </c>
      <c r="AN220" s="21"/>
      <c r="AO220" s="22">
        <v>50.0</v>
      </c>
      <c r="AP220" s="23">
        <v>50.0</v>
      </c>
      <c r="AQ220" s="23">
        <v>40.0</v>
      </c>
      <c r="AR220" s="23">
        <v>30.0</v>
      </c>
      <c r="AS220" s="23">
        <v>30.0</v>
      </c>
      <c r="AT220" s="23">
        <v>50.0</v>
      </c>
      <c r="AU220" s="24">
        <v>250.0</v>
      </c>
      <c r="AV220" s="21"/>
      <c r="AW220" s="265">
        <v>50.0</v>
      </c>
      <c r="AX220" s="79">
        <v>50.0</v>
      </c>
      <c r="AY220" s="124">
        <v>40.0</v>
      </c>
      <c r="AZ220" s="124">
        <v>30.0</v>
      </c>
      <c r="BA220" s="124">
        <v>30.0</v>
      </c>
      <c r="BB220" s="79">
        <v>50.0</v>
      </c>
      <c r="BC220" s="125">
        <v>250.0</v>
      </c>
      <c r="BE220" s="194" t="s">
        <v>325</v>
      </c>
      <c r="BF220" s="338"/>
      <c r="BG220" s="128"/>
      <c r="BI220" s="31" t="s">
        <v>5</v>
      </c>
      <c r="BJ220" s="32">
        <v>1.0</v>
      </c>
      <c r="BK220" s="32" t="s">
        <v>5</v>
      </c>
      <c r="BL220" s="32" t="s">
        <v>5</v>
      </c>
      <c r="BM220" s="32" t="s">
        <v>5</v>
      </c>
      <c r="BN220" s="33" t="s">
        <v>5</v>
      </c>
      <c r="BP220" s="85" t="s">
        <v>120</v>
      </c>
      <c r="BQ220" s="86" t="s">
        <v>79</v>
      </c>
      <c r="BS220" s="87" t="s">
        <v>120</v>
      </c>
      <c r="BT220" s="88" t="s">
        <v>79</v>
      </c>
      <c r="BU220" s="37" t="str">
        <f t="shared" si="1"/>
        <v>#NAME?</v>
      </c>
      <c r="BV220" s="89" t="s">
        <v>120</v>
      </c>
      <c r="BW220" s="37" t="str">
        <f t="shared" si="2"/>
        <v>#NAME?</v>
      </c>
      <c r="BX220" s="89" t="s">
        <v>79</v>
      </c>
      <c r="BY220" s="39"/>
      <c r="BZ220" s="39"/>
      <c r="CA220" s="40" t="s">
        <v>2119</v>
      </c>
      <c r="CB220" s="41"/>
      <c r="CC220" s="90" t="s">
        <v>120</v>
      </c>
      <c r="CD220" s="91" t="s">
        <v>79</v>
      </c>
      <c r="CE220" s="2"/>
      <c r="CF220" s="92" t="s">
        <v>870</v>
      </c>
      <c r="CG220" s="93" t="s">
        <v>1467</v>
      </c>
      <c r="CH220" s="2"/>
      <c r="CI220" s="46" t="s">
        <v>944</v>
      </c>
      <c r="CJ220" s="95" t="s">
        <v>1467</v>
      </c>
      <c r="CK220" s="2"/>
      <c r="CL220" s="22" t="s">
        <v>44</v>
      </c>
      <c r="CM220" s="12"/>
      <c r="CN220" s="48"/>
      <c r="CO220" s="96" t="s">
        <v>1467</v>
      </c>
      <c r="CP220" s="2"/>
      <c r="CQ220" s="2" t="s">
        <v>1051</v>
      </c>
      <c r="CR220" s="97">
        <v>20.0</v>
      </c>
      <c r="CS220" s="2" t="s">
        <v>325</v>
      </c>
      <c r="CT220" s="98">
        <v>78.0</v>
      </c>
      <c r="CU220" s="2"/>
      <c r="CV220" s="52" t="s">
        <v>149</v>
      </c>
      <c r="CW220" s="52" t="s">
        <v>149</v>
      </c>
      <c r="CX220" s="2"/>
      <c r="CY220" s="334" t="s">
        <v>277</v>
      </c>
      <c r="CZ220" s="337"/>
      <c r="DA220" s="2"/>
      <c r="DB220" s="98">
        <v>225.0</v>
      </c>
      <c r="DC220" s="2"/>
      <c r="DD220" s="101" t="s">
        <v>683</v>
      </c>
      <c r="DE220" s="2"/>
      <c r="DF220" s="365" t="s">
        <v>2120</v>
      </c>
      <c r="DG220" s="336"/>
      <c r="DH220" s="336"/>
      <c r="DI220" s="21"/>
      <c r="DJ220" s="21"/>
      <c r="DK220" s="59" t="s">
        <v>2121</v>
      </c>
      <c r="DL220" s="37" t="s">
        <v>61</v>
      </c>
      <c r="DM220" s="37" t="str">
        <f t="shared" si="3"/>
        <v>#NAME?</v>
      </c>
      <c r="DN220" s="61"/>
      <c r="DO220" s="37" t="s">
        <v>2122</v>
      </c>
      <c r="DP220" s="105">
        <v>1.0</v>
      </c>
      <c r="DQ220" s="62" t="s">
        <v>49</v>
      </c>
      <c r="DR220" s="63"/>
      <c r="DS220" s="198"/>
      <c r="DT220" s="108"/>
      <c r="DU220" s="108"/>
      <c r="DV220" s="182"/>
      <c r="DW220" s="182"/>
      <c r="DX220" s="182"/>
      <c r="DY220" s="182"/>
      <c r="DZ220" s="182"/>
      <c r="EA220" s="182"/>
      <c r="EB220" s="2"/>
      <c r="EC220" s="2"/>
      <c r="ED220" s="2"/>
      <c r="EE220" s="2"/>
      <c r="EF220" s="149" t="s">
        <v>2123</v>
      </c>
      <c r="EG220" s="69" t="str">
        <f>image("https://www.pokebip.com/pages/icones/objets/pv-plus.png", 3)</f>
        <v/>
      </c>
      <c r="EH220" s="69"/>
      <c r="EI220" s="69"/>
    </row>
    <row r="221" ht="15.75" customHeight="1">
      <c r="A221" s="1">
        <v>221.0</v>
      </c>
      <c r="B221" s="2" t="s">
        <v>2124</v>
      </c>
      <c r="C221" s="7"/>
      <c r="D221" s="167" t="s">
        <v>2125</v>
      </c>
      <c r="E221" s="5"/>
      <c r="F221" s="168"/>
      <c r="G221" s="7"/>
      <c r="H221" s="8" t="s">
        <v>2126</v>
      </c>
      <c r="I221" s="9" t="s">
        <v>2127</v>
      </c>
      <c r="J221" s="355" t="str">
        <f>image("https://archives.bulbagarden.net/media/upload/c/c7/221MS6.png", 3)</f>
        <v/>
      </c>
      <c r="K221" s="11" t="s">
        <v>2125</v>
      </c>
      <c r="L221" s="12"/>
      <c r="M221" s="12"/>
      <c r="N221" s="12"/>
      <c r="O221" s="12"/>
      <c r="Q221" s="71">
        <v>100.0</v>
      </c>
      <c r="R221" s="72">
        <v>100.0</v>
      </c>
      <c r="S221" s="73">
        <v>80.0</v>
      </c>
      <c r="T221" s="74">
        <v>60.0</v>
      </c>
      <c r="U221" s="75">
        <v>60.0</v>
      </c>
      <c r="V221" s="76">
        <v>50.0</v>
      </c>
      <c r="W221" s="77">
        <v>450.0</v>
      </c>
      <c r="X221" s="21"/>
      <c r="Y221" s="71">
        <v>100.0</v>
      </c>
      <c r="Z221" s="72">
        <v>100.0</v>
      </c>
      <c r="AA221" s="73">
        <v>80.0</v>
      </c>
      <c r="AB221" s="74">
        <v>60.0</v>
      </c>
      <c r="AC221" s="75">
        <v>60.0</v>
      </c>
      <c r="AD221" s="76">
        <v>50.0</v>
      </c>
      <c r="AE221" s="77">
        <v>450.0</v>
      </c>
      <c r="AF221" s="21"/>
      <c r="AG221" s="71">
        <v>100.0</v>
      </c>
      <c r="AH221" s="72">
        <v>100.0</v>
      </c>
      <c r="AI221" s="73">
        <v>80.0</v>
      </c>
      <c r="AJ221" s="74">
        <v>60.0</v>
      </c>
      <c r="AK221" s="75">
        <v>60.0</v>
      </c>
      <c r="AL221" s="76">
        <v>50.0</v>
      </c>
      <c r="AM221" s="77">
        <v>450.0</v>
      </c>
      <c r="AN221" s="21"/>
      <c r="AO221" s="22">
        <v>100.0</v>
      </c>
      <c r="AP221" s="23">
        <v>100.0</v>
      </c>
      <c r="AQ221" s="23">
        <v>80.0</v>
      </c>
      <c r="AR221" s="23">
        <v>60.0</v>
      </c>
      <c r="AS221" s="23">
        <v>60.0</v>
      </c>
      <c r="AT221" s="23">
        <v>50.0</v>
      </c>
      <c r="AU221" s="24">
        <v>450.0</v>
      </c>
      <c r="AV221" s="21"/>
      <c r="AW221" s="258">
        <v>100.0</v>
      </c>
      <c r="AX221" s="80">
        <v>100.0</v>
      </c>
      <c r="AY221" s="80">
        <v>80.0</v>
      </c>
      <c r="AZ221" s="80">
        <v>60.0</v>
      </c>
      <c r="BA221" s="80">
        <v>60.0</v>
      </c>
      <c r="BB221" s="79">
        <v>50.0</v>
      </c>
      <c r="BC221" s="81">
        <v>450.0</v>
      </c>
      <c r="BE221" s="151" t="s">
        <v>144</v>
      </c>
      <c r="BF221" s="270" t="s">
        <v>325</v>
      </c>
      <c r="BG221" s="93"/>
      <c r="BI221" s="31">
        <v>1.0</v>
      </c>
      <c r="BJ221" s="32">
        <v>1.0</v>
      </c>
      <c r="BK221" s="32" t="s">
        <v>5</v>
      </c>
      <c r="BL221" s="32" t="s">
        <v>5</v>
      </c>
      <c r="BM221" s="32" t="s">
        <v>5</v>
      </c>
      <c r="BN221" s="33" t="s">
        <v>5</v>
      </c>
      <c r="BP221" s="115" t="s">
        <v>120</v>
      </c>
      <c r="BQ221" s="116" t="s">
        <v>79</v>
      </c>
      <c r="BS221" s="115" t="s">
        <v>120</v>
      </c>
      <c r="BT221" s="117" t="s">
        <v>79</v>
      </c>
      <c r="BU221" s="37" t="str">
        <f t="shared" si="1"/>
        <v>#NAME?</v>
      </c>
      <c r="BV221" s="89" t="s">
        <v>120</v>
      </c>
      <c r="BW221" s="37" t="str">
        <f t="shared" si="2"/>
        <v>#NAME?</v>
      </c>
      <c r="BX221" s="89" t="s">
        <v>79</v>
      </c>
      <c r="BY221" s="39"/>
      <c r="BZ221" s="39"/>
      <c r="CA221" s="40" t="s">
        <v>2119</v>
      </c>
      <c r="CB221" s="41"/>
      <c r="CC221" s="90" t="s">
        <v>120</v>
      </c>
      <c r="CD221" s="91" t="s">
        <v>79</v>
      </c>
      <c r="CE221" s="2"/>
      <c r="CF221" s="92" t="s">
        <v>870</v>
      </c>
      <c r="CG221" s="93" t="s">
        <v>1467</v>
      </c>
      <c r="CH221" s="2"/>
      <c r="CI221" s="368" t="s">
        <v>944</v>
      </c>
      <c r="CJ221" s="93" t="s">
        <v>1467</v>
      </c>
      <c r="CK221" s="2"/>
      <c r="CL221" s="22" t="s">
        <v>44</v>
      </c>
      <c r="CM221" s="12"/>
      <c r="CN221" s="48"/>
      <c r="CO221" s="96" t="s">
        <v>1467</v>
      </c>
      <c r="CP221" s="2"/>
      <c r="CQ221" s="2" t="s">
        <v>2128</v>
      </c>
      <c r="CR221" s="97">
        <v>80.0</v>
      </c>
      <c r="CS221" s="2" t="s">
        <v>972</v>
      </c>
      <c r="CT221" s="98">
        <v>160.0</v>
      </c>
      <c r="CU221" s="2"/>
      <c r="CV221" s="52" t="s">
        <v>149</v>
      </c>
      <c r="CW221" s="52" t="s">
        <v>149</v>
      </c>
      <c r="CX221" s="2"/>
      <c r="CY221" s="119" t="s">
        <v>277</v>
      </c>
      <c r="CZ221" s="160"/>
      <c r="DA221" s="2"/>
      <c r="DB221" s="98">
        <v>75.0</v>
      </c>
      <c r="DC221" s="2"/>
      <c r="DD221" s="101" t="s">
        <v>683</v>
      </c>
      <c r="DE221" s="2"/>
      <c r="DF221" s="120" t="s">
        <v>2129</v>
      </c>
      <c r="DG221" s="121"/>
      <c r="DH221" s="121"/>
      <c r="DI221" s="2"/>
      <c r="DJ221" s="2"/>
      <c r="DK221" s="59" t="s">
        <v>2130</v>
      </c>
      <c r="DL221" s="37" t="s">
        <v>61</v>
      </c>
      <c r="DM221" s="37" t="str">
        <f t="shared" si="3"/>
        <v>#NAME?</v>
      </c>
      <c r="DN221" s="61"/>
      <c r="DO221" s="37" t="s">
        <v>19</v>
      </c>
      <c r="DP221" s="105">
        <v>1.0</v>
      </c>
      <c r="DQ221" s="62" t="s">
        <v>49</v>
      </c>
      <c r="DR221" s="63"/>
      <c r="DS221" s="198"/>
      <c r="DT221" s="108"/>
      <c r="DU221" s="108"/>
      <c r="DV221" s="182"/>
      <c r="DW221" s="182"/>
      <c r="DX221" s="182"/>
      <c r="DY221" s="182"/>
      <c r="DZ221" s="182"/>
      <c r="EA221" s="182"/>
      <c r="EB221" s="2"/>
      <c r="EC221" s="2"/>
      <c r="ED221" s="2"/>
      <c r="EE221" s="2"/>
      <c r="EF221" s="149" t="s">
        <v>2131</v>
      </c>
      <c r="EG221" s="69" t="str">
        <f>image("https://www.pokebip.com/pages/icones/objets/proteine.png", 3)</f>
        <v/>
      </c>
      <c r="EH221" s="69"/>
      <c r="EI221" s="69"/>
    </row>
    <row r="222" ht="15.75" customHeight="1">
      <c r="A222" s="1">
        <v>222.0</v>
      </c>
      <c r="B222" s="2" t="s">
        <v>2132</v>
      </c>
      <c r="C222" s="7"/>
      <c r="D222" s="213" t="s">
        <v>2133</v>
      </c>
      <c r="E222" s="5"/>
      <c r="F222" s="214"/>
      <c r="G222" s="7"/>
      <c r="H222" s="8" t="s">
        <v>2134</v>
      </c>
      <c r="I222" s="9" t="s">
        <v>2135</v>
      </c>
      <c r="J222" s="355" t="str">
        <f>image("https://archives.bulbagarden.net/media/upload/c/ce/222MS6.png", 3)</f>
        <v/>
      </c>
      <c r="K222" s="11" t="s">
        <v>2133</v>
      </c>
      <c r="L222" s="12"/>
      <c r="M222" s="12"/>
      <c r="N222" s="12"/>
      <c r="O222" s="12"/>
      <c r="Q222" s="71">
        <v>55.0</v>
      </c>
      <c r="R222" s="72">
        <v>55.0</v>
      </c>
      <c r="S222" s="73">
        <v>85.0</v>
      </c>
      <c r="T222" s="74">
        <v>65.0</v>
      </c>
      <c r="U222" s="75">
        <v>85.0</v>
      </c>
      <c r="V222" s="76">
        <v>35.0</v>
      </c>
      <c r="W222" s="77">
        <v>380.0</v>
      </c>
      <c r="X222" s="21"/>
      <c r="Y222" s="261">
        <v>65.0</v>
      </c>
      <c r="Z222" s="72">
        <v>55.0</v>
      </c>
      <c r="AA222" s="109">
        <v>95.0</v>
      </c>
      <c r="AB222" s="74">
        <v>65.0</v>
      </c>
      <c r="AC222" s="109">
        <v>95.0</v>
      </c>
      <c r="AD222" s="76">
        <v>35.0</v>
      </c>
      <c r="AE222" s="110">
        <v>410.0</v>
      </c>
      <c r="AF222" s="21"/>
      <c r="AG222" s="261">
        <v>65.0</v>
      </c>
      <c r="AH222" s="162">
        <v>45.0</v>
      </c>
      <c r="AI222" s="109">
        <v>115.0</v>
      </c>
      <c r="AJ222" s="109">
        <v>90.0</v>
      </c>
      <c r="AK222" s="109">
        <v>115.0</v>
      </c>
      <c r="AL222" s="76">
        <v>35.0</v>
      </c>
      <c r="AM222" s="110">
        <v>465.0</v>
      </c>
      <c r="AN222" s="21"/>
      <c r="AO222" s="22" t="s">
        <v>247</v>
      </c>
      <c r="AP222" s="23" t="s">
        <v>174</v>
      </c>
      <c r="AQ222" s="23" t="s">
        <v>213</v>
      </c>
      <c r="AR222" s="23" t="s">
        <v>128</v>
      </c>
      <c r="AS222" s="23" t="s">
        <v>213</v>
      </c>
      <c r="AT222" s="23">
        <v>35.0</v>
      </c>
      <c r="AU222" s="24" t="s">
        <v>638</v>
      </c>
      <c r="AV222" s="21"/>
      <c r="AW222" s="187">
        <v>65.0</v>
      </c>
      <c r="AX222" s="163">
        <v>45.0</v>
      </c>
      <c r="AY222" s="164">
        <v>115.0</v>
      </c>
      <c r="AZ222" s="111">
        <v>90.0</v>
      </c>
      <c r="BA222" s="111">
        <v>115.0</v>
      </c>
      <c r="BB222" s="79">
        <v>35.0</v>
      </c>
      <c r="BC222" s="111">
        <v>465.0</v>
      </c>
      <c r="BE222" s="142" t="s">
        <v>101</v>
      </c>
      <c r="BF222" s="83" t="s">
        <v>27</v>
      </c>
      <c r="BG222" s="129"/>
      <c r="BI222" s="31" t="s">
        <v>5</v>
      </c>
      <c r="BJ222" s="32" t="s">
        <v>5</v>
      </c>
      <c r="BK222" s="32">
        <v>1.0</v>
      </c>
      <c r="BL222" s="32" t="s">
        <v>5</v>
      </c>
      <c r="BM222" s="32">
        <v>1.0</v>
      </c>
      <c r="BN222" s="33" t="s">
        <v>5</v>
      </c>
      <c r="BP222" s="85" t="s">
        <v>32</v>
      </c>
      <c r="BQ222" s="86" t="s">
        <v>66</v>
      </c>
      <c r="BS222" s="87" t="s">
        <v>32</v>
      </c>
      <c r="BT222" s="88" t="s">
        <v>66</v>
      </c>
      <c r="BU222" s="37" t="str">
        <f t="shared" si="1"/>
        <v>#NAME?</v>
      </c>
      <c r="BV222" s="89" t="s">
        <v>32</v>
      </c>
      <c r="BW222" s="37" t="str">
        <f t="shared" si="2"/>
        <v>#NAME?</v>
      </c>
      <c r="BX222" s="89" t="s">
        <v>66</v>
      </c>
      <c r="BY222" s="39"/>
      <c r="BZ222" s="39"/>
      <c r="CA222" s="40" t="s">
        <v>2136</v>
      </c>
      <c r="CB222" s="41"/>
      <c r="CC222" s="90" t="s">
        <v>32</v>
      </c>
      <c r="CD222" s="91" t="s">
        <v>66</v>
      </c>
      <c r="CE222" s="2"/>
      <c r="CF222" s="92" t="s">
        <v>1733</v>
      </c>
      <c r="CG222" s="93" t="s">
        <v>1182</v>
      </c>
      <c r="CH222" s="2"/>
      <c r="CI222" s="175" t="s">
        <v>1733</v>
      </c>
      <c r="CJ222" s="93" t="s">
        <v>1182</v>
      </c>
      <c r="CK222" s="2"/>
      <c r="CL222" s="22" t="s">
        <v>1733</v>
      </c>
      <c r="CM222" s="12"/>
      <c r="CN222" s="48"/>
      <c r="CO222" s="96" t="s">
        <v>1182</v>
      </c>
      <c r="CP222" s="2"/>
      <c r="CQ222" s="2" t="s">
        <v>1955</v>
      </c>
      <c r="CR222" s="97">
        <v>20.0</v>
      </c>
      <c r="CS222" s="2" t="s">
        <v>117</v>
      </c>
      <c r="CT222" s="98">
        <v>113.0</v>
      </c>
      <c r="CU222" s="2"/>
      <c r="CV222" s="52" t="s">
        <v>466</v>
      </c>
      <c r="CW222" s="347">
        <v>0.75</v>
      </c>
      <c r="CX222" s="2"/>
      <c r="CY222" s="333" t="s">
        <v>106</v>
      </c>
      <c r="CZ222" s="334" t="s">
        <v>807</v>
      </c>
      <c r="DA222" s="2"/>
      <c r="DB222" s="98">
        <v>60.0</v>
      </c>
      <c r="DC222" s="2"/>
      <c r="DD222" s="101" t="s">
        <v>468</v>
      </c>
      <c r="DE222" s="2"/>
      <c r="DF222" s="335" t="s">
        <v>914</v>
      </c>
      <c r="DG222" s="369" t="s">
        <v>2137</v>
      </c>
      <c r="DH222" s="336"/>
      <c r="DI222" s="2"/>
      <c r="DJ222" s="2"/>
      <c r="DK222" s="59" t="s">
        <v>2138</v>
      </c>
      <c r="DL222" s="37" t="s">
        <v>61</v>
      </c>
      <c r="DM222" s="37" t="str">
        <f t="shared" si="3"/>
        <v>#NAME?</v>
      </c>
      <c r="DN222" s="61"/>
      <c r="DO222" s="37">
        <v>60.0</v>
      </c>
      <c r="DP222" s="105">
        <v>1.0</v>
      </c>
      <c r="DQ222" s="62" t="s">
        <v>20</v>
      </c>
      <c r="DR222" s="63"/>
      <c r="DS222" s="198"/>
      <c r="DT222" s="108"/>
      <c r="DU222" s="108"/>
      <c r="DV222" s="182"/>
      <c r="DW222" s="182"/>
      <c r="DX222" s="182"/>
      <c r="DY222" s="182"/>
      <c r="DZ222" s="182"/>
      <c r="EA222" s="182"/>
      <c r="EB222" s="21"/>
      <c r="EC222" s="21"/>
      <c r="ED222" s="21"/>
      <c r="EE222" s="21"/>
      <c r="EF222" s="149" t="s">
        <v>2139</v>
      </c>
      <c r="EG222" s="69" t="str">
        <f>image("https://www.pokebip.com/pages/icones/objets/fer.png", 3)</f>
        <v/>
      </c>
      <c r="EH222" s="69"/>
      <c r="EI222" s="69"/>
    </row>
    <row r="223" ht="15.75" customHeight="1">
      <c r="A223" s="1">
        <v>223.0</v>
      </c>
      <c r="B223" s="2" t="s">
        <v>2140</v>
      </c>
      <c r="C223" s="7"/>
      <c r="D223" s="247" t="s">
        <v>2141</v>
      </c>
      <c r="E223" s="5"/>
      <c r="F223" s="248"/>
      <c r="G223" s="7"/>
      <c r="H223" s="8" t="s">
        <v>2142</v>
      </c>
      <c r="I223" s="9" t="s">
        <v>2143</v>
      </c>
      <c r="J223" s="355" t="str">
        <f>image("https://archives.bulbagarden.net/media/upload/6/61/223MS6.png", 3)</f>
        <v/>
      </c>
      <c r="K223" s="11" t="s">
        <v>2141</v>
      </c>
      <c r="L223" s="12"/>
      <c r="M223" s="12"/>
      <c r="N223" s="12"/>
      <c r="O223" s="12"/>
      <c r="Q223" s="71">
        <v>35.0</v>
      </c>
      <c r="R223" s="72">
        <v>65.0</v>
      </c>
      <c r="S223" s="73">
        <v>35.0</v>
      </c>
      <c r="T223" s="74">
        <v>65.0</v>
      </c>
      <c r="U223" s="75">
        <v>35.0</v>
      </c>
      <c r="V223" s="76">
        <v>65.0</v>
      </c>
      <c r="W223" s="77">
        <v>300.0</v>
      </c>
      <c r="X223" s="21"/>
      <c r="Y223" s="71">
        <v>35.0</v>
      </c>
      <c r="Z223" s="72">
        <v>65.0</v>
      </c>
      <c r="AA223" s="73">
        <v>35.0</v>
      </c>
      <c r="AB223" s="74">
        <v>65.0</v>
      </c>
      <c r="AC223" s="75">
        <v>35.0</v>
      </c>
      <c r="AD223" s="76">
        <v>65.0</v>
      </c>
      <c r="AE223" s="77">
        <v>300.0</v>
      </c>
      <c r="AF223" s="21"/>
      <c r="AG223" s="71">
        <v>35.0</v>
      </c>
      <c r="AH223" s="72">
        <v>65.0</v>
      </c>
      <c r="AI223" s="73">
        <v>35.0</v>
      </c>
      <c r="AJ223" s="74">
        <v>65.0</v>
      </c>
      <c r="AK223" s="75">
        <v>35.0</v>
      </c>
      <c r="AL223" s="76">
        <v>65.0</v>
      </c>
      <c r="AM223" s="77">
        <v>300.0</v>
      </c>
      <c r="AN223" s="21"/>
      <c r="AO223" s="22">
        <v>35.0</v>
      </c>
      <c r="AP223" s="23">
        <v>65.0</v>
      </c>
      <c r="AQ223" s="23">
        <v>35.0</v>
      </c>
      <c r="AR223" s="23">
        <v>65.0</v>
      </c>
      <c r="AS223" s="23">
        <v>35.0</v>
      </c>
      <c r="AT223" s="23">
        <v>65.0</v>
      </c>
      <c r="AU223" s="24">
        <v>300.0</v>
      </c>
      <c r="AV223" s="21"/>
      <c r="AW223" s="265">
        <v>35.0</v>
      </c>
      <c r="AX223" s="124">
        <v>65.0</v>
      </c>
      <c r="AY223" s="124">
        <v>35.0</v>
      </c>
      <c r="AZ223" s="124">
        <v>65.0</v>
      </c>
      <c r="BA223" s="124">
        <v>35.0</v>
      </c>
      <c r="BB223" s="79">
        <v>65.0</v>
      </c>
      <c r="BC223" s="125">
        <v>300.0</v>
      </c>
      <c r="BE223" s="82" t="s">
        <v>4</v>
      </c>
      <c r="BF223" s="184"/>
      <c r="BG223" s="128"/>
      <c r="BI223" s="31" t="s">
        <v>5</v>
      </c>
      <c r="BJ223" s="32" t="s">
        <v>5</v>
      </c>
      <c r="BK223" s="32" t="s">
        <v>5</v>
      </c>
      <c r="BL223" s="32">
        <v>1.0</v>
      </c>
      <c r="BM223" s="32" t="s">
        <v>5</v>
      </c>
      <c r="BN223" s="33" t="s">
        <v>5</v>
      </c>
      <c r="BP223" s="115" t="s">
        <v>32</v>
      </c>
      <c r="BQ223" s="93"/>
      <c r="BS223" s="115" t="s">
        <v>32</v>
      </c>
      <c r="BT223" s="133"/>
      <c r="BU223" s="37" t="str">
        <f t="shared" si="1"/>
        <v>#NAME?</v>
      </c>
      <c r="BV223" s="89" t="s">
        <v>32</v>
      </c>
      <c r="BW223" s="37" t="str">
        <f t="shared" si="2"/>
        <v>#NAME?</v>
      </c>
      <c r="BX223" s="89"/>
      <c r="BY223" s="39"/>
      <c r="BZ223" s="39"/>
      <c r="CA223" s="40" t="s">
        <v>32</v>
      </c>
      <c r="CB223" s="41"/>
      <c r="CC223" s="90" t="s">
        <v>32</v>
      </c>
      <c r="CD223" s="91"/>
      <c r="CE223" s="21"/>
      <c r="CF223" s="92" t="s">
        <v>1733</v>
      </c>
      <c r="CG223" s="93" t="s">
        <v>301</v>
      </c>
      <c r="CH223" s="21"/>
      <c r="CI223" s="92" t="s">
        <v>1733</v>
      </c>
      <c r="CJ223" s="93" t="s">
        <v>301</v>
      </c>
      <c r="CK223" s="21"/>
      <c r="CL223" s="22" t="s">
        <v>1733</v>
      </c>
      <c r="CM223" s="12"/>
      <c r="CN223" s="48"/>
      <c r="CO223" s="96" t="s">
        <v>301</v>
      </c>
      <c r="CP223" s="21"/>
      <c r="CQ223" s="2" t="s">
        <v>377</v>
      </c>
      <c r="CR223" s="97">
        <v>40.0</v>
      </c>
      <c r="CS223" s="2" t="s">
        <v>4</v>
      </c>
      <c r="CT223" s="98">
        <v>78.0</v>
      </c>
      <c r="CU223" s="2"/>
      <c r="CV223" s="52" t="s">
        <v>149</v>
      </c>
      <c r="CW223" s="52" t="s">
        <v>149</v>
      </c>
      <c r="CX223" s="2"/>
      <c r="CY223" s="118" t="s">
        <v>106</v>
      </c>
      <c r="CZ223" s="119" t="s">
        <v>1236</v>
      </c>
      <c r="DA223" s="2"/>
      <c r="DB223" s="98">
        <v>190.0</v>
      </c>
      <c r="DC223" s="2"/>
      <c r="DD223" s="101" t="s">
        <v>150</v>
      </c>
      <c r="DE223" s="2"/>
      <c r="DF223" s="148" t="s">
        <v>2144</v>
      </c>
      <c r="DG223" s="121"/>
      <c r="DH223" s="121"/>
      <c r="DI223" s="21"/>
      <c r="DJ223" s="21"/>
      <c r="DK223" s="59" t="s">
        <v>2145</v>
      </c>
      <c r="DL223" s="37" t="s">
        <v>122</v>
      </c>
      <c r="DM223" s="37" t="str">
        <f t="shared" si="3"/>
        <v>#NAME?</v>
      </c>
      <c r="DN223" s="61"/>
      <c r="DO223" s="37">
        <v>100.0</v>
      </c>
      <c r="DP223" s="105">
        <v>1.0</v>
      </c>
      <c r="DQ223" s="62" t="s">
        <v>93</v>
      </c>
      <c r="DR223" s="63"/>
      <c r="DS223" s="198"/>
      <c r="DT223" s="108"/>
      <c r="DU223" s="108"/>
      <c r="DV223" s="182"/>
      <c r="DW223" s="182"/>
      <c r="DX223" s="182"/>
      <c r="DY223" s="182"/>
      <c r="DZ223" s="182"/>
      <c r="EA223" s="182"/>
      <c r="EB223" s="2"/>
      <c r="EC223" s="2"/>
      <c r="ED223" s="2"/>
      <c r="EE223" s="2"/>
      <c r="EF223" s="149" t="s">
        <v>2146</v>
      </c>
      <c r="EG223" s="69" t="str">
        <f>image("https://www.pokebip.com/pages/icones/objets/calcium.png", 3)</f>
        <v/>
      </c>
      <c r="EH223" s="69"/>
      <c r="EI223" s="69"/>
    </row>
    <row r="224" ht="15.75" customHeight="1">
      <c r="A224" s="1">
        <v>224.0</v>
      </c>
      <c r="B224" s="2" t="s">
        <v>2147</v>
      </c>
      <c r="C224" s="7"/>
      <c r="D224" s="122" t="s">
        <v>2148</v>
      </c>
      <c r="E224" s="5"/>
      <c r="F224" s="123"/>
      <c r="G224" s="7"/>
      <c r="H224" s="8" t="s">
        <v>2149</v>
      </c>
      <c r="I224" s="9" t="s">
        <v>2150</v>
      </c>
      <c r="J224" s="355" t="str">
        <f>image("https://archives.bulbagarden.net/media/upload/d/da/224MS6.png", 3)</f>
        <v/>
      </c>
      <c r="K224" s="11" t="s">
        <v>2148</v>
      </c>
      <c r="L224" s="12"/>
      <c r="M224" s="12"/>
      <c r="N224" s="12"/>
      <c r="O224" s="12"/>
      <c r="Q224" s="71">
        <v>75.0</v>
      </c>
      <c r="R224" s="72">
        <v>105.0</v>
      </c>
      <c r="S224" s="73">
        <v>75.0</v>
      </c>
      <c r="T224" s="74">
        <v>105.0</v>
      </c>
      <c r="U224" s="75">
        <v>75.0</v>
      </c>
      <c r="V224" s="76">
        <v>45.0</v>
      </c>
      <c r="W224" s="77">
        <v>480.0</v>
      </c>
      <c r="X224" s="21"/>
      <c r="Y224" s="71">
        <v>75.0</v>
      </c>
      <c r="Z224" s="72">
        <v>105.0</v>
      </c>
      <c r="AA224" s="73">
        <v>75.0</v>
      </c>
      <c r="AB224" s="74">
        <v>105.0</v>
      </c>
      <c r="AC224" s="75">
        <v>75.0</v>
      </c>
      <c r="AD224" s="76">
        <v>45.0</v>
      </c>
      <c r="AE224" s="77">
        <v>480.0</v>
      </c>
      <c r="AF224" s="21"/>
      <c r="AG224" s="71">
        <v>75.0</v>
      </c>
      <c r="AH224" s="72">
        <v>105.0</v>
      </c>
      <c r="AI224" s="73">
        <v>75.0</v>
      </c>
      <c r="AJ224" s="74">
        <v>105.0</v>
      </c>
      <c r="AK224" s="75">
        <v>75.0</v>
      </c>
      <c r="AL224" s="76">
        <v>45.0</v>
      </c>
      <c r="AM224" s="77">
        <v>480.0</v>
      </c>
      <c r="AN224" s="21"/>
      <c r="AO224" s="22">
        <v>75.0</v>
      </c>
      <c r="AP224" s="23">
        <v>105.0</v>
      </c>
      <c r="AQ224" s="23">
        <v>75.0</v>
      </c>
      <c r="AR224" s="23">
        <v>105.0</v>
      </c>
      <c r="AS224" s="23">
        <v>75.0</v>
      </c>
      <c r="AT224" s="23">
        <v>45.0</v>
      </c>
      <c r="AU224" s="24">
        <v>480.0</v>
      </c>
      <c r="AV224" s="21"/>
      <c r="AW224" s="78">
        <v>75.0</v>
      </c>
      <c r="AX224" s="80">
        <v>105.0</v>
      </c>
      <c r="AY224" s="80">
        <v>75.0</v>
      </c>
      <c r="AZ224" s="80">
        <v>105.0</v>
      </c>
      <c r="BA224" s="80">
        <v>75.0</v>
      </c>
      <c r="BB224" s="80">
        <v>45.0</v>
      </c>
      <c r="BC224" s="81">
        <v>480.0</v>
      </c>
      <c r="BE224" s="194" t="s">
        <v>325</v>
      </c>
      <c r="BF224" s="285" t="s">
        <v>4</v>
      </c>
      <c r="BG224" s="129"/>
      <c r="BI224" s="31" t="s">
        <v>5</v>
      </c>
      <c r="BJ224" s="32">
        <v>1.0</v>
      </c>
      <c r="BK224" s="32" t="s">
        <v>5</v>
      </c>
      <c r="BL224" s="32">
        <v>1.0</v>
      </c>
      <c r="BM224" s="32" t="s">
        <v>5</v>
      </c>
      <c r="BN224" s="33" t="s">
        <v>5</v>
      </c>
      <c r="BP224" s="85" t="s">
        <v>32</v>
      </c>
      <c r="BQ224" s="129"/>
      <c r="BS224" s="87" t="s">
        <v>32</v>
      </c>
      <c r="BT224" s="130"/>
      <c r="BU224" s="37" t="str">
        <f t="shared" si="1"/>
        <v>#NAME?</v>
      </c>
      <c r="BV224" s="89" t="s">
        <v>32</v>
      </c>
      <c r="BW224" s="37" t="str">
        <f t="shared" si="2"/>
        <v>#NAME?</v>
      </c>
      <c r="BX224" s="89"/>
      <c r="BY224" s="39"/>
      <c r="BZ224" s="39"/>
      <c r="CA224" s="40" t="s">
        <v>32</v>
      </c>
      <c r="CB224" s="41"/>
      <c r="CC224" s="90" t="s">
        <v>32</v>
      </c>
      <c r="CD224" s="91"/>
      <c r="CE224" s="21"/>
      <c r="CF224" s="92" t="s">
        <v>2151</v>
      </c>
      <c r="CG224" s="93" t="s">
        <v>301</v>
      </c>
      <c r="CH224" s="21"/>
      <c r="CI224" s="92" t="s">
        <v>2151</v>
      </c>
      <c r="CJ224" s="93" t="s">
        <v>301</v>
      </c>
      <c r="CK224" s="21"/>
      <c r="CL224" s="22" t="s">
        <v>2151</v>
      </c>
      <c r="CM224" s="12"/>
      <c r="CN224" s="48"/>
      <c r="CO224" s="96" t="s">
        <v>301</v>
      </c>
      <c r="CP224" s="21"/>
      <c r="CQ224" s="2" t="s">
        <v>1811</v>
      </c>
      <c r="CR224" s="97">
        <v>60.0</v>
      </c>
      <c r="CS224" s="2" t="s">
        <v>1956</v>
      </c>
      <c r="CT224" s="98">
        <v>164.0</v>
      </c>
      <c r="CU224" s="2"/>
      <c r="CV224" s="52" t="s">
        <v>149</v>
      </c>
      <c r="CW224" s="52" t="s">
        <v>149</v>
      </c>
      <c r="CX224" s="2"/>
      <c r="CY224" s="333" t="s">
        <v>106</v>
      </c>
      <c r="CZ224" s="334" t="s">
        <v>1236</v>
      </c>
      <c r="DA224" s="2"/>
      <c r="DB224" s="98">
        <v>75.0</v>
      </c>
      <c r="DC224" s="2"/>
      <c r="DD224" s="101" t="s">
        <v>150</v>
      </c>
      <c r="DE224" s="2"/>
      <c r="DF224" s="335" t="s">
        <v>2152</v>
      </c>
      <c r="DG224" s="336"/>
      <c r="DH224" s="336"/>
      <c r="DI224" s="2"/>
      <c r="DJ224" s="2"/>
      <c r="DK224" s="59" t="s">
        <v>2153</v>
      </c>
      <c r="DL224" s="37" t="s">
        <v>79</v>
      </c>
      <c r="DM224" s="37" t="str">
        <f t="shared" si="3"/>
        <v>#NAME?</v>
      </c>
      <c r="DN224" s="61"/>
      <c r="DO224" s="37">
        <v>90.0</v>
      </c>
      <c r="DP224" s="105">
        <v>1.0</v>
      </c>
      <c r="DQ224" s="62" t="s">
        <v>49</v>
      </c>
      <c r="DR224" s="63"/>
      <c r="DS224" s="198"/>
      <c r="DT224" s="108"/>
      <c r="DU224" s="108"/>
      <c r="DV224" s="182"/>
      <c r="DW224" s="182"/>
      <c r="DX224" s="182"/>
      <c r="DY224" s="182"/>
      <c r="DZ224" s="182"/>
      <c r="EA224" s="182"/>
      <c r="EB224" s="21"/>
      <c r="EC224" s="21"/>
      <c r="ED224" s="21"/>
      <c r="EE224" s="21"/>
      <c r="EF224" s="149" t="s">
        <v>2154</v>
      </c>
      <c r="EG224" s="69" t="str">
        <f>image("https://www.pokebip.com/pages/icones/objets/zinc.png", 3)</f>
        <v/>
      </c>
      <c r="EH224" s="69"/>
      <c r="EI224" s="69"/>
    </row>
    <row r="225" ht="15.75" customHeight="1">
      <c r="A225" s="1">
        <v>225.0</v>
      </c>
      <c r="B225" s="2" t="s">
        <v>2155</v>
      </c>
      <c r="C225" s="7"/>
      <c r="D225" s="122" t="s">
        <v>2156</v>
      </c>
      <c r="E225" s="5"/>
      <c r="F225" s="123"/>
      <c r="G225" s="7"/>
      <c r="H225" s="8" t="s">
        <v>2157</v>
      </c>
      <c r="I225" s="9" t="s">
        <v>2158</v>
      </c>
      <c r="J225" s="355" t="str">
        <f>image("https://archives.bulbagarden.net/media/upload/2/26/225MS6.png", 3)</f>
        <v/>
      </c>
      <c r="K225" s="11" t="s">
        <v>2156</v>
      </c>
      <c r="L225" s="12"/>
      <c r="M225" s="12"/>
      <c r="N225" s="12"/>
      <c r="O225" s="12"/>
      <c r="Q225" s="71">
        <v>45.0</v>
      </c>
      <c r="R225" s="72">
        <v>55.0</v>
      </c>
      <c r="S225" s="73">
        <v>45.0</v>
      </c>
      <c r="T225" s="74">
        <v>65.0</v>
      </c>
      <c r="U225" s="75">
        <v>45.0</v>
      </c>
      <c r="V225" s="76">
        <v>75.0</v>
      </c>
      <c r="W225" s="77">
        <v>330.0</v>
      </c>
      <c r="X225" s="21"/>
      <c r="Y225" s="71">
        <v>45.0</v>
      </c>
      <c r="Z225" s="72">
        <v>55.0</v>
      </c>
      <c r="AA225" s="73">
        <v>45.0</v>
      </c>
      <c r="AB225" s="74">
        <v>65.0</v>
      </c>
      <c r="AC225" s="75">
        <v>45.0</v>
      </c>
      <c r="AD225" s="76">
        <v>75.0</v>
      </c>
      <c r="AE225" s="77">
        <v>330.0</v>
      </c>
      <c r="AF225" s="21"/>
      <c r="AG225" s="71">
        <v>45.0</v>
      </c>
      <c r="AH225" s="109">
        <v>85.0</v>
      </c>
      <c r="AI225" s="109">
        <v>50.0</v>
      </c>
      <c r="AJ225" s="109">
        <v>110.0</v>
      </c>
      <c r="AK225" s="109">
        <v>50.0</v>
      </c>
      <c r="AL225" s="109">
        <v>110.0</v>
      </c>
      <c r="AM225" s="110">
        <v>450.0</v>
      </c>
      <c r="AN225" s="21"/>
      <c r="AO225" s="22">
        <v>45.0</v>
      </c>
      <c r="AP225" s="23" t="s">
        <v>1621</v>
      </c>
      <c r="AQ225" s="23" t="s">
        <v>233</v>
      </c>
      <c r="AR225" s="23" t="s">
        <v>40</v>
      </c>
      <c r="AS225" s="23" t="s">
        <v>233</v>
      </c>
      <c r="AT225" s="23" t="s">
        <v>40</v>
      </c>
      <c r="AU225" s="24" t="s">
        <v>176</v>
      </c>
      <c r="AV225" s="21"/>
      <c r="AW225" s="258">
        <v>45.0</v>
      </c>
      <c r="AX225" s="111">
        <v>85.0</v>
      </c>
      <c r="AY225" s="111">
        <v>50.0</v>
      </c>
      <c r="AZ225" s="111">
        <v>110.0</v>
      </c>
      <c r="BA225" s="111">
        <v>50.0</v>
      </c>
      <c r="BB225" s="111">
        <v>110.0</v>
      </c>
      <c r="BC225" s="171">
        <v>450.0</v>
      </c>
      <c r="BE225" s="132" t="s">
        <v>56</v>
      </c>
      <c r="BF225" s="184"/>
      <c r="BG225" s="128"/>
      <c r="BI225" s="31" t="s">
        <v>5</v>
      </c>
      <c r="BJ225" s="32" t="s">
        <v>5</v>
      </c>
      <c r="BK225" s="32" t="s">
        <v>5</v>
      </c>
      <c r="BL225" s="32" t="s">
        <v>5</v>
      </c>
      <c r="BM225" s="32" t="s">
        <v>5</v>
      </c>
      <c r="BN225" s="33">
        <v>1.0</v>
      </c>
      <c r="BP225" s="115" t="s">
        <v>120</v>
      </c>
      <c r="BQ225" s="116" t="s">
        <v>18</v>
      </c>
      <c r="BS225" s="115" t="s">
        <v>120</v>
      </c>
      <c r="BT225" s="117" t="s">
        <v>18</v>
      </c>
      <c r="BU225" s="37" t="str">
        <f t="shared" si="1"/>
        <v>#NAME?</v>
      </c>
      <c r="BV225" s="89" t="s">
        <v>120</v>
      </c>
      <c r="BW225" s="37" t="str">
        <f t="shared" si="2"/>
        <v>#NAME?</v>
      </c>
      <c r="BX225" s="89" t="s">
        <v>18</v>
      </c>
      <c r="BY225" s="39"/>
      <c r="BZ225" s="39"/>
      <c r="CA225" s="40" t="s">
        <v>1466</v>
      </c>
      <c r="CB225" s="41"/>
      <c r="CC225" s="90" t="s">
        <v>120</v>
      </c>
      <c r="CD225" s="91" t="s">
        <v>18</v>
      </c>
      <c r="CE225" s="2"/>
      <c r="CF225" s="92" t="s">
        <v>666</v>
      </c>
      <c r="CG225" s="93" t="s">
        <v>1733</v>
      </c>
      <c r="CH225" s="2"/>
      <c r="CI225" s="92" t="s">
        <v>666</v>
      </c>
      <c r="CJ225" s="93" t="s">
        <v>1733</v>
      </c>
      <c r="CK225" s="2"/>
      <c r="CL225" s="22" t="s">
        <v>1278</v>
      </c>
      <c r="CM225" s="12"/>
      <c r="CN225" s="48"/>
      <c r="CO225" s="96" t="s">
        <v>1733</v>
      </c>
      <c r="CP225" s="2"/>
      <c r="CQ225" s="2" t="s">
        <v>2159</v>
      </c>
      <c r="CR225" s="97">
        <v>40.0</v>
      </c>
      <c r="CS225" s="2" t="s">
        <v>56</v>
      </c>
      <c r="CT225" s="98">
        <v>183.0</v>
      </c>
      <c r="CU225" s="2"/>
      <c r="CV225" s="52" t="s">
        <v>149</v>
      </c>
      <c r="CW225" s="52" t="s">
        <v>149</v>
      </c>
      <c r="CX225" s="2"/>
      <c r="CY225" s="118" t="s">
        <v>106</v>
      </c>
      <c r="CZ225" s="119" t="s">
        <v>277</v>
      </c>
      <c r="DA225" s="2"/>
      <c r="DB225" s="98">
        <v>45.0</v>
      </c>
      <c r="DC225" s="2"/>
      <c r="DD225" s="101" t="s">
        <v>468</v>
      </c>
      <c r="DE225" s="2"/>
      <c r="DF225" s="120" t="s">
        <v>914</v>
      </c>
      <c r="DG225" s="121"/>
      <c r="DH225" s="121"/>
      <c r="DI225" s="2"/>
      <c r="DJ225" s="2"/>
      <c r="DK225" s="59" t="s">
        <v>2160</v>
      </c>
      <c r="DL225" s="37" t="s">
        <v>34</v>
      </c>
      <c r="DM225" s="37" t="str">
        <f t="shared" si="3"/>
        <v>#NAME?</v>
      </c>
      <c r="DN225" s="61"/>
      <c r="DO225" s="37">
        <v>40.0</v>
      </c>
      <c r="DP225" s="105">
        <v>1.0</v>
      </c>
      <c r="DQ225" s="62" t="s">
        <v>206</v>
      </c>
      <c r="DR225" s="63"/>
      <c r="DS225" s="198"/>
      <c r="DT225" s="108"/>
      <c r="DU225" s="108"/>
      <c r="DV225" s="182"/>
      <c r="DW225" s="182"/>
      <c r="DX225" s="182"/>
      <c r="DY225" s="182"/>
      <c r="DZ225" s="182"/>
      <c r="EA225" s="182"/>
      <c r="EB225" s="2"/>
      <c r="EC225" s="2"/>
      <c r="ED225" s="2"/>
      <c r="EE225" s="2"/>
      <c r="EF225" s="149" t="s">
        <v>2161</v>
      </c>
      <c r="EG225" s="69" t="str">
        <f>image("https://www.pokebip.com/pages/icones/objets/carbone.png", 3)</f>
        <v/>
      </c>
      <c r="EH225" s="69"/>
      <c r="EI225" s="69"/>
    </row>
    <row r="226" ht="15.75" customHeight="1">
      <c r="A226" s="1">
        <v>226.0</v>
      </c>
      <c r="B226" s="2" t="s">
        <v>2162</v>
      </c>
      <c r="C226" s="7"/>
      <c r="D226" s="180" t="s">
        <v>2163</v>
      </c>
      <c r="E226" s="5"/>
      <c r="F226" s="181"/>
      <c r="G226" s="7"/>
      <c r="H226" s="8" t="s">
        <v>2164</v>
      </c>
      <c r="I226" s="9" t="s">
        <v>2165</v>
      </c>
      <c r="J226" s="355" t="str">
        <f>image("https://archives.bulbagarden.net/media/upload/8/8b/226MS6.png", 3)</f>
        <v/>
      </c>
      <c r="K226" s="11" t="s">
        <v>2163</v>
      </c>
      <c r="L226" s="12"/>
      <c r="M226" s="12"/>
      <c r="N226" s="12"/>
      <c r="O226" s="12"/>
      <c r="Q226" s="71">
        <v>65.0</v>
      </c>
      <c r="R226" s="72">
        <v>40.0</v>
      </c>
      <c r="S226" s="73">
        <v>70.0</v>
      </c>
      <c r="T226" s="74">
        <v>80.0</v>
      </c>
      <c r="U226" s="75">
        <v>140.0</v>
      </c>
      <c r="V226" s="76">
        <v>70.0</v>
      </c>
      <c r="W226" s="77">
        <v>465.0</v>
      </c>
      <c r="X226" s="21"/>
      <c r="Y226" s="261">
        <v>85.0</v>
      </c>
      <c r="Z226" s="72">
        <v>40.0</v>
      </c>
      <c r="AA226" s="73">
        <v>70.0</v>
      </c>
      <c r="AB226" s="74">
        <v>80.0</v>
      </c>
      <c r="AC226" s="75">
        <v>140.0</v>
      </c>
      <c r="AD226" s="76">
        <v>70.0</v>
      </c>
      <c r="AE226" s="110">
        <v>485.0</v>
      </c>
      <c r="AF226" s="21"/>
      <c r="AG226" s="261">
        <v>85.0</v>
      </c>
      <c r="AH226" s="72">
        <v>40.0</v>
      </c>
      <c r="AI226" s="73">
        <v>70.0</v>
      </c>
      <c r="AJ226" s="74">
        <v>80.0</v>
      </c>
      <c r="AK226" s="75">
        <v>140.0</v>
      </c>
      <c r="AL226" s="76">
        <v>70.0</v>
      </c>
      <c r="AM226" s="110">
        <v>485.0</v>
      </c>
      <c r="AN226" s="21"/>
      <c r="AO226" s="22" t="s">
        <v>1621</v>
      </c>
      <c r="AP226" s="23">
        <v>40.0</v>
      </c>
      <c r="AQ226" s="23">
        <v>70.0</v>
      </c>
      <c r="AR226" s="23">
        <v>80.0</v>
      </c>
      <c r="AS226" s="23">
        <v>140.0</v>
      </c>
      <c r="AT226" s="23">
        <v>70.0</v>
      </c>
      <c r="AU226" s="24" t="s">
        <v>521</v>
      </c>
      <c r="AV226" s="21"/>
      <c r="AW226" s="111">
        <v>85.0</v>
      </c>
      <c r="AX226" s="124">
        <v>40.0</v>
      </c>
      <c r="AY226" s="124">
        <v>70.0</v>
      </c>
      <c r="AZ226" s="124">
        <v>80.0</v>
      </c>
      <c r="BA226" s="124">
        <v>140.0</v>
      </c>
      <c r="BB226" s="124">
        <v>70.0</v>
      </c>
      <c r="BC226" s="111">
        <v>485.0</v>
      </c>
      <c r="BE226" s="150" t="s">
        <v>815</v>
      </c>
      <c r="BF226" s="113"/>
      <c r="BG226" s="129"/>
      <c r="BI226" s="31" t="s">
        <v>5</v>
      </c>
      <c r="BJ226" s="32" t="s">
        <v>5</v>
      </c>
      <c r="BK226" s="32" t="s">
        <v>5</v>
      </c>
      <c r="BL226" s="32" t="s">
        <v>5</v>
      </c>
      <c r="BM226" s="32">
        <v>2.0</v>
      </c>
      <c r="BN226" s="33" t="s">
        <v>5</v>
      </c>
      <c r="BP226" s="85" t="s">
        <v>32</v>
      </c>
      <c r="BQ226" s="86" t="s">
        <v>18</v>
      </c>
      <c r="BS226" s="87" t="s">
        <v>32</v>
      </c>
      <c r="BT226" s="88" t="s">
        <v>18</v>
      </c>
      <c r="BU226" s="37" t="str">
        <f t="shared" si="1"/>
        <v>#NAME?</v>
      </c>
      <c r="BV226" s="89" t="s">
        <v>32</v>
      </c>
      <c r="BW226" s="37" t="str">
        <f t="shared" si="2"/>
        <v>#NAME?</v>
      </c>
      <c r="BX226" s="89" t="s">
        <v>18</v>
      </c>
      <c r="BY226" s="39"/>
      <c r="BZ226" s="39"/>
      <c r="CA226" s="40" t="s">
        <v>1346</v>
      </c>
      <c r="CB226" s="41"/>
      <c r="CC226" s="90" t="s">
        <v>32</v>
      </c>
      <c r="CD226" s="91" t="s">
        <v>18</v>
      </c>
      <c r="CE226" s="2"/>
      <c r="CF226" s="92" t="s">
        <v>1212</v>
      </c>
      <c r="CG226" s="93" t="s">
        <v>698</v>
      </c>
      <c r="CH226" s="2"/>
      <c r="CI226" s="92" t="s">
        <v>1212</v>
      </c>
      <c r="CJ226" s="93" t="s">
        <v>698</v>
      </c>
      <c r="CK226" s="2"/>
      <c r="CL226" s="22" t="s">
        <v>1212</v>
      </c>
      <c r="CM226" s="12"/>
      <c r="CN226" s="48"/>
      <c r="CO226" s="96" t="s">
        <v>698</v>
      </c>
      <c r="CP226" s="2"/>
      <c r="CQ226" s="2" t="s">
        <v>1355</v>
      </c>
      <c r="CR226" s="97">
        <v>120.0</v>
      </c>
      <c r="CS226" s="2" t="s">
        <v>815</v>
      </c>
      <c r="CT226" s="98">
        <v>168.0</v>
      </c>
      <c r="CU226" s="2"/>
      <c r="CV226" s="52" t="s">
        <v>149</v>
      </c>
      <c r="CW226" s="52" t="s">
        <v>149</v>
      </c>
      <c r="CX226" s="2"/>
      <c r="CY226" s="334" t="s">
        <v>106</v>
      </c>
      <c r="CZ226" s="337"/>
      <c r="DA226" s="2"/>
      <c r="DB226" s="98">
        <v>25.0</v>
      </c>
      <c r="DC226" s="2"/>
      <c r="DD226" s="101" t="s">
        <v>683</v>
      </c>
      <c r="DE226" s="2"/>
      <c r="DF226" s="335" t="s">
        <v>2166</v>
      </c>
      <c r="DG226" s="336"/>
      <c r="DH226" s="336"/>
      <c r="DI226" s="2"/>
      <c r="DJ226" s="2"/>
      <c r="DK226" s="59" t="s">
        <v>2167</v>
      </c>
      <c r="DL226" s="37" t="s">
        <v>6</v>
      </c>
      <c r="DM226" s="37" t="str">
        <f t="shared" si="3"/>
        <v>#NAME?</v>
      </c>
      <c r="DN226" s="61"/>
      <c r="DO226" s="37" t="s">
        <v>128</v>
      </c>
      <c r="DP226" s="105">
        <v>1.0</v>
      </c>
      <c r="DQ226" s="62" t="s">
        <v>49</v>
      </c>
      <c r="DR226" s="63"/>
      <c r="DS226" s="198"/>
      <c r="DT226" s="108"/>
      <c r="DU226" s="108"/>
      <c r="DV226" s="182"/>
      <c r="DW226" s="182"/>
      <c r="DX226" s="182"/>
      <c r="DY226" s="182"/>
      <c r="DZ226" s="182"/>
      <c r="EA226" s="182"/>
      <c r="EB226" s="2"/>
      <c r="EC226" s="2"/>
      <c r="ED226" s="2"/>
      <c r="EE226" s="2"/>
      <c r="EF226" s="149" t="s">
        <v>2168</v>
      </c>
      <c r="EG226" s="69" t="str">
        <f>image("https://www.pokebip.com/pages/icones/objets/pp-plus.png", 3)</f>
        <v/>
      </c>
      <c r="EH226" s="69"/>
      <c r="EI226" s="69"/>
    </row>
    <row r="227" ht="15.75" customHeight="1">
      <c r="A227" s="1">
        <v>227.0</v>
      </c>
      <c r="B227" s="2" t="s">
        <v>2169</v>
      </c>
      <c r="C227" s="7"/>
      <c r="D227" s="247" t="s">
        <v>2170</v>
      </c>
      <c r="E227" s="5"/>
      <c r="F227" s="248"/>
      <c r="G227" s="7"/>
      <c r="H227" s="8" t="s">
        <v>2171</v>
      </c>
      <c r="I227" s="9" t="s">
        <v>2172</v>
      </c>
      <c r="J227" s="355" t="str">
        <f>image("https://archives.bulbagarden.net/media/upload/e/ea/227MS6.png", 3)</f>
        <v/>
      </c>
      <c r="K227" s="11" t="s">
        <v>2170</v>
      </c>
      <c r="L227" s="12"/>
      <c r="M227" s="12"/>
      <c r="N227" s="12"/>
      <c r="O227" s="12"/>
      <c r="Q227" s="71">
        <v>65.0</v>
      </c>
      <c r="R227" s="72">
        <v>80.0</v>
      </c>
      <c r="S227" s="73">
        <v>140.0</v>
      </c>
      <c r="T227" s="74">
        <v>40.0</v>
      </c>
      <c r="U227" s="75">
        <v>70.0</v>
      </c>
      <c r="V227" s="76">
        <v>70.0</v>
      </c>
      <c r="W227" s="77">
        <v>465.0</v>
      </c>
      <c r="X227" s="21"/>
      <c r="Y227" s="71">
        <v>65.0</v>
      </c>
      <c r="Z227" s="72">
        <v>80.0</v>
      </c>
      <c r="AA227" s="73">
        <v>140.0</v>
      </c>
      <c r="AB227" s="74">
        <v>40.0</v>
      </c>
      <c r="AC227" s="75">
        <v>70.0</v>
      </c>
      <c r="AD227" s="76">
        <v>70.0</v>
      </c>
      <c r="AE227" s="77">
        <v>465.0</v>
      </c>
      <c r="AF227" s="21"/>
      <c r="AG227" s="71">
        <v>65.0</v>
      </c>
      <c r="AH227" s="72">
        <v>80.0</v>
      </c>
      <c r="AI227" s="73">
        <v>140.0</v>
      </c>
      <c r="AJ227" s="74">
        <v>40.0</v>
      </c>
      <c r="AK227" s="75">
        <v>70.0</v>
      </c>
      <c r="AL227" s="76">
        <v>70.0</v>
      </c>
      <c r="AM227" s="77">
        <v>465.0</v>
      </c>
      <c r="AN227" s="21"/>
      <c r="AO227" s="22">
        <v>65.0</v>
      </c>
      <c r="AP227" s="23">
        <v>80.0</v>
      </c>
      <c r="AQ227" s="23">
        <v>140.0</v>
      </c>
      <c r="AR227" s="23">
        <v>40.0</v>
      </c>
      <c r="AS227" s="23">
        <v>70.0</v>
      </c>
      <c r="AT227" s="23">
        <v>70.0</v>
      </c>
      <c r="AU227" s="24">
        <v>465.0</v>
      </c>
      <c r="AV227" s="21"/>
      <c r="AW227" s="265">
        <v>65.0</v>
      </c>
      <c r="AX227" s="79">
        <v>80.0</v>
      </c>
      <c r="AY227" s="79">
        <v>140.0</v>
      </c>
      <c r="AZ227" s="79">
        <v>40.0</v>
      </c>
      <c r="BA227" s="79">
        <v>70.0</v>
      </c>
      <c r="BB227" s="79">
        <v>70.0</v>
      </c>
      <c r="BC227" s="125">
        <v>465.0</v>
      </c>
      <c r="BE227" s="156" t="s">
        <v>162</v>
      </c>
      <c r="BF227" s="113"/>
      <c r="BG227" s="93"/>
      <c r="BI227" s="31" t="s">
        <v>5</v>
      </c>
      <c r="BJ227" s="32" t="s">
        <v>5</v>
      </c>
      <c r="BK227" s="32">
        <v>2.0</v>
      </c>
      <c r="BL227" s="32" t="s">
        <v>5</v>
      </c>
      <c r="BM227" s="32" t="s">
        <v>5</v>
      </c>
      <c r="BN227" s="33" t="s">
        <v>5</v>
      </c>
      <c r="BP227" s="115" t="s">
        <v>95</v>
      </c>
      <c r="BQ227" s="116" t="s">
        <v>18</v>
      </c>
      <c r="BS227" s="115" t="s">
        <v>95</v>
      </c>
      <c r="BT227" s="117" t="s">
        <v>18</v>
      </c>
      <c r="BU227" s="37" t="str">
        <f t="shared" si="1"/>
        <v>#NAME?</v>
      </c>
      <c r="BV227" s="89" t="s">
        <v>95</v>
      </c>
      <c r="BW227" s="37" t="str">
        <f t="shared" si="2"/>
        <v>#NAME?</v>
      </c>
      <c r="BX227" s="89" t="s">
        <v>18</v>
      </c>
      <c r="BY227" s="39"/>
      <c r="BZ227" s="39"/>
      <c r="CA227" s="40" t="s">
        <v>2173</v>
      </c>
      <c r="CB227" s="41"/>
      <c r="CC227" s="90" t="s">
        <v>95</v>
      </c>
      <c r="CD227" s="91" t="s">
        <v>18</v>
      </c>
      <c r="CE227" s="2"/>
      <c r="CF227" s="92" t="s">
        <v>235</v>
      </c>
      <c r="CG227" s="93" t="s">
        <v>825</v>
      </c>
      <c r="CH227" s="2"/>
      <c r="CI227" s="92" t="s">
        <v>235</v>
      </c>
      <c r="CJ227" s="93" t="s">
        <v>825</v>
      </c>
      <c r="CK227" s="2"/>
      <c r="CL227" s="22" t="s">
        <v>235</v>
      </c>
      <c r="CM227" s="12"/>
      <c r="CN227" s="48"/>
      <c r="CO227" s="96" t="s">
        <v>825</v>
      </c>
      <c r="CP227" s="2"/>
      <c r="CQ227" s="2" t="s">
        <v>2174</v>
      </c>
      <c r="CR227" s="97">
        <v>80.0</v>
      </c>
      <c r="CS227" s="2" t="s">
        <v>162</v>
      </c>
      <c r="CT227" s="98">
        <v>168.0</v>
      </c>
      <c r="CU227" s="2"/>
      <c r="CV227" s="52" t="s">
        <v>149</v>
      </c>
      <c r="CW227" s="52" t="s">
        <v>149</v>
      </c>
      <c r="CX227" s="2"/>
      <c r="CY227" s="119" t="s">
        <v>18</v>
      </c>
      <c r="CZ227" s="160"/>
      <c r="DA227" s="2"/>
      <c r="DB227" s="98">
        <v>25.0</v>
      </c>
      <c r="DC227" s="2"/>
      <c r="DD227" s="101" t="s">
        <v>683</v>
      </c>
      <c r="DE227" s="2"/>
      <c r="DF227" s="120" t="s">
        <v>914</v>
      </c>
      <c r="DG227" s="173" t="s">
        <v>892</v>
      </c>
      <c r="DH227" s="121"/>
      <c r="DI227" s="2"/>
      <c r="DJ227" s="2"/>
      <c r="DK227" s="59" t="s">
        <v>2175</v>
      </c>
      <c r="DL227" s="37" t="s">
        <v>34</v>
      </c>
      <c r="DM227" s="37" t="str">
        <f t="shared" si="3"/>
        <v>#NAME?</v>
      </c>
      <c r="DN227" s="61"/>
      <c r="DO227" s="37">
        <v>150.0</v>
      </c>
      <c r="DP227" s="105">
        <v>1.0</v>
      </c>
      <c r="DQ227" s="62" t="s">
        <v>293</v>
      </c>
      <c r="DR227" s="63"/>
      <c r="DS227" s="198"/>
      <c r="DT227" s="108"/>
      <c r="DU227" s="108"/>
      <c r="DV227" s="182"/>
      <c r="DW227" s="182"/>
      <c r="DX227" s="182"/>
      <c r="DY227" s="182"/>
      <c r="DZ227" s="182"/>
      <c r="EA227" s="182"/>
      <c r="EB227" s="2"/>
      <c r="EC227" s="2"/>
      <c r="ED227" s="2"/>
      <c r="EE227" s="2"/>
      <c r="EF227" s="149" t="s">
        <v>2176</v>
      </c>
      <c r="EG227" s="69" t="str">
        <f>image("https://www.pokebip.com/pages/icones/objets/pp-max.png", 3)</f>
        <v/>
      </c>
      <c r="EH227" s="69"/>
      <c r="EI227" s="69"/>
    </row>
    <row r="228" ht="15.75" customHeight="1">
      <c r="A228" s="1">
        <v>228.0</v>
      </c>
      <c r="B228" s="2" t="s">
        <v>2177</v>
      </c>
      <c r="C228" s="7"/>
      <c r="D228" s="295" t="s">
        <v>2178</v>
      </c>
      <c r="E228" s="5"/>
      <c r="F228" s="296"/>
      <c r="G228" s="7"/>
      <c r="H228" s="8" t="s">
        <v>2179</v>
      </c>
      <c r="I228" s="9" t="s">
        <v>2180</v>
      </c>
      <c r="J228" s="355" t="str">
        <f>image("https://archives.bulbagarden.net/media/upload/b/bc/228MS6.png", 3)</f>
        <v/>
      </c>
      <c r="K228" s="11" t="s">
        <v>2178</v>
      </c>
      <c r="L228" s="12"/>
      <c r="M228" s="12"/>
      <c r="N228" s="12"/>
      <c r="O228" s="12"/>
      <c r="Q228" s="71">
        <v>45.0</v>
      </c>
      <c r="R228" s="72">
        <v>60.0</v>
      </c>
      <c r="S228" s="73">
        <v>30.0</v>
      </c>
      <c r="T228" s="74">
        <v>80.0</v>
      </c>
      <c r="U228" s="75">
        <v>50.0</v>
      </c>
      <c r="V228" s="76">
        <v>65.0</v>
      </c>
      <c r="W228" s="77">
        <v>330.0</v>
      </c>
      <c r="X228" s="21"/>
      <c r="Y228" s="71">
        <v>45.0</v>
      </c>
      <c r="Z228" s="72">
        <v>60.0</v>
      </c>
      <c r="AA228" s="73">
        <v>30.0</v>
      </c>
      <c r="AB228" s="74">
        <v>80.0</v>
      </c>
      <c r="AC228" s="75">
        <v>50.0</v>
      </c>
      <c r="AD228" s="76">
        <v>65.0</v>
      </c>
      <c r="AE228" s="77">
        <v>330.0</v>
      </c>
      <c r="AF228" s="21"/>
      <c r="AG228" s="71">
        <v>45.0</v>
      </c>
      <c r="AH228" s="72">
        <v>60.0</v>
      </c>
      <c r="AI228" s="73">
        <v>30.0</v>
      </c>
      <c r="AJ228" s="74">
        <v>80.0</v>
      </c>
      <c r="AK228" s="75">
        <v>50.0</v>
      </c>
      <c r="AL228" s="76">
        <v>65.0</v>
      </c>
      <c r="AM228" s="77">
        <v>330.0</v>
      </c>
      <c r="AN228" s="21"/>
      <c r="AO228" s="22">
        <v>45.0</v>
      </c>
      <c r="AP228" s="23">
        <v>60.0</v>
      </c>
      <c r="AQ228" s="23">
        <v>30.0</v>
      </c>
      <c r="AR228" s="23">
        <v>80.0</v>
      </c>
      <c r="AS228" s="23">
        <v>50.0</v>
      </c>
      <c r="AT228" s="23">
        <v>65.0</v>
      </c>
      <c r="AU228" s="24">
        <v>330.0</v>
      </c>
      <c r="AV228" s="21"/>
      <c r="AW228" s="78">
        <v>45.0</v>
      </c>
      <c r="AX228" s="79">
        <v>60.0</v>
      </c>
      <c r="AY228" s="79">
        <v>30.0</v>
      </c>
      <c r="AZ228" s="79">
        <v>80.0</v>
      </c>
      <c r="BA228" s="79">
        <v>50.0</v>
      </c>
      <c r="BB228" s="79">
        <v>65.0</v>
      </c>
      <c r="BC228" s="201">
        <v>330.0</v>
      </c>
      <c r="BE228" s="82" t="s">
        <v>4</v>
      </c>
      <c r="BF228" s="338"/>
      <c r="BG228" s="128"/>
      <c r="BI228" s="31" t="s">
        <v>5</v>
      </c>
      <c r="BJ228" s="32" t="s">
        <v>5</v>
      </c>
      <c r="BK228" s="32" t="s">
        <v>5</v>
      </c>
      <c r="BL228" s="32">
        <v>1.0</v>
      </c>
      <c r="BM228" s="32" t="s">
        <v>5</v>
      </c>
      <c r="BN228" s="33" t="s">
        <v>5</v>
      </c>
      <c r="BP228" s="85" t="s">
        <v>76</v>
      </c>
      <c r="BQ228" s="86" t="s">
        <v>34</v>
      </c>
      <c r="BS228" s="87" t="s">
        <v>76</v>
      </c>
      <c r="BT228" s="88" t="s">
        <v>34</v>
      </c>
      <c r="BU228" s="37" t="str">
        <f t="shared" si="1"/>
        <v>#NAME?</v>
      </c>
      <c r="BV228" s="89" t="s">
        <v>76</v>
      </c>
      <c r="BW228" s="37" t="str">
        <f t="shared" si="2"/>
        <v>#NAME?</v>
      </c>
      <c r="BX228" s="89" t="s">
        <v>34</v>
      </c>
      <c r="BY228" s="39"/>
      <c r="BZ228" s="39"/>
      <c r="CA228" s="40" t="s">
        <v>2181</v>
      </c>
      <c r="CB228" s="41"/>
      <c r="CC228" s="90" t="s">
        <v>76</v>
      </c>
      <c r="CD228" s="91" t="s">
        <v>34</v>
      </c>
      <c r="CE228" s="2"/>
      <c r="CF228" s="92" t="s">
        <v>924</v>
      </c>
      <c r="CG228" s="93" t="s">
        <v>486</v>
      </c>
      <c r="CH228" s="2"/>
      <c r="CI228" s="92" t="s">
        <v>924</v>
      </c>
      <c r="CJ228" s="93" t="s">
        <v>486</v>
      </c>
      <c r="CK228" s="2"/>
      <c r="CL228" s="22" t="s">
        <v>1587</v>
      </c>
      <c r="CM228" s="12"/>
      <c r="CN228" s="48"/>
      <c r="CO228" s="96" t="s">
        <v>486</v>
      </c>
      <c r="CP228" s="2"/>
      <c r="CQ228" s="2" t="s">
        <v>1653</v>
      </c>
      <c r="CR228" s="97">
        <v>40.0</v>
      </c>
      <c r="CS228" s="2" t="s">
        <v>4</v>
      </c>
      <c r="CT228" s="98">
        <v>114.0</v>
      </c>
      <c r="CU228" s="2"/>
      <c r="CV228" s="52" t="s">
        <v>149</v>
      </c>
      <c r="CW228" s="52" t="s">
        <v>149</v>
      </c>
      <c r="CX228" s="2"/>
      <c r="CY228" s="334" t="s">
        <v>277</v>
      </c>
      <c r="CZ228" s="337"/>
      <c r="DA228" s="2"/>
      <c r="DB228" s="98">
        <v>120.0</v>
      </c>
      <c r="DC228" s="2"/>
      <c r="DD228" s="101" t="s">
        <v>683</v>
      </c>
      <c r="DE228" s="2"/>
      <c r="DF228" s="339" t="s">
        <v>2182</v>
      </c>
      <c r="DG228" s="336"/>
      <c r="DH228" s="336"/>
      <c r="DI228" s="21"/>
      <c r="DJ228" s="21"/>
      <c r="DK228" s="59" t="s">
        <v>2183</v>
      </c>
      <c r="DL228" s="37" t="s">
        <v>122</v>
      </c>
      <c r="DM228" s="37" t="str">
        <f t="shared" si="3"/>
        <v>#NAME?</v>
      </c>
      <c r="DN228" s="61"/>
      <c r="DO228" s="37">
        <v>80.0</v>
      </c>
      <c r="DP228" s="105">
        <v>1.0</v>
      </c>
      <c r="DQ228" s="62" t="s">
        <v>137</v>
      </c>
      <c r="DR228" s="63"/>
      <c r="DS228" s="198"/>
      <c r="DT228" s="108"/>
      <c r="DU228" s="108"/>
      <c r="DV228" s="182"/>
      <c r="DW228" s="182"/>
      <c r="DX228" s="182"/>
      <c r="DY228" s="182"/>
      <c r="DZ228" s="182"/>
      <c r="EA228" s="182"/>
      <c r="EB228" s="2"/>
      <c r="EC228" s="2"/>
      <c r="ED228" s="2"/>
      <c r="EE228" s="2"/>
      <c r="EG228" s="69" t="str">
        <f>image("", 3)</f>
        <v/>
      </c>
      <c r="EH228" s="69"/>
      <c r="EI228" s="69"/>
    </row>
    <row r="229" ht="15.75" customHeight="1">
      <c r="A229" s="1">
        <v>229.0</v>
      </c>
      <c r="B229" s="2" t="s">
        <v>2184</v>
      </c>
      <c r="C229" s="7"/>
      <c r="D229" s="295" t="s">
        <v>2185</v>
      </c>
      <c r="E229" s="5"/>
      <c r="F229" s="296"/>
      <c r="G229" s="7"/>
      <c r="H229" s="8" t="s">
        <v>2186</v>
      </c>
      <c r="I229" s="9" t="s">
        <v>2187</v>
      </c>
      <c r="J229" s="355" t="str">
        <f>image("https://archives.bulbagarden.net/media/upload/4/40/229MS6.png", 3)</f>
        <v/>
      </c>
      <c r="K229" s="11" t="s">
        <v>2185</v>
      </c>
      <c r="L229" s="12"/>
      <c r="M229" s="12"/>
      <c r="N229" s="12"/>
      <c r="O229" s="12"/>
      <c r="Q229" s="71">
        <v>75.0</v>
      </c>
      <c r="R229" s="72">
        <v>90.0</v>
      </c>
      <c r="S229" s="73">
        <v>50.0</v>
      </c>
      <c r="T229" s="74">
        <v>110.0</v>
      </c>
      <c r="U229" s="75">
        <v>80.0</v>
      </c>
      <c r="V229" s="76">
        <v>95.0</v>
      </c>
      <c r="W229" s="77">
        <v>500.0</v>
      </c>
      <c r="X229" s="21"/>
      <c r="Y229" s="71">
        <v>75.0</v>
      </c>
      <c r="Z229" s="72">
        <v>90.0</v>
      </c>
      <c r="AA229" s="73">
        <v>50.0</v>
      </c>
      <c r="AB229" s="74">
        <v>110.0</v>
      </c>
      <c r="AC229" s="75">
        <v>80.0</v>
      </c>
      <c r="AD229" s="76">
        <v>95.0</v>
      </c>
      <c r="AE229" s="77">
        <v>500.0</v>
      </c>
      <c r="AF229" s="21"/>
      <c r="AG229" s="71">
        <v>75.0</v>
      </c>
      <c r="AH229" s="72">
        <v>90.0</v>
      </c>
      <c r="AI229" s="73">
        <v>50.0</v>
      </c>
      <c r="AJ229" s="74">
        <v>110.0</v>
      </c>
      <c r="AK229" s="75">
        <v>80.0</v>
      </c>
      <c r="AL229" s="76">
        <v>95.0</v>
      </c>
      <c r="AM229" s="77">
        <v>500.0</v>
      </c>
      <c r="AN229" s="21"/>
      <c r="AO229" s="22">
        <v>75.0</v>
      </c>
      <c r="AP229" s="23">
        <v>90.0</v>
      </c>
      <c r="AQ229" s="23">
        <v>50.0</v>
      </c>
      <c r="AR229" s="23">
        <v>110.0</v>
      </c>
      <c r="AS229" s="23">
        <v>80.0</v>
      </c>
      <c r="AT229" s="23">
        <v>95.0</v>
      </c>
      <c r="AU229" s="24">
        <v>500.0</v>
      </c>
      <c r="AV229" s="21"/>
      <c r="AW229" s="78">
        <v>75.0</v>
      </c>
      <c r="AX229" s="79">
        <v>90.0</v>
      </c>
      <c r="AY229" s="79">
        <v>50.0</v>
      </c>
      <c r="AZ229" s="79">
        <v>110.0</v>
      </c>
      <c r="BA229" s="79">
        <v>80.0</v>
      </c>
      <c r="BB229" s="79">
        <v>95.0</v>
      </c>
      <c r="BC229" s="201">
        <v>500.0</v>
      </c>
      <c r="BE229" s="112" t="s">
        <v>42</v>
      </c>
      <c r="BF229" s="113"/>
      <c r="BG229" s="93"/>
      <c r="BI229" s="31" t="s">
        <v>5</v>
      </c>
      <c r="BJ229" s="32" t="s">
        <v>5</v>
      </c>
      <c r="BK229" s="32" t="s">
        <v>5</v>
      </c>
      <c r="BL229" s="32">
        <v>2.0</v>
      </c>
      <c r="BM229" s="32" t="s">
        <v>5</v>
      </c>
      <c r="BN229" s="33" t="s">
        <v>5</v>
      </c>
      <c r="BP229" s="115" t="s">
        <v>76</v>
      </c>
      <c r="BQ229" s="116" t="s">
        <v>34</v>
      </c>
      <c r="BS229" s="115" t="s">
        <v>76</v>
      </c>
      <c r="BT229" s="117" t="s">
        <v>34</v>
      </c>
      <c r="BU229" s="37" t="str">
        <f t="shared" si="1"/>
        <v>#NAME?</v>
      </c>
      <c r="BV229" s="89" t="s">
        <v>76</v>
      </c>
      <c r="BW229" s="37" t="str">
        <f t="shared" si="2"/>
        <v>#NAME?</v>
      </c>
      <c r="BX229" s="89" t="s">
        <v>34</v>
      </c>
      <c r="BY229" s="39"/>
      <c r="BZ229" s="39"/>
      <c r="CA229" s="40" t="s">
        <v>2181</v>
      </c>
      <c r="CB229" s="41"/>
      <c r="CC229" s="90" t="s">
        <v>76</v>
      </c>
      <c r="CD229" s="91" t="s">
        <v>34</v>
      </c>
      <c r="CE229" s="2"/>
      <c r="CF229" s="92" t="s">
        <v>924</v>
      </c>
      <c r="CG229" s="93" t="s">
        <v>486</v>
      </c>
      <c r="CH229" s="2"/>
      <c r="CI229" s="92" t="s">
        <v>924</v>
      </c>
      <c r="CJ229" s="93" t="s">
        <v>486</v>
      </c>
      <c r="CK229" s="2"/>
      <c r="CL229" s="22" t="s">
        <v>1587</v>
      </c>
      <c r="CM229" s="12"/>
      <c r="CN229" s="48"/>
      <c r="CO229" s="96" t="s">
        <v>486</v>
      </c>
      <c r="CP229" s="2"/>
      <c r="CQ229" s="2" t="s">
        <v>1195</v>
      </c>
      <c r="CR229" s="97">
        <v>60.0</v>
      </c>
      <c r="CS229" s="2" t="s">
        <v>42</v>
      </c>
      <c r="CT229" s="98">
        <v>204.0</v>
      </c>
      <c r="CU229" s="2"/>
      <c r="CV229" s="52" t="s">
        <v>149</v>
      </c>
      <c r="CW229" s="52" t="s">
        <v>149</v>
      </c>
      <c r="CX229" s="2"/>
      <c r="CY229" s="119" t="s">
        <v>277</v>
      </c>
      <c r="CZ229" s="160"/>
      <c r="DA229" s="2"/>
      <c r="DB229" s="98">
        <v>45.0</v>
      </c>
      <c r="DC229" s="2"/>
      <c r="DD229" s="101" t="s">
        <v>683</v>
      </c>
      <c r="DE229" s="2"/>
      <c r="DF229" s="250" t="s">
        <v>2188</v>
      </c>
      <c r="DG229" s="121"/>
      <c r="DH229" s="121"/>
      <c r="DI229" s="2"/>
      <c r="DJ229" s="2"/>
      <c r="DK229" s="59" t="s">
        <v>2189</v>
      </c>
      <c r="DL229" s="37" t="s">
        <v>34</v>
      </c>
      <c r="DM229" s="37" t="str">
        <f t="shared" si="3"/>
        <v>#NAME?</v>
      </c>
      <c r="DN229" s="61"/>
      <c r="DO229" s="37" t="s">
        <v>2009</v>
      </c>
      <c r="DP229" s="105">
        <v>0.85</v>
      </c>
      <c r="DQ229" s="62" t="s">
        <v>293</v>
      </c>
      <c r="DR229" s="63"/>
      <c r="DS229" s="198"/>
      <c r="DT229" s="108"/>
      <c r="DU229" s="108"/>
      <c r="DV229" s="182"/>
      <c r="DW229" s="182"/>
      <c r="DX229" s="182"/>
      <c r="DY229" s="182"/>
      <c r="DZ229" s="182"/>
      <c r="EA229" s="182"/>
      <c r="EB229" s="2"/>
      <c r="EC229" s="2"/>
      <c r="ED229" s="2"/>
      <c r="EE229" s="2"/>
      <c r="EF229" s="149" t="s">
        <v>2190</v>
      </c>
      <c r="EG229" s="69" t="str">
        <f>image("https://www.pokebip.com/pages/icones/objets/velo.png", 3)</f>
        <v/>
      </c>
      <c r="EH229" s="69"/>
      <c r="EI229" s="69"/>
    </row>
    <row r="230" ht="15.75" customHeight="1">
      <c r="A230" s="1">
        <v>230.0</v>
      </c>
      <c r="B230" s="2" t="s">
        <v>2191</v>
      </c>
      <c r="C230" s="7"/>
      <c r="D230" s="140" t="s">
        <v>2192</v>
      </c>
      <c r="E230" s="5"/>
      <c r="F230" s="141"/>
      <c r="G230" s="7"/>
      <c r="H230" s="8" t="s">
        <v>2193</v>
      </c>
      <c r="I230" s="9" t="s">
        <v>2194</v>
      </c>
      <c r="J230" s="355" t="str">
        <f>image("https://archives.bulbagarden.net/media/upload/0/05/230MS6.png", 3)</f>
        <v/>
      </c>
      <c r="K230" s="11" t="s">
        <v>2192</v>
      </c>
      <c r="L230" s="12"/>
      <c r="M230" s="12"/>
      <c r="N230" s="12"/>
      <c r="O230" s="12"/>
      <c r="Q230" s="71">
        <v>75.0</v>
      </c>
      <c r="R230" s="72">
        <v>95.0</v>
      </c>
      <c r="S230" s="73">
        <v>95.0</v>
      </c>
      <c r="T230" s="74">
        <v>95.0</v>
      </c>
      <c r="U230" s="75">
        <v>95.0</v>
      </c>
      <c r="V230" s="76">
        <v>85.0</v>
      </c>
      <c r="W230" s="77">
        <v>540.0</v>
      </c>
      <c r="X230" s="21"/>
      <c r="Y230" s="71">
        <v>75.0</v>
      </c>
      <c r="Z230" s="72">
        <v>95.0</v>
      </c>
      <c r="AA230" s="73">
        <v>95.0</v>
      </c>
      <c r="AB230" s="74">
        <v>95.0</v>
      </c>
      <c r="AC230" s="75">
        <v>95.0</v>
      </c>
      <c r="AD230" s="76">
        <v>85.0</v>
      </c>
      <c r="AE230" s="77">
        <v>540.0</v>
      </c>
      <c r="AF230" s="21"/>
      <c r="AG230" s="71">
        <v>75.0</v>
      </c>
      <c r="AH230" s="72">
        <v>95.0</v>
      </c>
      <c r="AI230" s="73">
        <v>95.0</v>
      </c>
      <c r="AJ230" s="74">
        <v>95.0</v>
      </c>
      <c r="AK230" s="75">
        <v>95.0</v>
      </c>
      <c r="AL230" s="76">
        <v>85.0</v>
      </c>
      <c r="AM230" s="77">
        <v>540.0</v>
      </c>
      <c r="AN230" s="21"/>
      <c r="AO230" s="22">
        <v>75.0</v>
      </c>
      <c r="AP230" s="23">
        <v>95.0</v>
      </c>
      <c r="AQ230" s="23">
        <v>95.0</v>
      </c>
      <c r="AR230" s="23">
        <v>95.0</v>
      </c>
      <c r="AS230" s="23">
        <v>95.0</v>
      </c>
      <c r="AT230" s="23">
        <v>85.0</v>
      </c>
      <c r="AU230" s="24">
        <v>540.0</v>
      </c>
      <c r="AV230" s="21"/>
      <c r="AW230" s="78">
        <v>75.0</v>
      </c>
      <c r="AX230" s="79">
        <v>95.0</v>
      </c>
      <c r="AY230" s="79">
        <v>95.0</v>
      </c>
      <c r="AZ230" s="79">
        <v>95.0</v>
      </c>
      <c r="BA230" s="79">
        <v>95.0</v>
      </c>
      <c r="BB230" s="79">
        <v>85.0</v>
      </c>
      <c r="BC230" s="201">
        <v>540.0</v>
      </c>
      <c r="BE230" s="194" t="s">
        <v>325</v>
      </c>
      <c r="BF230" s="285" t="s">
        <v>4</v>
      </c>
      <c r="BG230" s="114" t="s">
        <v>27</v>
      </c>
      <c r="BI230" s="31" t="s">
        <v>5</v>
      </c>
      <c r="BJ230" s="32">
        <v>1.0</v>
      </c>
      <c r="BK230" s="32">
        <v>1.0</v>
      </c>
      <c r="BL230" s="32">
        <v>1.0</v>
      </c>
      <c r="BM230" s="32" t="s">
        <v>5</v>
      </c>
      <c r="BN230" s="33" t="s">
        <v>5</v>
      </c>
      <c r="BP230" s="85" t="s">
        <v>32</v>
      </c>
      <c r="BQ230" s="86" t="s">
        <v>61</v>
      </c>
      <c r="BS230" s="87" t="s">
        <v>32</v>
      </c>
      <c r="BT230" s="88" t="s">
        <v>61</v>
      </c>
      <c r="BU230" s="37" t="str">
        <f t="shared" si="1"/>
        <v>#NAME?</v>
      </c>
      <c r="BV230" s="89" t="s">
        <v>32</v>
      </c>
      <c r="BW230" s="37" t="str">
        <f t="shared" si="2"/>
        <v>#NAME?</v>
      </c>
      <c r="BX230" s="89" t="s">
        <v>61</v>
      </c>
      <c r="BY230" s="39"/>
      <c r="BZ230" s="39"/>
      <c r="CA230" s="40" t="s">
        <v>2195</v>
      </c>
      <c r="CB230" s="41"/>
      <c r="CC230" s="90" t="s">
        <v>32</v>
      </c>
      <c r="CD230" s="91" t="s">
        <v>61</v>
      </c>
      <c r="CE230" s="2"/>
      <c r="CF230" s="92" t="s">
        <v>1212</v>
      </c>
      <c r="CG230" s="93" t="s">
        <v>301</v>
      </c>
      <c r="CH230" s="2"/>
      <c r="CI230" s="177" t="s">
        <v>1212</v>
      </c>
      <c r="CJ230" s="93" t="s">
        <v>301</v>
      </c>
      <c r="CK230" s="2"/>
      <c r="CL230" s="22" t="s">
        <v>1212</v>
      </c>
      <c r="CM230" s="12"/>
      <c r="CN230" s="48"/>
      <c r="CO230" s="96" t="s">
        <v>301</v>
      </c>
      <c r="CP230" s="2"/>
      <c r="CQ230" s="2" t="s">
        <v>2196</v>
      </c>
      <c r="CR230" s="97">
        <v>100.0</v>
      </c>
      <c r="CS230" s="2" t="s">
        <v>2197</v>
      </c>
      <c r="CT230" s="98">
        <v>207.0</v>
      </c>
      <c r="CU230" s="2"/>
      <c r="CV230" s="52" t="s">
        <v>149</v>
      </c>
      <c r="CW230" s="52" t="s">
        <v>149</v>
      </c>
      <c r="CX230" s="2"/>
      <c r="CY230" s="333" t="s">
        <v>106</v>
      </c>
      <c r="CZ230" s="334" t="s">
        <v>61</v>
      </c>
      <c r="DA230" s="2"/>
      <c r="DB230" s="98">
        <v>45.0</v>
      </c>
      <c r="DC230" s="2"/>
      <c r="DD230" s="101" t="s">
        <v>150</v>
      </c>
      <c r="DE230" s="2"/>
      <c r="DF230" s="159" t="s">
        <v>2198</v>
      </c>
      <c r="DG230" s="343" t="s">
        <v>1215</v>
      </c>
      <c r="DH230" s="336"/>
      <c r="DI230" s="2"/>
      <c r="DJ230" s="2"/>
      <c r="DK230" s="59" t="s">
        <v>2199</v>
      </c>
      <c r="DL230" s="37" t="s">
        <v>34</v>
      </c>
      <c r="DM230" s="37" t="str">
        <f t="shared" si="3"/>
        <v>#NAME?</v>
      </c>
      <c r="DN230" s="61"/>
      <c r="DO230" s="37" t="s">
        <v>509</v>
      </c>
      <c r="DP230" s="37" t="s">
        <v>195</v>
      </c>
      <c r="DQ230" s="62" t="s">
        <v>93</v>
      </c>
      <c r="DR230" s="155"/>
      <c r="DS230" s="251"/>
      <c r="DT230" s="108"/>
      <c r="DU230" s="108"/>
      <c r="DV230" s="252"/>
      <c r="DW230" s="252"/>
      <c r="DX230" s="252"/>
      <c r="DY230" s="252"/>
      <c r="DZ230" s="252"/>
      <c r="EA230" s="252"/>
      <c r="EB230" s="21"/>
      <c r="EC230" s="21"/>
      <c r="ED230" s="21"/>
      <c r="EE230" s="21"/>
      <c r="EF230" s="149" t="s">
        <v>2200</v>
      </c>
      <c r="EG230" s="69" t="str">
        <f>image("https://www.pokebip.com/pages/icones/objets/boite-jetons.png", 3)</f>
        <v/>
      </c>
      <c r="EH230" s="69"/>
      <c r="EI230" s="69"/>
    </row>
    <row r="231" ht="15.75" customHeight="1">
      <c r="A231" s="1">
        <v>231.0</v>
      </c>
      <c r="B231" s="2" t="s">
        <v>2201</v>
      </c>
      <c r="C231" s="7"/>
      <c r="D231" s="140" t="s">
        <v>2202</v>
      </c>
      <c r="E231" s="5"/>
      <c r="F231" s="141"/>
      <c r="G231" s="7"/>
      <c r="H231" s="8" t="s">
        <v>2203</v>
      </c>
      <c r="I231" s="9" t="s">
        <v>2204</v>
      </c>
      <c r="J231" s="355" t="str">
        <f>image("https://archives.bulbagarden.net/media/upload/6/6c/231MS6.png", 3)</f>
        <v/>
      </c>
      <c r="K231" s="11" t="s">
        <v>2202</v>
      </c>
      <c r="L231" s="12"/>
      <c r="M231" s="12"/>
      <c r="N231" s="12"/>
      <c r="O231" s="12"/>
      <c r="Q231" s="71">
        <v>90.0</v>
      </c>
      <c r="R231" s="72">
        <v>60.0</v>
      </c>
      <c r="S231" s="73">
        <v>60.0</v>
      </c>
      <c r="T231" s="74">
        <v>40.0</v>
      </c>
      <c r="U231" s="75">
        <v>40.0</v>
      </c>
      <c r="V231" s="76">
        <v>40.0</v>
      </c>
      <c r="W231" s="77">
        <v>330.0</v>
      </c>
      <c r="X231" s="21"/>
      <c r="Y231" s="71">
        <v>90.0</v>
      </c>
      <c r="Z231" s="72">
        <v>60.0</v>
      </c>
      <c r="AA231" s="73">
        <v>60.0</v>
      </c>
      <c r="AB231" s="74">
        <v>40.0</v>
      </c>
      <c r="AC231" s="75">
        <v>40.0</v>
      </c>
      <c r="AD231" s="76">
        <v>40.0</v>
      </c>
      <c r="AE231" s="77">
        <v>330.0</v>
      </c>
      <c r="AF231" s="21"/>
      <c r="AG231" s="71">
        <v>90.0</v>
      </c>
      <c r="AH231" s="72">
        <v>60.0</v>
      </c>
      <c r="AI231" s="73">
        <v>60.0</v>
      </c>
      <c r="AJ231" s="74">
        <v>40.0</v>
      </c>
      <c r="AK231" s="75">
        <v>40.0</v>
      </c>
      <c r="AL231" s="76">
        <v>40.0</v>
      </c>
      <c r="AM231" s="77">
        <v>330.0</v>
      </c>
      <c r="AN231" s="21"/>
      <c r="AO231" s="22">
        <v>90.0</v>
      </c>
      <c r="AP231" s="23">
        <v>60.0</v>
      </c>
      <c r="AQ231" s="23">
        <v>60.0</v>
      </c>
      <c r="AR231" s="23">
        <v>40.0</v>
      </c>
      <c r="AS231" s="23">
        <v>40.0</v>
      </c>
      <c r="AT231" s="23">
        <v>40.0</v>
      </c>
      <c r="AU231" s="24">
        <v>330.0</v>
      </c>
      <c r="AV231" s="21"/>
      <c r="AW231" s="78">
        <v>90.0</v>
      </c>
      <c r="AX231" s="79">
        <v>60.0</v>
      </c>
      <c r="AY231" s="79">
        <v>60.0</v>
      </c>
      <c r="AZ231" s="79">
        <v>40.0</v>
      </c>
      <c r="BA231" s="79">
        <v>40.0</v>
      </c>
      <c r="BB231" s="79">
        <v>40.0</v>
      </c>
      <c r="BC231" s="201">
        <v>330.0</v>
      </c>
      <c r="BE231" s="151" t="s">
        <v>144</v>
      </c>
      <c r="BF231" s="184"/>
      <c r="BG231" s="128"/>
      <c r="BI231" s="31">
        <v>1.0</v>
      </c>
      <c r="BJ231" s="32" t="s">
        <v>5</v>
      </c>
      <c r="BK231" s="32" t="s">
        <v>5</v>
      </c>
      <c r="BL231" s="32" t="s">
        <v>5</v>
      </c>
      <c r="BM231" s="32" t="s">
        <v>5</v>
      </c>
      <c r="BN231" s="33" t="s">
        <v>5</v>
      </c>
      <c r="BP231" s="115" t="s">
        <v>79</v>
      </c>
      <c r="BQ231" s="93"/>
      <c r="BS231" s="115" t="s">
        <v>79</v>
      </c>
      <c r="BT231" s="133"/>
      <c r="BU231" s="37" t="str">
        <f t="shared" si="1"/>
        <v>#NAME?</v>
      </c>
      <c r="BV231" s="89" t="s">
        <v>79</v>
      </c>
      <c r="BW231" s="37" t="str">
        <f t="shared" si="2"/>
        <v>#NAME?</v>
      </c>
      <c r="BX231" s="89"/>
      <c r="BY231" s="39"/>
      <c r="BZ231" s="39"/>
      <c r="CA231" s="40" t="s">
        <v>79</v>
      </c>
      <c r="CB231" s="41"/>
      <c r="CC231" s="90" t="s">
        <v>79</v>
      </c>
      <c r="CD231" s="91"/>
      <c r="CE231" s="21"/>
      <c r="CF231" s="92" t="s">
        <v>626</v>
      </c>
      <c r="CG231" s="93"/>
      <c r="CH231" s="21"/>
      <c r="CI231" s="46" t="s">
        <v>376</v>
      </c>
      <c r="CJ231" s="95" t="s">
        <v>626</v>
      </c>
      <c r="CK231" s="21"/>
      <c r="CL231" s="22" t="s">
        <v>2205</v>
      </c>
      <c r="CM231" s="12"/>
      <c r="CN231" s="48"/>
      <c r="CO231" s="96" t="s">
        <v>626</v>
      </c>
      <c r="CP231" s="21"/>
      <c r="CQ231" s="2" t="s">
        <v>1675</v>
      </c>
      <c r="CR231" s="97">
        <v>60.0</v>
      </c>
      <c r="CS231" s="2" t="s">
        <v>144</v>
      </c>
      <c r="CT231" s="98">
        <v>124.0</v>
      </c>
      <c r="CU231" s="2"/>
      <c r="CV231" s="256" t="s">
        <v>149</v>
      </c>
      <c r="CW231" s="256" t="s">
        <v>149</v>
      </c>
      <c r="CX231" s="2"/>
      <c r="CY231" s="119" t="s">
        <v>277</v>
      </c>
      <c r="CZ231" s="160"/>
      <c r="DA231" s="2"/>
      <c r="DB231" s="98">
        <v>120.0</v>
      </c>
      <c r="DC231" s="2"/>
      <c r="DD231" s="101" t="s">
        <v>150</v>
      </c>
      <c r="DE231" s="2"/>
      <c r="DF231" s="253" t="s">
        <v>2206</v>
      </c>
      <c r="DG231" s="121"/>
      <c r="DH231" s="121"/>
      <c r="DI231" s="21"/>
      <c r="DJ231" s="21"/>
      <c r="DK231" s="59" t="s">
        <v>2207</v>
      </c>
      <c r="DL231" s="37" t="s">
        <v>34</v>
      </c>
      <c r="DM231" s="37" t="str">
        <f t="shared" si="3"/>
        <v>#NAME?</v>
      </c>
      <c r="DN231" s="61"/>
      <c r="DO231" s="37" t="s">
        <v>1170</v>
      </c>
      <c r="DP231" s="105">
        <v>1.0</v>
      </c>
      <c r="DQ231" s="62" t="s">
        <v>93</v>
      </c>
      <c r="DR231" s="63"/>
      <c r="DS231" s="198"/>
      <c r="DT231" s="108"/>
      <c r="DU231" s="108"/>
      <c r="DV231" s="182"/>
      <c r="DW231" s="182"/>
      <c r="DX231" s="182"/>
      <c r="DY231" s="182"/>
      <c r="DZ231" s="182"/>
      <c r="EA231" s="182"/>
      <c r="EB231" s="21"/>
      <c r="EC231" s="21"/>
      <c r="ED231" s="21"/>
      <c r="EE231" s="21"/>
      <c r="EF231" s="149" t="s">
        <v>2208</v>
      </c>
      <c r="EG231" s="69" t="str">
        <f>image("https://www.pokebip.com/pages/icones/objets/boite-poffin.png", 3)</f>
        <v/>
      </c>
      <c r="EH231" s="69"/>
      <c r="EI231" s="69"/>
    </row>
    <row r="232" ht="15.75" customHeight="1">
      <c r="A232" s="1">
        <v>232.0</v>
      </c>
      <c r="B232" s="2" t="s">
        <v>2209</v>
      </c>
      <c r="C232" s="7"/>
      <c r="D232" s="247" t="s">
        <v>2210</v>
      </c>
      <c r="E232" s="5"/>
      <c r="F232" s="248"/>
      <c r="G232" s="7"/>
      <c r="H232" s="8" t="s">
        <v>2211</v>
      </c>
      <c r="I232" s="9" t="s">
        <v>2212</v>
      </c>
      <c r="J232" s="355" t="str">
        <f>image("https://archives.bulbagarden.net/media/upload/8/85/232MS6.png", 3)</f>
        <v/>
      </c>
      <c r="K232" s="11" t="s">
        <v>2210</v>
      </c>
      <c r="L232" s="12"/>
      <c r="M232" s="12"/>
      <c r="N232" s="12"/>
      <c r="O232" s="12"/>
      <c r="Q232" s="71">
        <v>90.0</v>
      </c>
      <c r="R232" s="72">
        <v>120.0</v>
      </c>
      <c r="S232" s="73">
        <v>120.0</v>
      </c>
      <c r="T232" s="74">
        <v>60.0</v>
      </c>
      <c r="U232" s="75">
        <v>60.0</v>
      </c>
      <c r="V232" s="76">
        <v>50.0</v>
      </c>
      <c r="W232" s="77">
        <v>500.0</v>
      </c>
      <c r="X232" s="21"/>
      <c r="Y232" s="71">
        <v>90.0</v>
      </c>
      <c r="Z232" s="72">
        <v>120.0</v>
      </c>
      <c r="AA232" s="73">
        <v>120.0</v>
      </c>
      <c r="AB232" s="74">
        <v>60.0</v>
      </c>
      <c r="AC232" s="75">
        <v>60.0</v>
      </c>
      <c r="AD232" s="76">
        <v>50.0</v>
      </c>
      <c r="AE232" s="77">
        <v>500.0</v>
      </c>
      <c r="AF232" s="21"/>
      <c r="AG232" s="71">
        <v>90.0</v>
      </c>
      <c r="AH232" s="72">
        <v>120.0</v>
      </c>
      <c r="AI232" s="73">
        <v>120.0</v>
      </c>
      <c r="AJ232" s="74">
        <v>60.0</v>
      </c>
      <c r="AK232" s="75">
        <v>60.0</v>
      </c>
      <c r="AL232" s="76">
        <v>50.0</v>
      </c>
      <c r="AM232" s="77">
        <v>500.0</v>
      </c>
      <c r="AN232" s="21"/>
      <c r="AO232" s="22">
        <v>90.0</v>
      </c>
      <c r="AP232" s="23">
        <v>120.0</v>
      </c>
      <c r="AQ232" s="23">
        <v>120.0</v>
      </c>
      <c r="AR232" s="23">
        <v>60.0</v>
      </c>
      <c r="AS232" s="23">
        <v>60.0</v>
      </c>
      <c r="AT232" s="23">
        <v>50.0</v>
      </c>
      <c r="AU232" s="24">
        <v>500.0</v>
      </c>
      <c r="AV232" s="21"/>
      <c r="AW232" s="78">
        <v>90.0</v>
      </c>
      <c r="AX232" s="79">
        <v>120.0</v>
      </c>
      <c r="AY232" s="79">
        <v>120.0</v>
      </c>
      <c r="AZ232" s="79">
        <v>60.0</v>
      </c>
      <c r="BA232" s="79">
        <v>60.0</v>
      </c>
      <c r="BB232" s="79">
        <v>50.0</v>
      </c>
      <c r="BC232" s="201">
        <v>500.0</v>
      </c>
      <c r="BE232" s="194" t="s">
        <v>325</v>
      </c>
      <c r="BF232" s="340" t="s">
        <v>101</v>
      </c>
      <c r="BG232" s="129"/>
      <c r="BI232" s="31" t="s">
        <v>5</v>
      </c>
      <c r="BJ232" s="32">
        <v>1.0</v>
      </c>
      <c r="BK232" s="32">
        <v>1.0</v>
      </c>
      <c r="BL232" s="32" t="s">
        <v>5</v>
      </c>
      <c r="BM232" s="32" t="s">
        <v>5</v>
      </c>
      <c r="BN232" s="33" t="s">
        <v>5</v>
      </c>
      <c r="BP232" s="85" t="s">
        <v>79</v>
      </c>
      <c r="BQ232" s="129"/>
      <c r="BS232" s="87" t="s">
        <v>79</v>
      </c>
      <c r="BT232" s="130"/>
      <c r="BU232" s="37" t="str">
        <f t="shared" si="1"/>
        <v>#NAME?</v>
      </c>
      <c r="BV232" s="89" t="s">
        <v>79</v>
      </c>
      <c r="BW232" s="37" t="str">
        <f t="shared" si="2"/>
        <v>#NAME?</v>
      </c>
      <c r="BX232" s="89"/>
      <c r="BY232" s="39"/>
      <c r="BZ232" s="39"/>
      <c r="CA232" s="40" t="s">
        <v>79</v>
      </c>
      <c r="CB232" s="41"/>
      <c r="CC232" s="90" t="s">
        <v>79</v>
      </c>
      <c r="CD232" s="91"/>
      <c r="CE232" s="21"/>
      <c r="CF232" s="92" t="s">
        <v>825</v>
      </c>
      <c r="CG232" s="93"/>
      <c r="CH232" s="21"/>
      <c r="CI232" s="152" t="s">
        <v>376</v>
      </c>
      <c r="CJ232" s="95" t="s">
        <v>825</v>
      </c>
      <c r="CK232" s="21"/>
      <c r="CL232" s="22" t="s">
        <v>2205</v>
      </c>
      <c r="CM232" s="12"/>
      <c r="CN232" s="48"/>
      <c r="CO232" s="96" t="s">
        <v>825</v>
      </c>
      <c r="CP232" s="21"/>
      <c r="CQ232" s="2" t="s">
        <v>955</v>
      </c>
      <c r="CR232" s="97">
        <v>100.0</v>
      </c>
      <c r="CS232" s="2" t="s">
        <v>1595</v>
      </c>
      <c r="CT232" s="98">
        <v>189.0</v>
      </c>
      <c r="CU232" s="2"/>
      <c r="CV232" s="52" t="s">
        <v>149</v>
      </c>
      <c r="CW232" s="52" t="s">
        <v>149</v>
      </c>
      <c r="CX232" s="2"/>
      <c r="CY232" s="334" t="s">
        <v>277</v>
      </c>
      <c r="CZ232" s="337"/>
      <c r="DA232" s="2"/>
      <c r="DB232" s="98">
        <v>60.0</v>
      </c>
      <c r="DC232" s="2"/>
      <c r="DD232" s="101" t="s">
        <v>150</v>
      </c>
      <c r="DE232" s="2"/>
      <c r="DF232" s="370" t="s">
        <v>2213</v>
      </c>
      <c r="DG232" s="336"/>
      <c r="DH232" s="336"/>
      <c r="DI232" s="2"/>
      <c r="DJ232" s="2"/>
      <c r="DK232" s="59" t="s">
        <v>2214</v>
      </c>
      <c r="DL232" s="37" t="s">
        <v>95</v>
      </c>
      <c r="DM232" s="37" t="str">
        <f t="shared" si="3"/>
        <v>#NAME?</v>
      </c>
      <c r="DN232" s="61"/>
      <c r="DO232" s="37">
        <v>80.0</v>
      </c>
      <c r="DP232" s="105">
        <v>1.0</v>
      </c>
      <c r="DQ232" s="62" t="s">
        <v>49</v>
      </c>
      <c r="DR232" s="63"/>
      <c r="DS232" s="198"/>
      <c r="DT232" s="108"/>
      <c r="DU232" s="108"/>
      <c r="DV232" s="182"/>
      <c r="DW232" s="182"/>
      <c r="DX232" s="182"/>
      <c r="DY232" s="182"/>
      <c r="DZ232" s="182"/>
      <c r="EA232" s="182"/>
      <c r="EB232" s="2"/>
      <c r="EC232" s="2"/>
      <c r="ED232" s="2"/>
      <c r="EE232" s="2"/>
      <c r="EF232" s="149" t="s">
        <v>2215</v>
      </c>
      <c r="EG232" s="69" t="str">
        <f>image("https://www.pokebip.com/pages/icones/objets/boite-sceaux.png", 3)</f>
        <v/>
      </c>
      <c r="EH232" s="69"/>
      <c r="EI232" s="69"/>
    </row>
    <row r="233" ht="15.75" customHeight="1">
      <c r="A233" s="1">
        <v>233.0</v>
      </c>
      <c r="B233" s="2" t="s">
        <v>2216</v>
      </c>
      <c r="C233" s="7"/>
      <c r="D233" s="122" t="s">
        <v>2217</v>
      </c>
      <c r="E233" s="5"/>
      <c r="F233" s="123"/>
      <c r="G233" s="7"/>
      <c r="H233" s="8" t="s">
        <v>2218</v>
      </c>
      <c r="I233" s="9" t="s">
        <v>2219</v>
      </c>
      <c r="J233" s="355" t="str">
        <f>image("https://archives.bulbagarden.net/media/upload/c/ce/233MS6.png", 3)</f>
        <v/>
      </c>
      <c r="K233" s="11" t="s">
        <v>2217</v>
      </c>
      <c r="L233" s="12"/>
      <c r="M233" s="12"/>
      <c r="N233" s="12"/>
      <c r="O233" s="12"/>
      <c r="Q233" s="71">
        <v>85.0</v>
      </c>
      <c r="R233" s="72">
        <v>80.0</v>
      </c>
      <c r="S233" s="73">
        <v>90.0</v>
      </c>
      <c r="T233" s="74">
        <v>105.0</v>
      </c>
      <c r="U233" s="75">
        <v>95.0</v>
      </c>
      <c r="V233" s="76">
        <v>60.0</v>
      </c>
      <c r="W233" s="77">
        <v>515.0</v>
      </c>
      <c r="X233" s="21"/>
      <c r="Y233" s="71">
        <v>85.0</v>
      </c>
      <c r="Z233" s="72">
        <v>80.0</v>
      </c>
      <c r="AA233" s="73">
        <v>90.0</v>
      </c>
      <c r="AB233" s="74">
        <v>105.0</v>
      </c>
      <c r="AC233" s="75">
        <v>95.0</v>
      </c>
      <c r="AD233" s="76">
        <v>60.0</v>
      </c>
      <c r="AE233" s="77">
        <v>515.0</v>
      </c>
      <c r="AF233" s="21"/>
      <c r="AG233" s="71">
        <v>85.0</v>
      </c>
      <c r="AH233" s="72">
        <v>80.0</v>
      </c>
      <c r="AI233" s="73">
        <v>90.0</v>
      </c>
      <c r="AJ233" s="74">
        <v>105.0</v>
      </c>
      <c r="AK233" s="75">
        <v>95.0</v>
      </c>
      <c r="AL233" s="76">
        <v>60.0</v>
      </c>
      <c r="AM233" s="77">
        <v>515.0</v>
      </c>
      <c r="AN233" s="21"/>
      <c r="AO233" s="22">
        <v>85.0</v>
      </c>
      <c r="AP233" s="23">
        <v>80.0</v>
      </c>
      <c r="AQ233" s="23">
        <v>90.0</v>
      </c>
      <c r="AR233" s="23">
        <v>105.0</v>
      </c>
      <c r="AS233" s="23">
        <v>95.0</v>
      </c>
      <c r="AT233" s="23">
        <v>60.0</v>
      </c>
      <c r="AU233" s="24">
        <v>515.0</v>
      </c>
      <c r="AV233" s="21"/>
      <c r="AW233" s="78">
        <v>85.0</v>
      </c>
      <c r="AX233" s="79">
        <v>80.0</v>
      </c>
      <c r="AY233" s="79">
        <v>90.0</v>
      </c>
      <c r="AZ233" s="79">
        <v>105.0</v>
      </c>
      <c r="BA233" s="79">
        <v>95.0</v>
      </c>
      <c r="BB233" s="79">
        <v>60.0</v>
      </c>
      <c r="BC233" s="201">
        <v>515.0</v>
      </c>
      <c r="BE233" s="112" t="s">
        <v>42</v>
      </c>
      <c r="BF233" s="113"/>
      <c r="BG233" s="93"/>
      <c r="BI233" s="31" t="s">
        <v>5</v>
      </c>
      <c r="BJ233" s="32" t="s">
        <v>5</v>
      </c>
      <c r="BK233" s="32" t="s">
        <v>5</v>
      </c>
      <c r="BL233" s="32">
        <v>2.0</v>
      </c>
      <c r="BM233" s="32" t="s">
        <v>5</v>
      </c>
      <c r="BN233" s="33" t="s">
        <v>5</v>
      </c>
      <c r="BP233" s="115" t="s">
        <v>156</v>
      </c>
      <c r="BQ233" s="93"/>
      <c r="BS233" s="115" t="s">
        <v>156</v>
      </c>
      <c r="BT233" s="133"/>
      <c r="BU233" s="37" t="str">
        <f t="shared" si="1"/>
        <v>#NAME?</v>
      </c>
      <c r="BV233" s="89" t="s">
        <v>156</v>
      </c>
      <c r="BW233" s="37" t="str">
        <f t="shared" si="2"/>
        <v>#NAME?</v>
      </c>
      <c r="BX233" s="89"/>
      <c r="BY233" s="39"/>
      <c r="BZ233" s="39"/>
      <c r="CA233" s="40" t="s">
        <v>156</v>
      </c>
      <c r="CB233" s="41"/>
      <c r="CC233" s="90" t="s">
        <v>156</v>
      </c>
      <c r="CD233" s="91"/>
      <c r="CE233" s="21"/>
      <c r="CF233" s="92" t="s">
        <v>1404</v>
      </c>
      <c r="CG233" s="93" t="s">
        <v>1405</v>
      </c>
      <c r="CH233" s="21"/>
      <c r="CI233" s="175" t="s">
        <v>1404</v>
      </c>
      <c r="CJ233" s="93" t="s">
        <v>1405</v>
      </c>
      <c r="CK233" s="21"/>
      <c r="CL233" s="22" t="s">
        <v>1404</v>
      </c>
      <c r="CM233" s="12"/>
      <c r="CN233" s="48"/>
      <c r="CO233" s="96" t="s">
        <v>1405</v>
      </c>
      <c r="CP233" s="21"/>
      <c r="CQ233" s="2" t="s">
        <v>1624</v>
      </c>
      <c r="CR233" s="97">
        <v>60.0</v>
      </c>
      <c r="CS233" s="2" t="s">
        <v>42</v>
      </c>
      <c r="CT233" s="98">
        <v>180.0</v>
      </c>
      <c r="CU233" s="2"/>
      <c r="CV233" s="52" t="s">
        <v>890</v>
      </c>
      <c r="CW233" s="52" t="s">
        <v>890</v>
      </c>
      <c r="CX233" s="2"/>
      <c r="CY233" s="257" t="s">
        <v>826</v>
      </c>
      <c r="CZ233" s="160"/>
      <c r="DA233" s="2"/>
      <c r="DB233" s="98">
        <v>45.0</v>
      </c>
      <c r="DC233" s="2"/>
      <c r="DD233" s="101" t="s">
        <v>150</v>
      </c>
      <c r="DE233" s="2"/>
      <c r="DF233" s="159" t="s">
        <v>2220</v>
      </c>
      <c r="DG233" s="121"/>
      <c r="DH233" s="121"/>
      <c r="DI233" s="2"/>
      <c r="DJ233" s="2"/>
      <c r="DK233" s="59" t="s">
        <v>2221</v>
      </c>
      <c r="DL233" s="37" t="s">
        <v>64</v>
      </c>
      <c r="DM233" s="37" t="str">
        <f t="shared" si="3"/>
        <v>#NAME?</v>
      </c>
      <c r="DN233" s="61"/>
      <c r="DO233" s="37">
        <v>120.0</v>
      </c>
      <c r="DP233" s="105">
        <v>0.7</v>
      </c>
      <c r="DQ233" s="62" t="s">
        <v>293</v>
      </c>
      <c r="DR233" s="63"/>
      <c r="DS233" s="198"/>
      <c r="DT233" s="108"/>
      <c r="DU233" s="108"/>
      <c r="DV233" s="182"/>
      <c r="DW233" s="182"/>
      <c r="DX233" s="182"/>
      <c r="DY233" s="182"/>
      <c r="DZ233" s="182"/>
      <c r="EA233" s="182"/>
      <c r="EB233" s="21"/>
      <c r="EC233" s="21"/>
      <c r="ED233" s="21"/>
      <c r="EE233" s="21"/>
      <c r="EF233" s="149" t="s">
        <v>2222</v>
      </c>
      <c r="EG233" s="69" t="str">
        <f>image("https://www.pokebip.com/pages/icones/objets/bon-1.png", 3)</f>
        <v/>
      </c>
      <c r="EH233" s="69"/>
      <c r="EI233" s="69"/>
    </row>
    <row r="234" ht="15.75" customHeight="1">
      <c r="A234" s="1">
        <v>234.0</v>
      </c>
      <c r="B234" s="2" t="s">
        <v>2223</v>
      </c>
      <c r="C234" s="7"/>
      <c r="D234" s="167" t="s">
        <v>2224</v>
      </c>
      <c r="E234" s="5"/>
      <c r="F234" s="168"/>
      <c r="G234" s="7"/>
      <c r="H234" s="8" t="s">
        <v>2225</v>
      </c>
      <c r="I234" s="9" t="s">
        <v>2226</v>
      </c>
      <c r="J234" s="355" t="str">
        <f>image("https://archives.bulbagarden.net/media/upload/1/19/234MS6.png", 3)</f>
        <v/>
      </c>
      <c r="K234" s="11" t="s">
        <v>2224</v>
      </c>
      <c r="L234" s="12"/>
      <c r="M234" s="12"/>
      <c r="N234" s="12"/>
      <c r="O234" s="12"/>
      <c r="Q234" s="71">
        <v>73.0</v>
      </c>
      <c r="R234" s="72">
        <v>95.0</v>
      </c>
      <c r="S234" s="73">
        <v>62.0</v>
      </c>
      <c r="T234" s="74">
        <v>85.0</v>
      </c>
      <c r="U234" s="75">
        <v>65.0</v>
      </c>
      <c r="V234" s="76">
        <v>85.0</v>
      </c>
      <c r="W234" s="77">
        <v>465.0</v>
      </c>
      <c r="X234" s="21"/>
      <c r="Y234" s="71">
        <v>73.0</v>
      </c>
      <c r="Z234" s="72">
        <v>95.0</v>
      </c>
      <c r="AA234" s="73">
        <v>62.0</v>
      </c>
      <c r="AB234" s="74">
        <v>85.0</v>
      </c>
      <c r="AC234" s="75">
        <v>65.0</v>
      </c>
      <c r="AD234" s="76">
        <v>85.0</v>
      </c>
      <c r="AE234" s="77">
        <v>465.0</v>
      </c>
      <c r="AF234" s="21"/>
      <c r="AG234" s="71">
        <v>73.0</v>
      </c>
      <c r="AH234" s="72">
        <v>95.0</v>
      </c>
      <c r="AI234" s="73">
        <v>62.0</v>
      </c>
      <c r="AJ234" s="74">
        <v>85.0</v>
      </c>
      <c r="AK234" s="75">
        <v>65.0</v>
      </c>
      <c r="AL234" s="76">
        <v>85.0</v>
      </c>
      <c r="AM234" s="77">
        <v>465.0</v>
      </c>
      <c r="AN234" s="21"/>
      <c r="AO234" s="22">
        <v>73.0</v>
      </c>
      <c r="AP234" s="23">
        <v>95.0</v>
      </c>
      <c r="AQ234" s="23">
        <v>62.0</v>
      </c>
      <c r="AR234" s="23">
        <v>85.0</v>
      </c>
      <c r="AS234" s="23">
        <v>65.0</v>
      </c>
      <c r="AT234" s="23">
        <v>85.0</v>
      </c>
      <c r="AU234" s="24">
        <v>465.0</v>
      </c>
      <c r="AV234" s="21"/>
      <c r="AW234" s="78">
        <v>73.0</v>
      </c>
      <c r="AX234" s="79">
        <v>95.0</v>
      </c>
      <c r="AY234" s="79">
        <v>62.0</v>
      </c>
      <c r="AZ234" s="79">
        <v>85.0</v>
      </c>
      <c r="BA234" s="79">
        <v>65.0</v>
      </c>
      <c r="BB234" s="79">
        <v>85.0</v>
      </c>
      <c r="BC234" s="201">
        <v>465.0</v>
      </c>
      <c r="BE234" s="194" t="s">
        <v>325</v>
      </c>
      <c r="BF234" s="338"/>
      <c r="BG234" s="128"/>
      <c r="BI234" s="31" t="s">
        <v>5</v>
      </c>
      <c r="BJ234" s="32">
        <v>1.0</v>
      </c>
      <c r="BK234" s="32" t="s">
        <v>5</v>
      </c>
      <c r="BL234" s="32" t="s">
        <v>5</v>
      </c>
      <c r="BM234" s="32" t="s">
        <v>5</v>
      </c>
      <c r="BN234" s="33" t="s">
        <v>5</v>
      </c>
      <c r="BP234" s="85" t="s">
        <v>156</v>
      </c>
      <c r="BQ234" s="129"/>
      <c r="BS234" s="87" t="s">
        <v>156</v>
      </c>
      <c r="BT234" s="130"/>
      <c r="BU234" s="37" t="str">
        <f t="shared" si="1"/>
        <v>#NAME?</v>
      </c>
      <c r="BV234" s="89" t="s">
        <v>156</v>
      </c>
      <c r="BW234" s="37" t="str">
        <f t="shared" si="2"/>
        <v>#NAME?</v>
      </c>
      <c r="BX234" s="89"/>
      <c r="BY234" s="39"/>
      <c r="BZ234" s="39"/>
      <c r="CA234" s="40" t="s">
        <v>156</v>
      </c>
      <c r="CB234" s="41"/>
      <c r="CC234" s="90" t="s">
        <v>156</v>
      </c>
      <c r="CD234" s="91"/>
      <c r="CE234" s="21"/>
      <c r="CF234" s="92" t="s">
        <v>326</v>
      </c>
      <c r="CG234" s="93" t="s">
        <v>2227</v>
      </c>
      <c r="CH234" s="21"/>
      <c r="CI234" s="177" t="s">
        <v>326</v>
      </c>
      <c r="CJ234" s="188" t="s">
        <v>2227</v>
      </c>
      <c r="CK234" s="21"/>
      <c r="CL234" s="22" t="s">
        <v>326</v>
      </c>
      <c r="CM234" s="12"/>
      <c r="CN234" s="48"/>
      <c r="CO234" s="189" t="s">
        <v>2227</v>
      </c>
      <c r="CP234" s="21"/>
      <c r="CQ234" s="2" t="s">
        <v>2228</v>
      </c>
      <c r="CR234" s="97">
        <v>80.0</v>
      </c>
      <c r="CS234" s="2" t="s">
        <v>325</v>
      </c>
      <c r="CT234" s="98">
        <v>165.0</v>
      </c>
      <c r="CU234" s="2"/>
      <c r="CV234" s="52" t="s">
        <v>149</v>
      </c>
      <c r="CW234" s="52" t="s">
        <v>149</v>
      </c>
      <c r="CX234" s="2"/>
      <c r="CY234" s="334" t="s">
        <v>277</v>
      </c>
      <c r="CZ234" s="337"/>
      <c r="DA234" s="2"/>
      <c r="DB234" s="98">
        <v>45.0</v>
      </c>
      <c r="DC234" s="2"/>
      <c r="DD234" s="101" t="s">
        <v>683</v>
      </c>
      <c r="DE234" s="2"/>
      <c r="DF234" s="371" t="s">
        <v>914</v>
      </c>
      <c r="DG234" s="336"/>
      <c r="DH234" s="336"/>
      <c r="DI234" s="2"/>
      <c r="DJ234" s="2"/>
      <c r="DK234" s="59" t="s">
        <v>2229</v>
      </c>
      <c r="DL234" s="37" t="s">
        <v>6</v>
      </c>
      <c r="DM234" s="37" t="str">
        <f t="shared" si="3"/>
        <v>#NAME?</v>
      </c>
      <c r="DN234" s="61"/>
      <c r="DO234" s="37">
        <v>150.0</v>
      </c>
      <c r="DP234" s="105">
        <v>0.9</v>
      </c>
      <c r="DQ234" s="62" t="s">
        <v>293</v>
      </c>
      <c r="DR234" s="63"/>
      <c r="DS234" s="198"/>
      <c r="DT234" s="108"/>
      <c r="DU234" s="108"/>
      <c r="DV234" s="182"/>
      <c r="DW234" s="182"/>
      <c r="DX234" s="182"/>
      <c r="DY234" s="182"/>
      <c r="DZ234" s="182"/>
      <c r="EA234" s="182"/>
      <c r="EB234" s="2"/>
      <c r="EC234" s="2"/>
      <c r="ED234" s="2"/>
      <c r="EE234" s="2"/>
      <c r="EF234" s="149" t="s">
        <v>2230</v>
      </c>
      <c r="EG234" s="69" t="str">
        <f>image("https://www.pokebip.com/pages/icones/objets/bon-2.png", 3)</f>
        <v/>
      </c>
      <c r="EH234" s="69"/>
      <c r="EI234" s="69"/>
    </row>
    <row r="235" ht="15.75" customHeight="1">
      <c r="A235" s="1">
        <v>235.0</v>
      </c>
      <c r="B235" s="2" t="s">
        <v>2231</v>
      </c>
      <c r="C235" s="7"/>
      <c r="D235" s="352" t="s">
        <v>2232</v>
      </c>
      <c r="E235" s="5"/>
      <c r="F235" s="7"/>
      <c r="G235" s="7"/>
      <c r="H235" s="8" t="s">
        <v>2233</v>
      </c>
      <c r="I235" s="9" t="s">
        <v>2234</v>
      </c>
      <c r="J235" s="355" t="str">
        <f>image("https://archives.bulbagarden.net/media/upload/a/af/235MS6.png", 3)</f>
        <v/>
      </c>
      <c r="K235" s="11" t="s">
        <v>2232</v>
      </c>
      <c r="L235" s="12"/>
      <c r="M235" s="12"/>
      <c r="N235" s="12"/>
      <c r="O235" s="12"/>
      <c r="Q235" s="71">
        <v>55.0</v>
      </c>
      <c r="R235" s="72">
        <v>20.0</v>
      </c>
      <c r="S235" s="73">
        <v>35.0</v>
      </c>
      <c r="T235" s="74">
        <v>20.0</v>
      </c>
      <c r="U235" s="75">
        <v>45.0</v>
      </c>
      <c r="V235" s="76">
        <v>75.0</v>
      </c>
      <c r="W235" s="77">
        <v>250.0</v>
      </c>
      <c r="X235" s="21"/>
      <c r="Y235" s="71">
        <v>55.0</v>
      </c>
      <c r="Z235" s="72">
        <v>20.0</v>
      </c>
      <c r="AA235" s="73">
        <v>35.0</v>
      </c>
      <c r="AB235" s="74">
        <v>20.0</v>
      </c>
      <c r="AC235" s="75">
        <v>45.0</v>
      </c>
      <c r="AD235" s="76">
        <v>75.0</v>
      </c>
      <c r="AE235" s="77">
        <v>250.0</v>
      </c>
      <c r="AF235" s="21"/>
      <c r="AG235" s="71">
        <v>55.0</v>
      </c>
      <c r="AH235" s="72">
        <v>20.0</v>
      </c>
      <c r="AI235" s="73">
        <v>35.0</v>
      </c>
      <c r="AJ235" s="74">
        <v>20.0</v>
      </c>
      <c r="AK235" s="75">
        <v>45.0</v>
      </c>
      <c r="AL235" s="76">
        <v>75.0</v>
      </c>
      <c r="AM235" s="77">
        <v>250.0</v>
      </c>
      <c r="AN235" s="21"/>
      <c r="AO235" s="22">
        <v>55.0</v>
      </c>
      <c r="AP235" s="23">
        <v>20.0</v>
      </c>
      <c r="AQ235" s="23">
        <v>35.0</v>
      </c>
      <c r="AR235" s="23">
        <v>20.0</v>
      </c>
      <c r="AS235" s="23">
        <v>45.0</v>
      </c>
      <c r="AT235" s="23">
        <v>75.0</v>
      </c>
      <c r="AU235" s="24">
        <v>250.0</v>
      </c>
      <c r="AV235" s="21"/>
      <c r="AW235" s="78">
        <v>55.0</v>
      </c>
      <c r="AX235" s="79">
        <v>20.0</v>
      </c>
      <c r="AY235" s="79">
        <v>35.0</v>
      </c>
      <c r="AZ235" s="79">
        <v>20.0</v>
      </c>
      <c r="BA235" s="79">
        <v>45.0</v>
      </c>
      <c r="BB235" s="79">
        <v>75.0</v>
      </c>
      <c r="BC235" s="201">
        <v>250.0</v>
      </c>
      <c r="BE235" s="126" t="s">
        <v>56</v>
      </c>
      <c r="BF235" s="184"/>
      <c r="BG235" s="128"/>
      <c r="BI235" s="31" t="s">
        <v>5</v>
      </c>
      <c r="BJ235" s="32" t="s">
        <v>5</v>
      </c>
      <c r="BK235" s="32" t="s">
        <v>5</v>
      </c>
      <c r="BL235" s="32" t="s">
        <v>5</v>
      </c>
      <c r="BM235" s="32" t="s">
        <v>5</v>
      </c>
      <c r="BN235" s="33">
        <v>1.0</v>
      </c>
      <c r="BP235" s="115" t="s">
        <v>156</v>
      </c>
      <c r="BQ235" s="93"/>
      <c r="BS235" s="115" t="s">
        <v>156</v>
      </c>
      <c r="BT235" s="133"/>
      <c r="BU235" s="37" t="str">
        <f t="shared" si="1"/>
        <v>#NAME?</v>
      </c>
      <c r="BV235" s="89" t="s">
        <v>156</v>
      </c>
      <c r="BW235" s="37" t="str">
        <f t="shared" si="2"/>
        <v>#NAME?</v>
      </c>
      <c r="BX235" s="89"/>
      <c r="BY235" s="39"/>
      <c r="BZ235" s="39"/>
      <c r="CA235" s="40" t="s">
        <v>156</v>
      </c>
      <c r="CB235" s="41"/>
      <c r="CC235" s="90" t="s">
        <v>156</v>
      </c>
      <c r="CD235" s="91"/>
      <c r="CE235" s="21"/>
      <c r="CF235" s="92" t="s">
        <v>871</v>
      </c>
      <c r="CG235" s="93" t="s">
        <v>627</v>
      </c>
      <c r="CH235" s="21"/>
      <c r="CI235" s="272" t="s">
        <v>627</v>
      </c>
      <c r="CJ235" s="273" t="s">
        <v>871</v>
      </c>
      <c r="CK235" s="21"/>
      <c r="CL235" s="22" t="s">
        <v>628</v>
      </c>
      <c r="CM235" s="12"/>
      <c r="CN235" s="48"/>
      <c r="CO235" s="239" t="s">
        <v>871</v>
      </c>
      <c r="CP235" s="21"/>
      <c r="CQ235" s="2" t="s">
        <v>2235</v>
      </c>
      <c r="CR235" s="97">
        <v>80.0</v>
      </c>
      <c r="CS235" s="2" t="s">
        <v>56</v>
      </c>
      <c r="CT235" s="98">
        <v>106.0</v>
      </c>
      <c r="CU235" s="2"/>
      <c r="CV235" s="52" t="s">
        <v>149</v>
      </c>
      <c r="CW235" s="52" t="s">
        <v>149</v>
      </c>
      <c r="CX235" s="2"/>
      <c r="CY235" s="119" t="s">
        <v>277</v>
      </c>
      <c r="CZ235" s="160"/>
      <c r="DA235" s="2"/>
      <c r="DB235" s="98">
        <v>45.0</v>
      </c>
      <c r="DC235" s="2"/>
      <c r="DD235" s="101" t="s">
        <v>468</v>
      </c>
      <c r="DE235" s="2"/>
      <c r="DF235" s="120" t="s">
        <v>914</v>
      </c>
      <c r="DG235" s="121"/>
      <c r="DH235" s="121"/>
      <c r="DI235" s="2"/>
      <c r="DJ235" s="2"/>
      <c r="DK235" s="59" t="s">
        <v>2236</v>
      </c>
      <c r="DL235" s="37" t="s">
        <v>122</v>
      </c>
      <c r="DM235" s="37" t="str">
        <f t="shared" si="3"/>
        <v>#NAME?</v>
      </c>
      <c r="DN235" s="61"/>
      <c r="DO235" s="37" t="s">
        <v>842</v>
      </c>
      <c r="DP235" s="37" t="s">
        <v>225</v>
      </c>
      <c r="DQ235" s="62" t="s">
        <v>918</v>
      </c>
      <c r="DR235" s="63"/>
      <c r="DS235" s="198"/>
      <c r="DT235" s="108"/>
      <c r="DU235" s="108"/>
      <c r="DV235" s="182"/>
      <c r="DW235" s="182"/>
      <c r="DX235" s="182"/>
      <c r="DY235" s="182"/>
      <c r="DZ235" s="182"/>
      <c r="EA235" s="182"/>
      <c r="EB235" s="21"/>
      <c r="EC235" s="21"/>
      <c r="ED235" s="21"/>
      <c r="EE235" s="21"/>
      <c r="EF235" s="149" t="s">
        <v>2237</v>
      </c>
      <c r="EG235" s="69" t="str">
        <f>image("https://www.pokebip.com/pages/icones/objets/bon-3.png", 3)</f>
        <v/>
      </c>
      <c r="EH235" s="69"/>
      <c r="EI235" s="69"/>
    </row>
    <row r="236" ht="15.75" customHeight="1">
      <c r="A236" s="1">
        <v>236.0</v>
      </c>
      <c r="B236" s="2" t="s">
        <v>2238</v>
      </c>
      <c r="C236" s="7"/>
      <c r="D236" s="180" t="s">
        <v>2239</v>
      </c>
      <c r="E236" s="5"/>
      <c r="F236" s="181"/>
      <c r="G236" s="7"/>
      <c r="H236" s="8" t="s">
        <v>2240</v>
      </c>
      <c r="I236" s="9" t="s">
        <v>2241</v>
      </c>
      <c r="J236" s="355" t="str">
        <f>image("https://archives.bulbagarden.net/media/upload/c/c0/236MS6.png", 3)</f>
        <v/>
      </c>
      <c r="K236" s="11" t="s">
        <v>2239</v>
      </c>
      <c r="L236" s="12"/>
      <c r="M236" s="12"/>
      <c r="N236" s="12"/>
      <c r="O236" s="12"/>
      <c r="Q236" s="71">
        <v>35.0</v>
      </c>
      <c r="R236" s="72">
        <v>35.0</v>
      </c>
      <c r="S236" s="73">
        <v>35.0</v>
      </c>
      <c r="T236" s="74">
        <v>35.0</v>
      </c>
      <c r="U236" s="75">
        <v>35.0</v>
      </c>
      <c r="V236" s="76">
        <v>35.0</v>
      </c>
      <c r="W236" s="77">
        <v>210.0</v>
      </c>
      <c r="X236" s="21"/>
      <c r="Y236" s="71">
        <v>35.0</v>
      </c>
      <c r="Z236" s="72">
        <v>35.0</v>
      </c>
      <c r="AA236" s="73">
        <v>35.0</v>
      </c>
      <c r="AB236" s="74">
        <v>35.0</v>
      </c>
      <c r="AC236" s="75">
        <v>35.0</v>
      </c>
      <c r="AD236" s="76">
        <v>35.0</v>
      </c>
      <c r="AE236" s="77">
        <v>210.0</v>
      </c>
      <c r="AF236" s="21"/>
      <c r="AG236" s="71">
        <v>35.0</v>
      </c>
      <c r="AH236" s="72">
        <v>35.0</v>
      </c>
      <c r="AI236" s="73">
        <v>35.0</v>
      </c>
      <c r="AJ236" s="74">
        <v>35.0</v>
      </c>
      <c r="AK236" s="75">
        <v>35.0</v>
      </c>
      <c r="AL236" s="76">
        <v>35.0</v>
      </c>
      <c r="AM236" s="77">
        <v>210.0</v>
      </c>
      <c r="AN236" s="21"/>
      <c r="AO236" s="22">
        <v>35.0</v>
      </c>
      <c r="AP236" s="23">
        <v>35.0</v>
      </c>
      <c r="AQ236" s="23">
        <v>35.0</v>
      </c>
      <c r="AR236" s="23">
        <v>35.0</v>
      </c>
      <c r="AS236" s="23">
        <v>35.0</v>
      </c>
      <c r="AT236" s="23">
        <v>35.0</v>
      </c>
      <c r="AU236" s="24">
        <v>210.0</v>
      </c>
      <c r="AV236" s="21"/>
      <c r="AW236" s="78">
        <v>35.0</v>
      </c>
      <c r="AX236" s="79">
        <v>35.0</v>
      </c>
      <c r="AY236" s="79">
        <v>35.0</v>
      </c>
      <c r="AZ236" s="79">
        <v>35.0</v>
      </c>
      <c r="BA236" s="79">
        <v>35.0</v>
      </c>
      <c r="BB236" s="79">
        <v>35.0</v>
      </c>
      <c r="BC236" s="201">
        <v>210.0</v>
      </c>
      <c r="BE236" s="194" t="s">
        <v>2242</v>
      </c>
      <c r="BF236" s="338"/>
      <c r="BG236" s="128"/>
      <c r="BI236" s="31" t="s">
        <v>5</v>
      </c>
      <c r="BJ236" s="32">
        <v>1.0</v>
      </c>
      <c r="BK236" s="32" t="s">
        <v>5</v>
      </c>
      <c r="BL236" s="32" t="s">
        <v>5</v>
      </c>
      <c r="BM236" s="32" t="s">
        <v>5</v>
      </c>
      <c r="BN236" s="33" t="s">
        <v>5</v>
      </c>
      <c r="BP236" s="85" t="s">
        <v>64</v>
      </c>
      <c r="BQ236" s="129"/>
      <c r="BS236" s="87" t="s">
        <v>64</v>
      </c>
      <c r="BT236" s="130"/>
      <c r="BU236" s="37" t="str">
        <f t="shared" si="1"/>
        <v>#NAME?</v>
      </c>
      <c r="BV236" s="89" t="s">
        <v>64</v>
      </c>
      <c r="BW236" s="37" t="str">
        <f t="shared" si="2"/>
        <v>#NAME?</v>
      </c>
      <c r="BX236" s="89"/>
      <c r="BY236" s="39"/>
      <c r="BZ236" s="39"/>
      <c r="CA236" s="40" t="s">
        <v>64</v>
      </c>
      <c r="CB236" s="41"/>
      <c r="CC236" s="90" t="s">
        <v>64</v>
      </c>
      <c r="CD236" s="91"/>
      <c r="CE236" s="21"/>
      <c r="CF236" s="92" t="s">
        <v>273</v>
      </c>
      <c r="CG236" s="93" t="s">
        <v>2243</v>
      </c>
      <c r="CH236" s="21"/>
      <c r="CI236" s="362" t="s">
        <v>2244</v>
      </c>
      <c r="CJ236" s="359" t="s">
        <v>273</v>
      </c>
      <c r="CK236" s="21"/>
      <c r="CL236" s="22" t="s">
        <v>2245</v>
      </c>
      <c r="CM236" s="12"/>
      <c r="CN236" s="48"/>
      <c r="CO236" s="360" t="s">
        <v>273</v>
      </c>
      <c r="CP236" s="21"/>
      <c r="CQ236" s="2" t="s">
        <v>2246</v>
      </c>
      <c r="CR236" s="97">
        <v>40.0</v>
      </c>
      <c r="CS236" s="2" t="s">
        <v>2242</v>
      </c>
      <c r="CT236" s="98">
        <v>91.0</v>
      </c>
      <c r="CU236" s="2"/>
      <c r="CV236" s="52" t="s">
        <v>397</v>
      </c>
      <c r="CW236" s="202">
        <v>0.0</v>
      </c>
      <c r="CX236" s="2"/>
      <c r="CY236" s="334" t="s">
        <v>411</v>
      </c>
      <c r="CZ236" s="337"/>
      <c r="DA236" s="2"/>
      <c r="DB236" s="98">
        <v>75.0</v>
      </c>
      <c r="DC236" s="2"/>
      <c r="DD236" s="101" t="s">
        <v>150</v>
      </c>
      <c r="DE236" s="2"/>
      <c r="DF236" s="339" t="s">
        <v>2247</v>
      </c>
      <c r="DG236" s="336"/>
      <c r="DH236" s="336"/>
      <c r="DI236" s="21"/>
      <c r="DJ236" s="21"/>
      <c r="DK236" s="59" t="s">
        <v>2248</v>
      </c>
      <c r="DL236" s="37" t="s">
        <v>6</v>
      </c>
      <c r="DM236" s="37" t="str">
        <f t="shared" si="3"/>
        <v>#NAME?</v>
      </c>
      <c r="DN236" s="61"/>
      <c r="DO236" s="37" t="s">
        <v>154</v>
      </c>
      <c r="DP236" s="105">
        <v>1.0</v>
      </c>
      <c r="DQ236" s="62" t="s">
        <v>49</v>
      </c>
      <c r="DR236" s="63"/>
      <c r="DS236" s="198"/>
      <c r="DT236" s="108"/>
      <c r="DU236" s="108"/>
      <c r="DV236" s="182"/>
      <c r="DW236" s="182"/>
      <c r="DX236" s="182"/>
      <c r="DY236" s="182"/>
      <c r="DZ236" s="182"/>
      <c r="EA236" s="182"/>
      <c r="EB236" s="2"/>
      <c r="EC236" s="2"/>
      <c r="ED236" s="2"/>
      <c r="EE236" s="2"/>
      <c r="EF236" s="149" t="s">
        <v>2249</v>
      </c>
      <c r="EG236" s="69" t="str">
        <f>image("https://www.pokebip.com/pages/icones/objets/canne-3g.png", 3)</f>
        <v/>
      </c>
      <c r="EH236" s="69"/>
      <c r="EI236" s="69"/>
    </row>
    <row r="237" ht="15.75" customHeight="1">
      <c r="A237" s="1">
        <v>237.0</v>
      </c>
      <c r="B237" s="2" t="s">
        <v>2250</v>
      </c>
      <c r="C237" s="7"/>
      <c r="D237" s="167" t="s">
        <v>2251</v>
      </c>
      <c r="E237" s="5"/>
      <c r="F237" s="168"/>
      <c r="G237" s="7"/>
      <c r="H237" s="8" t="s">
        <v>2252</v>
      </c>
      <c r="I237" s="9" t="s">
        <v>2253</v>
      </c>
      <c r="J237" s="355" t="str">
        <f>image("https://archives.bulbagarden.net/media/upload/3/3e/237MS6.png", 3)</f>
        <v/>
      </c>
      <c r="K237" s="11" t="s">
        <v>2251</v>
      </c>
      <c r="L237" s="12"/>
      <c r="M237" s="12"/>
      <c r="N237" s="12"/>
      <c r="O237" s="12"/>
      <c r="Q237" s="71">
        <v>50.0</v>
      </c>
      <c r="R237" s="72">
        <v>95.0</v>
      </c>
      <c r="S237" s="73">
        <v>95.0</v>
      </c>
      <c r="T237" s="74">
        <v>35.0</v>
      </c>
      <c r="U237" s="75">
        <v>110.0</v>
      </c>
      <c r="V237" s="76">
        <v>70.0</v>
      </c>
      <c r="W237" s="77">
        <v>455.0</v>
      </c>
      <c r="X237" s="21"/>
      <c r="Y237" s="71">
        <v>50.0</v>
      </c>
      <c r="Z237" s="72">
        <v>95.0</v>
      </c>
      <c r="AA237" s="73">
        <v>95.0</v>
      </c>
      <c r="AB237" s="74">
        <v>35.0</v>
      </c>
      <c r="AC237" s="75">
        <v>110.0</v>
      </c>
      <c r="AD237" s="76">
        <v>70.0</v>
      </c>
      <c r="AE237" s="77">
        <v>455.0</v>
      </c>
      <c r="AF237" s="21"/>
      <c r="AG237" s="71">
        <v>50.0</v>
      </c>
      <c r="AH237" s="72">
        <v>95.0</v>
      </c>
      <c r="AI237" s="73">
        <v>95.0</v>
      </c>
      <c r="AJ237" s="74">
        <v>35.0</v>
      </c>
      <c r="AK237" s="75">
        <v>110.0</v>
      </c>
      <c r="AL237" s="76">
        <v>70.0</v>
      </c>
      <c r="AM237" s="77">
        <v>455.0</v>
      </c>
      <c r="AN237" s="21"/>
      <c r="AO237" s="22">
        <v>50.0</v>
      </c>
      <c r="AP237" s="23">
        <v>95.0</v>
      </c>
      <c r="AQ237" s="23">
        <v>95.0</v>
      </c>
      <c r="AR237" s="23">
        <v>35.0</v>
      </c>
      <c r="AS237" s="23">
        <v>110.0</v>
      </c>
      <c r="AT237" s="23">
        <v>70.0</v>
      </c>
      <c r="AU237" s="24">
        <v>455.0</v>
      </c>
      <c r="AV237" s="21"/>
      <c r="AW237" s="78">
        <v>50.0</v>
      </c>
      <c r="AX237" s="79">
        <v>95.0</v>
      </c>
      <c r="AY237" s="79">
        <v>95.0</v>
      </c>
      <c r="AZ237" s="80">
        <v>35.0</v>
      </c>
      <c r="BA237" s="79">
        <v>110.0</v>
      </c>
      <c r="BB237" s="79">
        <v>70.0</v>
      </c>
      <c r="BC237" s="81">
        <v>455.0</v>
      </c>
      <c r="BE237" s="150" t="s">
        <v>815</v>
      </c>
      <c r="BF237" s="113"/>
      <c r="BG237" s="93"/>
      <c r="BI237" s="31" t="s">
        <v>5</v>
      </c>
      <c r="BJ237" s="32" t="s">
        <v>5</v>
      </c>
      <c r="BK237" s="32" t="s">
        <v>5</v>
      </c>
      <c r="BL237" s="32" t="s">
        <v>5</v>
      </c>
      <c r="BM237" s="234">
        <v>2.0</v>
      </c>
      <c r="BN237" s="33" t="s">
        <v>5</v>
      </c>
      <c r="BP237" s="115" t="s">
        <v>64</v>
      </c>
      <c r="BQ237" s="93"/>
      <c r="BS237" s="115" t="s">
        <v>64</v>
      </c>
      <c r="BT237" s="133"/>
      <c r="BU237" s="37" t="str">
        <f t="shared" si="1"/>
        <v>#NAME?</v>
      </c>
      <c r="BV237" s="89" t="s">
        <v>64</v>
      </c>
      <c r="BW237" s="37" t="str">
        <f t="shared" si="2"/>
        <v>#NAME?</v>
      </c>
      <c r="BX237" s="89"/>
      <c r="BY237" s="39"/>
      <c r="BZ237" s="39"/>
      <c r="CA237" s="40" t="s">
        <v>64</v>
      </c>
      <c r="CB237" s="41"/>
      <c r="CC237" s="90" t="s">
        <v>64</v>
      </c>
      <c r="CD237" s="91"/>
      <c r="CE237" s="21"/>
      <c r="CF237" s="92" t="s">
        <v>326</v>
      </c>
      <c r="CG237" s="93" t="s">
        <v>627</v>
      </c>
      <c r="CH237" s="21"/>
      <c r="CI237" s="362" t="s">
        <v>2049</v>
      </c>
      <c r="CJ237" s="275" t="s">
        <v>326</v>
      </c>
      <c r="CK237" s="21"/>
      <c r="CL237" s="22" t="s">
        <v>2050</v>
      </c>
      <c r="CM237" s="12"/>
      <c r="CN237" s="48"/>
      <c r="CO237" s="242" t="s">
        <v>326</v>
      </c>
      <c r="CP237" s="21"/>
      <c r="CQ237" s="2" t="s">
        <v>746</v>
      </c>
      <c r="CR237" s="97">
        <v>60.0</v>
      </c>
      <c r="CS237" s="2" t="s">
        <v>815</v>
      </c>
      <c r="CT237" s="98">
        <v>138.0</v>
      </c>
      <c r="CU237" s="2"/>
      <c r="CV237" s="52" t="s">
        <v>397</v>
      </c>
      <c r="CW237" s="202">
        <v>0.0</v>
      </c>
      <c r="CX237" s="2"/>
      <c r="CY237" s="119" t="s">
        <v>728</v>
      </c>
      <c r="CZ237" s="160"/>
      <c r="DA237" s="2"/>
      <c r="DB237" s="98">
        <v>45.0</v>
      </c>
      <c r="DC237" s="2"/>
      <c r="DD237" s="101" t="s">
        <v>150</v>
      </c>
      <c r="DE237" s="2"/>
      <c r="DF237" s="120" t="s">
        <v>2254</v>
      </c>
      <c r="DG237" s="121"/>
      <c r="DH237" s="121"/>
      <c r="DI237" s="2"/>
      <c r="DJ237" s="2"/>
      <c r="DK237" s="59" t="s">
        <v>2255</v>
      </c>
      <c r="DL237" s="37" t="s">
        <v>6</v>
      </c>
      <c r="DM237" s="37" t="str">
        <f t="shared" si="3"/>
        <v>#NAME?</v>
      </c>
      <c r="DN237" s="61"/>
      <c r="DO237" s="37" t="s">
        <v>19</v>
      </c>
      <c r="DP237" s="105">
        <v>1.0</v>
      </c>
      <c r="DQ237" s="62" t="s">
        <v>20</v>
      </c>
      <c r="DR237" s="155"/>
      <c r="DS237" s="251"/>
      <c r="DT237" s="108"/>
      <c r="DU237" s="108"/>
      <c r="DV237" s="252"/>
      <c r="DW237" s="252"/>
      <c r="DX237" s="252"/>
      <c r="DY237" s="252"/>
      <c r="DZ237" s="252"/>
      <c r="EA237" s="252"/>
      <c r="EB237" s="2"/>
      <c r="EC237" s="2"/>
      <c r="ED237" s="2"/>
      <c r="EE237" s="2"/>
      <c r="EF237" s="149" t="s">
        <v>2256</v>
      </c>
      <c r="EG237" s="69" t="str">
        <f>image("https://www.pokebip.com/pages/icones/objets/carte.png", 3)</f>
        <v/>
      </c>
      <c r="EH237" s="69"/>
      <c r="EI237" s="69"/>
    </row>
    <row r="238" ht="15.75" customHeight="1">
      <c r="A238" s="1">
        <v>238.0</v>
      </c>
      <c r="B238" s="2" t="s">
        <v>2257</v>
      </c>
      <c r="C238" s="7"/>
      <c r="D238" s="213" t="s">
        <v>2258</v>
      </c>
      <c r="E238" s="5"/>
      <c r="F238" s="214"/>
      <c r="G238" s="7"/>
      <c r="H238" s="8" t="s">
        <v>2259</v>
      </c>
      <c r="I238" s="9" t="s">
        <v>2260</v>
      </c>
      <c r="J238" s="355" t="str">
        <f>image("https://archives.bulbagarden.net/media/upload/6/6d/238MS6.png", 3)</f>
        <v/>
      </c>
      <c r="K238" s="11" t="s">
        <v>2258</v>
      </c>
      <c r="L238" s="12"/>
      <c r="M238" s="12"/>
      <c r="N238" s="12"/>
      <c r="O238" s="12"/>
      <c r="Q238" s="71">
        <v>45.0</v>
      </c>
      <c r="R238" s="72">
        <v>30.0</v>
      </c>
      <c r="S238" s="73">
        <v>15.0</v>
      </c>
      <c r="T238" s="74">
        <v>85.0</v>
      </c>
      <c r="U238" s="75">
        <v>65.0</v>
      </c>
      <c r="V238" s="76">
        <v>65.0</v>
      </c>
      <c r="W238" s="77">
        <v>305.0</v>
      </c>
      <c r="X238" s="21"/>
      <c r="Y238" s="71">
        <v>45.0</v>
      </c>
      <c r="Z238" s="72">
        <v>30.0</v>
      </c>
      <c r="AA238" s="73">
        <v>15.0</v>
      </c>
      <c r="AB238" s="74">
        <v>85.0</v>
      </c>
      <c r="AC238" s="75">
        <v>65.0</v>
      </c>
      <c r="AD238" s="76">
        <v>65.0</v>
      </c>
      <c r="AE238" s="77">
        <v>305.0</v>
      </c>
      <c r="AF238" s="21"/>
      <c r="AG238" s="71">
        <v>45.0</v>
      </c>
      <c r="AH238" s="72">
        <v>30.0</v>
      </c>
      <c r="AI238" s="73">
        <v>15.0</v>
      </c>
      <c r="AJ238" s="109">
        <v>95.0</v>
      </c>
      <c r="AK238" s="75">
        <v>65.0</v>
      </c>
      <c r="AL238" s="76">
        <v>65.0</v>
      </c>
      <c r="AM238" s="110">
        <v>315.0</v>
      </c>
      <c r="AN238" s="21"/>
      <c r="AO238" s="22">
        <v>45.0</v>
      </c>
      <c r="AP238" s="23">
        <v>30.0</v>
      </c>
      <c r="AQ238" s="23">
        <v>15.0</v>
      </c>
      <c r="AR238" s="23" t="s">
        <v>215</v>
      </c>
      <c r="AS238" s="23">
        <v>65.0</v>
      </c>
      <c r="AT238" s="23">
        <v>65.0</v>
      </c>
      <c r="AU238" s="24" t="s">
        <v>2261</v>
      </c>
      <c r="AV238" s="21"/>
      <c r="AW238" s="78">
        <v>45.0</v>
      </c>
      <c r="AX238" s="79">
        <v>30.0</v>
      </c>
      <c r="AY238" s="79">
        <v>15.0</v>
      </c>
      <c r="AZ238" s="111">
        <v>95.0</v>
      </c>
      <c r="BA238" s="79">
        <v>65.0</v>
      </c>
      <c r="BB238" s="79">
        <v>65.0</v>
      </c>
      <c r="BC238" s="111">
        <v>315.0</v>
      </c>
      <c r="BE238" s="82" t="s">
        <v>4</v>
      </c>
      <c r="BF238" s="338"/>
      <c r="BG238" s="128"/>
      <c r="BI238" s="31" t="s">
        <v>5</v>
      </c>
      <c r="BJ238" s="32" t="s">
        <v>5</v>
      </c>
      <c r="BK238" s="32" t="s">
        <v>5</v>
      </c>
      <c r="BL238" s="234">
        <v>1.0</v>
      </c>
      <c r="BM238" s="32" t="s">
        <v>5</v>
      </c>
      <c r="BN238" s="33" t="s">
        <v>5</v>
      </c>
      <c r="BP238" s="85" t="s">
        <v>120</v>
      </c>
      <c r="BQ238" s="86" t="s">
        <v>122</v>
      </c>
      <c r="BS238" s="87" t="s">
        <v>120</v>
      </c>
      <c r="BT238" s="88" t="s">
        <v>122</v>
      </c>
      <c r="BU238" s="37" t="str">
        <f t="shared" si="1"/>
        <v>#NAME?</v>
      </c>
      <c r="BV238" s="89" t="s">
        <v>120</v>
      </c>
      <c r="BW238" s="37" t="str">
        <f t="shared" si="2"/>
        <v>#NAME?</v>
      </c>
      <c r="BX238" s="89" t="s">
        <v>122</v>
      </c>
      <c r="BY238" s="39"/>
      <c r="BZ238" s="39"/>
      <c r="CA238" s="40" t="s">
        <v>1296</v>
      </c>
      <c r="CB238" s="41"/>
      <c r="CC238" s="90" t="s">
        <v>120</v>
      </c>
      <c r="CD238" s="91" t="s">
        <v>122</v>
      </c>
      <c r="CE238" s="2"/>
      <c r="CF238" s="92" t="s">
        <v>870</v>
      </c>
      <c r="CG238" s="93" t="s">
        <v>1033</v>
      </c>
      <c r="CH238" s="2"/>
      <c r="CI238" s="152" t="s">
        <v>2262</v>
      </c>
      <c r="CJ238" s="290" t="s">
        <v>1033</v>
      </c>
      <c r="CK238" s="2"/>
      <c r="CL238" s="22" t="s">
        <v>2263</v>
      </c>
      <c r="CM238" s="12"/>
      <c r="CN238" s="48"/>
      <c r="CO238" s="282" t="s">
        <v>1033</v>
      </c>
      <c r="CP238" s="2"/>
      <c r="CQ238" s="2" t="s">
        <v>355</v>
      </c>
      <c r="CR238" s="97">
        <v>20.0</v>
      </c>
      <c r="CS238" s="2" t="s">
        <v>4</v>
      </c>
      <c r="CT238" s="98">
        <v>87.0</v>
      </c>
      <c r="CU238" s="2"/>
      <c r="CV238" s="202">
        <v>0.0</v>
      </c>
      <c r="CW238" s="52" t="s">
        <v>397</v>
      </c>
      <c r="CX238" s="2"/>
      <c r="CY238" s="334" t="s">
        <v>411</v>
      </c>
      <c r="CZ238" s="337"/>
      <c r="DA238" s="2"/>
      <c r="DB238" s="372">
        <v>45.0</v>
      </c>
      <c r="DC238" s="2"/>
      <c r="DD238" s="101" t="s">
        <v>150</v>
      </c>
      <c r="DE238" s="2"/>
      <c r="DF238" s="339" t="s">
        <v>2264</v>
      </c>
      <c r="DG238" s="336"/>
      <c r="DH238" s="336"/>
      <c r="DI238" s="21"/>
      <c r="DJ238" s="21"/>
      <c r="DK238" s="59" t="s">
        <v>2265</v>
      </c>
      <c r="DL238" s="37" t="s">
        <v>18</v>
      </c>
      <c r="DM238" s="37" t="str">
        <f t="shared" si="3"/>
        <v>#NAME?</v>
      </c>
      <c r="DN238" s="61"/>
      <c r="DO238" s="37">
        <v>40.0</v>
      </c>
      <c r="DP238" s="105">
        <v>1.0</v>
      </c>
      <c r="DQ238" s="62" t="s">
        <v>1158</v>
      </c>
      <c r="DR238" s="63"/>
      <c r="DS238" s="198"/>
      <c r="DT238" s="108"/>
      <c r="DU238" s="108"/>
      <c r="DV238" s="182"/>
      <c r="DW238" s="182"/>
      <c r="DX238" s="182"/>
      <c r="DY238" s="182"/>
      <c r="DZ238" s="182"/>
      <c r="EA238" s="182"/>
      <c r="EB238" s="21"/>
      <c r="EC238" s="21"/>
      <c r="ED238" s="21"/>
      <c r="EE238" s="21"/>
      <c r="EF238" s="149" t="s">
        <v>2266</v>
      </c>
      <c r="EG238" s="69" t="str">
        <f>image("https://www.pokebip.com/pages/icones/objets/carte-membre.png", 3)</f>
        <v/>
      </c>
      <c r="EH238" s="69"/>
      <c r="EI238" s="69"/>
    </row>
    <row r="239" ht="15.75" customHeight="1">
      <c r="A239" s="1">
        <v>239.0</v>
      </c>
      <c r="B239" s="2" t="s">
        <v>2267</v>
      </c>
      <c r="C239" s="7"/>
      <c r="D239" s="169" t="s">
        <v>2268</v>
      </c>
      <c r="E239" s="5"/>
      <c r="F239" s="170"/>
      <c r="G239" s="7"/>
      <c r="H239" s="8" t="s">
        <v>2269</v>
      </c>
      <c r="I239" s="9" t="s">
        <v>2270</v>
      </c>
      <c r="J239" s="355" t="str">
        <f>image("https://archives.bulbagarden.net/media/upload/a/ad/239MS6.png", 3)</f>
        <v/>
      </c>
      <c r="K239" s="11" t="s">
        <v>2268</v>
      </c>
      <c r="L239" s="12"/>
      <c r="M239" s="12"/>
      <c r="N239" s="12"/>
      <c r="O239" s="12"/>
      <c r="Q239" s="71">
        <v>45.0</v>
      </c>
      <c r="R239" s="72">
        <v>63.0</v>
      </c>
      <c r="S239" s="73">
        <v>37.0</v>
      </c>
      <c r="T239" s="74">
        <v>65.0</v>
      </c>
      <c r="U239" s="75">
        <v>55.0</v>
      </c>
      <c r="V239" s="76">
        <v>95.0</v>
      </c>
      <c r="W239" s="77">
        <v>360.0</v>
      </c>
      <c r="X239" s="21"/>
      <c r="Y239" s="71">
        <v>45.0</v>
      </c>
      <c r="Z239" s="72">
        <v>63.0</v>
      </c>
      <c r="AA239" s="73">
        <v>37.0</v>
      </c>
      <c r="AB239" s="74">
        <v>65.0</v>
      </c>
      <c r="AC239" s="75">
        <v>55.0</v>
      </c>
      <c r="AD239" s="76">
        <v>95.0</v>
      </c>
      <c r="AE239" s="77">
        <v>360.0</v>
      </c>
      <c r="AF239" s="21"/>
      <c r="AG239" s="71">
        <v>45.0</v>
      </c>
      <c r="AH239" s="72">
        <v>63.0</v>
      </c>
      <c r="AI239" s="73">
        <v>37.0</v>
      </c>
      <c r="AJ239" s="74">
        <v>65.0</v>
      </c>
      <c r="AK239" s="75">
        <v>55.0</v>
      </c>
      <c r="AL239" s="76">
        <v>95.0</v>
      </c>
      <c r="AM239" s="77">
        <v>360.0</v>
      </c>
      <c r="AN239" s="21"/>
      <c r="AO239" s="22">
        <v>45.0</v>
      </c>
      <c r="AP239" s="23">
        <v>63.0</v>
      </c>
      <c r="AQ239" s="23">
        <v>37.0</v>
      </c>
      <c r="AR239" s="23">
        <v>65.0</v>
      </c>
      <c r="AS239" s="23">
        <v>55.0</v>
      </c>
      <c r="AT239" s="23">
        <v>95.0</v>
      </c>
      <c r="AU239" s="24">
        <v>360.0</v>
      </c>
      <c r="AV239" s="21"/>
      <c r="AW239" s="78">
        <v>45.0</v>
      </c>
      <c r="AX239" s="79">
        <v>63.0</v>
      </c>
      <c r="AY239" s="79">
        <v>37.0</v>
      </c>
      <c r="AZ239" s="124">
        <v>65.0</v>
      </c>
      <c r="BA239" s="79">
        <v>55.0</v>
      </c>
      <c r="BB239" s="79">
        <v>95.0</v>
      </c>
      <c r="BC239" s="125">
        <v>360.0</v>
      </c>
      <c r="BE239" s="126" t="s">
        <v>56</v>
      </c>
      <c r="BF239" s="184"/>
      <c r="BG239" s="128"/>
      <c r="BI239" s="31" t="s">
        <v>5</v>
      </c>
      <c r="BJ239" s="32" t="s">
        <v>5</v>
      </c>
      <c r="BK239" s="32" t="s">
        <v>5</v>
      </c>
      <c r="BL239" s="32" t="s">
        <v>5</v>
      </c>
      <c r="BM239" s="32" t="s">
        <v>5</v>
      </c>
      <c r="BN239" s="33">
        <v>1.0</v>
      </c>
      <c r="BP239" s="115" t="s">
        <v>197</v>
      </c>
      <c r="BQ239" s="93"/>
      <c r="BS239" s="115" t="s">
        <v>197</v>
      </c>
      <c r="BT239" s="133"/>
      <c r="BU239" s="37" t="str">
        <f t="shared" si="1"/>
        <v>#NAME?</v>
      </c>
      <c r="BV239" s="89" t="s">
        <v>197</v>
      </c>
      <c r="BW239" s="37" t="str">
        <f t="shared" si="2"/>
        <v>#NAME?</v>
      </c>
      <c r="BX239" s="89"/>
      <c r="BY239" s="39"/>
      <c r="BZ239" s="39"/>
      <c r="CA239" s="40" t="s">
        <v>197</v>
      </c>
      <c r="CB239" s="41"/>
      <c r="CC239" s="90" t="s">
        <v>197</v>
      </c>
      <c r="CD239" s="91"/>
      <c r="CE239" s="21"/>
      <c r="CF239" s="92" t="s">
        <v>352</v>
      </c>
      <c r="CG239" s="93"/>
      <c r="CH239" s="21"/>
      <c r="CI239" s="291" t="s">
        <v>352</v>
      </c>
      <c r="CJ239" s="46" t="s">
        <v>666</v>
      </c>
      <c r="CK239" s="21"/>
      <c r="CL239" s="22" t="s">
        <v>352</v>
      </c>
      <c r="CM239" s="12"/>
      <c r="CN239" s="48"/>
      <c r="CO239" s="192" t="s">
        <v>1306</v>
      </c>
      <c r="CP239" s="21"/>
      <c r="CQ239" s="2" t="s">
        <v>2271</v>
      </c>
      <c r="CR239" s="97">
        <v>40.0</v>
      </c>
      <c r="CS239" s="2" t="s">
        <v>56</v>
      </c>
      <c r="CT239" s="98">
        <v>106.0</v>
      </c>
      <c r="CU239" s="2"/>
      <c r="CV239" s="52" t="s">
        <v>467</v>
      </c>
      <c r="CW239" s="347">
        <v>0.25</v>
      </c>
      <c r="CX239" s="2"/>
      <c r="CY239" s="119" t="s">
        <v>411</v>
      </c>
      <c r="CZ239" s="160"/>
      <c r="DA239" s="2"/>
      <c r="DB239" s="98">
        <v>45.0</v>
      </c>
      <c r="DC239" s="2"/>
      <c r="DD239" s="101" t="s">
        <v>150</v>
      </c>
      <c r="DE239" s="2"/>
      <c r="DF239" s="148" t="s">
        <v>2272</v>
      </c>
      <c r="DG239" s="173" t="s">
        <v>1308</v>
      </c>
      <c r="DH239" s="121"/>
      <c r="DI239" s="21"/>
      <c r="DJ239" s="21"/>
      <c r="DK239" s="59" t="s">
        <v>2273</v>
      </c>
      <c r="DL239" s="37" t="s">
        <v>34</v>
      </c>
      <c r="DM239" s="37" t="str">
        <f t="shared" si="3"/>
        <v>#NAME?</v>
      </c>
      <c r="DN239" s="61"/>
      <c r="DO239" s="37" t="s">
        <v>2274</v>
      </c>
      <c r="DP239" s="105">
        <v>0.9</v>
      </c>
      <c r="DQ239" s="62" t="s">
        <v>49</v>
      </c>
      <c r="DR239" s="63"/>
      <c r="DS239" s="198"/>
      <c r="DT239" s="108"/>
      <c r="DU239" s="108"/>
      <c r="DV239" s="182"/>
      <c r="DW239" s="182"/>
      <c r="DX239" s="182"/>
      <c r="DY239" s="182"/>
      <c r="DZ239" s="182"/>
      <c r="EA239" s="182"/>
      <c r="EB239" s="2"/>
      <c r="EC239" s="2"/>
      <c r="ED239" s="2"/>
      <c r="EE239" s="2"/>
      <c r="EF239" s="149" t="s">
        <v>2275</v>
      </c>
      <c r="EG239" s="69" t="str">
        <f>image("https://www.pokebip.com/pages/icones/objets/cherche-vs.png", 3)</f>
        <v/>
      </c>
      <c r="EH239" s="69"/>
      <c r="EI239" s="69"/>
    </row>
    <row r="240" ht="15.75" customHeight="1">
      <c r="A240" s="1">
        <v>240.0</v>
      </c>
      <c r="B240" s="2" t="s">
        <v>2276</v>
      </c>
      <c r="C240" s="7"/>
      <c r="D240" s="122" t="s">
        <v>2277</v>
      </c>
      <c r="E240" s="5"/>
      <c r="F240" s="123"/>
      <c r="G240" s="7"/>
      <c r="H240" s="8" t="s">
        <v>2278</v>
      </c>
      <c r="I240" s="9" t="s">
        <v>2279</v>
      </c>
      <c r="J240" s="355" t="str">
        <f>image("https://archives.bulbagarden.net/media/upload/9/99/240MS6.png", 3)</f>
        <v/>
      </c>
      <c r="K240" s="11" t="s">
        <v>2277</v>
      </c>
      <c r="L240" s="12"/>
      <c r="M240" s="12"/>
      <c r="N240" s="12"/>
      <c r="O240" s="12"/>
      <c r="Q240" s="71">
        <v>45.0</v>
      </c>
      <c r="R240" s="72">
        <v>75.0</v>
      </c>
      <c r="S240" s="73">
        <v>37.0</v>
      </c>
      <c r="T240" s="74">
        <v>70.0</v>
      </c>
      <c r="U240" s="75">
        <v>55.0</v>
      </c>
      <c r="V240" s="76">
        <v>83.0</v>
      </c>
      <c r="W240" s="77">
        <v>365.0</v>
      </c>
      <c r="X240" s="21"/>
      <c r="Y240" s="71">
        <v>45.0</v>
      </c>
      <c r="Z240" s="72">
        <v>75.0</v>
      </c>
      <c r="AA240" s="73">
        <v>37.0</v>
      </c>
      <c r="AB240" s="74">
        <v>70.0</v>
      </c>
      <c r="AC240" s="75">
        <v>55.0</v>
      </c>
      <c r="AD240" s="76">
        <v>83.0</v>
      </c>
      <c r="AE240" s="77">
        <v>365.0</v>
      </c>
      <c r="AF240" s="21"/>
      <c r="AG240" s="71">
        <v>45.0</v>
      </c>
      <c r="AH240" s="72">
        <v>75.0</v>
      </c>
      <c r="AI240" s="73">
        <v>37.0</v>
      </c>
      <c r="AJ240" s="74">
        <v>70.0</v>
      </c>
      <c r="AK240" s="75">
        <v>55.0</v>
      </c>
      <c r="AL240" s="76">
        <v>83.0</v>
      </c>
      <c r="AM240" s="77">
        <v>365.0</v>
      </c>
      <c r="AN240" s="21"/>
      <c r="AO240" s="22">
        <v>45.0</v>
      </c>
      <c r="AP240" s="23">
        <v>75.0</v>
      </c>
      <c r="AQ240" s="23">
        <v>37.0</v>
      </c>
      <c r="AR240" s="23">
        <v>70.0</v>
      </c>
      <c r="AS240" s="23">
        <v>55.0</v>
      </c>
      <c r="AT240" s="23">
        <v>83.0</v>
      </c>
      <c r="AU240" s="24">
        <v>365.0</v>
      </c>
      <c r="AV240" s="21"/>
      <c r="AW240" s="78">
        <v>45.0</v>
      </c>
      <c r="AX240" s="79">
        <v>75.0</v>
      </c>
      <c r="AY240" s="79">
        <v>37.0</v>
      </c>
      <c r="AZ240" s="79">
        <v>70.0</v>
      </c>
      <c r="BA240" s="79">
        <v>55.0</v>
      </c>
      <c r="BB240" s="79">
        <v>83.0</v>
      </c>
      <c r="BC240" s="201">
        <v>365.0</v>
      </c>
      <c r="BE240" s="126" t="s">
        <v>56</v>
      </c>
      <c r="BF240" s="338"/>
      <c r="BG240" s="128"/>
      <c r="BI240" s="31" t="s">
        <v>5</v>
      </c>
      <c r="BJ240" s="32" t="s">
        <v>5</v>
      </c>
      <c r="BK240" s="32" t="s">
        <v>5</v>
      </c>
      <c r="BL240" s="32" t="s">
        <v>5</v>
      </c>
      <c r="BM240" s="32" t="s">
        <v>5</v>
      </c>
      <c r="BN240" s="33">
        <v>1.0</v>
      </c>
      <c r="BP240" s="85" t="s">
        <v>34</v>
      </c>
      <c r="BQ240" s="129"/>
      <c r="BS240" s="87" t="s">
        <v>34</v>
      </c>
      <c r="BT240" s="130"/>
      <c r="BU240" s="37" t="str">
        <f t="shared" si="1"/>
        <v>#NAME?</v>
      </c>
      <c r="BV240" s="89" t="s">
        <v>34</v>
      </c>
      <c r="BW240" s="37" t="str">
        <f t="shared" si="2"/>
        <v>#NAME?</v>
      </c>
      <c r="BX240" s="89"/>
      <c r="BY240" s="39"/>
      <c r="BZ240" s="39"/>
      <c r="CA240" s="40" t="s">
        <v>34</v>
      </c>
      <c r="CB240" s="41"/>
      <c r="CC240" s="90" t="s">
        <v>34</v>
      </c>
      <c r="CD240" s="91"/>
      <c r="CE240" s="21"/>
      <c r="CF240" s="92" t="s">
        <v>1315</v>
      </c>
      <c r="CG240" s="93"/>
      <c r="CH240" s="21"/>
      <c r="CI240" s="191" t="s">
        <v>1315</v>
      </c>
      <c r="CJ240" s="152" t="s">
        <v>666</v>
      </c>
      <c r="CK240" s="21"/>
      <c r="CL240" s="22" t="s">
        <v>1315</v>
      </c>
      <c r="CM240" s="12"/>
      <c r="CN240" s="48"/>
      <c r="CO240" s="193" t="s">
        <v>1306</v>
      </c>
      <c r="CP240" s="21"/>
      <c r="CQ240" s="2" t="s">
        <v>2280</v>
      </c>
      <c r="CR240" s="97">
        <v>40.0</v>
      </c>
      <c r="CS240" s="2" t="s">
        <v>56</v>
      </c>
      <c r="CT240" s="98">
        <v>117.0</v>
      </c>
      <c r="CU240" s="2"/>
      <c r="CV240" s="52" t="s">
        <v>467</v>
      </c>
      <c r="CW240" s="347">
        <v>0.25</v>
      </c>
      <c r="CX240" s="2"/>
      <c r="CY240" s="334" t="s">
        <v>411</v>
      </c>
      <c r="CZ240" s="337"/>
      <c r="DA240" s="2"/>
      <c r="DB240" s="98">
        <v>45.0</v>
      </c>
      <c r="DC240" s="2"/>
      <c r="DD240" s="101" t="s">
        <v>150</v>
      </c>
      <c r="DE240" s="2"/>
      <c r="DF240" s="339" t="s">
        <v>2281</v>
      </c>
      <c r="DG240" s="343" t="s">
        <v>1318</v>
      </c>
      <c r="DH240" s="336"/>
      <c r="DI240" s="21"/>
      <c r="DJ240" s="21"/>
      <c r="DK240" s="59" t="s">
        <v>2282</v>
      </c>
      <c r="DL240" s="37" t="s">
        <v>411</v>
      </c>
      <c r="DM240" s="37" t="str">
        <f t="shared" si="3"/>
        <v>#NAME?</v>
      </c>
      <c r="DN240" s="61"/>
      <c r="DO240" s="37" t="s">
        <v>411</v>
      </c>
      <c r="DP240" s="105">
        <v>1.0</v>
      </c>
      <c r="DQ240" s="62" t="s">
        <v>93</v>
      </c>
      <c r="DR240" s="63"/>
      <c r="DS240" s="198"/>
      <c r="DT240" s="108"/>
      <c r="DU240" s="108"/>
      <c r="DV240" s="182"/>
      <c r="DW240" s="182"/>
      <c r="DX240" s="182"/>
      <c r="DY240" s="182"/>
      <c r="DZ240" s="182"/>
      <c r="EA240" s="182"/>
      <c r="EB240" s="2"/>
      <c r="EC240" s="2"/>
      <c r="ED240" s="2"/>
      <c r="EE240" s="2"/>
      <c r="EF240" s="149" t="s">
        <v>2283</v>
      </c>
      <c r="EG240" s="69" t="str">
        <f>image("https://www.pokebip.com/pages/icones/objets/cle-centrale.png", 3)</f>
        <v/>
      </c>
      <c r="EH240" s="69"/>
      <c r="EI240" s="69"/>
    </row>
    <row r="241" ht="15.75" customHeight="1">
      <c r="A241" s="1">
        <v>241.0</v>
      </c>
      <c r="B241" s="2" t="s">
        <v>2284</v>
      </c>
      <c r="C241" s="7"/>
      <c r="D241" s="213" t="s">
        <v>2285</v>
      </c>
      <c r="E241" s="5"/>
      <c r="F241" s="214"/>
      <c r="G241" s="7"/>
      <c r="H241" s="8" t="s">
        <v>2286</v>
      </c>
      <c r="I241" s="9" t="s">
        <v>2287</v>
      </c>
      <c r="J241" s="355" t="str">
        <f>image("https://archives.bulbagarden.net/media/upload/9/9d/241MS6.png", 3)</f>
        <v/>
      </c>
      <c r="K241" s="11" t="s">
        <v>2285</v>
      </c>
      <c r="L241" s="12"/>
      <c r="M241" s="12"/>
      <c r="N241" s="12"/>
      <c r="O241" s="12"/>
      <c r="Q241" s="71">
        <v>95.0</v>
      </c>
      <c r="R241" s="72">
        <v>80.0</v>
      </c>
      <c r="S241" s="73">
        <v>105.0</v>
      </c>
      <c r="T241" s="74">
        <v>40.0</v>
      </c>
      <c r="U241" s="75">
        <v>70.0</v>
      </c>
      <c r="V241" s="76">
        <v>100.0</v>
      </c>
      <c r="W241" s="77">
        <v>490.0</v>
      </c>
      <c r="X241" s="21"/>
      <c r="Y241" s="71">
        <v>95.0</v>
      </c>
      <c r="Z241" s="72">
        <v>80.0</v>
      </c>
      <c r="AA241" s="73">
        <v>105.0</v>
      </c>
      <c r="AB241" s="74">
        <v>40.0</v>
      </c>
      <c r="AC241" s="75">
        <v>70.0</v>
      </c>
      <c r="AD241" s="76">
        <v>100.0</v>
      </c>
      <c r="AE241" s="77">
        <v>490.0</v>
      </c>
      <c r="AF241" s="21"/>
      <c r="AG241" s="71">
        <v>95.0</v>
      </c>
      <c r="AH241" s="72">
        <v>80.0</v>
      </c>
      <c r="AI241" s="73">
        <v>105.0</v>
      </c>
      <c r="AJ241" s="74">
        <v>40.0</v>
      </c>
      <c r="AK241" s="75">
        <v>70.0</v>
      </c>
      <c r="AL241" s="76">
        <v>100.0</v>
      </c>
      <c r="AM241" s="77">
        <v>490.0</v>
      </c>
      <c r="AN241" s="21"/>
      <c r="AO241" s="22">
        <v>95.0</v>
      </c>
      <c r="AP241" s="23">
        <v>80.0</v>
      </c>
      <c r="AQ241" s="23">
        <v>105.0</v>
      </c>
      <c r="AR241" s="23">
        <v>40.0</v>
      </c>
      <c r="AS241" s="23">
        <v>70.0</v>
      </c>
      <c r="AT241" s="23">
        <v>100.0</v>
      </c>
      <c r="AU241" s="24">
        <v>490.0</v>
      </c>
      <c r="AV241" s="21"/>
      <c r="AW241" s="78">
        <v>95.0</v>
      </c>
      <c r="AX241" s="79">
        <v>80.0</v>
      </c>
      <c r="AY241" s="79">
        <v>105.0</v>
      </c>
      <c r="AZ241" s="79">
        <v>40.0</v>
      </c>
      <c r="BA241" s="79">
        <v>70.0</v>
      </c>
      <c r="BB241" s="79">
        <v>100.0</v>
      </c>
      <c r="BC241" s="201">
        <v>490.0</v>
      </c>
      <c r="BE241" s="156" t="s">
        <v>162</v>
      </c>
      <c r="BF241" s="113"/>
      <c r="BG241" s="93"/>
      <c r="BI241" s="31" t="s">
        <v>5</v>
      </c>
      <c r="BJ241" s="32" t="s">
        <v>5</v>
      </c>
      <c r="BK241" s="32">
        <v>2.0</v>
      </c>
      <c r="BL241" s="32" t="s">
        <v>5</v>
      </c>
      <c r="BM241" s="32" t="s">
        <v>5</v>
      </c>
      <c r="BN241" s="33" t="s">
        <v>5</v>
      </c>
      <c r="BP241" s="115" t="s">
        <v>156</v>
      </c>
      <c r="BQ241" s="93"/>
      <c r="BS241" s="115" t="s">
        <v>156</v>
      </c>
      <c r="BT241" s="133"/>
      <c r="BU241" s="37" t="str">
        <f t="shared" si="1"/>
        <v>#NAME?</v>
      </c>
      <c r="BV241" s="89" t="s">
        <v>156</v>
      </c>
      <c r="BW241" s="37" t="str">
        <f t="shared" si="2"/>
        <v>#NAME?</v>
      </c>
      <c r="BX241" s="89"/>
      <c r="BY241" s="39"/>
      <c r="BZ241" s="39"/>
      <c r="CA241" s="40" t="s">
        <v>156</v>
      </c>
      <c r="CB241" s="41"/>
      <c r="CC241" s="90" t="s">
        <v>156</v>
      </c>
      <c r="CD241" s="91"/>
      <c r="CE241" s="21"/>
      <c r="CF241" s="92" t="s">
        <v>944</v>
      </c>
      <c r="CG241" s="93" t="s">
        <v>1203</v>
      </c>
      <c r="CH241" s="21"/>
      <c r="CI241" s="177" t="s">
        <v>944</v>
      </c>
      <c r="CJ241" s="281" t="s">
        <v>1203</v>
      </c>
      <c r="CK241" s="21"/>
      <c r="CL241" s="22" t="s">
        <v>944</v>
      </c>
      <c r="CM241" s="12"/>
      <c r="CN241" s="48"/>
      <c r="CO241" s="282" t="s">
        <v>1203</v>
      </c>
      <c r="CP241" s="21"/>
      <c r="CQ241" s="2" t="s">
        <v>2288</v>
      </c>
      <c r="CR241" s="97">
        <v>80.0</v>
      </c>
      <c r="CS241" s="2" t="s">
        <v>162</v>
      </c>
      <c r="CT241" s="98">
        <v>200.0</v>
      </c>
      <c r="CU241" s="2"/>
      <c r="CV241" s="202">
        <v>0.0</v>
      </c>
      <c r="CW241" s="52" t="s">
        <v>397</v>
      </c>
      <c r="CX241" s="2"/>
      <c r="CY241" s="119" t="s">
        <v>277</v>
      </c>
      <c r="CZ241" s="160"/>
      <c r="DA241" s="2"/>
      <c r="DB241" s="98">
        <v>45.0</v>
      </c>
      <c r="DC241" s="2"/>
      <c r="DD241" s="101" t="s">
        <v>683</v>
      </c>
      <c r="DE241" s="2"/>
      <c r="DF241" s="120" t="s">
        <v>914</v>
      </c>
      <c r="DG241" s="173" t="s">
        <v>2289</v>
      </c>
      <c r="DH241" s="121"/>
      <c r="DI241" s="2"/>
      <c r="DJ241" s="2"/>
      <c r="DK241" s="59" t="s">
        <v>2290</v>
      </c>
      <c r="DL241" s="37" t="s">
        <v>32</v>
      </c>
      <c r="DM241" s="37" t="str">
        <f t="shared" si="3"/>
        <v>#NAME?</v>
      </c>
      <c r="DN241" s="61"/>
      <c r="DO241" s="37">
        <v>150.0</v>
      </c>
      <c r="DP241" s="105">
        <v>0.9</v>
      </c>
      <c r="DQ241" s="62" t="s">
        <v>293</v>
      </c>
      <c r="DR241" s="63"/>
      <c r="DS241" s="198"/>
      <c r="DT241" s="108"/>
      <c r="DU241" s="108"/>
      <c r="DV241" s="182"/>
      <c r="DW241" s="182"/>
      <c r="DX241" s="182"/>
      <c r="DY241" s="182"/>
      <c r="DZ241" s="182"/>
      <c r="EA241" s="182"/>
      <c r="EB241" s="2"/>
      <c r="EC241" s="2"/>
      <c r="ED241" s="2"/>
      <c r="EE241" s="2"/>
      <c r="EF241" s="149" t="s">
        <v>2291</v>
      </c>
      <c r="EG241" s="69" t="str">
        <f>image("https://www.pokebip.com/pages/icones/objets/cle-chambre.png", 3)</f>
        <v/>
      </c>
      <c r="EH241" s="69"/>
      <c r="EI241" s="69"/>
    </row>
    <row r="242" ht="15.75" customHeight="1">
      <c r="A242" s="1">
        <v>242.0</v>
      </c>
      <c r="B242" s="2" t="s">
        <v>2292</v>
      </c>
      <c r="C242" s="7"/>
      <c r="D242" s="213" t="s">
        <v>2293</v>
      </c>
      <c r="E242" s="5"/>
      <c r="F242" s="214"/>
      <c r="G242" s="7"/>
      <c r="H242" s="8" t="s">
        <v>2294</v>
      </c>
      <c r="I242" s="9" t="s">
        <v>2295</v>
      </c>
      <c r="J242" s="355" t="str">
        <f>image("https://archives.bulbagarden.net/media/upload/d/d8/242MS6.png", 3)</f>
        <v/>
      </c>
      <c r="K242" s="11" t="s">
        <v>2293</v>
      </c>
      <c r="L242" s="12"/>
      <c r="M242" s="12"/>
      <c r="N242" s="12"/>
      <c r="O242" s="12"/>
      <c r="Q242" s="71">
        <v>255.0</v>
      </c>
      <c r="R242" s="72">
        <v>10.0</v>
      </c>
      <c r="S242" s="73">
        <v>10.0</v>
      </c>
      <c r="T242" s="74">
        <v>75.0</v>
      </c>
      <c r="U242" s="75">
        <v>135.0</v>
      </c>
      <c r="V242" s="76">
        <v>55.0</v>
      </c>
      <c r="W242" s="77">
        <v>540.0</v>
      </c>
      <c r="X242" s="21"/>
      <c r="Y242" s="71">
        <v>255.0</v>
      </c>
      <c r="Z242" s="72">
        <v>10.0</v>
      </c>
      <c r="AA242" s="73">
        <v>10.0</v>
      </c>
      <c r="AB242" s="74">
        <v>75.0</v>
      </c>
      <c r="AC242" s="75">
        <v>135.0</v>
      </c>
      <c r="AD242" s="76">
        <v>55.0</v>
      </c>
      <c r="AE242" s="77">
        <v>540.0</v>
      </c>
      <c r="AF242" s="21"/>
      <c r="AG242" s="71">
        <v>255.0</v>
      </c>
      <c r="AH242" s="72">
        <v>10.0</v>
      </c>
      <c r="AI242" s="73">
        <v>10.0</v>
      </c>
      <c r="AJ242" s="74">
        <v>75.0</v>
      </c>
      <c r="AK242" s="75">
        <v>135.0</v>
      </c>
      <c r="AL242" s="76">
        <v>55.0</v>
      </c>
      <c r="AM242" s="77">
        <v>540.0</v>
      </c>
      <c r="AN242" s="21"/>
      <c r="AO242" s="22">
        <v>255.0</v>
      </c>
      <c r="AP242" s="23">
        <v>10.0</v>
      </c>
      <c r="AQ242" s="23">
        <v>10.0</v>
      </c>
      <c r="AR242" s="23">
        <v>75.0</v>
      </c>
      <c r="AS242" s="23">
        <v>135.0</v>
      </c>
      <c r="AT242" s="23">
        <v>55.0</v>
      </c>
      <c r="AU242" s="24">
        <v>540.0</v>
      </c>
      <c r="AV242" s="21"/>
      <c r="AW242" s="78">
        <v>255.0</v>
      </c>
      <c r="AX242" s="79">
        <v>10.0</v>
      </c>
      <c r="AY242" s="79">
        <v>10.0</v>
      </c>
      <c r="AZ242" s="79">
        <v>75.0</v>
      </c>
      <c r="BA242" s="79">
        <v>135.0</v>
      </c>
      <c r="BB242" s="79">
        <v>55.0</v>
      </c>
      <c r="BC242" s="201">
        <v>540.0</v>
      </c>
      <c r="BE242" s="203" t="s">
        <v>422</v>
      </c>
      <c r="BF242" s="138"/>
      <c r="BG242" s="128"/>
      <c r="BI242" s="31">
        <v>3.0</v>
      </c>
      <c r="BJ242" s="32" t="s">
        <v>5</v>
      </c>
      <c r="BK242" s="32" t="s">
        <v>5</v>
      </c>
      <c r="BL242" s="32" t="s">
        <v>5</v>
      </c>
      <c r="BM242" s="32" t="s">
        <v>5</v>
      </c>
      <c r="BN242" s="33" t="s">
        <v>5</v>
      </c>
      <c r="BP242" s="85" t="s">
        <v>156</v>
      </c>
      <c r="BQ242" s="129"/>
      <c r="BS242" s="87" t="s">
        <v>156</v>
      </c>
      <c r="BT242" s="130"/>
      <c r="BU242" s="37" t="str">
        <f t="shared" si="1"/>
        <v>#NAME?</v>
      </c>
      <c r="BV242" s="89" t="s">
        <v>156</v>
      </c>
      <c r="BW242" s="37" t="str">
        <f t="shared" si="2"/>
        <v>#NAME?</v>
      </c>
      <c r="BX242" s="89"/>
      <c r="BY242" s="39"/>
      <c r="BZ242" s="39"/>
      <c r="CA242" s="40" t="s">
        <v>156</v>
      </c>
      <c r="CB242" s="41"/>
      <c r="CC242" s="90" t="s">
        <v>156</v>
      </c>
      <c r="CD242" s="91"/>
      <c r="CE242" s="21"/>
      <c r="CF242" s="92" t="s">
        <v>1182</v>
      </c>
      <c r="CG242" s="93" t="s">
        <v>1183</v>
      </c>
      <c r="CH242" s="21"/>
      <c r="CI242" s="278" t="s">
        <v>1183</v>
      </c>
      <c r="CJ242" s="273" t="s">
        <v>1182</v>
      </c>
      <c r="CK242" s="21"/>
      <c r="CL242" s="22" t="s">
        <v>1184</v>
      </c>
      <c r="CM242" s="12"/>
      <c r="CN242" s="48"/>
      <c r="CO242" s="239" t="s">
        <v>1182</v>
      </c>
      <c r="CP242" s="21"/>
      <c r="CQ242" s="2" t="s">
        <v>2296</v>
      </c>
      <c r="CR242" s="97">
        <v>60.0</v>
      </c>
      <c r="CS242" s="2" t="s">
        <v>422</v>
      </c>
      <c r="CT242" s="98">
        <v>255.0</v>
      </c>
      <c r="CU242" s="2"/>
      <c r="CV242" s="202">
        <v>0.0</v>
      </c>
      <c r="CW242" s="52" t="s">
        <v>397</v>
      </c>
      <c r="CX242" s="2"/>
      <c r="CY242" s="334" t="s">
        <v>153</v>
      </c>
      <c r="CZ242" s="337"/>
      <c r="DA242" s="2"/>
      <c r="DB242" s="98">
        <v>30.0</v>
      </c>
      <c r="DC242" s="2"/>
      <c r="DD242" s="101" t="s">
        <v>468</v>
      </c>
      <c r="DE242" s="2"/>
      <c r="DF242" s="335" t="s">
        <v>2297</v>
      </c>
      <c r="DG242" s="343" t="s">
        <v>2298</v>
      </c>
      <c r="DH242" s="336"/>
      <c r="DI242" s="2"/>
      <c r="DJ242" s="2"/>
      <c r="DK242" s="59" t="s">
        <v>2299</v>
      </c>
      <c r="DL242" s="37" t="s">
        <v>32</v>
      </c>
      <c r="DM242" s="37" t="str">
        <f t="shared" si="3"/>
        <v>#NAME?</v>
      </c>
      <c r="DN242" s="61"/>
      <c r="DO242" s="37" t="s">
        <v>2009</v>
      </c>
      <c r="DP242" s="105">
        <v>0.8</v>
      </c>
      <c r="DQ242" s="62" t="s">
        <v>293</v>
      </c>
      <c r="DR242" s="63"/>
      <c r="DS242" s="198"/>
      <c r="DT242" s="108"/>
      <c r="DU242" s="108"/>
      <c r="DV242" s="182"/>
      <c r="DW242" s="182"/>
      <c r="DX242" s="182"/>
      <c r="DY242" s="182"/>
      <c r="DZ242" s="182"/>
      <c r="EA242" s="182"/>
      <c r="EB242" s="2"/>
      <c r="EC242" s="2"/>
      <c r="ED242" s="2"/>
      <c r="EE242" s="2"/>
      <c r="EF242" s="149" t="s">
        <v>2300</v>
      </c>
      <c r="EG242" s="69" t="str">
        <f>image("https://www.pokebip.com/pages/icones/objets/cle-galaxie.png", 3)</f>
        <v/>
      </c>
      <c r="EH242" s="69"/>
      <c r="EI242" s="69"/>
    </row>
    <row r="243" ht="15.75" customHeight="1">
      <c r="A243" s="1">
        <v>243.0</v>
      </c>
      <c r="B243" s="2" t="s">
        <v>2301</v>
      </c>
      <c r="C243" s="7"/>
      <c r="D243" s="169" t="s">
        <v>2302</v>
      </c>
      <c r="E243" s="5"/>
      <c r="F243" s="170"/>
      <c r="G243" s="7"/>
      <c r="H243" s="8" t="s">
        <v>2303</v>
      </c>
      <c r="I243" s="9" t="s">
        <v>2304</v>
      </c>
      <c r="J243" s="355" t="str">
        <f>image("https://archives.bulbagarden.net/media/upload/b/b4/243MS6.png", 3)</f>
        <v/>
      </c>
      <c r="K243" s="11" t="s">
        <v>2302</v>
      </c>
      <c r="L243" s="12"/>
      <c r="M243" s="12"/>
      <c r="N243" s="12"/>
      <c r="O243" s="12"/>
      <c r="Q243" s="71">
        <v>90.0</v>
      </c>
      <c r="R243" s="72">
        <v>85.0</v>
      </c>
      <c r="S243" s="73">
        <v>75.0</v>
      </c>
      <c r="T243" s="74">
        <v>115.0</v>
      </c>
      <c r="U243" s="75">
        <v>100.0</v>
      </c>
      <c r="V243" s="76">
        <v>115.0</v>
      </c>
      <c r="W243" s="77">
        <v>580.0</v>
      </c>
      <c r="X243" s="21"/>
      <c r="Y243" s="71">
        <v>90.0</v>
      </c>
      <c r="Z243" s="72">
        <v>85.0</v>
      </c>
      <c r="AA243" s="73">
        <v>75.0</v>
      </c>
      <c r="AB243" s="74">
        <v>115.0</v>
      </c>
      <c r="AC243" s="75">
        <v>100.0</v>
      </c>
      <c r="AD243" s="76">
        <v>115.0</v>
      </c>
      <c r="AE243" s="77">
        <v>580.0</v>
      </c>
      <c r="AF243" s="21"/>
      <c r="AG243" s="71">
        <v>90.0</v>
      </c>
      <c r="AH243" s="72">
        <v>85.0</v>
      </c>
      <c r="AI243" s="73">
        <v>75.0</v>
      </c>
      <c r="AJ243" s="74">
        <v>115.0</v>
      </c>
      <c r="AK243" s="75">
        <v>100.0</v>
      </c>
      <c r="AL243" s="76">
        <v>115.0</v>
      </c>
      <c r="AM243" s="77">
        <v>580.0</v>
      </c>
      <c r="AN243" s="21"/>
      <c r="AO243" s="22">
        <v>90.0</v>
      </c>
      <c r="AP243" s="23">
        <v>85.0</v>
      </c>
      <c r="AQ243" s="23">
        <v>75.0</v>
      </c>
      <c r="AR243" s="23">
        <v>115.0</v>
      </c>
      <c r="AS243" s="23">
        <v>100.0</v>
      </c>
      <c r="AT243" s="23">
        <v>115.0</v>
      </c>
      <c r="AU243" s="24">
        <v>580.0</v>
      </c>
      <c r="AV243" s="21"/>
      <c r="AW243" s="78">
        <v>90.0</v>
      </c>
      <c r="AX243" s="79">
        <v>85.0</v>
      </c>
      <c r="AY243" s="79">
        <v>75.0</v>
      </c>
      <c r="AZ243" s="79">
        <v>115.0</v>
      </c>
      <c r="BA243" s="79">
        <v>100.0</v>
      </c>
      <c r="BB243" s="79">
        <v>115.0</v>
      </c>
      <c r="BC243" s="201">
        <v>580.0</v>
      </c>
      <c r="BE243" s="82" t="s">
        <v>4</v>
      </c>
      <c r="BF243" s="373" t="s">
        <v>248</v>
      </c>
      <c r="BG243" s="128"/>
      <c r="BI243" s="31" t="s">
        <v>5</v>
      </c>
      <c r="BJ243" s="32" t="s">
        <v>5</v>
      </c>
      <c r="BK243" s="32" t="s">
        <v>5</v>
      </c>
      <c r="BL243" s="32">
        <v>1.0</v>
      </c>
      <c r="BM243" s="32" t="s">
        <v>5</v>
      </c>
      <c r="BN243" s="33">
        <v>2.0</v>
      </c>
      <c r="BP243" s="115" t="s">
        <v>197</v>
      </c>
      <c r="BQ243" s="93"/>
      <c r="BS243" s="115" t="s">
        <v>197</v>
      </c>
      <c r="BT243" s="133"/>
      <c r="BU243" s="37" t="str">
        <f t="shared" si="1"/>
        <v>#NAME?</v>
      </c>
      <c r="BV243" s="89" t="s">
        <v>197</v>
      </c>
      <c r="BW243" s="37" t="str">
        <f t="shared" si="2"/>
        <v>#NAME?</v>
      </c>
      <c r="BX243" s="89"/>
      <c r="BY243" s="39"/>
      <c r="BZ243" s="39"/>
      <c r="CA243" s="40" t="s">
        <v>197</v>
      </c>
      <c r="CB243" s="41"/>
      <c r="CC243" s="90" t="s">
        <v>197</v>
      </c>
      <c r="CD243" s="91"/>
      <c r="CE243" s="21"/>
      <c r="CF243" s="92" t="s">
        <v>1447</v>
      </c>
      <c r="CG243" s="93"/>
      <c r="CH243" s="21"/>
      <c r="CI243" s="291" t="s">
        <v>1447</v>
      </c>
      <c r="CJ243" s="94" t="s">
        <v>530</v>
      </c>
      <c r="CK243" s="21"/>
      <c r="CL243" s="22" t="s">
        <v>1447</v>
      </c>
      <c r="CM243" s="12"/>
      <c r="CN243" s="48"/>
      <c r="CO243" s="235" t="s">
        <v>2305</v>
      </c>
      <c r="CP243" s="21"/>
      <c r="CQ243" s="2" t="s">
        <v>2306</v>
      </c>
      <c r="CR243" s="97">
        <v>100.0</v>
      </c>
      <c r="CS243" s="2" t="s">
        <v>2307</v>
      </c>
      <c r="CT243" s="98">
        <v>216.0</v>
      </c>
      <c r="CU243" s="2"/>
      <c r="CV243" s="256" t="s">
        <v>890</v>
      </c>
      <c r="CW243" s="256" t="s">
        <v>890</v>
      </c>
      <c r="CX243" s="2"/>
      <c r="CY243" s="119" t="s">
        <v>411</v>
      </c>
      <c r="CZ243" s="160"/>
      <c r="DA243" s="2"/>
      <c r="DB243" s="98">
        <v>3.0</v>
      </c>
      <c r="DC243" s="2"/>
      <c r="DD243" s="101" t="s">
        <v>683</v>
      </c>
      <c r="DE243" s="2"/>
      <c r="DF243" s="120" t="s">
        <v>914</v>
      </c>
      <c r="DG243" s="121"/>
      <c r="DH243" s="121"/>
      <c r="DI243" s="2"/>
      <c r="DJ243" s="2"/>
      <c r="DK243" s="59" t="s">
        <v>2308</v>
      </c>
      <c r="DL243" s="37" t="s">
        <v>156</v>
      </c>
      <c r="DM243" s="37" t="str">
        <f t="shared" si="3"/>
        <v>#NAME?</v>
      </c>
      <c r="DN243" s="61"/>
      <c r="DO243" s="37">
        <v>150.0</v>
      </c>
      <c r="DP243" s="105">
        <v>0.9</v>
      </c>
      <c r="DQ243" s="62" t="s">
        <v>293</v>
      </c>
      <c r="DR243" s="63"/>
      <c r="DS243" s="198"/>
      <c r="DT243" s="108"/>
      <c r="DU243" s="108"/>
      <c r="DV243" s="182"/>
      <c r="DW243" s="182"/>
      <c r="DX243" s="182"/>
      <c r="DY243" s="182"/>
      <c r="DZ243" s="182"/>
      <c r="EA243" s="182"/>
      <c r="EB243" s="21"/>
      <c r="EC243" s="21"/>
      <c r="ED243" s="21"/>
      <c r="EE243" s="21"/>
      <c r="EF243" s="149" t="s">
        <v>2309</v>
      </c>
      <c r="EG243" s="69" t="str">
        <f>image("https://www.pokebip.com/pages/icones/objets/cle-secrete.png", 3)</f>
        <v/>
      </c>
      <c r="EH243" s="69"/>
      <c r="EI243" s="69"/>
    </row>
    <row r="244" ht="15.75" customHeight="1">
      <c r="A244" s="1">
        <v>244.0</v>
      </c>
      <c r="B244" s="2" t="s">
        <v>2310</v>
      </c>
      <c r="C244" s="7"/>
      <c r="D244" s="167" t="s">
        <v>2311</v>
      </c>
      <c r="E244" s="5"/>
      <c r="F244" s="168"/>
      <c r="G244" s="7"/>
      <c r="H244" s="8" t="s">
        <v>2312</v>
      </c>
      <c r="I244" s="9" t="s">
        <v>2313</v>
      </c>
      <c r="J244" s="355" t="str">
        <f>image("https://archives.bulbagarden.net/media/upload/1/14/244MS6.png", 3)</f>
        <v/>
      </c>
      <c r="K244" s="11" t="s">
        <v>2311</v>
      </c>
      <c r="L244" s="12"/>
      <c r="M244" s="12"/>
      <c r="N244" s="12"/>
      <c r="O244" s="12"/>
      <c r="Q244" s="71">
        <v>115.0</v>
      </c>
      <c r="R244" s="72">
        <v>115.0</v>
      </c>
      <c r="S244" s="73">
        <v>85.0</v>
      </c>
      <c r="T244" s="74">
        <v>90.0</v>
      </c>
      <c r="U244" s="75">
        <v>75.0</v>
      </c>
      <c r="V244" s="76">
        <v>100.0</v>
      </c>
      <c r="W244" s="77">
        <v>580.0</v>
      </c>
      <c r="X244" s="21"/>
      <c r="Y244" s="71">
        <v>115.0</v>
      </c>
      <c r="Z244" s="72">
        <v>115.0</v>
      </c>
      <c r="AA244" s="73">
        <v>85.0</v>
      </c>
      <c r="AB244" s="74">
        <v>90.0</v>
      </c>
      <c r="AC244" s="75">
        <v>75.0</v>
      </c>
      <c r="AD244" s="76">
        <v>100.0</v>
      </c>
      <c r="AE244" s="77">
        <v>580.0</v>
      </c>
      <c r="AF244" s="21"/>
      <c r="AG244" s="71">
        <v>115.0</v>
      </c>
      <c r="AH244" s="72">
        <v>115.0</v>
      </c>
      <c r="AI244" s="73">
        <v>85.0</v>
      </c>
      <c r="AJ244" s="74">
        <v>90.0</v>
      </c>
      <c r="AK244" s="75">
        <v>75.0</v>
      </c>
      <c r="AL244" s="76">
        <v>100.0</v>
      </c>
      <c r="AM244" s="77">
        <v>580.0</v>
      </c>
      <c r="AN244" s="21"/>
      <c r="AO244" s="22">
        <v>115.0</v>
      </c>
      <c r="AP244" s="23">
        <v>115.0</v>
      </c>
      <c r="AQ244" s="23">
        <v>85.0</v>
      </c>
      <c r="AR244" s="23">
        <v>90.0</v>
      </c>
      <c r="AS244" s="23">
        <v>75.0</v>
      </c>
      <c r="AT244" s="23">
        <v>100.0</v>
      </c>
      <c r="AU244" s="24">
        <v>580.0</v>
      </c>
      <c r="AV244" s="21"/>
      <c r="AW244" s="78">
        <v>115.0</v>
      </c>
      <c r="AX244" s="79">
        <v>115.0</v>
      </c>
      <c r="AY244" s="79">
        <v>85.0</v>
      </c>
      <c r="AZ244" s="79">
        <v>90.0</v>
      </c>
      <c r="BA244" s="79">
        <v>75.0</v>
      </c>
      <c r="BB244" s="79">
        <v>100.0</v>
      </c>
      <c r="BC244" s="201">
        <v>580.0</v>
      </c>
      <c r="BE244" s="151" t="s">
        <v>144</v>
      </c>
      <c r="BF244" s="374" t="s">
        <v>216</v>
      </c>
      <c r="BG244" s="128"/>
      <c r="BI244" s="31">
        <v>1.0</v>
      </c>
      <c r="BJ244" s="32">
        <v>2.0</v>
      </c>
      <c r="BK244" s="32" t="s">
        <v>5</v>
      </c>
      <c r="BL244" s="32" t="s">
        <v>5</v>
      </c>
      <c r="BM244" s="32" t="s">
        <v>5</v>
      </c>
      <c r="BN244" s="33" t="s">
        <v>5</v>
      </c>
      <c r="BP244" s="85" t="s">
        <v>34</v>
      </c>
      <c r="BQ244" s="129"/>
      <c r="BS244" s="87" t="s">
        <v>34</v>
      </c>
      <c r="BT244" s="130"/>
      <c r="BU244" s="37" t="str">
        <f t="shared" si="1"/>
        <v>#NAME?</v>
      </c>
      <c r="BV244" s="89" t="s">
        <v>34</v>
      </c>
      <c r="BW244" s="37" t="str">
        <f t="shared" si="2"/>
        <v>#NAME?</v>
      </c>
      <c r="BX244" s="89"/>
      <c r="BY244" s="39"/>
      <c r="BZ244" s="39"/>
      <c r="CA244" s="40" t="s">
        <v>34</v>
      </c>
      <c r="CB244" s="41"/>
      <c r="CC244" s="90" t="s">
        <v>34</v>
      </c>
      <c r="CD244" s="91"/>
      <c r="CE244" s="21"/>
      <c r="CF244" s="92" t="s">
        <v>1447</v>
      </c>
      <c r="CG244" s="93"/>
      <c r="CH244" s="21"/>
      <c r="CI244" s="191" t="s">
        <v>1447</v>
      </c>
      <c r="CJ244" s="94" t="s">
        <v>530</v>
      </c>
      <c r="CK244" s="21"/>
      <c r="CL244" s="22" t="s">
        <v>1447</v>
      </c>
      <c r="CM244" s="12"/>
      <c r="CN244" s="48"/>
      <c r="CO244" s="235" t="s">
        <v>2305</v>
      </c>
      <c r="CP244" s="21"/>
      <c r="CQ244" s="2" t="s">
        <v>2314</v>
      </c>
      <c r="CR244" s="97">
        <v>100.0</v>
      </c>
      <c r="CS244" s="2" t="s">
        <v>2315</v>
      </c>
      <c r="CT244" s="98">
        <v>217.0</v>
      </c>
      <c r="CU244" s="2"/>
      <c r="CV244" s="52" t="s">
        <v>890</v>
      </c>
      <c r="CW244" s="52" t="s">
        <v>890</v>
      </c>
      <c r="CX244" s="2"/>
      <c r="CY244" s="334" t="s">
        <v>411</v>
      </c>
      <c r="CZ244" s="337"/>
      <c r="DA244" s="2"/>
      <c r="DB244" s="98">
        <v>3.0</v>
      </c>
      <c r="DC244" s="2"/>
      <c r="DD244" s="101" t="s">
        <v>683</v>
      </c>
      <c r="DE244" s="2"/>
      <c r="DF244" s="335" t="s">
        <v>914</v>
      </c>
      <c r="DG244" s="336"/>
      <c r="DH244" s="336"/>
      <c r="DI244" s="2"/>
      <c r="DJ244" s="2"/>
      <c r="DK244" s="59" t="s">
        <v>2316</v>
      </c>
      <c r="DL244" s="37" t="s">
        <v>156</v>
      </c>
      <c r="DM244" s="37" t="str">
        <f t="shared" si="3"/>
        <v>#NAME?</v>
      </c>
      <c r="DN244" s="61"/>
      <c r="DO244" s="37">
        <v>90.0</v>
      </c>
      <c r="DP244" s="105">
        <v>1.0</v>
      </c>
      <c r="DQ244" s="62" t="s">
        <v>49</v>
      </c>
      <c r="DR244" s="63"/>
      <c r="DS244" s="198"/>
      <c r="DT244" s="108"/>
      <c r="DU244" s="108"/>
      <c r="DV244" s="182"/>
      <c r="DW244" s="182"/>
      <c r="DX244" s="182"/>
      <c r="DY244" s="182"/>
      <c r="DZ244" s="182"/>
      <c r="EA244" s="182"/>
      <c r="EB244" s="2"/>
      <c r="EC244" s="2"/>
      <c r="ED244" s="2"/>
      <c r="EE244" s="2"/>
      <c r="EF244" s="149" t="s">
        <v>2317</v>
      </c>
      <c r="EG244" s="69" t="str">
        <f>image("https://www.pokebip.com/pages/icones/objets/cle-stockage.png", 3)</f>
        <v/>
      </c>
      <c r="EH244" s="69"/>
      <c r="EI244" s="69"/>
    </row>
    <row r="245" ht="15.75" customHeight="1">
      <c r="A245" s="1">
        <v>245.0</v>
      </c>
      <c r="B245" s="2" t="s">
        <v>2318</v>
      </c>
      <c r="C245" s="7"/>
      <c r="D245" s="140" t="s">
        <v>2319</v>
      </c>
      <c r="E245" s="5"/>
      <c r="F245" s="141"/>
      <c r="G245" s="7"/>
      <c r="H245" s="8" t="s">
        <v>2320</v>
      </c>
      <c r="I245" s="9" t="s">
        <v>2321</v>
      </c>
      <c r="J245" s="355" t="str">
        <f>image("https://archives.bulbagarden.net/media/upload/7/7d/245MS6.png", 3)</f>
        <v/>
      </c>
      <c r="K245" s="11" t="s">
        <v>2319</v>
      </c>
      <c r="L245" s="12"/>
      <c r="M245" s="12"/>
      <c r="N245" s="12"/>
      <c r="O245" s="12"/>
      <c r="Q245" s="71">
        <v>100.0</v>
      </c>
      <c r="R245" s="72">
        <v>75.0</v>
      </c>
      <c r="S245" s="73">
        <v>115.0</v>
      </c>
      <c r="T245" s="74">
        <v>90.0</v>
      </c>
      <c r="U245" s="75">
        <v>115.0</v>
      </c>
      <c r="V245" s="76">
        <v>85.0</v>
      </c>
      <c r="W245" s="77">
        <v>580.0</v>
      </c>
      <c r="X245" s="21"/>
      <c r="Y245" s="71">
        <v>100.0</v>
      </c>
      <c r="Z245" s="72">
        <v>75.0</v>
      </c>
      <c r="AA245" s="73">
        <v>115.0</v>
      </c>
      <c r="AB245" s="74">
        <v>90.0</v>
      </c>
      <c r="AC245" s="75">
        <v>115.0</v>
      </c>
      <c r="AD245" s="76">
        <v>85.0</v>
      </c>
      <c r="AE245" s="77">
        <v>580.0</v>
      </c>
      <c r="AF245" s="21"/>
      <c r="AG245" s="71">
        <v>100.0</v>
      </c>
      <c r="AH245" s="72">
        <v>75.0</v>
      </c>
      <c r="AI245" s="73">
        <v>115.0</v>
      </c>
      <c r="AJ245" s="74">
        <v>90.0</v>
      </c>
      <c r="AK245" s="75">
        <v>115.0</v>
      </c>
      <c r="AL245" s="76">
        <v>85.0</v>
      </c>
      <c r="AM245" s="77">
        <v>580.0</v>
      </c>
      <c r="AN245" s="21"/>
      <c r="AO245" s="22">
        <v>100.0</v>
      </c>
      <c r="AP245" s="23">
        <v>75.0</v>
      </c>
      <c r="AQ245" s="23">
        <v>115.0</v>
      </c>
      <c r="AR245" s="23">
        <v>90.0</v>
      </c>
      <c r="AS245" s="23">
        <v>115.0</v>
      </c>
      <c r="AT245" s="23">
        <v>85.0</v>
      </c>
      <c r="AU245" s="24">
        <v>580.0</v>
      </c>
      <c r="AV245" s="21"/>
      <c r="AW245" s="78">
        <v>100.0</v>
      </c>
      <c r="AX245" s="79">
        <v>75.0</v>
      </c>
      <c r="AY245" s="79">
        <v>115.0</v>
      </c>
      <c r="AZ245" s="79">
        <v>90.0</v>
      </c>
      <c r="BA245" s="79">
        <v>115.0</v>
      </c>
      <c r="BB245" s="79">
        <v>85.0</v>
      </c>
      <c r="BC245" s="201">
        <v>580.0</v>
      </c>
      <c r="BE245" s="142" t="s">
        <v>101</v>
      </c>
      <c r="BF245" s="331" t="s">
        <v>815</v>
      </c>
      <c r="BG245" s="128"/>
      <c r="BI245" s="31" t="s">
        <v>5</v>
      </c>
      <c r="BJ245" s="32" t="s">
        <v>5</v>
      </c>
      <c r="BK245" s="32">
        <v>1.0</v>
      </c>
      <c r="BL245" s="32" t="s">
        <v>5</v>
      </c>
      <c r="BM245" s="32">
        <v>2.0</v>
      </c>
      <c r="BN245" s="33" t="s">
        <v>5</v>
      </c>
      <c r="BP245" s="115" t="s">
        <v>32</v>
      </c>
      <c r="BQ245" s="93"/>
      <c r="BS245" s="115" t="s">
        <v>32</v>
      </c>
      <c r="BT245" s="133"/>
      <c r="BU245" s="37" t="str">
        <f t="shared" si="1"/>
        <v>#NAME?</v>
      </c>
      <c r="BV245" s="89" t="s">
        <v>32</v>
      </c>
      <c r="BW245" s="37" t="str">
        <f t="shared" si="2"/>
        <v>#NAME?</v>
      </c>
      <c r="BX245" s="89"/>
      <c r="BY245" s="39"/>
      <c r="BZ245" s="39"/>
      <c r="CA245" s="40" t="s">
        <v>32</v>
      </c>
      <c r="CB245" s="41"/>
      <c r="CC245" s="90" t="s">
        <v>32</v>
      </c>
      <c r="CD245" s="91"/>
      <c r="CE245" s="21"/>
      <c r="CF245" s="92" t="s">
        <v>1447</v>
      </c>
      <c r="CG245" s="93"/>
      <c r="CH245" s="21"/>
      <c r="CI245" s="191" t="s">
        <v>1447</v>
      </c>
      <c r="CJ245" s="152" t="s">
        <v>530</v>
      </c>
      <c r="CK245" s="21"/>
      <c r="CL245" s="22" t="s">
        <v>1447</v>
      </c>
      <c r="CM245" s="12"/>
      <c r="CN245" s="48"/>
      <c r="CO245" s="193" t="s">
        <v>2305</v>
      </c>
      <c r="CP245" s="21"/>
      <c r="CQ245" s="2" t="s">
        <v>2322</v>
      </c>
      <c r="CR245" s="97">
        <v>100.0</v>
      </c>
      <c r="CS245" s="2" t="s">
        <v>1552</v>
      </c>
      <c r="CT245" s="98">
        <v>215.0</v>
      </c>
      <c r="CU245" s="2"/>
      <c r="CV245" s="52" t="s">
        <v>890</v>
      </c>
      <c r="CW245" s="52" t="s">
        <v>890</v>
      </c>
      <c r="CX245" s="2"/>
      <c r="CY245" s="119" t="s">
        <v>411</v>
      </c>
      <c r="CZ245" s="160"/>
      <c r="DA245" s="2"/>
      <c r="DB245" s="98">
        <v>3.0</v>
      </c>
      <c r="DC245" s="2"/>
      <c r="DD245" s="101" t="s">
        <v>683</v>
      </c>
      <c r="DE245" s="2"/>
      <c r="DF245" s="120" t="s">
        <v>914</v>
      </c>
      <c r="DG245" s="121"/>
      <c r="DH245" s="121"/>
      <c r="DI245" s="2"/>
      <c r="DJ245" s="2"/>
      <c r="DK245" s="59" t="s">
        <v>2323</v>
      </c>
      <c r="DL245" s="37" t="s">
        <v>120</v>
      </c>
      <c r="DM245" s="37" t="str">
        <f t="shared" si="3"/>
        <v>#NAME?</v>
      </c>
      <c r="DN245" s="61"/>
      <c r="DO245" s="37" t="s">
        <v>1170</v>
      </c>
      <c r="DP245" s="105">
        <v>1.0</v>
      </c>
      <c r="DQ245" s="62" t="s">
        <v>49</v>
      </c>
      <c r="DR245" s="63"/>
      <c r="DS245" s="198"/>
      <c r="DT245" s="108"/>
      <c r="DU245" s="108"/>
      <c r="DV245" s="182"/>
      <c r="DW245" s="182"/>
      <c r="DX245" s="182"/>
      <c r="DY245" s="182"/>
      <c r="DZ245" s="182"/>
      <c r="EA245" s="182"/>
      <c r="EB245" s="2"/>
      <c r="EC245" s="2"/>
      <c r="ED245" s="2"/>
      <c r="EE245" s="2"/>
      <c r="EF245" s="149" t="s">
        <v>2324</v>
      </c>
      <c r="EG245" s="69" t="str">
        <f>image("https://www.pokebip.com/pages/icones/objets/coffret-mode.png", 3)</f>
        <v/>
      </c>
      <c r="EH245" s="69"/>
      <c r="EI245" s="69"/>
    </row>
    <row r="246" ht="15.75" customHeight="1">
      <c r="A246" s="1">
        <v>246.0</v>
      </c>
      <c r="B246" s="2" t="s">
        <v>2325</v>
      </c>
      <c r="C246" s="7"/>
      <c r="D246" s="4" t="s">
        <v>2326</v>
      </c>
      <c r="E246" s="5"/>
      <c r="F246" s="6"/>
      <c r="G246" s="7"/>
      <c r="H246" s="8" t="s">
        <v>2327</v>
      </c>
      <c r="I246" s="9" t="s">
        <v>2328</v>
      </c>
      <c r="J246" s="355" t="str">
        <f>image("https://archives.bulbagarden.net/media/upload/b/be/246MS6.png", 3)</f>
        <v/>
      </c>
      <c r="K246" s="11" t="s">
        <v>2326</v>
      </c>
      <c r="L246" s="12"/>
      <c r="M246" s="12"/>
      <c r="N246" s="12"/>
      <c r="O246" s="12"/>
      <c r="Q246" s="71">
        <v>50.0</v>
      </c>
      <c r="R246" s="72">
        <v>64.0</v>
      </c>
      <c r="S246" s="73">
        <v>50.0</v>
      </c>
      <c r="T246" s="74">
        <v>45.0</v>
      </c>
      <c r="U246" s="75">
        <v>50.0</v>
      </c>
      <c r="V246" s="76">
        <v>41.0</v>
      </c>
      <c r="W246" s="77">
        <v>300.0</v>
      </c>
      <c r="X246" s="21"/>
      <c r="Y246" s="71">
        <v>50.0</v>
      </c>
      <c r="Z246" s="72">
        <v>64.0</v>
      </c>
      <c r="AA246" s="73">
        <v>50.0</v>
      </c>
      <c r="AB246" s="74">
        <v>45.0</v>
      </c>
      <c r="AC246" s="75">
        <v>50.0</v>
      </c>
      <c r="AD246" s="76">
        <v>41.0</v>
      </c>
      <c r="AE246" s="77">
        <v>300.0</v>
      </c>
      <c r="AF246" s="21"/>
      <c r="AG246" s="71">
        <v>50.0</v>
      </c>
      <c r="AH246" s="72">
        <v>64.0</v>
      </c>
      <c r="AI246" s="73">
        <v>50.0</v>
      </c>
      <c r="AJ246" s="74">
        <v>45.0</v>
      </c>
      <c r="AK246" s="75">
        <v>50.0</v>
      </c>
      <c r="AL246" s="76">
        <v>41.0</v>
      </c>
      <c r="AM246" s="77">
        <v>300.0</v>
      </c>
      <c r="AN246" s="21"/>
      <c r="AO246" s="22">
        <v>50.0</v>
      </c>
      <c r="AP246" s="23">
        <v>64.0</v>
      </c>
      <c r="AQ246" s="23">
        <v>50.0</v>
      </c>
      <c r="AR246" s="23">
        <v>45.0</v>
      </c>
      <c r="AS246" s="23">
        <v>50.0</v>
      </c>
      <c r="AT246" s="23">
        <v>41.0</v>
      </c>
      <c r="AU246" s="24">
        <v>300.0</v>
      </c>
      <c r="AV246" s="21"/>
      <c r="AW246" s="78">
        <v>50.0</v>
      </c>
      <c r="AX246" s="79">
        <v>64.0</v>
      </c>
      <c r="AY246" s="79">
        <v>50.0</v>
      </c>
      <c r="AZ246" s="79">
        <v>45.0</v>
      </c>
      <c r="BA246" s="79">
        <v>50.0</v>
      </c>
      <c r="BB246" s="79">
        <v>41.0</v>
      </c>
      <c r="BC246" s="201">
        <v>300.0</v>
      </c>
      <c r="BE246" s="194" t="s">
        <v>325</v>
      </c>
      <c r="BF246" s="338"/>
      <c r="BG246" s="128"/>
      <c r="BI246" s="31" t="s">
        <v>5</v>
      </c>
      <c r="BJ246" s="32">
        <v>1.0</v>
      </c>
      <c r="BK246" s="32" t="s">
        <v>5</v>
      </c>
      <c r="BL246" s="32" t="s">
        <v>5</v>
      </c>
      <c r="BM246" s="32" t="s">
        <v>5</v>
      </c>
      <c r="BN246" s="33" t="s">
        <v>5</v>
      </c>
      <c r="BP246" s="85" t="s">
        <v>66</v>
      </c>
      <c r="BQ246" s="86" t="s">
        <v>79</v>
      </c>
      <c r="BS246" s="87" t="s">
        <v>66</v>
      </c>
      <c r="BT246" s="88" t="s">
        <v>79</v>
      </c>
      <c r="BU246" s="37" t="str">
        <f t="shared" si="1"/>
        <v>#NAME?</v>
      </c>
      <c r="BV246" s="89" t="s">
        <v>66</v>
      </c>
      <c r="BW246" s="37" t="str">
        <f t="shared" si="2"/>
        <v>#NAME?</v>
      </c>
      <c r="BX246" s="89" t="s">
        <v>79</v>
      </c>
      <c r="BY246" s="39"/>
      <c r="BZ246" s="39"/>
      <c r="CA246" s="40" t="s">
        <v>823</v>
      </c>
      <c r="CB246" s="41"/>
      <c r="CC246" s="90" t="s">
        <v>66</v>
      </c>
      <c r="CD246" s="91" t="s">
        <v>79</v>
      </c>
      <c r="CE246" s="2"/>
      <c r="CF246" s="92" t="s">
        <v>273</v>
      </c>
      <c r="CG246" s="93"/>
      <c r="CH246" s="2"/>
      <c r="CI246" s="92" t="s">
        <v>273</v>
      </c>
      <c r="CJ246" s="195"/>
      <c r="CK246" s="2"/>
      <c r="CL246" s="22" t="s">
        <v>273</v>
      </c>
      <c r="CM246" s="12"/>
      <c r="CN246" s="48"/>
      <c r="CO246" s="165"/>
      <c r="CP246" s="2"/>
      <c r="CQ246" s="2" t="s">
        <v>2329</v>
      </c>
      <c r="CR246" s="97">
        <v>80.0</v>
      </c>
      <c r="CS246" s="2" t="s">
        <v>325</v>
      </c>
      <c r="CT246" s="98">
        <v>67.0</v>
      </c>
      <c r="CU246" s="2"/>
      <c r="CV246" s="52" t="s">
        <v>149</v>
      </c>
      <c r="CW246" s="52" t="s">
        <v>149</v>
      </c>
      <c r="CX246" s="2"/>
      <c r="CY246" s="334" t="s">
        <v>14</v>
      </c>
      <c r="CZ246" s="337"/>
      <c r="DA246" s="2"/>
      <c r="DB246" s="98">
        <v>45.0</v>
      </c>
      <c r="DC246" s="2"/>
      <c r="DD246" s="101" t="s">
        <v>683</v>
      </c>
      <c r="DE246" s="2"/>
      <c r="DF246" s="339" t="s">
        <v>2330</v>
      </c>
      <c r="DG246" s="336"/>
      <c r="DH246" s="336"/>
      <c r="DI246" s="21"/>
      <c r="DJ246" s="21"/>
      <c r="DK246" s="59" t="s">
        <v>2331</v>
      </c>
      <c r="DL246" s="37" t="s">
        <v>120</v>
      </c>
      <c r="DM246" s="37" t="str">
        <f t="shared" si="3"/>
        <v>#NAME?</v>
      </c>
      <c r="DN246" s="61"/>
      <c r="DO246" s="37">
        <v>55.0</v>
      </c>
      <c r="DP246" s="105">
        <v>0.95</v>
      </c>
      <c r="DQ246" s="62" t="s">
        <v>93</v>
      </c>
      <c r="DR246" s="63"/>
      <c r="DS246" s="198"/>
      <c r="DT246" s="108"/>
      <c r="DU246" s="108"/>
      <c r="DV246" s="182"/>
      <c r="DW246" s="182"/>
      <c r="DX246" s="182"/>
      <c r="DY246" s="182"/>
      <c r="DZ246" s="182"/>
      <c r="EA246" s="182"/>
      <c r="EB246" s="21"/>
      <c r="EC246" s="21"/>
      <c r="ED246" s="21"/>
      <c r="EE246" s="21"/>
      <c r="EF246" s="149" t="s">
        <v>2332</v>
      </c>
      <c r="EG246" s="69" t="str">
        <f>image("https://www.pokebip.com/pages/icones/objets/colis.png", 3)</f>
        <v/>
      </c>
      <c r="EH246" s="69"/>
      <c r="EI246" s="69"/>
    </row>
    <row r="247" ht="15.75" customHeight="1">
      <c r="A247" s="1">
        <v>247.0</v>
      </c>
      <c r="B247" s="2" t="s">
        <v>2333</v>
      </c>
      <c r="C247" s="7"/>
      <c r="D247" s="247" t="s">
        <v>2334</v>
      </c>
      <c r="E247" s="5"/>
      <c r="F247" s="248"/>
      <c r="G247" s="7"/>
      <c r="H247" s="8" t="s">
        <v>2335</v>
      </c>
      <c r="I247" s="9" t="s">
        <v>2336</v>
      </c>
      <c r="J247" s="355" t="str">
        <f>image("https://archives.bulbagarden.net/media/upload/4/44/247MS6.png", 3)</f>
        <v/>
      </c>
      <c r="K247" s="11" t="s">
        <v>2334</v>
      </c>
      <c r="L247" s="12"/>
      <c r="M247" s="12"/>
      <c r="N247" s="12"/>
      <c r="O247" s="12"/>
      <c r="Q247" s="71">
        <v>70.0</v>
      </c>
      <c r="R247" s="72">
        <v>84.0</v>
      </c>
      <c r="S247" s="73">
        <v>70.0</v>
      </c>
      <c r="T247" s="74">
        <v>65.0</v>
      </c>
      <c r="U247" s="75">
        <v>70.0</v>
      </c>
      <c r="V247" s="76">
        <v>51.0</v>
      </c>
      <c r="W247" s="77">
        <v>410.0</v>
      </c>
      <c r="X247" s="21"/>
      <c r="Y247" s="71">
        <v>70.0</v>
      </c>
      <c r="Z247" s="72">
        <v>84.0</v>
      </c>
      <c r="AA247" s="73">
        <v>70.0</v>
      </c>
      <c r="AB247" s="74">
        <v>65.0</v>
      </c>
      <c r="AC247" s="75">
        <v>70.0</v>
      </c>
      <c r="AD247" s="76">
        <v>51.0</v>
      </c>
      <c r="AE247" s="77">
        <v>410.0</v>
      </c>
      <c r="AF247" s="21"/>
      <c r="AG247" s="71">
        <v>70.0</v>
      </c>
      <c r="AH247" s="72">
        <v>84.0</v>
      </c>
      <c r="AI247" s="73">
        <v>70.0</v>
      </c>
      <c r="AJ247" s="74">
        <v>65.0</v>
      </c>
      <c r="AK247" s="75">
        <v>70.0</v>
      </c>
      <c r="AL247" s="76">
        <v>51.0</v>
      </c>
      <c r="AM247" s="77">
        <v>410.0</v>
      </c>
      <c r="AN247" s="21"/>
      <c r="AO247" s="22">
        <v>70.0</v>
      </c>
      <c r="AP247" s="23">
        <v>84.0</v>
      </c>
      <c r="AQ247" s="23">
        <v>70.0</v>
      </c>
      <c r="AR247" s="23">
        <v>65.0</v>
      </c>
      <c r="AS247" s="23">
        <v>70.0</v>
      </c>
      <c r="AT247" s="23">
        <v>51.0</v>
      </c>
      <c r="AU247" s="24">
        <v>410.0</v>
      </c>
      <c r="AV247" s="21"/>
      <c r="AW247" s="78">
        <v>70.0</v>
      </c>
      <c r="AX247" s="79">
        <v>84.0</v>
      </c>
      <c r="AY247" s="79">
        <v>70.0</v>
      </c>
      <c r="AZ247" s="79">
        <v>65.0</v>
      </c>
      <c r="BA247" s="79">
        <v>70.0</v>
      </c>
      <c r="BB247" s="79">
        <v>51.0</v>
      </c>
      <c r="BC247" s="201">
        <v>410.0</v>
      </c>
      <c r="BE247" s="194" t="s">
        <v>216</v>
      </c>
      <c r="BF247" s="184"/>
      <c r="BG247" s="128"/>
      <c r="BI247" s="31" t="s">
        <v>5</v>
      </c>
      <c r="BJ247" s="32">
        <v>2.0</v>
      </c>
      <c r="BK247" s="32" t="s">
        <v>5</v>
      </c>
      <c r="BL247" s="32" t="s">
        <v>5</v>
      </c>
      <c r="BM247" s="32" t="s">
        <v>5</v>
      </c>
      <c r="BN247" s="33" t="s">
        <v>5</v>
      </c>
      <c r="BP247" s="115" t="s">
        <v>66</v>
      </c>
      <c r="BQ247" s="116" t="s">
        <v>79</v>
      </c>
      <c r="BS247" s="115" t="s">
        <v>66</v>
      </c>
      <c r="BT247" s="117" t="s">
        <v>79</v>
      </c>
      <c r="BU247" s="37" t="str">
        <f t="shared" si="1"/>
        <v>#NAME?</v>
      </c>
      <c r="BV247" s="89" t="s">
        <v>66</v>
      </c>
      <c r="BW247" s="37" t="str">
        <f t="shared" si="2"/>
        <v>#NAME?</v>
      </c>
      <c r="BX247" s="89" t="s">
        <v>79</v>
      </c>
      <c r="BY247" s="39"/>
      <c r="BZ247" s="39"/>
      <c r="CA247" s="40" t="s">
        <v>823</v>
      </c>
      <c r="CB247" s="41"/>
      <c r="CC247" s="90" t="s">
        <v>66</v>
      </c>
      <c r="CD247" s="91" t="s">
        <v>79</v>
      </c>
      <c r="CE247" s="2"/>
      <c r="CF247" s="92" t="s">
        <v>163</v>
      </c>
      <c r="CG247" s="93"/>
      <c r="CH247" s="2"/>
      <c r="CI247" s="92" t="s">
        <v>163</v>
      </c>
      <c r="CJ247" s="93"/>
      <c r="CK247" s="2"/>
      <c r="CL247" s="22" t="s">
        <v>163</v>
      </c>
      <c r="CM247" s="12"/>
      <c r="CN247" s="48"/>
      <c r="CO247" s="95"/>
      <c r="CP247" s="2"/>
      <c r="CQ247" s="2" t="s">
        <v>2196</v>
      </c>
      <c r="CR247" s="97">
        <v>100.0</v>
      </c>
      <c r="CS247" s="2" t="s">
        <v>216</v>
      </c>
      <c r="CT247" s="98">
        <v>144.0</v>
      </c>
      <c r="CU247" s="2"/>
      <c r="CV247" s="256" t="s">
        <v>149</v>
      </c>
      <c r="CW247" s="256" t="s">
        <v>149</v>
      </c>
      <c r="CX247" s="2"/>
      <c r="CY247" s="119" t="s">
        <v>14</v>
      </c>
      <c r="CZ247" s="160"/>
      <c r="DA247" s="2"/>
      <c r="DB247" s="98">
        <v>45.0</v>
      </c>
      <c r="DC247" s="2"/>
      <c r="DD247" s="101" t="s">
        <v>683</v>
      </c>
      <c r="DE247" s="2"/>
      <c r="DF247" s="120" t="s">
        <v>2337</v>
      </c>
      <c r="DG247" s="121"/>
      <c r="DH247" s="121"/>
      <c r="DI247" s="2"/>
      <c r="DJ247" s="2"/>
      <c r="DK247" s="59" t="s">
        <v>2338</v>
      </c>
      <c r="DL247" s="37" t="s">
        <v>156</v>
      </c>
      <c r="DM247" s="37" t="str">
        <f t="shared" si="3"/>
        <v>#NAME?</v>
      </c>
      <c r="DN247" s="61"/>
      <c r="DO247" s="37">
        <v>100.0</v>
      </c>
      <c r="DP247" s="105">
        <v>1.0</v>
      </c>
      <c r="DQ247" s="62" t="s">
        <v>49</v>
      </c>
      <c r="DR247" s="63"/>
      <c r="DS247" s="198"/>
      <c r="DT247" s="108"/>
      <c r="DU247" s="108"/>
      <c r="DV247" s="182"/>
      <c r="DW247" s="182"/>
      <c r="DX247" s="182"/>
      <c r="DY247" s="182"/>
      <c r="DZ247" s="182"/>
      <c r="EA247" s="182"/>
      <c r="EB247" s="2"/>
      <c r="EC247" s="2"/>
      <c r="ED247" s="2"/>
      <c r="EE247" s="2"/>
      <c r="EF247" s="149" t="s">
        <v>2339</v>
      </c>
      <c r="EG247" s="69" t="str">
        <f>image("https://www.pokebip.com/pages/icones/objets/explorakit.png", 3)</f>
        <v/>
      </c>
      <c r="EH247" s="69"/>
      <c r="EI247" s="69"/>
    </row>
    <row r="248" ht="15.75" customHeight="1">
      <c r="A248" s="1">
        <v>248.0</v>
      </c>
      <c r="B248" s="2" t="s">
        <v>2340</v>
      </c>
      <c r="C248" s="7"/>
      <c r="D248" s="4" t="s">
        <v>2341</v>
      </c>
      <c r="E248" s="5"/>
      <c r="F248" s="6"/>
      <c r="G248" s="7"/>
      <c r="H248" s="8" t="s">
        <v>2342</v>
      </c>
      <c r="I248" s="9" t="s">
        <v>2343</v>
      </c>
      <c r="J248" s="355" t="str">
        <f>image("https://archives.bulbagarden.net/media/upload/d/d6/248MS6.png", 3)</f>
        <v/>
      </c>
      <c r="K248" s="11" t="s">
        <v>2341</v>
      </c>
      <c r="L248" s="12"/>
      <c r="M248" s="12"/>
      <c r="N248" s="12"/>
      <c r="O248" s="12"/>
      <c r="Q248" s="71">
        <v>100.0</v>
      </c>
      <c r="R248" s="72">
        <v>134.0</v>
      </c>
      <c r="S248" s="73">
        <v>110.0</v>
      </c>
      <c r="T248" s="74">
        <v>95.0</v>
      </c>
      <c r="U248" s="75">
        <v>100.0</v>
      </c>
      <c r="V248" s="76">
        <v>61.0</v>
      </c>
      <c r="W248" s="77">
        <v>600.0</v>
      </c>
      <c r="X248" s="21"/>
      <c r="Y248" s="71">
        <v>100.0</v>
      </c>
      <c r="Z248" s="72">
        <v>134.0</v>
      </c>
      <c r="AA248" s="73">
        <v>110.0</v>
      </c>
      <c r="AB248" s="74">
        <v>95.0</v>
      </c>
      <c r="AC248" s="75">
        <v>100.0</v>
      </c>
      <c r="AD248" s="76">
        <v>61.0</v>
      </c>
      <c r="AE248" s="77">
        <v>600.0</v>
      </c>
      <c r="AF248" s="21"/>
      <c r="AG248" s="71">
        <v>100.0</v>
      </c>
      <c r="AH248" s="72">
        <v>134.0</v>
      </c>
      <c r="AI248" s="73">
        <v>110.0</v>
      </c>
      <c r="AJ248" s="74">
        <v>95.0</v>
      </c>
      <c r="AK248" s="75">
        <v>100.0</v>
      </c>
      <c r="AL248" s="76">
        <v>61.0</v>
      </c>
      <c r="AM248" s="77">
        <v>600.0</v>
      </c>
      <c r="AN248" s="21"/>
      <c r="AO248" s="22">
        <v>100.0</v>
      </c>
      <c r="AP248" s="23">
        <v>134.0</v>
      </c>
      <c r="AQ248" s="23">
        <v>110.0</v>
      </c>
      <c r="AR248" s="23">
        <v>95.0</v>
      </c>
      <c r="AS248" s="23">
        <v>100.0</v>
      </c>
      <c r="AT248" s="23">
        <v>61.0</v>
      </c>
      <c r="AU248" s="24">
        <v>600.0</v>
      </c>
      <c r="AV248" s="21"/>
      <c r="AW248" s="78">
        <v>100.0</v>
      </c>
      <c r="AX248" s="79">
        <v>134.0</v>
      </c>
      <c r="AY248" s="79">
        <v>110.0</v>
      </c>
      <c r="AZ248" s="79">
        <v>95.0</v>
      </c>
      <c r="BA248" s="79">
        <v>100.0</v>
      </c>
      <c r="BB248" s="79">
        <v>61.0</v>
      </c>
      <c r="BC248" s="201">
        <v>600.0</v>
      </c>
      <c r="BE248" s="172" t="s">
        <v>451</v>
      </c>
      <c r="BF248" s="138"/>
      <c r="BG248" s="128"/>
      <c r="BI248" s="31" t="s">
        <v>5</v>
      </c>
      <c r="BJ248" s="32">
        <v>3.0</v>
      </c>
      <c r="BK248" s="32" t="s">
        <v>5</v>
      </c>
      <c r="BL248" s="32" t="s">
        <v>5</v>
      </c>
      <c r="BM248" s="32" t="s">
        <v>5</v>
      </c>
      <c r="BN248" s="33" t="s">
        <v>5</v>
      </c>
      <c r="BP248" s="85" t="s">
        <v>66</v>
      </c>
      <c r="BQ248" s="86" t="s">
        <v>76</v>
      </c>
      <c r="BS248" s="87" t="s">
        <v>66</v>
      </c>
      <c r="BT248" s="88" t="s">
        <v>76</v>
      </c>
      <c r="BU248" s="37" t="str">
        <f t="shared" si="1"/>
        <v>#NAME?</v>
      </c>
      <c r="BV248" s="89" t="s">
        <v>66</v>
      </c>
      <c r="BW248" s="37" t="str">
        <f t="shared" si="2"/>
        <v>#NAME?</v>
      </c>
      <c r="BX248" s="89" t="s">
        <v>76</v>
      </c>
      <c r="BY248" s="39"/>
      <c r="BZ248" s="39"/>
      <c r="CA248" s="40" t="s">
        <v>2344</v>
      </c>
      <c r="CB248" s="41"/>
      <c r="CC248" s="90" t="s">
        <v>66</v>
      </c>
      <c r="CD248" s="91" t="s">
        <v>76</v>
      </c>
      <c r="CE248" s="2"/>
      <c r="CF248" s="92" t="s">
        <v>2345</v>
      </c>
      <c r="CG248" s="93"/>
      <c r="CH248" s="2"/>
      <c r="CI248" s="92" t="s">
        <v>2345</v>
      </c>
      <c r="CJ248" s="93"/>
      <c r="CK248" s="2"/>
      <c r="CL248" s="22" t="s">
        <v>2345</v>
      </c>
      <c r="CM248" s="12"/>
      <c r="CN248" s="48"/>
      <c r="CO248" s="95"/>
      <c r="CP248" s="2"/>
      <c r="CQ248" s="2" t="s">
        <v>2346</v>
      </c>
      <c r="CR248" s="97">
        <v>120.0</v>
      </c>
      <c r="CS248" s="2" t="s">
        <v>451</v>
      </c>
      <c r="CT248" s="98">
        <v>218.0</v>
      </c>
      <c r="CU248" s="2"/>
      <c r="CV248" s="256" t="s">
        <v>149</v>
      </c>
      <c r="CW248" s="256" t="s">
        <v>149</v>
      </c>
      <c r="CX248" s="2"/>
      <c r="CY248" s="334" t="s">
        <v>14</v>
      </c>
      <c r="CZ248" s="337"/>
      <c r="DA248" s="2"/>
      <c r="DB248" s="98">
        <v>45.0</v>
      </c>
      <c r="DC248" s="2"/>
      <c r="DD248" s="101" t="s">
        <v>683</v>
      </c>
      <c r="DE248" s="2"/>
      <c r="DF248" s="335" t="s">
        <v>2347</v>
      </c>
      <c r="DG248" s="336"/>
      <c r="DH248" s="336"/>
      <c r="DI248" s="2"/>
      <c r="DJ248" s="2"/>
      <c r="DK248" s="59" t="s">
        <v>2348</v>
      </c>
      <c r="DL248" s="37" t="s">
        <v>34</v>
      </c>
      <c r="DM248" s="37" t="str">
        <f t="shared" si="3"/>
        <v>#NAME?</v>
      </c>
      <c r="DN248" s="61"/>
      <c r="DO248" s="37">
        <v>80.0</v>
      </c>
      <c r="DP248" s="105">
        <v>1.0</v>
      </c>
      <c r="DQ248" s="62" t="s">
        <v>93</v>
      </c>
      <c r="DR248" s="63"/>
      <c r="DS248" s="198"/>
      <c r="DT248" s="108"/>
      <c r="DU248" s="108"/>
      <c r="DV248" s="182"/>
      <c r="DW248" s="182"/>
      <c r="DX248" s="182"/>
      <c r="DY248" s="182"/>
      <c r="DZ248" s="182"/>
      <c r="EA248" s="182"/>
      <c r="EB248" s="2"/>
      <c r="EC248" s="2"/>
      <c r="ED248" s="2"/>
      <c r="EE248" s="2"/>
      <c r="EF248" s="149" t="s">
        <v>2349</v>
      </c>
      <c r="EG248" s="69" t="str">
        <f>image("https://www.pokebip.com/pages/icones/objets/flute-azur.png", 3)</f>
        <v/>
      </c>
      <c r="EH248" s="69"/>
      <c r="EI248" s="69"/>
    </row>
    <row r="249" ht="15.75" customHeight="1">
      <c r="A249" s="1">
        <v>249.0</v>
      </c>
      <c r="B249" s="2" t="s">
        <v>2350</v>
      </c>
      <c r="C249" s="7"/>
      <c r="D249" s="352" t="s">
        <v>2351</v>
      </c>
      <c r="E249" s="5"/>
      <c r="F249" s="7"/>
      <c r="G249" s="7"/>
      <c r="H249" s="8" t="s">
        <v>2352</v>
      </c>
      <c r="I249" s="9" t="s">
        <v>2353</v>
      </c>
      <c r="J249" s="355" t="str">
        <f>image("https://archives.bulbagarden.net/media/upload/e/e8/249MS6.png", 3)</f>
        <v/>
      </c>
      <c r="K249" s="11" t="s">
        <v>2351</v>
      </c>
      <c r="L249" s="12"/>
      <c r="M249" s="12"/>
      <c r="N249" s="12"/>
      <c r="O249" s="12"/>
      <c r="Q249" s="71">
        <v>106.0</v>
      </c>
      <c r="R249" s="72">
        <v>90.0</v>
      </c>
      <c r="S249" s="73">
        <v>130.0</v>
      </c>
      <c r="T249" s="74">
        <v>90.0</v>
      </c>
      <c r="U249" s="75">
        <v>154.0</v>
      </c>
      <c r="V249" s="76">
        <v>110.0</v>
      </c>
      <c r="W249" s="77">
        <v>680.0</v>
      </c>
      <c r="X249" s="21"/>
      <c r="Y249" s="71">
        <v>106.0</v>
      </c>
      <c r="Z249" s="72">
        <v>90.0</v>
      </c>
      <c r="AA249" s="73">
        <v>130.0</v>
      </c>
      <c r="AB249" s="74">
        <v>90.0</v>
      </c>
      <c r="AC249" s="75">
        <v>154.0</v>
      </c>
      <c r="AD249" s="76">
        <v>110.0</v>
      </c>
      <c r="AE249" s="77">
        <v>680.0</v>
      </c>
      <c r="AF249" s="21"/>
      <c r="AG249" s="71">
        <v>106.0</v>
      </c>
      <c r="AH249" s="72">
        <v>90.0</v>
      </c>
      <c r="AI249" s="73">
        <v>130.0</v>
      </c>
      <c r="AJ249" s="74">
        <v>90.0</v>
      </c>
      <c r="AK249" s="75">
        <v>154.0</v>
      </c>
      <c r="AL249" s="76">
        <v>110.0</v>
      </c>
      <c r="AM249" s="77">
        <v>680.0</v>
      </c>
      <c r="AN249" s="21"/>
      <c r="AO249" s="22">
        <v>106.0</v>
      </c>
      <c r="AP249" s="23">
        <v>90.0</v>
      </c>
      <c r="AQ249" s="23">
        <v>130.0</v>
      </c>
      <c r="AR249" s="23">
        <v>90.0</v>
      </c>
      <c r="AS249" s="23">
        <v>154.0</v>
      </c>
      <c r="AT249" s="23">
        <v>110.0</v>
      </c>
      <c r="AU249" s="24">
        <v>680.0</v>
      </c>
      <c r="AV249" s="21"/>
      <c r="AW249" s="78">
        <v>106.0</v>
      </c>
      <c r="AX249" s="79">
        <v>90.0</v>
      </c>
      <c r="AY249" s="79">
        <v>130.0</v>
      </c>
      <c r="AZ249" s="79">
        <v>90.0</v>
      </c>
      <c r="BA249" s="79">
        <v>154.0</v>
      </c>
      <c r="BB249" s="79">
        <v>110.0</v>
      </c>
      <c r="BC249" s="201">
        <v>680.0</v>
      </c>
      <c r="BE249" s="150" t="s">
        <v>129</v>
      </c>
      <c r="BF249" s="138"/>
      <c r="BG249" s="128"/>
      <c r="BI249" s="31" t="s">
        <v>5</v>
      </c>
      <c r="BJ249" s="32" t="s">
        <v>5</v>
      </c>
      <c r="BK249" s="32" t="s">
        <v>5</v>
      </c>
      <c r="BL249" s="32" t="s">
        <v>5</v>
      </c>
      <c r="BM249" s="32">
        <v>3.0</v>
      </c>
      <c r="BN249" s="33" t="s">
        <v>5</v>
      </c>
      <c r="BP249" s="115" t="s">
        <v>122</v>
      </c>
      <c r="BQ249" s="116" t="s">
        <v>18</v>
      </c>
      <c r="BS249" s="115" t="s">
        <v>122</v>
      </c>
      <c r="BT249" s="117" t="s">
        <v>18</v>
      </c>
      <c r="BU249" s="37" t="str">
        <f t="shared" si="1"/>
        <v>#NAME?</v>
      </c>
      <c r="BV249" s="89" t="s">
        <v>122</v>
      </c>
      <c r="BW249" s="37" t="str">
        <f t="shared" si="2"/>
        <v>#NAME?</v>
      </c>
      <c r="BX249" s="89" t="s">
        <v>18</v>
      </c>
      <c r="BY249" s="39"/>
      <c r="BZ249" s="39"/>
      <c r="CA249" s="40" t="s">
        <v>1751</v>
      </c>
      <c r="CB249" s="41"/>
      <c r="CC249" s="90" t="s">
        <v>122</v>
      </c>
      <c r="CD249" s="91" t="s">
        <v>18</v>
      </c>
      <c r="CE249" s="2"/>
      <c r="CF249" s="92" t="s">
        <v>1447</v>
      </c>
      <c r="CG249" s="93"/>
      <c r="CH249" s="2"/>
      <c r="CI249" s="92" t="s">
        <v>1447</v>
      </c>
      <c r="CJ249" s="93"/>
      <c r="CK249" s="2"/>
      <c r="CL249" s="22" t="s">
        <v>1447</v>
      </c>
      <c r="CM249" s="12"/>
      <c r="CN249" s="48"/>
      <c r="CO249" s="95"/>
      <c r="CP249" s="2"/>
      <c r="CQ249" s="2" t="s">
        <v>2354</v>
      </c>
      <c r="CR249" s="97">
        <v>120.0</v>
      </c>
      <c r="CS249" s="2" t="s">
        <v>129</v>
      </c>
      <c r="CT249" s="98">
        <v>220.0</v>
      </c>
      <c r="CU249" s="2"/>
      <c r="CV249" s="256" t="s">
        <v>890</v>
      </c>
      <c r="CW249" s="256" t="s">
        <v>890</v>
      </c>
      <c r="CX249" s="2"/>
      <c r="CY249" s="119" t="s">
        <v>411</v>
      </c>
      <c r="CZ249" s="160"/>
      <c r="DA249" s="2"/>
      <c r="DB249" s="98">
        <v>3.0</v>
      </c>
      <c r="DC249" s="2"/>
      <c r="DD249" s="101" t="s">
        <v>683</v>
      </c>
      <c r="DE249" s="2"/>
      <c r="DF249" s="120" t="s">
        <v>914</v>
      </c>
      <c r="DG249" s="121"/>
      <c r="DH249" s="121"/>
      <c r="DI249" s="2"/>
      <c r="DJ249" s="2"/>
      <c r="DK249" s="59" t="s">
        <v>2355</v>
      </c>
      <c r="DL249" s="37" t="s">
        <v>6</v>
      </c>
      <c r="DM249" s="37" t="str">
        <f t="shared" si="3"/>
        <v>#NAME?</v>
      </c>
      <c r="DN249" s="61"/>
      <c r="DO249" s="37" t="s">
        <v>917</v>
      </c>
      <c r="DP249" s="105">
        <v>0.9</v>
      </c>
      <c r="DQ249" s="62" t="s">
        <v>293</v>
      </c>
      <c r="DR249" s="63"/>
      <c r="DS249" s="198"/>
      <c r="DT249" s="108"/>
      <c r="DU249" s="108"/>
      <c r="DV249" s="182"/>
      <c r="DW249" s="182"/>
      <c r="DX249" s="182"/>
      <c r="DY249" s="182"/>
      <c r="DZ249" s="182"/>
      <c r="EA249" s="182"/>
      <c r="EB249" s="2"/>
      <c r="EC249" s="2"/>
      <c r="ED249" s="2"/>
      <c r="EE249" s="2"/>
      <c r="EF249" s="149" t="s">
        <v>2356</v>
      </c>
      <c r="EG249" s="69" t="str">
        <f>image("https://www.pokebip.com/pages/icones/objets/gracidee.png", 3)</f>
        <v/>
      </c>
      <c r="EH249" s="69"/>
      <c r="EI249" s="69"/>
    </row>
    <row r="250" ht="15.75" customHeight="1">
      <c r="A250" s="1">
        <v>250.0</v>
      </c>
      <c r="B250" s="2" t="s">
        <v>2357</v>
      </c>
      <c r="C250" s="7"/>
      <c r="D250" s="122" t="s">
        <v>2358</v>
      </c>
      <c r="E250" s="5"/>
      <c r="F250" s="123"/>
      <c r="G250" s="7"/>
      <c r="H250" s="8" t="s">
        <v>2359</v>
      </c>
      <c r="I250" s="9" t="s">
        <v>2360</v>
      </c>
      <c r="J250" s="355" t="str">
        <f>image("https://archives.bulbagarden.net/media/upload/c/cf/250MS6.png", 3)</f>
        <v/>
      </c>
      <c r="K250" s="11" t="s">
        <v>2358</v>
      </c>
      <c r="L250" s="12"/>
      <c r="M250" s="12"/>
      <c r="N250" s="12"/>
      <c r="O250" s="12"/>
      <c r="Q250" s="71">
        <v>106.0</v>
      </c>
      <c r="R250" s="72">
        <v>130.0</v>
      </c>
      <c r="S250" s="73">
        <v>90.0</v>
      </c>
      <c r="T250" s="74">
        <v>110.0</v>
      </c>
      <c r="U250" s="75">
        <v>154.0</v>
      </c>
      <c r="V250" s="76">
        <v>90.0</v>
      </c>
      <c r="W250" s="77">
        <v>680.0</v>
      </c>
      <c r="X250" s="21"/>
      <c r="Y250" s="71">
        <v>106.0</v>
      </c>
      <c r="Z250" s="72">
        <v>130.0</v>
      </c>
      <c r="AA250" s="73">
        <v>90.0</v>
      </c>
      <c r="AB250" s="74">
        <v>110.0</v>
      </c>
      <c r="AC250" s="75">
        <v>154.0</v>
      </c>
      <c r="AD250" s="76">
        <v>90.0</v>
      </c>
      <c r="AE250" s="77">
        <v>680.0</v>
      </c>
      <c r="AF250" s="21"/>
      <c r="AG250" s="71">
        <v>106.0</v>
      </c>
      <c r="AH250" s="72">
        <v>130.0</v>
      </c>
      <c r="AI250" s="73">
        <v>90.0</v>
      </c>
      <c r="AJ250" s="74">
        <v>110.0</v>
      </c>
      <c r="AK250" s="75">
        <v>154.0</v>
      </c>
      <c r="AL250" s="76">
        <v>90.0</v>
      </c>
      <c r="AM250" s="77">
        <v>680.0</v>
      </c>
      <c r="AN250" s="21"/>
      <c r="AO250" s="22">
        <v>106.0</v>
      </c>
      <c r="AP250" s="23">
        <v>130.0</v>
      </c>
      <c r="AQ250" s="23">
        <v>90.0</v>
      </c>
      <c r="AR250" s="23">
        <v>110.0</v>
      </c>
      <c r="AS250" s="23">
        <v>154.0</v>
      </c>
      <c r="AT250" s="23">
        <v>90.0</v>
      </c>
      <c r="AU250" s="24">
        <v>680.0</v>
      </c>
      <c r="AV250" s="21"/>
      <c r="AW250" s="78">
        <v>106.0</v>
      </c>
      <c r="AX250" s="79">
        <v>130.0</v>
      </c>
      <c r="AY250" s="79">
        <v>90.0</v>
      </c>
      <c r="AZ250" s="79">
        <v>110.0</v>
      </c>
      <c r="BA250" s="79">
        <v>154.0</v>
      </c>
      <c r="BB250" s="79">
        <v>90.0</v>
      </c>
      <c r="BC250" s="201">
        <v>680.0</v>
      </c>
      <c r="BE250" s="150" t="s">
        <v>129</v>
      </c>
      <c r="BF250" s="138"/>
      <c r="BG250" s="128"/>
      <c r="BI250" s="31" t="s">
        <v>5</v>
      </c>
      <c r="BJ250" s="32" t="s">
        <v>5</v>
      </c>
      <c r="BK250" s="32" t="s">
        <v>5</v>
      </c>
      <c r="BL250" s="32" t="s">
        <v>5</v>
      </c>
      <c r="BM250" s="32">
        <v>3.0</v>
      </c>
      <c r="BN250" s="33" t="s">
        <v>5</v>
      </c>
      <c r="BP250" s="85" t="s">
        <v>34</v>
      </c>
      <c r="BQ250" s="86" t="s">
        <v>18</v>
      </c>
      <c r="BS250" s="87" t="s">
        <v>34</v>
      </c>
      <c r="BT250" s="88" t="s">
        <v>18</v>
      </c>
      <c r="BU250" s="37" t="str">
        <f t="shared" si="1"/>
        <v>#NAME?</v>
      </c>
      <c r="BV250" s="89" t="s">
        <v>34</v>
      </c>
      <c r="BW250" s="37" t="str">
        <f t="shared" si="2"/>
        <v>#NAME?</v>
      </c>
      <c r="BX250" s="89" t="s">
        <v>18</v>
      </c>
      <c r="BY250" s="39"/>
      <c r="BZ250" s="39"/>
      <c r="CA250" s="40" t="s">
        <v>1485</v>
      </c>
      <c r="CB250" s="41"/>
      <c r="CC250" s="90" t="s">
        <v>34</v>
      </c>
      <c r="CD250" s="91" t="s">
        <v>18</v>
      </c>
      <c r="CE250" s="2"/>
      <c r="CF250" s="92" t="s">
        <v>1447</v>
      </c>
      <c r="CG250" s="93"/>
      <c r="CH250" s="2"/>
      <c r="CI250" s="92" t="s">
        <v>1447</v>
      </c>
      <c r="CJ250" s="93"/>
      <c r="CK250" s="2"/>
      <c r="CL250" s="22" t="s">
        <v>1447</v>
      </c>
      <c r="CM250" s="12"/>
      <c r="CN250" s="48"/>
      <c r="CO250" s="95"/>
      <c r="CP250" s="2"/>
      <c r="CQ250" s="2" t="s">
        <v>2361</v>
      </c>
      <c r="CR250" s="97">
        <v>100.0</v>
      </c>
      <c r="CS250" s="2" t="s">
        <v>129</v>
      </c>
      <c r="CT250" s="98">
        <v>220.0</v>
      </c>
      <c r="CU250" s="2"/>
      <c r="CV250" s="52" t="s">
        <v>890</v>
      </c>
      <c r="CW250" s="52" t="s">
        <v>890</v>
      </c>
      <c r="CX250" s="2"/>
      <c r="CY250" s="334" t="s">
        <v>411</v>
      </c>
      <c r="CZ250" s="337"/>
      <c r="DA250" s="2"/>
      <c r="DB250" s="98">
        <v>3.0</v>
      </c>
      <c r="DC250" s="2"/>
      <c r="DD250" s="101" t="s">
        <v>683</v>
      </c>
      <c r="DE250" s="2"/>
      <c r="DF250" s="335" t="s">
        <v>914</v>
      </c>
      <c r="DG250" s="343" t="s">
        <v>2362</v>
      </c>
      <c r="DH250" s="336"/>
      <c r="DI250" s="2"/>
      <c r="DJ250" s="2"/>
      <c r="DK250" s="59" t="s">
        <v>2363</v>
      </c>
      <c r="DL250" s="37" t="s">
        <v>2364</v>
      </c>
      <c r="DM250" s="37" t="str">
        <f t="shared" si="3"/>
        <v>#NAME?</v>
      </c>
      <c r="DN250" s="61"/>
      <c r="DO250" s="37" t="s">
        <v>258</v>
      </c>
      <c r="DP250" s="37" t="s">
        <v>401</v>
      </c>
      <c r="DQ250" s="62" t="s">
        <v>938</v>
      </c>
      <c r="DR250" s="63"/>
      <c r="DS250" s="198"/>
      <c r="DT250" s="108"/>
      <c r="DU250" s="108"/>
      <c r="DV250" s="182"/>
      <c r="DW250" s="182"/>
      <c r="DX250" s="182"/>
      <c r="DY250" s="182"/>
      <c r="DZ250" s="182"/>
      <c r="EA250" s="182"/>
      <c r="EB250" s="2"/>
      <c r="EC250" s="2"/>
      <c r="ED250" s="2"/>
      <c r="EE250" s="2"/>
      <c r="EF250" s="149" t="s">
        <v>2365</v>
      </c>
      <c r="EG250" s="69" t="str">
        <f>image("https://www.pokebip.com/pages/icones/objets/journal.png", 3)</f>
        <v/>
      </c>
      <c r="EH250" s="69"/>
      <c r="EI250" s="69"/>
    </row>
    <row r="251" ht="15.75" customHeight="1">
      <c r="A251" s="1">
        <v>251.0</v>
      </c>
      <c r="B251" s="2" t="s">
        <v>2366</v>
      </c>
      <c r="C251" s="7"/>
      <c r="D251" s="4" t="s">
        <v>2367</v>
      </c>
      <c r="E251" s="5"/>
      <c r="F251" s="6"/>
      <c r="G251" s="7"/>
      <c r="H251" s="8" t="s">
        <v>2368</v>
      </c>
      <c r="I251" s="9" t="s">
        <v>2369</v>
      </c>
      <c r="J251" s="355" t="str">
        <f>image("https://archives.bulbagarden.net/media/upload/1/15/251MS6.png", 3)</f>
        <v/>
      </c>
      <c r="K251" s="11" t="s">
        <v>2367</v>
      </c>
      <c r="L251" s="12"/>
      <c r="M251" s="12"/>
      <c r="N251" s="12"/>
      <c r="O251" s="12"/>
      <c r="Q251" s="298">
        <v>100.0</v>
      </c>
      <c r="R251" s="299">
        <v>100.0</v>
      </c>
      <c r="S251" s="300">
        <v>100.0</v>
      </c>
      <c r="T251" s="301">
        <v>100.0</v>
      </c>
      <c r="U251" s="302">
        <v>100.0</v>
      </c>
      <c r="V251" s="303">
        <v>100.0</v>
      </c>
      <c r="W251" s="304">
        <v>600.0</v>
      </c>
      <c r="X251" s="21"/>
      <c r="Y251" s="298">
        <v>100.0</v>
      </c>
      <c r="Z251" s="299">
        <v>100.0</v>
      </c>
      <c r="AA251" s="300">
        <v>100.0</v>
      </c>
      <c r="AB251" s="301">
        <v>100.0</v>
      </c>
      <c r="AC251" s="302">
        <v>100.0</v>
      </c>
      <c r="AD251" s="303">
        <v>100.0</v>
      </c>
      <c r="AE251" s="304">
        <v>600.0</v>
      </c>
      <c r="AF251" s="21"/>
      <c r="AG251" s="298">
        <v>100.0</v>
      </c>
      <c r="AH251" s="299">
        <v>100.0</v>
      </c>
      <c r="AI251" s="300">
        <v>100.0</v>
      </c>
      <c r="AJ251" s="301">
        <v>100.0</v>
      </c>
      <c r="AK251" s="302">
        <v>100.0</v>
      </c>
      <c r="AL251" s="303">
        <v>100.0</v>
      </c>
      <c r="AM251" s="304">
        <v>600.0</v>
      </c>
      <c r="AN251" s="21"/>
      <c r="AO251" s="22">
        <v>100.0</v>
      </c>
      <c r="AP251" s="23">
        <v>100.0</v>
      </c>
      <c r="AQ251" s="23">
        <v>100.0</v>
      </c>
      <c r="AR251" s="23">
        <v>100.0</v>
      </c>
      <c r="AS251" s="23">
        <v>100.0</v>
      </c>
      <c r="AT251" s="23">
        <v>100.0</v>
      </c>
      <c r="AU251" s="24">
        <v>600.0</v>
      </c>
      <c r="AV251" s="21"/>
      <c r="AW251" s="258">
        <v>100.0</v>
      </c>
      <c r="AX251" s="80">
        <v>100.0</v>
      </c>
      <c r="AY251" s="80">
        <v>100.0</v>
      </c>
      <c r="AZ251" s="80">
        <v>100.0</v>
      </c>
      <c r="BA251" s="80">
        <v>100.0</v>
      </c>
      <c r="BB251" s="80">
        <v>100.0</v>
      </c>
      <c r="BC251" s="81">
        <v>600.0</v>
      </c>
      <c r="BE251" s="305" t="s">
        <v>422</v>
      </c>
      <c r="BF251" s="306"/>
      <c r="BG251" s="307"/>
      <c r="BI251" s="31">
        <v>3.0</v>
      </c>
      <c r="BJ251" s="32" t="s">
        <v>5</v>
      </c>
      <c r="BK251" s="32" t="s">
        <v>5</v>
      </c>
      <c r="BL251" s="32" t="s">
        <v>5</v>
      </c>
      <c r="BM251" s="32" t="s">
        <v>5</v>
      </c>
      <c r="BN251" s="33" t="s">
        <v>5</v>
      </c>
      <c r="BP251" s="308" t="s">
        <v>122</v>
      </c>
      <c r="BQ251" s="375" t="s">
        <v>6</v>
      </c>
      <c r="BS251" s="308" t="s">
        <v>122</v>
      </c>
      <c r="BT251" s="286" t="s">
        <v>6</v>
      </c>
      <c r="BU251" s="37" t="str">
        <f t="shared" si="1"/>
        <v>#NAME?</v>
      </c>
      <c r="BV251" s="89" t="s">
        <v>122</v>
      </c>
      <c r="BW251" s="37" t="str">
        <f t="shared" si="2"/>
        <v>#NAME?</v>
      </c>
      <c r="BX251" s="89" t="s">
        <v>6</v>
      </c>
      <c r="BY251" s="39"/>
      <c r="BZ251" s="39"/>
      <c r="CA251" s="40" t="s">
        <v>2370</v>
      </c>
      <c r="CB251" s="41"/>
      <c r="CC251" s="212" t="s">
        <v>122</v>
      </c>
      <c r="CD251" s="137" t="s">
        <v>6</v>
      </c>
      <c r="CE251" s="2"/>
      <c r="CF251" s="177" t="s">
        <v>1182</v>
      </c>
      <c r="CG251" s="188"/>
      <c r="CH251" s="2"/>
      <c r="CI251" s="177" t="s">
        <v>1182</v>
      </c>
      <c r="CJ251" s="188"/>
      <c r="CK251" s="2"/>
      <c r="CL251" s="22" t="s">
        <v>1182</v>
      </c>
      <c r="CM251" s="12"/>
      <c r="CN251" s="48"/>
      <c r="CO251" s="153"/>
      <c r="CP251" s="2"/>
      <c r="CQ251" s="2" t="s">
        <v>1955</v>
      </c>
      <c r="CR251" s="310">
        <v>20.0</v>
      </c>
      <c r="CS251" s="2" t="s">
        <v>422</v>
      </c>
      <c r="CT251" s="311">
        <v>64.0</v>
      </c>
      <c r="CU251" s="2"/>
      <c r="CV251" s="52" t="s">
        <v>890</v>
      </c>
      <c r="CW251" s="52" t="s">
        <v>890</v>
      </c>
      <c r="CX251" s="2"/>
      <c r="CY251" s="312" t="s">
        <v>411</v>
      </c>
      <c r="CZ251" s="313"/>
      <c r="DA251" s="2"/>
      <c r="DB251" s="311">
        <v>45.0</v>
      </c>
      <c r="DC251" s="2"/>
      <c r="DD251" s="314" t="s">
        <v>15</v>
      </c>
      <c r="DE251" s="2"/>
      <c r="DF251" s="250" t="s">
        <v>914</v>
      </c>
      <c r="DG251" s="315" t="s">
        <v>1526</v>
      </c>
      <c r="DH251" s="316"/>
      <c r="DI251" s="2"/>
      <c r="DJ251" s="2"/>
      <c r="DK251" s="59" t="s">
        <v>2371</v>
      </c>
      <c r="DL251" s="37" t="s">
        <v>153</v>
      </c>
      <c r="DM251" s="37" t="str">
        <f t="shared" si="3"/>
        <v>#NAME?</v>
      </c>
      <c r="DN251" s="61"/>
      <c r="DO251" s="37">
        <v>80.0</v>
      </c>
      <c r="DP251" s="105">
        <v>1.0</v>
      </c>
      <c r="DQ251" s="62" t="s">
        <v>49</v>
      </c>
      <c r="DR251" s="63"/>
      <c r="DS251" s="198"/>
      <c r="DT251" s="108"/>
      <c r="DU251" s="108"/>
      <c r="DV251" s="182"/>
      <c r="DW251" s="182"/>
      <c r="DX251" s="182"/>
      <c r="DY251" s="182"/>
      <c r="DZ251" s="182"/>
      <c r="EA251" s="182"/>
      <c r="EB251" s="21"/>
      <c r="EC251" s="21"/>
      <c r="ED251" s="21"/>
      <c r="EE251" s="21"/>
      <c r="EF251" s="149" t="s">
        <v>2372</v>
      </c>
      <c r="EG251" s="69" t="str">
        <f>image("https://www.pokebip.com/pages/icones/objets/kwakarrosoir.png", 3)</f>
        <v/>
      </c>
      <c r="EH251" s="69"/>
      <c r="EI251" s="69"/>
    </row>
    <row r="252" ht="15.75" customHeight="1">
      <c r="A252" s="1">
        <v>252.0</v>
      </c>
      <c r="B252" s="2" t="s">
        <v>2373</v>
      </c>
      <c r="C252" s="3"/>
      <c r="D252" s="4" t="s">
        <v>2374</v>
      </c>
      <c r="E252" s="5"/>
      <c r="F252" s="6"/>
      <c r="G252" s="7"/>
      <c r="H252" s="8" t="s">
        <v>2375</v>
      </c>
      <c r="I252" s="9" t="s">
        <v>2376</v>
      </c>
      <c r="J252" s="355" t="str">
        <f>image("https://archives.bulbagarden.net/media/upload/2/2e/252MS6.png", 3)</f>
        <v/>
      </c>
      <c r="K252" s="11" t="s">
        <v>2374</v>
      </c>
      <c r="L252" s="12"/>
      <c r="M252" s="12"/>
      <c r="N252" s="12"/>
      <c r="O252" s="12"/>
      <c r="Q252" s="14">
        <v>40.0</v>
      </c>
      <c r="R252" s="15">
        <v>45.0</v>
      </c>
      <c r="S252" s="16">
        <v>35.0</v>
      </c>
      <c r="T252" s="17">
        <v>65.0</v>
      </c>
      <c r="U252" s="18">
        <v>55.0</v>
      </c>
      <c r="V252" s="19">
        <v>70.0</v>
      </c>
      <c r="W252" s="20">
        <v>310.0</v>
      </c>
      <c r="X252" s="21"/>
      <c r="Y252" s="14">
        <v>40.0</v>
      </c>
      <c r="Z252" s="15">
        <v>45.0</v>
      </c>
      <c r="AA252" s="16">
        <v>35.0</v>
      </c>
      <c r="AB252" s="17">
        <v>65.0</v>
      </c>
      <c r="AC252" s="18">
        <v>55.0</v>
      </c>
      <c r="AD252" s="19">
        <v>70.0</v>
      </c>
      <c r="AE252" s="20">
        <v>310.0</v>
      </c>
      <c r="AF252" s="21"/>
      <c r="AG252" s="14">
        <v>40.0</v>
      </c>
      <c r="AH252" s="15">
        <v>45.0</v>
      </c>
      <c r="AI252" s="16">
        <v>35.0</v>
      </c>
      <c r="AJ252" s="17">
        <v>65.0</v>
      </c>
      <c r="AK252" s="18">
        <v>55.0</v>
      </c>
      <c r="AL252" s="19">
        <v>70.0</v>
      </c>
      <c r="AM252" s="20">
        <v>310.0</v>
      </c>
      <c r="AN252" s="21"/>
      <c r="AO252" s="22">
        <v>40.0</v>
      </c>
      <c r="AP252" s="23">
        <v>45.0</v>
      </c>
      <c r="AQ252" s="23">
        <v>35.0</v>
      </c>
      <c r="AR252" s="23">
        <v>65.0</v>
      </c>
      <c r="AS252" s="23">
        <v>55.0</v>
      </c>
      <c r="AT252" s="23">
        <v>70.0</v>
      </c>
      <c r="AU252" s="24">
        <v>310.0</v>
      </c>
      <c r="AV252" s="21"/>
      <c r="AW252" s="25">
        <v>40.0</v>
      </c>
      <c r="AX252" s="26">
        <v>45.0</v>
      </c>
      <c r="AY252" s="26">
        <v>35.0</v>
      </c>
      <c r="AZ252" s="26">
        <v>65.0</v>
      </c>
      <c r="BA252" s="26">
        <v>55.0</v>
      </c>
      <c r="BB252" s="26">
        <v>70.0</v>
      </c>
      <c r="BC252" s="27">
        <v>310.0</v>
      </c>
      <c r="BE252" s="376" t="s">
        <v>56</v>
      </c>
      <c r="BF252" s="377"/>
      <c r="BG252" s="319"/>
      <c r="BI252" s="31" t="s">
        <v>5</v>
      </c>
      <c r="BJ252" s="32" t="s">
        <v>5</v>
      </c>
      <c r="BK252" s="32" t="s">
        <v>5</v>
      </c>
      <c r="BL252" s="32" t="s">
        <v>5</v>
      </c>
      <c r="BM252" s="32" t="s">
        <v>5</v>
      </c>
      <c r="BN252" s="33">
        <v>1.0</v>
      </c>
      <c r="BP252" s="320" t="s">
        <v>6</v>
      </c>
      <c r="BQ252" s="321"/>
      <c r="BS252" s="322" t="s">
        <v>6</v>
      </c>
      <c r="BT252" s="323"/>
      <c r="BU252" s="37" t="str">
        <f t="shared" si="1"/>
        <v>#NAME?</v>
      </c>
      <c r="BV252" s="89" t="s">
        <v>6</v>
      </c>
      <c r="BW252" s="37" t="str">
        <f t="shared" si="2"/>
        <v>#NAME?</v>
      </c>
      <c r="BX252" s="89"/>
      <c r="BY252" s="39"/>
      <c r="BZ252" s="39"/>
      <c r="CA252" s="40" t="s">
        <v>6</v>
      </c>
      <c r="CB252" s="41"/>
      <c r="CC252" s="42" t="s">
        <v>6</v>
      </c>
      <c r="CD252" s="43"/>
      <c r="CE252" s="21"/>
      <c r="CF252" s="44" t="s">
        <v>9</v>
      </c>
      <c r="CG252" s="45"/>
      <c r="CH252" s="21"/>
      <c r="CI252" s="46" t="s">
        <v>2377</v>
      </c>
      <c r="CJ252" s="47" t="s">
        <v>9</v>
      </c>
      <c r="CK252" s="21"/>
      <c r="CL252" s="22" t="s">
        <v>2378</v>
      </c>
      <c r="CM252" s="12"/>
      <c r="CN252" s="48"/>
      <c r="CO252" s="49" t="s">
        <v>9</v>
      </c>
      <c r="CP252" s="21"/>
      <c r="CQ252" s="2" t="s">
        <v>1955</v>
      </c>
      <c r="CR252" s="50">
        <v>20.0</v>
      </c>
      <c r="CS252" s="2" t="s">
        <v>56</v>
      </c>
      <c r="CT252" s="51">
        <v>65.0</v>
      </c>
      <c r="CU252" s="2"/>
      <c r="CV252" s="52" t="s">
        <v>13</v>
      </c>
      <c r="CW252" s="53">
        <v>0.125</v>
      </c>
      <c r="CX252" s="2"/>
      <c r="CY252" s="378" t="s">
        <v>14</v>
      </c>
      <c r="CZ252" s="379" t="s">
        <v>61</v>
      </c>
      <c r="DA252" s="2"/>
      <c r="DB252" s="51">
        <v>45.0</v>
      </c>
      <c r="DC252" s="2"/>
      <c r="DD252" s="56" t="s">
        <v>15</v>
      </c>
      <c r="DE252" s="2"/>
      <c r="DF252" s="380" t="s">
        <v>2379</v>
      </c>
      <c r="DG252" s="379"/>
      <c r="DH252" s="379"/>
      <c r="DI252" s="21"/>
      <c r="DJ252" s="21"/>
      <c r="DK252" s="59" t="s">
        <v>2380</v>
      </c>
      <c r="DL252" s="37" t="s">
        <v>6</v>
      </c>
      <c r="DM252" s="37" t="str">
        <f t="shared" si="3"/>
        <v>#NAME?</v>
      </c>
      <c r="DN252" s="61"/>
      <c r="DO252" s="37">
        <v>60.0</v>
      </c>
      <c r="DP252" s="37" t="s">
        <v>19</v>
      </c>
      <c r="DQ252" s="62" t="s">
        <v>20</v>
      </c>
      <c r="DR252" s="155"/>
      <c r="DS252" s="251"/>
      <c r="DT252" s="108"/>
      <c r="DU252" s="108"/>
      <c r="DV252" s="252"/>
      <c r="DW252" s="252"/>
      <c r="DX252" s="252"/>
      <c r="DY252" s="252"/>
      <c r="DZ252" s="252"/>
      <c r="EA252" s="252"/>
      <c r="EB252" s="2"/>
      <c r="EC252" s="2"/>
      <c r="ED252" s="2"/>
      <c r="EE252" s="2"/>
      <c r="EF252" s="149" t="s">
        <v>2381</v>
      </c>
      <c r="EG252" s="69" t="str">
        <f>image("https://www.pokebip.com/pages/icones/objets/lettre-chen.png", 3)</f>
        <v/>
      </c>
      <c r="EH252" s="69"/>
      <c r="EI252" s="69"/>
    </row>
    <row r="253" ht="15.75" customHeight="1">
      <c r="A253" s="1">
        <v>253.0</v>
      </c>
      <c r="B253" s="2" t="s">
        <v>2382</v>
      </c>
      <c r="C253" s="7"/>
      <c r="D253" s="4" t="s">
        <v>2383</v>
      </c>
      <c r="E253" s="5"/>
      <c r="F253" s="6"/>
      <c r="G253" s="7"/>
      <c r="H253" s="8" t="s">
        <v>2384</v>
      </c>
      <c r="I253" s="9" t="s">
        <v>2385</v>
      </c>
      <c r="J253" s="355" t="str">
        <f>image("https://archives.bulbagarden.net/media/upload/b/b7/253MS6.png", 3)</f>
        <v/>
      </c>
      <c r="K253" s="11" t="s">
        <v>2383</v>
      </c>
      <c r="L253" s="12"/>
      <c r="M253" s="12"/>
      <c r="N253" s="12"/>
      <c r="O253" s="12"/>
      <c r="Q253" s="71">
        <v>50.0</v>
      </c>
      <c r="R253" s="72">
        <v>65.0</v>
      </c>
      <c r="S253" s="73">
        <v>45.0</v>
      </c>
      <c r="T253" s="74">
        <v>85.0</v>
      </c>
      <c r="U253" s="75">
        <v>65.0</v>
      </c>
      <c r="V253" s="76">
        <v>95.0</v>
      </c>
      <c r="W253" s="77">
        <v>405.0</v>
      </c>
      <c r="X253" s="21"/>
      <c r="Y253" s="71">
        <v>50.0</v>
      </c>
      <c r="Z253" s="72">
        <v>65.0</v>
      </c>
      <c r="AA253" s="73">
        <v>45.0</v>
      </c>
      <c r="AB253" s="74">
        <v>85.0</v>
      </c>
      <c r="AC253" s="75">
        <v>65.0</v>
      </c>
      <c r="AD253" s="76">
        <v>95.0</v>
      </c>
      <c r="AE253" s="77">
        <v>405.0</v>
      </c>
      <c r="AF253" s="21"/>
      <c r="AG253" s="71">
        <v>50.0</v>
      </c>
      <c r="AH253" s="72">
        <v>65.0</v>
      </c>
      <c r="AI253" s="73">
        <v>45.0</v>
      </c>
      <c r="AJ253" s="74">
        <v>85.0</v>
      </c>
      <c r="AK253" s="75">
        <v>65.0</v>
      </c>
      <c r="AL253" s="76">
        <v>95.0</v>
      </c>
      <c r="AM253" s="77">
        <v>405.0</v>
      </c>
      <c r="AN253" s="21"/>
      <c r="AO253" s="22">
        <v>50.0</v>
      </c>
      <c r="AP253" s="23">
        <v>65.0</v>
      </c>
      <c r="AQ253" s="23">
        <v>45.0</v>
      </c>
      <c r="AR253" s="23">
        <v>85.0</v>
      </c>
      <c r="AS253" s="23">
        <v>65.0</v>
      </c>
      <c r="AT253" s="23">
        <v>95.0</v>
      </c>
      <c r="AU253" s="24">
        <v>405.0</v>
      </c>
      <c r="AV253" s="21"/>
      <c r="AW253" s="78">
        <v>50.0</v>
      </c>
      <c r="AX253" s="80">
        <v>65.0</v>
      </c>
      <c r="AY253" s="79">
        <v>45.0</v>
      </c>
      <c r="AZ253" s="80">
        <v>85.0</v>
      </c>
      <c r="BA253" s="80">
        <v>65.0</v>
      </c>
      <c r="BB253" s="79">
        <v>95.0</v>
      </c>
      <c r="BC253" s="81">
        <v>405.0</v>
      </c>
      <c r="BE253" s="176" t="s">
        <v>248</v>
      </c>
      <c r="BF253" s="113"/>
      <c r="BG253" s="210"/>
      <c r="BI253" s="31" t="s">
        <v>5</v>
      </c>
      <c r="BJ253" s="32" t="s">
        <v>5</v>
      </c>
      <c r="BK253" s="32" t="s">
        <v>5</v>
      </c>
      <c r="BL253" s="32" t="s">
        <v>5</v>
      </c>
      <c r="BM253" s="32" t="s">
        <v>5</v>
      </c>
      <c r="BN253" s="33">
        <v>2.0</v>
      </c>
      <c r="BP253" s="115" t="s">
        <v>6</v>
      </c>
      <c r="BQ253" s="93"/>
      <c r="BS253" s="115" t="s">
        <v>6</v>
      </c>
      <c r="BT253" s="133"/>
      <c r="BU253" s="37" t="str">
        <f t="shared" si="1"/>
        <v>#NAME?</v>
      </c>
      <c r="BV253" s="89" t="s">
        <v>6</v>
      </c>
      <c r="BW253" s="37" t="str">
        <f t="shared" si="2"/>
        <v>#NAME?</v>
      </c>
      <c r="BX253" s="89"/>
      <c r="BY253" s="134"/>
      <c r="BZ253" s="134"/>
      <c r="CA253" s="135" t="s">
        <v>6</v>
      </c>
      <c r="CB253" s="136"/>
      <c r="CC253" s="90" t="s">
        <v>6</v>
      </c>
      <c r="CD253" s="137"/>
      <c r="CE253" s="21"/>
      <c r="CF253" s="92" t="s">
        <v>9</v>
      </c>
      <c r="CG253" s="93"/>
      <c r="CH253" s="21"/>
      <c r="CI253" s="94" t="s">
        <v>2377</v>
      </c>
      <c r="CJ253" s="95" t="s">
        <v>9</v>
      </c>
      <c r="CK253" s="21"/>
      <c r="CL253" s="22" t="s">
        <v>2378</v>
      </c>
      <c r="CM253" s="12"/>
      <c r="CN253" s="48"/>
      <c r="CO253" s="96" t="s">
        <v>9</v>
      </c>
      <c r="CP253" s="21"/>
      <c r="CQ253" s="2" t="s">
        <v>2386</v>
      </c>
      <c r="CR253" s="97">
        <v>40.0</v>
      </c>
      <c r="CS253" s="2" t="s">
        <v>248</v>
      </c>
      <c r="CT253" s="98">
        <v>141.0</v>
      </c>
      <c r="CU253" s="2"/>
      <c r="CV253" s="52" t="s">
        <v>13</v>
      </c>
      <c r="CW253" s="53">
        <v>0.125</v>
      </c>
      <c r="CX253" s="2"/>
      <c r="CY253" s="118" t="s">
        <v>14</v>
      </c>
      <c r="CZ253" s="119" t="s">
        <v>61</v>
      </c>
      <c r="DA253" s="2"/>
      <c r="DB253" s="98">
        <v>45.0</v>
      </c>
      <c r="DC253" s="2"/>
      <c r="DD253" s="101" t="s">
        <v>15</v>
      </c>
      <c r="DE253" s="2"/>
      <c r="DF253" s="120" t="s">
        <v>2387</v>
      </c>
      <c r="DG253" s="119"/>
      <c r="DH253" s="119"/>
      <c r="DI253" s="2"/>
      <c r="DJ253" s="2"/>
      <c r="DK253" s="59" t="s">
        <v>2388</v>
      </c>
      <c r="DL253" s="37" t="s">
        <v>34</v>
      </c>
      <c r="DM253" s="37" t="str">
        <f t="shared" si="3"/>
        <v>#NAME?</v>
      </c>
      <c r="DN253" s="61"/>
      <c r="DO253" s="37" t="s">
        <v>2389</v>
      </c>
      <c r="DP253" s="37" t="s">
        <v>2390</v>
      </c>
      <c r="DQ253" s="62" t="s">
        <v>293</v>
      </c>
      <c r="DR253" s="63"/>
      <c r="DS253" s="198"/>
      <c r="DT253" s="108"/>
      <c r="DU253" s="108"/>
      <c r="DV253" s="182"/>
      <c r="DW253" s="182"/>
      <c r="DX253" s="182"/>
      <c r="DY253" s="182"/>
      <c r="DZ253" s="182"/>
      <c r="EA253" s="182"/>
      <c r="EB253" s="21"/>
      <c r="EC253" s="21"/>
      <c r="ED253" s="21"/>
      <c r="EE253" s="21"/>
      <c r="EF253" s="149" t="s">
        <v>2391</v>
      </c>
      <c r="EG253" s="69" t="str">
        <f>image("https://www.pokebip.com/pages/icones/objets/lun-aile.png", 3)</f>
        <v/>
      </c>
      <c r="EH253" s="69"/>
      <c r="EI253" s="69"/>
    </row>
    <row r="254" ht="15.75" customHeight="1">
      <c r="A254" s="1">
        <v>254.0</v>
      </c>
      <c r="B254" s="2" t="s">
        <v>2392</v>
      </c>
      <c r="C254" s="7"/>
      <c r="D254" s="4" t="s">
        <v>2393</v>
      </c>
      <c r="E254" s="5"/>
      <c r="F254" s="6"/>
      <c r="G254" s="7"/>
      <c r="H254" s="8" t="s">
        <v>2394</v>
      </c>
      <c r="I254" s="9" t="s">
        <v>2395</v>
      </c>
      <c r="J254" s="355" t="str">
        <f>image("https://archives.bulbagarden.net/media/upload/e/e2/254MS6.png", 3)</f>
        <v/>
      </c>
      <c r="K254" s="11" t="s">
        <v>2393</v>
      </c>
      <c r="L254" s="12"/>
      <c r="M254" s="12"/>
      <c r="N254" s="12"/>
      <c r="O254" s="12"/>
      <c r="Q254" s="71">
        <v>70.0</v>
      </c>
      <c r="R254" s="72">
        <v>85.0</v>
      </c>
      <c r="S254" s="73">
        <v>65.0</v>
      </c>
      <c r="T254" s="74">
        <v>105.0</v>
      </c>
      <c r="U254" s="75">
        <v>85.0</v>
      </c>
      <c r="V254" s="76">
        <v>120.0</v>
      </c>
      <c r="W254" s="77">
        <v>530.0</v>
      </c>
      <c r="X254" s="21"/>
      <c r="Y254" s="71">
        <v>70.0</v>
      </c>
      <c r="Z254" s="72">
        <v>85.0</v>
      </c>
      <c r="AA254" s="73">
        <v>65.0</v>
      </c>
      <c r="AB254" s="74">
        <v>105.0</v>
      </c>
      <c r="AC254" s="75">
        <v>85.0</v>
      </c>
      <c r="AD254" s="76">
        <v>120.0</v>
      </c>
      <c r="AE254" s="77">
        <v>530.0</v>
      </c>
      <c r="AF254" s="21"/>
      <c r="AG254" s="71">
        <v>70.0</v>
      </c>
      <c r="AH254" s="109">
        <v>90.0</v>
      </c>
      <c r="AI254" s="73">
        <v>65.0</v>
      </c>
      <c r="AJ254" s="109">
        <v>110.0</v>
      </c>
      <c r="AK254" s="162">
        <v>80.0</v>
      </c>
      <c r="AL254" s="76">
        <v>120.0</v>
      </c>
      <c r="AM254" s="110">
        <v>535.0</v>
      </c>
      <c r="AN254" s="21"/>
      <c r="AO254" s="22">
        <v>70.0</v>
      </c>
      <c r="AP254" s="23" t="s">
        <v>128</v>
      </c>
      <c r="AQ254" s="23">
        <v>65.0</v>
      </c>
      <c r="AR254" s="23" t="s">
        <v>40</v>
      </c>
      <c r="AS254" s="23" t="s">
        <v>1578</v>
      </c>
      <c r="AT254" s="23">
        <v>120.0</v>
      </c>
      <c r="AU254" s="24" t="s">
        <v>41</v>
      </c>
      <c r="AV254" s="21"/>
      <c r="AW254" s="78">
        <v>70.0</v>
      </c>
      <c r="AX254" s="111">
        <v>90.0</v>
      </c>
      <c r="AY254" s="79">
        <v>65.0</v>
      </c>
      <c r="AZ254" s="187">
        <v>110.0</v>
      </c>
      <c r="BA254" s="163">
        <v>80.0</v>
      </c>
      <c r="BB254" s="79">
        <v>120.0</v>
      </c>
      <c r="BC254" s="111">
        <v>535.0</v>
      </c>
      <c r="BE254" s="176" t="s">
        <v>261</v>
      </c>
      <c r="BF254" s="138"/>
      <c r="BG254" s="128"/>
      <c r="BI254" s="31" t="s">
        <v>5</v>
      </c>
      <c r="BJ254" s="32" t="s">
        <v>5</v>
      </c>
      <c r="BK254" s="32" t="s">
        <v>5</v>
      </c>
      <c r="BL254" s="32" t="s">
        <v>5</v>
      </c>
      <c r="BM254" s="32" t="s">
        <v>5</v>
      </c>
      <c r="BN254" s="33">
        <v>3.0</v>
      </c>
      <c r="BP254" s="85" t="s">
        <v>6</v>
      </c>
      <c r="BQ254" s="129"/>
      <c r="BS254" s="87" t="s">
        <v>6</v>
      </c>
      <c r="BT254" s="130"/>
      <c r="BU254" s="37" t="str">
        <f t="shared" si="1"/>
        <v>#NAME?</v>
      </c>
      <c r="BV254" s="89" t="s">
        <v>6</v>
      </c>
      <c r="BW254" s="37" t="str">
        <f t="shared" si="2"/>
        <v>#NAME?</v>
      </c>
      <c r="BX254" s="89" t="s">
        <v>1781</v>
      </c>
      <c r="BY254" s="39"/>
      <c r="BZ254" s="39"/>
      <c r="CA254" s="40" t="s">
        <v>2396</v>
      </c>
      <c r="CB254" s="41"/>
      <c r="CC254" s="37" t="s">
        <v>6</v>
      </c>
      <c r="CD254" s="139" t="s">
        <v>61</v>
      </c>
      <c r="CE254" s="21"/>
      <c r="CF254" s="92" t="s">
        <v>9</v>
      </c>
      <c r="CG254" s="93"/>
      <c r="CH254" s="21"/>
      <c r="CI254" s="94" t="s">
        <v>2377</v>
      </c>
      <c r="CJ254" s="95" t="s">
        <v>9</v>
      </c>
      <c r="CK254" s="21"/>
      <c r="CL254" s="22" t="s">
        <v>2378</v>
      </c>
      <c r="CM254" s="12"/>
      <c r="CN254" s="48"/>
      <c r="CO254" s="96" t="s">
        <v>9</v>
      </c>
      <c r="CP254" s="21"/>
      <c r="CQ254" s="2" t="s">
        <v>2397</v>
      </c>
      <c r="CR254" s="97">
        <v>80.0</v>
      </c>
      <c r="CS254" s="2" t="s">
        <v>261</v>
      </c>
      <c r="CT254" s="98">
        <v>208.0</v>
      </c>
      <c r="CU254" s="2"/>
      <c r="CV254" s="52" t="s">
        <v>13</v>
      </c>
      <c r="CW254" s="53">
        <v>0.125</v>
      </c>
      <c r="CX254" s="2"/>
      <c r="CY254" s="381" t="s">
        <v>14</v>
      </c>
      <c r="CZ254" s="382" t="s">
        <v>61</v>
      </c>
      <c r="DA254" s="2"/>
      <c r="DB254" s="98">
        <v>45.0</v>
      </c>
      <c r="DC254" s="2"/>
      <c r="DD254" s="101" t="s">
        <v>15</v>
      </c>
      <c r="DE254" s="2"/>
      <c r="DF254" s="383" t="s">
        <v>2398</v>
      </c>
      <c r="DG254" s="382"/>
      <c r="DH254" s="382"/>
      <c r="DI254" s="2"/>
      <c r="DJ254" s="2"/>
      <c r="DK254" s="59" t="s">
        <v>2399</v>
      </c>
      <c r="DL254" s="37" t="s">
        <v>6</v>
      </c>
      <c r="DM254" s="37" t="str">
        <f t="shared" si="3"/>
        <v>#NAME?</v>
      </c>
      <c r="DN254" s="61"/>
      <c r="DO254" s="37">
        <v>40.0</v>
      </c>
      <c r="DP254" s="105">
        <v>1.0</v>
      </c>
      <c r="DQ254" s="62" t="s">
        <v>93</v>
      </c>
      <c r="DR254" s="63"/>
      <c r="DS254" s="198"/>
      <c r="DT254" s="108"/>
      <c r="DU254" s="108"/>
      <c r="DV254" s="182"/>
      <c r="DW254" s="182"/>
      <c r="DX254" s="182"/>
      <c r="DY254" s="182"/>
      <c r="DZ254" s="182"/>
      <c r="EA254" s="182"/>
      <c r="EB254" s="21"/>
      <c r="EC254" s="21"/>
      <c r="ED254" s="21"/>
      <c r="EE254" s="21"/>
      <c r="EF254" s="149" t="s">
        <v>2400</v>
      </c>
      <c r="EG254" s="69" t="str">
        <f>image("https://www.pokebip.com/pages/icones/objets/magneto-vs.png", 3)</f>
        <v/>
      </c>
      <c r="EH254" s="69"/>
      <c r="EI254" s="69"/>
    </row>
    <row r="255" ht="15.75" customHeight="1">
      <c r="A255" s="1">
        <v>255.0</v>
      </c>
      <c r="B255" s="2" t="s">
        <v>2401</v>
      </c>
      <c r="C255" s="7"/>
      <c r="D255" s="122" t="s">
        <v>2402</v>
      </c>
      <c r="E255" s="5"/>
      <c r="F255" s="123"/>
      <c r="G255" s="7"/>
      <c r="H255" s="8" t="s">
        <v>2403</v>
      </c>
      <c r="I255" s="9" t="s">
        <v>2404</v>
      </c>
      <c r="J255" s="355" t="str">
        <f>image("https://archives.bulbagarden.net/media/upload/4/41/255MS6.png", 3)</f>
        <v/>
      </c>
      <c r="K255" s="11" t="s">
        <v>2402</v>
      </c>
      <c r="L255" s="12"/>
      <c r="M255" s="12"/>
      <c r="N255" s="12"/>
      <c r="O255" s="12"/>
      <c r="Q255" s="71">
        <v>45.0</v>
      </c>
      <c r="R255" s="72">
        <v>60.0</v>
      </c>
      <c r="S255" s="73">
        <v>40.0</v>
      </c>
      <c r="T255" s="74">
        <v>70.0</v>
      </c>
      <c r="U255" s="75">
        <v>50.0</v>
      </c>
      <c r="V255" s="76">
        <v>45.0</v>
      </c>
      <c r="W255" s="77">
        <v>310.0</v>
      </c>
      <c r="X255" s="21"/>
      <c r="Y255" s="71">
        <v>45.0</v>
      </c>
      <c r="Z255" s="72">
        <v>60.0</v>
      </c>
      <c r="AA255" s="73">
        <v>40.0</v>
      </c>
      <c r="AB255" s="74">
        <v>70.0</v>
      </c>
      <c r="AC255" s="75">
        <v>50.0</v>
      </c>
      <c r="AD255" s="76">
        <v>45.0</v>
      </c>
      <c r="AE255" s="77">
        <v>310.0</v>
      </c>
      <c r="AF255" s="21"/>
      <c r="AG255" s="71">
        <v>45.0</v>
      </c>
      <c r="AH255" s="72">
        <v>60.0</v>
      </c>
      <c r="AI255" s="73">
        <v>40.0</v>
      </c>
      <c r="AJ255" s="74">
        <v>70.0</v>
      </c>
      <c r="AK255" s="75">
        <v>50.0</v>
      </c>
      <c r="AL255" s="76">
        <v>45.0</v>
      </c>
      <c r="AM255" s="77">
        <v>310.0</v>
      </c>
      <c r="AN255" s="21"/>
      <c r="AO255" s="22">
        <v>45.0</v>
      </c>
      <c r="AP255" s="23">
        <v>60.0</v>
      </c>
      <c r="AQ255" s="23">
        <v>40.0</v>
      </c>
      <c r="AR255" s="23">
        <v>70.0</v>
      </c>
      <c r="AS255" s="23">
        <v>50.0</v>
      </c>
      <c r="AT255" s="23">
        <v>45.0</v>
      </c>
      <c r="AU255" s="24">
        <v>310.0</v>
      </c>
      <c r="AV255" s="21"/>
      <c r="AW255" s="78">
        <v>45.0</v>
      </c>
      <c r="AX255" s="124">
        <v>60.0</v>
      </c>
      <c r="AY255" s="79">
        <v>40.0</v>
      </c>
      <c r="AZ255" s="124">
        <v>70.0</v>
      </c>
      <c r="BA255" s="124">
        <v>50.0</v>
      </c>
      <c r="BB255" s="79">
        <v>45.0</v>
      </c>
      <c r="BC255" s="125">
        <v>310.0</v>
      </c>
      <c r="BE255" s="82" t="s">
        <v>4</v>
      </c>
      <c r="BF255" s="143"/>
      <c r="BG255" s="128"/>
      <c r="BI255" s="31" t="s">
        <v>5</v>
      </c>
      <c r="BJ255" s="32" t="s">
        <v>5</v>
      </c>
      <c r="BK255" s="32" t="s">
        <v>5</v>
      </c>
      <c r="BL255" s="32">
        <v>1.0</v>
      </c>
      <c r="BM255" s="32" t="s">
        <v>5</v>
      </c>
      <c r="BN255" s="33" t="s">
        <v>5</v>
      </c>
      <c r="BP255" s="115" t="s">
        <v>34</v>
      </c>
      <c r="BQ255" s="93"/>
      <c r="BS255" s="115" t="s">
        <v>34</v>
      </c>
      <c r="BT255" s="133"/>
      <c r="BU255" s="37" t="str">
        <f t="shared" si="1"/>
        <v>#NAME?</v>
      </c>
      <c r="BV255" s="89" t="s">
        <v>34</v>
      </c>
      <c r="BW255" s="37" t="str">
        <f t="shared" si="2"/>
        <v>#NAME?</v>
      </c>
      <c r="BX255" s="89"/>
      <c r="BY255" s="144"/>
      <c r="BZ255" s="144"/>
      <c r="CA255" s="145" t="s">
        <v>34</v>
      </c>
      <c r="CB255" s="146"/>
      <c r="CC255" s="90" t="s">
        <v>34</v>
      </c>
      <c r="CD255" s="147"/>
      <c r="CE255" s="21"/>
      <c r="CF255" s="92" t="s">
        <v>57</v>
      </c>
      <c r="CG255" s="93"/>
      <c r="CH255" s="21"/>
      <c r="CI255" s="94" t="s">
        <v>1883</v>
      </c>
      <c r="CJ255" s="95" t="s">
        <v>57</v>
      </c>
      <c r="CK255" s="21"/>
      <c r="CL255" s="22" t="s">
        <v>2405</v>
      </c>
      <c r="CM255" s="12"/>
      <c r="CN255" s="48"/>
      <c r="CO255" s="96" t="s">
        <v>57</v>
      </c>
      <c r="CP255" s="21"/>
      <c r="CQ255" s="2" t="s">
        <v>1086</v>
      </c>
      <c r="CR255" s="97">
        <v>20.0</v>
      </c>
      <c r="CS255" s="2" t="s">
        <v>4</v>
      </c>
      <c r="CT255" s="98">
        <v>65.0</v>
      </c>
      <c r="CU255" s="2"/>
      <c r="CV255" s="52" t="s">
        <v>13</v>
      </c>
      <c r="CW255" s="53">
        <v>0.125</v>
      </c>
      <c r="CX255" s="2"/>
      <c r="CY255" s="119" t="s">
        <v>277</v>
      </c>
      <c r="CZ255" s="160"/>
      <c r="DA255" s="2"/>
      <c r="DB255" s="98">
        <v>45.0</v>
      </c>
      <c r="DC255" s="2"/>
      <c r="DD255" s="101" t="s">
        <v>15</v>
      </c>
      <c r="DE255" s="2"/>
      <c r="DF255" s="148" t="s">
        <v>2406</v>
      </c>
      <c r="DG255" s="119"/>
      <c r="DH255" s="160"/>
      <c r="DI255" s="21"/>
      <c r="DJ255" s="21"/>
      <c r="DK255" s="59" t="s">
        <v>2407</v>
      </c>
      <c r="DL255" s="37" t="s">
        <v>122</v>
      </c>
      <c r="DM255" s="37" t="str">
        <f t="shared" si="3"/>
        <v>#NAME?</v>
      </c>
      <c r="DN255" s="61"/>
      <c r="DO255" s="37" t="s">
        <v>19</v>
      </c>
      <c r="DP255" s="105">
        <v>1.0</v>
      </c>
      <c r="DQ255" s="62" t="s">
        <v>20</v>
      </c>
      <c r="DR255" s="63"/>
      <c r="DS255" s="198"/>
      <c r="DT255" s="108"/>
      <c r="DU255" s="108"/>
      <c r="DV255" s="182"/>
      <c r="DW255" s="182"/>
      <c r="DX255" s="182"/>
      <c r="DY255" s="182"/>
      <c r="DZ255" s="182"/>
      <c r="EA255" s="182"/>
      <c r="EB255" s="21"/>
      <c r="EC255" s="21"/>
      <c r="ED255" s="21"/>
      <c r="EE255" s="21"/>
      <c r="EF255" s="149" t="s">
        <v>2408</v>
      </c>
      <c r="EG255" s="69" t="str">
        <f>image("https://www.pokebip.com/pages/icones/objets/mega-canne-3g.png", 3)</f>
        <v/>
      </c>
      <c r="EH255" s="69"/>
      <c r="EI255" s="69"/>
    </row>
    <row r="256" ht="15.75" customHeight="1">
      <c r="A256" s="1">
        <v>256.0</v>
      </c>
      <c r="B256" s="2" t="s">
        <v>2409</v>
      </c>
      <c r="C256" s="7"/>
      <c r="D256" s="122" t="s">
        <v>2410</v>
      </c>
      <c r="E256" s="5"/>
      <c r="F256" s="123"/>
      <c r="G256" s="7"/>
      <c r="H256" s="8" t="s">
        <v>2411</v>
      </c>
      <c r="I256" s="9" t="s">
        <v>2412</v>
      </c>
      <c r="J256" s="355" t="str">
        <f>image("https://archives.bulbagarden.net/media/upload/6/6e/256MS6.png", 3)</f>
        <v/>
      </c>
      <c r="K256" s="11" t="s">
        <v>2410</v>
      </c>
      <c r="L256" s="12"/>
      <c r="M256" s="12"/>
      <c r="N256" s="12"/>
      <c r="O256" s="12"/>
      <c r="Q256" s="71">
        <v>60.0</v>
      </c>
      <c r="R256" s="72">
        <v>85.0</v>
      </c>
      <c r="S256" s="73">
        <v>60.0</v>
      </c>
      <c r="T256" s="74">
        <v>85.0</v>
      </c>
      <c r="U256" s="75">
        <v>60.0</v>
      </c>
      <c r="V256" s="76">
        <v>55.0</v>
      </c>
      <c r="W256" s="77">
        <v>405.0</v>
      </c>
      <c r="X256" s="21"/>
      <c r="Y256" s="71">
        <v>60.0</v>
      </c>
      <c r="Z256" s="72">
        <v>85.0</v>
      </c>
      <c r="AA256" s="73">
        <v>60.0</v>
      </c>
      <c r="AB256" s="74">
        <v>85.0</v>
      </c>
      <c r="AC256" s="75">
        <v>60.0</v>
      </c>
      <c r="AD256" s="76">
        <v>55.0</v>
      </c>
      <c r="AE256" s="77">
        <v>405.0</v>
      </c>
      <c r="AF256" s="21"/>
      <c r="AG256" s="71">
        <v>60.0</v>
      </c>
      <c r="AH256" s="72">
        <v>85.0</v>
      </c>
      <c r="AI256" s="73">
        <v>60.0</v>
      </c>
      <c r="AJ256" s="74">
        <v>85.0</v>
      </c>
      <c r="AK256" s="75">
        <v>60.0</v>
      </c>
      <c r="AL256" s="76">
        <v>55.0</v>
      </c>
      <c r="AM256" s="77">
        <v>405.0</v>
      </c>
      <c r="AN256" s="21"/>
      <c r="AO256" s="22">
        <v>60.0</v>
      </c>
      <c r="AP256" s="23">
        <v>85.0</v>
      </c>
      <c r="AQ256" s="23">
        <v>60.0</v>
      </c>
      <c r="AR256" s="23">
        <v>85.0</v>
      </c>
      <c r="AS256" s="23">
        <v>60.0</v>
      </c>
      <c r="AT256" s="23">
        <v>55.0</v>
      </c>
      <c r="AU256" s="24">
        <v>405.0</v>
      </c>
      <c r="AV256" s="21"/>
      <c r="AW256" s="78">
        <v>60.0</v>
      </c>
      <c r="AX256" s="79">
        <v>85.0</v>
      </c>
      <c r="AY256" s="80">
        <v>60.0</v>
      </c>
      <c r="AZ256" s="79">
        <v>85.0</v>
      </c>
      <c r="BA256" s="79">
        <v>60.0</v>
      </c>
      <c r="BB256" s="79">
        <v>55.0</v>
      </c>
      <c r="BC256" s="81">
        <v>405.0</v>
      </c>
      <c r="BE256" s="194" t="s">
        <v>325</v>
      </c>
      <c r="BF256" s="285" t="s">
        <v>4</v>
      </c>
      <c r="BG256" s="384"/>
      <c r="BI256" s="31" t="s">
        <v>5</v>
      </c>
      <c r="BJ256" s="32">
        <v>1.0</v>
      </c>
      <c r="BK256" s="32" t="s">
        <v>5</v>
      </c>
      <c r="BL256" s="32">
        <v>1.0</v>
      </c>
      <c r="BM256" s="32" t="s">
        <v>5</v>
      </c>
      <c r="BN256" s="33" t="s">
        <v>5</v>
      </c>
      <c r="BP256" s="85" t="s">
        <v>34</v>
      </c>
      <c r="BQ256" s="86" t="s">
        <v>64</v>
      </c>
      <c r="BS256" s="87" t="s">
        <v>34</v>
      </c>
      <c r="BT256" s="88" t="s">
        <v>64</v>
      </c>
      <c r="BU256" s="37" t="str">
        <f t="shared" si="1"/>
        <v>#NAME?</v>
      </c>
      <c r="BV256" s="89" t="s">
        <v>34</v>
      </c>
      <c r="BW256" s="37" t="str">
        <f t="shared" si="2"/>
        <v>#NAME?</v>
      </c>
      <c r="BX256" s="89" t="s">
        <v>64</v>
      </c>
      <c r="BY256" s="39"/>
      <c r="BZ256" s="39"/>
      <c r="CA256" s="40" t="s">
        <v>2413</v>
      </c>
      <c r="CB256" s="41"/>
      <c r="CC256" s="90" t="s">
        <v>34</v>
      </c>
      <c r="CD256" s="91" t="s">
        <v>64</v>
      </c>
      <c r="CE256" s="2"/>
      <c r="CF256" s="92" t="s">
        <v>57</v>
      </c>
      <c r="CG256" s="93"/>
      <c r="CH256" s="2"/>
      <c r="CI256" s="94" t="s">
        <v>1883</v>
      </c>
      <c r="CJ256" s="95" t="s">
        <v>57</v>
      </c>
      <c r="CK256" s="2"/>
      <c r="CL256" s="22" t="s">
        <v>2405</v>
      </c>
      <c r="CM256" s="12"/>
      <c r="CN256" s="48"/>
      <c r="CO256" s="96" t="s">
        <v>57</v>
      </c>
      <c r="CP256" s="2"/>
      <c r="CQ256" s="2" t="s">
        <v>441</v>
      </c>
      <c r="CR256" s="97">
        <v>40.0</v>
      </c>
      <c r="CS256" s="2" t="s">
        <v>1956</v>
      </c>
      <c r="CT256" s="98">
        <v>142.0</v>
      </c>
      <c r="CU256" s="2"/>
      <c r="CV256" s="52" t="s">
        <v>13</v>
      </c>
      <c r="CW256" s="53">
        <v>0.125</v>
      </c>
      <c r="CX256" s="2"/>
      <c r="CY256" s="382" t="s">
        <v>277</v>
      </c>
      <c r="CZ256" s="385"/>
      <c r="DA256" s="2"/>
      <c r="DB256" s="98">
        <v>45.0</v>
      </c>
      <c r="DC256" s="2"/>
      <c r="DD256" s="101" t="s">
        <v>15</v>
      </c>
      <c r="DE256" s="2"/>
      <c r="DF256" s="383" t="s">
        <v>2414</v>
      </c>
      <c r="DG256" s="382"/>
      <c r="DH256" s="385"/>
      <c r="DI256" s="2"/>
      <c r="DJ256" s="2"/>
      <c r="DK256" s="59" t="s">
        <v>2415</v>
      </c>
      <c r="DL256" s="37" t="s">
        <v>95</v>
      </c>
      <c r="DM256" s="37" t="str">
        <f t="shared" si="3"/>
        <v>#NAME?</v>
      </c>
      <c r="DN256" s="61"/>
      <c r="DO256" s="37">
        <v>65.0</v>
      </c>
      <c r="DP256" s="105">
        <v>0.85</v>
      </c>
      <c r="DQ256" s="62" t="s">
        <v>49</v>
      </c>
      <c r="DR256" s="63"/>
      <c r="DS256" s="198"/>
      <c r="DT256" s="108"/>
      <c r="DU256" s="108"/>
      <c r="DV256" s="182"/>
      <c r="DW256" s="182"/>
      <c r="DX256" s="182"/>
      <c r="DY256" s="182"/>
      <c r="DZ256" s="182"/>
      <c r="EA256" s="182"/>
      <c r="EB256" s="2"/>
      <c r="EC256" s="2"/>
      <c r="ED256" s="2"/>
      <c r="EE256" s="2"/>
      <c r="EF256" s="149" t="s">
        <v>2416</v>
      </c>
      <c r="EG256" s="69" t="str">
        <f>image("https://www.pokebip.com/pages/icones/objets/poke-radar.png", 3)</f>
        <v/>
      </c>
      <c r="EH256" s="69"/>
      <c r="EI256" s="69"/>
    </row>
    <row r="257" ht="15.75" customHeight="1">
      <c r="A257" s="1">
        <v>257.0</v>
      </c>
      <c r="B257" s="2" t="s">
        <v>2417</v>
      </c>
      <c r="C257" s="7"/>
      <c r="D257" s="122" t="s">
        <v>2418</v>
      </c>
      <c r="E257" s="5"/>
      <c r="F257" s="123"/>
      <c r="G257" s="7"/>
      <c r="H257" s="8" t="s">
        <v>2419</v>
      </c>
      <c r="I257" s="9" t="s">
        <v>2420</v>
      </c>
      <c r="J257" s="355" t="str">
        <f>image("https://archives.bulbagarden.net/media/upload/6/6d/257MS6.png", 3)</f>
        <v/>
      </c>
      <c r="K257" s="11" t="s">
        <v>2418</v>
      </c>
      <c r="L257" s="12"/>
      <c r="M257" s="12"/>
      <c r="N257" s="12"/>
      <c r="O257" s="12"/>
      <c r="Q257" s="71">
        <v>80.0</v>
      </c>
      <c r="R257" s="72">
        <v>120.0</v>
      </c>
      <c r="S257" s="73">
        <v>70.0</v>
      </c>
      <c r="T257" s="74">
        <v>110.0</v>
      </c>
      <c r="U257" s="75">
        <v>70.0</v>
      </c>
      <c r="V257" s="76">
        <v>80.0</v>
      </c>
      <c r="W257" s="77">
        <v>530.0</v>
      </c>
      <c r="X257" s="21"/>
      <c r="Y257" s="71">
        <v>80.0</v>
      </c>
      <c r="Z257" s="72">
        <v>120.0</v>
      </c>
      <c r="AA257" s="73">
        <v>70.0</v>
      </c>
      <c r="AB257" s="74">
        <v>110.0</v>
      </c>
      <c r="AC257" s="75">
        <v>70.0</v>
      </c>
      <c r="AD257" s="76">
        <v>80.0</v>
      </c>
      <c r="AE257" s="77">
        <v>530.0</v>
      </c>
      <c r="AF257" s="21"/>
      <c r="AG257" s="71">
        <v>80.0</v>
      </c>
      <c r="AH257" s="72">
        <v>120.0</v>
      </c>
      <c r="AI257" s="109">
        <v>75.0</v>
      </c>
      <c r="AJ257" s="74">
        <v>110.0</v>
      </c>
      <c r="AK257" s="75">
        <v>70.0</v>
      </c>
      <c r="AL257" s="76">
        <v>80.0</v>
      </c>
      <c r="AM257" s="110">
        <v>535.0</v>
      </c>
      <c r="AN257" s="21"/>
      <c r="AO257" s="22">
        <v>80.0</v>
      </c>
      <c r="AP257" s="23">
        <v>120.0</v>
      </c>
      <c r="AQ257" s="23" t="s">
        <v>154</v>
      </c>
      <c r="AR257" s="23">
        <v>110.0</v>
      </c>
      <c r="AS257" s="23">
        <v>70.0</v>
      </c>
      <c r="AT257" s="23">
        <v>80.0</v>
      </c>
      <c r="AU257" s="24" t="s">
        <v>41</v>
      </c>
      <c r="AV257" s="21"/>
      <c r="AW257" s="78">
        <v>80.0</v>
      </c>
      <c r="AX257" s="79">
        <v>120.0</v>
      </c>
      <c r="AY257" s="111">
        <v>75.0</v>
      </c>
      <c r="AZ257" s="79">
        <v>110.0</v>
      </c>
      <c r="BA257" s="79">
        <v>70.0</v>
      </c>
      <c r="BB257" s="79">
        <v>80.0</v>
      </c>
      <c r="BC257" s="111">
        <v>535.0</v>
      </c>
      <c r="BE257" s="172" t="s">
        <v>451</v>
      </c>
      <c r="BF257" s="138"/>
      <c r="BG257" s="128"/>
      <c r="BI257" s="31" t="s">
        <v>5</v>
      </c>
      <c r="BJ257" s="32">
        <v>3.0</v>
      </c>
      <c r="BK257" s="32" t="s">
        <v>5</v>
      </c>
      <c r="BL257" s="32" t="s">
        <v>5</v>
      </c>
      <c r="BM257" s="32" t="s">
        <v>5</v>
      </c>
      <c r="BN257" s="33" t="s">
        <v>5</v>
      </c>
      <c r="BP257" s="115" t="s">
        <v>34</v>
      </c>
      <c r="BQ257" s="116" t="s">
        <v>64</v>
      </c>
      <c r="BS257" s="115" t="s">
        <v>34</v>
      </c>
      <c r="BT257" s="117" t="s">
        <v>64</v>
      </c>
      <c r="BU257" s="37" t="str">
        <f t="shared" si="1"/>
        <v>#NAME?</v>
      </c>
      <c r="BV257" s="89" t="s">
        <v>34</v>
      </c>
      <c r="BW257" s="37" t="str">
        <f t="shared" si="2"/>
        <v>#NAME?</v>
      </c>
      <c r="BX257" s="89" t="s">
        <v>64</v>
      </c>
      <c r="BY257" s="39"/>
      <c r="BZ257" s="39"/>
      <c r="CA257" s="40" t="s">
        <v>2413</v>
      </c>
      <c r="CB257" s="41"/>
      <c r="CC257" s="90" t="s">
        <v>34</v>
      </c>
      <c r="CD257" s="91" t="s">
        <v>64</v>
      </c>
      <c r="CE257" s="2"/>
      <c r="CF257" s="92" t="s">
        <v>57</v>
      </c>
      <c r="CG257" s="93"/>
      <c r="CH257" s="2"/>
      <c r="CI257" s="152" t="s">
        <v>1883</v>
      </c>
      <c r="CJ257" s="153" t="s">
        <v>57</v>
      </c>
      <c r="CK257" s="2"/>
      <c r="CL257" s="22" t="s">
        <v>2405</v>
      </c>
      <c r="CM257" s="12"/>
      <c r="CN257" s="48"/>
      <c r="CO257" s="189" t="s">
        <v>57</v>
      </c>
      <c r="CP257" s="2"/>
      <c r="CQ257" s="2" t="s">
        <v>2421</v>
      </c>
      <c r="CR257" s="97">
        <v>80.0</v>
      </c>
      <c r="CS257" s="2" t="s">
        <v>451</v>
      </c>
      <c r="CT257" s="98">
        <v>209.0</v>
      </c>
      <c r="CU257" s="2"/>
      <c r="CV257" s="52" t="s">
        <v>13</v>
      </c>
      <c r="CW257" s="53">
        <v>0.125</v>
      </c>
      <c r="CX257" s="2"/>
      <c r="CY257" s="119" t="s">
        <v>277</v>
      </c>
      <c r="CZ257" s="160"/>
      <c r="DA257" s="2"/>
      <c r="DB257" s="98">
        <v>45.0</v>
      </c>
      <c r="DC257" s="2"/>
      <c r="DD257" s="101" t="s">
        <v>15</v>
      </c>
      <c r="DE257" s="2"/>
      <c r="DF257" s="120" t="s">
        <v>2422</v>
      </c>
      <c r="DG257" s="119"/>
      <c r="DH257" s="160"/>
      <c r="DI257" s="2"/>
      <c r="DJ257" s="2"/>
      <c r="DK257" s="59" t="s">
        <v>2423</v>
      </c>
      <c r="DL257" s="37" t="s">
        <v>2364</v>
      </c>
      <c r="DM257" s="37" t="str">
        <f t="shared" si="3"/>
        <v>#NAME?</v>
      </c>
      <c r="DN257" s="61"/>
      <c r="DO257" s="37" t="s">
        <v>258</v>
      </c>
      <c r="DP257" s="37" t="s">
        <v>401</v>
      </c>
      <c r="DQ257" s="62" t="s">
        <v>938</v>
      </c>
      <c r="DR257" s="63"/>
      <c r="DS257" s="198"/>
      <c r="DT257" s="108"/>
      <c r="DU257" s="108"/>
      <c r="DV257" s="182"/>
      <c r="DW257" s="182"/>
      <c r="DX257" s="182"/>
      <c r="DY257" s="182"/>
      <c r="DZ257" s="182"/>
      <c r="EA257" s="182"/>
      <c r="EB257" s="2"/>
      <c r="EC257" s="2"/>
      <c r="ED257" s="2"/>
      <c r="EE257" s="2"/>
      <c r="EF257" s="149" t="s">
        <v>2424</v>
      </c>
      <c r="EG257" s="69" t="str">
        <f>image("https://www.pokebip.com/pages/icones/objets/potionsecret.png", 3)</f>
        <v/>
      </c>
      <c r="EH257" s="69"/>
      <c r="EI257" s="69"/>
    </row>
    <row r="258" ht="15.75" customHeight="1">
      <c r="A258" s="1">
        <v>258.0</v>
      </c>
      <c r="B258" s="2" t="s">
        <v>2425</v>
      </c>
      <c r="C258" s="7"/>
      <c r="D258" s="140" t="s">
        <v>2426</v>
      </c>
      <c r="E258" s="5"/>
      <c r="F258" s="141"/>
      <c r="G258" s="7"/>
      <c r="H258" s="8" t="s">
        <v>2427</v>
      </c>
      <c r="I258" s="9" t="s">
        <v>2428</v>
      </c>
      <c r="J258" s="355" t="str">
        <f>image("https://archives.bulbagarden.net/media/upload/a/ab/258MS6.png", 3)</f>
        <v/>
      </c>
      <c r="K258" s="11" t="s">
        <v>2426</v>
      </c>
      <c r="L258" s="12"/>
      <c r="M258" s="12"/>
      <c r="N258" s="12"/>
      <c r="O258" s="12"/>
      <c r="Q258" s="71">
        <v>50.0</v>
      </c>
      <c r="R258" s="72">
        <v>70.0</v>
      </c>
      <c r="S258" s="73">
        <v>50.0</v>
      </c>
      <c r="T258" s="74">
        <v>50.0</v>
      </c>
      <c r="U258" s="75">
        <v>50.0</v>
      </c>
      <c r="V258" s="76">
        <v>40.0</v>
      </c>
      <c r="W258" s="77">
        <v>310.0</v>
      </c>
      <c r="X258" s="21"/>
      <c r="Y258" s="71">
        <v>50.0</v>
      </c>
      <c r="Z258" s="72">
        <v>70.0</v>
      </c>
      <c r="AA258" s="73">
        <v>50.0</v>
      </c>
      <c r="AB258" s="74">
        <v>50.0</v>
      </c>
      <c r="AC258" s="75">
        <v>50.0</v>
      </c>
      <c r="AD258" s="76">
        <v>40.0</v>
      </c>
      <c r="AE258" s="77">
        <v>310.0</v>
      </c>
      <c r="AF258" s="21"/>
      <c r="AG258" s="71">
        <v>50.0</v>
      </c>
      <c r="AH258" s="72">
        <v>70.0</v>
      </c>
      <c r="AI258" s="73">
        <v>50.0</v>
      </c>
      <c r="AJ258" s="74">
        <v>50.0</v>
      </c>
      <c r="AK258" s="75">
        <v>50.0</v>
      </c>
      <c r="AL258" s="76">
        <v>40.0</v>
      </c>
      <c r="AM258" s="77">
        <v>310.0</v>
      </c>
      <c r="AN258" s="21"/>
      <c r="AO258" s="22">
        <v>50.0</v>
      </c>
      <c r="AP258" s="23">
        <v>70.0</v>
      </c>
      <c r="AQ258" s="23">
        <v>50.0</v>
      </c>
      <c r="AR258" s="23">
        <v>50.0</v>
      </c>
      <c r="AS258" s="23">
        <v>50.0</v>
      </c>
      <c r="AT258" s="23">
        <v>40.0</v>
      </c>
      <c r="AU258" s="24">
        <v>310.0</v>
      </c>
      <c r="AV258" s="21"/>
      <c r="AW258" s="78">
        <v>50.0</v>
      </c>
      <c r="AX258" s="79">
        <v>70.0</v>
      </c>
      <c r="AY258" s="124">
        <v>50.0</v>
      </c>
      <c r="AZ258" s="79">
        <v>50.0</v>
      </c>
      <c r="BA258" s="79">
        <v>50.0</v>
      </c>
      <c r="BB258" s="79">
        <v>40.0</v>
      </c>
      <c r="BC258" s="125">
        <v>310.0</v>
      </c>
      <c r="BE258" s="194" t="s">
        <v>325</v>
      </c>
      <c r="BF258" s="386"/>
      <c r="BG258" s="128"/>
      <c r="BI258" s="31" t="s">
        <v>5</v>
      </c>
      <c r="BJ258" s="32">
        <v>1.0</v>
      </c>
      <c r="BK258" s="32" t="s">
        <v>5</v>
      </c>
      <c r="BL258" s="32" t="s">
        <v>5</v>
      </c>
      <c r="BM258" s="32" t="s">
        <v>5</v>
      </c>
      <c r="BN258" s="33" t="s">
        <v>5</v>
      </c>
      <c r="BP258" s="85" t="s">
        <v>32</v>
      </c>
      <c r="BQ258" s="129"/>
      <c r="BS258" s="87" t="s">
        <v>32</v>
      </c>
      <c r="BT258" s="130"/>
      <c r="BU258" s="37" t="str">
        <f t="shared" si="1"/>
        <v>#NAME?</v>
      </c>
      <c r="BV258" s="89" t="s">
        <v>32</v>
      </c>
      <c r="BW258" s="37" t="str">
        <f t="shared" si="2"/>
        <v>#NAME?</v>
      </c>
      <c r="BX258" s="89"/>
      <c r="BY258" s="39"/>
      <c r="BZ258" s="39"/>
      <c r="CA258" s="40" t="s">
        <v>32</v>
      </c>
      <c r="CB258" s="41"/>
      <c r="CC258" s="90" t="s">
        <v>32</v>
      </c>
      <c r="CD258" s="91"/>
      <c r="CE258" s="21"/>
      <c r="CF258" s="92" t="s">
        <v>102</v>
      </c>
      <c r="CG258" s="93"/>
      <c r="CH258" s="21"/>
      <c r="CI258" s="291" t="s">
        <v>102</v>
      </c>
      <c r="CJ258" s="46" t="s">
        <v>646</v>
      </c>
      <c r="CK258" s="21"/>
      <c r="CL258" s="22" t="s">
        <v>102</v>
      </c>
      <c r="CM258" s="12"/>
      <c r="CN258" s="48"/>
      <c r="CO258" s="192" t="s">
        <v>2429</v>
      </c>
      <c r="CP258" s="21"/>
      <c r="CQ258" s="2" t="s">
        <v>2430</v>
      </c>
      <c r="CR258" s="97">
        <v>20.0</v>
      </c>
      <c r="CS258" s="2" t="s">
        <v>325</v>
      </c>
      <c r="CT258" s="98">
        <v>65.0</v>
      </c>
      <c r="CU258" s="2"/>
      <c r="CV258" s="52" t="s">
        <v>13</v>
      </c>
      <c r="CW258" s="53">
        <v>0.125</v>
      </c>
      <c r="CX258" s="2"/>
      <c r="CY258" s="381" t="s">
        <v>14</v>
      </c>
      <c r="CZ258" s="382" t="s">
        <v>106</v>
      </c>
      <c r="DA258" s="2"/>
      <c r="DB258" s="98">
        <v>45.0</v>
      </c>
      <c r="DC258" s="2"/>
      <c r="DD258" s="101" t="s">
        <v>15</v>
      </c>
      <c r="DE258" s="2"/>
      <c r="DF258" s="387" t="s">
        <v>2431</v>
      </c>
      <c r="DG258" s="382"/>
      <c r="DH258" s="382"/>
      <c r="DI258" s="21"/>
      <c r="DJ258" s="21"/>
      <c r="DK258" s="59" t="s">
        <v>2432</v>
      </c>
      <c r="DL258" s="37" t="s">
        <v>153</v>
      </c>
      <c r="DM258" s="37" t="str">
        <f t="shared" si="3"/>
        <v>#NAME?</v>
      </c>
      <c r="DN258" s="61"/>
      <c r="DO258" s="37" t="s">
        <v>233</v>
      </c>
      <c r="DP258" s="37" t="s">
        <v>19</v>
      </c>
      <c r="DQ258" s="62" t="s">
        <v>93</v>
      </c>
      <c r="DR258" s="63"/>
      <c r="DS258" s="198"/>
      <c r="DT258" s="108"/>
      <c r="DU258" s="108"/>
      <c r="DV258" s="182"/>
      <c r="DW258" s="182"/>
      <c r="DX258" s="182"/>
      <c r="DY258" s="182"/>
      <c r="DZ258" s="182"/>
      <c r="EA258" s="182"/>
      <c r="EB258" s="2"/>
      <c r="EC258" s="2"/>
      <c r="ED258" s="2"/>
      <c r="EE258" s="2"/>
      <c r="EF258" s="149" t="s">
        <v>2433</v>
      </c>
      <c r="EG258" s="69" t="str">
        <f>image("https://www.pokebip.com/pages/icones/objets/registre-ami.png", 3)</f>
        <v/>
      </c>
      <c r="EH258" s="69"/>
      <c r="EI258" s="69"/>
    </row>
    <row r="259" ht="15.75" customHeight="1">
      <c r="A259" s="1">
        <v>259.0</v>
      </c>
      <c r="B259" s="2" t="s">
        <v>2434</v>
      </c>
      <c r="C259" s="7"/>
      <c r="D259" s="140" t="s">
        <v>2435</v>
      </c>
      <c r="E259" s="5"/>
      <c r="F259" s="141"/>
      <c r="G259" s="7"/>
      <c r="H259" s="8" t="s">
        <v>2436</v>
      </c>
      <c r="I259" s="9" t="s">
        <v>2437</v>
      </c>
      <c r="J259" s="355" t="str">
        <f>image("https://archives.bulbagarden.net/media/upload/e/eb/259MS6.png", 3)</f>
        <v/>
      </c>
      <c r="K259" s="11" t="s">
        <v>2435</v>
      </c>
      <c r="L259" s="12"/>
      <c r="M259" s="12"/>
      <c r="N259" s="12"/>
      <c r="O259" s="12"/>
      <c r="Q259" s="71">
        <v>70.0</v>
      </c>
      <c r="R259" s="72">
        <v>85.0</v>
      </c>
      <c r="S259" s="73">
        <v>70.0</v>
      </c>
      <c r="T259" s="74">
        <v>60.0</v>
      </c>
      <c r="U259" s="75">
        <v>70.0</v>
      </c>
      <c r="V259" s="76">
        <v>50.0</v>
      </c>
      <c r="W259" s="77">
        <v>405.0</v>
      </c>
      <c r="X259" s="21"/>
      <c r="Y259" s="71">
        <v>70.0</v>
      </c>
      <c r="Z259" s="72">
        <v>85.0</v>
      </c>
      <c r="AA259" s="73">
        <v>70.0</v>
      </c>
      <c r="AB259" s="74">
        <v>60.0</v>
      </c>
      <c r="AC259" s="75">
        <v>70.0</v>
      </c>
      <c r="AD259" s="76">
        <v>50.0</v>
      </c>
      <c r="AE259" s="77">
        <v>405.0</v>
      </c>
      <c r="AF259" s="21"/>
      <c r="AG259" s="71">
        <v>70.0</v>
      </c>
      <c r="AH259" s="72">
        <v>85.0</v>
      </c>
      <c r="AI259" s="73">
        <v>70.0</v>
      </c>
      <c r="AJ259" s="74">
        <v>60.0</v>
      </c>
      <c r="AK259" s="75">
        <v>70.0</v>
      </c>
      <c r="AL259" s="76">
        <v>50.0</v>
      </c>
      <c r="AM259" s="77">
        <v>405.0</v>
      </c>
      <c r="AN259" s="21"/>
      <c r="AO259" s="22">
        <v>70.0</v>
      </c>
      <c r="AP259" s="23">
        <v>85.0</v>
      </c>
      <c r="AQ259" s="23">
        <v>70.0</v>
      </c>
      <c r="AR259" s="23">
        <v>60.0</v>
      </c>
      <c r="AS259" s="23">
        <v>70.0</v>
      </c>
      <c r="AT259" s="23">
        <v>50.0</v>
      </c>
      <c r="AU259" s="24">
        <v>405.0</v>
      </c>
      <c r="AV259" s="21"/>
      <c r="AW259" s="78">
        <v>70.0</v>
      </c>
      <c r="AX259" s="79">
        <v>85.0</v>
      </c>
      <c r="AY259" s="79">
        <v>70.0</v>
      </c>
      <c r="AZ259" s="79">
        <v>60.0</v>
      </c>
      <c r="BA259" s="79">
        <v>70.0</v>
      </c>
      <c r="BB259" s="79">
        <v>50.0</v>
      </c>
      <c r="BC259" s="201">
        <v>405.0</v>
      </c>
      <c r="BE259" s="172" t="s">
        <v>216</v>
      </c>
      <c r="BF259" s="113"/>
      <c r="BG259" s="210"/>
      <c r="BI259" s="31" t="s">
        <v>5</v>
      </c>
      <c r="BJ259" s="32">
        <v>2.0</v>
      </c>
      <c r="BK259" s="32" t="s">
        <v>5</v>
      </c>
      <c r="BL259" s="32" t="s">
        <v>5</v>
      </c>
      <c r="BM259" s="32" t="s">
        <v>5</v>
      </c>
      <c r="BN259" s="33" t="s">
        <v>5</v>
      </c>
      <c r="BP259" s="115" t="s">
        <v>32</v>
      </c>
      <c r="BQ259" s="116" t="s">
        <v>79</v>
      </c>
      <c r="BS259" s="115" t="s">
        <v>32</v>
      </c>
      <c r="BT259" s="117" t="s">
        <v>79</v>
      </c>
      <c r="BU259" s="37" t="str">
        <f t="shared" si="1"/>
        <v>#NAME?</v>
      </c>
      <c r="BV259" s="89" t="s">
        <v>32</v>
      </c>
      <c r="BW259" s="37" t="str">
        <f t="shared" si="2"/>
        <v>#NAME?</v>
      </c>
      <c r="BX259" s="89" t="s">
        <v>79</v>
      </c>
      <c r="BY259" s="39"/>
      <c r="BZ259" s="39"/>
      <c r="CA259" s="40" t="s">
        <v>1893</v>
      </c>
      <c r="CB259" s="41"/>
      <c r="CC259" s="90" t="s">
        <v>32</v>
      </c>
      <c r="CD259" s="91" t="s">
        <v>79</v>
      </c>
      <c r="CE259" s="2"/>
      <c r="CF259" s="92" t="s">
        <v>102</v>
      </c>
      <c r="CG259" s="93"/>
      <c r="CH259" s="2"/>
      <c r="CI259" s="191" t="s">
        <v>102</v>
      </c>
      <c r="CJ259" s="94" t="s">
        <v>646</v>
      </c>
      <c r="CK259" s="2"/>
      <c r="CL259" s="22" t="s">
        <v>102</v>
      </c>
      <c r="CM259" s="12"/>
      <c r="CN259" s="48"/>
      <c r="CO259" s="235" t="s">
        <v>2429</v>
      </c>
      <c r="CP259" s="2"/>
      <c r="CQ259" s="2" t="s">
        <v>668</v>
      </c>
      <c r="CR259" s="97">
        <v>60.0</v>
      </c>
      <c r="CS259" s="2" t="s">
        <v>216</v>
      </c>
      <c r="CT259" s="98">
        <v>143.0</v>
      </c>
      <c r="CU259" s="2"/>
      <c r="CV259" s="52" t="s">
        <v>13</v>
      </c>
      <c r="CW259" s="53">
        <v>0.125</v>
      </c>
      <c r="CX259" s="2"/>
      <c r="CY259" s="118" t="s">
        <v>14</v>
      </c>
      <c r="CZ259" s="119" t="s">
        <v>106</v>
      </c>
      <c r="DA259" s="2"/>
      <c r="DB259" s="98">
        <v>45.0</v>
      </c>
      <c r="DC259" s="2"/>
      <c r="DD259" s="101" t="s">
        <v>15</v>
      </c>
      <c r="DE259" s="2"/>
      <c r="DF259" s="120" t="s">
        <v>2438</v>
      </c>
      <c r="DG259" s="119"/>
      <c r="DH259" s="119"/>
      <c r="DI259" s="2"/>
      <c r="DJ259" s="2"/>
      <c r="DK259" s="59" t="s">
        <v>2439</v>
      </c>
      <c r="DL259" s="37" t="s">
        <v>79</v>
      </c>
      <c r="DM259" s="37" t="str">
        <f t="shared" si="3"/>
        <v>#NAME?</v>
      </c>
      <c r="DN259" s="61"/>
      <c r="DO259" s="37">
        <v>65.0</v>
      </c>
      <c r="DP259" s="105">
        <v>0.85</v>
      </c>
      <c r="DQ259" s="62" t="s">
        <v>49</v>
      </c>
      <c r="DR259" s="155"/>
      <c r="DS259" s="251"/>
      <c r="DT259" s="108"/>
      <c r="DU259" s="108"/>
      <c r="DV259" s="252"/>
      <c r="DW259" s="252"/>
      <c r="DX259" s="252"/>
      <c r="DY259" s="252"/>
      <c r="DZ259" s="252"/>
      <c r="EA259" s="252"/>
      <c r="EB259" s="2"/>
      <c r="EC259" s="2"/>
      <c r="ED259" s="2"/>
      <c r="EE259" s="2"/>
      <c r="EF259" s="149" t="s">
        <v>2440</v>
      </c>
      <c r="EG259" s="69" t="str">
        <f>image("https://www.pokebip.com/pages/icones/objets/super-canne-3g.png", 3)</f>
        <v/>
      </c>
      <c r="EH259" s="69"/>
      <c r="EI259" s="69"/>
    </row>
    <row r="260" ht="15.75" customHeight="1">
      <c r="A260" s="1">
        <v>260.0</v>
      </c>
      <c r="B260" s="2" t="s">
        <v>2441</v>
      </c>
      <c r="C260" s="7"/>
      <c r="D260" s="140" t="s">
        <v>2442</v>
      </c>
      <c r="E260" s="5"/>
      <c r="F260" s="141"/>
      <c r="G260" s="7"/>
      <c r="H260" s="8" t="s">
        <v>2443</v>
      </c>
      <c r="I260" s="9" t="s">
        <v>2444</v>
      </c>
      <c r="J260" s="355" t="str">
        <f>image("https://archives.bulbagarden.net/media/upload/0/09/260MS6.png", 3)</f>
        <v/>
      </c>
      <c r="K260" s="11" t="s">
        <v>2442</v>
      </c>
      <c r="L260" s="12"/>
      <c r="M260" s="12"/>
      <c r="N260" s="12"/>
      <c r="O260" s="12"/>
      <c r="Q260" s="71">
        <v>100.0</v>
      </c>
      <c r="R260" s="72">
        <v>110.0</v>
      </c>
      <c r="S260" s="73">
        <v>90.0</v>
      </c>
      <c r="T260" s="74">
        <v>85.0</v>
      </c>
      <c r="U260" s="75">
        <v>90.0</v>
      </c>
      <c r="V260" s="76">
        <v>60.0</v>
      </c>
      <c r="W260" s="77">
        <v>535.0</v>
      </c>
      <c r="X260" s="21"/>
      <c r="Y260" s="71">
        <v>100.0</v>
      </c>
      <c r="Z260" s="72">
        <v>110.0</v>
      </c>
      <c r="AA260" s="73">
        <v>90.0</v>
      </c>
      <c r="AB260" s="74">
        <v>85.0</v>
      </c>
      <c r="AC260" s="75">
        <v>90.0</v>
      </c>
      <c r="AD260" s="76">
        <v>60.0</v>
      </c>
      <c r="AE260" s="77">
        <v>535.0</v>
      </c>
      <c r="AF260" s="21"/>
      <c r="AG260" s="71">
        <v>100.0</v>
      </c>
      <c r="AH260" s="72">
        <v>110.0</v>
      </c>
      <c r="AI260" s="73">
        <v>90.0</v>
      </c>
      <c r="AJ260" s="74">
        <v>85.0</v>
      </c>
      <c r="AK260" s="75">
        <v>90.0</v>
      </c>
      <c r="AL260" s="76">
        <v>60.0</v>
      </c>
      <c r="AM260" s="77">
        <v>535.0</v>
      </c>
      <c r="AN260" s="21"/>
      <c r="AO260" s="22">
        <v>100.0</v>
      </c>
      <c r="AP260" s="23">
        <v>110.0</v>
      </c>
      <c r="AQ260" s="23">
        <v>90.0</v>
      </c>
      <c r="AR260" s="23">
        <v>85.0</v>
      </c>
      <c r="AS260" s="23">
        <v>90.0</v>
      </c>
      <c r="AT260" s="23">
        <v>60.0</v>
      </c>
      <c r="AU260" s="24">
        <v>535.0</v>
      </c>
      <c r="AV260" s="21"/>
      <c r="AW260" s="78">
        <v>100.0</v>
      </c>
      <c r="AX260" s="80">
        <v>110.0</v>
      </c>
      <c r="AY260" s="79">
        <v>90.0</v>
      </c>
      <c r="AZ260" s="79">
        <v>85.0</v>
      </c>
      <c r="BA260" s="79">
        <v>90.0</v>
      </c>
      <c r="BB260" s="80">
        <v>60.0</v>
      </c>
      <c r="BC260" s="81">
        <v>535.0</v>
      </c>
      <c r="BE260" s="172" t="s">
        <v>451</v>
      </c>
      <c r="BF260" s="138"/>
      <c r="BG260" s="128"/>
      <c r="BI260" s="31" t="s">
        <v>5</v>
      </c>
      <c r="BJ260" s="32">
        <v>3.0</v>
      </c>
      <c r="BK260" s="32" t="s">
        <v>5</v>
      </c>
      <c r="BL260" s="32" t="s">
        <v>5</v>
      </c>
      <c r="BM260" s="32" t="s">
        <v>5</v>
      </c>
      <c r="BN260" s="33" t="s">
        <v>5</v>
      </c>
      <c r="BP260" s="85" t="s">
        <v>32</v>
      </c>
      <c r="BQ260" s="86" t="s">
        <v>79</v>
      </c>
      <c r="BS260" s="87" t="s">
        <v>32</v>
      </c>
      <c r="BT260" s="88" t="s">
        <v>79</v>
      </c>
      <c r="BU260" s="37" t="str">
        <f t="shared" si="1"/>
        <v>#NAME?</v>
      </c>
      <c r="BV260" s="89" t="s">
        <v>32</v>
      </c>
      <c r="BW260" s="37" t="str">
        <f t="shared" si="2"/>
        <v>#NAME?</v>
      </c>
      <c r="BX260" s="89" t="s">
        <v>79</v>
      </c>
      <c r="BY260" s="39"/>
      <c r="BZ260" s="39"/>
      <c r="CA260" s="40" t="s">
        <v>1893</v>
      </c>
      <c r="CB260" s="41"/>
      <c r="CC260" s="90" t="s">
        <v>32</v>
      </c>
      <c r="CD260" s="91" t="s">
        <v>79</v>
      </c>
      <c r="CE260" s="2"/>
      <c r="CF260" s="92" t="s">
        <v>102</v>
      </c>
      <c r="CG260" s="93"/>
      <c r="CH260" s="2"/>
      <c r="CI260" s="191" t="s">
        <v>102</v>
      </c>
      <c r="CJ260" s="152" t="s">
        <v>646</v>
      </c>
      <c r="CK260" s="2"/>
      <c r="CL260" s="22" t="s">
        <v>102</v>
      </c>
      <c r="CM260" s="12"/>
      <c r="CN260" s="48"/>
      <c r="CO260" s="193" t="s">
        <v>2429</v>
      </c>
      <c r="CP260" s="2"/>
      <c r="CQ260" s="2" t="s">
        <v>2445</v>
      </c>
      <c r="CR260" s="97">
        <v>80.0</v>
      </c>
      <c r="CS260" s="2" t="s">
        <v>451</v>
      </c>
      <c r="CT260" s="98">
        <v>210.0</v>
      </c>
      <c r="CU260" s="2"/>
      <c r="CV260" s="52" t="s">
        <v>13</v>
      </c>
      <c r="CW260" s="53">
        <v>0.125</v>
      </c>
      <c r="CX260" s="2"/>
      <c r="CY260" s="381" t="s">
        <v>14</v>
      </c>
      <c r="CZ260" s="382" t="s">
        <v>106</v>
      </c>
      <c r="DA260" s="2"/>
      <c r="DB260" s="98">
        <v>45.0</v>
      </c>
      <c r="DC260" s="2"/>
      <c r="DD260" s="101" t="s">
        <v>15</v>
      </c>
      <c r="DE260" s="2"/>
      <c r="DF260" s="383" t="s">
        <v>2446</v>
      </c>
      <c r="DG260" s="382"/>
      <c r="DH260" s="382"/>
      <c r="DI260" s="2"/>
      <c r="DJ260" s="2"/>
      <c r="DK260" s="59" t="s">
        <v>2447</v>
      </c>
      <c r="DL260" s="37" t="s">
        <v>79</v>
      </c>
      <c r="DM260" s="37" t="str">
        <f t="shared" si="3"/>
        <v>#NAME?</v>
      </c>
      <c r="DN260" s="61"/>
      <c r="DO260" s="37">
        <v>55.0</v>
      </c>
      <c r="DP260" s="105">
        <v>0.95</v>
      </c>
      <c r="DQ260" s="62" t="s">
        <v>93</v>
      </c>
      <c r="DR260" s="63"/>
      <c r="DS260" s="198"/>
      <c r="DT260" s="108"/>
      <c r="DU260" s="108"/>
      <c r="DV260" s="182"/>
      <c r="DW260" s="182"/>
      <c r="DX260" s="182"/>
      <c r="DY260" s="182"/>
      <c r="DZ260" s="182"/>
      <c r="EA260" s="182"/>
      <c r="EB260" s="2"/>
      <c r="EC260" s="2"/>
      <c r="ED260" s="2"/>
      <c r="EE260" s="2"/>
      <c r="EF260" s="149" t="s">
        <v>2448</v>
      </c>
      <c r="EG260" s="69" t="str">
        <f>image("https://www.pokebip.com/pages/icones/objets/vieux-grigri.png", 3)</f>
        <v/>
      </c>
      <c r="EH260" s="69"/>
      <c r="EI260" s="69"/>
    </row>
    <row r="261" ht="15.75" customHeight="1">
      <c r="A261" s="1">
        <v>261.0</v>
      </c>
      <c r="B261" s="2" t="s">
        <v>2449</v>
      </c>
      <c r="C261" s="7"/>
      <c r="D261" s="247" t="s">
        <v>2450</v>
      </c>
      <c r="E261" s="5"/>
      <c r="F261" s="248"/>
      <c r="G261" s="7"/>
      <c r="H261" s="8" t="s">
        <v>2451</v>
      </c>
      <c r="I261" s="9" t="s">
        <v>2452</v>
      </c>
      <c r="J261" s="355" t="str">
        <f>image("https://archives.bulbagarden.net/media/upload/3/39/261MS6.png", 3)</f>
        <v/>
      </c>
      <c r="K261" s="11" t="s">
        <v>2450</v>
      </c>
      <c r="L261" s="12"/>
      <c r="M261" s="12"/>
      <c r="N261" s="12"/>
      <c r="O261" s="12"/>
      <c r="Q261" s="71">
        <v>35.0</v>
      </c>
      <c r="R261" s="72">
        <v>55.0</v>
      </c>
      <c r="S261" s="73">
        <v>35.0</v>
      </c>
      <c r="T261" s="74">
        <v>30.0</v>
      </c>
      <c r="U261" s="75">
        <v>30.0</v>
      </c>
      <c r="V261" s="76">
        <v>35.0</v>
      </c>
      <c r="W261" s="77">
        <v>220.0</v>
      </c>
      <c r="X261" s="21"/>
      <c r="Y261" s="71">
        <v>35.0</v>
      </c>
      <c r="Z261" s="72">
        <v>55.0</v>
      </c>
      <c r="AA261" s="73">
        <v>35.0</v>
      </c>
      <c r="AB261" s="74">
        <v>30.0</v>
      </c>
      <c r="AC261" s="75">
        <v>30.0</v>
      </c>
      <c r="AD261" s="76">
        <v>35.0</v>
      </c>
      <c r="AE261" s="77">
        <v>220.0</v>
      </c>
      <c r="AF261" s="21"/>
      <c r="AG261" s="71">
        <v>35.0</v>
      </c>
      <c r="AH261" s="109">
        <v>75.0</v>
      </c>
      <c r="AI261" s="73">
        <v>35.0</v>
      </c>
      <c r="AJ261" s="74">
        <v>30.0</v>
      </c>
      <c r="AK261" s="75">
        <v>30.0</v>
      </c>
      <c r="AL261" s="109">
        <v>65.0</v>
      </c>
      <c r="AM261" s="110">
        <v>270.0</v>
      </c>
      <c r="AN261" s="21"/>
      <c r="AO261" s="22">
        <v>35.0</v>
      </c>
      <c r="AP261" s="23" t="s">
        <v>154</v>
      </c>
      <c r="AQ261" s="23">
        <v>35.0</v>
      </c>
      <c r="AR261" s="23">
        <v>30.0</v>
      </c>
      <c r="AS261" s="23">
        <v>30.0</v>
      </c>
      <c r="AT261" s="23" t="s">
        <v>247</v>
      </c>
      <c r="AU261" s="24" t="s">
        <v>1800</v>
      </c>
      <c r="AV261" s="21"/>
      <c r="AW261" s="78">
        <v>35.0</v>
      </c>
      <c r="AX261" s="111">
        <v>75.0</v>
      </c>
      <c r="AY261" s="79">
        <v>35.0</v>
      </c>
      <c r="AZ261" s="79">
        <v>30.0</v>
      </c>
      <c r="BA261" s="79">
        <v>30.0</v>
      </c>
      <c r="BB261" s="111">
        <v>65.0</v>
      </c>
      <c r="BC261" s="111">
        <v>270.0</v>
      </c>
      <c r="BE261" s="194" t="s">
        <v>325</v>
      </c>
      <c r="BF261" s="143"/>
      <c r="BG261" s="128"/>
      <c r="BI261" s="31" t="s">
        <v>5</v>
      </c>
      <c r="BJ261" s="32">
        <v>1.0</v>
      </c>
      <c r="BK261" s="32" t="s">
        <v>5</v>
      </c>
      <c r="BL261" s="32" t="s">
        <v>5</v>
      </c>
      <c r="BM261" s="32" t="s">
        <v>5</v>
      </c>
      <c r="BN261" s="33" t="s">
        <v>5</v>
      </c>
      <c r="BP261" s="115" t="s">
        <v>76</v>
      </c>
      <c r="BQ261" s="93"/>
      <c r="BS261" s="115" t="s">
        <v>76</v>
      </c>
      <c r="BT261" s="133"/>
      <c r="BU261" s="37" t="str">
        <f t="shared" si="1"/>
        <v>#NAME?</v>
      </c>
      <c r="BV261" s="89" t="s">
        <v>76</v>
      </c>
      <c r="BW261" s="37" t="str">
        <f t="shared" si="2"/>
        <v>#NAME?</v>
      </c>
      <c r="BX261" s="89"/>
      <c r="BY261" s="39"/>
      <c r="BZ261" s="39"/>
      <c r="CA261" s="40" t="s">
        <v>76</v>
      </c>
      <c r="CB261" s="41"/>
      <c r="CC261" s="90" t="s">
        <v>76</v>
      </c>
      <c r="CD261" s="91"/>
      <c r="CE261" s="21"/>
      <c r="CF261" s="92" t="s">
        <v>146</v>
      </c>
      <c r="CG261" s="93" t="s">
        <v>2033</v>
      </c>
      <c r="CH261" s="21"/>
      <c r="CI261" s="92" t="s">
        <v>146</v>
      </c>
      <c r="CJ261" s="195" t="s">
        <v>2033</v>
      </c>
      <c r="CK261" s="21"/>
      <c r="CL261" s="22" t="s">
        <v>146</v>
      </c>
      <c r="CM261" s="12"/>
      <c r="CN261" s="48"/>
      <c r="CO261" s="196" t="s">
        <v>2033</v>
      </c>
      <c r="CP261" s="21"/>
      <c r="CQ261" s="2" t="s">
        <v>2453</v>
      </c>
      <c r="CR261" s="97">
        <v>40.0</v>
      </c>
      <c r="CS261" s="2" t="s">
        <v>325</v>
      </c>
      <c r="CT261" s="98">
        <v>55.0</v>
      </c>
      <c r="CU261" s="2"/>
      <c r="CV261" s="52" t="s">
        <v>149</v>
      </c>
      <c r="CW261" s="52" t="s">
        <v>149</v>
      </c>
      <c r="CX261" s="2"/>
      <c r="CY261" s="119" t="s">
        <v>277</v>
      </c>
      <c r="CZ261" s="160"/>
      <c r="DA261" s="2"/>
      <c r="DB261" s="98">
        <v>255.0</v>
      </c>
      <c r="DC261" s="2"/>
      <c r="DD261" s="101" t="s">
        <v>150</v>
      </c>
      <c r="DE261" s="2"/>
      <c r="DF261" s="148" t="s">
        <v>2454</v>
      </c>
      <c r="DG261" s="119"/>
      <c r="DH261" s="160"/>
      <c r="DI261" s="21"/>
      <c r="DJ261" s="21"/>
      <c r="DK261" s="59" t="s">
        <v>2455</v>
      </c>
      <c r="DL261" s="37" t="s">
        <v>79</v>
      </c>
      <c r="DM261" s="37" t="str">
        <f t="shared" si="3"/>
        <v>#NAME?</v>
      </c>
      <c r="DN261" s="61"/>
      <c r="DO261" s="37">
        <v>20.0</v>
      </c>
      <c r="DP261" s="105">
        <v>1.0</v>
      </c>
      <c r="DQ261" s="62" t="s">
        <v>49</v>
      </c>
      <c r="DR261" s="63"/>
      <c r="DS261" s="198"/>
      <c r="DT261" s="108"/>
      <c r="DU261" s="108"/>
      <c r="DV261" s="182"/>
      <c r="DW261" s="182"/>
      <c r="DX261" s="182"/>
      <c r="DY261" s="182"/>
      <c r="DZ261" s="182"/>
      <c r="EA261" s="182"/>
      <c r="EB261" s="21"/>
      <c r="EC261" s="21"/>
      <c r="ED261" s="21"/>
      <c r="EE261" s="21"/>
      <c r="EF261" s="68" t="s">
        <v>2456</v>
      </c>
      <c r="EG261" s="69" t="str">
        <f>image("https://www.pokebip.com/pages/icones/objets/bel-ecaille.png", 3)</f>
        <v/>
      </c>
      <c r="EH261" s="69"/>
      <c r="EI261" s="69"/>
    </row>
    <row r="262" ht="15.75" customHeight="1">
      <c r="A262" s="1">
        <v>262.0</v>
      </c>
      <c r="B262" s="2" t="s">
        <v>2457</v>
      </c>
      <c r="C262" s="7"/>
      <c r="D262" s="247" t="s">
        <v>2458</v>
      </c>
      <c r="E262" s="5"/>
      <c r="F262" s="248"/>
      <c r="G262" s="7"/>
      <c r="H262" s="8" t="s">
        <v>2459</v>
      </c>
      <c r="I262" s="9" t="s">
        <v>2460</v>
      </c>
      <c r="J262" s="355" t="str">
        <f>image("https://archives.bulbagarden.net/media/upload/b/ba/262MS6.png", 3)</f>
        <v/>
      </c>
      <c r="K262" s="11" t="s">
        <v>2458</v>
      </c>
      <c r="L262" s="12"/>
      <c r="M262" s="12"/>
      <c r="N262" s="12"/>
      <c r="O262" s="12"/>
      <c r="Q262" s="71">
        <v>70.0</v>
      </c>
      <c r="R262" s="72">
        <v>90.0</v>
      </c>
      <c r="S262" s="73">
        <v>70.0</v>
      </c>
      <c r="T262" s="74">
        <v>60.0</v>
      </c>
      <c r="U262" s="75">
        <v>60.0</v>
      </c>
      <c r="V262" s="76">
        <v>70.0</v>
      </c>
      <c r="W262" s="77">
        <v>420.0</v>
      </c>
      <c r="X262" s="21"/>
      <c r="Y262" s="71">
        <v>70.0</v>
      </c>
      <c r="Z262" s="72">
        <v>90.0</v>
      </c>
      <c r="AA262" s="73">
        <v>70.0</v>
      </c>
      <c r="AB262" s="74">
        <v>60.0</v>
      </c>
      <c r="AC262" s="75">
        <v>60.0</v>
      </c>
      <c r="AD262" s="76">
        <v>70.0</v>
      </c>
      <c r="AE262" s="77">
        <v>420.0</v>
      </c>
      <c r="AF262" s="21"/>
      <c r="AG262" s="71">
        <v>70.0</v>
      </c>
      <c r="AH262" s="109">
        <v>110.0</v>
      </c>
      <c r="AI262" s="73">
        <v>70.0</v>
      </c>
      <c r="AJ262" s="74">
        <v>60.0</v>
      </c>
      <c r="AK262" s="75">
        <v>60.0</v>
      </c>
      <c r="AL262" s="109">
        <v>95.0</v>
      </c>
      <c r="AM262" s="110">
        <v>465.0</v>
      </c>
      <c r="AN262" s="21"/>
      <c r="AO262" s="22">
        <v>70.0</v>
      </c>
      <c r="AP262" s="23" t="s">
        <v>40</v>
      </c>
      <c r="AQ262" s="23">
        <v>70.0</v>
      </c>
      <c r="AR262" s="23">
        <v>60.0</v>
      </c>
      <c r="AS262" s="23">
        <v>60.0</v>
      </c>
      <c r="AT262" s="23" t="s">
        <v>215</v>
      </c>
      <c r="AU262" s="24" t="s">
        <v>638</v>
      </c>
      <c r="AV262" s="21"/>
      <c r="AW262" s="78">
        <v>70.0</v>
      </c>
      <c r="AX262" s="111">
        <v>110.0</v>
      </c>
      <c r="AY262" s="79">
        <v>70.0</v>
      </c>
      <c r="AZ262" s="79">
        <v>60.0</v>
      </c>
      <c r="BA262" s="79">
        <v>60.0</v>
      </c>
      <c r="BB262" s="111">
        <v>95.0</v>
      </c>
      <c r="BC262" s="171">
        <v>465.0</v>
      </c>
      <c r="BE262" s="172" t="s">
        <v>216</v>
      </c>
      <c r="BF262" s="113"/>
      <c r="BG262" s="384"/>
      <c r="BI262" s="31" t="s">
        <v>5</v>
      </c>
      <c r="BJ262" s="32">
        <v>2.0</v>
      </c>
      <c r="BK262" s="32" t="s">
        <v>5</v>
      </c>
      <c r="BL262" s="32" t="s">
        <v>5</v>
      </c>
      <c r="BM262" s="32" t="s">
        <v>5</v>
      </c>
      <c r="BN262" s="33" t="s">
        <v>5</v>
      </c>
      <c r="BP262" s="85" t="s">
        <v>76</v>
      </c>
      <c r="BQ262" s="129"/>
      <c r="BS262" s="87" t="s">
        <v>76</v>
      </c>
      <c r="BT262" s="130"/>
      <c r="BU262" s="37" t="str">
        <f t="shared" si="1"/>
        <v>#NAME?</v>
      </c>
      <c r="BV262" s="89" t="s">
        <v>76</v>
      </c>
      <c r="BW262" s="37" t="str">
        <f t="shared" si="2"/>
        <v>#NAME?</v>
      </c>
      <c r="BX262" s="89"/>
      <c r="BY262" s="39"/>
      <c r="BZ262" s="39"/>
      <c r="CA262" s="40" t="s">
        <v>76</v>
      </c>
      <c r="CB262" s="41"/>
      <c r="CC262" s="90" t="s">
        <v>76</v>
      </c>
      <c r="CD262" s="91"/>
      <c r="CE262" s="21"/>
      <c r="CF262" s="92" t="s">
        <v>326</v>
      </c>
      <c r="CG262" s="93" t="s">
        <v>2033</v>
      </c>
      <c r="CH262" s="21"/>
      <c r="CI262" s="92" t="s">
        <v>326</v>
      </c>
      <c r="CJ262" s="93" t="s">
        <v>2033</v>
      </c>
      <c r="CK262" s="21"/>
      <c r="CL262" s="22" t="s">
        <v>326</v>
      </c>
      <c r="CM262" s="12"/>
      <c r="CN262" s="48"/>
      <c r="CO262" s="96" t="s">
        <v>2033</v>
      </c>
      <c r="CP262" s="21"/>
      <c r="CQ262" s="2" t="s">
        <v>2461</v>
      </c>
      <c r="CR262" s="97">
        <v>60.0</v>
      </c>
      <c r="CS262" s="2" t="s">
        <v>216</v>
      </c>
      <c r="CT262" s="98">
        <v>128.0</v>
      </c>
      <c r="CU262" s="2"/>
      <c r="CV262" s="52" t="s">
        <v>149</v>
      </c>
      <c r="CW262" s="52" t="s">
        <v>149</v>
      </c>
      <c r="CX262" s="2"/>
      <c r="CY262" s="382" t="s">
        <v>277</v>
      </c>
      <c r="CZ262" s="385"/>
      <c r="DA262" s="2"/>
      <c r="DB262" s="98">
        <v>127.0</v>
      </c>
      <c r="DC262" s="2"/>
      <c r="DD262" s="101" t="s">
        <v>150</v>
      </c>
      <c r="DE262" s="2"/>
      <c r="DF262" s="383" t="s">
        <v>2462</v>
      </c>
      <c r="DG262" s="382"/>
      <c r="DH262" s="385"/>
      <c r="DI262" s="2"/>
      <c r="DJ262" s="2"/>
      <c r="DK262" s="59" t="s">
        <v>2463</v>
      </c>
      <c r="DL262" s="37" t="s">
        <v>32</v>
      </c>
      <c r="DM262" s="37" t="str">
        <f t="shared" si="3"/>
        <v>#NAME?</v>
      </c>
      <c r="DN262" s="61"/>
      <c r="DO262" s="37" t="s">
        <v>1170</v>
      </c>
      <c r="DP262" s="105">
        <v>0.85</v>
      </c>
      <c r="DQ262" s="62" t="s">
        <v>49</v>
      </c>
      <c r="DR262" s="63"/>
      <c r="DS262" s="198"/>
      <c r="DT262" s="108"/>
      <c r="DU262" s="108"/>
      <c r="DV262" s="182"/>
      <c r="DW262" s="182"/>
      <c r="DX262" s="182"/>
      <c r="DY262" s="182"/>
      <c r="DZ262" s="182"/>
      <c r="EA262" s="182"/>
      <c r="EB262" s="2"/>
      <c r="EC262" s="2"/>
      <c r="ED262" s="2"/>
      <c r="EE262" s="2"/>
      <c r="EF262" s="149" t="s">
        <v>2464</v>
      </c>
      <c r="EG262" s="69" t="str">
        <f>image("https://www.pokebip.com/pages/icones/objets/grande-perle.png", 3)</f>
        <v/>
      </c>
      <c r="EH262" s="69"/>
      <c r="EI262" s="69"/>
    </row>
    <row r="263" ht="15.75" customHeight="1">
      <c r="A263" s="1">
        <v>263.0</v>
      </c>
      <c r="B263" s="2" t="s">
        <v>2465</v>
      </c>
      <c r="C263" s="7"/>
      <c r="D263" s="167" t="s">
        <v>2466</v>
      </c>
      <c r="E263" s="5"/>
      <c r="F263" s="168"/>
      <c r="G263" s="7"/>
      <c r="H263" s="8" t="s">
        <v>2467</v>
      </c>
      <c r="I263" s="9" t="s">
        <v>2468</v>
      </c>
      <c r="J263" s="355" t="str">
        <f>image("https://archives.bulbagarden.net/media/upload/4/49/263MS6.png", 3)</f>
        <v/>
      </c>
      <c r="K263" s="11" t="s">
        <v>2466</v>
      </c>
      <c r="L263" s="12"/>
      <c r="M263" s="12"/>
      <c r="N263" s="12"/>
      <c r="O263" s="12"/>
      <c r="Q263" s="71">
        <v>38.0</v>
      </c>
      <c r="R263" s="72">
        <v>30.0</v>
      </c>
      <c r="S263" s="73">
        <v>41.0</v>
      </c>
      <c r="T263" s="74">
        <v>30.0</v>
      </c>
      <c r="U263" s="75">
        <v>41.0</v>
      </c>
      <c r="V263" s="76">
        <v>60.0</v>
      </c>
      <c r="W263" s="77">
        <v>240.0</v>
      </c>
      <c r="X263" s="21"/>
      <c r="Y263" s="71">
        <v>38.0</v>
      </c>
      <c r="Z263" s="72">
        <v>30.0</v>
      </c>
      <c r="AA263" s="73">
        <v>41.0</v>
      </c>
      <c r="AB263" s="74">
        <v>30.0</v>
      </c>
      <c r="AC263" s="75">
        <v>41.0</v>
      </c>
      <c r="AD263" s="76">
        <v>60.0</v>
      </c>
      <c r="AE263" s="77">
        <v>240.0</v>
      </c>
      <c r="AF263" s="21"/>
      <c r="AG263" s="71">
        <v>38.0</v>
      </c>
      <c r="AH263" s="109">
        <v>40.0</v>
      </c>
      <c r="AI263" s="73">
        <v>41.0</v>
      </c>
      <c r="AJ263" s="74">
        <v>30.0</v>
      </c>
      <c r="AK263" s="75">
        <v>41.0</v>
      </c>
      <c r="AL263" s="76">
        <v>60.0</v>
      </c>
      <c r="AM263" s="110">
        <v>250.0</v>
      </c>
      <c r="AN263" s="21"/>
      <c r="AO263" s="22">
        <v>38.0</v>
      </c>
      <c r="AP263" s="23" t="s">
        <v>350</v>
      </c>
      <c r="AQ263" s="23">
        <v>41.0</v>
      </c>
      <c r="AR263" s="23">
        <v>30.0</v>
      </c>
      <c r="AS263" s="23">
        <v>41.0</v>
      </c>
      <c r="AT263" s="23">
        <v>60.0</v>
      </c>
      <c r="AU263" s="24" t="s">
        <v>2469</v>
      </c>
      <c r="AV263" s="21"/>
      <c r="AW263" s="258">
        <v>38.0</v>
      </c>
      <c r="AX263" s="111">
        <v>40.0</v>
      </c>
      <c r="AY263" s="80">
        <v>41.0</v>
      </c>
      <c r="AZ263" s="79">
        <v>30.0</v>
      </c>
      <c r="BA263" s="80">
        <v>41.0</v>
      </c>
      <c r="BB263" s="182">
        <v>60.0</v>
      </c>
      <c r="BC263" s="111">
        <v>250.0</v>
      </c>
      <c r="BE263" s="126" t="s">
        <v>56</v>
      </c>
      <c r="BF263" s="143"/>
      <c r="BG263" s="128"/>
      <c r="BI263" s="31" t="s">
        <v>5</v>
      </c>
      <c r="BJ263" s="32" t="s">
        <v>5</v>
      </c>
      <c r="BK263" s="32" t="s">
        <v>5</v>
      </c>
      <c r="BL263" s="32" t="s">
        <v>5</v>
      </c>
      <c r="BM263" s="32" t="s">
        <v>5</v>
      </c>
      <c r="BN263" s="33">
        <v>1.0</v>
      </c>
      <c r="BP263" s="115" t="s">
        <v>156</v>
      </c>
      <c r="BQ263" s="93"/>
      <c r="BS263" s="115" t="s">
        <v>156</v>
      </c>
      <c r="BT263" s="133"/>
      <c r="BU263" s="37" t="str">
        <f t="shared" si="1"/>
        <v>#NAME?</v>
      </c>
      <c r="BV263" s="89" t="s">
        <v>156</v>
      </c>
      <c r="BW263" s="37" t="str">
        <f t="shared" si="2"/>
        <v>#NAME?</v>
      </c>
      <c r="BX263" s="89"/>
      <c r="BY263" s="39"/>
      <c r="BZ263" s="39"/>
      <c r="CA263" s="40" t="s">
        <v>156</v>
      </c>
      <c r="CB263" s="41"/>
      <c r="CC263" s="90" t="s">
        <v>156</v>
      </c>
      <c r="CD263" s="91"/>
      <c r="CE263" s="21"/>
      <c r="CF263" s="92" t="s">
        <v>626</v>
      </c>
      <c r="CG263" s="93" t="s">
        <v>778</v>
      </c>
      <c r="CH263" s="21"/>
      <c r="CI263" s="92" t="s">
        <v>626</v>
      </c>
      <c r="CJ263" s="93" t="s">
        <v>778</v>
      </c>
      <c r="CK263" s="21"/>
      <c r="CL263" s="22" t="s">
        <v>626</v>
      </c>
      <c r="CM263" s="12"/>
      <c r="CN263" s="48"/>
      <c r="CO263" s="96" t="s">
        <v>778</v>
      </c>
      <c r="CP263" s="21"/>
      <c r="CQ263" s="2" t="s">
        <v>2470</v>
      </c>
      <c r="CR263" s="97">
        <v>40.0</v>
      </c>
      <c r="CS263" s="2" t="s">
        <v>56</v>
      </c>
      <c r="CT263" s="98">
        <v>60.0</v>
      </c>
      <c r="CU263" s="2"/>
      <c r="CV263" s="52" t="s">
        <v>149</v>
      </c>
      <c r="CW263" s="52" t="s">
        <v>149</v>
      </c>
      <c r="CX263" s="2"/>
      <c r="CY263" s="119" t="s">
        <v>277</v>
      </c>
      <c r="CZ263" s="160"/>
      <c r="DA263" s="2"/>
      <c r="DB263" s="98">
        <v>255.0</v>
      </c>
      <c r="DC263" s="2"/>
      <c r="DD263" s="101" t="s">
        <v>150</v>
      </c>
      <c r="DE263" s="2"/>
      <c r="DF263" s="148" t="s">
        <v>2471</v>
      </c>
      <c r="DG263" s="118" t="s">
        <v>2472</v>
      </c>
      <c r="DH263" s="160" t="s">
        <v>2473</v>
      </c>
      <c r="DI263" s="21"/>
      <c r="DJ263" s="21"/>
      <c r="DK263" s="59" t="s">
        <v>2474</v>
      </c>
      <c r="DL263" s="37" t="s">
        <v>92</v>
      </c>
      <c r="DM263" s="37" t="str">
        <f t="shared" si="3"/>
        <v>#NAME?</v>
      </c>
      <c r="DN263" s="61"/>
      <c r="DO263" s="37" t="s">
        <v>19</v>
      </c>
      <c r="DP263" s="105">
        <v>1.0</v>
      </c>
      <c r="DQ263" s="62" t="s">
        <v>93</v>
      </c>
      <c r="DR263" s="63"/>
      <c r="DS263" s="198"/>
      <c r="DT263" s="108"/>
      <c r="DU263" s="108"/>
      <c r="DV263" s="182"/>
      <c r="DW263" s="182"/>
      <c r="DX263" s="182"/>
      <c r="DY263" s="182"/>
      <c r="DZ263" s="182"/>
      <c r="EA263" s="182"/>
      <c r="EB263" s="2"/>
      <c r="EC263" s="2"/>
      <c r="ED263" s="2"/>
      <c r="EE263" s="2"/>
      <c r="EF263" s="149" t="s">
        <v>2475</v>
      </c>
      <c r="EG263" s="69" t="str">
        <f>image("https://www.pokebip.com/pages/icones/objets/gros-champi.png", 3)</f>
        <v/>
      </c>
      <c r="EH263" s="69"/>
      <c r="EI263" s="69"/>
    </row>
    <row r="264" ht="15.75" customHeight="1">
      <c r="A264" s="1">
        <v>264.0</v>
      </c>
      <c r="B264" s="2" t="s">
        <v>2476</v>
      </c>
      <c r="C264" s="7"/>
      <c r="D264" s="352" t="s">
        <v>2477</v>
      </c>
      <c r="E264" s="5"/>
      <c r="F264" s="7"/>
      <c r="G264" s="7"/>
      <c r="H264" s="8" t="s">
        <v>2478</v>
      </c>
      <c r="I264" s="9" t="s">
        <v>2479</v>
      </c>
      <c r="J264" s="355" t="str">
        <f>image("https://archives.bulbagarden.net/media/upload/2/22/264MS6.png", 3)</f>
        <v/>
      </c>
      <c r="K264" s="11" t="s">
        <v>2477</v>
      </c>
      <c r="L264" s="12"/>
      <c r="M264" s="12"/>
      <c r="N264" s="12"/>
      <c r="O264" s="12"/>
      <c r="Q264" s="71">
        <v>78.0</v>
      </c>
      <c r="R264" s="72">
        <v>70.0</v>
      </c>
      <c r="S264" s="73">
        <v>61.0</v>
      </c>
      <c r="T264" s="74">
        <v>50.0</v>
      </c>
      <c r="U264" s="75">
        <v>61.0</v>
      </c>
      <c r="V264" s="76">
        <v>100.0</v>
      </c>
      <c r="W264" s="77">
        <v>420.0</v>
      </c>
      <c r="X264" s="21"/>
      <c r="Y264" s="71">
        <v>78.0</v>
      </c>
      <c r="Z264" s="72">
        <v>70.0</v>
      </c>
      <c r="AA264" s="73">
        <v>61.0</v>
      </c>
      <c r="AB264" s="74">
        <v>50.0</v>
      </c>
      <c r="AC264" s="75">
        <v>61.0</v>
      </c>
      <c r="AD264" s="76">
        <v>100.0</v>
      </c>
      <c r="AE264" s="77">
        <v>420.0</v>
      </c>
      <c r="AF264" s="21"/>
      <c r="AG264" s="261">
        <v>85.0</v>
      </c>
      <c r="AH264" s="109">
        <v>85.0</v>
      </c>
      <c r="AI264" s="162">
        <v>60.0</v>
      </c>
      <c r="AJ264" s="74">
        <v>50.0</v>
      </c>
      <c r="AK264" s="162">
        <v>60.0</v>
      </c>
      <c r="AL264" s="109">
        <v>110.0</v>
      </c>
      <c r="AM264" s="110">
        <v>450.0</v>
      </c>
      <c r="AN264" s="21"/>
      <c r="AO264" s="22" t="s">
        <v>1621</v>
      </c>
      <c r="AP264" s="23" t="s">
        <v>1621</v>
      </c>
      <c r="AQ264" s="23" t="s">
        <v>257</v>
      </c>
      <c r="AR264" s="23">
        <v>50.0</v>
      </c>
      <c r="AS264" s="23" t="s">
        <v>257</v>
      </c>
      <c r="AT264" s="23" t="s">
        <v>40</v>
      </c>
      <c r="AU264" s="24" t="s">
        <v>176</v>
      </c>
      <c r="AV264" s="21"/>
      <c r="AW264" s="111">
        <v>85.0</v>
      </c>
      <c r="AX264" s="187">
        <v>85.0</v>
      </c>
      <c r="AY264" s="163">
        <v>60.0</v>
      </c>
      <c r="AZ264" s="79">
        <v>50.0</v>
      </c>
      <c r="BA264" s="163">
        <v>60.0</v>
      </c>
      <c r="BB264" s="164">
        <v>110.0</v>
      </c>
      <c r="BC264" s="111">
        <v>450.0</v>
      </c>
      <c r="BE264" s="176" t="s">
        <v>248</v>
      </c>
      <c r="BF264" s="113"/>
      <c r="BG264" s="384"/>
      <c r="BI264" s="31" t="s">
        <v>5</v>
      </c>
      <c r="BJ264" s="32" t="s">
        <v>5</v>
      </c>
      <c r="BK264" s="32" t="s">
        <v>5</v>
      </c>
      <c r="BL264" s="32" t="s">
        <v>5</v>
      </c>
      <c r="BM264" s="32" t="s">
        <v>5</v>
      </c>
      <c r="BN264" s="33">
        <v>2.0</v>
      </c>
      <c r="BP264" s="85" t="s">
        <v>156</v>
      </c>
      <c r="BQ264" s="129"/>
      <c r="BS264" s="87" t="s">
        <v>156</v>
      </c>
      <c r="BT264" s="130"/>
      <c r="BU264" s="37" t="str">
        <f t="shared" si="1"/>
        <v>#NAME?</v>
      </c>
      <c r="BV264" s="89" t="s">
        <v>156</v>
      </c>
      <c r="BW264" s="37" t="str">
        <f t="shared" si="2"/>
        <v>#NAME?</v>
      </c>
      <c r="BX264" s="89"/>
      <c r="BY264" s="39"/>
      <c r="BZ264" s="39"/>
      <c r="CA264" s="40" t="s">
        <v>156</v>
      </c>
      <c r="CB264" s="41"/>
      <c r="CC264" s="90" t="s">
        <v>156</v>
      </c>
      <c r="CD264" s="91"/>
      <c r="CE264" s="21"/>
      <c r="CF264" s="92" t="s">
        <v>626</v>
      </c>
      <c r="CG264" s="93" t="s">
        <v>778</v>
      </c>
      <c r="CH264" s="21"/>
      <c r="CI264" s="92" t="s">
        <v>626</v>
      </c>
      <c r="CJ264" s="188" t="s">
        <v>778</v>
      </c>
      <c r="CK264" s="21"/>
      <c r="CL264" s="22" t="s">
        <v>626</v>
      </c>
      <c r="CM264" s="12"/>
      <c r="CN264" s="48"/>
      <c r="CO264" s="189" t="s">
        <v>778</v>
      </c>
      <c r="CP264" s="21"/>
      <c r="CQ264" s="2" t="s">
        <v>1624</v>
      </c>
      <c r="CR264" s="97">
        <v>60.0</v>
      </c>
      <c r="CS264" s="2" t="s">
        <v>248</v>
      </c>
      <c r="CT264" s="98">
        <v>128.0</v>
      </c>
      <c r="CU264" s="2"/>
      <c r="CV264" s="52" t="s">
        <v>149</v>
      </c>
      <c r="CW264" s="52" t="s">
        <v>149</v>
      </c>
      <c r="CX264" s="2"/>
      <c r="CY264" s="382" t="s">
        <v>277</v>
      </c>
      <c r="CZ264" s="385"/>
      <c r="DA264" s="2"/>
      <c r="DB264" s="98">
        <v>90.0</v>
      </c>
      <c r="DC264" s="2"/>
      <c r="DD264" s="101" t="s">
        <v>150</v>
      </c>
      <c r="DE264" s="2"/>
      <c r="DF264" s="383" t="s">
        <v>2480</v>
      </c>
      <c r="DG264" s="381" t="s">
        <v>2472</v>
      </c>
      <c r="DH264" s="385" t="s">
        <v>2481</v>
      </c>
      <c r="DI264" s="2"/>
      <c r="DJ264" s="2"/>
      <c r="DK264" s="59" t="s">
        <v>2482</v>
      </c>
      <c r="DL264" s="37" t="s">
        <v>32</v>
      </c>
      <c r="DM264" s="37" t="str">
        <f t="shared" si="3"/>
        <v>#NAME?</v>
      </c>
      <c r="DN264" s="61"/>
      <c r="DO264" s="37">
        <v>65.0</v>
      </c>
      <c r="DP264" s="105">
        <v>0.85</v>
      </c>
      <c r="DQ264" s="62" t="s">
        <v>49</v>
      </c>
      <c r="DR264" s="63"/>
      <c r="DS264" s="198"/>
      <c r="DT264" s="108"/>
      <c r="DU264" s="108"/>
      <c r="DV264" s="182"/>
      <c r="DW264" s="182"/>
      <c r="DX264" s="182"/>
      <c r="DY264" s="182"/>
      <c r="DZ264" s="182"/>
      <c r="EA264" s="182"/>
      <c r="EB264" s="2"/>
      <c r="EC264" s="2"/>
      <c r="ED264" s="2"/>
      <c r="EE264" s="2"/>
      <c r="EF264" s="149" t="s">
        <v>2483</v>
      </c>
      <c r="EG264" s="69" t="str">
        <f>image("https://www.pokebip.com/pages/icones/objets/morceau-etoile.png", 3)</f>
        <v/>
      </c>
      <c r="EH264" s="69"/>
      <c r="EI264" s="69"/>
    </row>
    <row r="265" ht="15.75" customHeight="1">
      <c r="A265" s="1">
        <v>265.0</v>
      </c>
      <c r="B265" s="2" t="s">
        <v>2484</v>
      </c>
      <c r="C265" s="7"/>
      <c r="D265" s="122" t="s">
        <v>2485</v>
      </c>
      <c r="E265" s="5"/>
      <c r="F265" s="123"/>
      <c r="G265" s="7"/>
      <c r="H265" s="8" t="s">
        <v>2486</v>
      </c>
      <c r="I265" s="9" t="s">
        <v>2487</v>
      </c>
      <c r="J265" s="355" t="str">
        <f>image("https://archives.bulbagarden.net/media/upload/f/f4/265MS6.png", 3)</f>
        <v/>
      </c>
      <c r="K265" s="11" t="s">
        <v>2485</v>
      </c>
      <c r="L265" s="12"/>
      <c r="M265" s="12"/>
      <c r="N265" s="12"/>
      <c r="O265" s="12"/>
      <c r="Q265" s="71">
        <v>45.0</v>
      </c>
      <c r="R265" s="72">
        <v>45.0</v>
      </c>
      <c r="S265" s="73">
        <v>35.0</v>
      </c>
      <c r="T265" s="74">
        <v>20.0</v>
      </c>
      <c r="U265" s="75">
        <v>30.0</v>
      </c>
      <c r="V265" s="76">
        <v>20.0</v>
      </c>
      <c r="W265" s="77">
        <v>195.0</v>
      </c>
      <c r="X265" s="21"/>
      <c r="Y265" s="71">
        <v>45.0</v>
      </c>
      <c r="Z265" s="72">
        <v>45.0</v>
      </c>
      <c r="AA265" s="73">
        <v>35.0</v>
      </c>
      <c r="AB265" s="74">
        <v>20.0</v>
      </c>
      <c r="AC265" s="75">
        <v>30.0</v>
      </c>
      <c r="AD265" s="76">
        <v>20.0</v>
      </c>
      <c r="AE265" s="77">
        <v>195.0</v>
      </c>
      <c r="AF265" s="21"/>
      <c r="AG265" s="71">
        <v>45.0</v>
      </c>
      <c r="AH265" s="72">
        <v>45.0</v>
      </c>
      <c r="AI265" s="73">
        <v>35.0</v>
      </c>
      <c r="AJ265" s="74">
        <v>20.0</v>
      </c>
      <c r="AK265" s="75">
        <v>30.0</v>
      </c>
      <c r="AL265" s="76">
        <v>20.0</v>
      </c>
      <c r="AM265" s="77">
        <v>195.0</v>
      </c>
      <c r="AN265" s="21"/>
      <c r="AO265" s="22">
        <v>45.0</v>
      </c>
      <c r="AP265" s="23">
        <v>45.0</v>
      </c>
      <c r="AQ265" s="23">
        <v>35.0</v>
      </c>
      <c r="AR265" s="23">
        <v>20.0</v>
      </c>
      <c r="AS265" s="23">
        <v>30.0</v>
      </c>
      <c r="AT265" s="23">
        <v>20.0</v>
      </c>
      <c r="AU265" s="24">
        <v>195.0</v>
      </c>
      <c r="AV265" s="21"/>
      <c r="AW265" s="265">
        <v>45.0</v>
      </c>
      <c r="AX265" s="124">
        <v>45.0</v>
      </c>
      <c r="AY265" s="124">
        <v>35.0</v>
      </c>
      <c r="AZ265" s="79">
        <v>20.0</v>
      </c>
      <c r="BA265" s="124">
        <v>30.0</v>
      </c>
      <c r="BB265" s="124">
        <v>20.0</v>
      </c>
      <c r="BC265" s="125">
        <v>195.0</v>
      </c>
      <c r="BE265" s="151" t="s">
        <v>144</v>
      </c>
      <c r="BF265" s="143"/>
      <c r="BG265" s="128"/>
      <c r="BI265" s="31">
        <v>1.0</v>
      </c>
      <c r="BJ265" s="32" t="s">
        <v>5</v>
      </c>
      <c r="BK265" s="32" t="s">
        <v>5</v>
      </c>
      <c r="BL265" s="32" t="s">
        <v>5</v>
      </c>
      <c r="BM265" s="32" t="s">
        <v>5</v>
      </c>
      <c r="BN265" s="33" t="s">
        <v>5</v>
      </c>
      <c r="BP265" s="115" t="s">
        <v>109</v>
      </c>
      <c r="BQ265" s="93"/>
      <c r="BS265" s="115" t="s">
        <v>109</v>
      </c>
      <c r="BT265" s="133"/>
      <c r="BU265" s="37" t="str">
        <f t="shared" si="1"/>
        <v>#NAME?</v>
      </c>
      <c r="BV265" s="89" t="s">
        <v>109</v>
      </c>
      <c r="BW265" s="37" t="str">
        <f t="shared" si="2"/>
        <v>#NAME?</v>
      </c>
      <c r="BX265" s="89"/>
      <c r="BY265" s="39"/>
      <c r="BZ265" s="39"/>
      <c r="CA265" s="40" t="s">
        <v>109</v>
      </c>
      <c r="CB265" s="41"/>
      <c r="CC265" s="90" t="s">
        <v>109</v>
      </c>
      <c r="CD265" s="91"/>
      <c r="CE265" s="21"/>
      <c r="CF265" s="92" t="s">
        <v>145</v>
      </c>
      <c r="CG265" s="93"/>
      <c r="CH265" s="21"/>
      <c r="CI265" s="191" t="s">
        <v>145</v>
      </c>
      <c r="CJ265" s="46" t="s">
        <v>146</v>
      </c>
      <c r="CK265" s="21"/>
      <c r="CL265" s="22" t="s">
        <v>145</v>
      </c>
      <c r="CM265" s="12"/>
      <c r="CN265" s="48"/>
      <c r="CO265" s="192" t="s">
        <v>147</v>
      </c>
      <c r="CP265" s="21"/>
      <c r="CQ265" s="2" t="s">
        <v>2488</v>
      </c>
      <c r="CR265" s="97">
        <v>20.0</v>
      </c>
      <c r="CS265" s="2" t="s">
        <v>144</v>
      </c>
      <c r="CT265" s="98">
        <v>54.0</v>
      </c>
      <c r="CU265" s="2"/>
      <c r="CV265" s="52" t="s">
        <v>149</v>
      </c>
      <c r="CW265" s="52" t="s">
        <v>149</v>
      </c>
      <c r="CX265" s="2"/>
      <c r="CY265" s="119" t="s">
        <v>109</v>
      </c>
      <c r="CZ265" s="160"/>
      <c r="DA265" s="2"/>
      <c r="DB265" s="98">
        <v>255.0</v>
      </c>
      <c r="DC265" s="2"/>
      <c r="DD265" s="101" t="s">
        <v>150</v>
      </c>
      <c r="DE265" s="2"/>
      <c r="DF265" s="148" t="s">
        <v>2489</v>
      </c>
      <c r="DG265" s="118" t="s">
        <v>2490</v>
      </c>
      <c r="DH265" s="160" t="s">
        <v>2491</v>
      </c>
      <c r="DI265" s="21"/>
      <c r="DJ265" s="21"/>
      <c r="DK265" s="59" t="s">
        <v>2492</v>
      </c>
      <c r="DL265" s="37" t="s">
        <v>92</v>
      </c>
      <c r="DM265" s="37" t="str">
        <f t="shared" si="3"/>
        <v>#NAME?</v>
      </c>
      <c r="DN265" s="61"/>
      <c r="DO265" s="37">
        <v>60.0</v>
      </c>
      <c r="DP265" s="105">
        <v>1.0</v>
      </c>
      <c r="DQ265" s="62" t="s">
        <v>293</v>
      </c>
      <c r="DR265" s="63"/>
      <c r="DS265" s="198"/>
      <c r="DT265" s="108"/>
      <c r="DU265" s="108"/>
      <c r="DV265" s="182"/>
      <c r="DW265" s="182"/>
      <c r="DX265" s="182"/>
      <c r="DY265" s="182"/>
      <c r="DZ265" s="182"/>
      <c r="EA265" s="182"/>
      <c r="EB265" s="2"/>
      <c r="EC265" s="2"/>
      <c r="ED265" s="2"/>
      <c r="EE265" s="2"/>
      <c r="EF265" s="149" t="s">
        <v>2493</v>
      </c>
      <c r="EG265" s="69" t="str">
        <f>image("https://www.pokebip.com/pages/icones/objets/os-rare.png", 3)</f>
        <v/>
      </c>
      <c r="EH265" s="69"/>
      <c r="EI265" s="69"/>
    </row>
    <row r="266" ht="15.75" customHeight="1">
      <c r="A266" s="1">
        <v>266.0</v>
      </c>
      <c r="B266" s="2" t="s">
        <v>2494</v>
      </c>
      <c r="C266" s="7"/>
      <c r="D266" s="352" t="s">
        <v>2495</v>
      </c>
      <c r="E266" s="5"/>
      <c r="F266" s="7"/>
      <c r="G266" s="7"/>
      <c r="H266" s="8" t="s">
        <v>2496</v>
      </c>
      <c r="I266" s="9" t="s">
        <v>2497</v>
      </c>
      <c r="J266" s="355" t="str">
        <f>image("https://archives.bulbagarden.net/media/upload/7/76/266MS6.png", 3)</f>
        <v/>
      </c>
      <c r="K266" s="11" t="s">
        <v>2495</v>
      </c>
      <c r="L266" s="12"/>
      <c r="M266" s="12"/>
      <c r="N266" s="12"/>
      <c r="O266" s="12"/>
      <c r="Q266" s="71">
        <v>50.0</v>
      </c>
      <c r="R266" s="72">
        <v>35.0</v>
      </c>
      <c r="S266" s="73">
        <v>55.0</v>
      </c>
      <c r="T266" s="74">
        <v>25.0</v>
      </c>
      <c r="U266" s="75">
        <v>25.0</v>
      </c>
      <c r="V266" s="76">
        <v>15.0</v>
      </c>
      <c r="W266" s="77">
        <v>205.0</v>
      </c>
      <c r="X266" s="21"/>
      <c r="Y266" s="71">
        <v>50.0</v>
      </c>
      <c r="Z266" s="72">
        <v>35.0</v>
      </c>
      <c r="AA266" s="73">
        <v>55.0</v>
      </c>
      <c r="AB266" s="74">
        <v>25.0</v>
      </c>
      <c r="AC266" s="75">
        <v>25.0</v>
      </c>
      <c r="AD266" s="76">
        <v>15.0</v>
      </c>
      <c r="AE266" s="77">
        <v>205.0</v>
      </c>
      <c r="AF266" s="21"/>
      <c r="AG266" s="71">
        <v>50.0</v>
      </c>
      <c r="AH266" s="72">
        <v>35.0</v>
      </c>
      <c r="AI266" s="73">
        <v>55.0</v>
      </c>
      <c r="AJ266" s="74">
        <v>25.0</v>
      </c>
      <c r="AK266" s="75">
        <v>25.0</v>
      </c>
      <c r="AL266" s="76">
        <v>15.0</v>
      </c>
      <c r="AM266" s="77">
        <v>205.0</v>
      </c>
      <c r="AN266" s="21"/>
      <c r="AO266" s="22">
        <v>50.0</v>
      </c>
      <c r="AP266" s="23">
        <v>35.0</v>
      </c>
      <c r="AQ266" s="23">
        <v>55.0</v>
      </c>
      <c r="AR266" s="23">
        <v>25.0</v>
      </c>
      <c r="AS266" s="23">
        <v>25.0</v>
      </c>
      <c r="AT266" s="23">
        <v>15.0</v>
      </c>
      <c r="AU266" s="24">
        <v>205.0</v>
      </c>
      <c r="AV266" s="21"/>
      <c r="AW266" s="78">
        <v>50.0</v>
      </c>
      <c r="AX266" s="79">
        <v>35.0</v>
      </c>
      <c r="AY266" s="80">
        <v>55.0</v>
      </c>
      <c r="AZ266" s="80">
        <v>25.0</v>
      </c>
      <c r="BA266" s="80">
        <v>25.0</v>
      </c>
      <c r="BB266" s="80">
        <v>15.0</v>
      </c>
      <c r="BC266" s="81">
        <v>205.0</v>
      </c>
      <c r="BE266" s="156" t="s">
        <v>162</v>
      </c>
      <c r="BF266" s="113"/>
      <c r="BG266" s="384"/>
      <c r="BI266" s="31" t="s">
        <v>5</v>
      </c>
      <c r="BJ266" s="32" t="s">
        <v>5</v>
      </c>
      <c r="BK266" s="32">
        <v>2.0</v>
      </c>
      <c r="BL266" s="32" t="s">
        <v>5</v>
      </c>
      <c r="BM266" s="32" t="s">
        <v>5</v>
      </c>
      <c r="BN266" s="33" t="s">
        <v>5</v>
      </c>
      <c r="BP266" s="85" t="s">
        <v>109</v>
      </c>
      <c r="BQ266" s="129"/>
      <c r="BS266" s="87" t="s">
        <v>109</v>
      </c>
      <c r="BT266" s="130"/>
      <c r="BU266" s="37" t="str">
        <f t="shared" si="1"/>
        <v>#NAME?</v>
      </c>
      <c r="BV266" s="89" t="s">
        <v>109</v>
      </c>
      <c r="BW266" s="37" t="str">
        <f t="shared" si="2"/>
        <v>#NAME?</v>
      </c>
      <c r="BX266" s="89"/>
      <c r="BY266" s="39"/>
      <c r="BZ266" s="39"/>
      <c r="CA266" s="40" t="s">
        <v>109</v>
      </c>
      <c r="CB266" s="41"/>
      <c r="CC266" s="90" t="s">
        <v>109</v>
      </c>
      <c r="CD266" s="91"/>
      <c r="CE266" s="21"/>
      <c r="CF266" s="92" t="s">
        <v>163</v>
      </c>
      <c r="CG266" s="93"/>
      <c r="CH266" s="21"/>
      <c r="CI266" s="191" t="s">
        <v>163</v>
      </c>
      <c r="CJ266" s="94" t="s">
        <v>163</v>
      </c>
      <c r="CK266" s="21"/>
      <c r="CL266" s="22" t="s">
        <v>163</v>
      </c>
      <c r="CM266" s="12"/>
      <c r="CN266" s="48"/>
      <c r="CO266" s="235" t="s">
        <v>2498</v>
      </c>
      <c r="CP266" s="21"/>
      <c r="CQ266" s="2" t="s">
        <v>203</v>
      </c>
      <c r="CR266" s="97">
        <v>20.0</v>
      </c>
      <c r="CS266" s="2" t="s">
        <v>162</v>
      </c>
      <c r="CT266" s="98">
        <v>72.0</v>
      </c>
      <c r="CU266" s="2"/>
      <c r="CV266" s="52" t="s">
        <v>149</v>
      </c>
      <c r="CW266" s="52" t="s">
        <v>149</v>
      </c>
      <c r="CX266" s="2"/>
      <c r="CY266" s="382" t="s">
        <v>109</v>
      </c>
      <c r="CZ266" s="385"/>
      <c r="DA266" s="2"/>
      <c r="DB266" s="98">
        <v>120.0</v>
      </c>
      <c r="DC266" s="2"/>
      <c r="DD266" s="101" t="s">
        <v>150</v>
      </c>
      <c r="DE266" s="2"/>
      <c r="DF266" s="383" t="s">
        <v>2499</v>
      </c>
      <c r="DG266" s="382"/>
      <c r="DH266" s="385"/>
      <c r="DI266" s="2"/>
      <c r="DJ266" s="2"/>
      <c r="DK266" s="59" t="s">
        <v>2500</v>
      </c>
      <c r="DL266" s="37" t="s">
        <v>34</v>
      </c>
      <c r="DM266" s="37" t="str">
        <f t="shared" si="3"/>
        <v>#NAME?</v>
      </c>
      <c r="DN266" s="61"/>
      <c r="DO266" s="37" t="s">
        <v>2113</v>
      </c>
      <c r="DP266" s="105">
        <v>0.9</v>
      </c>
      <c r="DQ266" s="62" t="s">
        <v>293</v>
      </c>
      <c r="DR266" s="63"/>
      <c r="DS266" s="198"/>
      <c r="DT266" s="108"/>
      <c r="DU266" s="108"/>
      <c r="DV266" s="182"/>
      <c r="DW266" s="182"/>
      <c r="DX266" s="182"/>
      <c r="DY266" s="182"/>
      <c r="DZ266" s="182"/>
      <c r="EA266" s="182"/>
      <c r="EB266" s="2"/>
      <c r="EC266" s="2"/>
      <c r="ED266" s="2"/>
      <c r="EE266" s="2"/>
      <c r="EF266" s="149" t="s">
        <v>2501</v>
      </c>
      <c r="EG266" s="69" t="str">
        <f>image("https://www.pokebip.com/pages/icones/objets/pepite.png", 3)</f>
        <v/>
      </c>
      <c r="EH266" s="69"/>
      <c r="EI266" s="69"/>
    </row>
    <row r="267" ht="15.75" customHeight="1">
      <c r="A267" s="1">
        <v>267.0</v>
      </c>
      <c r="B267" s="2" t="s">
        <v>2502</v>
      </c>
      <c r="C267" s="7"/>
      <c r="D267" s="169" t="s">
        <v>2503</v>
      </c>
      <c r="E267" s="5"/>
      <c r="F267" s="170"/>
      <c r="G267" s="7"/>
      <c r="H267" s="8" t="s">
        <v>2504</v>
      </c>
      <c r="I267" s="9" t="s">
        <v>2505</v>
      </c>
      <c r="J267" s="355" t="str">
        <f>image("https://archives.bulbagarden.net/media/upload/0/0e/267MS6.png", 3)</f>
        <v/>
      </c>
      <c r="K267" s="11" t="s">
        <v>2503</v>
      </c>
      <c r="L267" s="12"/>
      <c r="M267" s="12"/>
      <c r="N267" s="12"/>
      <c r="O267" s="12"/>
      <c r="Q267" s="71">
        <v>60.0</v>
      </c>
      <c r="R267" s="72">
        <v>70.0</v>
      </c>
      <c r="S267" s="73">
        <v>50.0</v>
      </c>
      <c r="T267" s="74">
        <v>90.0</v>
      </c>
      <c r="U267" s="75">
        <v>50.0</v>
      </c>
      <c r="V267" s="76">
        <v>65.0</v>
      </c>
      <c r="W267" s="77">
        <v>385.0</v>
      </c>
      <c r="X267" s="21"/>
      <c r="Y267" s="71">
        <v>60.0</v>
      </c>
      <c r="Z267" s="72">
        <v>70.0</v>
      </c>
      <c r="AA267" s="73">
        <v>50.0</v>
      </c>
      <c r="AB267" s="109">
        <v>100.0</v>
      </c>
      <c r="AC267" s="75">
        <v>50.0</v>
      </c>
      <c r="AD267" s="76">
        <v>65.0</v>
      </c>
      <c r="AE267" s="110">
        <v>395.0</v>
      </c>
      <c r="AF267" s="21"/>
      <c r="AG267" s="71">
        <v>60.0</v>
      </c>
      <c r="AH267" s="72">
        <v>70.0</v>
      </c>
      <c r="AI267" s="109">
        <v>60.0</v>
      </c>
      <c r="AJ267" s="109">
        <v>125.0</v>
      </c>
      <c r="AK267" s="109">
        <v>60.0</v>
      </c>
      <c r="AL267" s="109">
        <v>75.0</v>
      </c>
      <c r="AM267" s="110">
        <v>450.0</v>
      </c>
      <c r="AN267" s="21"/>
      <c r="AO267" s="22">
        <v>60.0</v>
      </c>
      <c r="AP267" s="23">
        <v>70.0</v>
      </c>
      <c r="AQ267" s="23" t="s">
        <v>77</v>
      </c>
      <c r="AR267" s="23" t="s">
        <v>1295</v>
      </c>
      <c r="AS267" s="23" t="s">
        <v>77</v>
      </c>
      <c r="AT267" s="23" t="s">
        <v>154</v>
      </c>
      <c r="AU267" s="24" t="s">
        <v>176</v>
      </c>
      <c r="AV267" s="21"/>
      <c r="AW267" s="78">
        <v>60.0</v>
      </c>
      <c r="AX267" s="79">
        <v>70.0</v>
      </c>
      <c r="AY267" s="111">
        <v>60.0</v>
      </c>
      <c r="AZ267" s="111">
        <v>125.0</v>
      </c>
      <c r="BA267" s="111">
        <v>60.0</v>
      </c>
      <c r="BB267" s="111">
        <v>75.0</v>
      </c>
      <c r="BC267" s="111">
        <v>450.0</v>
      </c>
      <c r="BE267" s="112" t="s">
        <v>85</v>
      </c>
      <c r="BF267" s="138"/>
      <c r="BG267" s="128"/>
      <c r="BI267" s="31" t="s">
        <v>5</v>
      </c>
      <c r="BJ267" s="32" t="s">
        <v>5</v>
      </c>
      <c r="BK267" s="32" t="s">
        <v>5</v>
      </c>
      <c r="BL267" s="32">
        <v>3.0</v>
      </c>
      <c r="BM267" s="32" t="s">
        <v>5</v>
      </c>
      <c r="BN267" s="33" t="s">
        <v>5</v>
      </c>
      <c r="BP267" s="115" t="s">
        <v>109</v>
      </c>
      <c r="BQ267" s="116" t="s">
        <v>18</v>
      </c>
      <c r="BS267" s="115" t="s">
        <v>109</v>
      </c>
      <c r="BT267" s="117" t="s">
        <v>18</v>
      </c>
      <c r="BU267" s="37" t="str">
        <f t="shared" si="1"/>
        <v>#NAME?</v>
      </c>
      <c r="BV267" s="89" t="s">
        <v>109</v>
      </c>
      <c r="BW267" s="37" t="str">
        <f t="shared" si="2"/>
        <v>#NAME?</v>
      </c>
      <c r="BX267" s="89" t="s">
        <v>18</v>
      </c>
      <c r="BY267" s="39"/>
      <c r="BZ267" s="39"/>
      <c r="CA267" s="40" t="s">
        <v>177</v>
      </c>
      <c r="CB267" s="41"/>
      <c r="CC267" s="90" t="s">
        <v>109</v>
      </c>
      <c r="CD267" s="91" t="s">
        <v>18</v>
      </c>
      <c r="CE267" s="2"/>
      <c r="CF267" s="92" t="s">
        <v>217</v>
      </c>
      <c r="CG267" s="93"/>
      <c r="CH267" s="2"/>
      <c r="CI267" s="191" t="s">
        <v>217</v>
      </c>
      <c r="CJ267" s="94" t="s">
        <v>395</v>
      </c>
      <c r="CK267" s="2"/>
      <c r="CL267" s="22" t="s">
        <v>217</v>
      </c>
      <c r="CM267" s="12"/>
      <c r="CN267" s="48"/>
      <c r="CO267" s="235" t="s">
        <v>2506</v>
      </c>
      <c r="CP267" s="2"/>
      <c r="CQ267" s="2" t="s">
        <v>2507</v>
      </c>
      <c r="CR267" s="97">
        <v>60.0</v>
      </c>
      <c r="CS267" s="2" t="s">
        <v>85</v>
      </c>
      <c r="CT267" s="98">
        <v>161.0</v>
      </c>
      <c r="CU267" s="2"/>
      <c r="CV267" s="52" t="s">
        <v>149</v>
      </c>
      <c r="CW267" s="52" t="s">
        <v>149</v>
      </c>
      <c r="CX267" s="2"/>
      <c r="CY267" s="119" t="s">
        <v>109</v>
      </c>
      <c r="CZ267" s="160"/>
      <c r="DA267" s="2"/>
      <c r="DB267" s="98">
        <v>45.0</v>
      </c>
      <c r="DC267" s="2"/>
      <c r="DD267" s="101" t="s">
        <v>150</v>
      </c>
      <c r="DE267" s="2"/>
      <c r="DF267" s="120" t="s">
        <v>2508</v>
      </c>
      <c r="DG267" s="118" t="s">
        <v>601</v>
      </c>
      <c r="DH267" s="160"/>
      <c r="DI267" s="2"/>
      <c r="DJ267" s="2"/>
      <c r="DK267" s="59" t="s">
        <v>2509</v>
      </c>
      <c r="DL267" s="37" t="s">
        <v>6</v>
      </c>
      <c r="DM267" s="37" t="str">
        <f t="shared" si="3"/>
        <v>#NAME?</v>
      </c>
      <c r="DN267" s="61"/>
      <c r="DO267" s="37" t="s">
        <v>842</v>
      </c>
      <c r="DP267" s="105">
        <v>1.0</v>
      </c>
      <c r="DQ267" s="62" t="s">
        <v>918</v>
      </c>
      <c r="DR267" s="63"/>
      <c r="DS267" s="198"/>
      <c r="DT267" s="108"/>
      <c r="DU267" s="108"/>
      <c r="DV267" s="182"/>
      <c r="DW267" s="182"/>
      <c r="DX267" s="182"/>
      <c r="DY267" s="182"/>
      <c r="DZ267" s="182"/>
      <c r="EA267" s="182"/>
      <c r="EB267" s="21"/>
      <c r="EC267" s="21"/>
      <c r="ED267" s="21"/>
      <c r="EE267" s="21"/>
      <c r="EF267" s="149" t="s">
        <v>2510</v>
      </c>
      <c r="EG267" s="69" t="str">
        <f>image("https://www.pokebip.com/pages/icones/objets/perle.png", 3)</f>
        <v/>
      </c>
      <c r="EH267" s="69"/>
      <c r="EI267" s="69"/>
    </row>
    <row r="268" ht="15.75" customHeight="1">
      <c r="A268" s="1">
        <v>268.0</v>
      </c>
      <c r="B268" s="2" t="s">
        <v>2511</v>
      </c>
      <c r="C268" s="7"/>
      <c r="D268" s="180" t="s">
        <v>2512</v>
      </c>
      <c r="E268" s="5"/>
      <c r="F268" s="181"/>
      <c r="G268" s="7"/>
      <c r="H268" s="8" t="s">
        <v>2513</v>
      </c>
      <c r="I268" s="9" t="s">
        <v>2514</v>
      </c>
      <c r="J268" s="355" t="str">
        <f>image("https://archives.bulbagarden.net/media/upload/7/70/268MS6.png", 3)</f>
        <v/>
      </c>
      <c r="K268" s="11" t="s">
        <v>2512</v>
      </c>
      <c r="L268" s="12"/>
      <c r="M268" s="12"/>
      <c r="N268" s="12"/>
      <c r="O268" s="12"/>
      <c r="Q268" s="71">
        <v>50.0</v>
      </c>
      <c r="R268" s="72">
        <v>35.0</v>
      </c>
      <c r="S268" s="73">
        <v>55.0</v>
      </c>
      <c r="T268" s="74">
        <v>25.0</v>
      </c>
      <c r="U268" s="75">
        <v>25.0</v>
      </c>
      <c r="V268" s="76">
        <v>15.0</v>
      </c>
      <c r="W268" s="77">
        <v>205.0</v>
      </c>
      <c r="X268" s="21"/>
      <c r="Y268" s="71">
        <v>50.0</v>
      </c>
      <c r="Z268" s="72">
        <v>35.0</v>
      </c>
      <c r="AA268" s="73">
        <v>55.0</v>
      </c>
      <c r="AB268" s="74">
        <v>25.0</v>
      </c>
      <c r="AC268" s="75">
        <v>25.0</v>
      </c>
      <c r="AD268" s="76">
        <v>15.0</v>
      </c>
      <c r="AE268" s="77">
        <v>205.0</v>
      </c>
      <c r="AF268" s="21"/>
      <c r="AG268" s="71">
        <v>50.0</v>
      </c>
      <c r="AH268" s="72">
        <v>35.0</v>
      </c>
      <c r="AI268" s="73">
        <v>55.0</v>
      </c>
      <c r="AJ268" s="74">
        <v>25.0</v>
      </c>
      <c r="AK268" s="75">
        <v>25.0</v>
      </c>
      <c r="AL268" s="76">
        <v>15.0</v>
      </c>
      <c r="AM268" s="77">
        <v>205.0</v>
      </c>
      <c r="AN268" s="21"/>
      <c r="AO268" s="22">
        <v>50.0</v>
      </c>
      <c r="AP268" s="23">
        <v>35.0</v>
      </c>
      <c r="AQ268" s="23">
        <v>55.0</v>
      </c>
      <c r="AR268" s="23">
        <v>25.0</v>
      </c>
      <c r="AS268" s="23">
        <v>25.0</v>
      </c>
      <c r="AT268" s="23">
        <v>15.0</v>
      </c>
      <c r="AU268" s="24">
        <v>205.0</v>
      </c>
      <c r="AV268" s="21"/>
      <c r="AW268" s="78">
        <v>50.0</v>
      </c>
      <c r="AX268" s="79">
        <v>35.0</v>
      </c>
      <c r="AY268" s="182">
        <v>55.0</v>
      </c>
      <c r="AZ268" s="182">
        <v>25.0</v>
      </c>
      <c r="BA268" s="182">
        <v>25.0</v>
      </c>
      <c r="BB268" s="182">
        <v>15.0</v>
      </c>
      <c r="BC268" s="183">
        <v>205.0</v>
      </c>
      <c r="BE268" s="156" t="s">
        <v>162</v>
      </c>
      <c r="BF268" s="113"/>
      <c r="BG268" s="384"/>
      <c r="BI268" s="31" t="s">
        <v>5</v>
      </c>
      <c r="BJ268" s="32" t="s">
        <v>5</v>
      </c>
      <c r="BK268" s="32">
        <v>2.0</v>
      </c>
      <c r="BL268" s="32" t="s">
        <v>5</v>
      </c>
      <c r="BM268" s="32" t="s">
        <v>5</v>
      </c>
      <c r="BN268" s="33" t="s">
        <v>5</v>
      </c>
      <c r="BP268" s="85" t="s">
        <v>109</v>
      </c>
      <c r="BQ268" s="129"/>
      <c r="BS268" s="87" t="s">
        <v>109</v>
      </c>
      <c r="BT268" s="130"/>
      <c r="BU268" s="37" t="str">
        <f t="shared" si="1"/>
        <v>#NAME?</v>
      </c>
      <c r="BV268" s="89" t="s">
        <v>109</v>
      </c>
      <c r="BW268" s="37" t="str">
        <f t="shared" si="2"/>
        <v>#NAME?</v>
      </c>
      <c r="BX268" s="89"/>
      <c r="BY268" s="39"/>
      <c r="BZ268" s="39"/>
      <c r="CA268" s="40" t="s">
        <v>109</v>
      </c>
      <c r="CB268" s="41"/>
      <c r="CC268" s="90" t="s">
        <v>109</v>
      </c>
      <c r="CD268" s="91"/>
      <c r="CE268" s="21"/>
      <c r="CF268" s="92" t="s">
        <v>163</v>
      </c>
      <c r="CG268" s="93"/>
      <c r="CH268" s="21"/>
      <c r="CI268" s="191" t="s">
        <v>163</v>
      </c>
      <c r="CJ268" s="94" t="s">
        <v>163</v>
      </c>
      <c r="CK268" s="21"/>
      <c r="CL268" s="22" t="s">
        <v>163</v>
      </c>
      <c r="CM268" s="12"/>
      <c r="CN268" s="48"/>
      <c r="CO268" s="235" t="s">
        <v>2498</v>
      </c>
      <c r="CP268" s="21"/>
      <c r="CQ268" s="2" t="s">
        <v>1431</v>
      </c>
      <c r="CR268" s="97">
        <v>40.0</v>
      </c>
      <c r="CS268" s="2" t="s">
        <v>162</v>
      </c>
      <c r="CT268" s="98">
        <v>72.0</v>
      </c>
      <c r="CU268" s="2"/>
      <c r="CV268" s="52" t="s">
        <v>149</v>
      </c>
      <c r="CW268" s="52" t="s">
        <v>149</v>
      </c>
      <c r="CX268" s="2"/>
      <c r="CY268" s="382" t="s">
        <v>109</v>
      </c>
      <c r="CZ268" s="385"/>
      <c r="DA268" s="2"/>
      <c r="DB268" s="98">
        <v>120.0</v>
      </c>
      <c r="DC268" s="2"/>
      <c r="DD268" s="101" t="s">
        <v>150</v>
      </c>
      <c r="DE268" s="2"/>
      <c r="DF268" s="383" t="s">
        <v>2515</v>
      </c>
      <c r="DG268" s="381" t="s">
        <v>601</v>
      </c>
      <c r="DH268" s="385"/>
      <c r="DI268" s="2"/>
      <c r="DJ268" s="2"/>
      <c r="DK268" s="59" t="s">
        <v>2516</v>
      </c>
      <c r="DL268" s="37" t="s">
        <v>120</v>
      </c>
      <c r="DM268" s="37" t="str">
        <f t="shared" si="3"/>
        <v>#NAME?</v>
      </c>
      <c r="DN268" s="61"/>
      <c r="DO268" s="37">
        <v>40.0</v>
      </c>
      <c r="DP268" s="105">
        <v>1.0</v>
      </c>
      <c r="DQ268" s="62" t="s">
        <v>206</v>
      </c>
      <c r="DR268" s="63"/>
      <c r="DS268" s="198"/>
      <c r="DT268" s="108"/>
      <c r="DU268" s="108"/>
      <c r="DV268" s="182"/>
      <c r="DW268" s="182"/>
      <c r="DX268" s="182"/>
      <c r="DY268" s="182"/>
      <c r="DZ268" s="182"/>
      <c r="EA268" s="182"/>
      <c r="EB268" s="2"/>
      <c r="EC268" s="2"/>
      <c r="ED268" s="2"/>
      <c r="EE268" s="2"/>
      <c r="EF268" s="149" t="s">
        <v>2517</v>
      </c>
      <c r="EG268" s="69" t="str">
        <f>image("https://www.pokebip.com/pages/icones/objets/petit-champi.png", 3)</f>
        <v/>
      </c>
      <c r="EH268" s="69"/>
      <c r="EI268" s="69"/>
    </row>
    <row r="269" ht="15.75" customHeight="1">
      <c r="A269" s="1">
        <v>269.0</v>
      </c>
      <c r="B269" s="2" t="s">
        <v>2518</v>
      </c>
      <c r="C269" s="7"/>
      <c r="D269" s="4" t="s">
        <v>2519</v>
      </c>
      <c r="E269" s="5"/>
      <c r="F269" s="6"/>
      <c r="G269" s="7"/>
      <c r="H269" s="8" t="s">
        <v>2520</v>
      </c>
      <c r="I269" s="9" t="s">
        <v>2521</v>
      </c>
      <c r="J269" s="355" t="str">
        <f>image("https://archives.bulbagarden.net/media/upload/a/ac/269MS6.png", 3)</f>
        <v/>
      </c>
      <c r="K269" s="11" t="s">
        <v>2519</v>
      </c>
      <c r="L269" s="12"/>
      <c r="M269" s="12"/>
      <c r="N269" s="12"/>
      <c r="O269" s="12"/>
      <c r="Q269" s="71">
        <v>60.0</v>
      </c>
      <c r="R269" s="72">
        <v>50.0</v>
      </c>
      <c r="S269" s="73">
        <v>70.0</v>
      </c>
      <c r="T269" s="74">
        <v>50.0</v>
      </c>
      <c r="U269" s="75">
        <v>90.0</v>
      </c>
      <c r="V269" s="76">
        <v>65.0</v>
      </c>
      <c r="W269" s="77">
        <v>385.0</v>
      </c>
      <c r="X269" s="21"/>
      <c r="Y269" s="71">
        <v>60.0</v>
      </c>
      <c r="Z269" s="72">
        <v>50.0</v>
      </c>
      <c r="AA269" s="73">
        <v>70.0</v>
      </c>
      <c r="AB269" s="74">
        <v>50.0</v>
      </c>
      <c r="AC269" s="75">
        <v>90.0</v>
      </c>
      <c r="AD269" s="76">
        <v>65.0</v>
      </c>
      <c r="AE269" s="77">
        <v>385.0</v>
      </c>
      <c r="AF269" s="21"/>
      <c r="AG269" s="71">
        <v>60.0</v>
      </c>
      <c r="AH269" s="72">
        <v>50.0</v>
      </c>
      <c r="AI269" s="109">
        <v>75.0</v>
      </c>
      <c r="AJ269" s="109">
        <v>75.0</v>
      </c>
      <c r="AK269" s="109">
        <v>115.0</v>
      </c>
      <c r="AL269" s="109">
        <v>75.0</v>
      </c>
      <c r="AM269" s="110">
        <v>450.0</v>
      </c>
      <c r="AN269" s="21"/>
      <c r="AO269" s="22">
        <v>60.0</v>
      </c>
      <c r="AP269" s="23">
        <v>50.0</v>
      </c>
      <c r="AQ269" s="23" t="s">
        <v>154</v>
      </c>
      <c r="AR269" s="23" t="s">
        <v>154</v>
      </c>
      <c r="AS269" s="23" t="s">
        <v>213</v>
      </c>
      <c r="AT269" s="23" t="s">
        <v>154</v>
      </c>
      <c r="AU269" s="24" t="s">
        <v>176</v>
      </c>
      <c r="AV269" s="21"/>
      <c r="AW269" s="78">
        <v>60.0</v>
      </c>
      <c r="AX269" s="79">
        <v>50.0</v>
      </c>
      <c r="AY269" s="111">
        <v>75.0</v>
      </c>
      <c r="AZ269" s="111">
        <v>75.0</v>
      </c>
      <c r="BA269" s="111">
        <v>115.0</v>
      </c>
      <c r="BB269" s="111">
        <v>75.0</v>
      </c>
      <c r="BC269" s="111">
        <v>450.0</v>
      </c>
      <c r="BE269" s="150" t="s">
        <v>129</v>
      </c>
      <c r="BF269" s="138"/>
      <c r="BG269" s="128"/>
      <c r="BI269" s="31" t="s">
        <v>5</v>
      </c>
      <c r="BJ269" s="32" t="s">
        <v>5</v>
      </c>
      <c r="BK269" s="32" t="s">
        <v>5</v>
      </c>
      <c r="BL269" s="32" t="s">
        <v>5</v>
      </c>
      <c r="BM269" s="32">
        <v>3.0</v>
      </c>
      <c r="BN269" s="33" t="s">
        <v>5</v>
      </c>
      <c r="BP269" s="115" t="s">
        <v>109</v>
      </c>
      <c r="BQ269" s="116" t="s">
        <v>7</v>
      </c>
      <c r="BS269" s="115" t="s">
        <v>109</v>
      </c>
      <c r="BT269" s="117" t="s">
        <v>7</v>
      </c>
      <c r="BU269" s="37" t="str">
        <f t="shared" si="1"/>
        <v>#NAME?</v>
      </c>
      <c r="BV269" s="89" t="s">
        <v>109</v>
      </c>
      <c r="BW269" s="37" t="str">
        <f t="shared" si="2"/>
        <v>#NAME?</v>
      </c>
      <c r="BX269" s="89" t="s">
        <v>7</v>
      </c>
      <c r="BY269" s="39"/>
      <c r="BZ269" s="39"/>
      <c r="CA269" s="40" t="s">
        <v>191</v>
      </c>
      <c r="CB269" s="41"/>
      <c r="CC269" s="90" t="s">
        <v>109</v>
      </c>
      <c r="CD269" s="91" t="s">
        <v>7</v>
      </c>
      <c r="CE269" s="2"/>
      <c r="CF269" s="92" t="s">
        <v>145</v>
      </c>
      <c r="CG269" s="93"/>
      <c r="CH269" s="2"/>
      <c r="CI269" s="191" t="s">
        <v>145</v>
      </c>
      <c r="CJ269" s="152" t="s">
        <v>178</v>
      </c>
      <c r="CK269" s="2"/>
      <c r="CL269" s="22" t="s">
        <v>145</v>
      </c>
      <c r="CM269" s="12"/>
      <c r="CN269" s="48"/>
      <c r="CO269" s="193" t="s">
        <v>2522</v>
      </c>
      <c r="CP269" s="2"/>
      <c r="CQ269" s="2" t="s">
        <v>2523</v>
      </c>
      <c r="CR269" s="97">
        <v>60.0</v>
      </c>
      <c r="CS269" s="2" t="s">
        <v>129</v>
      </c>
      <c r="CT269" s="98">
        <v>161.0</v>
      </c>
      <c r="CU269" s="2"/>
      <c r="CV269" s="52" t="s">
        <v>149</v>
      </c>
      <c r="CW269" s="52" t="s">
        <v>149</v>
      </c>
      <c r="CX269" s="2"/>
      <c r="CY269" s="119" t="s">
        <v>109</v>
      </c>
      <c r="CZ269" s="160"/>
      <c r="DA269" s="2"/>
      <c r="DB269" s="98">
        <v>45.0</v>
      </c>
      <c r="DC269" s="2"/>
      <c r="DD269" s="101" t="s">
        <v>150</v>
      </c>
      <c r="DE269" s="2"/>
      <c r="DF269" s="120" t="s">
        <v>2524</v>
      </c>
      <c r="DG269" s="119"/>
      <c r="DH269" s="160"/>
      <c r="DI269" s="2"/>
      <c r="DJ269" s="2"/>
      <c r="DK269" s="59" t="s">
        <v>2525</v>
      </c>
      <c r="DL269" s="37" t="s">
        <v>66</v>
      </c>
      <c r="DM269" s="37" t="str">
        <f t="shared" si="3"/>
        <v>#NAME?</v>
      </c>
      <c r="DN269" s="61"/>
      <c r="DO269" s="37" t="s">
        <v>337</v>
      </c>
      <c r="DP269" s="105">
        <v>1.0</v>
      </c>
      <c r="DQ269" s="62" t="s">
        <v>20</v>
      </c>
      <c r="DR269" s="155"/>
      <c r="DS269" s="251"/>
      <c r="DT269" s="108"/>
      <c r="DU269" s="108"/>
      <c r="DV269" s="252"/>
      <c r="DW269" s="252"/>
      <c r="DX269" s="252"/>
      <c r="DY269" s="252"/>
      <c r="DZ269" s="252"/>
      <c r="EA269" s="252"/>
      <c r="EB269" s="2"/>
      <c r="EC269" s="2"/>
      <c r="ED269" s="2"/>
      <c r="EE269" s="2"/>
      <c r="EF269" s="149" t="s">
        <v>2526</v>
      </c>
      <c r="EG269" s="69" t="str">
        <f>image("https://www.pokebip.com/pages/icones/objets/poussiere-etoile.png", 3)</f>
        <v/>
      </c>
      <c r="EH269" s="69"/>
      <c r="EI269" s="69"/>
    </row>
    <row r="270" ht="15.75" customHeight="1">
      <c r="A270" s="1">
        <v>270.0</v>
      </c>
      <c r="B270" s="2" t="s">
        <v>2527</v>
      </c>
      <c r="C270" s="7"/>
      <c r="D270" s="4" t="s">
        <v>2528</v>
      </c>
      <c r="E270" s="5"/>
      <c r="F270" s="6"/>
      <c r="G270" s="7"/>
      <c r="H270" s="8" t="s">
        <v>2529</v>
      </c>
      <c r="I270" s="9" t="s">
        <v>2530</v>
      </c>
      <c r="J270" s="355" t="str">
        <f>image("https://archives.bulbagarden.net/media/upload/1/18/270MS6.png", 3)</f>
        <v/>
      </c>
      <c r="K270" s="11" t="s">
        <v>2528</v>
      </c>
      <c r="L270" s="12"/>
      <c r="M270" s="12"/>
      <c r="N270" s="12"/>
      <c r="O270" s="12"/>
      <c r="Q270" s="71">
        <v>40.0</v>
      </c>
      <c r="R270" s="72">
        <v>30.0</v>
      </c>
      <c r="S270" s="73">
        <v>30.0</v>
      </c>
      <c r="T270" s="74">
        <v>40.0</v>
      </c>
      <c r="U270" s="75">
        <v>50.0</v>
      </c>
      <c r="V270" s="76">
        <v>30.0</v>
      </c>
      <c r="W270" s="77">
        <v>220.0</v>
      </c>
      <c r="X270" s="21"/>
      <c r="Y270" s="71">
        <v>40.0</v>
      </c>
      <c r="Z270" s="72">
        <v>30.0</v>
      </c>
      <c r="AA270" s="73">
        <v>30.0</v>
      </c>
      <c r="AB270" s="74">
        <v>40.0</v>
      </c>
      <c r="AC270" s="75">
        <v>50.0</v>
      </c>
      <c r="AD270" s="76">
        <v>30.0</v>
      </c>
      <c r="AE270" s="77">
        <v>220.0</v>
      </c>
      <c r="AF270" s="21"/>
      <c r="AG270" s="71">
        <v>40.0</v>
      </c>
      <c r="AH270" s="72">
        <v>30.0</v>
      </c>
      <c r="AI270" s="73">
        <v>30.0</v>
      </c>
      <c r="AJ270" s="74">
        <v>40.0</v>
      </c>
      <c r="AK270" s="75">
        <v>50.0</v>
      </c>
      <c r="AL270" s="76">
        <v>30.0</v>
      </c>
      <c r="AM270" s="77">
        <v>220.0</v>
      </c>
      <c r="AN270" s="21"/>
      <c r="AO270" s="22">
        <v>40.0</v>
      </c>
      <c r="AP270" s="23">
        <v>30.0</v>
      </c>
      <c r="AQ270" s="23">
        <v>30.0</v>
      </c>
      <c r="AR270" s="23">
        <v>40.0</v>
      </c>
      <c r="AS270" s="23">
        <v>50.0</v>
      </c>
      <c r="AT270" s="23">
        <v>30.0</v>
      </c>
      <c r="AU270" s="24">
        <v>220.0</v>
      </c>
      <c r="AV270" s="21"/>
      <c r="AW270" s="78">
        <v>40.0</v>
      </c>
      <c r="AX270" s="79">
        <v>30.0</v>
      </c>
      <c r="AY270" s="124">
        <v>30.0</v>
      </c>
      <c r="AZ270" s="124">
        <v>40.0</v>
      </c>
      <c r="BA270" s="124">
        <v>50.0</v>
      </c>
      <c r="BB270" s="124">
        <v>30.0</v>
      </c>
      <c r="BC270" s="125">
        <v>220.0</v>
      </c>
      <c r="BE270" s="225" t="s">
        <v>27</v>
      </c>
      <c r="BF270" s="386"/>
      <c r="BG270" s="128"/>
      <c r="BI270" s="31" t="s">
        <v>5</v>
      </c>
      <c r="BJ270" s="32" t="s">
        <v>5</v>
      </c>
      <c r="BK270" s="32" t="s">
        <v>5</v>
      </c>
      <c r="BL270" s="32" t="s">
        <v>5</v>
      </c>
      <c r="BM270" s="32">
        <v>1.0</v>
      </c>
      <c r="BN270" s="33" t="s">
        <v>5</v>
      </c>
      <c r="BP270" s="85" t="s">
        <v>32</v>
      </c>
      <c r="BQ270" s="86" t="s">
        <v>6</v>
      </c>
      <c r="BS270" s="87" t="s">
        <v>32</v>
      </c>
      <c r="BT270" s="88" t="s">
        <v>6</v>
      </c>
      <c r="BU270" s="37" t="str">
        <f t="shared" si="1"/>
        <v>#NAME?</v>
      </c>
      <c r="BV270" s="89" t="s">
        <v>32</v>
      </c>
      <c r="BW270" s="37" t="str">
        <f t="shared" si="2"/>
        <v>#NAME?</v>
      </c>
      <c r="BX270" s="89" t="s">
        <v>6</v>
      </c>
      <c r="BY270" s="39"/>
      <c r="BZ270" s="39"/>
      <c r="CA270" s="40" t="s">
        <v>2531</v>
      </c>
      <c r="CB270" s="41"/>
      <c r="CC270" s="90" t="s">
        <v>32</v>
      </c>
      <c r="CD270" s="91" t="s">
        <v>6</v>
      </c>
      <c r="CE270" s="2"/>
      <c r="CF270" s="92" t="s">
        <v>1212</v>
      </c>
      <c r="CG270" s="93" t="s">
        <v>103</v>
      </c>
      <c r="CH270" s="2"/>
      <c r="CI270" s="92" t="s">
        <v>1212</v>
      </c>
      <c r="CJ270" s="195" t="s">
        <v>103</v>
      </c>
      <c r="CK270" s="2"/>
      <c r="CL270" s="22" t="s">
        <v>1212</v>
      </c>
      <c r="CM270" s="12"/>
      <c r="CN270" s="48"/>
      <c r="CO270" s="196" t="s">
        <v>103</v>
      </c>
      <c r="CP270" s="2"/>
      <c r="CQ270" s="2" t="s">
        <v>2532</v>
      </c>
      <c r="CR270" s="97">
        <v>20.0</v>
      </c>
      <c r="CS270" s="2" t="s">
        <v>27</v>
      </c>
      <c r="CT270" s="98">
        <v>74.0</v>
      </c>
      <c r="CU270" s="2"/>
      <c r="CV270" s="52" t="s">
        <v>149</v>
      </c>
      <c r="CW270" s="52" t="s">
        <v>149</v>
      </c>
      <c r="CX270" s="2"/>
      <c r="CY270" s="381" t="s">
        <v>106</v>
      </c>
      <c r="CZ270" s="382" t="s">
        <v>6</v>
      </c>
      <c r="DA270" s="2"/>
      <c r="DB270" s="98">
        <v>255.0</v>
      </c>
      <c r="DC270" s="2"/>
      <c r="DD270" s="101" t="s">
        <v>15</v>
      </c>
      <c r="DE270" s="2"/>
      <c r="DF270" s="387" t="s">
        <v>2533</v>
      </c>
      <c r="DG270" s="381" t="s">
        <v>2534</v>
      </c>
      <c r="DH270" s="382"/>
      <c r="DI270" s="21"/>
      <c r="DJ270" s="21"/>
      <c r="DK270" s="59" t="s">
        <v>2535</v>
      </c>
      <c r="DL270" s="37" t="s">
        <v>122</v>
      </c>
      <c r="DM270" s="37" t="str">
        <f t="shared" si="3"/>
        <v>#NAME?</v>
      </c>
      <c r="DN270" s="61"/>
      <c r="DO270" s="37">
        <v>65.0</v>
      </c>
      <c r="DP270" s="105">
        <v>1.0</v>
      </c>
      <c r="DQ270" s="62" t="s">
        <v>20</v>
      </c>
      <c r="DR270" s="63"/>
      <c r="DS270" s="198"/>
      <c r="DT270" s="108"/>
      <c r="DU270" s="108"/>
      <c r="DV270" s="182"/>
      <c r="DW270" s="182"/>
      <c r="DX270" s="182"/>
      <c r="DY270" s="182"/>
      <c r="DZ270" s="182"/>
      <c r="EA270" s="182"/>
      <c r="EB270" s="21"/>
      <c r="EC270" s="21"/>
      <c r="ED270" s="21"/>
      <c r="EE270" s="21"/>
      <c r="EG270" s="69" t="str">
        <f>image("", 3)</f>
        <v/>
      </c>
      <c r="EH270" s="69"/>
      <c r="EI270" s="69"/>
    </row>
    <row r="271" ht="15.75" customHeight="1">
      <c r="A271" s="1">
        <v>271.0</v>
      </c>
      <c r="B271" s="2" t="s">
        <v>2536</v>
      </c>
      <c r="C271" s="7"/>
      <c r="D271" s="4" t="s">
        <v>2537</v>
      </c>
      <c r="E271" s="5"/>
      <c r="F271" s="6"/>
      <c r="G271" s="7"/>
      <c r="H271" s="8" t="s">
        <v>2538</v>
      </c>
      <c r="I271" s="9" t="s">
        <v>2539</v>
      </c>
      <c r="J271" s="355" t="str">
        <f>image("https://archives.bulbagarden.net/media/upload/3/3e/271MS6.png", 3)</f>
        <v/>
      </c>
      <c r="K271" s="11" t="s">
        <v>2537</v>
      </c>
      <c r="L271" s="12"/>
      <c r="M271" s="12"/>
      <c r="N271" s="12"/>
      <c r="O271" s="12"/>
      <c r="Q271" s="71">
        <v>60.0</v>
      </c>
      <c r="R271" s="72">
        <v>50.0</v>
      </c>
      <c r="S271" s="73">
        <v>50.0</v>
      </c>
      <c r="T271" s="74">
        <v>60.0</v>
      </c>
      <c r="U271" s="75">
        <v>70.0</v>
      </c>
      <c r="V271" s="76">
        <v>50.0</v>
      </c>
      <c r="W271" s="77">
        <v>340.0</v>
      </c>
      <c r="X271" s="21"/>
      <c r="Y271" s="71">
        <v>60.0</v>
      </c>
      <c r="Z271" s="72">
        <v>50.0</v>
      </c>
      <c r="AA271" s="73">
        <v>50.0</v>
      </c>
      <c r="AB271" s="74">
        <v>60.0</v>
      </c>
      <c r="AC271" s="75">
        <v>70.0</v>
      </c>
      <c r="AD271" s="76">
        <v>50.0</v>
      </c>
      <c r="AE271" s="77">
        <v>340.0</v>
      </c>
      <c r="AF271" s="21"/>
      <c r="AG271" s="71">
        <v>60.0</v>
      </c>
      <c r="AH271" s="72">
        <v>50.0</v>
      </c>
      <c r="AI271" s="73">
        <v>50.0</v>
      </c>
      <c r="AJ271" s="74">
        <v>60.0</v>
      </c>
      <c r="AK271" s="75">
        <v>70.0</v>
      </c>
      <c r="AL271" s="76">
        <v>50.0</v>
      </c>
      <c r="AM271" s="77">
        <v>340.0</v>
      </c>
      <c r="AN271" s="21"/>
      <c r="AO271" s="22">
        <v>60.0</v>
      </c>
      <c r="AP271" s="23">
        <v>50.0</v>
      </c>
      <c r="AQ271" s="23">
        <v>50.0</v>
      </c>
      <c r="AR271" s="23">
        <v>60.0</v>
      </c>
      <c r="AS271" s="23">
        <v>70.0</v>
      </c>
      <c r="AT271" s="23">
        <v>50.0</v>
      </c>
      <c r="AU271" s="24">
        <v>340.0</v>
      </c>
      <c r="AV271" s="21"/>
      <c r="AW271" s="78">
        <v>60.0</v>
      </c>
      <c r="AX271" s="79">
        <v>50.0</v>
      </c>
      <c r="AY271" s="79">
        <v>50.0</v>
      </c>
      <c r="AZ271" s="79">
        <v>60.0</v>
      </c>
      <c r="BA271" s="79">
        <v>70.0</v>
      </c>
      <c r="BB271" s="79">
        <v>50.0</v>
      </c>
      <c r="BC271" s="201">
        <v>340.0</v>
      </c>
      <c r="BE271" s="150" t="s">
        <v>815</v>
      </c>
      <c r="BF271" s="113"/>
      <c r="BG271" s="210"/>
      <c r="BI271" s="31" t="s">
        <v>5</v>
      </c>
      <c r="BJ271" s="32" t="s">
        <v>5</v>
      </c>
      <c r="BK271" s="32" t="s">
        <v>5</v>
      </c>
      <c r="BL271" s="32" t="s">
        <v>5</v>
      </c>
      <c r="BM271" s="32">
        <v>2.0</v>
      </c>
      <c r="BN271" s="33" t="s">
        <v>5</v>
      </c>
      <c r="BP271" s="115" t="s">
        <v>32</v>
      </c>
      <c r="BQ271" s="116" t="s">
        <v>6</v>
      </c>
      <c r="BS271" s="115" t="s">
        <v>32</v>
      </c>
      <c r="BT271" s="117" t="s">
        <v>6</v>
      </c>
      <c r="BU271" s="37" t="str">
        <f t="shared" si="1"/>
        <v>#NAME?</v>
      </c>
      <c r="BV271" s="89" t="s">
        <v>32</v>
      </c>
      <c r="BW271" s="37" t="str">
        <f t="shared" si="2"/>
        <v>#NAME?</v>
      </c>
      <c r="BX271" s="89" t="s">
        <v>6</v>
      </c>
      <c r="BY271" s="39"/>
      <c r="BZ271" s="39"/>
      <c r="CA271" s="40" t="s">
        <v>2531</v>
      </c>
      <c r="CB271" s="41"/>
      <c r="CC271" s="90" t="s">
        <v>32</v>
      </c>
      <c r="CD271" s="91" t="s">
        <v>6</v>
      </c>
      <c r="CE271" s="2"/>
      <c r="CF271" s="92" t="s">
        <v>1212</v>
      </c>
      <c r="CG271" s="93" t="s">
        <v>103</v>
      </c>
      <c r="CH271" s="2"/>
      <c r="CI271" s="92" t="s">
        <v>1212</v>
      </c>
      <c r="CJ271" s="93" t="s">
        <v>103</v>
      </c>
      <c r="CK271" s="2"/>
      <c r="CL271" s="22" t="s">
        <v>1212</v>
      </c>
      <c r="CM271" s="12"/>
      <c r="CN271" s="48"/>
      <c r="CO271" s="96" t="s">
        <v>103</v>
      </c>
      <c r="CP271" s="2"/>
      <c r="CQ271" s="2" t="s">
        <v>1624</v>
      </c>
      <c r="CR271" s="97">
        <v>60.0</v>
      </c>
      <c r="CS271" s="2" t="s">
        <v>815</v>
      </c>
      <c r="CT271" s="98">
        <v>141.0</v>
      </c>
      <c r="CU271" s="2"/>
      <c r="CV271" s="52" t="s">
        <v>149</v>
      </c>
      <c r="CW271" s="52" t="s">
        <v>149</v>
      </c>
      <c r="CX271" s="2"/>
      <c r="CY271" s="118" t="s">
        <v>106</v>
      </c>
      <c r="CZ271" s="119" t="s">
        <v>6</v>
      </c>
      <c r="DA271" s="2"/>
      <c r="DB271" s="98">
        <v>120.0</v>
      </c>
      <c r="DC271" s="2"/>
      <c r="DD271" s="101" t="s">
        <v>15</v>
      </c>
      <c r="DE271" s="2"/>
      <c r="DF271" s="120" t="s">
        <v>2540</v>
      </c>
      <c r="DG271" s="118" t="s">
        <v>2534</v>
      </c>
      <c r="DH271" s="119"/>
      <c r="DI271" s="2"/>
      <c r="DJ271" s="2"/>
      <c r="DK271" s="59" t="s">
        <v>2541</v>
      </c>
      <c r="DL271" s="37" t="s">
        <v>122</v>
      </c>
      <c r="DM271" s="37" t="str">
        <f t="shared" si="3"/>
        <v>#NAME?</v>
      </c>
      <c r="DN271" s="61"/>
      <c r="DO271" s="37">
        <v>90.0</v>
      </c>
      <c r="DP271" s="105">
        <v>1.0</v>
      </c>
      <c r="DQ271" s="62" t="s">
        <v>49</v>
      </c>
      <c r="DR271" s="63"/>
      <c r="DS271" s="198"/>
      <c r="DT271" s="108"/>
      <c r="DU271" s="108"/>
      <c r="DV271" s="182"/>
      <c r="DW271" s="182"/>
      <c r="DX271" s="182"/>
      <c r="DY271" s="182"/>
      <c r="DZ271" s="182"/>
      <c r="EA271" s="182"/>
      <c r="EB271" s="2"/>
      <c r="EC271" s="2"/>
      <c r="ED271" s="2"/>
      <c r="EE271" s="2"/>
      <c r="EF271" s="149" t="s">
        <v>2542</v>
      </c>
      <c r="EG271" s="69" t="str">
        <f>image("https://www.pokebip.com/pages/icones/objets/lettre-acier.png", 3)</f>
        <v/>
      </c>
      <c r="EH271" s="69"/>
      <c r="EI271" s="69"/>
    </row>
    <row r="272" ht="15.75" customHeight="1">
      <c r="A272" s="1">
        <v>272.0</v>
      </c>
      <c r="B272" s="2" t="s">
        <v>2543</v>
      </c>
      <c r="C272" s="7"/>
      <c r="D272" s="4" t="s">
        <v>2544</v>
      </c>
      <c r="E272" s="5"/>
      <c r="F272" s="6"/>
      <c r="G272" s="7"/>
      <c r="H272" s="8" t="s">
        <v>2545</v>
      </c>
      <c r="I272" s="9" t="s">
        <v>2546</v>
      </c>
      <c r="J272" s="355" t="str">
        <f>image("https://archives.bulbagarden.net/media/upload/2/2c/272MS6.png", 3)</f>
        <v/>
      </c>
      <c r="K272" s="11" t="s">
        <v>2544</v>
      </c>
      <c r="L272" s="12"/>
      <c r="M272" s="12"/>
      <c r="N272" s="12"/>
      <c r="O272" s="12"/>
      <c r="Q272" s="71">
        <v>80.0</v>
      </c>
      <c r="R272" s="72">
        <v>70.0</v>
      </c>
      <c r="S272" s="73">
        <v>70.0</v>
      </c>
      <c r="T272" s="74">
        <v>90.0</v>
      </c>
      <c r="U272" s="75">
        <v>100.0</v>
      </c>
      <c r="V272" s="76">
        <v>70.0</v>
      </c>
      <c r="W272" s="77">
        <v>480.0</v>
      </c>
      <c r="X272" s="21"/>
      <c r="Y272" s="71">
        <v>80.0</v>
      </c>
      <c r="Z272" s="72">
        <v>70.0</v>
      </c>
      <c r="AA272" s="73">
        <v>70.0</v>
      </c>
      <c r="AB272" s="74">
        <v>90.0</v>
      </c>
      <c r="AC272" s="75">
        <v>100.0</v>
      </c>
      <c r="AD272" s="76">
        <v>70.0</v>
      </c>
      <c r="AE272" s="77">
        <v>480.0</v>
      </c>
      <c r="AF272" s="21"/>
      <c r="AG272" s="71">
        <v>80.0</v>
      </c>
      <c r="AH272" s="72">
        <v>70.0</v>
      </c>
      <c r="AI272" s="73">
        <v>70.0</v>
      </c>
      <c r="AJ272" s="74">
        <v>90.0</v>
      </c>
      <c r="AK272" s="75">
        <v>100.0</v>
      </c>
      <c r="AL272" s="76">
        <v>70.0</v>
      </c>
      <c r="AM272" s="77">
        <v>480.0</v>
      </c>
      <c r="AN272" s="21"/>
      <c r="AO272" s="22">
        <v>80.0</v>
      </c>
      <c r="AP272" s="23">
        <v>70.0</v>
      </c>
      <c r="AQ272" s="23">
        <v>70.0</v>
      </c>
      <c r="AR272" s="23">
        <v>90.0</v>
      </c>
      <c r="AS272" s="23">
        <v>100.0</v>
      </c>
      <c r="AT272" s="23">
        <v>70.0</v>
      </c>
      <c r="AU272" s="24">
        <v>480.0</v>
      </c>
      <c r="AV272" s="21"/>
      <c r="AW272" s="78">
        <v>80.0</v>
      </c>
      <c r="AX272" s="79">
        <v>70.0</v>
      </c>
      <c r="AY272" s="79">
        <v>70.0</v>
      </c>
      <c r="AZ272" s="79">
        <v>90.0</v>
      </c>
      <c r="BA272" s="79">
        <v>100.0</v>
      </c>
      <c r="BB272" s="79">
        <v>70.0</v>
      </c>
      <c r="BC272" s="201">
        <v>480.0</v>
      </c>
      <c r="BE272" s="150" t="s">
        <v>129</v>
      </c>
      <c r="BF272" s="138"/>
      <c r="BG272" s="128"/>
      <c r="BI272" s="31" t="s">
        <v>5</v>
      </c>
      <c r="BJ272" s="32" t="s">
        <v>5</v>
      </c>
      <c r="BK272" s="32" t="s">
        <v>5</v>
      </c>
      <c r="BL272" s="32" t="s">
        <v>5</v>
      </c>
      <c r="BM272" s="32">
        <v>3.0</v>
      </c>
      <c r="BN272" s="33" t="s">
        <v>5</v>
      </c>
      <c r="BP272" s="85" t="s">
        <v>32</v>
      </c>
      <c r="BQ272" s="86" t="s">
        <v>6</v>
      </c>
      <c r="BS272" s="87" t="s">
        <v>32</v>
      </c>
      <c r="BT272" s="88" t="s">
        <v>6</v>
      </c>
      <c r="BU272" s="37" t="str">
        <f t="shared" si="1"/>
        <v>#NAME?</v>
      </c>
      <c r="BV272" s="89" t="s">
        <v>32</v>
      </c>
      <c r="BW272" s="37" t="str">
        <f t="shared" si="2"/>
        <v>#NAME?</v>
      </c>
      <c r="BX272" s="89" t="s">
        <v>6</v>
      </c>
      <c r="BY272" s="39"/>
      <c r="BZ272" s="39"/>
      <c r="CA272" s="40" t="s">
        <v>2531</v>
      </c>
      <c r="CB272" s="41"/>
      <c r="CC272" s="90" t="s">
        <v>32</v>
      </c>
      <c r="CD272" s="91" t="s">
        <v>6</v>
      </c>
      <c r="CE272" s="2"/>
      <c r="CF272" s="92" t="s">
        <v>1212</v>
      </c>
      <c r="CG272" s="93" t="s">
        <v>103</v>
      </c>
      <c r="CH272" s="2"/>
      <c r="CI272" s="92" t="s">
        <v>1212</v>
      </c>
      <c r="CJ272" s="93" t="s">
        <v>103</v>
      </c>
      <c r="CK272" s="2"/>
      <c r="CL272" s="22" t="s">
        <v>1212</v>
      </c>
      <c r="CM272" s="12"/>
      <c r="CN272" s="48"/>
      <c r="CO272" s="96" t="s">
        <v>103</v>
      </c>
      <c r="CP272" s="2"/>
      <c r="CQ272" s="2" t="s">
        <v>538</v>
      </c>
      <c r="CR272" s="97">
        <v>80.0</v>
      </c>
      <c r="CS272" s="2" t="s">
        <v>129</v>
      </c>
      <c r="CT272" s="98">
        <v>181.0</v>
      </c>
      <c r="CU272" s="2"/>
      <c r="CV272" s="52" t="s">
        <v>149</v>
      </c>
      <c r="CW272" s="52" t="s">
        <v>149</v>
      </c>
      <c r="CX272" s="2"/>
      <c r="CY272" s="381" t="s">
        <v>106</v>
      </c>
      <c r="CZ272" s="382" t="s">
        <v>6</v>
      </c>
      <c r="DA272" s="2"/>
      <c r="DB272" s="98">
        <v>45.0</v>
      </c>
      <c r="DC272" s="2"/>
      <c r="DD272" s="101" t="s">
        <v>15</v>
      </c>
      <c r="DE272" s="2"/>
      <c r="DF272" s="383" t="s">
        <v>2547</v>
      </c>
      <c r="DG272" s="381" t="s">
        <v>2534</v>
      </c>
      <c r="DH272" s="382"/>
      <c r="DI272" s="2"/>
      <c r="DJ272" s="2"/>
      <c r="DK272" s="59" t="s">
        <v>2548</v>
      </c>
      <c r="DL272" s="37" t="s">
        <v>122</v>
      </c>
      <c r="DM272" s="37" t="str">
        <f t="shared" si="3"/>
        <v>#NAME?</v>
      </c>
      <c r="DN272" s="61"/>
      <c r="DO272" s="37">
        <v>140.0</v>
      </c>
      <c r="DP272" s="105">
        <v>0.9</v>
      </c>
      <c r="DQ272" s="62" t="s">
        <v>293</v>
      </c>
      <c r="DR272" s="63"/>
      <c r="DS272" s="198"/>
      <c r="DT272" s="108"/>
      <c r="DU272" s="108"/>
      <c r="DV272" s="182"/>
      <c r="DW272" s="182"/>
      <c r="DX272" s="182"/>
      <c r="DY272" s="182"/>
      <c r="DZ272" s="182"/>
      <c r="EA272" s="182"/>
      <c r="EB272" s="2"/>
      <c r="EC272" s="2"/>
      <c r="ED272" s="2"/>
      <c r="EE272" s="2"/>
      <c r="EF272" s="149" t="s">
        <v>2549</v>
      </c>
      <c r="EG272" s="69" t="str">
        <f>image("https://www.pokebip.com/pages/icones/objets/lettre-avion.png", 3)</f>
        <v/>
      </c>
      <c r="EH272" s="69"/>
      <c r="EI272" s="69"/>
    </row>
    <row r="273" ht="15.75" customHeight="1">
      <c r="A273" s="1">
        <v>273.0</v>
      </c>
      <c r="B273" s="2" t="s">
        <v>2550</v>
      </c>
      <c r="C273" s="7"/>
      <c r="D273" s="167" t="s">
        <v>2551</v>
      </c>
      <c r="E273" s="5"/>
      <c r="F273" s="168"/>
      <c r="G273" s="7"/>
      <c r="H273" s="8" t="s">
        <v>2552</v>
      </c>
      <c r="I273" s="9" t="s">
        <v>2553</v>
      </c>
      <c r="J273" s="355" t="str">
        <f>image("https://archives.bulbagarden.net/media/upload/9/92/273MS6.png", 3)</f>
        <v/>
      </c>
      <c r="K273" s="11" t="s">
        <v>2551</v>
      </c>
      <c r="L273" s="12"/>
      <c r="M273" s="12"/>
      <c r="N273" s="12"/>
      <c r="O273" s="12"/>
      <c r="Q273" s="71">
        <v>40.0</v>
      </c>
      <c r="R273" s="72">
        <v>40.0</v>
      </c>
      <c r="S273" s="73">
        <v>50.0</v>
      </c>
      <c r="T273" s="74">
        <v>30.0</v>
      </c>
      <c r="U273" s="75">
        <v>30.0</v>
      </c>
      <c r="V273" s="76">
        <v>30.0</v>
      </c>
      <c r="W273" s="77">
        <v>220.0</v>
      </c>
      <c r="X273" s="21"/>
      <c r="Y273" s="71">
        <v>40.0</v>
      </c>
      <c r="Z273" s="72">
        <v>40.0</v>
      </c>
      <c r="AA273" s="73">
        <v>50.0</v>
      </c>
      <c r="AB273" s="74">
        <v>30.0</v>
      </c>
      <c r="AC273" s="75">
        <v>30.0</v>
      </c>
      <c r="AD273" s="76">
        <v>30.0</v>
      </c>
      <c r="AE273" s="77">
        <v>220.0</v>
      </c>
      <c r="AF273" s="21"/>
      <c r="AG273" s="71">
        <v>40.0</v>
      </c>
      <c r="AH273" s="72">
        <v>40.0</v>
      </c>
      <c r="AI273" s="73">
        <v>50.0</v>
      </c>
      <c r="AJ273" s="74">
        <v>30.0</v>
      </c>
      <c r="AK273" s="75">
        <v>30.0</v>
      </c>
      <c r="AL273" s="76">
        <v>30.0</v>
      </c>
      <c r="AM273" s="77">
        <v>220.0</v>
      </c>
      <c r="AN273" s="21"/>
      <c r="AO273" s="22">
        <v>40.0</v>
      </c>
      <c r="AP273" s="23">
        <v>40.0</v>
      </c>
      <c r="AQ273" s="23">
        <v>50.0</v>
      </c>
      <c r="AR273" s="23">
        <v>30.0</v>
      </c>
      <c r="AS273" s="23">
        <v>30.0</v>
      </c>
      <c r="AT273" s="23">
        <v>30.0</v>
      </c>
      <c r="AU273" s="24">
        <v>220.0</v>
      </c>
      <c r="AV273" s="21"/>
      <c r="AW273" s="78">
        <v>40.0</v>
      </c>
      <c r="AX273" s="79">
        <v>40.0</v>
      </c>
      <c r="AY273" s="79">
        <v>50.0</v>
      </c>
      <c r="AZ273" s="79">
        <v>30.0</v>
      </c>
      <c r="BA273" s="79">
        <v>30.0</v>
      </c>
      <c r="BB273" s="79">
        <v>30.0</v>
      </c>
      <c r="BC273" s="201">
        <v>220.0</v>
      </c>
      <c r="BE273" s="142" t="s">
        <v>101</v>
      </c>
      <c r="BF273" s="143"/>
      <c r="BG273" s="128"/>
      <c r="BI273" s="31" t="s">
        <v>5</v>
      </c>
      <c r="BJ273" s="32" t="s">
        <v>5</v>
      </c>
      <c r="BK273" s="32">
        <v>1.0</v>
      </c>
      <c r="BL273" s="32" t="s">
        <v>5</v>
      </c>
      <c r="BM273" s="32" t="s">
        <v>5</v>
      </c>
      <c r="BN273" s="33" t="s">
        <v>5</v>
      </c>
      <c r="BP273" s="115" t="s">
        <v>6</v>
      </c>
      <c r="BQ273" s="93"/>
      <c r="BS273" s="115" t="s">
        <v>6</v>
      </c>
      <c r="BT273" s="133"/>
      <c r="BU273" s="37" t="str">
        <f t="shared" si="1"/>
        <v>#NAME?</v>
      </c>
      <c r="BV273" s="89" t="s">
        <v>6</v>
      </c>
      <c r="BW273" s="37" t="str">
        <f t="shared" si="2"/>
        <v>#NAME?</v>
      </c>
      <c r="BX273" s="89"/>
      <c r="BY273" s="39"/>
      <c r="BZ273" s="39"/>
      <c r="CA273" s="40" t="s">
        <v>6</v>
      </c>
      <c r="CB273" s="41"/>
      <c r="CC273" s="90" t="s">
        <v>6</v>
      </c>
      <c r="CD273" s="91"/>
      <c r="CE273" s="21"/>
      <c r="CF273" s="92" t="s">
        <v>43</v>
      </c>
      <c r="CG273" s="93" t="s">
        <v>924</v>
      </c>
      <c r="CH273" s="21"/>
      <c r="CI273" s="92" t="s">
        <v>43</v>
      </c>
      <c r="CJ273" s="93" t="s">
        <v>924</v>
      </c>
      <c r="CK273" s="21"/>
      <c r="CL273" s="22" t="s">
        <v>43</v>
      </c>
      <c r="CM273" s="12"/>
      <c r="CN273" s="48"/>
      <c r="CO273" s="96" t="s">
        <v>924</v>
      </c>
      <c r="CP273" s="21"/>
      <c r="CQ273" s="2" t="s">
        <v>780</v>
      </c>
      <c r="CR273" s="97">
        <v>20.0</v>
      </c>
      <c r="CS273" s="2" t="s">
        <v>101</v>
      </c>
      <c r="CT273" s="98">
        <v>74.0</v>
      </c>
      <c r="CU273" s="2"/>
      <c r="CV273" s="52" t="s">
        <v>149</v>
      </c>
      <c r="CW273" s="52" t="s">
        <v>149</v>
      </c>
      <c r="CX273" s="2"/>
      <c r="CY273" s="118" t="s">
        <v>277</v>
      </c>
      <c r="CZ273" s="119" t="s">
        <v>6</v>
      </c>
      <c r="DA273" s="2"/>
      <c r="DB273" s="98">
        <v>255.0</v>
      </c>
      <c r="DC273" s="2"/>
      <c r="DD273" s="101" t="s">
        <v>15</v>
      </c>
      <c r="DE273" s="2"/>
      <c r="DF273" s="148" t="s">
        <v>2554</v>
      </c>
      <c r="DG273" s="118" t="s">
        <v>2555</v>
      </c>
      <c r="DH273" s="119"/>
      <c r="DI273" s="21"/>
      <c r="DJ273" s="21"/>
      <c r="DK273" s="59" t="s">
        <v>2556</v>
      </c>
      <c r="DL273" s="37" t="s">
        <v>122</v>
      </c>
      <c r="DM273" s="37" t="str">
        <f t="shared" si="3"/>
        <v>#NAME?</v>
      </c>
      <c r="DN273" s="61"/>
      <c r="DO273" s="37" t="s">
        <v>19</v>
      </c>
      <c r="DP273" s="37" t="s">
        <v>225</v>
      </c>
      <c r="DQ273" s="62" t="s">
        <v>93</v>
      </c>
      <c r="DR273" s="63"/>
      <c r="DS273" s="198"/>
      <c r="DT273" s="108"/>
      <c r="DU273" s="108"/>
      <c r="DV273" s="182"/>
      <c r="DW273" s="182"/>
      <c r="DX273" s="182"/>
      <c r="DY273" s="182"/>
      <c r="DZ273" s="182"/>
      <c r="EA273" s="182"/>
      <c r="EB273" s="21"/>
      <c r="EC273" s="21"/>
      <c r="ED273" s="21"/>
      <c r="EE273" s="21"/>
      <c r="EF273" s="149" t="s">
        <v>2557</v>
      </c>
      <c r="EG273" s="69" t="str">
        <f>image("https://www.pokebip.com/pages/icones/objets/lettre-coeur.png", 3)</f>
        <v/>
      </c>
      <c r="EH273" s="69"/>
      <c r="EI273" s="69"/>
    </row>
    <row r="274" ht="15.75" customHeight="1">
      <c r="A274" s="1">
        <v>274.0</v>
      </c>
      <c r="B274" s="2" t="s">
        <v>2558</v>
      </c>
      <c r="C274" s="7"/>
      <c r="D274" s="167" t="s">
        <v>2559</v>
      </c>
      <c r="E274" s="5"/>
      <c r="F274" s="168"/>
      <c r="G274" s="7"/>
      <c r="H274" s="8" t="s">
        <v>2560</v>
      </c>
      <c r="I274" s="9" t="s">
        <v>2561</v>
      </c>
      <c r="J274" s="355" t="str">
        <f>image("https://archives.bulbagarden.net/media/upload/c/cb/274MS6.png", 3)</f>
        <v/>
      </c>
      <c r="K274" s="11" t="s">
        <v>2559</v>
      </c>
      <c r="L274" s="12"/>
      <c r="M274" s="12"/>
      <c r="N274" s="12"/>
      <c r="O274" s="12"/>
      <c r="Q274" s="71">
        <v>70.0</v>
      </c>
      <c r="R274" s="72">
        <v>70.0</v>
      </c>
      <c r="S274" s="73">
        <v>40.0</v>
      </c>
      <c r="T274" s="74">
        <v>60.0</v>
      </c>
      <c r="U274" s="75">
        <v>40.0</v>
      </c>
      <c r="V274" s="76">
        <v>60.0</v>
      </c>
      <c r="W274" s="77">
        <v>340.0</v>
      </c>
      <c r="X274" s="21"/>
      <c r="Y274" s="71">
        <v>70.0</v>
      </c>
      <c r="Z274" s="72">
        <v>70.0</v>
      </c>
      <c r="AA274" s="73">
        <v>40.0</v>
      </c>
      <c r="AB274" s="74">
        <v>60.0</v>
      </c>
      <c r="AC274" s="75">
        <v>40.0</v>
      </c>
      <c r="AD274" s="76">
        <v>60.0</v>
      </c>
      <c r="AE274" s="77">
        <v>340.0</v>
      </c>
      <c r="AF274" s="21"/>
      <c r="AG274" s="71">
        <v>70.0</v>
      </c>
      <c r="AH274" s="72">
        <v>70.0</v>
      </c>
      <c r="AI274" s="73">
        <v>40.0</v>
      </c>
      <c r="AJ274" s="74">
        <v>60.0</v>
      </c>
      <c r="AK274" s="75">
        <v>40.0</v>
      </c>
      <c r="AL274" s="76">
        <v>60.0</v>
      </c>
      <c r="AM274" s="77">
        <v>340.0</v>
      </c>
      <c r="AN274" s="21"/>
      <c r="AO274" s="22">
        <v>70.0</v>
      </c>
      <c r="AP274" s="23">
        <v>70.0</v>
      </c>
      <c r="AQ274" s="23">
        <v>40.0</v>
      </c>
      <c r="AR274" s="23">
        <v>60.0</v>
      </c>
      <c r="AS274" s="23">
        <v>40.0</v>
      </c>
      <c r="AT274" s="23">
        <v>60.0</v>
      </c>
      <c r="AU274" s="24">
        <v>340.0</v>
      </c>
      <c r="AV274" s="21"/>
      <c r="AW274" s="78">
        <v>70.0</v>
      </c>
      <c r="AX274" s="79">
        <v>70.0</v>
      </c>
      <c r="AY274" s="79">
        <v>40.0</v>
      </c>
      <c r="AZ274" s="79">
        <v>60.0</v>
      </c>
      <c r="BA274" s="79">
        <v>40.0</v>
      </c>
      <c r="BB274" s="79">
        <v>60.0</v>
      </c>
      <c r="BC274" s="201">
        <v>340.0</v>
      </c>
      <c r="BE274" s="172" t="s">
        <v>216</v>
      </c>
      <c r="BF274" s="113"/>
      <c r="BG274" s="384"/>
      <c r="BI274" s="31" t="s">
        <v>5</v>
      </c>
      <c r="BJ274" s="32">
        <v>2.0</v>
      </c>
      <c r="BK274" s="32" t="s">
        <v>5</v>
      </c>
      <c r="BL274" s="32" t="s">
        <v>5</v>
      </c>
      <c r="BM274" s="32" t="s">
        <v>5</v>
      </c>
      <c r="BN274" s="33" t="s">
        <v>5</v>
      </c>
      <c r="BP274" s="85" t="s">
        <v>6</v>
      </c>
      <c r="BQ274" s="86" t="s">
        <v>76</v>
      </c>
      <c r="BS274" s="87" t="s">
        <v>6</v>
      </c>
      <c r="BT274" s="88" t="s">
        <v>76</v>
      </c>
      <c r="BU274" s="37" t="str">
        <f t="shared" si="1"/>
        <v>#NAME?</v>
      </c>
      <c r="BV274" s="89" t="s">
        <v>6</v>
      </c>
      <c r="BW274" s="37" t="str">
        <f t="shared" si="2"/>
        <v>#NAME?</v>
      </c>
      <c r="BX274" s="89" t="s">
        <v>76</v>
      </c>
      <c r="BY274" s="39"/>
      <c r="BZ274" s="39"/>
      <c r="CA274" s="40" t="s">
        <v>2562</v>
      </c>
      <c r="CB274" s="41"/>
      <c r="CC274" s="90" t="s">
        <v>6</v>
      </c>
      <c r="CD274" s="91" t="s">
        <v>76</v>
      </c>
      <c r="CE274" s="2"/>
      <c r="CF274" s="92" t="s">
        <v>43</v>
      </c>
      <c r="CG274" s="93" t="s">
        <v>924</v>
      </c>
      <c r="CH274" s="2"/>
      <c r="CI274" s="92" t="s">
        <v>43</v>
      </c>
      <c r="CJ274" s="93" t="s">
        <v>924</v>
      </c>
      <c r="CK274" s="2"/>
      <c r="CL274" s="22" t="s">
        <v>43</v>
      </c>
      <c r="CM274" s="12"/>
      <c r="CN274" s="48"/>
      <c r="CO274" s="96" t="s">
        <v>924</v>
      </c>
      <c r="CP274" s="2"/>
      <c r="CQ274" s="2" t="s">
        <v>668</v>
      </c>
      <c r="CR274" s="97">
        <v>60.0</v>
      </c>
      <c r="CS274" s="2" t="s">
        <v>216</v>
      </c>
      <c r="CT274" s="98">
        <v>141.0</v>
      </c>
      <c r="CU274" s="2"/>
      <c r="CV274" s="52" t="s">
        <v>149</v>
      </c>
      <c r="CW274" s="52" t="s">
        <v>149</v>
      </c>
      <c r="CX274" s="2"/>
      <c r="CY274" s="381" t="s">
        <v>277</v>
      </c>
      <c r="CZ274" s="382" t="s">
        <v>6</v>
      </c>
      <c r="DA274" s="2"/>
      <c r="DB274" s="98">
        <v>120.0</v>
      </c>
      <c r="DC274" s="2"/>
      <c r="DD274" s="101" t="s">
        <v>15</v>
      </c>
      <c r="DE274" s="2"/>
      <c r="DF274" s="383" t="s">
        <v>2563</v>
      </c>
      <c r="DG274" s="381" t="s">
        <v>2555</v>
      </c>
      <c r="DH274" s="382"/>
      <c r="DI274" s="2"/>
      <c r="DJ274" s="2"/>
      <c r="DK274" s="59" t="s">
        <v>2564</v>
      </c>
      <c r="DL274" s="37" t="s">
        <v>156</v>
      </c>
      <c r="DM274" s="37" t="str">
        <f t="shared" si="3"/>
        <v>#NAME?</v>
      </c>
      <c r="DN274" s="61"/>
      <c r="DO274" s="37">
        <v>80.0</v>
      </c>
      <c r="DP274" s="105">
        <v>1.0</v>
      </c>
      <c r="DQ274" s="62" t="s">
        <v>49</v>
      </c>
      <c r="DR274" s="63"/>
      <c r="DS274" s="198"/>
      <c r="DT274" s="108"/>
      <c r="DU274" s="108"/>
      <c r="DV274" s="182"/>
      <c r="DW274" s="182"/>
      <c r="DX274" s="182"/>
      <c r="DY274" s="182"/>
      <c r="DZ274" s="182"/>
      <c r="EA274" s="182"/>
      <c r="EB274" s="2"/>
      <c r="EC274" s="2"/>
      <c r="ED274" s="2"/>
      <c r="EE274" s="2"/>
      <c r="EF274" s="149" t="s">
        <v>2565</v>
      </c>
      <c r="EG274" s="69" t="str">
        <f>image("https://www.pokebip.com/pages/icones/objets/lettre-cosmo.png", 3)</f>
        <v/>
      </c>
      <c r="EH274" s="69"/>
      <c r="EI274" s="69"/>
    </row>
    <row r="275" ht="15.75" customHeight="1">
      <c r="A275" s="1">
        <v>275.0</v>
      </c>
      <c r="B275" s="2" t="s">
        <v>2566</v>
      </c>
      <c r="C275" s="7"/>
      <c r="D275" s="167" t="s">
        <v>2567</v>
      </c>
      <c r="E275" s="5"/>
      <c r="F275" s="168"/>
      <c r="G275" s="7"/>
      <c r="H275" s="8" t="s">
        <v>2568</v>
      </c>
      <c r="I275" s="9" t="s">
        <v>2569</v>
      </c>
      <c r="J275" s="355" t="str">
        <f>image("https://archives.bulbagarden.net/media/upload/8/87/275MS6.png", 3)</f>
        <v/>
      </c>
      <c r="K275" s="11" t="s">
        <v>2567</v>
      </c>
      <c r="L275" s="12"/>
      <c r="M275" s="12"/>
      <c r="N275" s="12"/>
      <c r="O275" s="12"/>
      <c r="Q275" s="71">
        <v>90.0</v>
      </c>
      <c r="R275" s="72">
        <v>100.0</v>
      </c>
      <c r="S275" s="73">
        <v>60.0</v>
      </c>
      <c r="T275" s="74">
        <v>90.0</v>
      </c>
      <c r="U275" s="75">
        <v>60.0</v>
      </c>
      <c r="V275" s="76">
        <v>80.0</v>
      </c>
      <c r="W275" s="77">
        <v>480.0</v>
      </c>
      <c r="X275" s="21"/>
      <c r="Y275" s="71">
        <v>90.0</v>
      </c>
      <c r="Z275" s="72">
        <v>100.0</v>
      </c>
      <c r="AA275" s="73">
        <v>60.0</v>
      </c>
      <c r="AB275" s="74">
        <v>90.0</v>
      </c>
      <c r="AC275" s="75">
        <v>60.0</v>
      </c>
      <c r="AD275" s="76">
        <v>80.0</v>
      </c>
      <c r="AE275" s="77">
        <v>480.0</v>
      </c>
      <c r="AF275" s="21"/>
      <c r="AG275" s="71">
        <v>90.0</v>
      </c>
      <c r="AH275" s="72">
        <v>100.0</v>
      </c>
      <c r="AI275" s="73">
        <v>60.0</v>
      </c>
      <c r="AJ275" s="74">
        <v>90.0</v>
      </c>
      <c r="AK275" s="75">
        <v>60.0</v>
      </c>
      <c r="AL275" s="76">
        <v>80.0</v>
      </c>
      <c r="AM275" s="77">
        <v>480.0</v>
      </c>
      <c r="AN275" s="21"/>
      <c r="AO275" s="22">
        <v>90.0</v>
      </c>
      <c r="AP275" s="23">
        <v>100.0</v>
      </c>
      <c r="AQ275" s="23">
        <v>60.0</v>
      </c>
      <c r="AR275" s="23">
        <v>90.0</v>
      </c>
      <c r="AS275" s="23">
        <v>60.0</v>
      </c>
      <c r="AT275" s="23">
        <v>80.0</v>
      </c>
      <c r="AU275" s="24">
        <v>480.0</v>
      </c>
      <c r="AV275" s="21"/>
      <c r="AW275" s="78">
        <v>90.0</v>
      </c>
      <c r="AX275" s="79">
        <v>100.0</v>
      </c>
      <c r="AY275" s="79">
        <v>60.0</v>
      </c>
      <c r="AZ275" s="79">
        <v>90.0</v>
      </c>
      <c r="BA275" s="79">
        <v>60.0</v>
      </c>
      <c r="BB275" s="79">
        <v>80.0</v>
      </c>
      <c r="BC275" s="201">
        <v>480.0</v>
      </c>
      <c r="BE275" s="172" t="s">
        <v>451</v>
      </c>
      <c r="BF275" s="138"/>
      <c r="BG275" s="128"/>
      <c r="BI275" s="31" t="s">
        <v>5</v>
      </c>
      <c r="BJ275" s="32">
        <v>3.0</v>
      </c>
      <c r="BK275" s="32" t="s">
        <v>5</v>
      </c>
      <c r="BL275" s="32" t="s">
        <v>5</v>
      </c>
      <c r="BM275" s="32" t="s">
        <v>5</v>
      </c>
      <c r="BN275" s="33" t="s">
        <v>5</v>
      </c>
      <c r="BP275" s="115" t="s">
        <v>6</v>
      </c>
      <c r="BQ275" s="116" t="s">
        <v>76</v>
      </c>
      <c r="BS275" s="115" t="s">
        <v>6</v>
      </c>
      <c r="BT275" s="117" t="s">
        <v>76</v>
      </c>
      <c r="BU275" s="37" t="str">
        <f t="shared" si="1"/>
        <v>#NAME?</v>
      </c>
      <c r="BV275" s="89" t="s">
        <v>6</v>
      </c>
      <c r="BW275" s="37" t="str">
        <f t="shared" si="2"/>
        <v>#NAME?</v>
      </c>
      <c r="BX275" s="89" t="s">
        <v>76</v>
      </c>
      <c r="BY275" s="39"/>
      <c r="BZ275" s="39"/>
      <c r="CA275" s="40" t="s">
        <v>2562</v>
      </c>
      <c r="CB275" s="41"/>
      <c r="CC275" s="90" t="s">
        <v>6</v>
      </c>
      <c r="CD275" s="91" t="s">
        <v>76</v>
      </c>
      <c r="CE275" s="2"/>
      <c r="CF275" s="92" t="s">
        <v>43</v>
      </c>
      <c r="CG275" s="93" t="s">
        <v>924</v>
      </c>
      <c r="CH275" s="2"/>
      <c r="CI275" s="92" t="s">
        <v>43</v>
      </c>
      <c r="CJ275" s="188" t="s">
        <v>924</v>
      </c>
      <c r="CK275" s="2"/>
      <c r="CL275" s="22" t="s">
        <v>43</v>
      </c>
      <c r="CM275" s="12"/>
      <c r="CN275" s="48"/>
      <c r="CO275" s="189" t="s">
        <v>924</v>
      </c>
      <c r="CP275" s="2"/>
      <c r="CQ275" s="2" t="s">
        <v>2570</v>
      </c>
      <c r="CR275" s="97">
        <v>80.0</v>
      </c>
      <c r="CS275" s="2" t="s">
        <v>451</v>
      </c>
      <c r="CT275" s="98">
        <v>181.0</v>
      </c>
      <c r="CU275" s="2"/>
      <c r="CV275" s="52" t="s">
        <v>149</v>
      </c>
      <c r="CW275" s="52" t="s">
        <v>149</v>
      </c>
      <c r="CX275" s="2"/>
      <c r="CY275" s="118" t="s">
        <v>277</v>
      </c>
      <c r="CZ275" s="119" t="s">
        <v>6</v>
      </c>
      <c r="DA275" s="2"/>
      <c r="DB275" s="98">
        <v>45.0</v>
      </c>
      <c r="DC275" s="2"/>
      <c r="DD275" s="101" t="s">
        <v>15</v>
      </c>
      <c r="DE275" s="2"/>
      <c r="DF275" s="120" t="s">
        <v>2571</v>
      </c>
      <c r="DG275" s="118" t="s">
        <v>2555</v>
      </c>
      <c r="DH275" s="119"/>
      <c r="DI275" s="2"/>
      <c r="DJ275" s="2"/>
      <c r="DK275" s="59" t="s">
        <v>2572</v>
      </c>
      <c r="DL275" s="37" t="s">
        <v>61</v>
      </c>
      <c r="DM275" s="37" t="str">
        <f t="shared" si="3"/>
        <v>#NAME?</v>
      </c>
      <c r="DN275" s="61"/>
      <c r="DO275" s="37">
        <v>150.0</v>
      </c>
      <c r="DP275" s="105">
        <v>0.9</v>
      </c>
      <c r="DQ275" s="62" t="s">
        <v>293</v>
      </c>
      <c r="DR275" s="63"/>
      <c r="DS275" s="198"/>
      <c r="DT275" s="108"/>
      <c r="DU275" s="108"/>
      <c r="DV275" s="182"/>
      <c r="DW275" s="182"/>
      <c r="DX275" s="182"/>
      <c r="DY275" s="182"/>
      <c r="DZ275" s="182"/>
      <c r="EA275" s="182"/>
      <c r="EB275" s="2"/>
      <c r="EC275" s="2"/>
      <c r="ED275" s="2"/>
      <c r="EE275" s="2"/>
      <c r="EF275" s="149" t="s">
        <v>2573</v>
      </c>
      <c r="EG275" s="69" t="str">
        <f>image("https://www.pokebip.com/pages/icones/objets/lettre-feu.png", 3)</f>
        <v/>
      </c>
      <c r="EH275" s="69"/>
      <c r="EI275" s="69"/>
    </row>
    <row r="276" ht="15.75" customHeight="1">
      <c r="A276" s="1">
        <v>276.0</v>
      </c>
      <c r="B276" s="2" t="s">
        <v>2574</v>
      </c>
      <c r="C276" s="7"/>
      <c r="D276" s="140" t="s">
        <v>2575</v>
      </c>
      <c r="E276" s="5"/>
      <c r="F276" s="141"/>
      <c r="G276" s="7"/>
      <c r="H276" s="8" t="s">
        <v>2576</v>
      </c>
      <c r="I276" s="9" t="s">
        <v>2577</v>
      </c>
      <c r="J276" s="355" t="str">
        <f>image("https://archives.bulbagarden.net/media/upload/2/2f/276MS6.png", 3)</f>
        <v/>
      </c>
      <c r="K276" s="11" t="s">
        <v>2575</v>
      </c>
      <c r="L276" s="12"/>
      <c r="M276" s="12"/>
      <c r="N276" s="12"/>
      <c r="O276" s="12"/>
      <c r="Q276" s="71">
        <v>40.0</v>
      </c>
      <c r="R276" s="72">
        <v>55.0</v>
      </c>
      <c r="S276" s="73">
        <v>30.0</v>
      </c>
      <c r="T276" s="74">
        <v>30.0</v>
      </c>
      <c r="U276" s="75">
        <v>30.0</v>
      </c>
      <c r="V276" s="76">
        <v>85.0</v>
      </c>
      <c r="W276" s="77">
        <v>270.0</v>
      </c>
      <c r="X276" s="21"/>
      <c r="Y276" s="71">
        <v>40.0</v>
      </c>
      <c r="Z276" s="72">
        <v>55.0</v>
      </c>
      <c r="AA276" s="73">
        <v>30.0</v>
      </c>
      <c r="AB276" s="74">
        <v>30.0</v>
      </c>
      <c r="AC276" s="75">
        <v>30.0</v>
      </c>
      <c r="AD276" s="76">
        <v>85.0</v>
      </c>
      <c r="AE276" s="77">
        <v>270.0</v>
      </c>
      <c r="AF276" s="21"/>
      <c r="AG276" s="71">
        <v>40.0</v>
      </c>
      <c r="AH276" s="72">
        <v>55.0</v>
      </c>
      <c r="AI276" s="73">
        <v>30.0</v>
      </c>
      <c r="AJ276" s="74">
        <v>30.0</v>
      </c>
      <c r="AK276" s="75">
        <v>30.0</v>
      </c>
      <c r="AL276" s="76">
        <v>85.0</v>
      </c>
      <c r="AM276" s="77">
        <v>270.0</v>
      </c>
      <c r="AN276" s="21"/>
      <c r="AO276" s="22">
        <v>40.0</v>
      </c>
      <c r="AP276" s="23">
        <v>55.0</v>
      </c>
      <c r="AQ276" s="23">
        <v>30.0</v>
      </c>
      <c r="AR276" s="23">
        <v>30.0</v>
      </c>
      <c r="AS276" s="23">
        <v>30.0</v>
      </c>
      <c r="AT276" s="23">
        <v>85.0</v>
      </c>
      <c r="AU276" s="24">
        <v>270.0</v>
      </c>
      <c r="AV276" s="21"/>
      <c r="AW276" s="78">
        <v>40.0</v>
      </c>
      <c r="AX276" s="80">
        <v>55.0</v>
      </c>
      <c r="AY276" s="79">
        <v>30.0</v>
      </c>
      <c r="AZ276" s="80">
        <v>30.0</v>
      </c>
      <c r="BA276" s="79">
        <v>30.0</v>
      </c>
      <c r="BB276" s="79">
        <v>85.0</v>
      </c>
      <c r="BC276" s="81">
        <v>270.0</v>
      </c>
      <c r="BE276" s="126" t="s">
        <v>56</v>
      </c>
      <c r="BF276" s="386"/>
      <c r="BG276" s="128"/>
      <c r="BI276" s="31" t="s">
        <v>5</v>
      </c>
      <c r="BJ276" s="32" t="s">
        <v>5</v>
      </c>
      <c r="BK276" s="32" t="s">
        <v>5</v>
      </c>
      <c r="BL276" s="32" t="s">
        <v>5</v>
      </c>
      <c r="BM276" s="32" t="s">
        <v>5</v>
      </c>
      <c r="BN276" s="33">
        <v>1.0</v>
      </c>
      <c r="BP276" s="85" t="s">
        <v>156</v>
      </c>
      <c r="BQ276" s="86" t="s">
        <v>18</v>
      </c>
      <c r="BS276" s="87" t="s">
        <v>156</v>
      </c>
      <c r="BT276" s="88" t="s">
        <v>18</v>
      </c>
      <c r="BU276" s="37" t="str">
        <f t="shared" si="1"/>
        <v>#NAME?</v>
      </c>
      <c r="BV276" s="89" t="s">
        <v>156</v>
      </c>
      <c r="BW276" s="37" t="str">
        <f t="shared" si="2"/>
        <v>#NAME?</v>
      </c>
      <c r="BX276" s="89" t="s">
        <v>18</v>
      </c>
      <c r="BY276" s="39"/>
      <c r="BZ276" s="39"/>
      <c r="CA276" s="40" t="s">
        <v>234</v>
      </c>
      <c r="CB276" s="41"/>
      <c r="CC276" s="90" t="s">
        <v>156</v>
      </c>
      <c r="CD276" s="91" t="s">
        <v>18</v>
      </c>
      <c r="CE276" s="2"/>
      <c r="CF276" s="92" t="s">
        <v>273</v>
      </c>
      <c r="CG276" s="93"/>
      <c r="CH276" s="2"/>
      <c r="CI276" s="191" t="s">
        <v>273</v>
      </c>
      <c r="CJ276" s="46" t="s">
        <v>1203</v>
      </c>
      <c r="CK276" s="2"/>
      <c r="CL276" s="22" t="s">
        <v>273</v>
      </c>
      <c r="CM276" s="12"/>
      <c r="CN276" s="48"/>
      <c r="CO276" s="192" t="s">
        <v>1623</v>
      </c>
      <c r="CP276" s="2"/>
      <c r="CQ276" s="2" t="s">
        <v>2578</v>
      </c>
      <c r="CR276" s="97">
        <v>20.0</v>
      </c>
      <c r="CS276" s="2" t="s">
        <v>56</v>
      </c>
      <c r="CT276" s="98">
        <v>59.0</v>
      </c>
      <c r="CU276" s="2"/>
      <c r="CV276" s="52" t="s">
        <v>149</v>
      </c>
      <c r="CW276" s="52" t="s">
        <v>149</v>
      </c>
      <c r="CX276" s="2"/>
      <c r="CY276" s="382" t="s">
        <v>18</v>
      </c>
      <c r="CZ276" s="385"/>
      <c r="DA276" s="2"/>
      <c r="DB276" s="98">
        <v>200.0</v>
      </c>
      <c r="DC276" s="2"/>
      <c r="DD276" s="101" t="s">
        <v>15</v>
      </c>
      <c r="DE276" s="2"/>
      <c r="DF276" s="387" t="s">
        <v>2579</v>
      </c>
      <c r="DG276" s="382"/>
      <c r="DH276" s="385"/>
      <c r="DI276" s="21"/>
      <c r="DJ276" s="21"/>
      <c r="DK276" s="59" t="s">
        <v>2580</v>
      </c>
      <c r="DL276" s="37" t="s">
        <v>6</v>
      </c>
      <c r="DM276" s="37" t="str">
        <f t="shared" si="3"/>
        <v>#NAME?</v>
      </c>
      <c r="DN276" s="61"/>
      <c r="DO276" s="37">
        <v>120.0</v>
      </c>
      <c r="DP276" s="105">
        <v>0.85</v>
      </c>
      <c r="DQ276" s="62" t="s">
        <v>293</v>
      </c>
      <c r="DR276" s="63"/>
      <c r="DS276" s="198"/>
      <c r="DT276" s="108"/>
      <c r="DU276" s="108"/>
      <c r="DV276" s="182"/>
      <c r="DW276" s="182"/>
      <c r="DX276" s="182"/>
      <c r="DY276" s="182"/>
      <c r="DZ276" s="182"/>
      <c r="EA276" s="182"/>
      <c r="EB276" s="21"/>
      <c r="EC276" s="21"/>
      <c r="ED276" s="21"/>
      <c r="EE276" s="21"/>
      <c r="EF276" s="149" t="s">
        <v>2581</v>
      </c>
      <c r="EG276" s="69" t="str">
        <f>image("https://www.pokebip.com/pages/icones/objets/lettre-herbe.png", 3)</f>
        <v/>
      </c>
      <c r="EH276" s="69"/>
      <c r="EI276" s="69"/>
    </row>
    <row r="277" ht="15.75" customHeight="1">
      <c r="A277" s="1">
        <v>277.0</v>
      </c>
      <c r="B277" s="2" t="s">
        <v>2582</v>
      </c>
      <c r="C277" s="7"/>
      <c r="D277" s="140" t="s">
        <v>2583</v>
      </c>
      <c r="E277" s="5"/>
      <c r="F277" s="141"/>
      <c r="G277" s="7"/>
      <c r="H277" s="8" t="s">
        <v>2584</v>
      </c>
      <c r="I277" s="9" t="s">
        <v>2585</v>
      </c>
      <c r="J277" s="355" t="str">
        <f>image("https://archives.bulbagarden.net/media/upload/6/65/277MS6.png", 3)</f>
        <v/>
      </c>
      <c r="K277" s="11" t="s">
        <v>2583</v>
      </c>
      <c r="L277" s="12"/>
      <c r="M277" s="12"/>
      <c r="N277" s="12"/>
      <c r="O277" s="12"/>
      <c r="Q277" s="71">
        <v>60.0</v>
      </c>
      <c r="R277" s="72">
        <v>85.0</v>
      </c>
      <c r="S277" s="73">
        <v>60.0</v>
      </c>
      <c r="T277" s="74">
        <v>50.0</v>
      </c>
      <c r="U277" s="75">
        <v>50.0</v>
      </c>
      <c r="V277" s="76">
        <v>125.0</v>
      </c>
      <c r="W277" s="77">
        <v>430.0</v>
      </c>
      <c r="X277" s="21"/>
      <c r="Y277" s="71">
        <v>60.0</v>
      </c>
      <c r="Z277" s="72">
        <v>85.0</v>
      </c>
      <c r="AA277" s="73">
        <v>60.0</v>
      </c>
      <c r="AB277" s="109">
        <v>75.0</v>
      </c>
      <c r="AC277" s="75">
        <v>50.0</v>
      </c>
      <c r="AD277" s="76">
        <v>125.0</v>
      </c>
      <c r="AE277" s="110">
        <v>455.0</v>
      </c>
      <c r="AF277" s="21"/>
      <c r="AG277" s="71">
        <v>60.0</v>
      </c>
      <c r="AH277" s="109">
        <v>90.0</v>
      </c>
      <c r="AI277" s="73">
        <v>60.0</v>
      </c>
      <c r="AJ277" s="109">
        <v>80.0</v>
      </c>
      <c r="AK277" s="75">
        <v>50.0</v>
      </c>
      <c r="AL277" s="76">
        <v>125.0</v>
      </c>
      <c r="AM277" s="110">
        <v>465.0</v>
      </c>
      <c r="AN277" s="21"/>
      <c r="AO277" s="22">
        <v>60.0</v>
      </c>
      <c r="AP277" s="23" t="s">
        <v>128</v>
      </c>
      <c r="AQ277" s="23">
        <v>60.0</v>
      </c>
      <c r="AR277" s="23" t="s">
        <v>337</v>
      </c>
      <c r="AS277" s="23">
        <v>50.0</v>
      </c>
      <c r="AT277" s="23">
        <v>125.0</v>
      </c>
      <c r="AU277" s="24" t="s">
        <v>638</v>
      </c>
      <c r="AV277" s="21"/>
      <c r="AW277" s="78">
        <v>60.0</v>
      </c>
      <c r="AX277" s="111">
        <v>90.0</v>
      </c>
      <c r="AY277" s="79">
        <v>60.0</v>
      </c>
      <c r="AZ277" s="111">
        <v>80.0</v>
      </c>
      <c r="BA277" s="79">
        <v>50.0</v>
      </c>
      <c r="BB277" s="79">
        <v>125.0</v>
      </c>
      <c r="BC277" s="111">
        <v>465.0</v>
      </c>
      <c r="BE277" s="176" t="s">
        <v>248</v>
      </c>
      <c r="BF277" s="113"/>
      <c r="BG277" s="210"/>
      <c r="BI277" s="31" t="s">
        <v>5</v>
      </c>
      <c r="BJ277" s="32" t="s">
        <v>5</v>
      </c>
      <c r="BK277" s="32" t="s">
        <v>5</v>
      </c>
      <c r="BL277" s="32" t="s">
        <v>5</v>
      </c>
      <c r="BM277" s="32" t="s">
        <v>5</v>
      </c>
      <c r="BN277" s="33">
        <v>2.0</v>
      </c>
      <c r="BP277" s="115" t="s">
        <v>156</v>
      </c>
      <c r="BQ277" s="116" t="s">
        <v>18</v>
      </c>
      <c r="BS277" s="115" t="s">
        <v>156</v>
      </c>
      <c r="BT277" s="117" t="s">
        <v>18</v>
      </c>
      <c r="BU277" s="37" t="str">
        <f t="shared" si="1"/>
        <v>#NAME?</v>
      </c>
      <c r="BV277" s="89" t="s">
        <v>156</v>
      </c>
      <c r="BW277" s="37" t="str">
        <f t="shared" si="2"/>
        <v>#NAME?</v>
      </c>
      <c r="BX277" s="89" t="s">
        <v>18</v>
      </c>
      <c r="BY277" s="39"/>
      <c r="BZ277" s="39"/>
      <c r="CA277" s="40" t="s">
        <v>234</v>
      </c>
      <c r="CB277" s="41"/>
      <c r="CC277" s="90" t="s">
        <v>156</v>
      </c>
      <c r="CD277" s="91" t="s">
        <v>18</v>
      </c>
      <c r="CE277" s="2"/>
      <c r="CF277" s="92" t="s">
        <v>273</v>
      </c>
      <c r="CG277" s="93"/>
      <c r="CH277" s="2"/>
      <c r="CI277" s="277" t="s">
        <v>273</v>
      </c>
      <c r="CJ277" s="94" t="s">
        <v>1203</v>
      </c>
      <c r="CK277" s="2"/>
      <c r="CL277" s="22" t="s">
        <v>273</v>
      </c>
      <c r="CM277" s="12"/>
      <c r="CN277" s="48"/>
      <c r="CO277" s="235" t="s">
        <v>1623</v>
      </c>
      <c r="CP277" s="2"/>
      <c r="CQ277" s="2" t="s">
        <v>2586</v>
      </c>
      <c r="CR277" s="97">
        <v>40.0</v>
      </c>
      <c r="CS277" s="2" t="s">
        <v>248</v>
      </c>
      <c r="CT277" s="98">
        <v>162.0</v>
      </c>
      <c r="CU277" s="2"/>
      <c r="CV277" s="52" t="s">
        <v>149</v>
      </c>
      <c r="CW277" s="52" t="s">
        <v>149</v>
      </c>
      <c r="CX277" s="2"/>
      <c r="CY277" s="119" t="s">
        <v>18</v>
      </c>
      <c r="CZ277" s="160"/>
      <c r="DA277" s="2"/>
      <c r="DB277" s="98">
        <v>45.0</v>
      </c>
      <c r="DC277" s="2"/>
      <c r="DD277" s="101" t="s">
        <v>15</v>
      </c>
      <c r="DE277" s="2"/>
      <c r="DF277" s="120" t="s">
        <v>2587</v>
      </c>
      <c r="DG277" s="119"/>
      <c r="DH277" s="160"/>
      <c r="DI277" s="2"/>
      <c r="DJ277" s="2"/>
      <c r="DK277" s="59" t="s">
        <v>2588</v>
      </c>
      <c r="DL277" s="37" t="s">
        <v>92</v>
      </c>
      <c r="DM277" s="37" t="str">
        <f t="shared" si="3"/>
        <v>#NAME?</v>
      </c>
      <c r="DN277" s="61"/>
      <c r="DO277" s="37">
        <v>80.0</v>
      </c>
      <c r="DP277" s="105">
        <v>1.0</v>
      </c>
      <c r="DQ277" s="62" t="s">
        <v>93</v>
      </c>
      <c r="DR277" s="63"/>
      <c r="DS277" s="198"/>
      <c r="DT277" s="108"/>
      <c r="DU277" s="108"/>
      <c r="DV277" s="182"/>
      <c r="DW277" s="182"/>
      <c r="DX277" s="182"/>
      <c r="DY277" s="182"/>
      <c r="DZ277" s="182"/>
      <c r="EA277" s="182"/>
      <c r="EB277" s="2"/>
      <c r="EC277" s="2"/>
      <c r="ED277" s="2"/>
      <c r="EE277" s="2"/>
      <c r="EF277" s="149" t="s">
        <v>2589</v>
      </c>
      <c r="EG277" s="69" t="str">
        <f>image("https://www.pokebip.com/pages/icones/objets/lettre-mer.png", 3)</f>
        <v/>
      </c>
      <c r="EH277" s="69"/>
      <c r="EI277" s="69"/>
    </row>
    <row r="278" ht="15.75" customHeight="1">
      <c r="A278" s="1">
        <v>278.0</v>
      </c>
      <c r="B278" s="2" t="s">
        <v>2590</v>
      </c>
      <c r="C278" s="7"/>
      <c r="D278" s="352" t="s">
        <v>2591</v>
      </c>
      <c r="E278" s="5"/>
      <c r="F278" s="7"/>
      <c r="G278" s="7"/>
      <c r="H278" s="8" t="s">
        <v>2592</v>
      </c>
      <c r="I278" s="9" t="s">
        <v>2593</v>
      </c>
      <c r="J278" s="355" t="str">
        <f>image("https://archives.bulbagarden.net/media/upload/a/a7/278MS6.png", 3)</f>
        <v/>
      </c>
      <c r="K278" s="11" t="s">
        <v>2591</v>
      </c>
      <c r="L278" s="12"/>
      <c r="M278" s="12"/>
      <c r="N278" s="12"/>
      <c r="O278" s="12"/>
      <c r="Q278" s="71">
        <v>40.0</v>
      </c>
      <c r="R278" s="72">
        <v>30.0</v>
      </c>
      <c r="S278" s="73">
        <v>30.0</v>
      </c>
      <c r="T278" s="74">
        <v>55.0</v>
      </c>
      <c r="U278" s="75">
        <v>30.0</v>
      </c>
      <c r="V278" s="76">
        <v>85.0</v>
      </c>
      <c r="W278" s="77">
        <v>270.0</v>
      </c>
      <c r="X278" s="21"/>
      <c r="Y278" s="71">
        <v>40.0</v>
      </c>
      <c r="Z278" s="72">
        <v>30.0</v>
      </c>
      <c r="AA278" s="73">
        <v>30.0</v>
      </c>
      <c r="AB278" s="74">
        <v>55.0</v>
      </c>
      <c r="AC278" s="75">
        <v>30.0</v>
      </c>
      <c r="AD278" s="76">
        <v>85.0</v>
      </c>
      <c r="AE278" s="77">
        <v>270.0</v>
      </c>
      <c r="AF278" s="21"/>
      <c r="AG278" s="71">
        <v>40.0</v>
      </c>
      <c r="AH278" s="72">
        <v>30.0</v>
      </c>
      <c r="AI278" s="73">
        <v>30.0</v>
      </c>
      <c r="AJ278" s="74">
        <v>55.0</v>
      </c>
      <c r="AK278" s="75">
        <v>30.0</v>
      </c>
      <c r="AL278" s="76">
        <v>85.0</v>
      </c>
      <c r="AM278" s="77">
        <v>270.0</v>
      </c>
      <c r="AN278" s="21"/>
      <c r="AO278" s="22">
        <v>40.0</v>
      </c>
      <c r="AP278" s="23">
        <v>30.0</v>
      </c>
      <c r="AQ278" s="23">
        <v>30.0</v>
      </c>
      <c r="AR278" s="23">
        <v>55.0</v>
      </c>
      <c r="AS278" s="23">
        <v>30.0</v>
      </c>
      <c r="AT278" s="23">
        <v>85.0</v>
      </c>
      <c r="AU278" s="24">
        <v>270.0</v>
      </c>
      <c r="AV278" s="21"/>
      <c r="AW278" s="78">
        <v>40.0</v>
      </c>
      <c r="AX278" s="124">
        <v>30.0</v>
      </c>
      <c r="AY278" s="80">
        <v>30.0</v>
      </c>
      <c r="AZ278" s="182">
        <v>55.0</v>
      </c>
      <c r="BA278" s="80">
        <v>30.0</v>
      </c>
      <c r="BB278" s="79">
        <v>85.0</v>
      </c>
      <c r="BC278" s="183">
        <v>270.0</v>
      </c>
      <c r="BE278" s="126" t="s">
        <v>56</v>
      </c>
      <c r="BF278" s="386"/>
      <c r="BG278" s="128"/>
      <c r="BI278" s="31" t="s">
        <v>5</v>
      </c>
      <c r="BJ278" s="32" t="s">
        <v>5</v>
      </c>
      <c r="BK278" s="32" t="s">
        <v>5</v>
      </c>
      <c r="BL278" s="32" t="s">
        <v>5</v>
      </c>
      <c r="BM278" s="32" t="s">
        <v>5</v>
      </c>
      <c r="BN278" s="33">
        <v>1.0</v>
      </c>
      <c r="BP278" s="85" t="s">
        <v>32</v>
      </c>
      <c r="BQ278" s="86" t="s">
        <v>18</v>
      </c>
      <c r="BS278" s="87" t="s">
        <v>32</v>
      </c>
      <c r="BT278" s="88" t="s">
        <v>18</v>
      </c>
      <c r="BU278" s="37" t="str">
        <f t="shared" si="1"/>
        <v>#NAME?</v>
      </c>
      <c r="BV278" s="89" t="s">
        <v>32</v>
      </c>
      <c r="BW278" s="37" t="str">
        <f t="shared" si="2"/>
        <v>#NAME?</v>
      </c>
      <c r="BX278" s="89" t="s">
        <v>18</v>
      </c>
      <c r="BY278" s="39"/>
      <c r="BZ278" s="39"/>
      <c r="CA278" s="40" t="s">
        <v>1346</v>
      </c>
      <c r="CB278" s="41"/>
      <c r="CC278" s="90" t="s">
        <v>32</v>
      </c>
      <c r="CD278" s="91" t="s">
        <v>18</v>
      </c>
      <c r="CE278" s="2"/>
      <c r="CF278" s="92" t="s">
        <v>235</v>
      </c>
      <c r="CG278" s="93"/>
      <c r="CH278" s="2"/>
      <c r="CI278" s="272" t="s">
        <v>945</v>
      </c>
      <c r="CJ278" s="275" t="s">
        <v>235</v>
      </c>
      <c r="CK278" s="2"/>
      <c r="CL278" s="22" t="s">
        <v>2263</v>
      </c>
      <c r="CM278" s="12"/>
      <c r="CN278" s="48"/>
      <c r="CO278" s="242" t="s">
        <v>235</v>
      </c>
      <c r="CP278" s="2"/>
      <c r="CQ278" s="2" t="s">
        <v>1155</v>
      </c>
      <c r="CR278" s="97">
        <v>20.0</v>
      </c>
      <c r="CS278" s="2" t="s">
        <v>56</v>
      </c>
      <c r="CT278" s="98">
        <v>64.0</v>
      </c>
      <c r="CU278" s="2"/>
      <c r="CV278" s="52" t="s">
        <v>149</v>
      </c>
      <c r="CW278" s="52" t="s">
        <v>149</v>
      </c>
      <c r="CX278" s="2"/>
      <c r="CY278" s="381" t="s">
        <v>106</v>
      </c>
      <c r="CZ278" s="382" t="s">
        <v>18</v>
      </c>
      <c r="DA278" s="2"/>
      <c r="DB278" s="98">
        <v>190.0</v>
      </c>
      <c r="DC278" s="2"/>
      <c r="DD278" s="101" t="s">
        <v>150</v>
      </c>
      <c r="DE278" s="2"/>
      <c r="DF278" s="387" t="s">
        <v>2594</v>
      </c>
      <c r="DG278" s="382"/>
      <c r="DH278" s="382"/>
      <c r="DI278" s="21"/>
      <c r="DJ278" s="21"/>
      <c r="DK278" s="59" t="s">
        <v>2595</v>
      </c>
      <c r="DL278" s="37" t="s">
        <v>120</v>
      </c>
      <c r="DM278" s="37" t="str">
        <f t="shared" si="3"/>
        <v>#NAME?</v>
      </c>
      <c r="DN278" s="61"/>
      <c r="DO278" s="37" t="s">
        <v>19</v>
      </c>
      <c r="DP278" s="105">
        <v>0.3</v>
      </c>
      <c r="DQ278" s="62" t="s">
        <v>293</v>
      </c>
      <c r="DR278" s="63"/>
      <c r="DS278" s="198"/>
      <c r="DT278" s="108"/>
      <c r="DU278" s="108"/>
      <c r="DV278" s="182"/>
      <c r="DW278" s="182"/>
      <c r="DX278" s="182"/>
      <c r="DY278" s="182"/>
      <c r="DZ278" s="182"/>
      <c r="EA278" s="182"/>
      <c r="EB278" s="21"/>
      <c r="EC278" s="21"/>
      <c r="ED278" s="21"/>
      <c r="EE278" s="21"/>
      <c r="EF278" s="149" t="s">
        <v>2596</v>
      </c>
      <c r="EG278" s="69" t="str">
        <f>image("https://www.pokebip.com/pages/icones/objets/lettre-mine.png", 3)</f>
        <v/>
      </c>
      <c r="EH278" s="69"/>
      <c r="EI278" s="69"/>
    </row>
    <row r="279" ht="15.75" customHeight="1">
      <c r="A279" s="1">
        <v>279.0</v>
      </c>
      <c r="B279" s="2" t="s">
        <v>2597</v>
      </c>
      <c r="C279" s="7"/>
      <c r="D279" s="169" t="s">
        <v>2598</v>
      </c>
      <c r="E279" s="5"/>
      <c r="F279" s="170"/>
      <c r="G279" s="7"/>
      <c r="H279" s="8" t="s">
        <v>2599</v>
      </c>
      <c r="I279" s="9" t="s">
        <v>2600</v>
      </c>
      <c r="J279" s="355" t="str">
        <f>image("https://archives.bulbagarden.net/media/upload/0/06/279MS6.png", 3)</f>
        <v/>
      </c>
      <c r="K279" s="11" t="s">
        <v>2598</v>
      </c>
      <c r="L279" s="12"/>
      <c r="M279" s="12"/>
      <c r="N279" s="12"/>
      <c r="O279" s="12"/>
      <c r="Q279" s="71">
        <v>60.0</v>
      </c>
      <c r="R279" s="72">
        <v>50.0</v>
      </c>
      <c r="S279" s="73">
        <v>100.0</v>
      </c>
      <c r="T279" s="74">
        <v>85.0</v>
      </c>
      <c r="U279" s="75">
        <v>70.0</v>
      </c>
      <c r="V279" s="76">
        <v>65.0</v>
      </c>
      <c r="W279" s="77">
        <v>430.0</v>
      </c>
      <c r="X279" s="21"/>
      <c r="Y279" s="71">
        <v>60.0</v>
      </c>
      <c r="Z279" s="72">
        <v>50.0</v>
      </c>
      <c r="AA279" s="73">
        <v>100.0</v>
      </c>
      <c r="AB279" s="109">
        <v>95.0</v>
      </c>
      <c r="AC279" s="75">
        <v>70.0</v>
      </c>
      <c r="AD279" s="76">
        <v>65.0</v>
      </c>
      <c r="AE279" s="110">
        <v>440.0</v>
      </c>
      <c r="AF279" s="21"/>
      <c r="AG279" s="71">
        <v>60.0</v>
      </c>
      <c r="AH279" s="72">
        <v>50.0</v>
      </c>
      <c r="AI279" s="109">
        <v>110.0</v>
      </c>
      <c r="AJ279" s="109">
        <v>95.0</v>
      </c>
      <c r="AK279" s="109">
        <v>80.0</v>
      </c>
      <c r="AL279" s="76">
        <v>65.0</v>
      </c>
      <c r="AM279" s="110">
        <v>460.0</v>
      </c>
      <c r="AN279" s="21"/>
      <c r="AO279" s="22">
        <v>60.0</v>
      </c>
      <c r="AP279" s="23">
        <v>50.0</v>
      </c>
      <c r="AQ279" s="23" t="s">
        <v>40</v>
      </c>
      <c r="AR279" s="23" t="s">
        <v>215</v>
      </c>
      <c r="AS279" s="23" t="s">
        <v>337</v>
      </c>
      <c r="AT279" s="23">
        <v>65.0</v>
      </c>
      <c r="AU279" s="24" t="s">
        <v>2601</v>
      </c>
      <c r="AV279" s="21"/>
      <c r="AW279" s="78">
        <v>60.0</v>
      </c>
      <c r="AX279" s="79">
        <v>50.0</v>
      </c>
      <c r="AY279" s="111">
        <v>110.0</v>
      </c>
      <c r="AZ279" s="171">
        <v>95.0</v>
      </c>
      <c r="BA279" s="171">
        <v>80.0</v>
      </c>
      <c r="BB279" s="79">
        <v>65.0</v>
      </c>
      <c r="BC279" s="111">
        <v>460.0</v>
      </c>
      <c r="BE279" s="156" t="s">
        <v>162</v>
      </c>
      <c r="BF279" s="113"/>
      <c r="BG279" s="210"/>
      <c r="BI279" s="31" t="s">
        <v>5</v>
      </c>
      <c r="BJ279" s="32" t="s">
        <v>5</v>
      </c>
      <c r="BK279" s="32">
        <v>2.0</v>
      </c>
      <c r="BL279" s="32" t="s">
        <v>5</v>
      </c>
      <c r="BM279" s="32" t="s">
        <v>5</v>
      </c>
      <c r="BN279" s="33" t="s">
        <v>5</v>
      </c>
      <c r="BP279" s="115" t="s">
        <v>32</v>
      </c>
      <c r="BQ279" s="116" t="s">
        <v>18</v>
      </c>
      <c r="BS279" s="115" t="s">
        <v>32</v>
      </c>
      <c r="BT279" s="286" t="s">
        <v>18</v>
      </c>
      <c r="BU279" s="37" t="str">
        <f t="shared" si="1"/>
        <v>#NAME?</v>
      </c>
      <c r="BV279" s="89" t="s">
        <v>32</v>
      </c>
      <c r="BW279" s="37" t="str">
        <f t="shared" si="2"/>
        <v>#NAME?</v>
      </c>
      <c r="BX279" s="89" t="s">
        <v>18</v>
      </c>
      <c r="BY279" s="134"/>
      <c r="BZ279" s="134"/>
      <c r="CA279" s="135" t="s">
        <v>1346</v>
      </c>
      <c r="CB279" s="136"/>
      <c r="CC279" s="90" t="s">
        <v>32</v>
      </c>
      <c r="CD279" s="137" t="s">
        <v>18</v>
      </c>
      <c r="CE279" s="2"/>
      <c r="CF279" s="92" t="s">
        <v>235</v>
      </c>
      <c r="CG279" s="93"/>
      <c r="CH279" s="2"/>
      <c r="CI279" s="152" t="s">
        <v>2602</v>
      </c>
      <c r="CJ279" s="165" t="s">
        <v>235</v>
      </c>
      <c r="CK279" s="2"/>
      <c r="CL279" s="22" t="s">
        <v>130</v>
      </c>
      <c r="CM279" s="12"/>
      <c r="CN279" s="48"/>
      <c r="CO279" s="165" t="s">
        <v>235</v>
      </c>
      <c r="CP279" s="2"/>
      <c r="CQ279" s="2" t="s">
        <v>668</v>
      </c>
      <c r="CR279" s="97">
        <v>60.0</v>
      </c>
      <c r="CS279" s="2" t="s">
        <v>162</v>
      </c>
      <c r="CT279" s="98">
        <v>164.0</v>
      </c>
      <c r="CU279" s="2"/>
      <c r="CV279" s="52" t="s">
        <v>149</v>
      </c>
      <c r="CW279" s="52" t="s">
        <v>149</v>
      </c>
      <c r="CX279" s="2"/>
      <c r="CY279" s="118" t="s">
        <v>106</v>
      </c>
      <c r="CZ279" s="119" t="s">
        <v>18</v>
      </c>
      <c r="DA279" s="2"/>
      <c r="DB279" s="98">
        <v>45.0</v>
      </c>
      <c r="DC279" s="2"/>
      <c r="DD279" s="101" t="s">
        <v>150</v>
      </c>
      <c r="DE279" s="2"/>
      <c r="DF279" s="120" t="s">
        <v>2603</v>
      </c>
      <c r="DG279" s="118" t="s">
        <v>2298</v>
      </c>
      <c r="DH279" s="119"/>
      <c r="DI279" s="2"/>
      <c r="DJ279" s="2"/>
      <c r="DK279" s="59" t="s">
        <v>2604</v>
      </c>
      <c r="DL279" s="37" t="s">
        <v>197</v>
      </c>
      <c r="DM279" s="37" t="str">
        <f t="shared" si="3"/>
        <v>#NAME?</v>
      </c>
      <c r="DN279" s="61"/>
      <c r="DO279" s="37">
        <v>60.0</v>
      </c>
      <c r="DP279" s="37" t="s">
        <v>19</v>
      </c>
      <c r="DQ279" s="62" t="s">
        <v>20</v>
      </c>
      <c r="DR279" s="63"/>
      <c r="DS279" s="198"/>
      <c r="DT279" s="108"/>
      <c r="DU279" s="108"/>
      <c r="DV279" s="182"/>
      <c r="DW279" s="182"/>
      <c r="DX279" s="182"/>
      <c r="DY279" s="182"/>
      <c r="DZ279" s="182"/>
      <c r="EA279" s="182"/>
      <c r="EB279" s="2"/>
      <c r="EC279" s="2"/>
      <c r="ED279" s="2"/>
      <c r="EE279" s="2"/>
      <c r="EF279" s="149" t="s">
        <v>2605</v>
      </c>
      <c r="EG279" s="69" t="str">
        <f>image("https://www.pokebip.com/pages/icones/objets/lettre-neige.png", 3)</f>
        <v/>
      </c>
      <c r="EH279" s="69"/>
      <c r="EI279" s="69"/>
    </row>
    <row r="280" ht="15.75" customHeight="1">
      <c r="A280" s="1">
        <v>280.0</v>
      </c>
      <c r="B280" s="2" t="s">
        <v>2606</v>
      </c>
      <c r="C280" s="7"/>
      <c r="D280" s="352" t="s">
        <v>2607</v>
      </c>
      <c r="E280" s="5"/>
      <c r="F280" s="7"/>
      <c r="G280" s="7"/>
      <c r="H280" s="8" t="s">
        <v>2608</v>
      </c>
      <c r="I280" s="9" t="s">
        <v>2609</v>
      </c>
      <c r="J280" s="355" t="str">
        <f>image("https://archives.bulbagarden.net/media/upload/0/0a/280MS6.png", 3)</f>
        <v/>
      </c>
      <c r="K280" s="11" t="s">
        <v>2607</v>
      </c>
      <c r="L280" s="12"/>
      <c r="M280" s="12"/>
      <c r="N280" s="12"/>
      <c r="O280" s="12"/>
      <c r="Q280" s="71">
        <v>28.0</v>
      </c>
      <c r="R280" s="72">
        <v>25.0</v>
      </c>
      <c r="S280" s="73">
        <v>25.0</v>
      </c>
      <c r="T280" s="74">
        <v>45.0</v>
      </c>
      <c r="U280" s="75">
        <v>35.0</v>
      </c>
      <c r="V280" s="76">
        <v>40.0</v>
      </c>
      <c r="W280" s="77">
        <v>198.0</v>
      </c>
      <c r="X280" s="21"/>
      <c r="Y280" s="71">
        <v>28.0</v>
      </c>
      <c r="Z280" s="72">
        <v>25.0</v>
      </c>
      <c r="AA280" s="73">
        <v>25.0</v>
      </c>
      <c r="AB280" s="74">
        <v>45.0</v>
      </c>
      <c r="AC280" s="75">
        <v>35.0</v>
      </c>
      <c r="AD280" s="76">
        <v>40.0</v>
      </c>
      <c r="AE280" s="77">
        <v>198.0</v>
      </c>
      <c r="AF280" s="21"/>
      <c r="AG280" s="71">
        <v>28.0</v>
      </c>
      <c r="AH280" s="72">
        <v>25.0</v>
      </c>
      <c r="AI280" s="73">
        <v>25.0</v>
      </c>
      <c r="AJ280" s="109">
        <v>65.0</v>
      </c>
      <c r="AK280" s="109">
        <v>55.0</v>
      </c>
      <c r="AL280" s="76">
        <v>40.0</v>
      </c>
      <c r="AM280" s="110">
        <v>238.0</v>
      </c>
      <c r="AN280" s="21"/>
      <c r="AO280" s="22">
        <v>28.0</v>
      </c>
      <c r="AP280" s="23">
        <v>25.0</v>
      </c>
      <c r="AQ280" s="23">
        <v>25.0</v>
      </c>
      <c r="AR280" s="23" t="s">
        <v>247</v>
      </c>
      <c r="AS280" s="23" t="s">
        <v>507</v>
      </c>
      <c r="AT280" s="23">
        <v>40.0</v>
      </c>
      <c r="AU280" s="24" t="s">
        <v>2610</v>
      </c>
      <c r="AV280" s="21"/>
      <c r="AW280" s="78">
        <v>28.0</v>
      </c>
      <c r="AX280" s="79">
        <v>25.0</v>
      </c>
      <c r="AY280" s="124">
        <v>25.0</v>
      </c>
      <c r="AZ280" s="111">
        <v>65.0</v>
      </c>
      <c r="BA280" s="111">
        <v>55.0</v>
      </c>
      <c r="BB280" s="79">
        <v>40.0</v>
      </c>
      <c r="BC280" s="111">
        <v>238.0</v>
      </c>
      <c r="BE280" s="82" t="s">
        <v>4</v>
      </c>
      <c r="BF280" s="386"/>
      <c r="BG280" s="128"/>
      <c r="BI280" s="31" t="s">
        <v>5</v>
      </c>
      <c r="BJ280" s="32" t="s">
        <v>5</v>
      </c>
      <c r="BK280" s="32" t="s">
        <v>5</v>
      </c>
      <c r="BL280" s="32">
        <v>1.0</v>
      </c>
      <c r="BM280" s="32" t="s">
        <v>5</v>
      </c>
      <c r="BN280" s="33" t="s">
        <v>5</v>
      </c>
      <c r="BP280" s="85" t="s">
        <v>122</v>
      </c>
      <c r="BQ280" s="129"/>
      <c r="BS280" s="287" t="s">
        <v>122</v>
      </c>
      <c r="BT280" s="358" t="s">
        <v>153</v>
      </c>
      <c r="BU280" s="37" t="str">
        <f t="shared" si="1"/>
        <v>#NAME?</v>
      </c>
      <c r="BV280" s="89" t="s">
        <v>122</v>
      </c>
      <c r="BW280" s="37" t="str">
        <f t="shared" si="2"/>
        <v>#NAME?</v>
      </c>
      <c r="BX280" s="89" t="s">
        <v>461</v>
      </c>
      <c r="BY280" s="39"/>
      <c r="BZ280" s="39"/>
      <c r="CA280" s="40" t="s">
        <v>1275</v>
      </c>
      <c r="CB280" s="41"/>
      <c r="CC280" s="37" t="s">
        <v>122</v>
      </c>
      <c r="CD280" s="226" t="s">
        <v>153</v>
      </c>
      <c r="CE280" s="21"/>
      <c r="CF280" s="92" t="s">
        <v>727</v>
      </c>
      <c r="CG280" s="93" t="s">
        <v>1404</v>
      </c>
      <c r="CH280" s="21"/>
      <c r="CI280" s="175" t="s">
        <v>727</v>
      </c>
      <c r="CJ280" s="93" t="s">
        <v>1404</v>
      </c>
      <c r="CK280" s="21"/>
      <c r="CL280" s="22" t="s">
        <v>727</v>
      </c>
      <c r="CM280" s="12"/>
      <c r="CN280" s="48"/>
      <c r="CO280" s="96" t="s">
        <v>1404</v>
      </c>
      <c r="CP280" s="21"/>
      <c r="CQ280" s="2" t="s">
        <v>2611</v>
      </c>
      <c r="CR280" s="97">
        <v>20.0</v>
      </c>
      <c r="CS280" s="2" t="s">
        <v>4</v>
      </c>
      <c r="CT280" s="98">
        <v>70.0</v>
      </c>
      <c r="CU280" s="2"/>
      <c r="CV280" s="52" t="s">
        <v>149</v>
      </c>
      <c r="CW280" s="52" t="s">
        <v>149</v>
      </c>
      <c r="CX280" s="2"/>
      <c r="CY280" s="382" t="s">
        <v>964</v>
      </c>
      <c r="CZ280" s="385"/>
      <c r="DA280" s="2"/>
      <c r="DB280" s="98">
        <v>235.0</v>
      </c>
      <c r="DC280" s="2"/>
      <c r="DD280" s="101" t="s">
        <v>683</v>
      </c>
      <c r="DE280" s="2"/>
      <c r="DF280" s="387" t="s">
        <v>2612</v>
      </c>
      <c r="DG280" s="382"/>
      <c r="DH280" s="385"/>
      <c r="DI280" s="21"/>
      <c r="DJ280" s="21"/>
      <c r="DK280" s="59" t="s">
        <v>2613</v>
      </c>
      <c r="DL280" s="37" t="s">
        <v>109</v>
      </c>
      <c r="DM280" s="37" t="str">
        <f t="shared" si="3"/>
        <v>#NAME?</v>
      </c>
      <c r="DN280" s="61"/>
      <c r="DO280" s="37">
        <v>75.0</v>
      </c>
      <c r="DP280" s="105">
        <v>1.0</v>
      </c>
      <c r="DQ280" s="62" t="s">
        <v>93</v>
      </c>
      <c r="DR280" s="63"/>
      <c r="DS280" s="198"/>
      <c r="DT280" s="108"/>
      <c r="DU280" s="108"/>
      <c r="DV280" s="182"/>
      <c r="DW280" s="182"/>
      <c r="DX280" s="182"/>
      <c r="DY280" s="182"/>
      <c r="DZ280" s="182"/>
      <c r="EA280" s="182"/>
      <c r="EB280" s="21"/>
      <c r="EC280" s="21"/>
      <c r="ED280" s="21"/>
      <c r="EE280" s="21"/>
      <c r="EF280" s="149" t="s">
        <v>2614</v>
      </c>
      <c r="EG280" s="69" t="str">
        <f>image("https://www.pokebip.com/pages/icones/objets/lettre-petale.png", 3)</f>
        <v/>
      </c>
      <c r="EH280" s="69"/>
      <c r="EI280" s="69"/>
    </row>
    <row r="281" ht="15.75" customHeight="1">
      <c r="A281" s="1">
        <v>281.0</v>
      </c>
      <c r="B281" s="2" t="s">
        <v>2615</v>
      </c>
      <c r="C281" s="7"/>
      <c r="D281" s="352" t="s">
        <v>2616</v>
      </c>
      <c r="E281" s="5"/>
      <c r="F281" s="7"/>
      <c r="G281" s="7"/>
      <c r="H281" s="8" t="s">
        <v>2617</v>
      </c>
      <c r="I281" s="9" t="s">
        <v>2618</v>
      </c>
      <c r="J281" s="355" t="str">
        <f>image("https://archives.bulbagarden.net/media/upload/7/71/281MS6.png", 3)</f>
        <v/>
      </c>
      <c r="K281" s="11" t="s">
        <v>2616</v>
      </c>
      <c r="L281" s="12"/>
      <c r="M281" s="12"/>
      <c r="N281" s="12"/>
      <c r="O281" s="12"/>
      <c r="Q281" s="71">
        <v>38.0</v>
      </c>
      <c r="R281" s="72">
        <v>35.0</v>
      </c>
      <c r="S281" s="73">
        <v>35.0</v>
      </c>
      <c r="T281" s="74">
        <v>65.0</v>
      </c>
      <c r="U281" s="75">
        <v>55.0</v>
      </c>
      <c r="V281" s="76">
        <v>50.0</v>
      </c>
      <c r="W281" s="77">
        <v>278.0</v>
      </c>
      <c r="X281" s="21"/>
      <c r="Y281" s="71">
        <v>38.0</v>
      </c>
      <c r="Z281" s="72">
        <v>35.0</v>
      </c>
      <c r="AA281" s="73">
        <v>35.0</v>
      </c>
      <c r="AB281" s="74">
        <v>65.0</v>
      </c>
      <c r="AC281" s="75">
        <v>55.0</v>
      </c>
      <c r="AD281" s="76">
        <v>50.0</v>
      </c>
      <c r="AE281" s="77">
        <v>278.0</v>
      </c>
      <c r="AF281" s="21"/>
      <c r="AG281" s="71">
        <v>38.0</v>
      </c>
      <c r="AH281" s="72">
        <v>35.0</v>
      </c>
      <c r="AI281" s="73">
        <v>35.0</v>
      </c>
      <c r="AJ281" s="109">
        <v>95.0</v>
      </c>
      <c r="AK281" s="109">
        <v>85.0</v>
      </c>
      <c r="AL281" s="76">
        <v>50.0</v>
      </c>
      <c r="AM281" s="110">
        <v>338.0</v>
      </c>
      <c r="AN281" s="21"/>
      <c r="AO281" s="22">
        <v>38.0</v>
      </c>
      <c r="AP281" s="23">
        <v>35.0</v>
      </c>
      <c r="AQ281" s="23">
        <v>35.0</v>
      </c>
      <c r="AR281" s="23" t="s">
        <v>215</v>
      </c>
      <c r="AS281" s="23" t="s">
        <v>1621</v>
      </c>
      <c r="AT281" s="23">
        <v>50.0</v>
      </c>
      <c r="AU281" s="24" t="s">
        <v>2619</v>
      </c>
      <c r="AV281" s="21"/>
      <c r="AW281" s="78">
        <v>38.0</v>
      </c>
      <c r="AX281" s="79">
        <v>35.0</v>
      </c>
      <c r="AY281" s="79">
        <v>35.0</v>
      </c>
      <c r="AZ281" s="111">
        <v>95.0</v>
      </c>
      <c r="BA281" s="111">
        <v>85.0</v>
      </c>
      <c r="BB281" s="79">
        <v>50.0</v>
      </c>
      <c r="BC281" s="111">
        <v>338.0</v>
      </c>
      <c r="BE281" s="112" t="s">
        <v>42</v>
      </c>
      <c r="BF281" s="113"/>
      <c r="BG281" s="210"/>
      <c r="BI281" s="31" t="s">
        <v>5</v>
      </c>
      <c r="BJ281" s="32" t="s">
        <v>5</v>
      </c>
      <c r="BK281" s="32" t="s">
        <v>5</v>
      </c>
      <c r="BL281" s="32">
        <v>2.0</v>
      </c>
      <c r="BM281" s="32" t="s">
        <v>5</v>
      </c>
      <c r="BN281" s="33" t="s">
        <v>5</v>
      </c>
      <c r="BP281" s="115" t="s">
        <v>122</v>
      </c>
      <c r="BQ281" s="93"/>
      <c r="BS281" s="357" t="s">
        <v>122</v>
      </c>
      <c r="BT281" s="388" t="s">
        <v>153</v>
      </c>
      <c r="BU281" s="37" t="str">
        <f t="shared" si="1"/>
        <v>#NAME?</v>
      </c>
      <c r="BV281" s="89" t="s">
        <v>122</v>
      </c>
      <c r="BW281" s="37" t="str">
        <f t="shared" si="2"/>
        <v>#NAME?</v>
      </c>
      <c r="BX281" s="89" t="s">
        <v>461</v>
      </c>
      <c r="BY281" s="39"/>
      <c r="BZ281" s="39"/>
      <c r="CA281" s="40" t="s">
        <v>1275</v>
      </c>
      <c r="CB281" s="41"/>
      <c r="CC281" s="37" t="s">
        <v>122</v>
      </c>
      <c r="CD281" s="229" t="s">
        <v>153</v>
      </c>
      <c r="CE281" s="21"/>
      <c r="CF281" s="92" t="s">
        <v>727</v>
      </c>
      <c r="CG281" s="93" t="s">
        <v>1404</v>
      </c>
      <c r="CH281" s="21"/>
      <c r="CI281" s="92" t="s">
        <v>727</v>
      </c>
      <c r="CJ281" s="93" t="s">
        <v>1404</v>
      </c>
      <c r="CK281" s="21"/>
      <c r="CL281" s="22" t="s">
        <v>727</v>
      </c>
      <c r="CM281" s="12"/>
      <c r="CN281" s="48"/>
      <c r="CO281" s="96" t="s">
        <v>1404</v>
      </c>
      <c r="CP281" s="21"/>
      <c r="CQ281" s="2" t="s">
        <v>2620</v>
      </c>
      <c r="CR281" s="97">
        <v>40.0</v>
      </c>
      <c r="CS281" s="2" t="s">
        <v>42</v>
      </c>
      <c r="CT281" s="98">
        <v>140.0</v>
      </c>
      <c r="CU281" s="2"/>
      <c r="CV281" s="52" t="s">
        <v>149</v>
      </c>
      <c r="CW281" s="52" t="s">
        <v>149</v>
      </c>
      <c r="CX281" s="2"/>
      <c r="CY281" s="119" t="s">
        <v>964</v>
      </c>
      <c r="CZ281" s="160"/>
      <c r="DA281" s="2"/>
      <c r="DB281" s="98">
        <v>120.0</v>
      </c>
      <c r="DC281" s="2"/>
      <c r="DD281" s="101" t="s">
        <v>683</v>
      </c>
      <c r="DE281" s="2"/>
      <c r="DF281" s="120" t="s">
        <v>2621</v>
      </c>
      <c r="DG281" s="119"/>
      <c r="DH281" s="160"/>
      <c r="DI281" s="2"/>
      <c r="DJ281" s="2"/>
      <c r="DK281" s="59" t="s">
        <v>2622</v>
      </c>
      <c r="DL281" s="37" t="s">
        <v>109</v>
      </c>
      <c r="DM281" s="37" t="str">
        <f t="shared" si="3"/>
        <v>#NAME?</v>
      </c>
      <c r="DN281" s="61"/>
      <c r="DO281" s="37">
        <v>60.0</v>
      </c>
      <c r="DP281" s="105">
        <v>1.0</v>
      </c>
      <c r="DQ281" s="62" t="s">
        <v>293</v>
      </c>
      <c r="DR281" s="63"/>
      <c r="DS281" s="198"/>
      <c r="DT281" s="108"/>
      <c r="DU281" s="108"/>
      <c r="DV281" s="182"/>
      <c r="DW281" s="182"/>
      <c r="DX281" s="182"/>
      <c r="DY281" s="182"/>
      <c r="DZ281" s="182"/>
      <c r="EA281" s="182"/>
      <c r="EB281" s="2"/>
      <c r="EC281" s="2"/>
      <c r="ED281" s="2"/>
      <c r="EE281" s="2"/>
      <c r="EF281" s="149" t="s">
        <v>2623</v>
      </c>
      <c r="EG281" s="69" t="str">
        <f>image("https://www.pokebip.com/pages/icones/objets/lettre-brique.png", 3)</f>
        <v/>
      </c>
      <c r="EH281" s="69"/>
      <c r="EI281" s="69"/>
    </row>
    <row r="282" ht="15.75" customHeight="1">
      <c r="A282" s="1">
        <v>282.0</v>
      </c>
      <c r="B282" s="2" t="s">
        <v>2624</v>
      </c>
      <c r="C282" s="7"/>
      <c r="D282" s="352" t="s">
        <v>2625</v>
      </c>
      <c r="E282" s="5"/>
      <c r="F282" s="7"/>
      <c r="G282" s="7"/>
      <c r="H282" s="8" t="s">
        <v>2626</v>
      </c>
      <c r="I282" s="9" t="s">
        <v>2627</v>
      </c>
      <c r="J282" s="355" t="str">
        <f>image("https://archives.bulbagarden.net/media/upload/c/ce/282MS6.png", 3)</f>
        <v/>
      </c>
      <c r="K282" s="11" t="s">
        <v>2625</v>
      </c>
      <c r="L282" s="12"/>
      <c r="M282" s="12"/>
      <c r="N282" s="12"/>
      <c r="O282" s="12"/>
      <c r="Q282" s="71">
        <v>68.0</v>
      </c>
      <c r="R282" s="72">
        <v>65.0</v>
      </c>
      <c r="S282" s="73">
        <v>65.0</v>
      </c>
      <c r="T282" s="74">
        <v>125.0</v>
      </c>
      <c r="U282" s="75">
        <v>115.0</v>
      </c>
      <c r="V282" s="76">
        <v>80.0</v>
      </c>
      <c r="W282" s="77">
        <v>518.0</v>
      </c>
      <c r="X282" s="21"/>
      <c r="Y282" s="71">
        <v>68.0</v>
      </c>
      <c r="Z282" s="72">
        <v>65.0</v>
      </c>
      <c r="AA282" s="73">
        <v>65.0</v>
      </c>
      <c r="AB282" s="74">
        <v>125.0</v>
      </c>
      <c r="AC282" s="75">
        <v>115.0</v>
      </c>
      <c r="AD282" s="76">
        <v>80.0</v>
      </c>
      <c r="AE282" s="77">
        <v>518.0</v>
      </c>
      <c r="AF282" s="21"/>
      <c r="AG282" s="71">
        <v>68.0</v>
      </c>
      <c r="AH282" s="72">
        <v>65.0</v>
      </c>
      <c r="AI282" s="73">
        <v>65.0</v>
      </c>
      <c r="AJ282" s="74">
        <v>125.0</v>
      </c>
      <c r="AK282" s="75">
        <v>115.0</v>
      </c>
      <c r="AL282" s="76">
        <v>80.0</v>
      </c>
      <c r="AM282" s="77">
        <v>518.0</v>
      </c>
      <c r="AN282" s="21"/>
      <c r="AO282" s="22">
        <v>68.0</v>
      </c>
      <c r="AP282" s="23">
        <v>65.0</v>
      </c>
      <c r="AQ282" s="23">
        <v>65.0</v>
      </c>
      <c r="AR282" s="23">
        <v>125.0</v>
      </c>
      <c r="AS282" s="23">
        <v>115.0</v>
      </c>
      <c r="AT282" s="23">
        <v>80.0</v>
      </c>
      <c r="AU282" s="24">
        <v>518.0</v>
      </c>
      <c r="AV282" s="21"/>
      <c r="AW282" s="78">
        <v>68.0</v>
      </c>
      <c r="AX282" s="79">
        <v>65.0</v>
      </c>
      <c r="AY282" s="80">
        <v>65.0</v>
      </c>
      <c r="AZ282" s="182">
        <v>125.0</v>
      </c>
      <c r="BA282" s="182">
        <v>115.0</v>
      </c>
      <c r="BB282" s="79">
        <v>80.0</v>
      </c>
      <c r="BC282" s="183">
        <v>518.0</v>
      </c>
      <c r="BE282" s="112" t="s">
        <v>85</v>
      </c>
      <c r="BF282" s="138"/>
      <c r="BG282" s="128"/>
      <c r="BI282" s="31" t="s">
        <v>5</v>
      </c>
      <c r="BJ282" s="32" t="s">
        <v>5</v>
      </c>
      <c r="BK282" s="32" t="s">
        <v>5</v>
      </c>
      <c r="BL282" s="32">
        <v>3.0</v>
      </c>
      <c r="BM282" s="32" t="s">
        <v>5</v>
      </c>
      <c r="BN282" s="33" t="s">
        <v>5</v>
      </c>
      <c r="BP282" s="85" t="s">
        <v>122</v>
      </c>
      <c r="BQ282" s="129"/>
      <c r="BS282" s="287" t="s">
        <v>122</v>
      </c>
      <c r="BT282" s="361" t="s">
        <v>153</v>
      </c>
      <c r="BU282" s="37" t="str">
        <f t="shared" si="1"/>
        <v>#NAME?</v>
      </c>
      <c r="BV282" s="89" t="s">
        <v>122</v>
      </c>
      <c r="BW282" s="37" t="str">
        <f t="shared" si="2"/>
        <v>#NAME?</v>
      </c>
      <c r="BX282" s="89" t="s">
        <v>461</v>
      </c>
      <c r="BY282" s="39"/>
      <c r="BZ282" s="39"/>
      <c r="CA282" s="40" t="s">
        <v>1275</v>
      </c>
      <c r="CB282" s="41"/>
      <c r="CC282" s="37" t="s">
        <v>122</v>
      </c>
      <c r="CD282" s="233" t="s">
        <v>153</v>
      </c>
      <c r="CE282" s="21"/>
      <c r="CF282" s="92" t="s">
        <v>727</v>
      </c>
      <c r="CG282" s="93" t="s">
        <v>1404</v>
      </c>
      <c r="CH282" s="21"/>
      <c r="CI282" s="92" t="s">
        <v>727</v>
      </c>
      <c r="CJ282" s="93" t="s">
        <v>1404</v>
      </c>
      <c r="CK282" s="21"/>
      <c r="CL282" s="22" t="s">
        <v>727</v>
      </c>
      <c r="CM282" s="12"/>
      <c r="CN282" s="48"/>
      <c r="CO282" s="96" t="s">
        <v>1404</v>
      </c>
      <c r="CP282" s="21"/>
      <c r="CQ282" s="2" t="s">
        <v>2628</v>
      </c>
      <c r="CR282" s="97">
        <v>60.0</v>
      </c>
      <c r="CS282" s="2" t="s">
        <v>85</v>
      </c>
      <c r="CT282" s="98">
        <v>208.0</v>
      </c>
      <c r="CU282" s="2"/>
      <c r="CV282" s="52" t="s">
        <v>149</v>
      </c>
      <c r="CW282" s="52" t="s">
        <v>149</v>
      </c>
      <c r="CX282" s="2"/>
      <c r="CY282" s="382" t="s">
        <v>964</v>
      </c>
      <c r="CZ282" s="385"/>
      <c r="DA282" s="2"/>
      <c r="DB282" s="98">
        <v>45.0</v>
      </c>
      <c r="DC282" s="2"/>
      <c r="DD282" s="101" t="s">
        <v>683</v>
      </c>
      <c r="DE282" s="2"/>
      <c r="DF282" s="383" t="s">
        <v>2629</v>
      </c>
      <c r="DG282" s="382"/>
      <c r="DH282" s="385"/>
      <c r="DI282" s="2"/>
      <c r="DJ282" s="2"/>
      <c r="DK282" s="59" t="s">
        <v>2630</v>
      </c>
      <c r="DL282" s="37" t="s">
        <v>7</v>
      </c>
      <c r="DM282" s="37" t="str">
        <f t="shared" si="3"/>
        <v>#NAME?</v>
      </c>
      <c r="DN282" s="61"/>
      <c r="DO282" s="37" t="s">
        <v>154</v>
      </c>
      <c r="DP282" s="105">
        <v>1.0</v>
      </c>
      <c r="DQ282" s="62" t="s">
        <v>472</v>
      </c>
      <c r="DR282" s="63"/>
      <c r="DS282" s="198"/>
      <c r="DT282" s="108"/>
      <c r="DU282" s="108"/>
      <c r="DV282" s="182"/>
      <c r="DW282" s="182"/>
      <c r="DX282" s="182"/>
      <c r="DY282" s="182"/>
      <c r="DZ282" s="182"/>
      <c r="EA282" s="182"/>
      <c r="EB282" s="2"/>
      <c r="EC282" s="2"/>
      <c r="ED282" s="2"/>
      <c r="EE282" s="2"/>
      <c r="EF282" s="149" t="s">
        <v>2631</v>
      </c>
      <c r="EG282" s="69" t="str">
        <f>image("https://www.pokebip.com/pages/icones/objets/lettre-mosaique.png", 3)</f>
        <v/>
      </c>
      <c r="EH282" s="69"/>
      <c r="EI282" s="69"/>
    </row>
    <row r="283" ht="15.75" customHeight="1">
      <c r="A283" s="1">
        <v>283.0</v>
      </c>
      <c r="B283" s="2" t="s">
        <v>2632</v>
      </c>
      <c r="C283" s="7"/>
      <c r="D283" s="140" t="s">
        <v>2633</v>
      </c>
      <c r="E283" s="5"/>
      <c r="F283" s="141"/>
      <c r="G283" s="7"/>
      <c r="H283" s="8" t="s">
        <v>2634</v>
      </c>
      <c r="I283" s="9" t="s">
        <v>2635</v>
      </c>
      <c r="J283" s="355" t="str">
        <f>image("https://archives.bulbagarden.net/media/upload/0/09/283MS6.png", 3)</f>
        <v/>
      </c>
      <c r="K283" s="11" t="s">
        <v>2633</v>
      </c>
      <c r="L283" s="12"/>
      <c r="M283" s="12"/>
      <c r="N283" s="12"/>
      <c r="O283" s="12"/>
      <c r="Q283" s="71">
        <v>40.0</v>
      </c>
      <c r="R283" s="72">
        <v>30.0</v>
      </c>
      <c r="S283" s="73">
        <v>32.0</v>
      </c>
      <c r="T283" s="74">
        <v>50.0</v>
      </c>
      <c r="U283" s="75">
        <v>52.0</v>
      </c>
      <c r="V283" s="76">
        <v>65.0</v>
      </c>
      <c r="W283" s="77">
        <v>269.0</v>
      </c>
      <c r="X283" s="21"/>
      <c r="Y283" s="71">
        <v>40.0</v>
      </c>
      <c r="Z283" s="72">
        <v>30.0</v>
      </c>
      <c r="AA283" s="73">
        <v>32.0</v>
      </c>
      <c r="AB283" s="74">
        <v>50.0</v>
      </c>
      <c r="AC283" s="75">
        <v>52.0</v>
      </c>
      <c r="AD283" s="76">
        <v>65.0</v>
      </c>
      <c r="AE283" s="77">
        <v>269.0</v>
      </c>
      <c r="AF283" s="21"/>
      <c r="AG283" s="71">
        <v>40.0</v>
      </c>
      <c r="AH283" s="72">
        <v>30.0</v>
      </c>
      <c r="AI283" s="162">
        <v>30.0</v>
      </c>
      <c r="AJ283" s="109">
        <v>55.0</v>
      </c>
      <c r="AK283" s="109">
        <v>55.0</v>
      </c>
      <c r="AL283" s="76">
        <v>65.0</v>
      </c>
      <c r="AM283" s="110">
        <v>275.0</v>
      </c>
      <c r="AN283" s="21"/>
      <c r="AO283" s="22">
        <v>40.0</v>
      </c>
      <c r="AP283" s="23">
        <v>30.0</v>
      </c>
      <c r="AQ283" s="23" t="s">
        <v>711</v>
      </c>
      <c r="AR283" s="23" t="s">
        <v>507</v>
      </c>
      <c r="AS283" s="23" t="s">
        <v>507</v>
      </c>
      <c r="AT283" s="23">
        <v>65.0</v>
      </c>
      <c r="AU283" s="24" t="s">
        <v>1651</v>
      </c>
      <c r="AV283" s="21"/>
      <c r="AW283" s="78">
        <v>40.0</v>
      </c>
      <c r="AX283" s="80">
        <v>30.0</v>
      </c>
      <c r="AY283" s="163">
        <v>30.0</v>
      </c>
      <c r="AZ283" s="164">
        <v>55.0</v>
      </c>
      <c r="BA283" s="111">
        <v>55.0</v>
      </c>
      <c r="BB283" s="80">
        <v>65.0</v>
      </c>
      <c r="BC283" s="111">
        <v>275.0</v>
      </c>
      <c r="BE283" s="126" t="s">
        <v>56</v>
      </c>
      <c r="BF283" s="143"/>
      <c r="BG283" s="128"/>
      <c r="BI283" s="31" t="s">
        <v>5</v>
      </c>
      <c r="BJ283" s="32" t="s">
        <v>5</v>
      </c>
      <c r="BK283" s="32" t="s">
        <v>5</v>
      </c>
      <c r="BL283" s="32" t="s">
        <v>5</v>
      </c>
      <c r="BM283" s="32" t="s">
        <v>5</v>
      </c>
      <c r="BN283" s="33">
        <v>1.0</v>
      </c>
      <c r="BP283" s="115" t="s">
        <v>109</v>
      </c>
      <c r="BQ283" s="116" t="s">
        <v>32</v>
      </c>
      <c r="BS283" s="115" t="s">
        <v>109</v>
      </c>
      <c r="BT283" s="289" t="s">
        <v>32</v>
      </c>
      <c r="BU283" s="37" t="str">
        <f t="shared" si="1"/>
        <v>#NAME?</v>
      </c>
      <c r="BV283" s="89" t="s">
        <v>109</v>
      </c>
      <c r="BW283" s="37" t="str">
        <f t="shared" si="2"/>
        <v>#NAME?</v>
      </c>
      <c r="BX283" s="89" t="s">
        <v>32</v>
      </c>
      <c r="BY283" s="65"/>
      <c r="BZ283" s="65"/>
      <c r="CA283" s="222" t="s">
        <v>2636</v>
      </c>
      <c r="CB283" s="223"/>
      <c r="CC283" s="90" t="s">
        <v>109</v>
      </c>
      <c r="CD283" s="107" t="s">
        <v>32</v>
      </c>
      <c r="CE283" s="2"/>
      <c r="CF283" s="92" t="s">
        <v>1212</v>
      </c>
      <c r="CG283" s="93"/>
      <c r="CH283" s="2"/>
      <c r="CI283" s="92" t="s">
        <v>1212</v>
      </c>
      <c r="CJ283" s="93"/>
      <c r="CK283" s="2"/>
      <c r="CL283" s="22" t="s">
        <v>1212</v>
      </c>
      <c r="CM283" s="12"/>
      <c r="CN283" s="48"/>
      <c r="CO283" s="95"/>
      <c r="CP283" s="2"/>
      <c r="CQ283" s="2" t="s">
        <v>2637</v>
      </c>
      <c r="CR283" s="97">
        <v>20.0</v>
      </c>
      <c r="CS283" s="2" t="s">
        <v>56</v>
      </c>
      <c r="CT283" s="98">
        <v>63.0</v>
      </c>
      <c r="CU283" s="2"/>
      <c r="CV283" s="52" t="s">
        <v>149</v>
      </c>
      <c r="CW283" s="52" t="s">
        <v>149</v>
      </c>
      <c r="CX283" s="2"/>
      <c r="CY283" s="118" t="s">
        <v>106</v>
      </c>
      <c r="CZ283" s="119" t="s">
        <v>109</v>
      </c>
      <c r="DA283" s="2"/>
      <c r="DB283" s="98">
        <v>200.0</v>
      </c>
      <c r="DC283" s="2"/>
      <c r="DD283" s="101" t="s">
        <v>150</v>
      </c>
      <c r="DE283" s="2"/>
      <c r="DF283" s="148" t="s">
        <v>2638</v>
      </c>
      <c r="DG283" s="118" t="s">
        <v>2639</v>
      </c>
      <c r="DH283" s="119"/>
      <c r="DI283" s="21"/>
      <c r="DJ283" s="21"/>
      <c r="DK283" s="59" t="s">
        <v>2640</v>
      </c>
      <c r="DL283" s="37" t="s">
        <v>7</v>
      </c>
      <c r="DM283" s="37" t="str">
        <f t="shared" si="3"/>
        <v>#NAME?</v>
      </c>
      <c r="DN283" s="61"/>
      <c r="DO283" s="37">
        <v>90.0</v>
      </c>
      <c r="DP283" s="105">
        <v>1.0</v>
      </c>
      <c r="DQ283" s="62" t="s">
        <v>49</v>
      </c>
      <c r="DR283" s="63"/>
      <c r="DS283" s="198"/>
      <c r="DT283" s="108"/>
      <c r="DU283" s="108"/>
      <c r="DV283" s="182"/>
      <c r="DW283" s="182"/>
      <c r="DX283" s="182"/>
      <c r="DY283" s="182"/>
      <c r="DZ283" s="182"/>
      <c r="EA283" s="182"/>
      <c r="EB283" s="2"/>
      <c r="EC283" s="2"/>
      <c r="ED283" s="2"/>
      <c r="EE283" s="2"/>
      <c r="EG283" s="69" t="str">
        <f>image("", 3)</f>
        <v/>
      </c>
      <c r="EH283" s="69"/>
      <c r="EI283" s="69"/>
    </row>
    <row r="284" ht="15.75" customHeight="1">
      <c r="A284" s="1">
        <v>284.0</v>
      </c>
      <c r="B284" s="2" t="s">
        <v>2641</v>
      </c>
      <c r="C284" s="7"/>
      <c r="D284" s="140" t="s">
        <v>2642</v>
      </c>
      <c r="E284" s="5"/>
      <c r="F284" s="141"/>
      <c r="G284" s="7"/>
      <c r="H284" s="8" t="s">
        <v>2643</v>
      </c>
      <c r="I284" s="9" t="s">
        <v>2644</v>
      </c>
      <c r="J284" s="355" t="str">
        <f>image("https://archives.bulbagarden.net/media/upload/d/d5/284MS6.png", 3)</f>
        <v/>
      </c>
      <c r="K284" s="11" t="s">
        <v>2642</v>
      </c>
      <c r="L284" s="12"/>
      <c r="M284" s="12"/>
      <c r="N284" s="12"/>
      <c r="O284" s="12"/>
      <c r="Q284" s="71">
        <v>70.0</v>
      </c>
      <c r="R284" s="72">
        <v>60.0</v>
      </c>
      <c r="S284" s="73">
        <v>62.0</v>
      </c>
      <c r="T284" s="74">
        <v>80.0</v>
      </c>
      <c r="U284" s="75">
        <v>82.0</v>
      </c>
      <c r="V284" s="76">
        <v>60.0</v>
      </c>
      <c r="W284" s="77">
        <v>414.0</v>
      </c>
      <c r="X284" s="21"/>
      <c r="Y284" s="71">
        <v>70.0</v>
      </c>
      <c r="Z284" s="72">
        <v>60.0</v>
      </c>
      <c r="AA284" s="73">
        <v>62.0</v>
      </c>
      <c r="AB284" s="109">
        <v>100.0</v>
      </c>
      <c r="AC284" s="75">
        <v>82.0</v>
      </c>
      <c r="AD284" s="109">
        <v>80.0</v>
      </c>
      <c r="AE284" s="110">
        <v>454.0</v>
      </c>
      <c r="AF284" s="21"/>
      <c r="AG284" s="71">
        <v>70.0</v>
      </c>
      <c r="AH284" s="162">
        <v>50.0</v>
      </c>
      <c r="AI284" s="162">
        <v>50.0</v>
      </c>
      <c r="AJ284" s="109">
        <v>110.0</v>
      </c>
      <c r="AK284" s="109">
        <v>100.0</v>
      </c>
      <c r="AL284" s="109">
        <v>100.0</v>
      </c>
      <c r="AM284" s="110">
        <v>480.0</v>
      </c>
      <c r="AN284" s="21"/>
      <c r="AO284" s="22">
        <v>70.0</v>
      </c>
      <c r="AP284" s="23" t="s">
        <v>246</v>
      </c>
      <c r="AQ284" s="23" t="s">
        <v>246</v>
      </c>
      <c r="AR284" s="23" t="s">
        <v>40</v>
      </c>
      <c r="AS284" s="23" t="s">
        <v>175</v>
      </c>
      <c r="AT284" s="23" t="s">
        <v>175</v>
      </c>
      <c r="AU284" s="24" t="s">
        <v>2645</v>
      </c>
      <c r="AV284" s="21"/>
      <c r="AW284" s="78">
        <v>70.0</v>
      </c>
      <c r="AX284" s="163">
        <v>50.0</v>
      </c>
      <c r="AY284" s="389">
        <v>50.0</v>
      </c>
      <c r="AZ284" s="164">
        <v>110.0</v>
      </c>
      <c r="BA284" s="111">
        <v>100.0</v>
      </c>
      <c r="BB284" s="111">
        <v>100.0</v>
      </c>
      <c r="BC284" s="227">
        <v>480.0</v>
      </c>
      <c r="BE284" s="82" t="s">
        <v>4</v>
      </c>
      <c r="BF284" s="83" t="s">
        <v>27</v>
      </c>
      <c r="BG284" s="384"/>
      <c r="BI284" s="31" t="s">
        <v>5</v>
      </c>
      <c r="BJ284" s="32" t="s">
        <v>5</v>
      </c>
      <c r="BK284" s="32" t="s">
        <v>5</v>
      </c>
      <c r="BL284" s="32">
        <v>1.0</v>
      </c>
      <c r="BM284" s="32">
        <v>1.0</v>
      </c>
      <c r="BN284" s="33" t="s">
        <v>5</v>
      </c>
      <c r="BP284" s="85" t="s">
        <v>109</v>
      </c>
      <c r="BQ284" s="86" t="s">
        <v>18</v>
      </c>
      <c r="BS284" s="87" t="s">
        <v>109</v>
      </c>
      <c r="BT284" s="88" t="s">
        <v>18</v>
      </c>
      <c r="BU284" s="37" t="str">
        <f t="shared" si="1"/>
        <v>#NAME?</v>
      </c>
      <c r="BV284" s="89" t="s">
        <v>109</v>
      </c>
      <c r="BW284" s="37" t="str">
        <f t="shared" si="2"/>
        <v>#NAME?</v>
      </c>
      <c r="BX284" s="89" t="s">
        <v>308</v>
      </c>
      <c r="BY284" s="39"/>
      <c r="BZ284" s="39"/>
      <c r="CA284" s="40" t="s">
        <v>2646</v>
      </c>
      <c r="CB284" s="41"/>
      <c r="CC284" s="37" t="s">
        <v>109</v>
      </c>
      <c r="CD284" s="139" t="s">
        <v>32</v>
      </c>
      <c r="CE284" s="2"/>
      <c r="CF284" s="92" t="s">
        <v>326</v>
      </c>
      <c r="CG284" s="93"/>
      <c r="CH284" s="2"/>
      <c r="CI284" s="177" t="s">
        <v>326</v>
      </c>
      <c r="CJ284" s="93"/>
      <c r="CK284" s="2"/>
      <c r="CL284" s="22" t="s">
        <v>326</v>
      </c>
      <c r="CM284" s="12"/>
      <c r="CN284" s="48"/>
      <c r="CO284" s="95"/>
      <c r="CP284" s="2"/>
      <c r="CQ284" s="2" t="s">
        <v>2488</v>
      </c>
      <c r="CR284" s="97">
        <v>20.0</v>
      </c>
      <c r="CS284" s="2" t="s">
        <v>29</v>
      </c>
      <c r="CT284" s="98">
        <v>128.0</v>
      </c>
      <c r="CU284" s="2"/>
      <c r="CV284" s="52" t="s">
        <v>149</v>
      </c>
      <c r="CW284" s="52" t="s">
        <v>149</v>
      </c>
      <c r="CX284" s="2"/>
      <c r="CY284" s="381" t="s">
        <v>106</v>
      </c>
      <c r="CZ284" s="382" t="s">
        <v>109</v>
      </c>
      <c r="DA284" s="2"/>
      <c r="DB284" s="98">
        <v>75.0</v>
      </c>
      <c r="DC284" s="2"/>
      <c r="DD284" s="101" t="s">
        <v>150</v>
      </c>
      <c r="DE284" s="2"/>
      <c r="DF284" s="383" t="s">
        <v>2647</v>
      </c>
      <c r="DG284" s="381" t="s">
        <v>183</v>
      </c>
      <c r="DH284" s="382"/>
      <c r="DI284" s="2"/>
      <c r="DJ284" s="2"/>
      <c r="DK284" s="59" t="s">
        <v>2648</v>
      </c>
      <c r="DL284" s="37" t="s">
        <v>7</v>
      </c>
      <c r="DM284" s="37" t="str">
        <f t="shared" si="3"/>
        <v>#NAME?</v>
      </c>
      <c r="DN284" s="61"/>
      <c r="DO284" s="37" t="s">
        <v>508</v>
      </c>
      <c r="DP284" s="105">
        <v>0.7</v>
      </c>
      <c r="DQ284" s="62" t="s">
        <v>20</v>
      </c>
      <c r="DR284" s="155"/>
      <c r="DS284" s="251"/>
      <c r="DT284" s="108"/>
      <c r="DU284" s="108"/>
      <c r="DV284" s="252"/>
      <c r="DW284" s="252"/>
      <c r="DX284" s="252"/>
      <c r="DY284" s="252"/>
      <c r="DZ284" s="252"/>
      <c r="EA284" s="252"/>
      <c r="EB284" s="2"/>
      <c r="EC284" s="2"/>
      <c r="ED284" s="2"/>
      <c r="EE284" s="2"/>
      <c r="EF284" s="149" t="s">
        <v>2649</v>
      </c>
      <c r="EG284" s="69" t="str">
        <f>image("https://www.pokebip.com/pages/icones/objets/corde-sortie.png", 3)</f>
        <v/>
      </c>
      <c r="EH284" s="69"/>
      <c r="EI284" s="69"/>
    </row>
    <row r="285" ht="15.75" customHeight="1">
      <c r="A285" s="1">
        <v>285.0</v>
      </c>
      <c r="B285" s="2" t="s">
        <v>2650</v>
      </c>
      <c r="C285" s="7"/>
      <c r="D285" s="167" t="s">
        <v>2651</v>
      </c>
      <c r="E285" s="5"/>
      <c r="F285" s="168"/>
      <c r="G285" s="7"/>
      <c r="H285" s="8" t="s">
        <v>2652</v>
      </c>
      <c r="I285" s="9" t="s">
        <v>2653</v>
      </c>
      <c r="J285" s="355" t="str">
        <f>image("https://archives.bulbagarden.net/media/upload/7/70/285MS6.png", 3)</f>
        <v/>
      </c>
      <c r="K285" s="11" t="s">
        <v>2651</v>
      </c>
      <c r="L285" s="12"/>
      <c r="M285" s="12"/>
      <c r="N285" s="12"/>
      <c r="O285" s="12"/>
      <c r="Q285" s="71">
        <v>60.0</v>
      </c>
      <c r="R285" s="72">
        <v>40.0</v>
      </c>
      <c r="S285" s="73">
        <v>60.0</v>
      </c>
      <c r="T285" s="74">
        <v>40.0</v>
      </c>
      <c r="U285" s="75">
        <v>60.0</v>
      </c>
      <c r="V285" s="76">
        <v>35.0</v>
      </c>
      <c r="W285" s="77">
        <v>295.0</v>
      </c>
      <c r="X285" s="21"/>
      <c r="Y285" s="71">
        <v>60.0</v>
      </c>
      <c r="Z285" s="72">
        <v>40.0</v>
      </c>
      <c r="AA285" s="73">
        <v>60.0</v>
      </c>
      <c r="AB285" s="74">
        <v>40.0</v>
      </c>
      <c r="AC285" s="75">
        <v>60.0</v>
      </c>
      <c r="AD285" s="76">
        <v>35.0</v>
      </c>
      <c r="AE285" s="77">
        <v>295.0</v>
      </c>
      <c r="AF285" s="21"/>
      <c r="AG285" s="71">
        <v>60.0</v>
      </c>
      <c r="AH285" s="72">
        <v>40.0</v>
      </c>
      <c r="AI285" s="73">
        <v>60.0</v>
      </c>
      <c r="AJ285" s="74">
        <v>40.0</v>
      </c>
      <c r="AK285" s="75">
        <v>60.0</v>
      </c>
      <c r="AL285" s="76">
        <v>35.0</v>
      </c>
      <c r="AM285" s="77">
        <v>295.0</v>
      </c>
      <c r="AN285" s="21"/>
      <c r="AO285" s="22">
        <v>60.0</v>
      </c>
      <c r="AP285" s="23">
        <v>40.0</v>
      </c>
      <c r="AQ285" s="23">
        <v>60.0</v>
      </c>
      <c r="AR285" s="23">
        <v>40.0</v>
      </c>
      <c r="AS285" s="23">
        <v>60.0</v>
      </c>
      <c r="AT285" s="23">
        <v>35.0</v>
      </c>
      <c r="AU285" s="24">
        <v>295.0</v>
      </c>
      <c r="AV285" s="21"/>
      <c r="AW285" s="78">
        <v>60.0</v>
      </c>
      <c r="AX285" s="124">
        <v>40.0</v>
      </c>
      <c r="AY285" s="124">
        <v>60.0</v>
      </c>
      <c r="AZ285" s="124">
        <v>40.0</v>
      </c>
      <c r="BA285" s="124">
        <v>60.0</v>
      </c>
      <c r="BB285" s="124">
        <v>35.0</v>
      </c>
      <c r="BC285" s="125">
        <v>295.0</v>
      </c>
      <c r="BE285" s="151" t="s">
        <v>144</v>
      </c>
      <c r="BF285" s="143"/>
      <c r="BG285" s="128"/>
      <c r="BI285" s="31">
        <v>1.0</v>
      </c>
      <c r="BJ285" s="32" t="s">
        <v>5</v>
      </c>
      <c r="BK285" s="32" t="s">
        <v>5</v>
      </c>
      <c r="BL285" s="32" t="s">
        <v>5</v>
      </c>
      <c r="BM285" s="32" t="s">
        <v>5</v>
      </c>
      <c r="BN285" s="33" t="s">
        <v>5</v>
      </c>
      <c r="BP285" s="115" t="s">
        <v>6</v>
      </c>
      <c r="BQ285" s="93"/>
      <c r="BS285" s="115" t="s">
        <v>6</v>
      </c>
      <c r="BT285" s="133"/>
      <c r="BU285" s="37" t="str">
        <f t="shared" si="1"/>
        <v>#NAME?</v>
      </c>
      <c r="BV285" s="89" t="s">
        <v>6</v>
      </c>
      <c r="BW285" s="37" t="str">
        <f t="shared" si="2"/>
        <v>#NAME?</v>
      </c>
      <c r="BX285" s="89"/>
      <c r="BY285" s="144"/>
      <c r="BZ285" s="144"/>
      <c r="CA285" s="145" t="s">
        <v>6</v>
      </c>
      <c r="CB285" s="146"/>
      <c r="CC285" s="90" t="s">
        <v>6</v>
      </c>
      <c r="CD285" s="147"/>
      <c r="CE285" s="21"/>
      <c r="CF285" s="92" t="s">
        <v>563</v>
      </c>
      <c r="CG285" s="93" t="s">
        <v>2654</v>
      </c>
      <c r="CH285" s="21"/>
      <c r="CI285" s="46" t="s">
        <v>2049</v>
      </c>
      <c r="CJ285" s="95" t="s">
        <v>2654</v>
      </c>
      <c r="CK285" s="21"/>
      <c r="CL285" s="22" t="s">
        <v>1278</v>
      </c>
      <c r="CM285" s="12"/>
      <c r="CN285" s="48"/>
      <c r="CO285" s="96" t="s">
        <v>2654</v>
      </c>
      <c r="CP285" s="21"/>
      <c r="CQ285" s="2" t="s">
        <v>2655</v>
      </c>
      <c r="CR285" s="97">
        <v>20.0</v>
      </c>
      <c r="CS285" s="2" t="s">
        <v>144</v>
      </c>
      <c r="CT285" s="98">
        <v>65.0</v>
      </c>
      <c r="CU285" s="2"/>
      <c r="CV285" s="52" t="s">
        <v>149</v>
      </c>
      <c r="CW285" s="52" t="s">
        <v>149</v>
      </c>
      <c r="CX285" s="2"/>
      <c r="CY285" s="118" t="s">
        <v>153</v>
      </c>
      <c r="CZ285" s="119" t="s">
        <v>6</v>
      </c>
      <c r="DA285" s="2"/>
      <c r="DB285" s="98">
        <v>255.0</v>
      </c>
      <c r="DC285" s="2"/>
      <c r="DD285" s="101" t="s">
        <v>2656</v>
      </c>
      <c r="DE285" s="2"/>
      <c r="DF285" s="148" t="s">
        <v>2657</v>
      </c>
      <c r="DG285" s="118" t="s">
        <v>576</v>
      </c>
      <c r="DH285" s="119" t="s">
        <v>577</v>
      </c>
      <c r="DI285" s="21"/>
      <c r="DJ285" s="21"/>
      <c r="DK285" s="59" t="s">
        <v>2658</v>
      </c>
      <c r="DL285" s="37" t="s">
        <v>156</v>
      </c>
      <c r="DM285" s="37" t="str">
        <f t="shared" si="3"/>
        <v>#NAME?</v>
      </c>
      <c r="DN285" s="61"/>
      <c r="DO285" s="37" t="s">
        <v>233</v>
      </c>
      <c r="DP285" s="105">
        <v>1.0</v>
      </c>
      <c r="DQ285" s="62" t="s">
        <v>93</v>
      </c>
      <c r="DR285" s="63"/>
      <c r="DS285" s="198"/>
      <c r="DT285" s="108"/>
      <c r="DU285" s="108"/>
      <c r="DV285" s="182"/>
      <c r="DW285" s="182"/>
      <c r="DX285" s="182"/>
      <c r="DY285" s="182"/>
      <c r="DZ285" s="182"/>
      <c r="EA285" s="182"/>
      <c r="EB285" s="21"/>
      <c r="EC285" s="21"/>
      <c r="ED285" s="21"/>
      <c r="EE285" s="21"/>
      <c r="EF285" s="149" t="s">
        <v>2659</v>
      </c>
      <c r="EG285" s="69" t="str">
        <f>image("https://www.pokebip.com/pages/icones/objets/miel.png", 3)</f>
        <v/>
      </c>
      <c r="EH285" s="69"/>
      <c r="EI285" s="69"/>
    </row>
    <row r="286" ht="15.75" customHeight="1">
      <c r="A286" s="1">
        <v>286.0</v>
      </c>
      <c r="B286" s="2" t="s">
        <v>2660</v>
      </c>
      <c r="C286" s="7"/>
      <c r="D286" s="4" t="s">
        <v>2661</v>
      </c>
      <c r="E286" s="5"/>
      <c r="F286" s="6"/>
      <c r="G286" s="7"/>
      <c r="H286" s="8" t="s">
        <v>2662</v>
      </c>
      <c r="I286" s="9" t="s">
        <v>2663</v>
      </c>
      <c r="J286" s="355" t="str">
        <f>image("https://archives.bulbagarden.net/media/upload/8/8c/286MS6.png", 3)</f>
        <v/>
      </c>
      <c r="K286" s="11" t="s">
        <v>2661</v>
      </c>
      <c r="L286" s="12"/>
      <c r="M286" s="12"/>
      <c r="N286" s="12"/>
      <c r="O286" s="12"/>
      <c r="Q286" s="71">
        <v>60.0</v>
      </c>
      <c r="R286" s="72">
        <v>130.0</v>
      </c>
      <c r="S286" s="73">
        <v>80.0</v>
      </c>
      <c r="T286" s="74">
        <v>60.0</v>
      </c>
      <c r="U286" s="75">
        <v>60.0</v>
      </c>
      <c r="V286" s="76">
        <v>70.0</v>
      </c>
      <c r="W286" s="77">
        <v>460.0</v>
      </c>
      <c r="X286" s="21"/>
      <c r="Y286" s="71">
        <v>60.0</v>
      </c>
      <c r="Z286" s="72">
        <v>130.0</v>
      </c>
      <c r="AA286" s="73">
        <v>80.0</v>
      </c>
      <c r="AB286" s="74">
        <v>60.0</v>
      </c>
      <c r="AC286" s="75">
        <v>60.0</v>
      </c>
      <c r="AD286" s="76">
        <v>70.0</v>
      </c>
      <c r="AE286" s="77">
        <v>460.0</v>
      </c>
      <c r="AF286" s="21"/>
      <c r="AG286" s="71">
        <v>60.0</v>
      </c>
      <c r="AH286" s="72">
        <v>130.0</v>
      </c>
      <c r="AI286" s="73">
        <v>80.0</v>
      </c>
      <c r="AJ286" s="74">
        <v>60.0</v>
      </c>
      <c r="AK286" s="75">
        <v>60.0</v>
      </c>
      <c r="AL286" s="76">
        <v>70.0</v>
      </c>
      <c r="AM286" s="77">
        <v>460.0</v>
      </c>
      <c r="AN286" s="21"/>
      <c r="AO286" s="22">
        <v>60.0</v>
      </c>
      <c r="AP286" s="23">
        <v>130.0</v>
      </c>
      <c r="AQ286" s="23">
        <v>80.0</v>
      </c>
      <c r="AR286" s="23">
        <v>60.0</v>
      </c>
      <c r="AS286" s="23">
        <v>60.0</v>
      </c>
      <c r="AT286" s="23">
        <v>70.0</v>
      </c>
      <c r="AU286" s="24">
        <v>460.0</v>
      </c>
      <c r="AV286" s="21"/>
      <c r="AW286" s="78">
        <v>60.0</v>
      </c>
      <c r="AX286" s="79">
        <v>130.0</v>
      </c>
      <c r="AY286" s="79">
        <v>80.0</v>
      </c>
      <c r="AZ286" s="79">
        <v>60.0</v>
      </c>
      <c r="BA286" s="79">
        <v>60.0</v>
      </c>
      <c r="BB286" s="79">
        <v>70.0</v>
      </c>
      <c r="BC286" s="201">
        <v>460.0</v>
      </c>
      <c r="BE286" s="172" t="s">
        <v>216</v>
      </c>
      <c r="BF286" s="113"/>
      <c r="BG286" s="384"/>
      <c r="BI286" s="31" t="s">
        <v>5</v>
      </c>
      <c r="BJ286" s="32">
        <v>2.0</v>
      </c>
      <c r="BK286" s="32" t="s">
        <v>5</v>
      </c>
      <c r="BL286" s="32" t="s">
        <v>5</v>
      </c>
      <c r="BM286" s="32" t="s">
        <v>5</v>
      </c>
      <c r="BN286" s="33" t="s">
        <v>5</v>
      </c>
      <c r="BP286" s="85" t="s">
        <v>6</v>
      </c>
      <c r="BQ286" s="86" t="s">
        <v>64</v>
      </c>
      <c r="BS286" s="87" t="s">
        <v>6</v>
      </c>
      <c r="BT286" s="88" t="s">
        <v>64</v>
      </c>
      <c r="BU286" s="37" t="str">
        <f t="shared" si="1"/>
        <v>#NAME?</v>
      </c>
      <c r="BV286" s="89" t="s">
        <v>6</v>
      </c>
      <c r="BW286" s="37" t="str">
        <f t="shared" si="2"/>
        <v>#NAME?</v>
      </c>
      <c r="BX286" s="89" t="s">
        <v>64</v>
      </c>
      <c r="BY286" s="39"/>
      <c r="BZ286" s="39"/>
      <c r="CA286" s="40" t="s">
        <v>2664</v>
      </c>
      <c r="CB286" s="41"/>
      <c r="CC286" s="90" t="s">
        <v>6</v>
      </c>
      <c r="CD286" s="91" t="s">
        <v>64</v>
      </c>
      <c r="CE286" s="2"/>
      <c r="CF286" s="92" t="s">
        <v>563</v>
      </c>
      <c r="CG286" s="93" t="s">
        <v>2654</v>
      </c>
      <c r="CH286" s="2"/>
      <c r="CI286" s="152" t="s">
        <v>2049</v>
      </c>
      <c r="CJ286" s="95" t="s">
        <v>2654</v>
      </c>
      <c r="CK286" s="2"/>
      <c r="CL286" s="22" t="s">
        <v>1278</v>
      </c>
      <c r="CM286" s="12"/>
      <c r="CN286" s="48"/>
      <c r="CO286" s="96" t="s">
        <v>2654</v>
      </c>
      <c r="CP286" s="2"/>
      <c r="CQ286" s="2" t="s">
        <v>926</v>
      </c>
      <c r="CR286" s="97">
        <v>60.0</v>
      </c>
      <c r="CS286" s="2" t="s">
        <v>216</v>
      </c>
      <c r="CT286" s="98">
        <v>165.0</v>
      </c>
      <c r="CU286" s="2"/>
      <c r="CV286" s="52" t="s">
        <v>149</v>
      </c>
      <c r="CW286" s="52" t="s">
        <v>149</v>
      </c>
      <c r="CX286" s="2"/>
      <c r="CY286" s="381" t="s">
        <v>153</v>
      </c>
      <c r="CZ286" s="382" t="s">
        <v>6</v>
      </c>
      <c r="DA286" s="2"/>
      <c r="DB286" s="98">
        <v>90.0</v>
      </c>
      <c r="DC286" s="2"/>
      <c r="DD286" s="101" t="s">
        <v>2656</v>
      </c>
      <c r="DE286" s="2"/>
      <c r="DF286" s="383" t="s">
        <v>2665</v>
      </c>
      <c r="DG286" s="381" t="s">
        <v>576</v>
      </c>
      <c r="DH286" s="382" t="s">
        <v>577</v>
      </c>
      <c r="DI286" s="2"/>
      <c r="DJ286" s="2"/>
      <c r="DK286" s="59" t="s">
        <v>2666</v>
      </c>
      <c r="DL286" s="37" t="s">
        <v>6</v>
      </c>
      <c r="DM286" s="37" t="str">
        <f t="shared" si="3"/>
        <v>#NAME?</v>
      </c>
      <c r="DN286" s="61"/>
      <c r="DO286" s="37">
        <v>120.0</v>
      </c>
      <c r="DP286" s="105">
        <v>1.0</v>
      </c>
      <c r="DQ286" s="62" t="s">
        <v>49</v>
      </c>
      <c r="DR286" s="63"/>
      <c r="DS286" s="198"/>
      <c r="DT286" s="108"/>
      <c r="DU286" s="108"/>
      <c r="DV286" s="182"/>
      <c r="DW286" s="182"/>
      <c r="DX286" s="182"/>
      <c r="DY286" s="182"/>
      <c r="DZ286" s="182"/>
      <c r="EA286" s="182"/>
      <c r="EB286" s="2"/>
      <c r="EC286" s="2"/>
      <c r="ED286" s="2"/>
      <c r="EE286" s="2"/>
      <c r="EF286" s="149" t="s">
        <v>2667</v>
      </c>
      <c r="EG286" s="69" t="str">
        <f>image("https://www.pokebip.com/pages/icones/objets/repousse.png", 3)</f>
        <v/>
      </c>
      <c r="EH286" s="69"/>
      <c r="EI286" s="69"/>
    </row>
    <row r="287" ht="15.75" customHeight="1">
      <c r="A287" s="1">
        <v>287.0</v>
      </c>
      <c r="B287" s="2" t="s">
        <v>2668</v>
      </c>
      <c r="C287" s="7"/>
      <c r="D287" s="167" t="s">
        <v>2669</v>
      </c>
      <c r="E287" s="5"/>
      <c r="F287" s="168"/>
      <c r="G287" s="7"/>
      <c r="H287" s="8" t="s">
        <v>2670</v>
      </c>
      <c r="I287" s="9" t="s">
        <v>2671</v>
      </c>
      <c r="J287" s="355" t="str">
        <f>image("https://archives.bulbagarden.net/media/upload/a/af/287MS6.png", 3)</f>
        <v/>
      </c>
      <c r="K287" s="11" t="s">
        <v>2669</v>
      </c>
      <c r="L287" s="12"/>
      <c r="M287" s="12"/>
      <c r="N287" s="12"/>
      <c r="O287" s="12"/>
      <c r="Q287" s="71">
        <v>60.0</v>
      </c>
      <c r="R287" s="72">
        <v>60.0</v>
      </c>
      <c r="S287" s="73">
        <v>60.0</v>
      </c>
      <c r="T287" s="74">
        <v>35.0</v>
      </c>
      <c r="U287" s="75">
        <v>35.0</v>
      </c>
      <c r="V287" s="76">
        <v>30.0</v>
      </c>
      <c r="W287" s="77">
        <v>280.0</v>
      </c>
      <c r="X287" s="21"/>
      <c r="Y287" s="71">
        <v>60.0</v>
      </c>
      <c r="Z287" s="72">
        <v>60.0</v>
      </c>
      <c r="AA287" s="73">
        <v>60.0</v>
      </c>
      <c r="AB287" s="74">
        <v>35.0</v>
      </c>
      <c r="AC287" s="75">
        <v>35.0</v>
      </c>
      <c r="AD287" s="76">
        <v>30.0</v>
      </c>
      <c r="AE287" s="77">
        <v>280.0</v>
      </c>
      <c r="AF287" s="21"/>
      <c r="AG287" s="71">
        <v>60.0</v>
      </c>
      <c r="AH287" s="72">
        <v>60.0</v>
      </c>
      <c r="AI287" s="73">
        <v>60.0</v>
      </c>
      <c r="AJ287" s="74">
        <v>35.0</v>
      </c>
      <c r="AK287" s="75">
        <v>35.0</v>
      </c>
      <c r="AL287" s="76">
        <v>30.0</v>
      </c>
      <c r="AM287" s="77">
        <v>280.0</v>
      </c>
      <c r="AN287" s="21"/>
      <c r="AO287" s="22">
        <v>60.0</v>
      </c>
      <c r="AP287" s="23">
        <v>60.0</v>
      </c>
      <c r="AQ287" s="23">
        <v>60.0</v>
      </c>
      <c r="AR287" s="23">
        <v>35.0</v>
      </c>
      <c r="AS287" s="23">
        <v>35.0</v>
      </c>
      <c r="AT287" s="23">
        <v>30.0</v>
      </c>
      <c r="AU287" s="24">
        <v>280.0</v>
      </c>
      <c r="AV287" s="21"/>
      <c r="AW287" s="78">
        <v>60.0</v>
      </c>
      <c r="AX287" s="79">
        <v>60.0</v>
      </c>
      <c r="AY287" s="79">
        <v>60.0</v>
      </c>
      <c r="AZ287" s="79">
        <v>35.0</v>
      </c>
      <c r="BA287" s="79">
        <v>35.0</v>
      </c>
      <c r="BB287" s="79">
        <v>30.0</v>
      </c>
      <c r="BC287" s="201">
        <v>280.0</v>
      </c>
      <c r="BE287" s="151" t="s">
        <v>144</v>
      </c>
      <c r="BF287" s="143"/>
      <c r="BG287" s="128"/>
      <c r="BI287" s="31">
        <v>1.0</v>
      </c>
      <c r="BJ287" s="32" t="s">
        <v>5</v>
      </c>
      <c r="BK287" s="32" t="s">
        <v>5</v>
      </c>
      <c r="BL287" s="32" t="s">
        <v>5</v>
      </c>
      <c r="BM287" s="32" t="s">
        <v>5</v>
      </c>
      <c r="BN287" s="33" t="s">
        <v>5</v>
      </c>
      <c r="BP287" s="115" t="s">
        <v>156</v>
      </c>
      <c r="BQ287" s="93"/>
      <c r="BS287" s="115" t="s">
        <v>156</v>
      </c>
      <c r="BT287" s="133"/>
      <c r="BU287" s="37" t="str">
        <f t="shared" si="1"/>
        <v>#NAME?</v>
      </c>
      <c r="BV287" s="89" t="s">
        <v>156</v>
      </c>
      <c r="BW287" s="37" t="str">
        <f t="shared" si="2"/>
        <v>#NAME?</v>
      </c>
      <c r="BX287" s="89"/>
      <c r="BY287" s="39"/>
      <c r="BZ287" s="39"/>
      <c r="CA287" s="40" t="s">
        <v>156</v>
      </c>
      <c r="CB287" s="41"/>
      <c r="CC287" s="90" t="s">
        <v>156</v>
      </c>
      <c r="CD287" s="91"/>
      <c r="CE287" s="21"/>
      <c r="CF287" s="92" t="s">
        <v>2672</v>
      </c>
      <c r="CG287" s="93"/>
      <c r="CH287" s="21"/>
      <c r="CI287" s="175" t="s">
        <v>2672</v>
      </c>
      <c r="CJ287" s="93"/>
      <c r="CK287" s="21"/>
      <c r="CL287" s="22" t="s">
        <v>2672</v>
      </c>
      <c r="CM287" s="12"/>
      <c r="CN287" s="48"/>
      <c r="CO287" s="95"/>
      <c r="CP287" s="21"/>
      <c r="CQ287" s="2" t="s">
        <v>2673</v>
      </c>
      <c r="CR287" s="97">
        <v>40.0</v>
      </c>
      <c r="CS287" s="2" t="s">
        <v>144</v>
      </c>
      <c r="CT287" s="98">
        <v>83.0</v>
      </c>
      <c r="CU287" s="2"/>
      <c r="CV287" s="52" t="s">
        <v>149</v>
      </c>
      <c r="CW287" s="52" t="s">
        <v>149</v>
      </c>
      <c r="CX287" s="2"/>
      <c r="CY287" s="119" t="s">
        <v>277</v>
      </c>
      <c r="CZ287" s="160"/>
      <c r="DA287" s="2"/>
      <c r="DB287" s="98">
        <v>255.0</v>
      </c>
      <c r="DC287" s="2"/>
      <c r="DD287" s="101" t="s">
        <v>683</v>
      </c>
      <c r="DE287" s="2"/>
      <c r="DF287" s="148" t="s">
        <v>2674</v>
      </c>
      <c r="DG287" s="119"/>
      <c r="DH287" s="160"/>
      <c r="DI287" s="21"/>
      <c r="DJ287" s="21"/>
      <c r="DK287" s="59" t="s">
        <v>2675</v>
      </c>
      <c r="DL287" s="37" t="s">
        <v>156</v>
      </c>
      <c r="DM287" s="37" t="str">
        <f t="shared" si="3"/>
        <v>#NAME?</v>
      </c>
      <c r="DN287" s="61"/>
      <c r="DO287" s="37" t="s">
        <v>19</v>
      </c>
      <c r="DP287" s="105">
        <v>0.9</v>
      </c>
      <c r="DQ287" s="62" t="s">
        <v>20</v>
      </c>
      <c r="DR287" s="63"/>
      <c r="DS287" s="198"/>
      <c r="DT287" s="108"/>
      <c r="DU287" s="108"/>
      <c r="DV287" s="182"/>
      <c r="DW287" s="182"/>
      <c r="DX287" s="182"/>
      <c r="DY287" s="182"/>
      <c r="DZ287" s="182"/>
      <c r="EA287" s="182"/>
      <c r="EB287" s="2"/>
      <c r="EC287" s="2"/>
      <c r="ED287" s="2"/>
      <c r="EE287" s="2"/>
      <c r="EF287" s="149" t="s">
        <v>2676</v>
      </c>
      <c r="EG287" s="69" t="str">
        <f>image("https://www.pokebip.com/pages/icones/objets/super-repousse.png", 3)</f>
        <v/>
      </c>
      <c r="EH287" s="69"/>
      <c r="EI287" s="69"/>
    </row>
    <row r="288" ht="15.75" customHeight="1">
      <c r="A288" s="1">
        <v>288.0</v>
      </c>
      <c r="B288" s="2" t="s">
        <v>2677</v>
      </c>
      <c r="C288" s="7"/>
      <c r="D288" s="352" t="s">
        <v>2678</v>
      </c>
      <c r="E288" s="5"/>
      <c r="F288" s="7"/>
      <c r="G288" s="7"/>
      <c r="H288" s="8" t="s">
        <v>2679</v>
      </c>
      <c r="I288" s="9" t="s">
        <v>2680</v>
      </c>
      <c r="J288" s="355" t="str">
        <f>image("https://archives.bulbagarden.net/media/upload/e/e6/288MS6.png", 3)</f>
        <v/>
      </c>
      <c r="K288" s="11" t="s">
        <v>2678</v>
      </c>
      <c r="L288" s="12"/>
      <c r="M288" s="12"/>
      <c r="N288" s="12"/>
      <c r="O288" s="12"/>
      <c r="Q288" s="71">
        <v>80.0</v>
      </c>
      <c r="R288" s="72">
        <v>80.0</v>
      </c>
      <c r="S288" s="73">
        <v>80.0</v>
      </c>
      <c r="T288" s="74">
        <v>55.0</v>
      </c>
      <c r="U288" s="75">
        <v>55.0</v>
      </c>
      <c r="V288" s="76">
        <v>90.0</v>
      </c>
      <c r="W288" s="77">
        <v>440.0</v>
      </c>
      <c r="X288" s="21"/>
      <c r="Y288" s="71">
        <v>80.0</v>
      </c>
      <c r="Z288" s="72">
        <v>80.0</v>
      </c>
      <c r="AA288" s="73">
        <v>80.0</v>
      </c>
      <c r="AB288" s="74">
        <v>55.0</v>
      </c>
      <c r="AC288" s="75">
        <v>55.0</v>
      </c>
      <c r="AD288" s="76">
        <v>90.0</v>
      </c>
      <c r="AE288" s="77">
        <v>440.0</v>
      </c>
      <c r="AF288" s="21"/>
      <c r="AG288" s="71">
        <v>80.0</v>
      </c>
      <c r="AH288" s="72">
        <v>80.0</v>
      </c>
      <c r="AI288" s="73">
        <v>80.0</v>
      </c>
      <c r="AJ288" s="74">
        <v>55.0</v>
      </c>
      <c r="AK288" s="75">
        <v>55.0</v>
      </c>
      <c r="AL288" s="76">
        <v>90.0</v>
      </c>
      <c r="AM288" s="77">
        <v>440.0</v>
      </c>
      <c r="AN288" s="21"/>
      <c r="AO288" s="22">
        <v>80.0</v>
      </c>
      <c r="AP288" s="23">
        <v>80.0</v>
      </c>
      <c r="AQ288" s="23">
        <v>80.0</v>
      </c>
      <c r="AR288" s="23">
        <v>55.0</v>
      </c>
      <c r="AS288" s="23">
        <v>55.0</v>
      </c>
      <c r="AT288" s="23">
        <v>90.0</v>
      </c>
      <c r="AU288" s="24">
        <v>440.0</v>
      </c>
      <c r="AV288" s="21"/>
      <c r="AW288" s="78">
        <v>80.0</v>
      </c>
      <c r="AX288" s="79">
        <v>80.0</v>
      </c>
      <c r="AY288" s="79">
        <v>80.0</v>
      </c>
      <c r="AZ288" s="79">
        <v>55.0</v>
      </c>
      <c r="BA288" s="79">
        <v>55.0</v>
      </c>
      <c r="BB288" s="79">
        <v>90.0</v>
      </c>
      <c r="BC288" s="201">
        <v>440.0</v>
      </c>
      <c r="BE288" s="176" t="s">
        <v>248</v>
      </c>
      <c r="BF288" s="113"/>
      <c r="BG288" s="384"/>
      <c r="BI288" s="31" t="s">
        <v>5</v>
      </c>
      <c r="BJ288" s="32" t="s">
        <v>5</v>
      </c>
      <c r="BK288" s="32" t="s">
        <v>5</v>
      </c>
      <c r="BL288" s="32" t="s">
        <v>5</v>
      </c>
      <c r="BM288" s="32" t="s">
        <v>5</v>
      </c>
      <c r="BN288" s="33">
        <v>2.0</v>
      </c>
      <c r="BP288" s="85" t="s">
        <v>156</v>
      </c>
      <c r="BQ288" s="129"/>
      <c r="BS288" s="87" t="s">
        <v>156</v>
      </c>
      <c r="BT288" s="130"/>
      <c r="BU288" s="37" t="str">
        <f t="shared" si="1"/>
        <v>#NAME?</v>
      </c>
      <c r="BV288" s="89" t="s">
        <v>156</v>
      </c>
      <c r="BW288" s="37" t="str">
        <f t="shared" si="2"/>
        <v>#NAME?</v>
      </c>
      <c r="BX288" s="89"/>
      <c r="BY288" s="39"/>
      <c r="BZ288" s="39"/>
      <c r="CA288" s="40" t="s">
        <v>156</v>
      </c>
      <c r="CB288" s="41"/>
      <c r="CC288" s="90" t="s">
        <v>156</v>
      </c>
      <c r="CD288" s="91"/>
      <c r="CE288" s="21"/>
      <c r="CF288" s="92" t="s">
        <v>666</v>
      </c>
      <c r="CG288" s="93"/>
      <c r="CH288" s="21"/>
      <c r="CI288" s="92" t="s">
        <v>666</v>
      </c>
      <c r="CJ288" s="93"/>
      <c r="CK288" s="21"/>
      <c r="CL288" s="22" t="s">
        <v>666</v>
      </c>
      <c r="CM288" s="12"/>
      <c r="CN288" s="48"/>
      <c r="CO288" s="95"/>
      <c r="CP288" s="21"/>
      <c r="CQ288" s="2" t="s">
        <v>2681</v>
      </c>
      <c r="CR288" s="97">
        <v>60.0</v>
      </c>
      <c r="CS288" s="2" t="s">
        <v>248</v>
      </c>
      <c r="CT288" s="98">
        <v>126.0</v>
      </c>
      <c r="CU288" s="2"/>
      <c r="CV288" s="52" t="s">
        <v>149</v>
      </c>
      <c r="CW288" s="52" t="s">
        <v>149</v>
      </c>
      <c r="CX288" s="2"/>
      <c r="CY288" s="382" t="s">
        <v>277</v>
      </c>
      <c r="CZ288" s="385"/>
      <c r="DA288" s="2"/>
      <c r="DB288" s="98">
        <v>120.0</v>
      </c>
      <c r="DC288" s="2"/>
      <c r="DD288" s="101" t="s">
        <v>683</v>
      </c>
      <c r="DE288" s="2"/>
      <c r="DF288" s="383" t="s">
        <v>2682</v>
      </c>
      <c r="DG288" s="382"/>
      <c r="DH288" s="385"/>
      <c r="DI288" s="2"/>
      <c r="DJ288" s="2"/>
      <c r="DK288" s="59" t="s">
        <v>2683</v>
      </c>
      <c r="DL288" s="37" t="s">
        <v>61</v>
      </c>
      <c r="DM288" s="37" t="str">
        <f t="shared" si="3"/>
        <v>#NAME?</v>
      </c>
      <c r="DN288" s="61"/>
      <c r="DO288" s="37">
        <v>100.0</v>
      </c>
      <c r="DP288" s="105">
        <v>0.95</v>
      </c>
      <c r="DQ288" s="62" t="s">
        <v>293</v>
      </c>
      <c r="DR288" s="63"/>
      <c r="DS288" s="198"/>
      <c r="DT288" s="108"/>
      <c r="DU288" s="108"/>
      <c r="DV288" s="182"/>
      <c r="DW288" s="182"/>
      <c r="DX288" s="182"/>
      <c r="DY288" s="182"/>
      <c r="DZ288" s="182"/>
      <c r="EA288" s="182"/>
      <c r="EB288" s="21"/>
      <c r="EC288" s="21"/>
      <c r="ED288" s="21"/>
      <c r="EE288" s="21"/>
      <c r="EF288" s="149" t="s">
        <v>2684</v>
      </c>
      <c r="EG288" s="69" t="str">
        <f>image("https://www.pokebip.com/pages/icones/objets/max-repousse.png", 3)</f>
        <v/>
      </c>
      <c r="EH288" s="69"/>
      <c r="EI288" s="69"/>
    </row>
    <row r="289" ht="15.75" customHeight="1">
      <c r="A289" s="1">
        <v>289.0</v>
      </c>
      <c r="B289" s="2" t="s">
        <v>2685</v>
      </c>
      <c r="C289" s="7"/>
      <c r="D289" s="167" t="s">
        <v>2686</v>
      </c>
      <c r="E289" s="5"/>
      <c r="F289" s="168"/>
      <c r="G289" s="7"/>
      <c r="H289" s="8" t="s">
        <v>2687</v>
      </c>
      <c r="I289" s="9" t="s">
        <v>2688</v>
      </c>
      <c r="J289" s="355" t="str">
        <f>image("https://archives.bulbagarden.net/media/upload/f/f3/289MS6.png", 3)</f>
        <v/>
      </c>
      <c r="K289" s="11" t="s">
        <v>2686</v>
      </c>
      <c r="L289" s="12"/>
      <c r="M289" s="12"/>
      <c r="N289" s="12"/>
      <c r="O289" s="12"/>
      <c r="Q289" s="71">
        <v>150.0</v>
      </c>
      <c r="R289" s="72">
        <v>160.0</v>
      </c>
      <c r="S289" s="73">
        <v>100.0</v>
      </c>
      <c r="T289" s="74">
        <v>95.0</v>
      </c>
      <c r="U289" s="75">
        <v>65.0</v>
      </c>
      <c r="V289" s="76">
        <v>100.0</v>
      </c>
      <c r="W289" s="77">
        <v>670.0</v>
      </c>
      <c r="X289" s="21"/>
      <c r="Y289" s="71">
        <v>150.0</v>
      </c>
      <c r="Z289" s="72">
        <v>160.0</v>
      </c>
      <c r="AA289" s="73">
        <v>100.0</v>
      </c>
      <c r="AB289" s="74">
        <v>95.0</v>
      </c>
      <c r="AC289" s="75">
        <v>65.0</v>
      </c>
      <c r="AD289" s="76">
        <v>100.0</v>
      </c>
      <c r="AE289" s="77">
        <v>670.0</v>
      </c>
      <c r="AF289" s="21"/>
      <c r="AG289" s="71">
        <v>150.0</v>
      </c>
      <c r="AH289" s="72">
        <v>160.0</v>
      </c>
      <c r="AI289" s="73">
        <v>100.0</v>
      </c>
      <c r="AJ289" s="74">
        <v>95.0</v>
      </c>
      <c r="AK289" s="75">
        <v>65.0</v>
      </c>
      <c r="AL289" s="76">
        <v>100.0</v>
      </c>
      <c r="AM289" s="77">
        <v>670.0</v>
      </c>
      <c r="AN289" s="21"/>
      <c r="AO289" s="22">
        <v>150.0</v>
      </c>
      <c r="AP289" s="23">
        <v>160.0</v>
      </c>
      <c r="AQ289" s="23">
        <v>100.0</v>
      </c>
      <c r="AR289" s="23">
        <v>95.0</v>
      </c>
      <c r="AS289" s="23">
        <v>65.0</v>
      </c>
      <c r="AT289" s="23">
        <v>100.0</v>
      </c>
      <c r="AU289" s="24">
        <v>670.0</v>
      </c>
      <c r="AV289" s="21"/>
      <c r="AW289" s="78">
        <v>150.0</v>
      </c>
      <c r="AX289" s="79">
        <v>160.0</v>
      </c>
      <c r="AY289" s="79">
        <v>100.0</v>
      </c>
      <c r="AZ289" s="79">
        <v>95.0</v>
      </c>
      <c r="BA289" s="79">
        <v>65.0</v>
      </c>
      <c r="BB289" s="79">
        <v>100.0</v>
      </c>
      <c r="BC289" s="201">
        <v>670.0</v>
      </c>
      <c r="BE289" s="203" t="s">
        <v>422</v>
      </c>
      <c r="BF289" s="138"/>
      <c r="BG289" s="128"/>
      <c r="BI289" s="31">
        <v>3.0</v>
      </c>
      <c r="BJ289" s="32" t="s">
        <v>5</v>
      </c>
      <c r="BK289" s="32" t="s">
        <v>5</v>
      </c>
      <c r="BL289" s="32" t="s">
        <v>5</v>
      </c>
      <c r="BM289" s="32" t="s">
        <v>5</v>
      </c>
      <c r="BN289" s="33" t="s">
        <v>5</v>
      </c>
      <c r="BP289" s="115" t="s">
        <v>156</v>
      </c>
      <c r="BQ289" s="93"/>
      <c r="BS289" s="115" t="s">
        <v>156</v>
      </c>
      <c r="BT289" s="133"/>
      <c r="BU289" s="37" t="str">
        <f t="shared" si="1"/>
        <v>#NAME?</v>
      </c>
      <c r="BV289" s="89" t="s">
        <v>156</v>
      </c>
      <c r="BW289" s="37" t="str">
        <f t="shared" si="2"/>
        <v>#NAME?</v>
      </c>
      <c r="BX289" s="89"/>
      <c r="BY289" s="39"/>
      <c r="BZ289" s="39"/>
      <c r="CA289" s="40" t="s">
        <v>156</v>
      </c>
      <c r="CB289" s="41"/>
      <c r="CC289" s="90" t="s">
        <v>156</v>
      </c>
      <c r="CD289" s="91"/>
      <c r="CE289" s="21"/>
      <c r="CF289" s="92" t="s">
        <v>2672</v>
      </c>
      <c r="CG289" s="93"/>
      <c r="CH289" s="21"/>
      <c r="CI289" s="92" t="s">
        <v>2672</v>
      </c>
      <c r="CJ289" s="93"/>
      <c r="CK289" s="21"/>
      <c r="CL289" s="22" t="s">
        <v>2672</v>
      </c>
      <c r="CM289" s="12"/>
      <c r="CN289" s="48"/>
      <c r="CO289" s="95"/>
      <c r="CP289" s="21"/>
      <c r="CQ289" s="2" t="s">
        <v>2689</v>
      </c>
      <c r="CR289" s="97">
        <v>100.0</v>
      </c>
      <c r="CS289" s="2" t="s">
        <v>422</v>
      </c>
      <c r="CT289" s="98">
        <v>210.0</v>
      </c>
      <c r="CU289" s="2"/>
      <c r="CV289" s="52" t="s">
        <v>149</v>
      </c>
      <c r="CW289" s="52" t="s">
        <v>149</v>
      </c>
      <c r="CX289" s="2"/>
      <c r="CY289" s="119" t="s">
        <v>277</v>
      </c>
      <c r="CZ289" s="160"/>
      <c r="DA289" s="2"/>
      <c r="DB289" s="98">
        <v>45.0</v>
      </c>
      <c r="DC289" s="2"/>
      <c r="DD289" s="101" t="s">
        <v>683</v>
      </c>
      <c r="DE289" s="2"/>
      <c r="DF289" s="120" t="s">
        <v>2690</v>
      </c>
      <c r="DG289" s="119"/>
      <c r="DH289" s="160"/>
      <c r="DI289" s="2"/>
      <c r="DJ289" s="2"/>
      <c r="DK289" s="59" t="s">
        <v>2691</v>
      </c>
      <c r="DL289" s="37" t="s">
        <v>156</v>
      </c>
      <c r="DM289" s="37" t="str">
        <f t="shared" si="3"/>
        <v>#NAME?</v>
      </c>
      <c r="DN289" s="61"/>
      <c r="DO289" s="37" t="s">
        <v>19</v>
      </c>
      <c r="DP289" s="105">
        <v>1.0</v>
      </c>
      <c r="DQ289" s="62" t="s">
        <v>49</v>
      </c>
      <c r="DR289" s="63"/>
      <c r="DS289" s="198"/>
      <c r="DT289" s="108"/>
      <c r="DU289" s="108"/>
      <c r="DV289" s="182"/>
      <c r="DW289" s="182"/>
      <c r="DX289" s="182"/>
      <c r="DY289" s="182"/>
      <c r="DZ289" s="182"/>
      <c r="EA289" s="182"/>
      <c r="EB289" s="2"/>
      <c r="EC289" s="2"/>
      <c r="ED289" s="2"/>
      <c r="EE289" s="2"/>
      <c r="EF289" s="149" t="s">
        <v>2692</v>
      </c>
      <c r="EG289" s="69" t="str">
        <f>image("https://www.pokebip.com/pages/icones/objets/flute-blanche.png", 3)</f>
        <v/>
      </c>
      <c r="EH289" s="69"/>
      <c r="EI289" s="69"/>
    </row>
    <row r="290" ht="15.75" customHeight="1">
      <c r="A290" s="1">
        <v>290.0</v>
      </c>
      <c r="B290" s="2" t="s">
        <v>2693</v>
      </c>
      <c r="C290" s="7"/>
      <c r="D290" s="247" t="s">
        <v>2694</v>
      </c>
      <c r="E290" s="5"/>
      <c r="F290" s="248"/>
      <c r="G290" s="7"/>
      <c r="H290" s="8" t="s">
        <v>2695</v>
      </c>
      <c r="I290" s="9" t="s">
        <v>2696</v>
      </c>
      <c r="J290" s="355" t="str">
        <f>image("https://archives.bulbagarden.net/media/upload/a/a6/290MS6.png", 3)</f>
        <v/>
      </c>
      <c r="K290" s="11" t="s">
        <v>2694</v>
      </c>
      <c r="L290" s="12"/>
      <c r="M290" s="12"/>
      <c r="N290" s="12"/>
      <c r="O290" s="12"/>
      <c r="Q290" s="71">
        <v>31.0</v>
      </c>
      <c r="R290" s="72">
        <v>45.0</v>
      </c>
      <c r="S290" s="73">
        <v>90.0</v>
      </c>
      <c r="T290" s="74">
        <v>30.0</v>
      </c>
      <c r="U290" s="75">
        <v>30.0</v>
      </c>
      <c r="V290" s="76">
        <v>40.0</v>
      </c>
      <c r="W290" s="77">
        <v>266.0</v>
      </c>
      <c r="X290" s="21"/>
      <c r="Y290" s="71">
        <v>31.0</v>
      </c>
      <c r="Z290" s="72">
        <v>45.0</v>
      </c>
      <c r="AA290" s="73">
        <v>90.0</v>
      </c>
      <c r="AB290" s="74">
        <v>30.0</v>
      </c>
      <c r="AC290" s="75">
        <v>30.0</v>
      </c>
      <c r="AD290" s="76">
        <v>40.0</v>
      </c>
      <c r="AE290" s="77">
        <v>266.0</v>
      </c>
      <c r="AF290" s="21"/>
      <c r="AG290" s="71">
        <v>31.0</v>
      </c>
      <c r="AH290" s="72">
        <v>45.0</v>
      </c>
      <c r="AI290" s="73">
        <v>90.0</v>
      </c>
      <c r="AJ290" s="74">
        <v>30.0</v>
      </c>
      <c r="AK290" s="75">
        <v>30.0</v>
      </c>
      <c r="AL290" s="76">
        <v>40.0</v>
      </c>
      <c r="AM290" s="77">
        <v>266.0</v>
      </c>
      <c r="AN290" s="21"/>
      <c r="AO290" s="22">
        <v>31.0</v>
      </c>
      <c r="AP290" s="23">
        <v>45.0</v>
      </c>
      <c r="AQ290" s="23">
        <v>90.0</v>
      </c>
      <c r="AR290" s="23">
        <v>30.0</v>
      </c>
      <c r="AS290" s="23">
        <v>30.0</v>
      </c>
      <c r="AT290" s="23">
        <v>40.0</v>
      </c>
      <c r="AU290" s="24">
        <v>266.0</v>
      </c>
      <c r="AV290" s="21"/>
      <c r="AW290" s="78">
        <v>31.0</v>
      </c>
      <c r="AX290" s="79">
        <v>45.0</v>
      </c>
      <c r="AY290" s="79">
        <v>90.0</v>
      </c>
      <c r="AZ290" s="79">
        <v>30.0</v>
      </c>
      <c r="BA290" s="79">
        <v>30.0</v>
      </c>
      <c r="BB290" s="79">
        <v>40.0</v>
      </c>
      <c r="BC290" s="201">
        <v>266.0</v>
      </c>
      <c r="BE290" s="142" t="s">
        <v>101</v>
      </c>
      <c r="BF290" s="386"/>
      <c r="BG290" s="128"/>
      <c r="BI290" s="31" t="s">
        <v>5</v>
      </c>
      <c r="BJ290" s="32" t="s">
        <v>5</v>
      </c>
      <c r="BK290" s="32">
        <v>1.0</v>
      </c>
      <c r="BL290" s="32" t="s">
        <v>5</v>
      </c>
      <c r="BM290" s="32" t="s">
        <v>5</v>
      </c>
      <c r="BN290" s="33" t="s">
        <v>5</v>
      </c>
      <c r="BP290" s="85" t="s">
        <v>109</v>
      </c>
      <c r="BQ290" s="86" t="s">
        <v>79</v>
      </c>
      <c r="BS290" s="87" t="s">
        <v>109</v>
      </c>
      <c r="BT290" s="88" t="s">
        <v>79</v>
      </c>
      <c r="BU290" s="37" t="str">
        <f t="shared" si="1"/>
        <v>#NAME?</v>
      </c>
      <c r="BV290" s="89" t="s">
        <v>109</v>
      </c>
      <c r="BW290" s="37" t="str">
        <f t="shared" si="2"/>
        <v>#NAME?</v>
      </c>
      <c r="BX290" s="89" t="s">
        <v>79</v>
      </c>
      <c r="BY290" s="39"/>
      <c r="BZ290" s="39"/>
      <c r="CA290" s="40" t="s">
        <v>2697</v>
      </c>
      <c r="CB290" s="41"/>
      <c r="CC290" s="90" t="s">
        <v>109</v>
      </c>
      <c r="CD290" s="91" t="s">
        <v>79</v>
      </c>
      <c r="CE290" s="2"/>
      <c r="CF290" s="92" t="s">
        <v>178</v>
      </c>
      <c r="CG290" s="93"/>
      <c r="CH290" s="2"/>
      <c r="CI290" s="92" t="s">
        <v>178</v>
      </c>
      <c r="CJ290" s="93"/>
      <c r="CK290" s="2"/>
      <c r="CL290" s="22" t="s">
        <v>178</v>
      </c>
      <c r="CM290" s="12"/>
      <c r="CN290" s="48"/>
      <c r="CO290" s="95"/>
      <c r="CP290" s="2"/>
      <c r="CQ290" s="2" t="s">
        <v>512</v>
      </c>
      <c r="CR290" s="97">
        <v>20.0</v>
      </c>
      <c r="CS290" s="2" t="s">
        <v>101</v>
      </c>
      <c r="CT290" s="98">
        <v>65.0</v>
      </c>
      <c r="CU290" s="2"/>
      <c r="CV290" s="256" t="s">
        <v>149</v>
      </c>
      <c r="CW290" s="256" t="s">
        <v>149</v>
      </c>
      <c r="CX290" s="2"/>
      <c r="CY290" s="382" t="s">
        <v>109</v>
      </c>
      <c r="CZ290" s="385"/>
      <c r="DA290" s="2"/>
      <c r="DB290" s="98">
        <v>255.0</v>
      </c>
      <c r="DC290" s="2"/>
      <c r="DD290" s="101" t="s">
        <v>2698</v>
      </c>
      <c r="DE290" s="2"/>
      <c r="DF290" s="387" t="s">
        <v>2699</v>
      </c>
      <c r="DG290" s="381" t="s">
        <v>611</v>
      </c>
      <c r="DH290" s="385"/>
      <c r="DI290" s="21"/>
      <c r="DJ290" s="21"/>
      <c r="DK290" s="59" t="s">
        <v>2700</v>
      </c>
      <c r="DL290" s="37" t="s">
        <v>32</v>
      </c>
      <c r="DM290" s="37" t="str">
        <f t="shared" si="3"/>
        <v>#NAME?</v>
      </c>
      <c r="DN290" s="61"/>
      <c r="DO290" s="37" t="s">
        <v>1170</v>
      </c>
      <c r="DP290" s="105">
        <v>1.0</v>
      </c>
      <c r="DQ290" s="62" t="s">
        <v>93</v>
      </c>
      <c r="DR290" s="63"/>
      <c r="DS290" s="198"/>
      <c r="DT290" s="108"/>
      <c r="DU290" s="108"/>
      <c r="DV290" s="182"/>
      <c r="DW290" s="182"/>
      <c r="DX290" s="182"/>
      <c r="DY290" s="182"/>
      <c r="DZ290" s="182"/>
      <c r="EA290" s="182"/>
      <c r="EB290" s="2"/>
      <c r="EC290" s="2"/>
      <c r="ED290" s="2"/>
      <c r="EE290" s="2"/>
      <c r="EF290" s="149" t="s">
        <v>2701</v>
      </c>
      <c r="EG290" s="69" t="str">
        <f>image("https://www.pokebip.com/pages/icones/objets/flute-noire.png", 3)</f>
        <v/>
      </c>
      <c r="EH290" s="69"/>
      <c r="EI290" s="69"/>
    </row>
    <row r="291" ht="15.75" customHeight="1">
      <c r="A291" s="1">
        <v>291.0</v>
      </c>
      <c r="B291" s="2" t="s">
        <v>2702</v>
      </c>
      <c r="C291" s="7"/>
      <c r="D291" s="169" t="s">
        <v>2703</v>
      </c>
      <c r="E291" s="5"/>
      <c r="F291" s="170"/>
      <c r="G291" s="7"/>
      <c r="H291" s="8" t="s">
        <v>2704</v>
      </c>
      <c r="I291" s="9" t="s">
        <v>2705</v>
      </c>
      <c r="J291" s="355" t="str">
        <f>image("https://archives.bulbagarden.net/media/upload/9/9c/291MS6.png", 3)</f>
        <v/>
      </c>
      <c r="K291" s="11" t="s">
        <v>2703</v>
      </c>
      <c r="L291" s="12"/>
      <c r="M291" s="12"/>
      <c r="N291" s="12"/>
      <c r="O291" s="12"/>
      <c r="Q291" s="71">
        <v>61.0</v>
      </c>
      <c r="R291" s="72">
        <v>90.0</v>
      </c>
      <c r="S291" s="73">
        <v>45.0</v>
      </c>
      <c r="T291" s="74">
        <v>50.0</v>
      </c>
      <c r="U291" s="75">
        <v>50.0</v>
      </c>
      <c r="V291" s="76">
        <v>160.0</v>
      </c>
      <c r="W291" s="77">
        <v>456.0</v>
      </c>
      <c r="X291" s="21"/>
      <c r="Y291" s="71">
        <v>61.0</v>
      </c>
      <c r="Z291" s="72">
        <v>90.0</v>
      </c>
      <c r="AA291" s="73">
        <v>45.0</v>
      </c>
      <c r="AB291" s="74">
        <v>50.0</v>
      </c>
      <c r="AC291" s="75">
        <v>50.0</v>
      </c>
      <c r="AD291" s="76">
        <v>160.0</v>
      </c>
      <c r="AE291" s="77">
        <v>456.0</v>
      </c>
      <c r="AF291" s="21"/>
      <c r="AG291" s="71">
        <v>61.0</v>
      </c>
      <c r="AH291" s="72">
        <v>90.0</v>
      </c>
      <c r="AI291" s="73">
        <v>45.0</v>
      </c>
      <c r="AJ291" s="74">
        <v>50.0</v>
      </c>
      <c r="AK291" s="75">
        <v>50.0</v>
      </c>
      <c r="AL291" s="76">
        <v>160.0</v>
      </c>
      <c r="AM291" s="77">
        <v>456.0</v>
      </c>
      <c r="AN291" s="21"/>
      <c r="AO291" s="22">
        <v>61.0</v>
      </c>
      <c r="AP291" s="23">
        <v>90.0</v>
      </c>
      <c r="AQ291" s="23">
        <v>45.0</v>
      </c>
      <c r="AR291" s="23">
        <v>50.0</v>
      </c>
      <c r="AS291" s="23">
        <v>50.0</v>
      </c>
      <c r="AT291" s="23">
        <v>160.0</v>
      </c>
      <c r="AU291" s="24">
        <v>456.0</v>
      </c>
      <c r="AV291" s="21"/>
      <c r="AW291" s="78">
        <v>61.0</v>
      </c>
      <c r="AX291" s="79">
        <v>90.0</v>
      </c>
      <c r="AY291" s="79">
        <v>45.0</v>
      </c>
      <c r="AZ291" s="79">
        <v>50.0</v>
      </c>
      <c r="BA291" s="79">
        <v>50.0</v>
      </c>
      <c r="BB291" s="79">
        <v>160.0</v>
      </c>
      <c r="BC291" s="201">
        <v>456.0</v>
      </c>
      <c r="BE291" s="176" t="s">
        <v>248</v>
      </c>
      <c r="BF291" s="113"/>
      <c r="BG291" s="210"/>
      <c r="BI291" s="31" t="s">
        <v>5</v>
      </c>
      <c r="BJ291" s="32" t="s">
        <v>5</v>
      </c>
      <c r="BK291" s="32" t="s">
        <v>5</v>
      </c>
      <c r="BL291" s="32" t="s">
        <v>5</v>
      </c>
      <c r="BM291" s="32" t="s">
        <v>5</v>
      </c>
      <c r="BN291" s="33">
        <v>2.0</v>
      </c>
      <c r="BP291" s="115" t="s">
        <v>109</v>
      </c>
      <c r="BQ291" s="116" t="s">
        <v>18</v>
      </c>
      <c r="BS291" s="115" t="s">
        <v>109</v>
      </c>
      <c r="BT291" s="117" t="s">
        <v>18</v>
      </c>
      <c r="BU291" s="37" t="str">
        <f t="shared" si="1"/>
        <v>#NAME?</v>
      </c>
      <c r="BV291" s="89" t="s">
        <v>109</v>
      </c>
      <c r="BW291" s="37" t="str">
        <f t="shared" si="2"/>
        <v>#NAME?</v>
      </c>
      <c r="BX291" s="89" t="s">
        <v>18</v>
      </c>
      <c r="BY291" s="39"/>
      <c r="BZ291" s="39"/>
      <c r="CA291" s="40" t="s">
        <v>177</v>
      </c>
      <c r="CB291" s="41"/>
      <c r="CC291" s="90" t="s">
        <v>109</v>
      </c>
      <c r="CD291" s="91" t="s">
        <v>18</v>
      </c>
      <c r="CE291" s="2"/>
      <c r="CF291" s="92" t="s">
        <v>1883</v>
      </c>
      <c r="CG291" s="93"/>
      <c r="CH291" s="2"/>
      <c r="CI291" s="92" t="s">
        <v>1883</v>
      </c>
      <c r="CJ291" s="93"/>
      <c r="CK291" s="2"/>
      <c r="CL291" s="22" t="s">
        <v>1883</v>
      </c>
      <c r="CM291" s="12"/>
      <c r="CN291" s="48"/>
      <c r="CO291" s="95"/>
      <c r="CP291" s="2"/>
      <c r="CQ291" s="2" t="s">
        <v>377</v>
      </c>
      <c r="CR291" s="97">
        <v>40.0</v>
      </c>
      <c r="CS291" s="2" t="s">
        <v>248</v>
      </c>
      <c r="CT291" s="98">
        <v>155.0</v>
      </c>
      <c r="CU291" s="2"/>
      <c r="CV291" s="52" t="s">
        <v>149</v>
      </c>
      <c r="CW291" s="52" t="s">
        <v>149</v>
      </c>
      <c r="CX291" s="2"/>
      <c r="CY291" s="119" t="s">
        <v>109</v>
      </c>
      <c r="CZ291" s="160"/>
      <c r="DA291" s="2"/>
      <c r="DB291" s="98">
        <v>120.0</v>
      </c>
      <c r="DC291" s="2"/>
      <c r="DD291" s="101" t="s">
        <v>2698</v>
      </c>
      <c r="DE291" s="2"/>
      <c r="DF291" s="120" t="s">
        <v>2706</v>
      </c>
      <c r="DG291" s="119"/>
      <c r="DH291" s="160"/>
      <c r="DI291" s="2"/>
      <c r="DJ291" s="2"/>
      <c r="DK291" s="59" t="s">
        <v>2707</v>
      </c>
      <c r="DL291" s="37" t="s">
        <v>156</v>
      </c>
      <c r="DM291" s="37" t="str">
        <f t="shared" si="3"/>
        <v>#NAME?</v>
      </c>
      <c r="DN291" s="61"/>
      <c r="DO291" s="37">
        <v>60.0</v>
      </c>
      <c r="DP291" s="37" t="s">
        <v>19</v>
      </c>
      <c r="DQ291" s="62" t="s">
        <v>20</v>
      </c>
      <c r="DR291" s="63"/>
      <c r="DS291" s="198"/>
      <c r="DT291" s="108"/>
      <c r="DU291" s="108"/>
      <c r="DV291" s="182"/>
      <c r="DW291" s="182"/>
      <c r="DX291" s="182"/>
      <c r="DY291" s="182"/>
      <c r="DZ291" s="182"/>
      <c r="EA291" s="182"/>
      <c r="EB291" s="21"/>
      <c r="EC291" s="21"/>
      <c r="ED291" s="21"/>
      <c r="EE291" s="21"/>
      <c r="EF291" s="149" t="s">
        <v>2708</v>
      </c>
      <c r="EG291" s="69" t="str">
        <f>image("https://www.pokebip.com/pages/icones/objets/ecaille-coeur.png", 3)</f>
        <v/>
      </c>
      <c r="EH291" s="69"/>
      <c r="EI291" s="69"/>
    </row>
    <row r="292" ht="15.75" customHeight="1">
      <c r="A292" s="1">
        <v>292.0</v>
      </c>
      <c r="B292" s="2" t="s">
        <v>2709</v>
      </c>
      <c r="C292" s="7"/>
      <c r="D292" s="167" t="s">
        <v>2710</v>
      </c>
      <c r="E292" s="5"/>
      <c r="F292" s="168"/>
      <c r="G292" s="7"/>
      <c r="H292" s="8" t="s">
        <v>2711</v>
      </c>
      <c r="I292" s="9" t="s">
        <v>2712</v>
      </c>
      <c r="J292" s="355" t="str">
        <f>image("https://archives.bulbagarden.net/media/upload/3/31/292MS6.png", 3)</f>
        <v/>
      </c>
      <c r="K292" s="11" t="s">
        <v>2710</v>
      </c>
      <c r="L292" s="12"/>
      <c r="M292" s="12"/>
      <c r="N292" s="12"/>
      <c r="O292" s="12"/>
      <c r="Q292" s="71">
        <v>1.0</v>
      </c>
      <c r="R292" s="72">
        <v>90.0</v>
      </c>
      <c r="S292" s="73">
        <v>45.0</v>
      </c>
      <c r="T292" s="74">
        <v>30.0</v>
      </c>
      <c r="U292" s="75">
        <v>30.0</v>
      </c>
      <c r="V292" s="76">
        <v>40.0</v>
      </c>
      <c r="W292" s="77">
        <v>236.0</v>
      </c>
      <c r="X292" s="21"/>
      <c r="Y292" s="71">
        <v>1.0</v>
      </c>
      <c r="Z292" s="72">
        <v>90.0</v>
      </c>
      <c r="AA292" s="73">
        <v>45.0</v>
      </c>
      <c r="AB292" s="74">
        <v>30.0</v>
      </c>
      <c r="AC292" s="75">
        <v>30.0</v>
      </c>
      <c r="AD292" s="76">
        <v>40.0</v>
      </c>
      <c r="AE292" s="77">
        <v>236.0</v>
      </c>
      <c r="AF292" s="21"/>
      <c r="AG292" s="71">
        <v>1.0</v>
      </c>
      <c r="AH292" s="72">
        <v>90.0</v>
      </c>
      <c r="AI292" s="73">
        <v>45.0</v>
      </c>
      <c r="AJ292" s="74">
        <v>30.0</v>
      </c>
      <c r="AK292" s="75">
        <v>30.0</v>
      </c>
      <c r="AL292" s="76">
        <v>40.0</v>
      </c>
      <c r="AM292" s="77">
        <v>236.0</v>
      </c>
      <c r="AN292" s="21"/>
      <c r="AO292" s="22">
        <v>1.0</v>
      </c>
      <c r="AP292" s="23">
        <v>90.0</v>
      </c>
      <c r="AQ292" s="23">
        <v>45.0</v>
      </c>
      <c r="AR292" s="23">
        <v>30.0</v>
      </c>
      <c r="AS292" s="23">
        <v>30.0</v>
      </c>
      <c r="AT292" s="23">
        <v>40.0</v>
      </c>
      <c r="AU292" s="24">
        <v>236.0</v>
      </c>
      <c r="AV292" s="21"/>
      <c r="AW292" s="78">
        <v>1.0</v>
      </c>
      <c r="AX292" s="79">
        <v>90.0</v>
      </c>
      <c r="AY292" s="79">
        <v>45.0</v>
      </c>
      <c r="AZ292" s="79">
        <v>30.0</v>
      </c>
      <c r="BA292" s="79">
        <v>30.0</v>
      </c>
      <c r="BB292" s="79">
        <v>40.0</v>
      </c>
      <c r="BC292" s="201">
        <v>236.0</v>
      </c>
      <c r="BE292" s="203" t="s">
        <v>409</v>
      </c>
      <c r="BF292" s="113"/>
      <c r="BG292" s="384"/>
      <c r="BI292" s="31">
        <v>2.0</v>
      </c>
      <c r="BJ292" s="32" t="s">
        <v>5</v>
      </c>
      <c r="BK292" s="32" t="s">
        <v>5</v>
      </c>
      <c r="BL292" s="32" t="s">
        <v>5</v>
      </c>
      <c r="BM292" s="32" t="s">
        <v>5</v>
      </c>
      <c r="BN292" s="33" t="s">
        <v>5</v>
      </c>
      <c r="BP292" s="85" t="s">
        <v>109</v>
      </c>
      <c r="BQ292" s="86" t="s">
        <v>92</v>
      </c>
      <c r="BS292" s="87" t="s">
        <v>109</v>
      </c>
      <c r="BT292" s="88" t="s">
        <v>92</v>
      </c>
      <c r="BU292" s="37" t="str">
        <f t="shared" si="1"/>
        <v>#NAME?</v>
      </c>
      <c r="BV292" s="89" t="s">
        <v>109</v>
      </c>
      <c r="BW292" s="37" t="str">
        <f t="shared" si="2"/>
        <v>#NAME?</v>
      </c>
      <c r="BX292" s="89" t="s">
        <v>92</v>
      </c>
      <c r="BY292" s="39"/>
      <c r="BZ292" s="39"/>
      <c r="CA292" s="40" t="s">
        <v>2713</v>
      </c>
      <c r="CB292" s="41"/>
      <c r="CC292" s="90" t="s">
        <v>109</v>
      </c>
      <c r="CD292" s="91" t="s">
        <v>92</v>
      </c>
      <c r="CE292" s="2"/>
      <c r="CF292" s="92" t="s">
        <v>2714</v>
      </c>
      <c r="CG292" s="93"/>
      <c r="CH292" s="2"/>
      <c r="CI292" s="92" t="s">
        <v>2714</v>
      </c>
      <c r="CJ292" s="93"/>
      <c r="CK292" s="2"/>
      <c r="CL292" s="22" t="s">
        <v>2714</v>
      </c>
      <c r="CM292" s="12"/>
      <c r="CN292" s="48"/>
      <c r="CO292" s="153"/>
      <c r="CP292" s="2"/>
      <c r="CQ292" s="2" t="s">
        <v>2715</v>
      </c>
      <c r="CR292" s="97">
        <v>20.0</v>
      </c>
      <c r="CS292" s="2" t="s">
        <v>409</v>
      </c>
      <c r="CT292" s="98">
        <v>95.0</v>
      </c>
      <c r="CU292" s="2"/>
      <c r="CV292" s="52" t="s">
        <v>890</v>
      </c>
      <c r="CW292" s="52" t="s">
        <v>890</v>
      </c>
      <c r="CX292" s="2"/>
      <c r="CY292" s="390" t="s">
        <v>826</v>
      </c>
      <c r="CZ292" s="385"/>
      <c r="DA292" s="2"/>
      <c r="DB292" s="98">
        <v>45.0</v>
      </c>
      <c r="DC292" s="2"/>
      <c r="DD292" s="101" t="s">
        <v>2698</v>
      </c>
      <c r="DE292" s="2"/>
      <c r="DF292" s="383" t="s">
        <v>2716</v>
      </c>
      <c r="DG292" s="390"/>
      <c r="DH292" s="385"/>
      <c r="DI292" s="2"/>
      <c r="DJ292" s="2"/>
      <c r="DK292" s="59" t="s">
        <v>2717</v>
      </c>
      <c r="DL292" s="37" t="s">
        <v>197</v>
      </c>
      <c r="DM292" s="37" t="str">
        <f t="shared" si="3"/>
        <v>#NAME?</v>
      </c>
      <c r="DN292" s="61"/>
      <c r="DO292" s="37" t="s">
        <v>2009</v>
      </c>
      <c r="DP292" s="105">
        <v>0.7</v>
      </c>
      <c r="DQ292" s="62" t="s">
        <v>49</v>
      </c>
      <c r="DR292" s="63"/>
      <c r="DS292" s="198"/>
      <c r="DT292" s="108"/>
      <c r="DU292" s="108"/>
      <c r="DV292" s="182"/>
      <c r="DW292" s="182"/>
      <c r="DX292" s="182"/>
      <c r="DY292" s="182"/>
      <c r="DZ292" s="182"/>
      <c r="EA292" s="182"/>
      <c r="EB292" s="2"/>
      <c r="EC292" s="2"/>
      <c r="ED292" s="2"/>
      <c r="EE292" s="2"/>
      <c r="EF292" s="149" t="s">
        <v>2718</v>
      </c>
      <c r="EG292" s="69" t="str">
        <f>image("https://www.pokebip.com/pages/icones/objets/fertipousse.png", 3)</f>
        <v/>
      </c>
      <c r="EH292" s="69"/>
      <c r="EI292" s="69"/>
    </row>
    <row r="293" ht="15.75" customHeight="1">
      <c r="A293" s="1">
        <v>293.0</v>
      </c>
      <c r="B293" s="2" t="s">
        <v>2719</v>
      </c>
      <c r="C293" s="7"/>
      <c r="D293" s="213" t="s">
        <v>2720</v>
      </c>
      <c r="E293" s="5"/>
      <c r="F293" s="214"/>
      <c r="G293" s="7"/>
      <c r="H293" s="8" t="s">
        <v>2721</v>
      </c>
      <c r="I293" s="9" t="s">
        <v>2722</v>
      </c>
      <c r="J293" s="355" t="str">
        <f>image("https://archives.bulbagarden.net/media/upload/3/3b/293MS6.png", 3)</f>
        <v/>
      </c>
      <c r="K293" s="11" t="s">
        <v>2720</v>
      </c>
      <c r="L293" s="12"/>
      <c r="M293" s="12"/>
      <c r="N293" s="12"/>
      <c r="O293" s="12"/>
      <c r="Q293" s="71">
        <v>64.0</v>
      </c>
      <c r="R293" s="72">
        <v>51.0</v>
      </c>
      <c r="S293" s="73">
        <v>23.0</v>
      </c>
      <c r="T293" s="74">
        <v>51.0</v>
      </c>
      <c r="U293" s="75">
        <v>23.0</v>
      </c>
      <c r="V293" s="76">
        <v>28.0</v>
      </c>
      <c r="W293" s="77">
        <v>240.0</v>
      </c>
      <c r="X293" s="21"/>
      <c r="Y293" s="71">
        <v>64.0</v>
      </c>
      <c r="Z293" s="72">
        <v>51.0</v>
      </c>
      <c r="AA293" s="73">
        <v>23.0</v>
      </c>
      <c r="AB293" s="74">
        <v>51.0</v>
      </c>
      <c r="AC293" s="75">
        <v>23.0</v>
      </c>
      <c r="AD293" s="76">
        <v>28.0</v>
      </c>
      <c r="AE293" s="77">
        <v>240.0</v>
      </c>
      <c r="AF293" s="21"/>
      <c r="AG293" s="71">
        <v>64.0</v>
      </c>
      <c r="AH293" s="72">
        <v>51.0</v>
      </c>
      <c r="AI293" s="73">
        <v>23.0</v>
      </c>
      <c r="AJ293" s="74">
        <v>51.0</v>
      </c>
      <c r="AK293" s="75">
        <v>23.0</v>
      </c>
      <c r="AL293" s="76">
        <v>28.0</v>
      </c>
      <c r="AM293" s="77">
        <v>240.0</v>
      </c>
      <c r="AN293" s="21"/>
      <c r="AO293" s="22">
        <v>64.0</v>
      </c>
      <c r="AP293" s="23">
        <v>51.0</v>
      </c>
      <c r="AQ293" s="23">
        <v>23.0</v>
      </c>
      <c r="AR293" s="23">
        <v>51.0</v>
      </c>
      <c r="AS293" s="23">
        <v>23.0</v>
      </c>
      <c r="AT293" s="23">
        <v>28.0</v>
      </c>
      <c r="AU293" s="24">
        <v>240.0</v>
      </c>
      <c r="AV293" s="21"/>
      <c r="AW293" s="78">
        <v>64.0</v>
      </c>
      <c r="AX293" s="79">
        <v>51.0</v>
      </c>
      <c r="AY293" s="79">
        <v>23.0</v>
      </c>
      <c r="AZ293" s="79">
        <v>51.0</v>
      </c>
      <c r="BA293" s="79">
        <v>23.0</v>
      </c>
      <c r="BB293" s="79">
        <v>28.0</v>
      </c>
      <c r="BC293" s="201">
        <v>240.0</v>
      </c>
      <c r="BE293" s="151" t="s">
        <v>144</v>
      </c>
      <c r="BF293" s="143"/>
      <c r="BG293" s="128"/>
      <c r="BI293" s="31">
        <v>1.0</v>
      </c>
      <c r="BJ293" s="32" t="s">
        <v>5</v>
      </c>
      <c r="BK293" s="32" t="s">
        <v>5</v>
      </c>
      <c r="BL293" s="32" t="s">
        <v>5</v>
      </c>
      <c r="BM293" s="32" t="s">
        <v>5</v>
      </c>
      <c r="BN293" s="33" t="s">
        <v>5</v>
      </c>
      <c r="BP293" s="115" t="s">
        <v>156</v>
      </c>
      <c r="BQ293" s="93"/>
      <c r="BS293" s="115" t="s">
        <v>156</v>
      </c>
      <c r="BT293" s="133"/>
      <c r="BU293" s="37" t="str">
        <f t="shared" si="1"/>
        <v>#NAME?</v>
      </c>
      <c r="BV293" s="89" t="s">
        <v>156</v>
      </c>
      <c r="BW293" s="37" t="str">
        <f t="shared" si="2"/>
        <v>#NAME?</v>
      </c>
      <c r="BX293" s="89"/>
      <c r="BY293" s="39"/>
      <c r="BZ293" s="39"/>
      <c r="CA293" s="40" t="s">
        <v>156</v>
      </c>
      <c r="CB293" s="41"/>
      <c r="CC293" s="90" t="s">
        <v>156</v>
      </c>
      <c r="CD293" s="91"/>
      <c r="CE293" s="21"/>
      <c r="CF293" s="92" t="s">
        <v>1067</v>
      </c>
      <c r="CG293" s="93"/>
      <c r="CH293" s="21"/>
      <c r="CI293" s="92" t="s">
        <v>1067</v>
      </c>
      <c r="CJ293" s="93"/>
      <c r="CK293" s="21"/>
      <c r="CL293" s="22" t="s">
        <v>1067</v>
      </c>
      <c r="CM293" s="12"/>
      <c r="CN293" s="48"/>
      <c r="CO293" s="192" t="s">
        <v>1623</v>
      </c>
      <c r="CP293" s="21"/>
      <c r="CQ293" s="2" t="s">
        <v>2723</v>
      </c>
      <c r="CR293" s="97">
        <v>40.0</v>
      </c>
      <c r="CS293" s="2" t="s">
        <v>144</v>
      </c>
      <c r="CT293" s="98">
        <v>68.0</v>
      </c>
      <c r="CU293" s="2"/>
      <c r="CV293" s="52" t="s">
        <v>149</v>
      </c>
      <c r="CW293" s="52" t="s">
        <v>149</v>
      </c>
      <c r="CX293" s="2"/>
      <c r="CY293" s="118" t="s">
        <v>14</v>
      </c>
      <c r="CZ293" s="119" t="s">
        <v>277</v>
      </c>
      <c r="DA293" s="2"/>
      <c r="DB293" s="98">
        <v>190.0</v>
      </c>
      <c r="DC293" s="2"/>
      <c r="DD293" s="101" t="s">
        <v>15</v>
      </c>
      <c r="DE293" s="2"/>
      <c r="DF293" s="148" t="s">
        <v>2724</v>
      </c>
      <c r="DG293" s="119"/>
      <c r="DH293" s="119"/>
      <c r="DI293" s="21"/>
      <c r="DJ293" s="21"/>
      <c r="DK293" s="59" t="s">
        <v>2725</v>
      </c>
      <c r="DL293" s="37" t="s">
        <v>197</v>
      </c>
      <c r="DM293" s="37" t="str">
        <f t="shared" si="3"/>
        <v>#NAME?</v>
      </c>
      <c r="DN293" s="61"/>
      <c r="DO293" s="37" t="s">
        <v>1170</v>
      </c>
      <c r="DP293" s="105">
        <v>1.0</v>
      </c>
      <c r="DQ293" s="62" t="s">
        <v>93</v>
      </c>
      <c r="DR293" s="63"/>
      <c r="DS293" s="198"/>
      <c r="DT293" s="108"/>
      <c r="DU293" s="108"/>
      <c r="DV293" s="182"/>
      <c r="DW293" s="182"/>
      <c r="DX293" s="182"/>
      <c r="DY293" s="182"/>
      <c r="DZ293" s="182"/>
      <c r="EA293" s="182"/>
      <c r="EB293" s="21"/>
      <c r="EC293" s="21"/>
      <c r="ED293" s="21"/>
      <c r="EE293" s="21"/>
      <c r="EF293" s="149" t="s">
        <v>2726</v>
      </c>
      <c r="EG293" s="69" t="str">
        <f>image("https://www.pokebip.com/pages/icones/objets/fertihumide.png", 3)</f>
        <v/>
      </c>
      <c r="EH293" s="69"/>
      <c r="EI293" s="69"/>
    </row>
    <row r="294" ht="15.75" customHeight="1">
      <c r="A294" s="1">
        <v>294.0</v>
      </c>
      <c r="B294" s="2" t="s">
        <v>2727</v>
      </c>
      <c r="C294" s="7"/>
      <c r="D294" s="140" t="s">
        <v>2728</v>
      </c>
      <c r="E294" s="5"/>
      <c r="F294" s="141"/>
      <c r="G294" s="7"/>
      <c r="H294" s="8" t="s">
        <v>2729</v>
      </c>
      <c r="I294" s="9" t="s">
        <v>2730</v>
      </c>
      <c r="J294" s="355" t="str">
        <f>image("https://archives.bulbagarden.net/media/upload/1/1d/294MS6.png", 3)</f>
        <v/>
      </c>
      <c r="K294" s="11" t="s">
        <v>2728</v>
      </c>
      <c r="L294" s="12"/>
      <c r="M294" s="12"/>
      <c r="N294" s="12"/>
      <c r="O294" s="12"/>
      <c r="Q294" s="71">
        <v>84.0</v>
      </c>
      <c r="R294" s="72">
        <v>71.0</v>
      </c>
      <c r="S294" s="73">
        <v>43.0</v>
      </c>
      <c r="T294" s="74">
        <v>71.0</v>
      </c>
      <c r="U294" s="75">
        <v>43.0</v>
      </c>
      <c r="V294" s="76">
        <v>48.0</v>
      </c>
      <c r="W294" s="77">
        <v>360.0</v>
      </c>
      <c r="X294" s="21"/>
      <c r="Y294" s="71">
        <v>84.0</v>
      </c>
      <c r="Z294" s="72">
        <v>71.0</v>
      </c>
      <c r="AA294" s="73">
        <v>43.0</v>
      </c>
      <c r="AB294" s="74">
        <v>71.0</v>
      </c>
      <c r="AC294" s="75">
        <v>43.0</v>
      </c>
      <c r="AD294" s="76">
        <v>48.0</v>
      </c>
      <c r="AE294" s="77">
        <v>360.0</v>
      </c>
      <c r="AF294" s="21"/>
      <c r="AG294" s="71">
        <v>84.0</v>
      </c>
      <c r="AH294" s="72">
        <v>71.0</v>
      </c>
      <c r="AI294" s="73">
        <v>43.0</v>
      </c>
      <c r="AJ294" s="74">
        <v>71.0</v>
      </c>
      <c r="AK294" s="75">
        <v>43.0</v>
      </c>
      <c r="AL294" s="76">
        <v>48.0</v>
      </c>
      <c r="AM294" s="77">
        <v>360.0</v>
      </c>
      <c r="AN294" s="21"/>
      <c r="AO294" s="22">
        <v>84.0</v>
      </c>
      <c r="AP294" s="23">
        <v>71.0</v>
      </c>
      <c r="AQ294" s="23">
        <v>43.0</v>
      </c>
      <c r="AR294" s="23">
        <v>71.0</v>
      </c>
      <c r="AS294" s="23">
        <v>43.0</v>
      </c>
      <c r="AT294" s="23">
        <v>48.0</v>
      </c>
      <c r="AU294" s="24">
        <v>360.0</v>
      </c>
      <c r="AV294" s="21"/>
      <c r="AW294" s="78">
        <v>84.0</v>
      </c>
      <c r="AX294" s="79">
        <v>71.0</v>
      </c>
      <c r="AY294" s="79">
        <v>43.0</v>
      </c>
      <c r="AZ294" s="79">
        <v>71.0</v>
      </c>
      <c r="BA294" s="80">
        <v>43.0</v>
      </c>
      <c r="BB294" s="79">
        <v>48.0</v>
      </c>
      <c r="BC294" s="81">
        <v>360.0</v>
      </c>
      <c r="BE294" s="203" t="s">
        <v>409</v>
      </c>
      <c r="BF294" s="113"/>
      <c r="BG294" s="384"/>
      <c r="BI294" s="31">
        <v>2.0</v>
      </c>
      <c r="BJ294" s="32" t="s">
        <v>5</v>
      </c>
      <c r="BK294" s="32" t="s">
        <v>5</v>
      </c>
      <c r="BL294" s="32" t="s">
        <v>5</v>
      </c>
      <c r="BM294" s="32" t="s">
        <v>5</v>
      </c>
      <c r="BN294" s="33" t="s">
        <v>5</v>
      </c>
      <c r="BP294" s="85" t="s">
        <v>156</v>
      </c>
      <c r="BQ294" s="129"/>
      <c r="BS294" s="87" t="s">
        <v>156</v>
      </c>
      <c r="BT294" s="130"/>
      <c r="BU294" s="37" t="str">
        <f t="shared" si="1"/>
        <v>#NAME?</v>
      </c>
      <c r="BV294" s="89" t="s">
        <v>156</v>
      </c>
      <c r="BW294" s="37" t="str">
        <f t="shared" si="2"/>
        <v>#NAME?</v>
      </c>
      <c r="BX294" s="89"/>
      <c r="BY294" s="39"/>
      <c r="BZ294" s="39"/>
      <c r="CA294" s="40" t="s">
        <v>156</v>
      </c>
      <c r="CB294" s="41"/>
      <c r="CC294" s="90" t="s">
        <v>156</v>
      </c>
      <c r="CD294" s="91"/>
      <c r="CE294" s="21"/>
      <c r="CF294" s="92" t="s">
        <v>1067</v>
      </c>
      <c r="CG294" s="93"/>
      <c r="CH294" s="21"/>
      <c r="CI294" s="92" t="s">
        <v>1067</v>
      </c>
      <c r="CJ294" s="93"/>
      <c r="CK294" s="21"/>
      <c r="CL294" s="22" t="s">
        <v>1067</v>
      </c>
      <c r="CM294" s="12"/>
      <c r="CN294" s="48"/>
      <c r="CO294" s="235" t="s">
        <v>1623</v>
      </c>
      <c r="CP294" s="21"/>
      <c r="CQ294" s="2" t="s">
        <v>1017</v>
      </c>
      <c r="CR294" s="97">
        <v>60.0</v>
      </c>
      <c r="CS294" s="2" t="s">
        <v>409</v>
      </c>
      <c r="CT294" s="98">
        <v>126.0</v>
      </c>
      <c r="CU294" s="2"/>
      <c r="CV294" s="52" t="s">
        <v>149</v>
      </c>
      <c r="CW294" s="52" t="s">
        <v>149</v>
      </c>
      <c r="CX294" s="2"/>
      <c r="CY294" s="381" t="s">
        <v>14</v>
      </c>
      <c r="CZ294" s="382" t="s">
        <v>277</v>
      </c>
      <c r="DA294" s="2"/>
      <c r="DB294" s="98">
        <v>120.0</v>
      </c>
      <c r="DC294" s="2"/>
      <c r="DD294" s="101" t="s">
        <v>15</v>
      </c>
      <c r="DE294" s="2"/>
      <c r="DF294" s="383" t="s">
        <v>2731</v>
      </c>
      <c r="DG294" s="382"/>
      <c r="DH294" s="382"/>
      <c r="DI294" s="2"/>
      <c r="DJ294" s="2"/>
      <c r="DK294" s="59" t="s">
        <v>2732</v>
      </c>
      <c r="DL294" s="37" t="s">
        <v>197</v>
      </c>
      <c r="DM294" s="37" t="str">
        <f t="shared" si="3"/>
        <v>#NAME?</v>
      </c>
      <c r="DN294" s="61"/>
      <c r="DO294" s="37">
        <v>40.0</v>
      </c>
      <c r="DP294" s="105">
        <v>1.0</v>
      </c>
      <c r="DQ294" s="62" t="s">
        <v>342</v>
      </c>
      <c r="DR294" s="63"/>
      <c r="DS294" s="198"/>
      <c r="DT294" s="108"/>
      <c r="DU294" s="108"/>
      <c r="DV294" s="182"/>
      <c r="DW294" s="182"/>
      <c r="DX294" s="182"/>
      <c r="DY294" s="182"/>
      <c r="DZ294" s="182"/>
      <c r="EA294" s="182"/>
      <c r="EB294" s="2"/>
      <c r="EC294" s="2"/>
      <c r="ED294" s="2"/>
      <c r="EE294" s="2"/>
      <c r="EF294" s="149" t="s">
        <v>2733</v>
      </c>
      <c r="EG294" s="69" t="str">
        <f>image("https://www.pokebip.com/pages/icones/objets/fertistable.png", 3)</f>
        <v/>
      </c>
      <c r="EH294" s="69"/>
      <c r="EI294" s="69"/>
    </row>
    <row r="295" ht="15.75" customHeight="1">
      <c r="A295" s="1">
        <v>295.0</v>
      </c>
      <c r="B295" s="2" t="s">
        <v>2734</v>
      </c>
      <c r="C295" s="7"/>
      <c r="D295" s="140" t="s">
        <v>2735</v>
      </c>
      <c r="E295" s="5"/>
      <c r="F295" s="141"/>
      <c r="G295" s="7"/>
      <c r="H295" s="8" t="s">
        <v>2736</v>
      </c>
      <c r="I295" s="9" t="s">
        <v>2737</v>
      </c>
      <c r="J295" s="355" t="str">
        <f>image("https://archives.bulbagarden.net/media/upload/d/dc/295MS6.png", 3)</f>
        <v/>
      </c>
      <c r="K295" s="11" t="s">
        <v>2735</v>
      </c>
      <c r="L295" s="12"/>
      <c r="M295" s="12"/>
      <c r="N295" s="12"/>
      <c r="O295" s="12"/>
      <c r="Q295" s="71">
        <v>104.0</v>
      </c>
      <c r="R295" s="72">
        <v>91.0</v>
      </c>
      <c r="S295" s="73">
        <v>63.0</v>
      </c>
      <c r="T295" s="74">
        <v>91.0</v>
      </c>
      <c r="U295" s="75">
        <v>63.0</v>
      </c>
      <c r="V295" s="76">
        <v>68.0</v>
      </c>
      <c r="W295" s="77">
        <v>480.0</v>
      </c>
      <c r="X295" s="21"/>
      <c r="Y295" s="71">
        <v>104.0</v>
      </c>
      <c r="Z295" s="72">
        <v>91.0</v>
      </c>
      <c r="AA295" s="73">
        <v>63.0</v>
      </c>
      <c r="AB295" s="74">
        <v>91.0</v>
      </c>
      <c r="AC295" s="109">
        <v>73.0</v>
      </c>
      <c r="AD295" s="76">
        <v>68.0</v>
      </c>
      <c r="AE295" s="110">
        <v>490.0</v>
      </c>
      <c r="AF295" s="21"/>
      <c r="AG295" s="71">
        <v>104.0</v>
      </c>
      <c r="AH295" s="72">
        <v>91.0</v>
      </c>
      <c r="AI295" s="73">
        <v>63.0</v>
      </c>
      <c r="AJ295" s="74">
        <v>91.0</v>
      </c>
      <c r="AK295" s="109">
        <v>73.0</v>
      </c>
      <c r="AL295" s="76">
        <v>68.0</v>
      </c>
      <c r="AM295" s="110">
        <v>490.0</v>
      </c>
      <c r="AN295" s="21"/>
      <c r="AO295" s="22">
        <v>104.0</v>
      </c>
      <c r="AP295" s="23">
        <v>91.0</v>
      </c>
      <c r="AQ295" s="23">
        <v>63.0</v>
      </c>
      <c r="AR295" s="23">
        <v>91.0</v>
      </c>
      <c r="AS295" s="23" t="s">
        <v>1233</v>
      </c>
      <c r="AT295" s="23">
        <v>68.0</v>
      </c>
      <c r="AU295" s="24" t="s">
        <v>562</v>
      </c>
      <c r="AV295" s="21"/>
      <c r="AW295" s="78">
        <v>104.0</v>
      </c>
      <c r="AX295" s="79">
        <v>91.0</v>
      </c>
      <c r="AY295" s="79">
        <v>63.0</v>
      </c>
      <c r="AZ295" s="79">
        <v>91.0</v>
      </c>
      <c r="BA295" s="111">
        <v>73.0</v>
      </c>
      <c r="BB295" s="79">
        <v>68.0</v>
      </c>
      <c r="BC295" s="111">
        <v>490.0</v>
      </c>
      <c r="BE295" s="203" t="s">
        <v>422</v>
      </c>
      <c r="BF295" s="138"/>
      <c r="BG295" s="128"/>
      <c r="BI295" s="31">
        <v>3.0</v>
      </c>
      <c r="BJ295" s="32" t="s">
        <v>5</v>
      </c>
      <c r="BK295" s="32" t="s">
        <v>5</v>
      </c>
      <c r="BL295" s="32" t="s">
        <v>5</v>
      </c>
      <c r="BM295" s="32" t="s">
        <v>5</v>
      </c>
      <c r="BN295" s="33" t="s">
        <v>5</v>
      </c>
      <c r="BP295" s="115" t="s">
        <v>156</v>
      </c>
      <c r="BQ295" s="93"/>
      <c r="BS295" s="115" t="s">
        <v>156</v>
      </c>
      <c r="BT295" s="133"/>
      <c r="BU295" s="37" t="str">
        <f t="shared" si="1"/>
        <v>#NAME?</v>
      </c>
      <c r="BV295" s="89" t="s">
        <v>156</v>
      </c>
      <c r="BW295" s="37" t="str">
        <f t="shared" si="2"/>
        <v>#NAME?</v>
      </c>
      <c r="BX295" s="89"/>
      <c r="BY295" s="39"/>
      <c r="BZ295" s="39"/>
      <c r="CA295" s="40" t="s">
        <v>156</v>
      </c>
      <c r="CB295" s="41"/>
      <c r="CC295" s="90" t="s">
        <v>156</v>
      </c>
      <c r="CD295" s="91"/>
      <c r="CE295" s="21"/>
      <c r="CF295" s="92" t="s">
        <v>1067</v>
      </c>
      <c r="CG295" s="93"/>
      <c r="CH295" s="21"/>
      <c r="CI295" s="92" t="s">
        <v>1067</v>
      </c>
      <c r="CJ295" s="93"/>
      <c r="CK295" s="21"/>
      <c r="CL295" s="22" t="s">
        <v>1067</v>
      </c>
      <c r="CM295" s="12"/>
      <c r="CN295" s="48"/>
      <c r="CO295" s="193" t="s">
        <v>1623</v>
      </c>
      <c r="CP295" s="21"/>
      <c r="CQ295" s="2" t="s">
        <v>2738</v>
      </c>
      <c r="CR295" s="97">
        <v>80.0</v>
      </c>
      <c r="CS295" s="2" t="s">
        <v>422</v>
      </c>
      <c r="CT295" s="98">
        <v>184.0</v>
      </c>
      <c r="CU295" s="2"/>
      <c r="CV295" s="52" t="s">
        <v>149</v>
      </c>
      <c r="CW295" s="52" t="s">
        <v>149</v>
      </c>
      <c r="CX295" s="2"/>
      <c r="CY295" s="118" t="s">
        <v>14</v>
      </c>
      <c r="CZ295" s="119" t="s">
        <v>277</v>
      </c>
      <c r="DA295" s="2"/>
      <c r="DB295" s="98">
        <v>45.0</v>
      </c>
      <c r="DC295" s="2"/>
      <c r="DD295" s="101" t="s">
        <v>15</v>
      </c>
      <c r="DE295" s="2"/>
      <c r="DF295" s="120" t="s">
        <v>2739</v>
      </c>
      <c r="DG295" s="119"/>
      <c r="DH295" s="119"/>
      <c r="DI295" s="2"/>
      <c r="DJ295" s="2"/>
      <c r="DK295" s="59" t="s">
        <v>2740</v>
      </c>
      <c r="DL295" s="37" t="s">
        <v>156</v>
      </c>
      <c r="DM295" s="37" t="str">
        <f t="shared" si="3"/>
        <v>#NAME?</v>
      </c>
      <c r="DN295" s="61"/>
      <c r="DO295" s="37">
        <v>80.0</v>
      </c>
      <c r="DP295" s="105">
        <v>1.0</v>
      </c>
      <c r="DQ295" s="62" t="s">
        <v>49</v>
      </c>
      <c r="DR295" s="63"/>
      <c r="DS295" s="198"/>
      <c r="DT295" s="108"/>
      <c r="DU295" s="108"/>
      <c r="DV295" s="182"/>
      <c r="DW295" s="182"/>
      <c r="DX295" s="182"/>
      <c r="DY295" s="182"/>
      <c r="DZ295" s="182"/>
      <c r="EA295" s="182"/>
      <c r="EB295" s="21"/>
      <c r="EC295" s="21"/>
      <c r="ED295" s="21"/>
      <c r="EE295" s="21"/>
      <c r="EF295" s="149" t="s">
        <v>2741</v>
      </c>
      <c r="EG295" s="69" t="str">
        <f>image("https://www.pokebip.com/pages/icones/objets/fertiglu.png", 3)</f>
        <v/>
      </c>
      <c r="EH295" s="69"/>
      <c r="EI295" s="69"/>
    </row>
    <row r="296" ht="15.75" customHeight="1">
      <c r="A296" s="1">
        <v>296.0</v>
      </c>
      <c r="B296" s="2" t="s">
        <v>2742</v>
      </c>
      <c r="C296" s="7"/>
      <c r="D296" s="169" t="s">
        <v>2743</v>
      </c>
      <c r="E296" s="5"/>
      <c r="F296" s="170"/>
      <c r="G296" s="7"/>
      <c r="H296" s="8" t="s">
        <v>2744</v>
      </c>
      <c r="I296" s="9" t="s">
        <v>2745</v>
      </c>
      <c r="J296" s="355" t="str">
        <f>image("https://archives.bulbagarden.net/media/upload/d/d9/296MS6.png", 3)</f>
        <v/>
      </c>
      <c r="K296" s="11" t="s">
        <v>2743</v>
      </c>
      <c r="L296" s="12"/>
      <c r="M296" s="12"/>
      <c r="N296" s="12"/>
      <c r="O296" s="12"/>
      <c r="Q296" s="71">
        <v>72.0</v>
      </c>
      <c r="R296" s="72">
        <v>60.0</v>
      </c>
      <c r="S296" s="73">
        <v>30.0</v>
      </c>
      <c r="T296" s="74">
        <v>20.0</v>
      </c>
      <c r="U296" s="75">
        <v>30.0</v>
      </c>
      <c r="V296" s="76">
        <v>25.0</v>
      </c>
      <c r="W296" s="77">
        <v>237.0</v>
      </c>
      <c r="X296" s="21"/>
      <c r="Y296" s="71">
        <v>72.0</v>
      </c>
      <c r="Z296" s="72">
        <v>60.0</v>
      </c>
      <c r="AA296" s="73">
        <v>30.0</v>
      </c>
      <c r="AB296" s="74">
        <v>20.0</v>
      </c>
      <c r="AC296" s="75">
        <v>30.0</v>
      </c>
      <c r="AD296" s="76">
        <v>25.0</v>
      </c>
      <c r="AE296" s="77">
        <v>237.0</v>
      </c>
      <c r="AF296" s="21"/>
      <c r="AG296" s="71">
        <v>72.0</v>
      </c>
      <c r="AH296" s="72">
        <v>60.0</v>
      </c>
      <c r="AI296" s="73">
        <v>30.0</v>
      </c>
      <c r="AJ296" s="74">
        <v>20.0</v>
      </c>
      <c r="AK296" s="75">
        <v>30.0</v>
      </c>
      <c r="AL296" s="76">
        <v>25.0</v>
      </c>
      <c r="AM296" s="77">
        <v>237.0</v>
      </c>
      <c r="AN296" s="21"/>
      <c r="AO296" s="22">
        <v>72.0</v>
      </c>
      <c r="AP296" s="23">
        <v>60.0</v>
      </c>
      <c r="AQ296" s="23">
        <v>30.0</v>
      </c>
      <c r="AR296" s="23">
        <v>20.0</v>
      </c>
      <c r="AS296" s="23">
        <v>30.0</v>
      </c>
      <c r="AT296" s="23">
        <v>25.0</v>
      </c>
      <c r="AU296" s="24">
        <v>237.0</v>
      </c>
      <c r="AV296" s="21"/>
      <c r="AW296" s="78">
        <v>72.0</v>
      </c>
      <c r="AX296" s="79">
        <v>60.0</v>
      </c>
      <c r="AY296" s="79">
        <v>30.0</v>
      </c>
      <c r="AZ296" s="79">
        <v>20.0</v>
      </c>
      <c r="BA296" s="124">
        <v>30.0</v>
      </c>
      <c r="BB296" s="79">
        <v>25.0</v>
      </c>
      <c r="BC296" s="125">
        <v>237.0</v>
      </c>
      <c r="BE296" s="151" t="s">
        <v>144</v>
      </c>
      <c r="BF296" s="386"/>
      <c r="BG296" s="128"/>
      <c r="BI296" s="31">
        <v>1.0</v>
      </c>
      <c r="BJ296" s="32" t="s">
        <v>5</v>
      </c>
      <c r="BK296" s="32" t="s">
        <v>5</v>
      </c>
      <c r="BL296" s="32" t="s">
        <v>5</v>
      </c>
      <c r="BM296" s="32" t="s">
        <v>5</v>
      </c>
      <c r="BN296" s="33" t="s">
        <v>5</v>
      </c>
      <c r="BP296" s="85" t="s">
        <v>64</v>
      </c>
      <c r="BQ296" s="129"/>
      <c r="BS296" s="87" t="s">
        <v>64</v>
      </c>
      <c r="BT296" s="130"/>
      <c r="BU296" s="37" t="str">
        <f t="shared" si="1"/>
        <v>#NAME?</v>
      </c>
      <c r="BV296" s="89" t="s">
        <v>64</v>
      </c>
      <c r="BW296" s="37" t="str">
        <f t="shared" si="2"/>
        <v>#NAME?</v>
      </c>
      <c r="BX296" s="89"/>
      <c r="BY296" s="39"/>
      <c r="BZ296" s="39"/>
      <c r="CA296" s="40" t="s">
        <v>64</v>
      </c>
      <c r="CB296" s="41"/>
      <c r="CC296" s="90" t="s">
        <v>64</v>
      </c>
      <c r="CD296" s="91"/>
      <c r="CE296" s="21"/>
      <c r="CF296" s="92" t="s">
        <v>944</v>
      </c>
      <c r="CG296" s="93" t="s">
        <v>273</v>
      </c>
      <c r="CH296" s="21"/>
      <c r="CI296" s="92" t="s">
        <v>944</v>
      </c>
      <c r="CJ296" s="93" t="s">
        <v>273</v>
      </c>
      <c r="CK296" s="21"/>
      <c r="CL296" s="22" t="s">
        <v>944</v>
      </c>
      <c r="CM296" s="12"/>
      <c r="CN296" s="48"/>
      <c r="CO296" s="196" t="s">
        <v>273</v>
      </c>
      <c r="CP296" s="21"/>
      <c r="CQ296" s="2" t="s">
        <v>2746</v>
      </c>
      <c r="CR296" s="97">
        <v>80.0</v>
      </c>
      <c r="CS296" s="2" t="s">
        <v>144</v>
      </c>
      <c r="CT296" s="98">
        <v>87.0</v>
      </c>
      <c r="CU296" s="2"/>
      <c r="CV296" s="52" t="s">
        <v>467</v>
      </c>
      <c r="CW296" s="347">
        <v>0.25</v>
      </c>
      <c r="CX296" s="2"/>
      <c r="CY296" s="382" t="s">
        <v>728</v>
      </c>
      <c r="CZ296" s="385"/>
      <c r="DA296" s="2"/>
      <c r="DB296" s="98">
        <v>180.0</v>
      </c>
      <c r="DC296" s="2"/>
      <c r="DD296" s="101" t="s">
        <v>2656</v>
      </c>
      <c r="DE296" s="2"/>
      <c r="DF296" s="387" t="s">
        <v>2747</v>
      </c>
      <c r="DG296" s="381" t="s">
        <v>2748</v>
      </c>
      <c r="DH296" s="385"/>
      <c r="DI296" s="21"/>
      <c r="DJ296" s="21"/>
      <c r="DK296" s="59" t="s">
        <v>2749</v>
      </c>
      <c r="DL296" s="37" t="s">
        <v>156</v>
      </c>
      <c r="DM296" s="37" t="str">
        <f t="shared" si="3"/>
        <v>#NAME?</v>
      </c>
      <c r="DN296" s="61"/>
      <c r="DO296" s="37" t="s">
        <v>19</v>
      </c>
      <c r="DP296" s="37" t="s">
        <v>19</v>
      </c>
      <c r="DQ296" s="62" t="s">
        <v>293</v>
      </c>
      <c r="DR296" s="63"/>
      <c r="DS296" s="198"/>
      <c r="DT296" s="108"/>
      <c r="DU296" s="108"/>
      <c r="DV296" s="182"/>
      <c r="DW296" s="182"/>
      <c r="DX296" s="182"/>
      <c r="DY296" s="182"/>
      <c r="DZ296" s="182"/>
      <c r="EA296" s="182"/>
      <c r="EB296" s="2"/>
      <c r="EC296" s="2"/>
      <c r="ED296" s="2"/>
      <c r="EE296" s="2"/>
      <c r="EF296" s="149" t="s">
        <v>2750</v>
      </c>
      <c r="EG296" s="69" t="str">
        <f>image("https://www.pokebip.com/pages/icones/objets/foulard-bleu.png", 3)</f>
        <v/>
      </c>
      <c r="EH296" s="69"/>
      <c r="EI296" s="69"/>
    </row>
    <row r="297" ht="15.75" customHeight="1">
      <c r="A297" s="1">
        <v>297.0</v>
      </c>
      <c r="B297" s="2" t="s">
        <v>2751</v>
      </c>
      <c r="C297" s="7"/>
      <c r="D297" s="167" t="s">
        <v>2752</v>
      </c>
      <c r="E297" s="5"/>
      <c r="F297" s="168"/>
      <c r="G297" s="7"/>
      <c r="H297" s="8" t="s">
        <v>2753</v>
      </c>
      <c r="I297" s="9" t="s">
        <v>2754</v>
      </c>
      <c r="J297" s="355" t="str">
        <f>image("https://archives.bulbagarden.net/media/upload/6/63/297MS6.png", 3)</f>
        <v/>
      </c>
      <c r="K297" s="11" t="s">
        <v>2752</v>
      </c>
      <c r="L297" s="12"/>
      <c r="M297" s="12"/>
      <c r="N297" s="12"/>
      <c r="O297" s="12"/>
      <c r="Q297" s="71">
        <v>144.0</v>
      </c>
      <c r="R297" s="72">
        <v>120.0</v>
      </c>
      <c r="S297" s="73">
        <v>60.0</v>
      </c>
      <c r="T297" s="74">
        <v>40.0</v>
      </c>
      <c r="U297" s="75">
        <v>60.0</v>
      </c>
      <c r="V297" s="76">
        <v>50.0</v>
      </c>
      <c r="W297" s="77">
        <v>474.0</v>
      </c>
      <c r="X297" s="21"/>
      <c r="Y297" s="71">
        <v>144.0</v>
      </c>
      <c r="Z297" s="72">
        <v>120.0</v>
      </c>
      <c r="AA297" s="73">
        <v>60.0</v>
      </c>
      <c r="AB297" s="74">
        <v>40.0</v>
      </c>
      <c r="AC297" s="75">
        <v>60.0</v>
      </c>
      <c r="AD297" s="76">
        <v>50.0</v>
      </c>
      <c r="AE297" s="77">
        <v>474.0</v>
      </c>
      <c r="AF297" s="21"/>
      <c r="AG297" s="71">
        <v>144.0</v>
      </c>
      <c r="AH297" s="72">
        <v>120.0</v>
      </c>
      <c r="AI297" s="73">
        <v>60.0</v>
      </c>
      <c r="AJ297" s="74">
        <v>40.0</v>
      </c>
      <c r="AK297" s="75">
        <v>60.0</v>
      </c>
      <c r="AL297" s="76">
        <v>50.0</v>
      </c>
      <c r="AM297" s="77">
        <v>474.0</v>
      </c>
      <c r="AN297" s="21"/>
      <c r="AO297" s="22">
        <v>144.0</v>
      </c>
      <c r="AP297" s="23">
        <v>120.0</v>
      </c>
      <c r="AQ297" s="23">
        <v>60.0</v>
      </c>
      <c r="AR297" s="23">
        <v>40.0</v>
      </c>
      <c r="AS297" s="23">
        <v>60.0</v>
      </c>
      <c r="AT297" s="23">
        <v>50.0</v>
      </c>
      <c r="AU297" s="24">
        <v>474.0</v>
      </c>
      <c r="AV297" s="21"/>
      <c r="AW297" s="78">
        <v>144.0</v>
      </c>
      <c r="AX297" s="79">
        <v>120.0</v>
      </c>
      <c r="AY297" s="79">
        <v>60.0</v>
      </c>
      <c r="AZ297" s="80">
        <v>40.0</v>
      </c>
      <c r="BA297" s="79">
        <v>60.0</v>
      </c>
      <c r="BB297" s="79">
        <v>50.0</v>
      </c>
      <c r="BC297" s="81">
        <v>474.0</v>
      </c>
      <c r="BE297" s="203" t="s">
        <v>409</v>
      </c>
      <c r="BF297" s="113"/>
      <c r="BG297" s="210"/>
      <c r="BI297" s="31">
        <v>2.0</v>
      </c>
      <c r="BJ297" s="32" t="s">
        <v>5</v>
      </c>
      <c r="BK297" s="32" t="s">
        <v>5</v>
      </c>
      <c r="BL297" s="32" t="s">
        <v>5</v>
      </c>
      <c r="BM297" s="32" t="s">
        <v>5</v>
      </c>
      <c r="BN297" s="33" t="s">
        <v>5</v>
      </c>
      <c r="BP297" s="115" t="s">
        <v>64</v>
      </c>
      <c r="BQ297" s="93"/>
      <c r="BS297" s="115" t="s">
        <v>64</v>
      </c>
      <c r="BT297" s="309"/>
      <c r="BU297" s="37" t="str">
        <f t="shared" si="1"/>
        <v>#NAME?</v>
      </c>
      <c r="BV297" s="89" t="s">
        <v>64</v>
      </c>
      <c r="BW297" s="37" t="str">
        <f t="shared" si="2"/>
        <v>#NAME?</v>
      </c>
      <c r="BX297" s="89"/>
      <c r="BY297" s="134"/>
      <c r="BZ297" s="134"/>
      <c r="CA297" s="135" t="s">
        <v>64</v>
      </c>
      <c r="CB297" s="136"/>
      <c r="CC297" s="90" t="s">
        <v>64</v>
      </c>
      <c r="CD297" s="137"/>
      <c r="CE297" s="21"/>
      <c r="CF297" s="92" t="s">
        <v>944</v>
      </c>
      <c r="CG297" s="93" t="s">
        <v>273</v>
      </c>
      <c r="CH297" s="21"/>
      <c r="CI297" s="177" t="s">
        <v>944</v>
      </c>
      <c r="CJ297" s="188" t="s">
        <v>273</v>
      </c>
      <c r="CK297" s="21"/>
      <c r="CL297" s="22" t="s">
        <v>944</v>
      </c>
      <c r="CM297" s="12"/>
      <c r="CN297" s="48"/>
      <c r="CO297" s="189" t="s">
        <v>273</v>
      </c>
      <c r="CP297" s="21"/>
      <c r="CQ297" s="2" t="s">
        <v>2755</v>
      </c>
      <c r="CR297" s="97">
        <v>120.0</v>
      </c>
      <c r="CS297" s="2" t="s">
        <v>409</v>
      </c>
      <c r="CT297" s="98">
        <v>184.0</v>
      </c>
      <c r="CU297" s="2"/>
      <c r="CV297" s="52" t="s">
        <v>467</v>
      </c>
      <c r="CW297" s="347">
        <v>0.25</v>
      </c>
      <c r="CX297" s="2"/>
      <c r="CY297" s="119" t="s">
        <v>728</v>
      </c>
      <c r="CZ297" s="160"/>
      <c r="DA297" s="2"/>
      <c r="DB297" s="98">
        <v>200.0</v>
      </c>
      <c r="DC297" s="2"/>
      <c r="DD297" s="101" t="s">
        <v>2656</v>
      </c>
      <c r="DE297" s="2"/>
      <c r="DF297" s="120" t="s">
        <v>2756</v>
      </c>
      <c r="DG297" s="118" t="s">
        <v>709</v>
      </c>
      <c r="DH297" s="160"/>
      <c r="DI297" s="2"/>
      <c r="DJ297" s="2"/>
      <c r="DK297" s="59" t="s">
        <v>2757</v>
      </c>
      <c r="DL297" s="37" t="s">
        <v>2758</v>
      </c>
      <c r="DM297" s="37" t="str">
        <f t="shared" si="3"/>
        <v>#NAME?</v>
      </c>
      <c r="DN297" s="61"/>
      <c r="DO297" s="37" t="s">
        <v>214</v>
      </c>
      <c r="DP297" s="37" t="s">
        <v>401</v>
      </c>
      <c r="DQ297" s="62" t="s">
        <v>137</v>
      </c>
      <c r="DR297" s="63"/>
      <c r="DS297" s="198"/>
      <c r="DT297" s="108"/>
      <c r="DU297" s="108"/>
      <c r="DV297" s="182"/>
      <c r="DW297" s="182"/>
      <c r="DX297" s="182"/>
      <c r="DY297" s="182"/>
      <c r="DZ297" s="182"/>
      <c r="EA297" s="182"/>
      <c r="EB297" s="2"/>
      <c r="EC297" s="2"/>
      <c r="ED297" s="2"/>
      <c r="EE297" s="2"/>
      <c r="EF297" s="149" t="s">
        <v>2759</v>
      </c>
      <c r="EG297" s="69" t="str">
        <f>image("https://www.pokebip.com/pages/icones/objets/foulard-jaune.png", 3)</f>
        <v/>
      </c>
      <c r="EH297" s="69"/>
      <c r="EI297" s="69"/>
    </row>
    <row r="298" ht="15.75" customHeight="1">
      <c r="A298" s="1">
        <v>298.0</v>
      </c>
      <c r="B298" s="2" t="s">
        <v>2760</v>
      </c>
      <c r="C298" s="7"/>
      <c r="D298" s="140" t="s">
        <v>2761</v>
      </c>
      <c r="E298" s="5"/>
      <c r="F298" s="141"/>
      <c r="G298" s="7"/>
      <c r="H298" s="8" t="s">
        <v>2762</v>
      </c>
      <c r="I298" s="9" t="s">
        <v>2763</v>
      </c>
      <c r="J298" s="355" t="str">
        <f>image("https://archives.bulbagarden.net/media/upload/b/b2/298MS6.png", 3)</f>
        <v/>
      </c>
      <c r="K298" s="11" t="s">
        <v>2761</v>
      </c>
      <c r="L298" s="12"/>
      <c r="M298" s="12"/>
      <c r="N298" s="12"/>
      <c r="O298" s="12"/>
      <c r="Q298" s="71">
        <v>50.0</v>
      </c>
      <c r="R298" s="72">
        <v>20.0</v>
      </c>
      <c r="S298" s="73">
        <v>40.0</v>
      </c>
      <c r="T298" s="74">
        <v>20.0</v>
      </c>
      <c r="U298" s="75">
        <v>40.0</v>
      </c>
      <c r="V298" s="76">
        <v>20.0</v>
      </c>
      <c r="W298" s="77">
        <v>190.0</v>
      </c>
      <c r="X298" s="21"/>
      <c r="Y298" s="71">
        <v>50.0</v>
      </c>
      <c r="Z298" s="72">
        <v>20.0</v>
      </c>
      <c r="AA298" s="73">
        <v>40.0</v>
      </c>
      <c r="AB298" s="74">
        <v>20.0</v>
      </c>
      <c r="AC298" s="75">
        <v>40.0</v>
      </c>
      <c r="AD298" s="76">
        <v>20.0</v>
      </c>
      <c r="AE298" s="77">
        <v>190.0</v>
      </c>
      <c r="AF298" s="21"/>
      <c r="AG298" s="71">
        <v>50.0</v>
      </c>
      <c r="AH298" s="72">
        <v>20.0</v>
      </c>
      <c r="AI298" s="73">
        <v>40.0</v>
      </c>
      <c r="AJ298" s="109">
        <v>40.0</v>
      </c>
      <c r="AK298" s="75">
        <v>40.0</v>
      </c>
      <c r="AL298" s="76">
        <v>20.0</v>
      </c>
      <c r="AM298" s="110">
        <v>210.0</v>
      </c>
      <c r="AN298" s="21"/>
      <c r="AO298" s="22">
        <v>50.0</v>
      </c>
      <c r="AP298" s="23">
        <v>20.0</v>
      </c>
      <c r="AQ298" s="23">
        <v>40.0</v>
      </c>
      <c r="AR298" s="23" t="s">
        <v>350</v>
      </c>
      <c r="AS298" s="23">
        <v>40.0</v>
      </c>
      <c r="AT298" s="23">
        <v>20.0</v>
      </c>
      <c r="AU298" s="24" t="s">
        <v>2764</v>
      </c>
      <c r="AV298" s="21"/>
      <c r="AW298" s="78">
        <v>50.0</v>
      </c>
      <c r="AX298" s="80">
        <v>20.0</v>
      </c>
      <c r="AY298" s="79">
        <v>40.0</v>
      </c>
      <c r="AZ298" s="111">
        <v>40.0</v>
      </c>
      <c r="BA298" s="79">
        <v>40.0</v>
      </c>
      <c r="BB298" s="79">
        <v>20.0</v>
      </c>
      <c r="BC298" s="111">
        <v>210.0</v>
      </c>
      <c r="BE298" s="151" t="s">
        <v>144</v>
      </c>
      <c r="BF298" s="386"/>
      <c r="BG298" s="128"/>
      <c r="BI298" s="31">
        <v>1.0</v>
      </c>
      <c r="BJ298" s="32" t="s">
        <v>5</v>
      </c>
      <c r="BK298" s="32" t="s">
        <v>5</v>
      </c>
      <c r="BL298" s="32" t="s">
        <v>5</v>
      </c>
      <c r="BM298" s="32" t="s">
        <v>5</v>
      </c>
      <c r="BN298" s="33" t="s">
        <v>5</v>
      </c>
      <c r="BP298" s="85" t="s">
        <v>156</v>
      </c>
      <c r="BQ298" s="129"/>
      <c r="BS298" s="287" t="s">
        <v>156</v>
      </c>
      <c r="BT298" s="288" t="s">
        <v>153</v>
      </c>
      <c r="BU298" s="37" t="str">
        <f t="shared" si="1"/>
        <v>#NAME?</v>
      </c>
      <c r="BV298" s="89" t="s">
        <v>156</v>
      </c>
      <c r="BW298" s="37" t="str">
        <f t="shared" si="2"/>
        <v>#NAME?</v>
      </c>
      <c r="BX298" s="89" t="s">
        <v>461</v>
      </c>
      <c r="BY298" s="39"/>
      <c r="BZ298" s="39"/>
      <c r="CA298" s="40" t="s">
        <v>510</v>
      </c>
      <c r="CB298" s="41"/>
      <c r="CC298" s="37" t="s">
        <v>156</v>
      </c>
      <c r="CD298" s="139" t="s">
        <v>153</v>
      </c>
      <c r="CE298" s="21"/>
      <c r="CF298" s="92" t="s">
        <v>944</v>
      </c>
      <c r="CG298" s="93" t="s">
        <v>1802</v>
      </c>
      <c r="CH298" s="21"/>
      <c r="CI298" s="278" t="s">
        <v>1802</v>
      </c>
      <c r="CJ298" s="283" t="s">
        <v>944</v>
      </c>
      <c r="CK298" s="21"/>
      <c r="CL298" s="22" t="s">
        <v>2765</v>
      </c>
      <c r="CM298" s="12"/>
      <c r="CN298" s="48"/>
      <c r="CO298" s="284" t="s">
        <v>944</v>
      </c>
      <c r="CP298" s="21"/>
      <c r="CQ298" s="2" t="s">
        <v>303</v>
      </c>
      <c r="CR298" s="97">
        <v>20.0</v>
      </c>
      <c r="CS298" s="2" t="s">
        <v>144</v>
      </c>
      <c r="CT298" s="98">
        <v>33.0</v>
      </c>
      <c r="CU298" s="2"/>
      <c r="CV298" s="52" t="s">
        <v>466</v>
      </c>
      <c r="CW298" s="347">
        <v>0.75</v>
      </c>
      <c r="CX298" s="2"/>
      <c r="CY298" s="382" t="s">
        <v>411</v>
      </c>
      <c r="CZ298" s="385"/>
      <c r="DA298" s="2"/>
      <c r="DB298" s="98">
        <v>150.0</v>
      </c>
      <c r="DC298" s="2"/>
      <c r="DD298" s="101" t="s">
        <v>468</v>
      </c>
      <c r="DE298" s="2"/>
      <c r="DF298" s="387" t="s">
        <v>2766</v>
      </c>
      <c r="DG298" s="382"/>
      <c r="DH298" s="385"/>
      <c r="DI298" s="21"/>
      <c r="DJ298" s="21"/>
      <c r="DK298" s="59" t="s">
        <v>2767</v>
      </c>
      <c r="DL298" s="37" t="s">
        <v>18</v>
      </c>
      <c r="DM298" s="37" t="str">
        <f t="shared" si="3"/>
        <v>#NAME?</v>
      </c>
      <c r="DN298" s="61"/>
      <c r="DO298" s="37">
        <v>110.0</v>
      </c>
      <c r="DP298" s="105">
        <v>0.7</v>
      </c>
      <c r="DQ298" s="62" t="s">
        <v>49</v>
      </c>
      <c r="DR298" s="63"/>
      <c r="DS298" s="198"/>
      <c r="DT298" s="108"/>
      <c r="DU298" s="108"/>
      <c r="DV298" s="182"/>
      <c r="DW298" s="182"/>
      <c r="DX298" s="182"/>
      <c r="DY298" s="182"/>
      <c r="DZ298" s="182"/>
      <c r="EA298" s="182"/>
      <c r="EB298" s="21"/>
      <c r="EC298" s="21"/>
      <c r="ED298" s="21"/>
      <c r="EE298" s="21"/>
      <c r="EF298" s="149" t="s">
        <v>2768</v>
      </c>
      <c r="EG298" s="69" t="str">
        <f>image("https://www.pokebip.com/pages/icones/objets/foulard-rouge.png", 3)</f>
        <v/>
      </c>
      <c r="EH298" s="69"/>
      <c r="EI298" s="69"/>
    </row>
    <row r="299" ht="15.75" customHeight="1">
      <c r="A299" s="1">
        <v>299.0</v>
      </c>
      <c r="B299" s="2" t="s">
        <v>2769</v>
      </c>
      <c r="C299" s="7"/>
      <c r="D299" s="247" t="s">
        <v>2770</v>
      </c>
      <c r="E299" s="5"/>
      <c r="F299" s="248"/>
      <c r="G299" s="7"/>
      <c r="H299" s="8" t="s">
        <v>2771</v>
      </c>
      <c r="I299" s="9" t="s">
        <v>2772</v>
      </c>
      <c r="J299" s="355" t="str">
        <f>image("https://archives.bulbagarden.net/media/upload/6/65/299MS6.png", 3)</f>
        <v/>
      </c>
      <c r="K299" s="11" t="s">
        <v>2770</v>
      </c>
      <c r="L299" s="12"/>
      <c r="M299" s="12"/>
      <c r="N299" s="12"/>
      <c r="O299" s="12"/>
      <c r="Q299" s="71">
        <v>30.0</v>
      </c>
      <c r="R299" s="72">
        <v>45.0</v>
      </c>
      <c r="S299" s="73">
        <v>135.0</v>
      </c>
      <c r="T299" s="74">
        <v>45.0</v>
      </c>
      <c r="U299" s="75">
        <v>90.0</v>
      </c>
      <c r="V299" s="76">
        <v>30.0</v>
      </c>
      <c r="W299" s="77">
        <v>375.0</v>
      </c>
      <c r="X299" s="21"/>
      <c r="Y299" s="71">
        <v>30.0</v>
      </c>
      <c r="Z299" s="72">
        <v>45.0</v>
      </c>
      <c r="AA299" s="73">
        <v>135.0</v>
      </c>
      <c r="AB299" s="74">
        <v>45.0</v>
      </c>
      <c r="AC299" s="75">
        <v>90.0</v>
      </c>
      <c r="AD299" s="76">
        <v>30.0</v>
      </c>
      <c r="AE299" s="77">
        <v>375.0</v>
      </c>
      <c r="AF299" s="21"/>
      <c r="AG299" s="71">
        <v>30.0</v>
      </c>
      <c r="AH299" s="162">
        <v>35.0</v>
      </c>
      <c r="AI299" s="73">
        <v>135.0</v>
      </c>
      <c r="AJ299" s="109">
        <v>55.0</v>
      </c>
      <c r="AK299" s="75">
        <v>90.0</v>
      </c>
      <c r="AL299" s="76">
        <v>30.0</v>
      </c>
      <c r="AM299" s="77">
        <v>375.0</v>
      </c>
      <c r="AN299" s="21"/>
      <c r="AO299" s="22">
        <v>30.0</v>
      </c>
      <c r="AP299" s="23" t="s">
        <v>232</v>
      </c>
      <c r="AQ299" s="23">
        <v>135.0</v>
      </c>
      <c r="AR299" s="23" t="s">
        <v>507</v>
      </c>
      <c r="AS299" s="23">
        <v>90.0</v>
      </c>
      <c r="AT299" s="23">
        <v>30.0</v>
      </c>
      <c r="AU299" s="24">
        <v>375.0</v>
      </c>
      <c r="AV299" s="21"/>
      <c r="AW299" s="78">
        <v>30.0</v>
      </c>
      <c r="AX299" s="163">
        <v>35.0</v>
      </c>
      <c r="AY299" s="80">
        <v>135.0</v>
      </c>
      <c r="AZ299" s="111">
        <v>55.0</v>
      </c>
      <c r="BA299" s="80">
        <v>90.0</v>
      </c>
      <c r="BB299" s="80">
        <v>30.0</v>
      </c>
      <c r="BC299" s="183">
        <v>375.0</v>
      </c>
      <c r="BE299" s="142" t="s">
        <v>101</v>
      </c>
      <c r="BF299" s="143"/>
      <c r="BG299" s="128"/>
      <c r="BI299" s="31" t="s">
        <v>5</v>
      </c>
      <c r="BJ299" s="32" t="s">
        <v>5</v>
      </c>
      <c r="BK299" s="32">
        <v>1.0</v>
      </c>
      <c r="BL299" s="32" t="s">
        <v>5</v>
      </c>
      <c r="BM299" s="32" t="s">
        <v>5</v>
      </c>
      <c r="BN299" s="33" t="s">
        <v>5</v>
      </c>
      <c r="BP299" s="115" t="s">
        <v>66</v>
      </c>
      <c r="BQ299" s="93"/>
      <c r="BS299" s="115" t="s">
        <v>66</v>
      </c>
      <c r="BT299" s="363"/>
      <c r="BU299" s="37" t="str">
        <f t="shared" si="1"/>
        <v>#NAME?</v>
      </c>
      <c r="BV299" s="89" t="s">
        <v>66</v>
      </c>
      <c r="BW299" s="37" t="str">
        <f t="shared" si="2"/>
        <v>#NAME?</v>
      </c>
      <c r="BX299" s="89"/>
      <c r="BY299" s="144"/>
      <c r="BZ299" s="144"/>
      <c r="CA299" s="145" t="s">
        <v>66</v>
      </c>
      <c r="CB299" s="146"/>
      <c r="CC299" s="90" t="s">
        <v>66</v>
      </c>
      <c r="CD299" s="147"/>
      <c r="CE299" s="21"/>
      <c r="CF299" s="92" t="s">
        <v>825</v>
      </c>
      <c r="CG299" s="93" t="s">
        <v>889</v>
      </c>
      <c r="CH299" s="21"/>
      <c r="CI299" s="175" t="s">
        <v>825</v>
      </c>
      <c r="CJ299" s="195" t="s">
        <v>889</v>
      </c>
      <c r="CK299" s="21"/>
      <c r="CL299" s="22" t="s">
        <v>825</v>
      </c>
      <c r="CM299" s="12"/>
      <c r="CN299" s="48"/>
      <c r="CO299" s="196" t="s">
        <v>889</v>
      </c>
      <c r="CP299" s="21"/>
      <c r="CQ299" s="2" t="s">
        <v>2773</v>
      </c>
      <c r="CR299" s="97">
        <v>80.0</v>
      </c>
      <c r="CS299" s="2" t="s">
        <v>101</v>
      </c>
      <c r="CT299" s="98">
        <v>108.0</v>
      </c>
      <c r="CU299" s="2"/>
      <c r="CV299" s="52" t="s">
        <v>149</v>
      </c>
      <c r="CW299" s="52" t="s">
        <v>149</v>
      </c>
      <c r="CX299" s="2"/>
      <c r="CY299" s="119" t="s">
        <v>826</v>
      </c>
      <c r="CZ299" s="160"/>
      <c r="DA299" s="2"/>
      <c r="DB299" s="98">
        <v>255.0</v>
      </c>
      <c r="DC299" s="2"/>
      <c r="DD299" s="101" t="s">
        <v>150</v>
      </c>
      <c r="DE299" s="2"/>
      <c r="DF299" s="148" t="s">
        <v>2774</v>
      </c>
      <c r="DG299" s="118" t="s">
        <v>2775</v>
      </c>
      <c r="DH299" s="160"/>
      <c r="DI299" s="21"/>
      <c r="DJ299" s="21"/>
      <c r="DK299" s="59" t="s">
        <v>2776</v>
      </c>
      <c r="DL299" s="37" t="s">
        <v>156</v>
      </c>
      <c r="DM299" s="37" t="str">
        <f t="shared" si="3"/>
        <v>#NAME?</v>
      </c>
      <c r="DN299" s="61"/>
      <c r="DO299" s="37" t="s">
        <v>128</v>
      </c>
      <c r="DP299" s="105">
        <v>1.0</v>
      </c>
      <c r="DQ299" s="62" t="s">
        <v>49</v>
      </c>
      <c r="DR299" s="155"/>
      <c r="DS299" s="251"/>
      <c r="DT299" s="108"/>
      <c r="DU299" s="108"/>
      <c r="DV299" s="252"/>
      <c r="DW299" s="252"/>
      <c r="DX299" s="252"/>
      <c r="DY299" s="252"/>
      <c r="DZ299" s="252"/>
      <c r="EA299" s="252"/>
      <c r="EB299" s="2"/>
      <c r="EC299" s="2"/>
      <c r="ED299" s="2"/>
      <c r="EE299" s="2"/>
      <c r="EF299" s="149" t="s">
        <v>2777</v>
      </c>
      <c r="EG299" s="69" t="str">
        <f>image("https://www.pokebip.com/pages/icones/objets/foulard-rose.png", 3)</f>
        <v/>
      </c>
      <c r="EH299" s="69"/>
      <c r="EI299" s="69"/>
    </row>
    <row r="300" ht="15.75" customHeight="1">
      <c r="A300" s="1">
        <v>300.0</v>
      </c>
      <c r="B300" s="2" t="s">
        <v>2778</v>
      </c>
      <c r="C300" s="7"/>
      <c r="D300" s="213" t="s">
        <v>2779</v>
      </c>
      <c r="E300" s="5"/>
      <c r="F300" s="214"/>
      <c r="G300" s="7"/>
      <c r="H300" s="8" t="s">
        <v>2780</v>
      </c>
      <c r="I300" s="9" t="s">
        <v>2781</v>
      </c>
      <c r="J300" s="355" t="str">
        <f>image("https://archives.bulbagarden.net/media/upload/a/ad/300MS6.png", 3)</f>
        <v/>
      </c>
      <c r="K300" s="11" t="s">
        <v>2779</v>
      </c>
      <c r="L300" s="12"/>
      <c r="M300" s="12"/>
      <c r="N300" s="12"/>
      <c r="O300" s="12"/>
      <c r="Q300" s="71">
        <v>50.0</v>
      </c>
      <c r="R300" s="72">
        <v>45.0</v>
      </c>
      <c r="S300" s="73">
        <v>45.0</v>
      </c>
      <c r="T300" s="74">
        <v>35.0</v>
      </c>
      <c r="U300" s="75">
        <v>35.0</v>
      </c>
      <c r="V300" s="76">
        <v>50.0</v>
      </c>
      <c r="W300" s="77">
        <v>260.0</v>
      </c>
      <c r="X300" s="21"/>
      <c r="Y300" s="71">
        <v>50.0</v>
      </c>
      <c r="Z300" s="72">
        <v>45.0</v>
      </c>
      <c r="AA300" s="73">
        <v>45.0</v>
      </c>
      <c r="AB300" s="74">
        <v>35.0</v>
      </c>
      <c r="AC300" s="75">
        <v>35.0</v>
      </c>
      <c r="AD300" s="76">
        <v>50.0</v>
      </c>
      <c r="AE300" s="77">
        <v>260.0</v>
      </c>
      <c r="AF300" s="21"/>
      <c r="AG300" s="71">
        <v>50.0</v>
      </c>
      <c r="AH300" s="109">
        <v>50.0</v>
      </c>
      <c r="AI300" s="109">
        <v>50.0</v>
      </c>
      <c r="AJ300" s="109">
        <v>40.0</v>
      </c>
      <c r="AK300" s="109">
        <v>40.0</v>
      </c>
      <c r="AL300" s="109">
        <v>60.0</v>
      </c>
      <c r="AM300" s="110">
        <v>290.0</v>
      </c>
      <c r="AN300" s="21"/>
      <c r="AO300" s="22">
        <v>50.0</v>
      </c>
      <c r="AP300" s="23" t="s">
        <v>233</v>
      </c>
      <c r="AQ300" s="23" t="s">
        <v>233</v>
      </c>
      <c r="AR300" s="23" t="s">
        <v>350</v>
      </c>
      <c r="AS300" s="23" t="s">
        <v>350</v>
      </c>
      <c r="AT300" s="23" t="s">
        <v>77</v>
      </c>
      <c r="AU300" s="24" t="s">
        <v>2782</v>
      </c>
      <c r="AV300" s="21"/>
      <c r="AW300" s="78">
        <v>50.0</v>
      </c>
      <c r="AX300" s="341">
        <v>50.0</v>
      </c>
      <c r="AY300" s="111">
        <v>50.0</v>
      </c>
      <c r="AZ300" s="111">
        <v>40.0</v>
      </c>
      <c r="BA300" s="111">
        <v>40.0</v>
      </c>
      <c r="BB300" s="171">
        <v>60.0</v>
      </c>
      <c r="BC300" s="171">
        <v>290.0</v>
      </c>
      <c r="BE300" s="126" t="s">
        <v>56</v>
      </c>
      <c r="BF300" s="386"/>
      <c r="BG300" s="128"/>
      <c r="BI300" s="31" t="s">
        <v>5</v>
      </c>
      <c r="BJ300" s="32" t="s">
        <v>5</v>
      </c>
      <c r="BK300" s="32" t="s">
        <v>5</v>
      </c>
      <c r="BL300" s="32" t="s">
        <v>5</v>
      </c>
      <c r="BM300" s="32" t="s">
        <v>5</v>
      </c>
      <c r="BN300" s="33">
        <v>1.0</v>
      </c>
      <c r="BP300" s="85" t="s">
        <v>156</v>
      </c>
      <c r="BQ300" s="129"/>
      <c r="BS300" s="87" t="s">
        <v>156</v>
      </c>
      <c r="BT300" s="130"/>
      <c r="BU300" s="37" t="str">
        <f t="shared" si="1"/>
        <v>#NAME?</v>
      </c>
      <c r="BV300" s="89" t="s">
        <v>156</v>
      </c>
      <c r="BW300" s="37" t="str">
        <f t="shared" si="2"/>
        <v>#NAME?</v>
      </c>
      <c r="BX300" s="89"/>
      <c r="BY300" s="39"/>
      <c r="BZ300" s="39"/>
      <c r="CA300" s="40" t="s">
        <v>156</v>
      </c>
      <c r="CB300" s="41"/>
      <c r="CC300" s="90" t="s">
        <v>156</v>
      </c>
      <c r="CD300" s="91"/>
      <c r="CE300" s="21"/>
      <c r="CF300" s="92" t="s">
        <v>463</v>
      </c>
      <c r="CG300" s="93" t="s">
        <v>2783</v>
      </c>
      <c r="CH300" s="21"/>
      <c r="CI300" s="92" t="s">
        <v>463</v>
      </c>
      <c r="CJ300" s="93" t="s">
        <v>2783</v>
      </c>
      <c r="CK300" s="21"/>
      <c r="CL300" s="22" t="s">
        <v>463</v>
      </c>
      <c r="CM300" s="12"/>
      <c r="CN300" s="48"/>
      <c r="CO300" s="96" t="s">
        <v>2783</v>
      </c>
      <c r="CP300" s="21"/>
      <c r="CQ300" s="2" t="s">
        <v>2784</v>
      </c>
      <c r="CR300" s="97">
        <v>40.0</v>
      </c>
      <c r="CS300" s="2" t="s">
        <v>56</v>
      </c>
      <c r="CT300" s="98">
        <v>65.0</v>
      </c>
      <c r="CU300" s="2"/>
      <c r="CV300" s="52" t="s">
        <v>466</v>
      </c>
      <c r="CW300" s="347">
        <v>0.75</v>
      </c>
      <c r="CX300" s="2"/>
      <c r="CY300" s="381" t="s">
        <v>277</v>
      </c>
      <c r="CZ300" s="382" t="s">
        <v>153</v>
      </c>
      <c r="DA300" s="2"/>
      <c r="DB300" s="98">
        <v>255.0</v>
      </c>
      <c r="DC300" s="2"/>
      <c r="DD300" s="101" t="s">
        <v>468</v>
      </c>
      <c r="DE300" s="2"/>
      <c r="DF300" s="387" t="s">
        <v>2785</v>
      </c>
      <c r="DG300" s="382"/>
      <c r="DH300" s="382"/>
      <c r="DI300" s="21"/>
      <c r="DJ300" s="21"/>
      <c r="DK300" s="59" t="s">
        <v>2786</v>
      </c>
      <c r="DL300" s="37" t="s">
        <v>64</v>
      </c>
      <c r="DM300" s="37" t="str">
        <f t="shared" si="3"/>
        <v>#NAME?</v>
      </c>
      <c r="DN300" s="61"/>
      <c r="DO300" s="37">
        <v>40.0</v>
      </c>
      <c r="DP300" s="105">
        <v>1.0</v>
      </c>
      <c r="DQ300" s="62" t="s">
        <v>342</v>
      </c>
      <c r="DR300" s="63"/>
      <c r="DS300" s="198"/>
      <c r="DT300" s="108"/>
      <c r="DU300" s="108"/>
      <c r="DV300" s="182"/>
      <c r="DW300" s="182"/>
      <c r="DX300" s="182"/>
      <c r="DY300" s="182"/>
      <c r="DZ300" s="182"/>
      <c r="EA300" s="182"/>
      <c r="EB300" s="21"/>
      <c r="EC300" s="21"/>
      <c r="ED300" s="21"/>
      <c r="EE300" s="21"/>
      <c r="EF300" s="149" t="s">
        <v>2787</v>
      </c>
      <c r="EG300" s="69" t="str">
        <f>image("https://www.pokebip.com/pages/icones/objets/foulard-vert.png", 3)</f>
        <v/>
      </c>
      <c r="EH300" s="69"/>
      <c r="EI300" s="69"/>
    </row>
    <row r="301" ht="15.75" customHeight="1">
      <c r="A301" s="1">
        <v>301.0</v>
      </c>
      <c r="B301" s="2" t="s">
        <v>2788</v>
      </c>
      <c r="C301" s="7"/>
      <c r="D301" s="180" t="s">
        <v>2789</v>
      </c>
      <c r="E301" s="5"/>
      <c r="F301" s="181"/>
      <c r="G301" s="7"/>
      <c r="H301" s="8" t="s">
        <v>2790</v>
      </c>
      <c r="I301" s="9" t="s">
        <v>2791</v>
      </c>
      <c r="J301" s="355" t="str">
        <f>image("https://archives.bulbagarden.net/media/upload/e/ea/301MS6.png", 3)</f>
        <v/>
      </c>
      <c r="K301" s="11" t="s">
        <v>2789</v>
      </c>
      <c r="L301" s="12"/>
      <c r="M301" s="12"/>
      <c r="N301" s="12"/>
      <c r="O301" s="12"/>
      <c r="Q301" s="71">
        <v>70.0</v>
      </c>
      <c r="R301" s="72">
        <v>65.0</v>
      </c>
      <c r="S301" s="73">
        <v>65.0</v>
      </c>
      <c r="T301" s="74">
        <v>55.0</v>
      </c>
      <c r="U301" s="75">
        <v>55.0</v>
      </c>
      <c r="V301" s="76">
        <v>70.0</v>
      </c>
      <c r="W301" s="77">
        <v>380.0</v>
      </c>
      <c r="X301" s="21"/>
      <c r="Y301" s="71">
        <v>70.0</v>
      </c>
      <c r="Z301" s="72">
        <v>65.0</v>
      </c>
      <c r="AA301" s="73">
        <v>65.0</v>
      </c>
      <c r="AB301" s="74">
        <v>55.0</v>
      </c>
      <c r="AC301" s="75">
        <v>55.0</v>
      </c>
      <c r="AD301" s="109">
        <v>90.0</v>
      </c>
      <c r="AE301" s="110">
        <v>400.0</v>
      </c>
      <c r="AF301" s="21"/>
      <c r="AG301" s="71">
        <v>70.0</v>
      </c>
      <c r="AH301" s="109">
        <v>95.0</v>
      </c>
      <c r="AI301" s="73">
        <v>65.0</v>
      </c>
      <c r="AJ301" s="109">
        <v>85.0</v>
      </c>
      <c r="AK301" s="75">
        <v>55.0</v>
      </c>
      <c r="AL301" s="109">
        <v>95.0</v>
      </c>
      <c r="AM301" s="110">
        <v>465.0</v>
      </c>
      <c r="AN301" s="21"/>
      <c r="AO301" s="22">
        <v>70.0</v>
      </c>
      <c r="AP301" s="23" t="s">
        <v>215</v>
      </c>
      <c r="AQ301" s="23">
        <v>65.0</v>
      </c>
      <c r="AR301" s="23" t="s">
        <v>1621</v>
      </c>
      <c r="AS301" s="23">
        <v>55.0</v>
      </c>
      <c r="AT301" s="23" t="s">
        <v>215</v>
      </c>
      <c r="AU301" s="24" t="s">
        <v>638</v>
      </c>
      <c r="AV301" s="21"/>
      <c r="AW301" s="78">
        <v>70.0</v>
      </c>
      <c r="AX301" s="111">
        <v>95.0</v>
      </c>
      <c r="AY301" s="182">
        <v>65.0</v>
      </c>
      <c r="AZ301" s="111">
        <v>85.0</v>
      </c>
      <c r="BA301" s="182">
        <v>55.0</v>
      </c>
      <c r="BB301" s="111">
        <v>95.0</v>
      </c>
      <c r="BC301" s="171">
        <v>465.0</v>
      </c>
      <c r="BE301" s="151" t="s">
        <v>144</v>
      </c>
      <c r="BF301" s="132" t="s">
        <v>56</v>
      </c>
      <c r="BG301" s="210"/>
      <c r="BI301" s="31">
        <v>1.0</v>
      </c>
      <c r="BJ301" s="32" t="s">
        <v>5</v>
      </c>
      <c r="BK301" s="32" t="s">
        <v>5</v>
      </c>
      <c r="BL301" s="32" t="s">
        <v>5</v>
      </c>
      <c r="BM301" s="32" t="s">
        <v>5</v>
      </c>
      <c r="BN301" s="33">
        <v>1.0</v>
      </c>
      <c r="BP301" s="115" t="s">
        <v>156</v>
      </c>
      <c r="BQ301" s="93"/>
      <c r="BS301" s="115" t="s">
        <v>156</v>
      </c>
      <c r="BT301" s="133"/>
      <c r="BU301" s="37" t="str">
        <f t="shared" si="1"/>
        <v>#NAME?</v>
      </c>
      <c r="BV301" s="89" t="s">
        <v>156</v>
      </c>
      <c r="BW301" s="37" t="str">
        <f t="shared" si="2"/>
        <v>#NAME?</v>
      </c>
      <c r="BX301" s="89"/>
      <c r="BY301" s="39"/>
      <c r="BZ301" s="39"/>
      <c r="CA301" s="40" t="s">
        <v>156</v>
      </c>
      <c r="CB301" s="41"/>
      <c r="CC301" s="90" t="s">
        <v>156</v>
      </c>
      <c r="CD301" s="91"/>
      <c r="CE301" s="21"/>
      <c r="CF301" s="92" t="s">
        <v>463</v>
      </c>
      <c r="CG301" s="93" t="s">
        <v>2783</v>
      </c>
      <c r="CH301" s="21"/>
      <c r="CI301" s="92" t="s">
        <v>463</v>
      </c>
      <c r="CJ301" s="93" t="s">
        <v>2783</v>
      </c>
      <c r="CK301" s="21"/>
      <c r="CL301" s="22" t="s">
        <v>463</v>
      </c>
      <c r="CM301" s="12"/>
      <c r="CN301" s="48"/>
      <c r="CO301" s="96" t="s">
        <v>2783</v>
      </c>
      <c r="CP301" s="21"/>
      <c r="CQ301" s="2" t="s">
        <v>2792</v>
      </c>
      <c r="CR301" s="97">
        <v>60.0</v>
      </c>
      <c r="CS301" s="2" t="s">
        <v>2793</v>
      </c>
      <c r="CT301" s="98">
        <v>138.0</v>
      </c>
      <c r="CU301" s="2"/>
      <c r="CV301" s="52" t="s">
        <v>466</v>
      </c>
      <c r="CW301" s="347">
        <v>0.75</v>
      </c>
      <c r="CX301" s="2"/>
      <c r="CY301" s="118" t="s">
        <v>277</v>
      </c>
      <c r="CZ301" s="119" t="s">
        <v>153</v>
      </c>
      <c r="DA301" s="2"/>
      <c r="DB301" s="98">
        <v>60.0</v>
      </c>
      <c r="DC301" s="2"/>
      <c r="DD301" s="101" t="s">
        <v>468</v>
      </c>
      <c r="DE301" s="2"/>
      <c r="DF301" s="120" t="s">
        <v>2794</v>
      </c>
      <c r="DG301" s="119"/>
      <c r="DH301" s="119"/>
      <c r="DI301" s="2"/>
      <c r="DJ301" s="2"/>
      <c r="DK301" s="59" t="s">
        <v>2795</v>
      </c>
      <c r="DL301" s="37" t="s">
        <v>32</v>
      </c>
      <c r="DM301" s="37" t="str">
        <f t="shared" si="3"/>
        <v>#NAME?</v>
      </c>
      <c r="DN301" s="61"/>
      <c r="DO301" s="37">
        <v>40.0</v>
      </c>
      <c r="DP301" s="105">
        <v>1.0</v>
      </c>
      <c r="DQ301" s="62" t="s">
        <v>206</v>
      </c>
      <c r="DR301" s="63"/>
      <c r="DS301" s="198"/>
      <c r="DT301" s="108"/>
      <c r="DU301" s="108"/>
      <c r="DV301" s="182"/>
      <c r="DW301" s="182"/>
      <c r="DX301" s="182"/>
      <c r="DY301" s="182"/>
      <c r="DZ301" s="182"/>
      <c r="EA301" s="182"/>
      <c r="EB301" s="2"/>
      <c r="EC301" s="2"/>
      <c r="ED301" s="2"/>
      <c r="EE301" s="2"/>
      <c r="EF301" s="149" t="s">
        <v>2796</v>
      </c>
      <c r="EG301" s="69" t="str">
        <f>image("https://www.pokebip.com/pages/icones/objets/tesson-bleu.png", 3)</f>
        <v/>
      </c>
      <c r="EH301" s="69"/>
      <c r="EI301" s="69"/>
    </row>
    <row r="302" ht="15.75" customHeight="1">
      <c r="A302" s="1">
        <v>302.0</v>
      </c>
      <c r="B302" s="2" t="s">
        <v>2797</v>
      </c>
      <c r="C302" s="7"/>
      <c r="D302" s="180" t="s">
        <v>2798</v>
      </c>
      <c r="E302" s="5"/>
      <c r="F302" s="181"/>
      <c r="G302" s="7"/>
      <c r="H302" s="8" t="s">
        <v>2799</v>
      </c>
      <c r="I302" s="9" t="s">
        <v>2800</v>
      </c>
      <c r="J302" s="355" t="str">
        <f>image("https://archives.bulbagarden.net/media/upload/3/34/302MS6.png", 3)</f>
        <v/>
      </c>
      <c r="K302" s="11" t="s">
        <v>2798</v>
      </c>
      <c r="L302" s="12"/>
      <c r="M302" s="12"/>
      <c r="N302" s="12"/>
      <c r="O302" s="12"/>
      <c r="Q302" s="71">
        <v>50.0</v>
      </c>
      <c r="R302" s="72">
        <v>75.0</v>
      </c>
      <c r="S302" s="73">
        <v>75.0</v>
      </c>
      <c r="T302" s="74">
        <v>65.0</v>
      </c>
      <c r="U302" s="75">
        <v>65.0</v>
      </c>
      <c r="V302" s="76">
        <v>50.0</v>
      </c>
      <c r="W302" s="77">
        <v>380.0</v>
      </c>
      <c r="X302" s="21"/>
      <c r="Y302" s="71">
        <v>50.0</v>
      </c>
      <c r="Z302" s="72">
        <v>75.0</v>
      </c>
      <c r="AA302" s="73">
        <v>75.0</v>
      </c>
      <c r="AB302" s="74">
        <v>65.0</v>
      </c>
      <c r="AC302" s="75">
        <v>65.0</v>
      </c>
      <c r="AD302" s="76">
        <v>50.0</v>
      </c>
      <c r="AE302" s="77">
        <v>380.0</v>
      </c>
      <c r="AF302" s="21"/>
      <c r="AG302" s="71">
        <v>50.0</v>
      </c>
      <c r="AH302" s="109">
        <v>85.0</v>
      </c>
      <c r="AI302" s="109">
        <v>95.0</v>
      </c>
      <c r="AJ302" s="109">
        <v>85.0</v>
      </c>
      <c r="AK302" s="109">
        <v>85.0</v>
      </c>
      <c r="AL302" s="76">
        <v>50.0</v>
      </c>
      <c r="AM302" s="110">
        <v>450.0</v>
      </c>
      <c r="AN302" s="21"/>
      <c r="AO302" s="22">
        <v>50.0</v>
      </c>
      <c r="AP302" s="23" t="s">
        <v>1621</v>
      </c>
      <c r="AQ302" s="23" t="s">
        <v>215</v>
      </c>
      <c r="AR302" s="23" t="s">
        <v>1621</v>
      </c>
      <c r="AS302" s="23" t="s">
        <v>1621</v>
      </c>
      <c r="AT302" s="23">
        <v>50.0</v>
      </c>
      <c r="AU302" s="24" t="s">
        <v>176</v>
      </c>
      <c r="AV302" s="21"/>
      <c r="AW302" s="78">
        <v>50.0</v>
      </c>
      <c r="AX302" s="111">
        <v>85.0</v>
      </c>
      <c r="AY302" s="111">
        <v>95.0</v>
      </c>
      <c r="AZ302" s="111">
        <v>85.0</v>
      </c>
      <c r="BA302" s="111">
        <v>85.0</v>
      </c>
      <c r="BB302" s="124">
        <v>50.0</v>
      </c>
      <c r="BC302" s="111">
        <v>450.0</v>
      </c>
      <c r="BE302" s="194" t="s">
        <v>325</v>
      </c>
      <c r="BF302" s="340" t="s">
        <v>101</v>
      </c>
      <c r="BG302" s="384"/>
      <c r="BI302" s="31" t="s">
        <v>5</v>
      </c>
      <c r="BJ302" s="32">
        <v>1.0</v>
      </c>
      <c r="BK302" s="32">
        <v>1.0</v>
      </c>
      <c r="BL302" s="32" t="s">
        <v>5</v>
      </c>
      <c r="BM302" s="32" t="s">
        <v>5</v>
      </c>
      <c r="BN302" s="33" t="s">
        <v>5</v>
      </c>
      <c r="BP302" s="85" t="s">
        <v>76</v>
      </c>
      <c r="BQ302" s="86" t="s">
        <v>92</v>
      </c>
      <c r="BS302" s="87" t="s">
        <v>76</v>
      </c>
      <c r="BT302" s="391" t="s">
        <v>92</v>
      </c>
      <c r="BU302" s="37" t="str">
        <f t="shared" si="1"/>
        <v>#NAME?</v>
      </c>
      <c r="BV302" s="89" t="s">
        <v>76</v>
      </c>
      <c r="BW302" s="37" t="str">
        <f t="shared" si="2"/>
        <v>#NAME?</v>
      </c>
      <c r="BX302" s="89" t="s">
        <v>92</v>
      </c>
      <c r="BY302" s="134"/>
      <c r="BZ302" s="134"/>
      <c r="CA302" s="135" t="s">
        <v>2801</v>
      </c>
      <c r="CB302" s="136"/>
      <c r="CC302" s="90" t="s">
        <v>76</v>
      </c>
      <c r="CD302" s="137" t="s">
        <v>92</v>
      </c>
      <c r="CE302" s="2"/>
      <c r="CF302" s="92" t="s">
        <v>235</v>
      </c>
      <c r="CG302" s="93" t="s">
        <v>2802</v>
      </c>
      <c r="CH302" s="2"/>
      <c r="CI302" s="177" t="s">
        <v>235</v>
      </c>
      <c r="CJ302" s="188" t="s">
        <v>2802</v>
      </c>
      <c r="CK302" s="2"/>
      <c r="CL302" s="22" t="s">
        <v>511</v>
      </c>
      <c r="CM302" s="12"/>
      <c r="CN302" s="48"/>
      <c r="CO302" s="96" t="s">
        <v>2802</v>
      </c>
      <c r="CP302" s="2"/>
      <c r="CQ302" s="2" t="s">
        <v>2784</v>
      </c>
      <c r="CR302" s="97">
        <v>40.0</v>
      </c>
      <c r="CS302" s="2" t="s">
        <v>1595</v>
      </c>
      <c r="CT302" s="98">
        <v>98.0</v>
      </c>
      <c r="CU302" s="2"/>
      <c r="CV302" s="52" t="s">
        <v>149</v>
      </c>
      <c r="CW302" s="52" t="s">
        <v>149</v>
      </c>
      <c r="CX302" s="2"/>
      <c r="CY302" s="382" t="s">
        <v>728</v>
      </c>
      <c r="CZ302" s="385"/>
      <c r="DA302" s="2"/>
      <c r="DB302" s="98">
        <v>45.0</v>
      </c>
      <c r="DC302" s="2"/>
      <c r="DD302" s="101" t="s">
        <v>15</v>
      </c>
      <c r="DE302" s="2"/>
      <c r="DF302" s="383" t="s">
        <v>914</v>
      </c>
      <c r="DG302" s="381" t="s">
        <v>1885</v>
      </c>
      <c r="DH302" s="385"/>
      <c r="DI302" s="2"/>
      <c r="DJ302" s="2"/>
      <c r="DK302" s="59" t="s">
        <v>2803</v>
      </c>
      <c r="DL302" s="37" t="s">
        <v>32</v>
      </c>
      <c r="DM302" s="37" t="str">
        <f t="shared" si="3"/>
        <v>#NAME?</v>
      </c>
      <c r="DN302" s="61"/>
      <c r="DO302" s="37">
        <v>60.0</v>
      </c>
      <c r="DP302" s="105">
        <v>1.0</v>
      </c>
      <c r="DQ302" s="62" t="s">
        <v>20</v>
      </c>
      <c r="DR302" s="63"/>
      <c r="DS302" s="198"/>
      <c r="DT302" s="108"/>
      <c r="DU302" s="108"/>
      <c r="DV302" s="182"/>
      <c r="DW302" s="182"/>
      <c r="DX302" s="182"/>
      <c r="DY302" s="182"/>
      <c r="DZ302" s="182"/>
      <c r="EA302" s="182"/>
      <c r="EB302" s="21"/>
      <c r="EC302" s="21"/>
      <c r="ED302" s="21"/>
      <c r="EE302" s="21"/>
      <c r="EF302" s="149" t="s">
        <v>2804</v>
      </c>
      <c r="EG302" s="69" t="str">
        <f>image("https://www.pokebip.com/pages/icones/objets/tesson-jaune.png", 3)</f>
        <v/>
      </c>
      <c r="EH302" s="69"/>
      <c r="EI302" s="69"/>
    </row>
    <row r="303" ht="15.75" customHeight="1">
      <c r="A303" s="1">
        <v>303.0</v>
      </c>
      <c r="B303" s="2" t="s">
        <v>2805</v>
      </c>
      <c r="C303" s="7"/>
      <c r="D303" s="295" t="s">
        <v>2806</v>
      </c>
      <c r="E303" s="5"/>
      <c r="F303" s="296"/>
      <c r="G303" s="7"/>
      <c r="H303" s="8" t="s">
        <v>2807</v>
      </c>
      <c r="I303" s="9" t="s">
        <v>2808</v>
      </c>
      <c r="J303" s="355" t="str">
        <f>image("https://archives.bulbagarden.net/media/upload/0/09/303MS6.png", 3)</f>
        <v/>
      </c>
      <c r="K303" s="11" t="s">
        <v>2806</v>
      </c>
      <c r="L303" s="12"/>
      <c r="M303" s="12"/>
      <c r="N303" s="12"/>
      <c r="O303" s="12"/>
      <c r="Q303" s="71">
        <v>50.0</v>
      </c>
      <c r="R303" s="72">
        <v>85.0</v>
      </c>
      <c r="S303" s="73">
        <v>85.0</v>
      </c>
      <c r="T303" s="74">
        <v>55.0</v>
      </c>
      <c r="U303" s="75">
        <v>55.0</v>
      </c>
      <c r="V303" s="76">
        <v>50.0</v>
      </c>
      <c r="W303" s="77">
        <v>380.0</v>
      </c>
      <c r="X303" s="21"/>
      <c r="Y303" s="71">
        <v>50.0</v>
      </c>
      <c r="Z303" s="72">
        <v>85.0</v>
      </c>
      <c r="AA303" s="73">
        <v>85.0</v>
      </c>
      <c r="AB303" s="74">
        <v>55.0</v>
      </c>
      <c r="AC303" s="75">
        <v>55.0</v>
      </c>
      <c r="AD303" s="76">
        <v>50.0</v>
      </c>
      <c r="AE303" s="77">
        <v>380.0</v>
      </c>
      <c r="AF303" s="21"/>
      <c r="AG303" s="71">
        <v>50.0</v>
      </c>
      <c r="AH303" s="109">
        <v>95.0</v>
      </c>
      <c r="AI303" s="109">
        <v>115.0</v>
      </c>
      <c r="AJ303" s="74">
        <v>55.0</v>
      </c>
      <c r="AK303" s="109">
        <v>85.0</v>
      </c>
      <c r="AL303" s="76">
        <v>50.0</v>
      </c>
      <c r="AM303" s="110">
        <v>450.0</v>
      </c>
      <c r="AN303" s="21"/>
      <c r="AO303" s="22">
        <v>50.0</v>
      </c>
      <c r="AP303" s="23" t="s">
        <v>215</v>
      </c>
      <c r="AQ303" s="23" t="s">
        <v>213</v>
      </c>
      <c r="AR303" s="23">
        <v>55.0</v>
      </c>
      <c r="AS303" s="23" t="s">
        <v>1621</v>
      </c>
      <c r="AT303" s="23">
        <v>50.0</v>
      </c>
      <c r="AU303" s="24" t="s">
        <v>176</v>
      </c>
      <c r="AV303" s="21"/>
      <c r="AW303" s="78">
        <v>50.0</v>
      </c>
      <c r="AX303" s="111">
        <v>95.0</v>
      </c>
      <c r="AY303" s="111">
        <v>115.0</v>
      </c>
      <c r="AZ303" s="124">
        <v>55.0</v>
      </c>
      <c r="BA303" s="111">
        <v>85.0</v>
      </c>
      <c r="BB303" s="79">
        <v>50.0</v>
      </c>
      <c r="BC303" s="111">
        <v>450.0</v>
      </c>
      <c r="BE303" s="194" t="s">
        <v>325</v>
      </c>
      <c r="BF303" s="340" t="s">
        <v>101</v>
      </c>
      <c r="BG303" s="210"/>
      <c r="BI303" s="31" t="s">
        <v>5</v>
      </c>
      <c r="BJ303" s="32">
        <v>1.0</v>
      </c>
      <c r="BK303" s="32">
        <v>1.0</v>
      </c>
      <c r="BL303" s="32" t="s">
        <v>5</v>
      </c>
      <c r="BM303" s="32" t="s">
        <v>5</v>
      </c>
      <c r="BN303" s="33" t="s">
        <v>5</v>
      </c>
      <c r="BP303" s="115" t="s">
        <v>95</v>
      </c>
      <c r="BQ303" s="93"/>
      <c r="BS303" s="357" t="s">
        <v>95</v>
      </c>
      <c r="BT303" s="288" t="s">
        <v>153</v>
      </c>
      <c r="BU303" s="37" t="str">
        <f t="shared" si="1"/>
        <v>#NAME?</v>
      </c>
      <c r="BV303" s="89" t="s">
        <v>95</v>
      </c>
      <c r="BW303" s="37" t="str">
        <f t="shared" si="2"/>
        <v>#NAME?</v>
      </c>
      <c r="BX303" s="89" t="s">
        <v>461</v>
      </c>
      <c r="BY303" s="39"/>
      <c r="BZ303" s="39"/>
      <c r="CA303" s="40" t="s">
        <v>2809</v>
      </c>
      <c r="CB303" s="41"/>
      <c r="CC303" s="37" t="s">
        <v>95</v>
      </c>
      <c r="CD303" s="139" t="s">
        <v>153</v>
      </c>
      <c r="CE303" s="21"/>
      <c r="CF303" s="92" t="s">
        <v>1050</v>
      </c>
      <c r="CG303" s="93" t="s">
        <v>326</v>
      </c>
      <c r="CH303" s="21"/>
      <c r="CI303" s="272" t="s">
        <v>2810</v>
      </c>
      <c r="CJ303" s="273" t="s">
        <v>1050</v>
      </c>
      <c r="CK303" s="21"/>
      <c r="CL303" s="22" t="s">
        <v>2811</v>
      </c>
      <c r="CM303" s="12"/>
      <c r="CN303" s="48"/>
      <c r="CO303" s="189" t="s">
        <v>326</v>
      </c>
      <c r="CP303" s="21"/>
      <c r="CQ303" s="2" t="s">
        <v>1431</v>
      </c>
      <c r="CR303" s="97">
        <v>40.0</v>
      </c>
      <c r="CS303" s="2" t="s">
        <v>1595</v>
      </c>
      <c r="CT303" s="98">
        <v>98.0</v>
      </c>
      <c r="CU303" s="2"/>
      <c r="CV303" s="52" t="s">
        <v>149</v>
      </c>
      <c r="CW303" s="52" t="s">
        <v>149</v>
      </c>
      <c r="CX303" s="2"/>
      <c r="CY303" s="118" t="s">
        <v>277</v>
      </c>
      <c r="CZ303" s="119" t="s">
        <v>153</v>
      </c>
      <c r="DA303" s="2"/>
      <c r="DB303" s="98">
        <v>45.0</v>
      </c>
      <c r="DC303" s="2"/>
      <c r="DD303" s="101" t="s">
        <v>468</v>
      </c>
      <c r="DE303" s="2"/>
      <c r="DF303" s="120" t="s">
        <v>914</v>
      </c>
      <c r="DG303" s="118" t="s">
        <v>2812</v>
      </c>
      <c r="DH303" s="119"/>
      <c r="DI303" s="2"/>
      <c r="DJ303" s="2"/>
      <c r="DK303" s="59" t="s">
        <v>2813</v>
      </c>
      <c r="DL303" s="37" t="s">
        <v>32</v>
      </c>
      <c r="DM303" s="37" t="str">
        <f t="shared" si="3"/>
        <v>#NAME?</v>
      </c>
      <c r="DN303" s="61"/>
      <c r="DO303" s="37">
        <v>150.0</v>
      </c>
      <c r="DP303" s="105">
        <v>1.0</v>
      </c>
      <c r="DQ303" s="62" t="s">
        <v>293</v>
      </c>
      <c r="DR303" s="63"/>
      <c r="DS303" s="198"/>
      <c r="DT303" s="108"/>
      <c r="DU303" s="108"/>
      <c r="DV303" s="182"/>
      <c r="DW303" s="182"/>
      <c r="DX303" s="182"/>
      <c r="DY303" s="182"/>
      <c r="DZ303" s="182"/>
      <c r="EA303" s="182"/>
      <c r="EB303" s="2"/>
      <c r="EC303" s="2"/>
      <c r="ED303" s="2"/>
      <c r="EE303" s="2"/>
      <c r="EF303" s="149" t="s">
        <v>2814</v>
      </c>
      <c r="EG303" s="69" t="str">
        <f>image("https://www.pokebip.com/pages/icones/objets/tesson-rouge.png", 3)</f>
        <v/>
      </c>
      <c r="EH303" s="69"/>
      <c r="EI303" s="69"/>
    </row>
    <row r="304" ht="15.75" customHeight="1">
      <c r="A304" s="1">
        <v>304.0</v>
      </c>
      <c r="B304" s="2" t="s">
        <v>2815</v>
      </c>
      <c r="C304" s="7"/>
      <c r="D304" s="247" t="s">
        <v>2816</v>
      </c>
      <c r="E304" s="5"/>
      <c r="F304" s="248"/>
      <c r="G304" s="7"/>
      <c r="H304" s="8" t="s">
        <v>2817</v>
      </c>
      <c r="I304" s="9" t="s">
        <v>2818</v>
      </c>
      <c r="J304" s="355" t="str">
        <f>image("https://archives.bulbagarden.net/media/upload/0/07/304MS6.png", 3)</f>
        <v/>
      </c>
      <c r="K304" s="11" t="s">
        <v>2816</v>
      </c>
      <c r="L304" s="12"/>
      <c r="M304" s="12"/>
      <c r="N304" s="12"/>
      <c r="O304" s="12"/>
      <c r="Q304" s="71">
        <v>50.0</v>
      </c>
      <c r="R304" s="72">
        <v>70.0</v>
      </c>
      <c r="S304" s="73">
        <v>100.0</v>
      </c>
      <c r="T304" s="74">
        <v>40.0</v>
      </c>
      <c r="U304" s="75">
        <v>40.0</v>
      </c>
      <c r="V304" s="76">
        <v>30.0</v>
      </c>
      <c r="W304" s="77">
        <v>330.0</v>
      </c>
      <c r="X304" s="21"/>
      <c r="Y304" s="71">
        <v>50.0</v>
      </c>
      <c r="Z304" s="72">
        <v>70.0</v>
      </c>
      <c r="AA304" s="73">
        <v>100.0</v>
      </c>
      <c r="AB304" s="74">
        <v>40.0</v>
      </c>
      <c r="AC304" s="75">
        <v>40.0</v>
      </c>
      <c r="AD304" s="76">
        <v>30.0</v>
      </c>
      <c r="AE304" s="77">
        <v>330.0</v>
      </c>
      <c r="AF304" s="21"/>
      <c r="AG304" s="71">
        <v>50.0</v>
      </c>
      <c r="AH304" s="72">
        <v>70.0</v>
      </c>
      <c r="AI304" s="73">
        <v>100.0</v>
      </c>
      <c r="AJ304" s="74">
        <v>40.0</v>
      </c>
      <c r="AK304" s="75">
        <v>40.0</v>
      </c>
      <c r="AL304" s="76">
        <v>30.0</v>
      </c>
      <c r="AM304" s="77">
        <v>330.0</v>
      </c>
      <c r="AN304" s="21"/>
      <c r="AO304" s="22">
        <v>50.0</v>
      </c>
      <c r="AP304" s="23">
        <v>70.0</v>
      </c>
      <c r="AQ304" s="23">
        <v>100.0</v>
      </c>
      <c r="AR304" s="23">
        <v>40.0</v>
      </c>
      <c r="AS304" s="23">
        <v>40.0</v>
      </c>
      <c r="AT304" s="23">
        <v>30.0</v>
      </c>
      <c r="AU304" s="24">
        <v>330.0</v>
      </c>
      <c r="AV304" s="21"/>
      <c r="AW304" s="78">
        <v>50.0</v>
      </c>
      <c r="AX304" s="124">
        <v>70.0</v>
      </c>
      <c r="AY304" s="124">
        <v>100.0</v>
      </c>
      <c r="AZ304" s="79">
        <v>40.0</v>
      </c>
      <c r="BA304" s="124">
        <v>40.0</v>
      </c>
      <c r="BB304" s="79">
        <v>30.0</v>
      </c>
      <c r="BC304" s="125">
        <v>330.0</v>
      </c>
      <c r="BE304" s="142" t="s">
        <v>101</v>
      </c>
      <c r="BF304" s="386"/>
      <c r="BG304" s="128"/>
      <c r="BI304" s="31" t="s">
        <v>5</v>
      </c>
      <c r="BJ304" s="32" t="s">
        <v>5</v>
      </c>
      <c r="BK304" s="32">
        <v>1.0</v>
      </c>
      <c r="BL304" s="32" t="s">
        <v>5</v>
      </c>
      <c r="BM304" s="32" t="s">
        <v>5</v>
      </c>
      <c r="BN304" s="33" t="s">
        <v>5</v>
      </c>
      <c r="BP304" s="85" t="s">
        <v>95</v>
      </c>
      <c r="BQ304" s="86" t="s">
        <v>66</v>
      </c>
      <c r="BS304" s="87" t="s">
        <v>95</v>
      </c>
      <c r="BT304" s="392" t="s">
        <v>66</v>
      </c>
      <c r="BU304" s="37" t="str">
        <f t="shared" si="1"/>
        <v>#NAME?</v>
      </c>
      <c r="BV304" s="89" t="s">
        <v>95</v>
      </c>
      <c r="BW304" s="37" t="str">
        <f t="shared" si="2"/>
        <v>#NAME?</v>
      </c>
      <c r="BX304" s="89" t="s">
        <v>66</v>
      </c>
      <c r="BY304" s="144"/>
      <c r="BZ304" s="144"/>
      <c r="CA304" s="145" t="s">
        <v>2819</v>
      </c>
      <c r="CB304" s="146"/>
      <c r="CC304" s="90" t="s">
        <v>95</v>
      </c>
      <c r="CD304" s="147" t="s">
        <v>66</v>
      </c>
      <c r="CE304" s="2"/>
      <c r="CF304" s="92" t="s">
        <v>825</v>
      </c>
      <c r="CG304" s="93" t="s">
        <v>824</v>
      </c>
      <c r="CH304" s="2"/>
      <c r="CI304" s="362" t="s">
        <v>824</v>
      </c>
      <c r="CJ304" s="359" t="s">
        <v>825</v>
      </c>
      <c r="CK304" s="2"/>
      <c r="CL304" s="22" t="s">
        <v>1165</v>
      </c>
      <c r="CM304" s="12"/>
      <c r="CN304" s="48"/>
      <c r="CO304" s="239" t="s">
        <v>825</v>
      </c>
      <c r="CP304" s="2"/>
      <c r="CQ304" s="2" t="s">
        <v>424</v>
      </c>
      <c r="CR304" s="97">
        <v>80.0</v>
      </c>
      <c r="CS304" s="2" t="s">
        <v>101</v>
      </c>
      <c r="CT304" s="98">
        <v>96.0</v>
      </c>
      <c r="CU304" s="2"/>
      <c r="CV304" s="52" t="s">
        <v>149</v>
      </c>
      <c r="CW304" s="52" t="s">
        <v>149</v>
      </c>
      <c r="CX304" s="2"/>
      <c r="CY304" s="382" t="s">
        <v>14</v>
      </c>
      <c r="CZ304" s="385"/>
      <c r="DA304" s="2"/>
      <c r="DB304" s="98">
        <v>180.0</v>
      </c>
      <c r="DC304" s="2"/>
      <c r="DD304" s="101" t="s">
        <v>683</v>
      </c>
      <c r="DE304" s="2"/>
      <c r="DF304" s="393" t="s">
        <v>2820</v>
      </c>
      <c r="DG304" s="381" t="s">
        <v>2137</v>
      </c>
      <c r="DH304" s="385"/>
      <c r="DI304" s="21"/>
      <c r="DJ304" s="21"/>
      <c r="DK304" s="59" t="s">
        <v>2821</v>
      </c>
      <c r="DL304" s="37" t="s">
        <v>156</v>
      </c>
      <c r="DM304" s="37" t="str">
        <f t="shared" si="3"/>
        <v>#NAME?</v>
      </c>
      <c r="DN304" s="61"/>
      <c r="DO304" s="37">
        <v>50.0</v>
      </c>
      <c r="DP304" s="105">
        <v>1.0</v>
      </c>
      <c r="DQ304" s="62" t="s">
        <v>49</v>
      </c>
      <c r="DR304" s="63"/>
      <c r="DS304" s="198"/>
      <c r="DT304" s="108"/>
      <c r="DU304" s="108"/>
      <c r="DV304" s="182"/>
      <c r="DW304" s="182"/>
      <c r="DX304" s="182"/>
      <c r="DY304" s="182"/>
      <c r="DZ304" s="182"/>
      <c r="EA304" s="182"/>
      <c r="EB304" s="2"/>
      <c r="EC304" s="2"/>
      <c r="ED304" s="2"/>
      <c r="EE304" s="2"/>
      <c r="EF304" s="149" t="s">
        <v>2822</v>
      </c>
      <c r="EG304" s="69" t="str">
        <f>image("https://www.pokebip.com/pages/icones/objets/tesson-vert.png", 3)</f>
        <v/>
      </c>
      <c r="EH304" s="69"/>
      <c r="EI304" s="69"/>
    </row>
    <row r="305" ht="15.75" customHeight="1">
      <c r="A305" s="1">
        <v>305.0</v>
      </c>
      <c r="B305" s="2" t="s">
        <v>2823</v>
      </c>
      <c r="C305" s="7"/>
      <c r="D305" s="247" t="s">
        <v>2824</v>
      </c>
      <c r="E305" s="5"/>
      <c r="F305" s="248"/>
      <c r="G305" s="7"/>
      <c r="H305" s="8" t="s">
        <v>2825</v>
      </c>
      <c r="I305" s="9" t="s">
        <v>2826</v>
      </c>
      <c r="J305" s="355" t="str">
        <f>image("https://archives.bulbagarden.net/media/upload/5/51/305MS6.png", 3)</f>
        <v/>
      </c>
      <c r="K305" s="11" t="s">
        <v>2824</v>
      </c>
      <c r="L305" s="12"/>
      <c r="M305" s="12"/>
      <c r="N305" s="12"/>
      <c r="O305" s="12"/>
      <c r="Q305" s="71">
        <v>60.0</v>
      </c>
      <c r="R305" s="72">
        <v>90.0</v>
      </c>
      <c r="S305" s="73">
        <v>140.0</v>
      </c>
      <c r="T305" s="74">
        <v>50.0</v>
      </c>
      <c r="U305" s="75">
        <v>50.0</v>
      </c>
      <c r="V305" s="76">
        <v>40.0</v>
      </c>
      <c r="W305" s="77">
        <v>430.0</v>
      </c>
      <c r="X305" s="21"/>
      <c r="Y305" s="71">
        <v>60.0</v>
      </c>
      <c r="Z305" s="72">
        <v>90.0</v>
      </c>
      <c r="AA305" s="73">
        <v>140.0</v>
      </c>
      <c r="AB305" s="74">
        <v>50.0</v>
      </c>
      <c r="AC305" s="75">
        <v>50.0</v>
      </c>
      <c r="AD305" s="76">
        <v>40.0</v>
      </c>
      <c r="AE305" s="77">
        <v>430.0</v>
      </c>
      <c r="AF305" s="21"/>
      <c r="AG305" s="71">
        <v>60.0</v>
      </c>
      <c r="AH305" s="72">
        <v>90.0</v>
      </c>
      <c r="AI305" s="73">
        <v>140.0</v>
      </c>
      <c r="AJ305" s="74">
        <v>50.0</v>
      </c>
      <c r="AK305" s="75">
        <v>50.0</v>
      </c>
      <c r="AL305" s="76">
        <v>40.0</v>
      </c>
      <c r="AM305" s="77">
        <v>430.0</v>
      </c>
      <c r="AN305" s="21"/>
      <c r="AO305" s="22">
        <v>60.0</v>
      </c>
      <c r="AP305" s="23">
        <v>90.0</v>
      </c>
      <c r="AQ305" s="23">
        <v>140.0</v>
      </c>
      <c r="AR305" s="23">
        <v>50.0</v>
      </c>
      <c r="AS305" s="23">
        <v>50.0</v>
      </c>
      <c r="AT305" s="23">
        <v>40.0</v>
      </c>
      <c r="AU305" s="24">
        <v>430.0</v>
      </c>
      <c r="AV305" s="21"/>
      <c r="AW305" s="78">
        <v>60.0</v>
      </c>
      <c r="AX305" s="79">
        <v>90.0</v>
      </c>
      <c r="AY305" s="79">
        <v>140.0</v>
      </c>
      <c r="AZ305" s="79">
        <v>50.0</v>
      </c>
      <c r="BA305" s="79">
        <v>50.0</v>
      </c>
      <c r="BB305" s="79">
        <v>40.0</v>
      </c>
      <c r="BC305" s="201">
        <v>430.0</v>
      </c>
      <c r="BE305" s="156" t="s">
        <v>162</v>
      </c>
      <c r="BF305" s="113"/>
      <c r="BG305" s="210"/>
      <c r="BI305" s="31" t="s">
        <v>5</v>
      </c>
      <c r="BJ305" s="32" t="s">
        <v>5</v>
      </c>
      <c r="BK305" s="32">
        <v>2.0</v>
      </c>
      <c r="BL305" s="32" t="s">
        <v>5</v>
      </c>
      <c r="BM305" s="32" t="s">
        <v>5</v>
      </c>
      <c r="BN305" s="33" t="s">
        <v>5</v>
      </c>
      <c r="BP305" s="115" t="s">
        <v>95</v>
      </c>
      <c r="BQ305" s="116" t="s">
        <v>66</v>
      </c>
      <c r="BS305" s="115" t="s">
        <v>95</v>
      </c>
      <c r="BT305" s="117" t="s">
        <v>66</v>
      </c>
      <c r="BU305" s="37" t="str">
        <f t="shared" si="1"/>
        <v>#NAME?</v>
      </c>
      <c r="BV305" s="89" t="s">
        <v>95</v>
      </c>
      <c r="BW305" s="37" t="str">
        <f t="shared" si="2"/>
        <v>#NAME?</v>
      </c>
      <c r="BX305" s="89" t="s">
        <v>66</v>
      </c>
      <c r="BY305" s="39"/>
      <c r="BZ305" s="39"/>
      <c r="CA305" s="40" t="s">
        <v>2819</v>
      </c>
      <c r="CB305" s="41"/>
      <c r="CC305" s="90" t="s">
        <v>95</v>
      </c>
      <c r="CD305" s="91" t="s">
        <v>66</v>
      </c>
      <c r="CE305" s="2"/>
      <c r="CF305" s="92" t="s">
        <v>825</v>
      </c>
      <c r="CG305" s="93" t="s">
        <v>824</v>
      </c>
      <c r="CH305" s="2"/>
      <c r="CI305" s="362" t="s">
        <v>824</v>
      </c>
      <c r="CJ305" s="359" t="s">
        <v>825</v>
      </c>
      <c r="CK305" s="2"/>
      <c r="CL305" s="22" t="s">
        <v>1165</v>
      </c>
      <c r="CM305" s="12"/>
      <c r="CN305" s="48"/>
      <c r="CO305" s="360" t="s">
        <v>825</v>
      </c>
      <c r="CP305" s="2"/>
      <c r="CQ305" s="2" t="s">
        <v>955</v>
      </c>
      <c r="CR305" s="97">
        <v>100.0</v>
      </c>
      <c r="CS305" s="2" t="s">
        <v>162</v>
      </c>
      <c r="CT305" s="98">
        <v>152.0</v>
      </c>
      <c r="CU305" s="2"/>
      <c r="CV305" s="52" t="s">
        <v>149</v>
      </c>
      <c r="CW305" s="52" t="s">
        <v>149</v>
      </c>
      <c r="CX305" s="2"/>
      <c r="CY305" s="119" t="s">
        <v>14</v>
      </c>
      <c r="CZ305" s="160"/>
      <c r="DA305" s="2"/>
      <c r="DB305" s="98">
        <v>90.0</v>
      </c>
      <c r="DC305" s="2"/>
      <c r="DD305" s="101" t="s">
        <v>683</v>
      </c>
      <c r="DE305" s="2"/>
      <c r="DF305" s="192" t="s">
        <v>2827</v>
      </c>
      <c r="DG305" s="118" t="s">
        <v>2137</v>
      </c>
      <c r="DH305" s="160"/>
      <c r="DI305" s="2"/>
      <c r="DJ305" s="2"/>
      <c r="DK305" s="59" t="s">
        <v>2828</v>
      </c>
      <c r="DL305" s="37" t="s">
        <v>32</v>
      </c>
      <c r="DM305" s="37" t="str">
        <f t="shared" si="3"/>
        <v>#NAME?</v>
      </c>
      <c r="DN305" s="61"/>
      <c r="DO305" s="37" t="s">
        <v>509</v>
      </c>
      <c r="DP305" s="37" t="s">
        <v>195</v>
      </c>
      <c r="DQ305" s="62" t="s">
        <v>93</v>
      </c>
      <c r="DR305" s="63"/>
      <c r="DS305" s="198"/>
      <c r="DT305" s="108"/>
      <c r="DU305" s="108"/>
      <c r="DV305" s="182"/>
      <c r="DW305" s="182"/>
      <c r="DX305" s="182"/>
      <c r="DY305" s="182"/>
      <c r="DZ305" s="182"/>
      <c r="EA305" s="182"/>
      <c r="EB305" s="21"/>
      <c r="EC305" s="21"/>
      <c r="ED305" s="21"/>
      <c r="EE305" s="21"/>
      <c r="EF305" s="149" t="s">
        <v>2829</v>
      </c>
      <c r="EG305" s="69" t="str">
        <f>image("https://www.pokebip.com/pages/icones/objets/coquille-trefonds.png", 3)</f>
        <v/>
      </c>
      <c r="EH305" s="69"/>
      <c r="EI305" s="69"/>
    </row>
    <row r="306" ht="15.75" customHeight="1">
      <c r="A306" s="1">
        <v>306.0</v>
      </c>
      <c r="B306" s="2" t="s">
        <v>2830</v>
      </c>
      <c r="C306" s="7"/>
      <c r="D306" s="247" t="s">
        <v>2831</v>
      </c>
      <c r="E306" s="5"/>
      <c r="F306" s="248"/>
      <c r="G306" s="7"/>
      <c r="H306" s="8" t="s">
        <v>2832</v>
      </c>
      <c r="I306" s="9" t="s">
        <v>2833</v>
      </c>
      <c r="J306" s="355" t="str">
        <f>image("https://archives.bulbagarden.net/media/upload/9/95/306MS6.png", 3)</f>
        <v/>
      </c>
      <c r="K306" s="11" t="s">
        <v>2831</v>
      </c>
      <c r="L306" s="12"/>
      <c r="M306" s="12"/>
      <c r="N306" s="12"/>
      <c r="O306" s="12"/>
      <c r="Q306" s="71">
        <v>70.0</v>
      </c>
      <c r="R306" s="72">
        <v>110.0</v>
      </c>
      <c r="S306" s="73">
        <v>180.0</v>
      </c>
      <c r="T306" s="74">
        <v>60.0</v>
      </c>
      <c r="U306" s="75">
        <v>60.0</v>
      </c>
      <c r="V306" s="76">
        <v>50.0</v>
      </c>
      <c r="W306" s="77">
        <v>530.0</v>
      </c>
      <c r="X306" s="21"/>
      <c r="Y306" s="71">
        <v>70.0</v>
      </c>
      <c r="Z306" s="72">
        <v>110.0</v>
      </c>
      <c r="AA306" s="73">
        <v>180.0</v>
      </c>
      <c r="AB306" s="74">
        <v>60.0</v>
      </c>
      <c r="AC306" s="75">
        <v>60.0</v>
      </c>
      <c r="AD306" s="76">
        <v>50.0</v>
      </c>
      <c r="AE306" s="77">
        <v>530.0</v>
      </c>
      <c r="AF306" s="21"/>
      <c r="AG306" s="71">
        <v>70.0</v>
      </c>
      <c r="AH306" s="72">
        <v>110.0</v>
      </c>
      <c r="AI306" s="73">
        <v>180.0</v>
      </c>
      <c r="AJ306" s="74">
        <v>60.0</v>
      </c>
      <c r="AK306" s="75">
        <v>60.0</v>
      </c>
      <c r="AL306" s="76">
        <v>50.0</v>
      </c>
      <c r="AM306" s="77">
        <v>530.0</v>
      </c>
      <c r="AN306" s="21"/>
      <c r="AO306" s="22">
        <v>70.0</v>
      </c>
      <c r="AP306" s="23">
        <v>110.0</v>
      </c>
      <c r="AQ306" s="23">
        <v>180.0</v>
      </c>
      <c r="AR306" s="23">
        <v>60.0</v>
      </c>
      <c r="AS306" s="23">
        <v>60.0</v>
      </c>
      <c r="AT306" s="23">
        <v>50.0</v>
      </c>
      <c r="AU306" s="24">
        <v>530.0</v>
      </c>
      <c r="AV306" s="21"/>
      <c r="AW306" s="78">
        <v>70.0</v>
      </c>
      <c r="AX306" s="79">
        <v>110.0</v>
      </c>
      <c r="AY306" s="79">
        <v>180.0</v>
      </c>
      <c r="AZ306" s="80">
        <v>60.0</v>
      </c>
      <c r="BA306" s="79">
        <v>60.0</v>
      </c>
      <c r="BB306" s="79">
        <v>50.0</v>
      </c>
      <c r="BC306" s="81">
        <v>530.0</v>
      </c>
      <c r="BE306" s="156" t="s">
        <v>717</v>
      </c>
      <c r="BF306" s="138"/>
      <c r="BG306" s="128"/>
      <c r="BI306" s="31" t="s">
        <v>5</v>
      </c>
      <c r="BJ306" s="32" t="s">
        <v>5</v>
      </c>
      <c r="BK306" s="32">
        <v>3.0</v>
      </c>
      <c r="BL306" s="32" t="s">
        <v>5</v>
      </c>
      <c r="BM306" s="32" t="s">
        <v>5</v>
      </c>
      <c r="BN306" s="33" t="s">
        <v>5</v>
      </c>
      <c r="BP306" s="85" t="s">
        <v>95</v>
      </c>
      <c r="BQ306" s="86" t="s">
        <v>66</v>
      </c>
      <c r="BS306" s="87" t="s">
        <v>95</v>
      </c>
      <c r="BT306" s="88" t="s">
        <v>66</v>
      </c>
      <c r="BU306" s="37" t="str">
        <f t="shared" si="1"/>
        <v>#NAME?</v>
      </c>
      <c r="BV306" s="89" t="s">
        <v>95</v>
      </c>
      <c r="BW306" s="37" t="str">
        <f t="shared" si="2"/>
        <v>#NAME?</v>
      </c>
      <c r="BX306" s="89" t="s">
        <v>66</v>
      </c>
      <c r="BY306" s="39"/>
      <c r="BZ306" s="39"/>
      <c r="CA306" s="40" t="s">
        <v>2819</v>
      </c>
      <c r="CB306" s="41"/>
      <c r="CC306" s="90" t="s">
        <v>95</v>
      </c>
      <c r="CD306" s="91" t="s">
        <v>66</v>
      </c>
      <c r="CE306" s="2"/>
      <c r="CF306" s="92" t="s">
        <v>825</v>
      </c>
      <c r="CG306" s="93" t="s">
        <v>824</v>
      </c>
      <c r="CH306" s="2"/>
      <c r="CI306" s="274" t="s">
        <v>824</v>
      </c>
      <c r="CJ306" s="275" t="s">
        <v>825</v>
      </c>
      <c r="CK306" s="2"/>
      <c r="CL306" s="22" t="s">
        <v>1165</v>
      </c>
      <c r="CM306" s="12"/>
      <c r="CN306" s="48"/>
      <c r="CO306" s="242" t="s">
        <v>825</v>
      </c>
      <c r="CP306" s="2"/>
      <c r="CQ306" s="2" t="s">
        <v>2834</v>
      </c>
      <c r="CR306" s="97">
        <v>120.0</v>
      </c>
      <c r="CS306" s="2" t="s">
        <v>717</v>
      </c>
      <c r="CT306" s="98">
        <v>205.0</v>
      </c>
      <c r="CU306" s="2"/>
      <c r="CV306" s="52" t="s">
        <v>149</v>
      </c>
      <c r="CW306" s="52" t="s">
        <v>149</v>
      </c>
      <c r="CX306" s="2"/>
      <c r="CY306" s="382" t="s">
        <v>14</v>
      </c>
      <c r="CZ306" s="385"/>
      <c r="DA306" s="2"/>
      <c r="DB306" s="98">
        <v>45.0</v>
      </c>
      <c r="DC306" s="2"/>
      <c r="DD306" s="101" t="s">
        <v>683</v>
      </c>
      <c r="DE306" s="2"/>
      <c r="DF306" s="193" t="s">
        <v>2835</v>
      </c>
      <c r="DG306" s="381" t="s">
        <v>2137</v>
      </c>
      <c r="DH306" s="385"/>
      <c r="DI306" s="2"/>
      <c r="DJ306" s="2"/>
      <c r="DK306" s="59" t="s">
        <v>2836</v>
      </c>
      <c r="DL306" s="37" t="s">
        <v>156</v>
      </c>
      <c r="DM306" s="37" t="str">
        <f t="shared" si="3"/>
        <v>#NAME?</v>
      </c>
      <c r="DN306" s="61"/>
      <c r="DO306" s="37" t="s">
        <v>19</v>
      </c>
      <c r="DP306" s="105">
        <v>1.0</v>
      </c>
      <c r="DQ306" s="62" t="s">
        <v>293</v>
      </c>
      <c r="DR306" s="63"/>
      <c r="DS306" s="198"/>
      <c r="DT306" s="108"/>
      <c r="DU306" s="108"/>
      <c r="DV306" s="182"/>
      <c r="DW306" s="182"/>
      <c r="DX306" s="182"/>
      <c r="DY306" s="182"/>
      <c r="DZ306" s="182"/>
      <c r="EA306" s="182"/>
      <c r="EB306" s="2"/>
      <c r="EC306" s="2"/>
      <c r="ED306" s="2"/>
      <c r="EE306" s="2"/>
      <c r="EF306" s="149" t="s">
        <v>2837</v>
      </c>
      <c r="EG306" s="69" t="str">
        <f>image("https://www.pokebip.com/pages/icones/objets/sel-trefonds.png", 3)</f>
        <v/>
      </c>
      <c r="EH306" s="69"/>
      <c r="EI306" s="69"/>
    </row>
    <row r="307" ht="15.75" customHeight="1">
      <c r="A307" s="1">
        <v>307.0</v>
      </c>
      <c r="B307" s="2" t="s">
        <v>2838</v>
      </c>
      <c r="C307" s="7"/>
      <c r="D307" s="140" t="s">
        <v>2839</v>
      </c>
      <c r="E307" s="5"/>
      <c r="F307" s="141"/>
      <c r="G307" s="7"/>
      <c r="H307" s="8" t="s">
        <v>2840</v>
      </c>
      <c r="I307" s="9" t="s">
        <v>2841</v>
      </c>
      <c r="J307" s="355" t="str">
        <f>image("https://archives.bulbagarden.net/media/upload/1/1a/307MS6.png", 3)</f>
        <v/>
      </c>
      <c r="K307" s="11" t="s">
        <v>2839</v>
      </c>
      <c r="L307" s="12"/>
      <c r="M307" s="12"/>
      <c r="N307" s="12"/>
      <c r="O307" s="12"/>
      <c r="Q307" s="71">
        <v>30.0</v>
      </c>
      <c r="R307" s="72">
        <v>40.0</v>
      </c>
      <c r="S307" s="73">
        <v>55.0</v>
      </c>
      <c r="T307" s="74">
        <v>40.0</v>
      </c>
      <c r="U307" s="75">
        <v>55.0</v>
      </c>
      <c r="V307" s="76">
        <v>60.0</v>
      </c>
      <c r="W307" s="77">
        <v>280.0</v>
      </c>
      <c r="X307" s="21"/>
      <c r="Y307" s="71">
        <v>30.0</v>
      </c>
      <c r="Z307" s="72">
        <v>40.0</v>
      </c>
      <c r="AA307" s="73">
        <v>55.0</v>
      </c>
      <c r="AB307" s="74">
        <v>40.0</v>
      </c>
      <c r="AC307" s="75">
        <v>55.0</v>
      </c>
      <c r="AD307" s="76">
        <v>60.0</v>
      </c>
      <c r="AE307" s="77">
        <v>280.0</v>
      </c>
      <c r="AF307" s="21"/>
      <c r="AG307" s="71">
        <v>30.0</v>
      </c>
      <c r="AH307" s="72">
        <v>40.0</v>
      </c>
      <c r="AI307" s="73">
        <v>55.0</v>
      </c>
      <c r="AJ307" s="109">
        <v>60.0</v>
      </c>
      <c r="AK307" s="75">
        <v>55.0</v>
      </c>
      <c r="AL307" s="76">
        <v>60.0</v>
      </c>
      <c r="AM307" s="110">
        <v>300.0</v>
      </c>
      <c r="AN307" s="21"/>
      <c r="AO307" s="22">
        <v>30.0</v>
      </c>
      <c r="AP307" s="23">
        <v>40.0</v>
      </c>
      <c r="AQ307" s="23">
        <v>55.0</v>
      </c>
      <c r="AR307" s="23" t="s">
        <v>77</v>
      </c>
      <c r="AS307" s="23">
        <v>55.0</v>
      </c>
      <c r="AT307" s="23">
        <v>60.0</v>
      </c>
      <c r="AU307" s="24" t="s">
        <v>2842</v>
      </c>
      <c r="AV307" s="21"/>
      <c r="AW307" s="78">
        <v>30.0</v>
      </c>
      <c r="AX307" s="79">
        <v>40.0</v>
      </c>
      <c r="AY307" s="80">
        <v>55.0</v>
      </c>
      <c r="AZ307" s="111">
        <v>60.0</v>
      </c>
      <c r="BA307" s="80">
        <v>55.0</v>
      </c>
      <c r="BB307" s="80">
        <v>60.0</v>
      </c>
      <c r="BC307" s="111">
        <v>300.0</v>
      </c>
      <c r="BE307" s="126" t="s">
        <v>56</v>
      </c>
      <c r="BF307" s="143"/>
      <c r="BG307" s="128"/>
      <c r="BI307" s="31" t="s">
        <v>5</v>
      </c>
      <c r="BJ307" s="32" t="s">
        <v>5</v>
      </c>
      <c r="BK307" s="32" t="s">
        <v>5</v>
      </c>
      <c r="BL307" s="32" t="s">
        <v>5</v>
      </c>
      <c r="BM307" s="32" t="s">
        <v>5</v>
      </c>
      <c r="BN307" s="33">
        <v>1.0</v>
      </c>
      <c r="BP307" s="115" t="s">
        <v>64</v>
      </c>
      <c r="BQ307" s="116" t="s">
        <v>122</v>
      </c>
      <c r="BS307" s="115" t="s">
        <v>64</v>
      </c>
      <c r="BT307" s="117" t="s">
        <v>122</v>
      </c>
      <c r="BU307" s="37" t="str">
        <f t="shared" si="1"/>
        <v>#NAME?</v>
      </c>
      <c r="BV307" s="89" t="s">
        <v>64</v>
      </c>
      <c r="BW307" s="37" t="str">
        <f t="shared" si="2"/>
        <v>#NAME?</v>
      </c>
      <c r="BX307" s="89" t="s">
        <v>122</v>
      </c>
      <c r="BY307" s="39"/>
      <c r="BZ307" s="39"/>
      <c r="CA307" s="40" t="s">
        <v>2843</v>
      </c>
      <c r="CB307" s="41"/>
      <c r="CC307" s="90" t="s">
        <v>64</v>
      </c>
      <c r="CD307" s="91" t="s">
        <v>122</v>
      </c>
      <c r="CE307" s="2"/>
      <c r="CF307" s="92" t="s">
        <v>2844</v>
      </c>
      <c r="CG307" s="93"/>
      <c r="CH307" s="2"/>
      <c r="CI307" s="175" t="s">
        <v>2844</v>
      </c>
      <c r="CJ307" s="195"/>
      <c r="CK307" s="2"/>
      <c r="CL307" s="22" t="s">
        <v>2844</v>
      </c>
      <c r="CM307" s="12"/>
      <c r="CN307" s="48"/>
      <c r="CO307" s="165"/>
      <c r="CP307" s="2"/>
      <c r="CQ307" s="2" t="s">
        <v>2845</v>
      </c>
      <c r="CR307" s="97">
        <v>40.0</v>
      </c>
      <c r="CS307" s="2" t="s">
        <v>56</v>
      </c>
      <c r="CT307" s="98">
        <v>91.0</v>
      </c>
      <c r="CU307" s="2"/>
      <c r="CV307" s="52" t="s">
        <v>149</v>
      </c>
      <c r="CW307" s="52" t="s">
        <v>149</v>
      </c>
      <c r="CX307" s="2"/>
      <c r="CY307" s="119" t="s">
        <v>728</v>
      </c>
      <c r="CZ307" s="160"/>
      <c r="DA307" s="2"/>
      <c r="DB307" s="98">
        <v>180.0</v>
      </c>
      <c r="DC307" s="2"/>
      <c r="DD307" s="101" t="s">
        <v>150</v>
      </c>
      <c r="DE307" s="2"/>
      <c r="DF307" s="254" t="s">
        <v>2846</v>
      </c>
      <c r="DG307" s="119"/>
      <c r="DH307" s="160"/>
      <c r="DI307" s="21"/>
      <c r="DJ307" s="21"/>
      <c r="DK307" s="59" t="s">
        <v>2847</v>
      </c>
      <c r="DL307" s="37" t="s">
        <v>197</v>
      </c>
      <c r="DM307" s="37" t="str">
        <f t="shared" si="3"/>
        <v>#NAME?</v>
      </c>
      <c r="DN307" s="61"/>
      <c r="DO307" s="37">
        <v>120.0</v>
      </c>
      <c r="DP307" s="105">
        <v>0.5</v>
      </c>
      <c r="DQ307" s="62" t="s">
        <v>293</v>
      </c>
      <c r="DR307" s="63"/>
      <c r="DS307" s="198"/>
      <c r="DT307" s="108"/>
      <c r="DU307" s="108"/>
      <c r="DV307" s="182"/>
      <c r="DW307" s="182"/>
      <c r="DX307" s="182"/>
      <c r="DY307" s="182"/>
      <c r="DZ307" s="182"/>
      <c r="EA307" s="182"/>
      <c r="EB307" s="2"/>
      <c r="EC307" s="182"/>
      <c r="ED307" s="2"/>
      <c r="EE307" s="2"/>
      <c r="EG307" s="108"/>
    </row>
    <row r="308" ht="15.75" customHeight="1">
      <c r="A308" s="1">
        <v>308.0</v>
      </c>
      <c r="B308" s="2" t="s">
        <v>2848</v>
      </c>
      <c r="C308" s="7"/>
      <c r="D308" s="122" t="s">
        <v>2849</v>
      </c>
      <c r="E308" s="5"/>
      <c r="F308" s="123"/>
      <c r="G308" s="7"/>
      <c r="H308" s="8" t="s">
        <v>2850</v>
      </c>
      <c r="I308" s="9" t="s">
        <v>2851</v>
      </c>
      <c r="J308" s="355" t="str">
        <f>image("https://archives.bulbagarden.net/media/upload/c/cf/308MS6.png", 3)</f>
        <v/>
      </c>
      <c r="K308" s="11" t="s">
        <v>2849</v>
      </c>
      <c r="L308" s="12"/>
      <c r="M308" s="12"/>
      <c r="N308" s="12"/>
      <c r="O308" s="12"/>
      <c r="Q308" s="71">
        <v>60.0</v>
      </c>
      <c r="R308" s="72">
        <v>60.0</v>
      </c>
      <c r="S308" s="73">
        <v>75.0</v>
      </c>
      <c r="T308" s="74">
        <v>60.0</v>
      </c>
      <c r="U308" s="75">
        <v>75.0</v>
      </c>
      <c r="V308" s="76">
        <v>80.0</v>
      </c>
      <c r="W308" s="77">
        <v>410.0</v>
      </c>
      <c r="X308" s="21"/>
      <c r="Y308" s="71">
        <v>60.0</v>
      </c>
      <c r="Z308" s="72">
        <v>60.0</v>
      </c>
      <c r="AA308" s="73">
        <v>75.0</v>
      </c>
      <c r="AB308" s="74">
        <v>60.0</v>
      </c>
      <c r="AC308" s="75">
        <v>75.0</v>
      </c>
      <c r="AD308" s="76">
        <v>80.0</v>
      </c>
      <c r="AE308" s="77">
        <v>410.0</v>
      </c>
      <c r="AF308" s="21"/>
      <c r="AG308" s="71">
        <v>60.0</v>
      </c>
      <c r="AH308" s="72">
        <v>60.0</v>
      </c>
      <c r="AI308" s="109">
        <v>80.0</v>
      </c>
      <c r="AJ308" s="109">
        <v>80.0</v>
      </c>
      <c r="AK308" s="109">
        <v>80.0</v>
      </c>
      <c r="AL308" s="109">
        <v>90.0</v>
      </c>
      <c r="AM308" s="110">
        <v>450.0</v>
      </c>
      <c r="AN308" s="21"/>
      <c r="AO308" s="22">
        <v>60.0</v>
      </c>
      <c r="AP308" s="23">
        <v>60.0</v>
      </c>
      <c r="AQ308" s="23" t="s">
        <v>337</v>
      </c>
      <c r="AR308" s="23" t="s">
        <v>337</v>
      </c>
      <c r="AS308" s="23" t="s">
        <v>337</v>
      </c>
      <c r="AT308" s="23" t="s">
        <v>128</v>
      </c>
      <c r="AU308" s="24" t="s">
        <v>176</v>
      </c>
      <c r="AV308" s="21"/>
      <c r="AW308" s="78">
        <v>60.0</v>
      </c>
      <c r="AX308" s="79">
        <v>60.0</v>
      </c>
      <c r="AY308" s="111">
        <v>80.0</v>
      </c>
      <c r="AZ308" s="227">
        <v>80.0</v>
      </c>
      <c r="BA308" s="111">
        <v>80.0</v>
      </c>
      <c r="BB308" s="111">
        <v>90.0</v>
      </c>
      <c r="BC308" s="227">
        <v>450.0</v>
      </c>
      <c r="BE308" s="176" t="s">
        <v>248</v>
      </c>
      <c r="BF308" s="113"/>
      <c r="BG308" s="384"/>
      <c r="BI308" s="31" t="s">
        <v>5</v>
      </c>
      <c r="BJ308" s="32" t="s">
        <v>5</v>
      </c>
      <c r="BK308" s="32" t="s">
        <v>5</v>
      </c>
      <c r="BL308" s="32" t="s">
        <v>5</v>
      </c>
      <c r="BM308" s="32" t="s">
        <v>5</v>
      </c>
      <c r="BN308" s="33">
        <v>2.0</v>
      </c>
      <c r="BP308" s="85" t="s">
        <v>64</v>
      </c>
      <c r="BQ308" s="86" t="s">
        <v>122</v>
      </c>
      <c r="BS308" s="87" t="s">
        <v>64</v>
      </c>
      <c r="BT308" s="88" t="s">
        <v>122</v>
      </c>
      <c r="BU308" s="37" t="str">
        <f t="shared" si="1"/>
        <v>#NAME?</v>
      </c>
      <c r="BV308" s="89" t="s">
        <v>64</v>
      </c>
      <c r="BW308" s="37" t="str">
        <f t="shared" si="2"/>
        <v>#NAME?</v>
      </c>
      <c r="BX308" s="89" t="s">
        <v>122</v>
      </c>
      <c r="BY308" s="39"/>
      <c r="BZ308" s="39"/>
      <c r="CA308" s="40" t="s">
        <v>2843</v>
      </c>
      <c r="CB308" s="41"/>
      <c r="CC308" s="90" t="s">
        <v>64</v>
      </c>
      <c r="CD308" s="91" t="s">
        <v>122</v>
      </c>
      <c r="CE308" s="2"/>
      <c r="CF308" s="92" t="s">
        <v>2844</v>
      </c>
      <c r="CG308" s="93"/>
      <c r="CH308" s="2"/>
      <c r="CI308" s="92" t="s">
        <v>2844</v>
      </c>
      <c r="CJ308" s="93"/>
      <c r="CK308" s="2"/>
      <c r="CL308" s="22" t="s">
        <v>2844</v>
      </c>
      <c r="CM308" s="12"/>
      <c r="CN308" s="48"/>
      <c r="CO308" s="95"/>
      <c r="CP308" s="2"/>
      <c r="CQ308" s="2" t="s">
        <v>2852</v>
      </c>
      <c r="CR308" s="97">
        <v>60.0</v>
      </c>
      <c r="CS308" s="2" t="s">
        <v>248</v>
      </c>
      <c r="CT308" s="98">
        <v>153.0</v>
      </c>
      <c r="CU308" s="2"/>
      <c r="CV308" s="52" t="s">
        <v>149</v>
      </c>
      <c r="CW308" s="52" t="s">
        <v>149</v>
      </c>
      <c r="CX308" s="2"/>
      <c r="CY308" s="382" t="s">
        <v>728</v>
      </c>
      <c r="CZ308" s="385"/>
      <c r="DA308" s="2"/>
      <c r="DB308" s="98">
        <v>90.0</v>
      </c>
      <c r="DC308" s="2"/>
      <c r="DD308" s="101" t="s">
        <v>150</v>
      </c>
      <c r="DE308" s="2"/>
      <c r="DF308" s="159" t="s">
        <v>2853</v>
      </c>
      <c r="DG308" s="382"/>
      <c r="DH308" s="385"/>
      <c r="DI308" s="2"/>
      <c r="DJ308" s="2"/>
      <c r="DK308" s="59" t="s">
        <v>2854</v>
      </c>
      <c r="DL308" s="37" t="s">
        <v>7</v>
      </c>
      <c r="DM308" s="37" t="str">
        <f t="shared" si="3"/>
        <v>#NAME?</v>
      </c>
      <c r="DN308" s="61"/>
      <c r="DO308" s="37" t="s">
        <v>19</v>
      </c>
      <c r="DP308" s="37" t="s">
        <v>19</v>
      </c>
      <c r="DQ308" s="62" t="s">
        <v>137</v>
      </c>
      <c r="DR308" s="63"/>
      <c r="DS308" s="198"/>
      <c r="DT308" s="108"/>
      <c r="DU308" s="108"/>
      <c r="DV308" s="182"/>
      <c r="DW308" s="182"/>
      <c r="DX308" s="182"/>
      <c r="DY308" s="182"/>
      <c r="DZ308" s="182"/>
      <c r="EA308" s="182"/>
      <c r="EB308" s="2"/>
      <c r="EC308" s="182"/>
      <c r="ED308" s="2"/>
      <c r="EE308" s="394" t="s">
        <v>2855</v>
      </c>
      <c r="EF308" s="68" t="s">
        <v>2856</v>
      </c>
      <c r="EG308" s="69" t="str">
        <f>image("https://www.serebii.net/diamondpearl/berries/01.png", 3)</f>
        <v/>
      </c>
      <c r="EH308" s="69"/>
      <c r="EI308" s="69"/>
    </row>
    <row r="309" ht="15.75" customHeight="1">
      <c r="A309" s="1">
        <v>309.0</v>
      </c>
      <c r="B309" s="2" t="s">
        <v>2857</v>
      </c>
      <c r="C309" s="7"/>
      <c r="D309" s="4" t="s">
        <v>2858</v>
      </c>
      <c r="E309" s="5"/>
      <c r="F309" s="6"/>
      <c r="G309" s="7"/>
      <c r="H309" s="8" t="s">
        <v>2859</v>
      </c>
      <c r="I309" s="9" t="s">
        <v>2860</v>
      </c>
      <c r="J309" s="355" t="str">
        <f>image("https://archives.bulbagarden.net/media/upload/4/4d/309MS6.png", 3)</f>
        <v/>
      </c>
      <c r="K309" s="11" t="s">
        <v>2858</v>
      </c>
      <c r="L309" s="12"/>
      <c r="M309" s="12"/>
      <c r="N309" s="12"/>
      <c r="O309" s="12"/>
      <c r="Q309" s="71">
        <v>40.0</v>
      </c>
      <c r="R309" s="72">
        <v>45.0</v>
      </c>
      <c r="S309" s="73">
        <v>40.0</v>
      </c>
      <c r="T309" s="74">
        <v>65.0</v>
      </c>
      <c r="U309" s="75">
        <v>40.0</v>
      </c>
      <c r="V309" s="76">
        <v>65.0</v>
      </c>
      <c r="W309" s="77">
        <v>295.0</v>
      </c>
      <c r="X309" s="21"/>
      <c r="Y309" s="71">
        <v>40.0</v>
      </c>
      <c r="Z309" s="72">
        <v>45.0</v>
      </c>
      <c r="AA309" s="73">
        <v>40.0</v>
      </c>
      <c r="AB309" s="74">
        <v>65.0</v>
      </c>
      <c r="AC309" s="75">
        <v>40.0</v>
      </c>
      <c r="AD309" s="76">
        <v>65.0</v>
      </c>
      <c r="AE309" s="77">
        <v>295.0</v>
      </c>
      <c r="AF309" s="21"/>
      <c r="AG309" s="71">
        <v>40.0</v>
      </c>
      <c r="AH309" s="72">
        <v>45.0</v>
      </c>
      <c r="AI309" s="73">
        <v>40.0</v>
      </c>
      <c r="AJ309" s="74">
        <v>65.0</v>
      </c>
      <c r="AK309" s="75">
        <v>40.0</v>
      </c>
      <c r="AL309" s="76">
        <v>65.0</v>
      </c>
      <c r="AM309" s="77">
        <v>295.0</v>
      </c>
      <c r="AN309" s="21"/>
      <c r="AO309" s="22">
        <v>40.0</v>
      </c>
      <c r="AP309" s="23">
        <v>45.0</v>
      </c>
      <c r="AQ309" s="23">
        <v>40.0</v>
      </c>
      <c r="AR309" s="23">
        <v>65.0</v>
      </c>
      <c r="AS309" s="23">
        <v>40.0</v>
      </c>
      <c r="AT309" s="23">
        <v>65.0</v>
      </c>
      <c r="AU309" s="24">
        <v>295.0</v>
      </c>
      <c r="AV309" s="21"/>
      <c r="AW309" s="78">
        <v>40.0</v>
      </c>
      <c r="AX309" s="79">
        <v>45.0</v>
      </c>
      <c r="AY309" s="124">
        <v>40.0</v>
      </c>
      <c r="AZ309" s="124">
        <v>65.0</v>
      </c>
      <c r="BA309" s="124">
        <v>40.0</v>
      </c>
      <c r="BB309" s="124">
        <v>65.0</v>
      </c>
      <c r="BC309" s="125">
        <v>295.0</v>
      </c>
      <c r="BE309" s="126" t="s">
        <v>56</v>
      </c>
      <c r="BF309" s="143"/>
      <c r="BG309" s="128"/>
      <c r="BI309" s="31" t="s">
        <v>5</v>
      </c>
      <c r="BJ309" s="32" t="s">
        <v>5</v>
      </c>
      <c r="BK309" s="32" t="s">
        <v>5</v>
      </c>
      <c r="BL309" s="32" t="s">
        <v>5</v>
      </c>
      <c r="BM309" s="32" t="s">
        <v>5</v>
      </c>
      <c r="BN309" s="33">
        <v>1.0</v>
      </c>
      <c r="BP309" s="115" t="s">
        <v>197</v>
      </c>
      <c r="BQ309" s="93"/>
      <c r="BS309" s="115" t="s">
        <v>197</v>
      </c>
      <c r="BT309" s="133"/>
      <c r="BU309" s="37" t="str">
        <f t="shared" si="1"/>
        <v>#NAME?</v>
      </c>
      <c r="BV309" s="89" t="s">
        <v>197</v>
      </c>
      <c r="BW309" s="37" t="str">
        <f t="shared" si="2"/>
        <v>#NAME?</v>
      </c>
      <c r="BX309" s="89"/>
      <c r="BY309" s="39"/>
      <c r="BZ309" s="39"/>
      <c r="CA309" s="40" t="s">
        <v>197</v>
      </c>
      <c r="CB309" s="41"/>
      <c r="CC309" s="90" t="s">
        <v>197</v>
      </c>
      <c r="CD309" s="91"/>
      <c r="CE309" s="21"/>
      <c r="CF309" s="92" t="s">
        <v>352</v>
      </c>
      <c r="CG309" s="93" t="s">
        <v>353</v>
      </c>
      <c r="CH309" s="21"/>
      <c r="CI309" s="92" t="s">
        <v>352</v>
      </c>
      <c r="CJ309" s="93" t="s">
        <v>353</v>
      </c>
      <c r="CK309" s="21"/>
      <c r="CL309" s="22" t="s">
        <v>352</v>
      </c>
      <c r="CM309" s="12"/>
      <c r="CN309" s="48"/>
      <c r="CO309" s="96" t="s">
        <v>353</v>
      </c>
      <c r="CP309" s="21"/>
      <c r="CQ309" s="2" t="s">
        <v>2861</v>
      </c>
      <c r="CR309" s="97">
        <v>40.0</v>
      </c>
      <c r="CS309" s="2" t="s">
        <v>56</v>
      </c>
      <c r="CT309" s="98">
        <v>104.0</v>
      </c>
      <c r="CU309" s="2"/>
      <c r="CV309" s="52" t="s">
        <v>149</v>
      </c>
      <c r="CW309" s="52" t="s">
        <v>149</v>
      </c>
      <c r="CX309" s="2"/>
      <c r="CY309" s="119" t="s">
        <v>277</v>
      </c>
      <c r="CZ309" s="160"/>
      <c r="DA309" s="2"/>
      <c r="DB309" s="98">
        <v>120.0</v>
      </c>
      <c r="DC309" s="2"/>
      <c r="DD309" s="101" t="s">
        <v>683</v>
      </c>
      <c r="DE309" s="2"/>
      <c r="DF309" s="253" t="s">
        <v>2862</v>
      </c>
      <c r="DG309" s="119"/>
      <c r="DH309" s="160"/>
      <c r="DI309" s="21"/>
      <c r="DJ309" s="21"/>
      <c r="DK309" s="59" t="s">
        <v>2863</v>
      </c>
      <c r="DL309" s="37" t="s">
        <v>156</v>
      </c>
      <c r="DM309" s="37" t="str">
        <f t="shared" si="3"/>
        <v>#NAME?</v>
      </c>
      <c r="DN309" s="61"/>
      <c r="DO309" s="37" t="s">
        <v>19</v>
      </c>
      <c r="DP309" s="37" t="s">
        <v>19</v>
      </c>
      <c r="DQ309" s="62" t="s">
        <v>342</v>
      </c>
      <c r="DR309" s="63"/>
      <c r="DS309" s="198"/>
      <c r="DT309" s="108"/>
      <c r="DU309" s="108"/>
      <c r="DV309" s="182"/>
      <c r="DW309" s="182"/>
      <c r="DX309" s="182"/>
      <c r="DY309" s="182"/>
      <c r="DZ309" s="182"/>
      <c r="EA309" s="182"/>
      <c r="EB309" s="2"/>
      <c r="EC309" s="182"/>
      <c r="ED309" s="2"/>
      <c r="EE309" s="394" t="s">
        <v>2864</v>
      </c>
      <c r="EF309" s="68" t="s">
        <v>2865</v>
      </c>
      <c r="EG309" s="69" t="str">
        <f>image("https://www.serebii.net/diamondpearl/berries/02.png", 3)</f>
        <v/>
      </c>
      <c r="EH309" s="69"/>
      <c r="EI309" s="69"/>
    </row>
    <row r="310" ht="15.75" customHeight="1">
      <c r="A310" s="1">
        <v>310.0</v>
      </c>
      <c r="B310" s="2" t="s">
        <v>2866</v>
      </c>
      <c r="C310" s="7"/>
      <c r="D310" s="169" t="s">
        <v>2867</v>
      </c>
      <c r="E310" s="5"/>
      <c r="F310" s="170"/>
      <c r="G310" s="7"/>
      <c r="H310" s="8" t="s">
        <v>2868</v>
      </c>
      <c r="I310" s="9" t="s">
        <v>2869</v>
      </c>
      <c r="J310" s="355" t="str">
        <f>image("https://archives.bulbagarden.net/media/upload/8/8a/310MS6.png", 3)</f>
        <v/>
      </c>
      <c r="K310" s="11" t="s">
        <v>2867</v>
      </c>
      <c r="L310" s="12"/>
      <c r="M310" s="12"/>
      <c r="N310" s="12"/>
      <c r="O310" s="12"/>
      <c r="Q310" s="71">
        <v>70.0</v>
      </c>
      <c r="R310" s="72">
        <v>75.0</v>
      </c>
      <c r="S310" s="73">
        <v>60.0</v>
      </c>
      <c r="T310" s="74">
        <v>105.0</v>
      </c>
      <c r="U310" s="75">
        <v>60.0</v>
      </c>
      <c r="V310" s="76">
        <v>105.0</v>
      </c>
      <c r="W310" s="77">
        <v>475.0</v>
      </c>
      <c r="X310" s="21"/>
      <c r="Y310" s="71">
        <v>70.0</v>
      </c>
      <c r="Z310" s="72">
        <v>75.0</v>
      </c>
      <c r="AA310" s="73">
        <v>60.0</v>
      </c>
      <c r="AB310" s="74">
        <v>105.0</v>
      </c>
      <c r="AC310" s="75">
        <v>60.0</v>
      </c>
      <c r="AD310" s="76">
        <v>105.0</v>
      </c>
      <c r="AE310" s="77">
        <v>475.0</v>
      </c>
      <c r="AF310" s="21"/>
      <c r="AG310" s="71">
        <v>70.0</v>
      </c>
      <c r="AH310" s="72">
        <v>75.0</v>
      </c>
      <c r="AI310" s="73">
        <v>60.0</v>
      </c>
      <c r="AJ310" s="74">
        <v>105.0</v>
      </c>
      <c r="AK310" s="75">
        <v>60.0</v>
      </c>
      <c r="AL310" s="76">
        <v>105.0</v>
      </c>
      <c r="AM310" s="77">
        <v>475.0</v>
      </c>
      <c r="AN310" s="21"/>
      <c r="AO310" s="22">
        <v>70.0</v>
      </c>
      <c r="AP310" s="23">
        <v>75.0</v>
      </c>
      <c r="AQ310" s="23">
        <v>60.0</v>
      </c>
      <c r="AR310" s="23">
        <v>105.0</v>
      </c>
      <c r="AS310" s="23">
        <v>60.0</v>
      </c>
      <c r="AT310" s="23">
        <v>105.0</v>
      </c>
      <c r="AU310" s="24">
        <v>475.0</v>
      </c>
      <c r="AV310" s="21"/>
      <c r="AW310" s="78">
        <v>70.0</v>
      </c>
      <c r="AX310" s="79">
        <v>75.0</v>
      </c>
      <c r="AY310" s="80">
        <v>60.0</v>
      </c>
      <c r="AZ310" s="80">
        <v>105.0</v>
      </c>
      <c r="BA310" s="80">
        <v>60.0</v>
      </c>
      <c r="BB310" s="80">
        <v>105.0</v>
      </c>
      <c r="BC310" s="81">
        <v>475.0</v>
      </c>
      <c r="BE310" s="176" t="s">
        <v>248</v>
      </c>
      <c r="BF310" s="113"/>
      <c r="BG310" s="384"/>
      <c r="BI310" s="31" t="s">
        <v>5</v>
      </c>
      <c r="BJ310" s="32" t="s">
        <v>5</v>
      </c>
      <c r="BK310" s="32" t="s">
        <v>5</v>
      </c>
      <c r="BL310" s="32" t="s">
        <v>5</v>
      </c>
      <c r="BM310" s="32" t="s">
        <v>5</v>
      </c>
      <c r="BN310" s="33">
        <v>2.0</v>
      </c>
      <c r="BP310" s="85" t="s">
        <v>197</v>
      </c>
      <c r="BQ310" s="129"/>
      <c r="BS310" s="87" t="s">
        <v>197</v>
      </c>
      <c r="BT310" s="130"/>
      <c r="BU310" s="37" t="str">
        <f t="shared" si="1"/>
        <v>#NAME?</v>
      </c>
      <c r="BV310" s="89" t="s">
        <v>197</v>
      </c>
      <c r="BW310" s="37" t="str">
        <f t="shared" si="2"/>
        <v>#NAME?</v>
      </c>
      <c r="BX310" s="89"/>
      <c r="BY310" s="39"/>
      <c r="BZ310" s="39"/>
      <c r="CA310" s="40" t="s">
        <v>197</v>
      </c>
      <c r="CB310" s="41"/>
      <c r="CC310" s="90" t="s">
        <v>197</v>
      </c>
      <c r="CD310" s="91"/>
      <c r="CE310" s="21"/>
      <c r="CF310" s="92" t="s">
        <v>352</v>
      </c>
      <c r="CG310" s="93" t="s">
        <v>353</v>
      </c>
      <c r="CH310" s="21"/>
      <c r="CI310" s="92" t="s">
        <v>352</v>
      </c>
      <c r="CJ310" s="188" t="s">
        <v>353</v>
      </c>
      <c r="CK310" s="21"/>
      <c r="CL310" s="22" t="s">
        <v>352</v>
      </c>
      <c r="CM310" s="12"/>
      <c r="CN310" s="48"/>
      <c r="CO310" s="189" t="s">
        <v>353</v>
      </c>
      <c r="CP310" s="21"/>
      <c r="CQ310" s="2" t="s">
        <v>2870</v>
      </c>
      <c r="CR310" s="97">
        <v>60.0</v>
      </c>
      <c r="CS310" s="2" t="s">
        <v>248</v>
      </c>
      <c r="CT310" s="98">
        <v>168.0</v>
      </c>
      <c r="CU310" s="2"/>
      <c r="CV310" s="52" t="s">
        <v>149</v>
      </c>
      <c r="CW310" s="52" t="s">
        <v>149</v>
      </c>
      <c r="CX310" s="2"/>
      <c r="CY310" s="382" t="s">
        <v>277</v>
      </c>
      <c r="CZ310" s="385"/>
      <c r="DA310" s="2"/>
      <c r="DB310" s="98">
        <v>45.0</v>
      </c>
      <c r="DC310" s="2"/>
      <c r="DD310" s="101" t="s">
        <v>683</v>
      </c>
      <c r="DE310" s="2"/>
      <c r="DF310" s="383" t="s">
        <v>2871</v>
      </c>
      <c r="DG310" s="382"/>
      <c r="DH310" s="385"/>
      <c r="DI310" s="2"/>
      <c r="DJ310" s="2"/>
      <c r="DK310" s="59" t="s">
        <v>2872</v>
      </c>
      <c r="DL310" s="37" t="s">
        <v>122</v>
      </c>
      <c r="DM310" s="37" t="str">
        <f t="shared" si="3"/>
        <v>#NAME?</v>
      </c>
      <c r="DN310" s="61"/>
      <c r="DO310" s="37" t="s">
        <v>19</v>
      </c>
      <c r="DP310" s="37" t="s">
        <v>19</v>
      </c>
      <c r="DQ310" s="62" t="s">
        <v>342</v>
      </c>
      <c r="DR310" s="63"/>
      <c r="DS310" s="198"/>
      <c r="DT310" s="108"/>
      <c r="DU310" s="108"/>
      <c r="DV310" s="182"/>
      <c r="DW310" s="182"/>
      <c r="DX310" s="182"/>
      <c r="DY310" s="182"/>
      <c r="DZ310" s="182"/>
      <c r="EA310" s="182"/>
      <c r="EB310" s="2"/>
      <c r="EC310" s="182"/>
      <c r="ED310" s="2"/>
      <c r="EE310" s="394" t="s">
        <v>2873</v>
      </c>
      <c r="EF310" s="68" t="s">
        <v>2874</v>
      </c>
      <c r="EG310" s="69" t="str">
        <f>image("https://www.serebii.net/diamondpearl/berries/03.png", 3)</f>
        <v/>
      </c>
      <c r="EH310" s="69"/>
      <c r="EI310" s="69"/>
    </row>
    <row r="311" ht="15.75" customHeight="1">
      <c r="A311" s="1">
        <v>311.0</v>
      </c>
      <c r="B311" s="2" t="s">
        <v>2875</v>
      </c>
      <c r="C311" s="7"/>
      <c r="D311" s="169" t="s">
        <v>2876</v>
      </c>
      <c r="E311" s="5"/>
      <c r="F311" s="170"/>
      <c r="G311" s="7"/>
      <c r="H311" s="8" t="s">
        <v>2877</v>
      </c>
      <c r="I311" s="9" t="s">
        <v>2878</v>
      </c>
      <c r="J311" s="355" t="str">
        <f>image("https://archives.bulbagarden.net/media/upload/f/f2/311MS6.png", 3)</f>
        <v/>
      </c>
      <c r="K311" s="11" t="s">
        <v>2876</v>
      </c>
      <c r="L311" s="12"/>
      <c r="M311" s="12"/>
      <c r="N311" s="12"/>
      <c r="O311" s="12"/>
      <c r="Q311" s="71">
        <v>60.0</v>
      </c>
      <c r="R311" s="72">
        <v>50.0</v>
      </c>
      <c r="S311" s="73">
        <v>40.0</v>
      </c>
      <c r="T311" s="74">
        <v>85.0</v>
      </c>
      <c r="U311" s="75">
        <v>75.0</v>
      </c>
      <c r="V311" s="76">
        <v>95.0</v>
      </c>
      <c r="W311" s="77">
        <v>405.0</v>
      </c>
      <c r="X311" s="21"/>
      <c r="Y311" s="71">
        <v>60.0</v>
      </c>
      <c r="Z311" s="72">
        <v>50.0</v>
      </c>
      <c r="AA311" s="73">
        <v>40.0</v>
      </c>
      <c r="AB311" s="74">
        <v>85.0</v>
      </c>
      <c r="AC311" s="75">
        <v>75.0</v>
      </c>
      <c r="AD311" s="76">
        <v>95.0</v>
      </c>
      <c r="AE311" s="77">
        <v>405.0</v>
      </c>
      <c r="AF311" s="21"/>
      <c r="AG311" s="71">
        <v>60.0</v>
      </c>
      <c r="AH311" s="72">
        <v>50.0</v>
      </c>
      <c r="AI311" s="109">
        <v>50.0</v>
      </c>
      <c r="AJ311" s="109">
        <v>95.0</v>
      </c>
      <c r="AK311" s="109">
        <v>85.0</v>
      </c>
      <c r="AL311" s="109">
        <v>110.0</v>
      </c>
      <c r="AM311" s="110">
        <v>450.0</v>
      </c>
      <c r="AN311" s="21"/>
      <c r="AO311" s="22">
        <v>60.0</v>
      </c>
      <c r="AP311" s="23">
        <v>50.0</v>
      </c>
      <c r="AQ311" s="23" t="s">
        <v>233</v>
      </c>
      <c r="AR311" s="23" t="s">
        <v>215</v>
      </c>
      <c r="AS311" s="23" t="s">
        <v>1621</v>
      </c>
      <c r="AT311" s="23" t="s">
        <v>40</v>
      </c>
      <c r="AU311" s="24" t="s">
        <v>176</v>
      </c>
      <c r="AV311" s="21"/>
      <c r="AW311" s="78">
        <v>60.0</v>
      </c>
      <c r="AX311" s="80">
        <v>50.0</v>
      </c>
      <c r="AY311" s="111">
        <v>50.0</v>
      </c>
      <c r="AZ311" s="171">
        <v>95.0</v>
      </c>
      <c r="BA311" s="171">
        <v>85.0</v>
      </c>
      <c r="BB311" s="171">
        <v>110.0</v>
      </c>
      <c r="BC311" s="171">
        <v>450.0</v>
      </c>
      <c r="BE311" s="126" t="s">
        <v>56</v>
      </c>
      <c r="BF311" s="143"/>
      <c r="BG311" s="128"/>
      <c r="BI311" s="31" t="s">
        <v>5</v>
      </c>
      <c r="BJ311" s="32" t="s">
        <v>5</v>
      </c>
      <c r="BK311" s="32" t="s">
        <v>5</v>
      </c>
      <c r="BL311" s="32" t="s">
        <v>5</v>
      </c>
      <c r="BM311" s="32" t="s">
        <v>5</v>
      </c>
      <c r="BN311" s="33">
        <v>1.0</v>
      </c>
      <c r="BP311" s="115" t="s">
        <v>197</v>
      </c>
      <c r="BQ311" s="93"/>
      <c r="BS311" s="115" t="s">
        <v>197</v>
      </c>
      <c r="BT311" s="133"/>
      <c r="BU311" s="37" t="str">
        <f t="shared" si="1"/>
        <v>#NAME?</v>
      </c>
      <c r="BV311" s="89" t="s">
        <v>197</v>
      </c>
      <c r="BW311" s="37" t="str">
        <f t="shared" si="2"/>
        <v>#NAME?</v>
      </c>
      <c r="BX311" s="89"/>
      <c r="BY311" s="39"/>
      <c r="BZ311" s="39"/>
      <c r="CA311" s="40" t="s">
        <v>197</v>
      </c>
      <c r="CB311" s="41"/>
      <c r="CC311" s="90" t="s">
        <v>197</v>
      </c>
      <c r="CD311" s="91"/>
      <c r="CE311" s="21"/>
      <c r="CF311" s="92" t="s">
        <v>2879</v>
      </c>
      <c r="CG311" s="93"/>
      <c r="CH311" s="21"/>
      <c r="CI311" s="191" t="s">
        <v>2879</v>
      </c>
      <c r="CJ311" s="46" t="s">
        <v>353</v>
      </c>
      <c r="CK311" s="21"/>
      <c r="CL311" s="22" t="s">
        <v>2879</v>
      </c>
      <c r="CM311" s="12"/>
      <c r="CN311" s="48"/>
      <c r="CO311" s="192" t="s">
        <v>354</v>
      </c>
      <c r="CP311" s="21"/>
      <c r="CQ311" s="2" t="s">
        <v>629</v>
      </c>
      <c r="CR311" s="97">
        <v>20.0</v>
      </c>
      <c r="CS311" s="2" t="s">
        <v>56</v>
      </c>
      <c r="CT311" s="98">
        <v>120.0</v>
      </c>
      <c r="CU311" s="2"/>
      <c r="CV311" s="52" t="s">
        <v>149</v>
      </c>
      <c r="CW311" s="52" t="s">
        <v>149</v>
      </c>
      <c r="CX311" s="2"/>
      <c r="CY311" s="119" t="s">
        <v>153</v>
      </c>
      <c r="CZ311" s="160"/>
      <c r="DA311" s="2"/>
      <c r="DB311" s="98">
        <v>200.0</v>
      </c>
      <c r="DC311" s="2"/>
      <c r="DD311" s="101" t="s">
        <v>150</v>
      </c>
      <c r="DE311" s="2"/>
      <c r="DF311" s="120" t="s">
        <v>914</v>
      </c>
      <c r="DG311" s="119"/>
      <c r="DH311" s="160"/>
      <c r="DI311" s="2"/>
      <c r="DJ311" s="2"/>
      <c r="DK311" s="59" t="s">
        <v>2880</v>
      </c>
      <c r="DL311" s="37" t="s">
        <v>122</v>
      </c>
      <c r="DM311" s="37" t="str">
        <f t="shared" si="3"/>
        <v>#NAME?</v>
      </c>
      <c r="DN311" s="61"/>
      <c r="DO311" s="37" t="s">
        <v>19</v>
      </c>
      <c r="DP311" s="37" t="s">
        <v>19</v>
      </c>
      <c r="DQ311" s="62" t="s">
        <v>20</v>
      </c>
      <c r="DR311" s="155"/>
      <c r="DS311" s="251"/>
      <c r="DT311" s="108"/>
      <c r="DU311" s="108"/>
      <c r="DV311" s="252"/>
      <c r="DW311" s="252"/>
      <c r="DX311" s="252"/>
      <c r="DY311" s="252"/>
      <c r="DZ311" s="252"/>
      <c r="EA311" s="182"/>
      <c r="EB311" s="2"/>
      <c r="EC311" s="182"/>
      <c r="ED311" s="2"/>
      <c r="EE311" s="394" t="s">
        <v>2881</v>
      </c>
      <c r="EF311" s="68" t="s">
        <v>2882</v>
      </c>
      <c r="EG311" s="69" t="str">
        <f>image("https://www.serebii.net/diamondpearl/berries/04.png", 3)</f>
        <v/>
      </c>
      <c r="EH311" s="69"/>
      <c r="EI311" s="69"/>
    </row>
    <row r="312" ht="15.75" customHeight="1">
      <c r="A312" s="1">
        <v>312.0</v>
      </c>
      <c r="B312" s="2" t="s">
        <v>2883</v>
      </c>
      <c r="C312" s="7"/>
      <c r="D312" s="169" t="s">
        <v>2884</v>
      </c>
      <c r="E312" s="5"/>
      <c r="F312" s="170"/>
      <c r="G312" s="7"/>
      <c r="H312" s="8" t="s">
        <v>2885</v>
      </c>
      <c r="I312" s="9" t="s">
        <v>2886</v>
      </c>
      <c r="J312" s="355" t="str">
        <f>image("https://archives.bulbagarden.net/media/upload/3/35/312MS6.png", 3)</f>
        <v/>
      </c>
      <c r="K312" s="11" t="s">
        <v>2884</v>
      </c>
      <c r="L312" s="12"/>
      <c r="M312" s="12"/>
      <c r="N312" s="12"/>
      <c r="O312" s="12"/>
      <c r="Q312" s="71">
        <v>60.0</v>
      </c>
      <c r="R312" s="72">
        <v>40.0</v>
      </c>
      <c r="S312" s="73">
        <v>50.0</v>
      </c>
      <c r="T312" s="74">
        <v>75.0</v>
      </c>
      <c r="U312" s="75">
        <v>85.0</v>
      </c>
      <c r="V312" s="76">
        <v>95.0</v>
      </c>
      <c r="W312" s="77">
        <v>405.0</v>
      </c>
      <c r="X312" s="21"/>
      <c r="Y312" s="71">
        <v>60.0</v>
      </c>
      <c r="Z312" s="72">
        <v>40.0</v>
      </c>
      <c r="AA312" s="73">
        <v>50.0</v>
      </c>
      <c r="AB312" s="74">
        <v>75.0</v>
      </c>
      <c r="AC312" s="75">
        <v>85.0</v>
      </c>
      <c r="AD312" s="76">
        <v>95.0</v>
      </c>
      <c r="AE312" s="77">
        <v>405.0</v>
      </c>
      <c r="AF312" s="21"/>
      <c r="AG312" s="71">
        <v>60.0</v>
      </c>
      <c r="AH312" s="109">
        <v>50.0</v>
      </c>
      <c r="AI312" s="73">
        <v>50.0</v>
      </c>
      <c r="AJ312" s="109">
        <v>85.0</v>
      </c>
      <c r="AK312" s="109">
        <v>95.0</v>
      </c>
      <c r="AL312" s="109">
        <v>110.0</v>
      </c>
      <c r="AM312" s="110">
        <v>450.0</v>
      </c>
      <c r="AN312" s="21"/>
      <c r="AO312" s="22">
        <v>60.0</v>
      </c>
      <c r="AP312" s="23" t="s">
        <v>233</v>
      </c>
      <c r="AQ312" s="23">
        <v>50.0</v>
      </c>
      <c r="AR312" s="23" t="s">
        <v>1621</v>
      </c>
      <c r="AS312" s="23" t="s">
        <v>215</v>
      </c>
      <c r="AT312" s="23" t="s">
        <v>40</v>
      </c>
      <c r="AU312" s="24" t="s">
        <v>176</v>
      </c>
      <c r="AV312" s="21"/>
      <c r="AW312" s="78">
        <v>60.0</v>
      </c>
      <c r="AX312" s="171">
        <v>50.0</v>
      </c>
      <c r="AY312" s="182">
        <v>50.0</v>
      </c>
      <c r="AZ312" s="171">
        <v>85.0</v>
      </c>
      <c r="BA312" s="171">
        <v>95.0</v>
      </c>
      <c r="BB312" s="171">
        <v>110.0</v>
      </c>
      <c r="BC312" s="171">
        <v>450.0</v>
      </c>
      <c r="BE312" s="126" t="s">
        <v>56</v>
      </c>
      <c r="BF312" s="386"/>
      <c r="BG312" s="128"/>
      <c r="BI312" s="31" t="s">
        <v>5</v>
      </c>
      <c r="BJ312" s="32" t="s">
        <v>5</v>
      </c>
      <c r="BK312" s="32" t="s">
        <v>5</v>
      </c>
      <c r="BL312" s="32" t="s">
        <v>5</v>
      </c>
      <c r="BM312" s="32" t="s">
        <v>5</v>
      </c>
      <c r="BN312" s="33">
        <v>1.0</v>
      </c>
      <c r="BP312" s="85" t="s">
        <v>197</v>
      </c>
      <c r="BQ312" s="129"/>
      <c r="BS312" s="87" t="s">
        <v>197</v>
      </c>
      <c r="BT312" s="130"/>
      <c r="BU312" s="37" t="str">
        <f t="shared" si="1"/>
        <v>#NAME?</v>
      </c>
      <c r="BV312" s="89" t="s">
        <v>197</v>
      </c>
      <c r="BW312" s="37" t="str">
        <f t="shared" si="2"/>
        <v>#NAME?</v>
      </c>
      <c r="BX312" s="89"/>
      <c r="BY312" s="134"/>
      <c r="BZ312" s="134"/>
      <c r="CA312" s="135" t="s">
        <v>197</v>
      </c>
      <c r="CB312" s="136"/>
      <c r="CC312" s="90" t="s">
        <v>197</v>
      </c>
      <c r="CD312" s="137"/>
      <c r="CE312" s="21"/>
      <c r="CF312" s="92" t="s">
        <v>2887</v>
      </c>
      <c r="CG312" s="93"/>
      <c r="CH312" s="21"/>
      <c r="CI312" s="277" t="s">
        <v>2887</v>
      </c>
      <c r="CJ312" s="94" t="s">
        <v>1387</v>
      </c>
      <c r="CK312" s="21"/>
      <c r="CL312" s="22" t="s">
        <v>2887</v>
      </c>
      <c r="CM312" s="12"/>
      <c r="CN312" s="48"/>
      <c r="CO312" s="235" t="s">
        <v>2888</v>
      </c>
      <c r="CP312" s="21"/>
      <c r="CQ312" s="2" t="s">
        <v>629</v>
      </c>
      <c r="CR312" s="97">
        <v>20.0</v>
      </c>
      <c r="CS312" s="2" t="s">
        <v>56</v>
      </c>
      <c r="CT312" s="98">
        <v>120.0</v>
      </c>
      <c r="CU312" s="2"/>
      <c r="CV312" s="52" t="s">
        <v>149</v>
      </c>
      <c r="CW312" s="52" t="s">
        <v>149</v>
      </c>
      <c r="CX312" s="2"/>
      <c r="CY312" s="382" t="s">
        <v>153</v>
      </c>
      <c r="CZ312" s="385"/>
      <c r="DA312" s="2"/>
      <c r="DB312" s="98">
        <v>200.0</v>
      </c>
      <c r="DC312" s="2"/>
      <c r="DD312" s="101" t="s">
        <v>150</v>
      </c>
      <c r="DE312" s="2"/>
      <c r="DF312" s="383" t="s">
        <v>914</v>
      </c>
      <c r="DG312" s="382"/>
      <c r="DH312" s="385"/>
      <c r="DI312" s="2"/>
      <c r="DJ312" s="2"/>
      <c r="DK312" s="59" t="s">
        <v>2889</v>
      </c>
      <c r="DL312" s="37" t="s">
        <v>32</v>
      </c>
      <c r="DM312" s="37" t="str">
        <f t="shared" si="3"/>
        <v>#NAME?</v>
      </c>
      <c r="DN312" s="61"/>
      <c r="DO312" s="37" t="s">
        <v>19</v>
      </c>
      <c r="DP312" s="37" t="s">
        <v>19</v>
      </c>
      <c r="DQ312" s="62" t="s">
        <v>20</v>
      </c>
      <c r="DR312" s="63"/>
      <c r="DS312" s="198"/>
      <c r="DT312" s="108"/>
      <c r="DU312" s="108"/>
      <c r="DV312" s="182"/>
      <c r="DW312" s="182"/>
      <c r="DX312" s="182"/>
      <c r="DY312" s="182"/>
      <c r="DZ312" s="182"/>
      <c r="EA312" s="182"/>
      <c r="EB312" s="2"/>
      <c r="EC312" s="182"/>
      <c r="ED312" s="2"/>
      <c r="EE312" s="394" t="s">
        <v>2890</v>
      </c>
      <c r="EF312" s="68" t="s">
        <v>2891</v>
      </c>
      <c r="EG312" s="69" t="str">
        <f>image("https://www.serebii.net/diamondpearl/berries/05.png", 3)</f>
        <v/>
      </c>
      <c r="EH312" s="69"/>
      <c r="EI312" s="69"/>
    </row>
    <row r="313" ht="15.75" customHeight="1">
      <c r="A313" s="1">
        <v>313.0</v>
      </c>
      <c r="B313" s="2" t="s">
        <v>2892</v>
      </c>
      <c r="C313" s="7"/>
      <c r="D313" s="247" t="s">
        <v>2893</v>
      </c>
      <c r="E313" s="5"/>
      <c r="F313" s="248"/>
      <c r="G313" s="7"/>
      <c r="H313" s="8" t="s">
        <v>2894</v>
      </c>
      <c r="I313" s="9" t="s">
        <v>2895</v>
      </c>
      <c r="J313" s="355" t="str">
        <f>image("https://archives.bulbagarden.net/media/upload/7/75/313MS6.png", 3)</f>
        <v/>
      </c>
      <c r="K313" s="11" t="s">
        <v>2893</v>
      </c>
      <c r="L313" s="12"/>
      <c r="M313" s="12"/>
      <c r="N313" s="12"/>
      <c r="O313" s="12"/>
      <c r="Q313" s="71">
        <v>65.0</v>
      </c>
      <c r="R313" s="72">
        <v>73.0</v>
      </c>
      <c r="S313" s="73">
        <v>55.0</v>
      </c>
      <c r="T313" s="74">
        <v>47.0</v>
      </c>
      <c r="U313" s="75">
        <v>75.0</v>
      </c>
      <c r="V313" s="76">
        <v>85.0</v>
      </c>
      <c r="W313" s="77">
        <v>400.0</v>
      </c>
      <c r="X313" s="21"/>
      <c r="Y313" s="71">
        <v>65.0</v>
      </c>
      <c r="Z313" s="72">
        <v>73.0</v>
      </c>
      <c r="AA313" s="109">
        <v>75.0</v>
      </c>
      <c r="AB313" s="74">
        <v>47.0</v>
      </c>
      <c r="AC313" s="109">
        <v>85.0</v>
      </c>
      <c r="AD313" s="76">
        <v>85.0</v>
      </c>
      <c r="AE313" s="110">
        <v>430.0</v>
      </c>
      <c r="AF313" s="21"/>
      <c r="AG313" s="71">
        <v>65.0</v>
      </c>
      <c r="AH313" s="162">
        <v>33.0</v>
      </c>
      <c r="AI313" s="109">
        <v>75.0</v>
      </c>
      <c r="AJ313" s="109">
        <v>107.0</v>
      </c>
      <c r="AK313" s="109">
        <v>85.0</v>
      </c>
      <c r="AL313" s="109">
        <v>100.0</v>
      </c>
      <c r="AM313" s="110">
        <v>465.0</v>
      </c>
      <c r="AN313" s="21"/>
      <c r="AO313" s="22">
        <v>65.0</v>
      </c>
      <c r="AP313" s="23" t="s">
        <v>2896</v>
      </c>
      <c r="AQ313" s="23" t="s">
        <v>154</v>
      </c>
      <c r="AR313" s="23" t="s">
        <v>2897</v>
      </c>
      <c r="AS313" s="23" t="s">
        <v>1621</v>
      </c>
      <c r="AT313" s="23" t="s">
        <v>175</v>
      </c>
      <c r="AU313" s="24" t="s">
        <v>638</v>
      </c>
      <c r="AV313" s="21"/>
      <c r="AW313" s="78">
        <v>65.0</v>
      </c>
      <c r="AX313" s="163">
        <v>33.0</v>
      </c>
      <c r="AY313" s="164">
        <v>75.0</v>
      </c>
      <c r="AZ313" s="111">
        <v>107.0</v>
      </c>
      <c r="BA313" s="111">
        <v>85.0</v>
      </c>
      <c r="BB313" s="111">
        <v>100.0</v>
      </c>
      <c r="BC313" s="111">
        <v>465.0</v>
      </c>
      <c r="BE313" s="126" t="s">
        <v>56</v>
      </c>
      <c r="BF313" s="143"/>
      <c r="BG313" s="128"/>
      <c r="BI313" s="31" t="s">
        <v>5</v>
      </c>
      <c r="BJ313" s="32" t="s">
        <v>5</v>
      </c>
      <c r="BK313" s="32" t="s">
        <v>5</v>
      </c>
      <c r="BL313" s="32" t="s">
        <v>5</v>
      </c>
      <c r="BM313" s="32" t="s">
        <v>5</v>
      </c>
      <c r="BN313" s="33">
        <v>1.0</v>
      </c>
      <c r="BP313" s="115" t="s">
        <v>109</v>
      </c>
      <c r="BQ313" s="93"/>
      <c r="BS313" s="115" t="s">
        <v>109</v>
      </c>
      <c r="BT313" s="133"/>
      <c r="BU313" s="37" t="str">
        <f t="shared" si="1"/>
        <v>#NAME?</v>
      </c>
      <c r="BV313" s="89" t="s">
        <v>109</v>
      </c>
      <c r="BW313" s="37" t="str">
        <f t="shared" si="2"/>
        <v>#NAME?</v>
      </c>
      <c r="BX313" s="89" t="s">
        <v>427</v>
      </c>
      <c r="BY313" s="39"/>
      <c r="BZ313" s="39"/>
      <c r="CA313" s="40" t="s">
        <v>2898</v>
      </c>
      <c r="CB313" s="41"/>
      <c r="CC313" s="37" t="s">
        <v>109</v>
      </c>
      <c r="CD313" s="226" t="s">
        <v>197</v>
      </c>
      <c r="CE313" s="21"/>
      <c r="CF313" s="92" t="s">
        <v>1256</v>
      </c>
      <c r="CG313" s="93" t="s">
        <v>217</v>
      </c>
      <c r="CH313" s="21"/>
      <c r="CI313" s="272" t="s">
        <v>217</v>
      </c>
      <c r="CJ313" s="359" t="s">
        <v>1256</v>
      </c>
      <c r="CK313" s="21"/>
      <c r="CL313" s="22" t="s">
        <v>2899</v>
      </c>
      <c r="CM313" s="12"/>
      <c r="CN313" s="48"/>
      <c r="CO313" s="360" t="s">
        <v>1256</v>
      </c>
      <c r="CP313" s="21"/>
      <c r="CQ313" s="2" t="s">
        <v>2900</v>
      </c>
      <c r="CR313" s="97">
        <v>40.0</v>
      </c>
      <c r="CS313" s="2" t="s">
        <v>56</v>
      </c>
      <c r="CT313" s="98">
        <v>146.0</v>
      </c>
      <c r="CU313" s="2"/>
      <c r="CV313" s="52" t="s">
        <v>397</v>
      </c>
      <c r="CW313" s="202">
        <v>0.0</v>
      </c>
      <c r="CX313" s="2"/>
      <c r="CY313" s="118" t="s">
        <v>109</v>
      </c>
      <c r="CZ313" s="119" t="s">
        <v>728</v>
      </c>
      <c r="DA313" s="2"/>
      <c r="DB313" s="98">
        <v>150.0</v>
      </c>
      <c r="DC313" s="2"/>
      <c r="DD313" s="101" t="s">
        <v>2698</v>
      </c>
      <c r="DE313" s="2"/>
      <c r="DF313" s="120" t="s">
        <v>914</v>
      </c>
      <c r="DG313" s="118" t="s">
        <v>2491</v>
      </c>
      <c r="DH313" s="119"/>
      <c r="DI313" s="2"/>
      <c r="DJ313" s="2"/>
      <c r="DK313" s="59" t="s">
        <v>2901</v>
      </c>
      <c r="DL313" s="37" t="s">
        <v>6</v>
      </c>
      <c r="DM313" s="37" t="str">
        <f t="shared" si="3"/>
        <v>#NAME?</v>
      </c>
      <c r="DN313" s="61"/>
      <c r="DO313" s="37" t="s">
        <v>19</v>
      </c>
      <c r="DP313" s="37" t="s">
        <v>19</v>
      </c>
      <c r="DQ313" s="62" t="s">
        <v>293</v>
      </c>
      <c r="DR313" s="63"/>
      <c r="DS313" s="198"/>
      <c r="DT313" s="108"/>
      <c r="DU313" s="108"/>
      <c r="DV313" s="182"/>
      <c r="DW313" s="182"/>
      <c r="DX313" s="182"/>
      <c r="DY313" s="182"/>
      <c r="DZ313" s="182"/>
      <c r="EA313" s="182"/>
      <c r="EB313" s="2"/>
      <c r="EC313" s="182"/>
      <c r="ED313" s="2"/>
      <c r="EE313" s="394" t="s">
        <v>2902</v>
      </c>
      <c r="EF313" s="68" t="s">
        <v>2903</v>
      </c>
      <c r="EG313" s="69" t="str">
        <f>image("https://www.serebii.net/diamondpearl/berries/06.png", 3)</f>
        <v/>
      </c>
      <c r="EH313" s="69"/>
      <c r="EI313" s="69"/>
    </row>
    <row r="314" ht="15.75" customHeight="1">
      <c r="A314" s="1">
        <v>314.0</v>
      </c>
      <c r="B314" s="2" t="s">
        <v>2904</v>
      </c>
      <c r="C314" s="7"/>
      <c r="D314" s="180" t="s">
        <v>2905</v>
      </c>
      <c r="E314" s="5"/>
      <c r="F314" s="181"/>
      <c r="G314" s="7"/>
      <c r="H314" s="8" t="s">
        <v>2906</v>
      </c>
      <c r="I314" s="9" t="s">
        <v>2907</v>
      </c>
      <c r="J314" s="355" t="str">
        <f>image("https://archives.bulbagarden.net/media/upload/2/23/314MS6.png", 3)</f>
        <v/>
      </c>
      <c r="K314" s="11" t="s">
        <v>2905</v>
      </c>
      <c r="L314" s="12"/>
      <c r="M314" s="12"/>
      <c r="N314" s="12"/>
      <c r="O314" s="12"/>
      <c r="Q314" s="71">
        <v>65.0</v>
      </c>
      <c r="R314" s="72">
        <v>47.0</v>
      </c>
      <c r="S314" s="73">
        <v>55.0</v>
      </c>
      <c r="T314" s="74">
        <v>73.0</v>
      </c>
      <c r="U314" s="75">
        <v>75.0</v>
      </c>
      <c r="V314" s="76">
        <v>85.0</v>
      </c>
      <c r="W314" s="77">
        <v>400.0</v>
      </c>
      <c r="X314" s="21"/>
      <c r="Y314" s="71">
        <v>65.0</v>
      </c>
      <c r="Z314" s="72">
        <v>47.0</v>
      </c>
      <c r="AA314" s="109">
        <v>75.0</v>
      </c>
      <c r="AB314" s="74">
        <v>73.0</v>
      </c>
      <c r="AC314" s="109">
        <v>85.0</v>
      </c>
      <c r="AD314" s="76">
        <v>85.0</v>
      </c>
      <c r="AE314" s="110">
        <v>430.0</v>
      </c>
      <c r="AF314" s="21"/>
      <c r="AG314" s="71">
        <v>65.0</v>
      </c>
      <c r="AH314" s="162">
        <v>33.0</v>
      </c>
      <c r="AI314" s="109">
        <v>85.0</v>
      </c>
      <c r="AJ314" s="109">
        <v>97.0</v>
      </c>
      <c r="AK314" s="109">
        <v>85.0</v>
      </c>
      <c r="AL314" s="109">
        <v>100.0</v>
      </c>
      <c r="AM314" s="110">
        <v>465.0</v>
      </c>
      <c r="AN314" s="21"/>
      <c r="AO314" s="22">
        <v>65.0</v>
      </c>
      <c r="AP314" s="23" t="s">
        <v>2896</v>
      </c>
      <c r="AQ314" s="23" t="s">
        <v>1621</v>
      </c>
      <c r="AR314" s="23" t="s">
        <v>287</v>
      </c>
      <c r="AS314" s="23" t="s">
        <v>1621</v>
      </c>
      <c r="AT314" s="23" t="s">
        <v>175</v>
      </c>
      <c r="AU314" s="24" t="s">
        <v>638</v>
      </c>
      <c r="AV314" s="21"/>
      <c r="AW314" s="78">
        <v>65.0</v>
      </c>
      <c r="AX314" s="163">
        <v>33.0</v>
      </c>
      <c r="AY314" s="164">
        <v>85.0</v>
      </c>
      <c r="AZ314" s="111">
        <v>97.0</v>
      </c>
      <c r="BA314" s="111">
        <v>85.0</v>
      </c>
      <c r="BB314" s="111">
        <v>100.0</v>
      </c>
      <c r="BC314" s="111">
        <v>465.0</v>
      </c>
      <c r="BE314" s="126" t="s">
        <v>56</v>
      </c>
      <c r="BF314" s="386"/>
      <c r="BG314" s="128"/>
      <c r="BI314" s="31" t="s">
        <v>5</v>
      </c>
      <c r="BJ314" s="32" t="s">
        <v>5</v>
      </c>
      <c r="BK314" s="32" t="s">
        <v>5</v>
      </c>
      <c r="BL314" s="32" t="s">
        <v>5</v>
      </c>
      <c r="BM314" s="32" t="s">
        <v>5</v>
      </c>
      <c r="BN314" s="33">
        <v>1.0</v>
      </c>
      <c r="BP314" s="85" t="s">
        <v>109</v>
      </c>
      <c r="BQ314" s="129"/>
      <c r="BS314" s="87" t="s">
        <v>109</v>
      </c>
      <c r="BT314" s="130"/>
      <c r="BU314" s="37" t="str">
        <f t="shared" si="1"/>
        <v>#NAME?</v>
      </c>
      <c r="BV314" s="89" t="s">
        <v>109</v>
      </c>
      <c r="BW314" s="37" t="str">
        <f t="shared" si="2"/>
        <v>#NAME?</v>
      </c>
      <c r="BX314" s="89" t="s">
        <v>461</v>
      </c>
      <c r="BY314" s="39"/>
      <c r="BZ314" s="39"/>
      <c r="CA314" s="40" t="s">
        <v>2908</v>
      </c>
      <c r="CB314" s="41"/>
      <c r="CC314" s="37" t="s">
        <v>109</v>
      </c>
      <c r="CD314" s="233" t="s">
        <v>153</v>
      </c>
      <c r="CE314" s="21"/>
      <c r="CF314" s="92" t="s">
        <v>870</v>
      </c>
      <c r="CG314" s="93" t="s">
        <v>179</v>
      </c>
      <c r="CH314" s="21"/>
      <c r="CI314" s="362" t="s">
        <v>179</v>
      </c>
      <c r="CJ314" s="359" t="s">
        <v>870</v>
      </c>
      <c r="CK314" s="21"/>
      <c r="CL314" s="22" t="s">
        <v>2909</v>
      </c>
      <c r="CM314" s="12"/>
      <c r="CN314" s="48"/>
      <c r="CO314" s="360" t="s">
        <v>870</v>
      </c>
      <c r="CP314" s="21"/>
      <c r="CQ314" s="2" t="s">
        <v>2900</v>
      </c>
      <c r="CR314" s="97">
        <v>40.0</v>
      </c>
      <c r="CS314" s="2" t="s">
        <v>56</v>
      </c>
      <c r="CT314" s="98">
        <v>146.0</v>
      </c>
      <c r="CU314" s="2"/>
      <c r="CV314" s="202">
        <v>0.0</v>
      </c>
      <c r="CW314" s="52" t="s">
        <v>397</v>
      </c>
      <c r="CX314" s="2"/>
      <c r="CY314" s="381" t="s">
        <v>109</v>
      </c>
      <c r="CZ314" s="382" t="s">
        <v>728</v>
      </c>
      <c r="DA314" s="2"/>
      <c r="DB314" s="98">
        <v>150.0</v>
      </c>
      <c r="DC314" s="2"/>
      <c r="DD314" s="101" t="s">
        <v>2656</v>
      </c>
      <c r="DE314" s="2"/>
      <c r="DF314" s="395" t="s">
        <v>914</v>
      </c>
      <c r="DG314" s="381" t="s">
        <v>2491</v>
      </c>
      <c r="DH314" s="382"/>
      <c r="DI314" s="2"/>
      <c r="DJ314" s="2"/>
      <c r="DK314" s="59" t="s">
        <v>2910</v>
      </c>
      <c r="DL314" s="37" t="s">
        <v>156</v>
      </c>
      <c r="DM314" s="37" t="str">
        <f t="shared" si="3"/>
        <v>#NAME?</v>
      </c>
      <c r="DN314" s="61"/>
      <c r="DO314" s="37" t="s">
        <v>19</v>
      </c>
      <c r="DP314" s="37" t="s">
        <v>19</v>
      </c>
      <c r="DQ314" s="62" t="s">
        <v>20</v>
      </c>
      <c r="DR314" s="63"/>
      <c r="DS314" s="198"/>
      <c r="DT314" s="108"/>
      <c r="DU314" s="108"/>
      <c r="DV314" s="182"/>
      <c r="DW314" s="182"/>
      <c r="DX314" s="182"/>
      <c r="DY314" s="182"/>
      <c r="DZ314" s="182"/>
      <c r="EA314" s="182"/>
      <c r="EB314" s="2"/>
      <c r="EC314" s="182"/>
      <c r="ED314" s="2"/>
      <c r="EE314" s="396" t="s">
        <v>2911</v>
      </c>
      <c r="EF314" s="68" t="s">
        <v>2912</v>
      </c>
      <c r="EG314" s="69" t="str">
        <f>image("https://www.serebii.net/diamondpearl/berries/07.png", 3)</f>
        <v/>
      </c>
      <c r="EH314" s="69"/>
      <c r="EI314" s="69"/>
    </row>
    <row r="315" ht="15.75" customHeight="1">
      <c r="A315" s="1">
        <v>315.0</v>
      </c>
      <c r="B315" s="2" t="s">
        <v>2913</v>
      </c>
      <c r="C315" s="7"/>
      <c r="D315" s="4" t="s">
        <v>2914</v>
      </c>
      <c r="E315" s="5"/>
      <c r="F315" s="6"/>
      <c r="G315" s="7"/>
      <c r="H315" s="8" t="s">
        <v>2915</v>
      </c>
      <c r="I315" s="9" t="s">
        <v>2916</v>
      </c>
      <c r="J315" s="355" t="str">
        <f>image("https://archives.bulbagarden.net/media/upload/4/42/315MS6.png", 3)</f>
        <v/>
      </c>
      <c r="K315" s="11" t="s">
        <v>2914</v>
      </c>
      <c r="L315" s="12"/>
      <c r="M315" s="12"/>
      <c r="N315" s="12"/>
      <c r="O315" s="12"/>
      <c r="Q315" s="71">
        <v>50.0</v>
      </c>
      <c r="R315" s="72">
        <v>60.0</v>
      </c>
      <c r="S315" s="73">
        <v>45.0</v>
      </c>
      <c r="T315" s="74">
        <v>100.0</v>
      </c>
      <c r="U315" s="75">
        <v>80.0</v>
      </c>
      <c r="V315" s="76">
        <v>65.0</v>
      </c>
      <c r="W315" s="77">
        <v>400.0</v>
      </c>
      <c r="X315" s="21"/>
      <c r="Y315" s="71">
        <v>50.0</v>
      </c>
      <c r="Z315" s="72">
        <v>60.0</v>
      </c>
      <c r="AA315" s="73">
        <v>45.0</v>
      </c>
      <c r="AB315" s="74">
        <v>100.0</v>
      </c>
      <c r="AC315" s="75">
        <v>80.0</v>
      </c>
      <c r="AD315" s="76">
        <v>65.0</v>
      </c>
      <c r="AE315" s="77">
        <v>400.0</v>
      </c>
      <c r="AF315" s="21"/>
      <c r="AG315" s="71">
        <v>50.0</v>
      </c>
      <c r="AH315" s="72">
        <v>60.0</v>
      </c>
      <c r="AI315" s="73">
        <v>45.0</v>
      </c>
      <c r="AJ315" s="74">
        <v>100.0</v>
      </c>
      <c r="AK315" s="75">
        <v>80.0</v>
      </c>
      <c r="AL315" s="76">
        <v>65.0</v>
      </c>
      <c r="AM315" s="77">
        <v>400.0</v>
      </c>
      <c r="AN315" s="21"/>
      <c r="AO315" s="22">
        <v>50.0</v>
      </c>
      <c r="AP315" s="23">
        <v>60.0</v>
      </c>
      <c r="AQ315" s="23">
        <v>45.0</v>
      </c>
      <c r="AR315" s="23">
        <v>100.0</v>
      </c>
      <c r="AS315" s="23">
        <v>80.0</v>
      </c>
      <c r="AT315" s="23">
        <v>65.0</v>
      </c>
      <c r="AU315" s="24">
        <v>400.0</v>
      </c>
      <c r="AV315" s="21"/>
      <c r="AW315" s="78">
        <v>50.0</v>
      </c>
      <c r="AX315" s="124">
        <v>60.0</v>
      </c>
      <c r="AY315" s="124">
        <v>45.0</v>
      </c>
      <c r="AZ315" s="124">
        <v>100.0</v>
      </c>
      <c r="BA315" s="124">
        <v>80.0</v>
      </c>
      <c r="BB315" s="124">
        <v>65.0</v>
      </c>
      <c r="BC315" s="125">
        <v>400.0</v>
      </c>
      <c r="BE315" s="112" t="s">
        <v>42</v>
      </c>
      <c r="BF315" s="113"/>
      <c r="BG315" s="210"/>
      <c r="BI315" s="31" t="s">
        <v>5</v>
      </c>
      <c r="BJ315" s="32" t="s">
        <v>5</v>
      </c>
      <c r="BK315" s="32" t="s">
        <v>5</v>
      </c>
      <c r="BL315" s="234">
        <v>2.0</v>
      </c>
      <c r="BM315" s="32" t="s">
        <v>5</v>
      </c>
      <c r="BN315" s="33" t="s">
        <v>5</v>
      </c>
      <c r="BP315" s="115" t="s">
        <v>6</v>
      </c>
      <c r="BQ315" s="116" t="s">
        <v>7</v>
      </c>
      <c r="BS315" s="115" t="s">
        <v>6</v>
      </c>
      <c r="BT315" s="117" t="s">
        <v>7</v>
      </c>
      <c r="BU315" s="37" t="str">
        <f t="shared" si="1"/>
        <v>#NAME?</v>
      </c>
      <c r="BV315" s="89" t="s">
        <v>6</v>
      </c>
      <c r="BW315" s="37" t="str">
        <f t="shared" si="2"/>
        <v>#NAME?</v>
      </c>
      <c r="BX315" s="89" t="s">
        <v>7</v>
      </c>
      <c r="BY315" s="144"/>
      <c r="BZ315" s="144"/>
      <c r="CA315" s="145" t="s">
        <v>8</v>
      </c>
      <c r="CB315" s="146"/>
      <c r="CC315" s="90" t="s">
        <v>6</v>
      </c>
      <c r="CD315" s="147" t="s">
        <v>7</v>
      </c>
      <c r="CE315" s="2"/>
      <c r="CF315" s="92" t="s">
        <v>1182</v>
      </c>
      <c r="CG315" s="93" t="s">
        <v>394</v>
      </c>
      <c r="CH315" s="2"/>
      <c r="CI315" s="274" t="s">
        <v>394</v>
      </c>
      <c r="CJ315" s="275" t="s">
        <v>1182</v>
      </c>
      <c r="CK315" s="2"/>
      <c r="CL315" s="22" t="s">
        <v>2917</v>
      </c>
      <c r="CM315" s="12"/>
      <c r="CN315" s="48"/>
      <c r="CO315" s="242" t="s">
        <v>1182</v>
      </c>
      <c r="CP315" s="2"/>
      <c r="CQ315" s="2" t="s">
        <v>303</v>
      </c>
      <c r="CR315" s="97">
        <v>20.0</v>
      </c>
      <c r="CS315" s="2" t="s">
        <v>42</v>
      </c>
      <c r="CT315" s="98">
        <v>152.0</v>
      </c>
      <c r="CU315" s="2"/>
      <c r="CV315" s="52" t="s">
        <v>149</v>
      </c>
      <c r="CW315" s="52" t="s">
        <v>149</v>
      </c>
      <c r="CX315" s="2"/>
      <c r="CY315" s="118" t="s">
        <v>153</v>
      </c>
      <c r="CZ315" s="119" t="s">
        <v>6</v>
      </c>
      <c r="DA315" s="2"/>
      <c r="DB315" s="98">
        <v>150.0</v>
      </c>
      <c r="DC315" s="2"/>
      <c r="DD315" s="101" t="s">
        <v>15</v>
      </c>
      <c r="DE315" s="2"/>
      <c r="DF315" s="159" t="s">
        <v>2918</v>
      </c>
      <c r="DG315" s="118" t="s">
        <v>223</v>
      </c>
      <c r="DH315" s="119"/>
      <c r="DI315" s="2"/>
      <c r="DJ315" s="2"/>
      <c r="DK315" s="59" t="s">
        <v>2919</v>
      </c>
      <c r="DL315" s="37" t="s">
        <v>156</v>
      </c>
      <c r="DM315" s="37" t="str">
        <f t="shared" si="3"/>
        <v>#NAME?</v>
      </c>
      <c r="DN315" s="61"/>
      <c r="DO315" s="37" t="s">
        <v>19</v>
      </c>
      <c r="DP315" s="105">
        <v>1.0</v>
      </c>
      <c r="DQ315" s="62" t="s">
        <v>93</v>
      </c>
      <c r="DR315" s="63"/>
      <c r="DS315" s="198"/>
      <c r="DT315" s="108"/>
      <c r="DU315" s="108"/>
      <c r="DV315" s="182"/>
      <c r="DW315" s="182"/>
      <c r="DX315" s="182"/>
      <c r="DY315" s="182"/>
      <c r="DZ315" s="182"/>
      <c r="EA315" s="182"/>
      <c r="EB315" s="2"/>
      <c r="EC315" s="182"/>
      <c r="ED315" s="2"/>
      <c r="EE315" s="396" t="s">
        <v>2920</v>
      </c>
      <c r="EF315" s="68" t="s">
        <v>2921</v>
      </c>
      <c r="EG315" s="69" t="str">
        <f>image("https://www.serebii.net/diamondpearl/berries/08.png", 3)</f>
        <v/>
      </c>
      <c r="EH315" s="69"/>
      <c r="EI315" s="69"/>
    </row>
    <row r="316" ht="15.75" customHeight="1">
      <c r="A316" s="1">
        <v>316.0</v>
      </c>
      <c r="B316" s="2" t="s">
        <v>2922</v>
      </c>
      <c r="C316" s="7"/>
      <c r="D316" s="4" t="s">
        <v>2923</v>
      </c>
      <c r="E316" s="5"/>
      <c r="F316" s="6"/>
      <c r="G316" s="7"/>
      <c r="H316" s="8" t="s">
        <v>2924</v>
      </c>
      <c r="I316" s="9" t="s">
        <v>2925</v>
      </c>
      <c r="J316" s="355" t="str">
        <f>image("https://archives.bulbagarden.net/media/upload/d/db/316MS6.png", 3)</f>
        <v/>
      </c>
      <c r="K316" s="11" t="s">
        <v>2923</v>
      </c>
      <c r="L316" s="12"/>
      <c r="M316" s="12"/>
      <c r="N316" s="12"/>
      <c r="O316" s="12"/>
      <c r="Q316" s="71">
        <v>70.0</v>
      </c>
      <c r="R316" s="72">
        <v>43.0</v>
      </c>
      <c r="S316" s="73">
        <v>53.0</v>
      </c>
      <c r="T316" s="74">
        <v>43.0</v>
      </c>
      <c r="U316" s="75">
        <v>53.0</v>
      </c>
      <c r="V316" s="76">
        <v>40.0</v>
      </c>
      <c r="W316" s="77">
        <v>302.0</v>
      </c>
      <c r="X316" s="21"/>
      <c r="Y316" s="71">
        <v>70.0</v>
      </c>
      <c r="Z316" s="72">
        <v>43.0</v>
      </c>
      <c r="AA316" s="73">
        <v>53.0</v>
      </c>
      <c r="AB316" s="74">
        <v>43.0</v>
      </c>
      <c r="AC316" s="75">
        <v>53.0</v>
      </c>
      <c r="AD316" s="76">
        <v>40.0</v>
      </c>
      <c r="AE316" s="77">
        <v>302.0</v>
      </c>
      <c r="AF316" s="21"/>
      <c r="AG316" s="71">
        <v>70.0</v>
      </c>
      <c r="AH316" s="72">
        <v>43.0</v>
      </c>
      <c r="AI316" s="73">
        <v>53.0</v>
      </c>
      <c r="AJ316" s="74">
        <v>43.0</v>
      </c>
      <c r="AK316" s="75">
        <v>53.0</v>
      </c>
      <c r="AL316" s="76">
        <v>40.0</v>
      </c>
      <c r="AM316" s="77">
        <v>302.0</v>
      </c>
      <c r="AN316" s="21"/>
      <c r="AO316" s="22">
        <v>70.0</v>
      </c>
      <c r="AP316" s="23">
        <v>43.0</v>
      </c>
      <c r="AQ316" s="23">
        <v>53.0</v>
      </c>
      <c r="AR316" s="23">
        <v>43.0</v>
      </c>
      <c r="AS316" s="23">
        <v>53.0</v>
      </c>
      <c r="AT316" s="23">
        <v>40.0</v>
      </c>
      <c r="AU316" s="24">
        <v>302.0</v>
      </c>
      <c r="AV316" s="21"/>
      <c r="AW316" s="78">
        <v>70.0</v>
      </c>
      <c r="AX316" s="79">
        <v>43.0</v>
      </c>
      <c r="AY316" s="79">
        <v>53.0</v>
      </c>
      <c r="AZ316" s="79">
        <v>43.0</v>
      </c>
      <c r="BA316" s="79">
        <v>53.0</v>
      </c>
      <c r="BB316" s="79">
        <v>40.0</v>
      </c>
      <c r="BC316" s="201">
        <v>302.0</v>
      </c>
      <c r="BE316" s="151" t="s">
        <v>144</v>
      </c>
      <c r="BF316" s="386"/>
      <c r="BG316" s="128"/>
      <c r="BI316" s="31">
        <v>1.0</v>
      </c>
      <c r="BJ316" s="32" t="s">
        <v>5</v>
      </c>
      <c r="BK316" s="32" t="s">
        <v>5</v>
      </c>
      <c r="BL316" s="32" t="s">
        <v>5</v>
      </c>
      <c r="BM316" s="32" t="s">
        <v>5</v>
      </c>
      <c r="BN316" s="33" t="s">
        <v>5</v>
      </c>
      <c r="BP316" s="85" t="s">
        <v>7</v>
      </c>
      <c r="BQ316" s="129"/>
      <c r="BS316" s="87" t="s">
        <v>7</v>
      </c>
      <c r="BT316" s="130"/>
      <c r="BU316" s="37" t="str">
        <f t="shared" si="1"/>
        <v>#NAME?</v>
      </c>
      <c r="BV316" s="89" t="s">
        <v>7</v>
      </c>
      <c r="BW316" s="37" t="str">
        <f t="shared" si="2"/>
        <v>#NAME?</v>
      </c>
      <c r="BX316" s="89"/>
      <c r="BY316" s="39"/>
      <c r="BZ316" s="39"/>
      <c r="CA316" s="40" t="s">
        <v>7</v>
      </c>
      <c r="CB316" s="41"/>
      <c r="CC316" s="90" t="s">
        <v>7</v>
      </c>
      <c r="CD316" s="91"/>
      <c r="CE316" s="21"/>
      <c r="CF316" s="92" t="s">
        <v>805</v>
      </c>
      <c r="CG316" s="93" t="s">
        <v>963</v>
      </c>
      <c r="CH316" s="21"/>
      <c r="CI316" s="175" t="s">
        <v>805</v>
      </c>
      <c r="CJ316" s="195" t="s">
        <v>963</v>
      </c>
      <c r="CK316" s="21"/>
      <c r="CL316" s="22" t="s">
        <v>805</v>
      </c>
      <c r="CM316" s="12"/>
      <c r="CN316" s="48"/>
      <c r="CO316" s="196" t="s">
        <v>963</v>
      </c>
      <c r="CP316" s="21"/>
      <c r="CQ316" s="2" t="s">
        <v>2926</v>
      </c>
      <c r="CR316" s="97">
        <v>40.0</v>
      </c>
      <c r="CS316" s="2" t="s">
        <v>144</v>
      </c>
      <c r="CT316" s="98">
        <v>75.0</v>
      </c>
      <c r="CU316" s="2"/>
      <c r="CV316" s="52" t="s">
        <v>149</v>
      </c>
      <c r="CW316" s="52" t="s">
        <v>149</v>
      </c>
      <c r="CX316" s="2"/>
      <c r="CY316" s="382" t="s">
        <v>964</v>
      </c>
      <c r="CZ316" s="385"/>
      <c r="DA316" s="2"/>
      <c r="DB316" s="98">
        <v>225.0</v>
      </c>
      <c r="DC316" s="2"/>
      <c r="DD316" s="101" t="s">
        <v>2656</v>
      </c>
      <c r="DE316" s="2"/>
      <c r="DF316" s="397" t="s">
        <v>2927</v>
      </c>
      <c r="DG316" s="381" t="s">
        <v>2928</v>
      </c>
      <c r="DH316" s="385" t="s">
        <v>2929</v>
      </c>
      <c r="DI316" s="21"/>
      <c r="DJ316" s="21"/>
      <c r="DK316" s="59" t="s">
        <v>2930</v>
      </c>
      <c r="DL316" s="37" t="s">
        <v>122</v>
      </c>
      <c r="DM316" s="37" t="str">
        <f t="shared" si="3"/>
        <v>#NAME?</v>
      </c>
      <c r="DN316" s="61"/>
      <c r="DO316" s="37" t="s">
        <v>19</v>
      </c>
      <c r="DP316" s="37" t="s">
        <v>19</v>
      </c>
      <c r="DQ316" s="62" t="s">
        <v>137</v>
      </c>
      <c r="DR316" s="63"/>
      <c r="DS316" s="198"/>
      <c r="DT316" s="108"/>
      <c r="DU316" s="108"/>
      <c r="DV316" s="182"/>
      <c r="DW316" s="182"/>
      <c r="DX316" s="182"/>
      <c r="DY316" s="182"/>
      <c r="DZ316" s="182"/>
      <c r="EA316" s="182"/>
      <c r="EB316" s="2"/>
      <c r="EC316" s="182"/>
      <c r="ED316" s="2"/>
      <c r="EE316" s="396" t="s">
        <v>2931</v>
      </c>
      <c r="EF316" s="68" t="s">
        <v>2932</v>
      </c>
      <c r="EG316" s="69" t="str">
        <f>image("https://www.serebii.net/diamondpearl/berries/09.png", 3)</f>
        <v/>
      </c>
      <c r="EH316" s="69"/>
      <c r="EI316" s="69"/>
    </row>
    <row r="317" ht="15.75" customHeight="1">
      <c r="A317" s="1">
        <v>317.0</v>
      </c>
      <c r="B317" s="2" t="s">
        <v>2933</v>
      </c>
      <c r="C317" s="7"/>
      <c r="D317" s="180" t="s">
        <v>2934</v>
      </c>
      <c r="E317" s="5"/>
      <c r="F317" s="181"/>
      <c r="G317" s="7"/>
      <c r="H317" s="8" t="s">
        <v>2935</v>
      </c>
      <c r="I317" s="9" t="s">
        <v>2936</v>
      </c>
      <c r="J317" s="355" t="str">
        <f>image("https://archives.bulbagarden.net/media/upload/e/ed/317MS6.png", 3)</f>
        <v/>
      </c>
      <c r="K317" s="11" t="s">
        <v>2934</v>
      </c>
      <c r="L317" s="12"/>
      <c r="M317" s="12"/>
      <c r="N317" s="12"/>
      <c r="O317" s="12"/>
      <c r="Q317" s="71">
        <v>100.0</v>
      </c>
      <c r="R317" s="72">
        <v>73.0</v>
      </c>
      <c r="S317" s="73">
        <v>83.0</v>
      </c>
      <c r="T317" s="74">
        <v>73.0</v>
      </c>
      <c r="U317" s="75">
        <v>83.0</v>
      </c>
      <c r="V317" s="76">
        <v>55.0</v>
      </c>
      <c r="W317" s="77">
        <v>467.0</v>
      </c>
      <c r="X317" s="21"/>
      <c r="Y317" s="71">
        <v>100.0</v>
      </c>
      <c r="Z317" s="72">
        <v>73.0</v>
      </c>
      <c r="AA317" s="73">
        <v>83.0</v>
      </c>
      <c r="AB317" s="74">
        <v>73.0</v>
      </c>
      <c r="AC317" s="75">
        <v>83.0</v>
      </c>
      <c r="AD317" s="76">
        <v>55.0</v>
      </c>
      <c r="AE317" s="77">
        <v>467.0</v>
      </c>
      <c r="AF317" s="21"/>
      <c r="AG317" s="71">
        <v>100.0</v>
      </c>
      <c r="AH317" s="72">
        <v>73.0</v>
      </c>
      <c r="AI317" s="73">
        <v>83.0</v>
      </c>
      <c r="AJ317" s="74">
        <v>73.0</v>
      </c>
      <c r="AK317" s="75">
        <v>83.0</v>
      </c>
      <c r="AL317" s="76">
        <v>55.0</v>
      </c>
      <c r="AM317" s="77">
        <v>467.0</v>
      </c>
      <c r="AN317" s="21"/>
      <c r="AO317" s="22">
        <v>100.0</v>
      </c>
      <c r="AP317" s="23">
        <v>73.0</v>
      </c>
      <c r="AQ317" s="23">
        <v>83.0</v>
      </c>
      <c r="AR317" s="23">
        <v>73.0</v>
      </c>
      <c r="AS317" s="23">
        <v>83.0</v>
      </c>
      <c r="AT317" s="23">
        <v>55.0</v>
      </c>
      <c r="AU317" s="24">
        <v>467.0</v>
      </c>
      <c r="AV317" s="21"/>
      <c r="AW317" s="78">
        <v>100.0</v>
      </c>
      <c r="AX317" s="79">
        <v>73.0</v>
      </c>
      <c r="AY317" s="79">
        <v>83.0</v>
      </c>
      <c r="AZ317" s="79">
        <v>73.0</v>
      </c>
      <c r="BA317" s="79">
        <v>83.0</v>
      </c>
      <c r="BB317" s="79">
        <v>55.0</v>
      </c>
      <c r="BC317" s="201">
        <v>467.0</v>
      </c>
      <c r="BE317" s="203" t="s">
        <v>409</v>
      </c>
      <c r="BF317" s="113"/>
      <c r="BG317" s="210"/>
      <c r="BI317" s="31">
        <v>2.0</v>
      </c>
      <c r="BJ317" s="32" t="s">
        <v>5</v>
      </c>
      <c r="BK317" s="32" t="s">
        <v>5</v>
      </c>
      <c r="BL317" s="32" t="s">
        <v>5</v>
      </c>
      <c r="BM317" s="32" t="s">
        <v>5</v>
      </c>
      <c r="BN317" s="33" t="s">
        <v>5</v>
      </c>
      <c r="BP317" s="115" t="s">
        <v>7</v>
      </c>
      <c r="BQ317" s="93"/>
      <c r="BS317" s="115" t="s">
        <v>7</v>
      </c>
      <c r="BT317" s="133"/>
      <c r="BU317" s="37" t="str">
        <f t="shared" si="1"/>
        <v>#NAME?</v>
      </c>
      <c r="BV317" s="89" t="s">
        <v>7</v>
      </c>
      <c r="BW317" s="37" t="str">
        <f t="shared" si="2"/>
        <v>#NAME?</v>
      </c>
      <c r="BX317" s="89"/>
      <c r="BY317" s="39"/>
      <c r="BZ317" s="39"/>
      <c r="CA317" s="40" t="s">
        <v>7</v>
      </c>
      <c r="CB317" s="41"/>
      <c r="CC317" s="90" t="s">
        <v>7</v>
      </c>
      <c r="CD317" s="91"/>
      <c r="CE317" s="21"/>
      <c r="CF317" s="92" t="s">
        <v>805</v>
      </c>
      <c r="CG317" s="93" t="s">
        <v>963</v>
      </c>
      <c r="CH317" s="21"/>
      <c r="CI317" s="177" t="s">
        <v>805</v>
      </c>
      <c r="CJ317" s="93" t="s">
        <v>963</v>
      </c>
      <c r="CK317" s="21"/>
      <c r="CL317" s="22" t="s">
        <v>805</v>
      </c>
      <c r="CM317" s="12"/>
      <c r="CN317" s="48"/>
      <c r="CO317" s="96" t="s">
        <v>963</v>
      </c>
      <c r="CP317" s="21"/>
      <c r="CQ317" s="2" t="s">
        <v>1205</v>
      </c>
      <c r="CR317" s="97">
        <v>80.0</v>
      </c>
      <c r="CS317" s="2" t="s">
        <v>409</v>
      </c>
      <c r="CT317" s="98">
        <v>168.0</v>
      </c>
      <c r="CU317" s="2"/>
      <c r="CV317" s="52" t="s">
        <v>149</v>
      </c>
      <c r="CW317" s="52" t="s">
        <v>149</v>
      </c>
      <c r="CX317" s="2"/>
      <c r="CY317" s="119" t="s">
        <v>964</v>
      </c>
      <c r="CZ317" s="160"/>
      <c r="DA317" s="2"/>
      <c r="DB317" s="98">
        <v>75.0</v>
      </c>
      <c r="DC317" s="2"/>
      <c r="DD317" s="101" t="s">
        <v>2656</v>
      </c>
      <c r="DE317" s="2"/>
      <c r="DF317" s="120" t="s">
        <v>2937</v>
      </c>
      <c r="DG317" s="118" t="s">
        <v>2928</v>
      </c>
      <c r="DH317" s="160" t="s">
        <v>2929</v>
      </c>
      <c r="DI317" s="2"/>
      <c r="DJ317" s="2"/>
      <c r="DK317" s="59" t="s">
        <v>2938</v>
      </c>
      <c r="DL317" s="37" t="s">
        <v>156</v>
      </c>
      <c r="DM317" s="37" t="str">
        <f t="shared" si="3"/>
        <v>#NAME?</v>
      </c>
      <c r="DN317" s="61"/>
      <c r="DO317" s="37" t="s">
        <v>19</v>
      </c>
      <c r="DP317" s="37" t="s">
        <v>19</v>
      </c>
      <c r="DQ317" s="62" t="s">
        <v>702</v>
      </c>
      <c r="DR317" s="63"/>
      <c r="DS317" s="198"/>
      <c r="DT317" s="108"/>
      <c r="DU317" s="108"/>
      <c r="DV317" s="182"/>
      <c r="DW317" s="182"/>
      <c r="DX317" s="182"/>
      <c r="DY317" s="182"/>
      <c r="DZ317" s="182"/>
      <c r="EA317" s="182"/>
      <c r="EB317" s="2"/>
      <c r="EC317" s="182"/>
      <c r="ED317" s="2"/>
      <c r="EE317" s="396" t="s">
        <v>2939</v>
      </c>
      <c r="EF317" s="68" t="s">
        <v>2940</v>
      </c>
      <c r="EG317" s="69" t="str">
        <f>image("https://www.serebii.net/diamondpearl/berries/10.png", 3)</f>
        <v/>
      </c>
      <c r="EH317" s="69"/>
      <c r="EI317" s="69"/>
    </row>
    <row r="318" ht="15.75" customHeight="1">
      <c r="A318" s="1">
        <v>318.0</v>
      </c>
      <c r="B318" s="2" t="s">
        <v>2941</v>
      </c>
      <c r="C318" s="7"/>
      <c r="D318" s="122" t="s">
        <v>2942</v>
      </c>
      <c r="E318" s="5"/>
      <c r="F318" s="123"/>
      <c r="G318" s="7"/>
      <c r="H318" s="8" t="s">
        <v>2943</v>
      </c>
      <c r="I318" s="9" t="s">
        <v>2944</v>
      </c>
      <c r="J318" s="355" t="str">
        <f>image("https://archives.bulbagarden.net/media/upload/c/c9/318MS6.png", 3)</f>
        <v/>
      </c>
      <c r="K318" s="11" t="s">
        <v>2942</v>
      </c>
      <c r="L318" s="12"/>
      <c r="M318" s="12"/>
      <c r="N318" s="12"/>
      <c r="O318" s="12"/>
      <c r="Q318" s="71">
        <v>45.0</v>
      </c>
      <c r="R318" s="72">
        <v>90.0</v>
      </c>
      <c r="S318" s="73">
        <v>20.0</v>
      </c>
      <c r="T318" s="74">
        <v>65.0</v>
      </c>
      <c r="U318" s="75">
        <v>20.0</v>
      </c>
      <c r="V318" s="76">
        <v>65.0</v>
      </c>
      <c r="W318" s="77">
        <v>305.0</v>
      </c>
      <c r="X318" s="21"/>
      <c r="Y318" s="71">
        <v>45.0</v>
      </c>
      <c r="Z318" s="72">
        <v>90.0</v>
      </c>
      <c r="AA318" s="73">
        <v>20.0</v>
      </c>
      <c r="AB318" s="74">
        <v>65.0</v>
      </c>
      <c r="AC318" s="75">
        <v>20.0</v>
      </c>
      <c r="AD318" s="76">
        <v>65.0</v>
      </c>
      <c r="AE318" s="77">
        <v>305.0</v>
      </c>
      <c r="AF318" s="21"/>
      <c r="AG318" s="71">
        <v>45.0</v>
      </c>
      <c r="AH318" s="72">
        <v>90.0</v>
      </c>
      <c r="AI318" s="73">
        <v>20.0</v>
      </c>
      <c r="AJ318" s="74">
        <v>65.0</v>
      </c>
      <c r="AK318" s="75">
        <v>20.0</v>
      </c>
      <c r="AL318" s="76">
        <v>65.0</v>
      </c>
      <c r="AM318" s="77">
        <v>305.0</v>
      </c>
      <c r="AN318" s="21"/>
      <c r="AO318" s="22">
        <v>45.0</v>
      </c>
      <c r="AP318" s="23">
        <v>90.0</v>
      </c>
      <c r="AQ318" s="23">
        <v>20.0</v>
      </c>
      <c r="AR318" s="23">
        <v>65.0</v>
      </c>
      <c r="AS318" s="23">
        <v>20.0</v>
      </c>
      <c r="AT318" s="23">
        <v>65.0</v>
      </c>
      <c r="AU318" s="24">
        <v>305.0</v>
      </c>
      <c r="AV318" s="21"/>
      <c r="AW318" s="78">
        <v>45.0</v>
      </c>
      <c r="AX318" s="79">
        <v>90.0</v>
      </c>
      <c r="AY318" s="79">
        <v>20.0</v>
      </c>
      <c r="AZ318" s="79">
        <v>65.0</v>
      </c>
      <c r="BA318" s="79">
        <v>20.0</v>
      </c>
      <c r="BB318" s="79">
        <v>65.0</v>
      </c>
      <c r="BC318" s="201">
        <v>305.0</v>
      </c>
      <c r="BE318" s="194" t="s">
        <v>325</v>
      </c>
      <c r="BF318" s="386"/>
      <c r="BG318" s="128"/>
      <c r="BI318" s="31" t="s">
        <v>5</v>
      </c>
      <c r="BJ318" s="32">
        <v>1.0</v>
      </c>
      <c r="BK318" s="32" t="s">
        <v>5</v>
      </c>
      <c r="BL318" s="32" t="s">
        <v>5</v>
      </c>
      <c r="BM318" s="32" t="s">
        <v>5</v>
      </c>
      <c r="BN318" s="33" t="s">
        <v>5</v>
      </c>
      <c r="BP318" s="85" t="s">
        <v>32</v>
      </c>
      <c r="BQ318" s="86" t="s">
        <v>76</v>
      </c>
      <c r="BS318" s="87" t="s">
        <v>32</v>
      </c>
      <c r="BT318" s="88" t="s">
        <v>76</v>
      </c>
      <c r="BU318" s="37" t="str">
        <f t="shared" si="1"/>
        <v>#NAME?</v>
      </c>
      <c r="BV318" s="89" t="s">
        <v>32</v>
      </c>
      <c r="BW318" s="37" t="str">
        <f t="shared" si="2"/>
        <v>#NAME?</v>
      </c>
      <c r="BX318" s="89" t="s">
        <v>76</v>
      </c>
      <c r="BY318" s="39"/>
      <c r="BZ318" s="39"/>
      <c r="CA318" s="40" t="s">
        <v>2945</v>
      </c>
      <c r="CB318" s="41"/>
      <c r="CC318" s="90" t="s">
        <v>32</v>
      </c>
      <c r="CD318" s="91" t="s">
        <v>76</v>
      </c>
      <c r="CE318" s="2"/>
      <c r="CF318" s="92" t="s">
        <v>2946</v>
      </c>
      <c r="CG318" s="93"/>
      <c r="CH318" s="2"/>
      <c r="CI318" s="46" t="s">
        <v>1883</v>
      </c>
      <c r="CJ318" s="95" t="s">
        <v>2946</v>
      </c>
      <c r="CK318" s="2"/>
      <c r="CL318" s="22" t="s">
        <v>2405</v>
      </c>
      <c r="CM318" s="12"/>
      <c r="CN318" s="48"/>
      <c r="CO318" s="95" t="s">
        <v>2946</v>
      </c>
      <c r="CP318" s="2"/>
      <c r="CQ318" s="2" t="s">
        <v>2947</v>
      </c>
      <c r="CR318" s="97">
        <v>40.0</v>
      </c>
      <c r="CS318" s="2" t="s">
        <v>325</v>
      </c>
      <c r="CT318" s="98">
        <v>88.0</v>
      </c>
      <c r="CU318" s="2"/>
      <c r="CV318" s="52" t="s">
        <v>149</v>
      </c>
      <c r="CW318" s="52" t="s">
        <v>149</v>
      </c>
      <c r="CX318" s="2"/>
      <c r="CY318" s="382" t="s">
        <v>1236</v>
      </c>
      <c r="CZ318" s="385"/>
      <c r="DA318" s="2"/>
      <c r="DB318" s="98">
        <v>225.0</v>
      </c>
      <c r="DC318" s="2"/>
      <c r="DD318" s="101" t="s">
        <v>683</v>
      </c>
      <c r="DE318" s="2"/>
      <c r="DF318" s="387" t="s">
        <v>2948</v>
      </c>
      <c r="DG318" s="381" t="s">
        <v>2949</v>
      </c>
      <c r="DH318" s="385"/>
      <c r="DI318" s="21"/>
      <c r="DJ318" s="21"/>
      <c r="DK318" s="59" t="s">
        <v>2950</v>
      </c>
      <c r="DL318" s="37" t="s">
        <v>156</v>
      </c>
      <c r="DM318" s="37" t="str">
        <f t="shared" si="3"/>
        <v>#NAME?</v>
      </c>
      <c r="DN318" s="61"/>
      <c r="DO318" s="37" t="s">
        <v>19</v>
      </c>
      <c r="DP318" s="37" t="s">
        <v>19</v>
      </c>
      <c r="DQ318" s="62" t="s">
        <v>49</v>
      </c>
      <c r="DR318" s="63"/>
      <c r="DS318" s="198"/>
      <c r="DT318" s="108"/>
      <c r="DU318" s="108"/>
      <c r="DV318" s="182"/>
      <c r="DW318" s="182"/>
      <c r="DX318" s="182"/>
      <c r="DY318" s="182"/>
      <c r="DZ318" s="182"/>
      <c r="EA318" s="182"/>
      <c r="EB318" s="2"/>
      <c r="EC318" s="182"/>
      <c r="ED318" s="2"/>
      <c r="EE318" s="396" t="s">
        <v>2951</v>
      </c>
      <c r="EF318" s="68" t="s">
        <v>2952</v>
      </c>
      <c r="EG318" s="69" t="str">
        <f>image("https://www.serebii.net/diamondpearl/berries/11.png", 3)</f>
        <v/>
      </c>
      <c r="EH318" s="69"/>
      <c r="EI318" s="69"/>
    </row>
    <row r="319" ht="15.75" customHeight="1">
      <c r="A319" s="1">
        <v>319.0</v>
      </c>
      <c r="B319" s="2" t="s">
        <v>2953</v>
      </c>
      <c r="C319" s="7"/>
      <c r="D319" s="140" t="s">
        <v>2954</v>
      </c>
      <c r="E319" s="5"/>
      <c r="F319" s="141"/>
      <c r="G319" s="7"/>
      <c r="H319" s="8" t="s">
        <v>2955</v>
      </c>
      <c r="I319" s="9" t="s">
        <v>2956</v>
      </c>
      <c r="J319" s="355" t="str">
        <f>image("https://archives.bulbagarden.net/media/upload/2/23/319MS6.png", 3)</f>
        <v/>
      </c>
      <c r="K319" s="11" t="s">
        <v>2954</v>
      </c>
      <c r="L319" s="12"/>
      <c r="M319" s="12"/>
      <c r="N319" s="12"/>
      <c r="O319" s="12"/>
      <c r="Q319" s="71">
        <v>70.0</v>
      </c>
      <c r="R319" s="72">
        <v>120.0</v>
      </c>
      <c r="S319" s="73">
        <v>40.0</v>
      </c>
      <c r="T319" s="74">
        <v>95.0</v>
      </c>
      <c r="U319" s="75">
        <v>40.0</v>
      </c>
      <c r="V319" s="76">
        <v>95.0</v>
      </c>
      <c r="W319" s="77">
        <v>460.0</v>
      </c>
      <c r="X319" s="21"/>
      <c r="Y319" s="71">
        <v>70.0</v>
      </c>
      <c r="Z319" s="72">
        <v>120.0</v>
      </c>
      <c r="AA319" s="73">
        <v>40.0</v>
      </c>
      <c r="AB319" s="74">
        <v>95.0</v>
      </c>
      <c r="AC319" s="75">
        <v>40.0</v>
      </c>
      <c r="AD319" s="76">
        <v>95.0</v>
      </c>
      <c r="AE319" s="77">
        <v>460.0</v>
      </c>
      <c r="AF319" s="21"/>
      <c r="AG319" s="71">
        <v>70.0</v>
      </c>
      <c r="AH319" s="72">
        <v>120.0</v>
      </c>
      <c r="AI319" s="73">
        <v>40.0</v>
      </c>
      <c r="AJ319" s="74">
        <v>95.0</v>
      </c>
      <c r="AK319" s="75">
        <v>40.0</v>
      </c>
      <c r="AL319" s="76">
        <v>95.0</v>
      </c>
      <c r="AM319" s="77">
        <v>460.0</v>
      </c>
      <c r="AN319" s="21"/>
      <c r="AO319" s="22">
        <v>70.0</v>
      </c>
      <c r="AP319" s="23">
        <v>120.0</v>
      </c>
      <c r="AQ319" s="23">
        <v>40.0</v>
      </c>
      <c r="AR319" s="23">
        <v>95.0</v>
      </c>
      <c r="AS319" s="23">
        <v>40.0</v>
      </c>
      <c r="AT319" s="23">
        <v>95.0</v>
      </c>
      <c r="AU319" s="24">
        <v>460.0</v>
      </c>
      <c r="AV319" s="21"/>
      <c r="AW319" s="78">
        <v>70.0</v>
      </c>
      <c r="AX319" s="79">
        <v>120.0</v>
      </c>
      <c r="AY319" s="79">
        <v>40.0</v>
      </c>
      <c r="AZ319" s="79">
        <v>95.0</v>
      </c>
      <c r="BA319" s="79">
        <v>40.0</v>
      </c>
      <c r="BB319" s="79">
        <v>95.0</v>
      </c>
      <c r="BC319" s="201">
        <v>460.0</v>
      </c>
      <c r="BE319" s="172" t="s">
        <v>216</v>
      </c>
      <c r="BF319" s="113"/>
      <c r="BG319" s="210"/>
      <c r="BI319" s="31" t="s">
        <v>5</v>
      </c>
      <c r="BJ319" s="32">
        <v>2.0</v>
      </c>
      <c r="BK319" s="32" t="s">
        <v>5</v>
      </c>
      <c r="BL319" s="32" t="s">
        <v>5</v>
      </c>
      <c r="BM319" s="32" t="s">
        <v>5</v>
      </c>
      <c r="BN319" s="33" t="s">
        <v>5</v>
      </c>
      <c r="BP319" s="115" t="s">
        <v>32</v>
      </c>
      <c r="BQ319" s="116" t="s">
        <v>76</v>
      </c>
      <c r="BS319" s="115" t="s">
        <v>32</v>
      </c>
      <c r="BT319" s="117" t="s">
        <v>76</v>
      </c>
      <c r="BU319" s="37" t="str">
        <f t="shared" si="1"/>
        <v>#NAME?</v>
      </c>
      <c r="BV319" s="89" t="s">
        <v>32</v>
      </c>
      <c r="BW319" s="37" t="str">
        <f t="shared" si="2"/>
        <v>#NAME?</v>
      </c>
      <c r="BX319" s="89" t="s">
        <v>76</v>
      </c>
      <c r="BY319" s="39"/>
      <c r="BZ319" s="39"/>
      <c r="CA319" s="40" t="s">
        <v>2945</v>
      </c>
      <c r="CB319" s="41"/>
      <c r="CC319" s="90" t="s">
        <v>32</v>
      </c>
      <c r="CD319" s="91" t="s">
        <v>76</v>
      </c>
      <c r="CE319" s="2"/>
      <c r="CF319" s="92" t="s">
        <v>2946</v>
      </c>
      <c r="CG319" s="93"/>
      <c r="CH319" s="2"/>
      <c r="CI319" s="152" t="s">
        <v>1883</v>
      </c>
      <c r="CJ319" s="95" t="s">
        <v>2946</v>
      </c>
      <c r="CK319" s="2"/>
      <c r="CL319" s="22" t="s">
        <v>2405</v>
      </c>
      <c r="CM319" s="12"/>
      <c r="CN319" s="48"/>
      <c r="CO319" s="95" t="s">
        <v>2946</v>
      </c>
      <c r="CP319" s="2"/>
      <c r="CQ319" s="2" t="s">
        <v>1604</v>
      </c>
      <c r="CR319" s="97">
        <v>80.0</v>
      </c>
      <c r="CS319" s="2" t="s">
        <v>216</v>
      </c>
      <c r="CT319" s="98">
        <v>175.0</v>
      </c>
      <c r="CU319" s="2"/>
      <c r="CV319" s="52" t="s">
        <v>149</v>
      </c>
      <c r="CW319" s="52" t="s">
        <v>149</v>
      </c>
      <c r="CX319" s="2"/>
      <c r="CY319" s="119" t="s">
        <v>1236</v>
      </c>
      <c r="CZ319" s="160"/>
      <c r="DA319" s="2"/>
      <c r="DB319" s="98">
        <v>60.0</v>
      </c>
      <c r="DC319" s="2"/>
      <c r="DD319" s="101" t="s">
        <v>683</v>
      </c>
      <c r="DE319" s="2"/>
      <c r="DF319" s="120" t="s">
        <v>2957</v>
      </c>
      <c r="DG319" s="118" t="s">
        <v>2949</v>
      </c>
      <c r="DH319" s="160"/>
      <c r="DI319" s="2"/>
      <c r="DJ319" s="2"/>
      <c r="DK319" s="59" t="s">
        <v>2958</v>
      </c>
      <c r="DL319" s="37" t="s">
        <v>156</v>
      </c>
      <c r="DM319" s="37" t="str">
        <f t="shared" si="3"/>
        <v>#NAME?</v>
      </c>
      <c r="DN319" s="61"/>
      <c r="DO319" s="37" t="s">
        <v>19</v>
      </c>
      <c r="DP319" s="37" t="s">
        <v>19</v>
      </c>
      <c r="DQ319" s="62" t="s">
        <v>293</v>
      </c>
      <c r="DR319" s="155"/>
      <c r="DS319" s="251"/>
      <c r="DT319" s="108"/>
      <c r="DU319" s="108"/>
      <c r="DV319" s="252"/>
      <c r="DW319" s="252"/>
      <c r="DX319" s="252"/>
      <c r="DY319" s="252"/>
      <c r="DZ319" s="252"/>
      <c r="EA319" s="182"/>
      <c r="EB319" s="2"/>
      <c r="EC319" s="182"/>
      <c r="ED319" s="2"/>
      <c r="EE319" s="396" t="s">
        <v>2959</v>
      </c>
      <c r="EF319" s="68" t="s">
        <v>2960</v>
      </c>
      <c r="EG319" s="69" t="str">
        <f>image("https://www.serebii.net/diamondpearl/berries/12.png", 3)</f>
        <v/>
      </c>
      <c r="EH319" s="69"/>
      <c r="EI319" s="69"/>
    </row>
    <row r="320" ht="15.75" customHeight="1">
      <c r="A320" s="1">
        <v>320.0</v>
      </c>
      <c r="B320" s="2" t="s">
        <v>2961</v>
      </c>
      <c r="C320" s="7"/>
      <c r="D320" s="140" t="s">
        <v>2962</v>
      </c>
      <c r="E320" s="5"/>
      <c r="F320" s="141"/>
      <c r="G320" s="7"/>
      <c r="H320" s="8" t="s">
        <v>2963</v>
      </c>
      <c r="I320" s="9" t="s">
        <v>2964</v>
      </c>
      <c r="J320" s="355" t="str">
        <f>image("https://archives.bulbagarden.net/media/upload/d/d6/320MS6.png", 3)</f>
        <v/>
      </c>
      <c r="K320" s="11" t="s">
        <v>2962</v>
      </c>
      <c r="L320" s="12"/>
      <c r="M320" s="12"/>
      <c r="N320" s="12"/>
      <c r="O320" s="12"/>
      <c r="Q320" s="71">
        <v>130.0</v>
      </c>
      <c r="R320" s="72">
        <v>70.0</v>
      </c>
      <c r="S320" s="73">
        <v>35.0</v>
      </c>
      <c r="T320" s="74">
        <v>70.0</v>
      </c>
      <c r="U320" s="75">
        <v>35.0</v>
      </c>
      <c r="V320" s="76">
        <v>60.0</v>
      </c>
      <c r="W320" s="77">
        <v>400.0</v>
      </c>
      <c r="X320" s="21"/>
      <c r="Y320" s="71">
        <v>130.0</v>
      </c>
      <c r="Z320" s="72">
        <v>70.0</v>
      </c>
      <c r="AA320" s="73">
        <v>35.0</v>
      </c>
      <c r="AB320" s="74">
        <v>70.0</v>
      </c>
      <c r="AC320" s="75">
        <v>35.0</v>
      </c>
      <c r="AD320" s="76">
        <v>60.0</v>
      </c>
      <c r="AE320" s="77">
        <v>400.0</v>
      </c>
      <c r="AF320" s="21"/>
      <c r="AG320" s="71">
        <v>130.0</v>
      </c>
      <c r="AH320" s="72">
        <v>70.0</v>
      </c>
      <c r="AI320" s="73">
        <v>35.0</v>
      </c>
      <c r="AJ320" s="74">
        <v>70.0</v>
      </c>
      <c r="AK320" s="75">
        <v>35.0</v>
      </c>
      <c r="AL320" s="76">
        <v>60.0</v>
      </c>
      <c r="AM320" s="77">
        <v>400.0</v>
      </c>
      <c r="AN320" s="21"/>
      <c r="AO320" s="22">
        <v>130.0</v>
      </c>
      <c r="AP320" s="23">
        <v>70.0</v>
      </c>
      <c r="AQ320" s="23">
        <v>35.0</v>
      </c>
      <c r="AR320" s="23">
        <v>70.0</v>
      </c>
      <c r="AS320" s="23">
        <v>35.0</v>
      </c>
      <c r="AT320" s="23">
        <v>60.0</v>
      </c>
      <c r="AU320" s="24">
        <v>400.0</v>
      </c>
      <c r="AV320" s="21"/>
      <c r="AW320" s="78">
        <v>130.0</v>
      </c>
      <c r="AX320" s="79">
        <v>70.0</v>
      </c>
      <c r="AY320" s="79">
        <v>35.0</v>
      </c>
      <c r="AZ320" s="79">
        <v>70.0</v>
      </c>
      <c r="BA320" s="79">
        <v>35.0</v>
      </c>
      <c r="BB320" s="79">
        <v>60.0</v>
      </c>
      <c r="BC320" s="201">
        <v>400.0</v>
      </c>
      <c r="BE320" s="151" t="s">
        <v>144</v>
      </c>
      <c r="BF320" s="386"/>
      <c r="BG320" s="128"/>
      <c r="BI320" s="31">
        <v>1.0</v>
      </c>
      <c r="BJ320" s="32" t="s">
        <v>5</v>
      </c>
      <c r="BK320" s="32" t="s">
        <v>5</v>
      </c>
      <c r="BL320" s="32" t="s">
        <v>5</v>
      </c>
      <c r="BM320" s="32" t="s">
        <v>5</v>
      </c>
      <c r="BN320" s="33" t="s">
        <v>5</v>
      </c>
      <c r="BP320" s="85" t="s">
        <v>32</v>
      </c>
      <c r="BQ320" s="129"/>
      <c r="BS320" s="87" t="s">
        <v>32</v>
      </c>
      <c r="BT320" s="130"/>
      <c r="BU320" s="37" t="str">
        <f t="shared" si="1"/>
        <v>#NAME?</v>
      </c>
      <c r="BV320" s="89" t="s">
        <v>32</v>
      </c>
      <c r="BW320" s="37" t="str">
        <f t="shared" si="2"/>
        <v>#NAME?</v>
      </c>
      <c r="BX320" s="89"/>
      <c r="BY320" s="39"/>
      <c r="BZ320" s="39"/>
      <c r="CA320" s="40" t="s">
        <v>32</v>
      </c>
      <c r="CB320" s="41"/>
      <c r="CC320" s="90" t="s">
        <v>32</v>
      </c>
      <c r="CD320" s="91"/>
      <c r="CE320" s="21"/>
      <c r="CF320" s="92" t="s">
        <v>1235</v>
      </c>
      <c r="CG320" s="93" t="s">
        <v>870</v>
      </c>
      <c r="CH320" s="21"/>
      <c r="CI320" s="175" t="s">
        <v>1235</v>
      </c>
      <c r="CJ320" s="93" t="s">
        <v>870</v>
      </c>
      <c r="CK320" s="21"/>
      <c r="CL320" s="22" t="s">
        <v>1235</v>
      </c>
      <c r="CM320" s="12"/>
      <c r="CN320" s="48"/>
      <c r="CO320" s="96" t="s">
        <v>870</v>
      </c>
      <c r="CP320" s="21"/>
      <c r="CQ320" s="2" t="s">
        <v>770</v>
      </c>
      <c r="CR320" s="97">
        <v>100.0</v>
      </c>
      <c r="CS320" s="2" t="s">
        <v>144</v>
      </c>
      <c r="CT320" s="98">
        <v>137.0</v>
      </c>
      <c r="CU320" s="2"/>
      <c r="CV320" s="52" t="s">
        <v>149</v>
      </c>
      <c r="CW320" s="52" t="s">
        <v>149</v>
      </c>
      <c r="CX320" s="2"/>
      <c r="CY320" s="381" t="s">
        <v>277</v>
      </c>
      <c r="CZ320" s="382" t="s">
        <v>1236</v>
      </c>
      <c r="DA320" s="2"/>
      <c r="DB320" s="98">
        <v>125.0</v>
      </c>
      <c r="DC320" s="2"/>
      <c r="DD320" s="101" t="s">
        <v>2656</v>
      </c>
      <c r="DE320" s="2"/>
      <c r="DF320" s="393" t="s">
        <v>2965</v>
      </c>
      <c r="DG320" s="382"/>
      <c r="DH320" s="382"/>
      <c r="DI320" s="21"/>
      <c r="DJ320" s="21"/>
      <c r="DK320" s="59" t="s">
        <v>2966</v>
      </c>
      <c r="DL320" s="37" t="s">
        <v>64</v>
      </c>
      <c r="DM320" s="37" t="str">
        <f t="shared" si="3"/>
        <v>#NAME?</v>
      </c>
      <c r="DN320" s="61"/>
      <c r="DO320" s="37" t="s">
        <v>19</v>
      </c>
      <c r="DP320" s="37" t="s">
        <v>19</v>
      </c>
      <c r="DQ320" s="62" t="s">
        <v>20</v>
      </c>
      <c r="DR320" s="63"/>
      <c r="DS320" s="198"/>
      <c r="DT320" s="108"/>
      <c r="DU320" s="108"/>
      <c r="DV320" s="182"/>
      <c r="DW320" s="182"/>
      <c r="DX320" s="182"/>
      <c r="DY320" s="182"/>
      <c r="DZ320" s="182"/>
      <c r="EA320" s="182"/>
      <c r="EB320" s="2"/>
      <c r="EC320" s="182"/>
      <c r="ED320" s="2"/>
      <c r="EE320" s="396" t="s">
        <v>2967</v>
      </c>
      <c r="EF320" s="68" t="s">
        <v>2968</v>
      </c>
      <c r="EG320" s="69" t="str">
        <f>image("https://www.serebii.net/diamondpearl/berries/13.png", 3)</f>
        <v/>
      </c>
      <c r="EH320" s="69"/>
      <c r="EI320" s="69"/>
    </row>
    <row r="321" ht="15.75" customHeight="1">
      <c r="A321" s="1">
        <v>321.0</v>
      </c>
      <c r="B321" s="2" t="s">
        <v>2969</v>
      </c>
      <c r="C321" s="7"/>
      <c r="D321" s="140" t="s">
        <v>2970</v>
      </c>
      <c r="E321" s="5"/>
      <c r="F321" s="141"/>
      <c r="G321" s="7"/>
      <c r="H321" s="8" t="s">
        <v>2971</v>
      </c>
      <c r="I321" s="9" t="s">
        <v>2972</v>
      </c>
      <c r="J321" s="355" t="str">
        <f>image("https://archives.bulbagarden.net/media/upload/5/5d/321MS6.png", 3)</f>
        <v/>
      </c>
      <c r="K321" s="11" t="s">
        <v>2970</v>
      </c>
      <c r="L321" s="12"/>
      <c r="M321" s="12"/>
      <c r="N321" s="12"/>
      <c r="O321" s="12"/>
      <c r="Q321" s="71">
        <v>170.0</v>
      </c>
      <c r="R321" s="72">
        <v>90.0</v>
      </c>
      <c r="S321" s="73">
        <v>45.0</v>
      </c>
      <c r="T321" s="74">
        <v>90.0</v>
      </c>
      <c r="U321" s="75">
        <v>45.0</v>
      </c>
      <c r="V321" s="76">
        <v>60.0</v>
      </c>
      <c r="W321" s="77">
        <v>500.0</v>
      </c>
      <c r="X321" s="21"/>
      <c r="Y321" s="71">
        <v>170.0</v>
      </c>
      <c r="Z321" s="72">
        <v>90.0</v>
      </c>
      <c r="AA321" s="73">
        <v>45.0</v>
      </c>
      <c r="AB321" s="74">
        <v>90.0</v>
      </c>
      <c r="AC321" s="75">
        <v>45.0</v>
      </c>
      <c r="AD321" s="76">
        <v>60.0</v>
      </c>
      <c r="AE321" s="77">
        <v>500.0</v>
      </c>
      <c r="AF321" s="21"/>
      <c r="AG321" s="71">
        <v>170.0</v>
      </c>
      <c r="AH321" s="72">
        <v>90.0</v>
      </c>
      <c r="AI321" s="73">
        <v>45.0</v>
      </c>
      <c r="AJ321" s="74">
        <v>90.0</v>
      </c>
      <c r="AK321" s="75">
        <v>45.0</v>
      </c>
      <c r="AL321" s="76">
        <v>60.0</v>
      </c>
      <c r="AM321" s="77">
        <v>500.0</v>
      </c>
      <c r="AN321" s="21"/>
      <c r="AO321" s="22">
        <v>170.0</v>
      </c>
      <c r="AP321" s="23">
        <v>90.0</v>
      </c>
      <c r="AQ321" s="23">
        <v>45.0</v>
      </c>
      <c r="AR321" s="23">
        <v>90.0</v>
      </c>
      <c r="AS321" s="23">
        <v>45.0</v>
      </c>
      <c r="AT321" s="23">
        <v>60.0</v>
      </c>
      <c r="AU321" s="24">
        <v>500.0</v>
      </c>
      <c r="AV321" s="21"/>
      <c r="AW321" s="78">
        <v>170.0</v>
      </c>
      <c r="AX321" s="79">
        <v>90.0</v>
      </c>
      <c r="AY321" s="79">
        <v>45.0</v>
      </c>
      <c r="AZ321" s="79">
        <v>90.0</v>
      </c>
      <c r="BA321" s="79">
        <v>45.0</v>
      </c>
      <c r="BB321" s="79">
        <v>60.0</v>
      </c>
      <c r="BC321" s="201">
        <v>500.0</v>
      </c>
      <c r="BE321" s="203" t="s">
        <v>409</v>
      </c>
      <c r="BF321" s="113"/>
      <c r="BG321" s="210"/>
      <c r="BI321" s="31">
        <v>2.0</v>
      </c>
      <c r="BJ321" s="32" t="s">
        <v>5</v>
      </c>
      <c r="BK321" s="32" t="s">
        <v>5</v>
      </c>
      <c r="BL321" s="32" t="s">
        <v>5</v>
      </c>
      <c r="BM321" s="32" t="s">
        <v>5</v>
      </c>
      <c r="BN321" s="33" t="s">
        <v>5</v>
      </c>
      <c r="BP321" s="115" t="s">
        <v>32</v>
      </c>
      <c r="BQ321" s="93"/>
      <c r="BS321" s="115" t="s">
        <v>32</v>
      </c>
      <c r="BT321" s="133"/>
      <c r="BU321" s="37" t="str">
        <f t="shared" si="1"/>
        <v>#NAME?</v>
      </c>
      <c r="BV321" s="89" t="s">
        <v>32</v>
      </c>
      <c r="BW321" s="37" t="str">
        <f t="shared" si="2"/>
        <v>#NAME?</v>
      </c>
      <c r="BX321" s="89"/>
      <c r="BY321" s="39"/>
      <c r="BZ321" s="39"/>
      <c r="CA321" s="40" t="s">
        <v>32</v>
      </c>
      <c r="CB321" s="41"/>
      <c r="CC321" s="90" t="s">
        <v>32</v>
      </c>
      <c r="CD321" s="91"/>
      <c r="CE321" s="21"/>
      <c r="CF321" s="92" t="s">
        <v>1235</v>
      </c>
      <c r="CG321" s="93" t="s">
        <v>870</v>
      </c>
      <c r="CH321" s="21"/>
      <c r="CI321" s="177" t="s">
        <v>1235</v>
      </c>
      <c r="CJ321" s="188" t="s">
        <v>870</v>
      </c>
      <c r="CK321" s="21"/>
      <c r="CL321" s="22" t="s">
        <v>1235</v>
      </c>
      <c r="CM321" s="12"/>
      <c r="CN321" s="48"/>
      <c r="CO321" s="189" t="s">
        <v>870</v>
      </c>
      <c r="CP321" s="21"/>
      <c r="CQ321" s="2" t="s">
        <v>2973</v>
      </c>
      <c r="CR321" s="97">
        <v>120.0</v>
      </c>
      <c r="CS321" s="2" t="s">
        <v>409</v>
      </c>
      <c r="CT321" s="98">
        <v>206.0</v>
      </c>
      <c r="CU321" s="2"/>
      <c r="CV321" s="52" t="s">
        <v>149</v>
      </c>
      <c r="CW321" s="52" t="s">
        <v>149</v>
      </c>
      <c r="CX321" s="2"/>
      <c r="CY321" s="118" t="s">
        <v>277</v>
      </c>
      <c r="CZ321" s="119" t="s">
        <v>1236</v>
      </c>
      <c r="DA321" s="2"/>
      <c r="DB321" s="98">
        <v>60.0</v>
      </c>
      <c r="DC321" s="2"/>
      <c r="DD321" s="101" t="s">
        <v>2656</v>
      </c>
      <c r="DE321" s="2"/>
      <c r="DF321" s="159" t="s">
        <v>2974</v>
      </c>
      <c r="DG321" s="119"/>
      <c r="DH321" s="119"/>
      <c r="DI321" s="2"/>
      <c r="DJ321" s="2"/>
      <c r="DK321" s="59" t="s">
        <v>2975</v>
      </c>
      <c r="DL321" s="37" t="s">
        <v>122</v>
      </c>
      <c r="DM321" s="37" t="str">
        <f t="shared" si="3"/>
        <v>#NAME?</v>
      </c>
      <c r="DN321" s="61"/>
      <c r="DO321" s="37" t="s">
        <v>19</v>
      </c>
      <c r="DP321" s="37" t="s">
        <v>19</v>
      </c>
      <c r="DQ321" s="62" t="s">
        <v>20</v>
      </c>
      <c r="DR321" s="63"/>
      <c r="DS321" s="198"/>
      <c r="DT321" s="108"/>
      <c r="DU321" s="108"/>
      <c r="DV321" s="182"/>
      <c r="DW321" s="182"/>
      <c r="DX321" s="182"/>
      <c r="DY321" s="182"/>
      <c r="DZ321" s="182"/>
      <c r="EA321" s="182"/>
      <c r="EB321" s="2"/>
      <c r="EC321" s="182"/>
      <c r="ED321" s="2"/>
      <c r="EE321" s="396" t="s">
        <v>2976</v>
      </c>
      <c r="EF321" s="68" t="s">
        <v>2977</v>
      </c>
      <c r="EG321" s="69" t="str">
        <f>image("https://www.serebii.net/diamondpearl/berries/14.png", 3)</f>
        <v/>
      </c>
      <c r="EH321" s="69"/>
      <c r="EI321" s="69"/>
    </row>
    <row r="322" ht="15.75" customHeight="1">
      <c r="A322" s="1">
        <v>322.0</v>
      </c>
      <c r="B322" s="2" t="s">
        <v>2978</v>
      </c>
      <c r="C322" s="7"/>
      <c r="D322" s="169" t="s">
        <v>2979</v>
      </c>
      <c r="E322" s="5"/>
      <c r="F322" s="170"/>
      <c r="G322" s="7"/>
      <c r="H322" s="8" t="s">
        <v>2980</v>
      </c>
      <c r="I322" s="9" t="s">
        <v>2981</v>
      </c>
      <c r="J322" s="355" t="str">
        <f>image("https://archives.bulbagarden.net/media/upload/5/52/322MS6.png", 3)</f>
        <v/>
      </c>
      <c r="K322" s="11" t="s">
        <v>2979</v>
      </c>
      <c r="L322" s="12"/>
      <c r="M322" s="12"/>
      <c r="N322" s="12"/>
      <c r="O322" s="12"/>
      <c r="Q322" s="71">
        <v>60.0</v>
      </c>
      <c r="R322" s="72">
        <v>60.0</v>
      </c>
      <c r="S322" s="73">
        <v>40.0</v>
      </c>
      <c r="T322" s="74">
        <v>65.0</v>
      </c>
      <c r="U322" s="75">
        <v>45.0</v>
      </c>
      <c r="V322" s="76">
        <v>35.0</v>
      </c>
      <c r="W322" s="77">
        <v>305.0</v>
      </c>
      <c r="X322" s="21"/>
      <c r="Y322" s="71">
        <v>60.0</v>
      </c>
      <c r="Z322" s="72">
        <v>60.0</v>
      </c>
      <c r="AA322" s="73">
        <v>40.0</v>
      </c>
      <c r="AB322" s="74">
        <v>65.0</v>
      </c>
      <c r="AC322" s="75">
        <v>45.0</v>
      </c>
      <c r="AD322" s="76">
        <v>35.0</v>
      </c>
      <c r="AE322" s="77">
        <v>305.0</v>
      </c>
      <c r="AF322" s="21"/>
      <c r="AG322" s="71">
        <v>60.0</v>
      </c>
      <c r="AH322" s="72">
        <v>60.0</v>
      </c>
      <c r="AI322" s="73">
        <v>40.0</v>
      </c>
      <c r="AJ322" s="74">
        <v>65.0</v>
      </c>
      <c r="AK322" s="75">
        <v>45.0</v>
      </c>
      <c r="AL322" s="76">
        <v>35.0</v>
      </c>
      <c r="AM322" s="77">
        <v>305.0</v>
      </c>
      <c r="AN322" s="21"/>
      <c r="AO322" s="22">
        <v>60.0</v>
      </c>
      <c r="AP322" s="23">
        <v>60.0</v>
      </c>
      <c r="AQ322" s="23">
        <v>40.0</v>
      </c>
      <c r="AR322" s="23">
        <v>65.0</v>
      </c>
      <c r="AS322" s="23">
        <v>45.0</v>
      </c>
      <c r="AT322" s="23">
        <v>35.0</v>
      </c>
      <c r="AU322" s="24">
        <v>305.0</v>
      </c>
      <c r="AV322" s="21"/>
      <c r="AW322" s="78">
        <v>60.0</v>
      </c>
      <c r="AX322" s="79">
        <v>60.0</v>
      </c>
      <c r="AY322" s="79">
        <v>40.0</v>
      </c>
      <c r="AZ322" s="79">
        <v>65.0</v>
      </c>
      <c r="BA322" s="79">
        <v>45.0</v>
      </c>
      <c r="BB322" s="79">
        <v>35.0</v>
      </c>
      <c r="BC322" s="201">
        <v>305.0</v>
      </c>
      <c r="BE322" s="82" t="s">
        <v>4</v>
      </c>
      <c r="BF322" s="386"/>
      <c r="BG322" s="128"/>
      <c r="BI322" s="31" t="s">
        <v>5</v>
      </c>
      <c r="BJ322" s="32" t="s">
        <v>5</v>
      </c>
      <c r="BK322" s="32" t="s">
        <v>5</v>
      </c>
      <c r="BL322" s="32">
        <v>1.0</v>
      </c>
      <c r="BM322" s="32" t="s">
        <v>5</v>
      </c>
      <c r="BN322" s="33" t="s">
        <v>5</v>
      </c>
      <c r="BP322" s="85" t="s">
        <v>34</v>
      </c>
      <c r="BQ322" s="86" t="s">
        <v>79</v>
      </c>
      <c r="BS322" s="87" t="s">
        <v>34</v>
      </c>
      <c r="BT322" s="88" t="s">
        <v>79</v>
      </c>
      <c r="BU322" s="37" t="str">
        <f t="shared" si="1"/>
        <v>#NAME?</v>
      </c>
      <c r="BV322" s="89" t="s">
        <v>34</v>
      </c>
      <c r="BW322" s="37" t="str">
        <f t="shared" si="2"/>
        <v>#NAME?</v>
      </c>
      <c r="BX322" s="89" t="s">
        <v>79</v>
      </c>
      <c r="BY322" s="39"/>
      <c r="BZ322" s="39"/>
      <c r="CA322" s="40" t="s">
        <v>2982</v>
      </c>
      <c r="CB322" s="41"/>
      <c r="CC322" s="90" t="s">
        <v>34</v>
      </c>
      <c r="CD322" s="91" t="s">
        <v>79</v>
      </c>
      <c r="CE322" s="2"/>
      <c r="CF322" s="92" t="s">
        <v>870</v>
      </c>
      <c r="CG322" s="93" t="s">
        <v>2983</v>
      </c>
      <c r="CH322" s="2"/>
      <c r="CI322" s="272" t="s">
        <v>2983</v>
      </c>
      <c r="CJ322" s="273" t="s">
        <v>870</v>
      </c>
      <c r="CK322" s="2"/>
      <c r="CL322" s="22" t="s">
        <v>2984</v>
      </c>
      <c r="CM322" s="12"/>
      <c r="CN322" s="48"/>
      <c r="CO322" s="239" t="s">
        <v>870</v>
      </c>
      <c r="CP322" s="2"/>
      <c r="CQ322" s="2" t="s">
        <v>2673</v>
      </c>
      <c r="CR322" s="97">
        <v>40.0</v>
      </c>
      <c r="CS322" s="2" t="s">
        <v>4</v>
      </c>
      <c r="CT322" s="98">
        <v>88.0</v>
      </c>
      <c r="CU322" s="2"/>
      <c r="CV322" s="52" t="s">
        <v>149</v>
      </c>
      <c r="CW322" s="52" t="s">
        <v>149</v>
      </c>
      <c r="CX322" s="2"/>
      <c r="CY322" s="382" t="s">
        <v>277</v>
      </c>
      <c r="CZ322" s="385"/>
      <c r="DA322" s="2"/>
      <c r="DB322" s="98">
        <v>255.0</v>
      </c>
      <c r="DC322" s="2"/>
      <c r="DD322" s="101" t="s">
        <v>150</v>
      </c>
      <c r="DE322" s="2"/>
      <c r="DF322" s="397" t="s">
        <v>2985</v>
      </c>
      <c r="DG322" s="382"/>
      <c r="DH322" s="385"/>
      <c r="DI322" s="21"/>
      <c r="DJ322" s="21"/>
      <c r="DK322" s="59" t="s">
        <v>2986</v>
      </c>
      <c r="DL322" s="37" t="s">
        <v>156</v>
      </c>
      <c r="DM322" s="37" t="str">
        <f t="shared" si="3"/>
        <v>#NAME?</v>
      </c>
      <c r="DN322" s="61"/>
      <c r="DO322" s="37" t="s">
        <v>19</v>
      </c>
      <c r="DP322" s="37" t="s">
        <v>19</v>
      </c>
      <c r="DQ322" s="62" t="s">
        <v>20</v>
      </c>
      <c r="DR322" s="63"/>
      <c r="DS322" s="198"/>
      <c r="DT322" s="108"/>
      <c r="DU322" s="108"/>
      <c r="DV322" s="182"/>
      <c r="DW322" s="182"/>
      <c r="DX322" s="182"/>
      <c r="DY322" s="182"/>
      <c r="DZ322" s="182"/>
      <c r="EA322" s="182"/>
      <c r="EB322" s="2"/>
      <c r="EC322" s="182"/>
      <c r="ED322" s="2"/>
      <c r="EE322" s="396" t="s">
        <v>2987</v>
      </c>
      <c r="EF322" s="68" t="s">
        <v>2988</v>
      </c>
      <c r="EG322" s="69" t="str">
        <f>image("https://www.serebii.net/diamondpearl/berries/15.png", 3)</f>
        <v/>
      </c>
      <c r="EH322" s="69"/>
      <c r="EI322" s="69"/>
    </row>
    <row r="323" ht="15.75" customHeight="1">
      <c r="A323" s="1">
        <v>323.0</v>
      </c>
      <c r="B323" s="2" t="s">
        <v>2989</v>
      </c>
      <c r="C323" s="7"/>
      <c r="D323" s="122" t="s">
        <v>2990</v>
      </c>
      <c r="E323" s="5"/>
      <c r="F323" s="123"/>
      <c r="G323" s="7"/>
      <c r="H323" s="8" t="s">
        <v>2991</v>
      </c>
      <c r="I323" s="9" t="s">
        <v>2992</v>
      </c>
      <c r="J323" s="355" t="str">
        <f>image("https://archives.bulbagarden.net/media/upload/8/8e/323MS6.png", 3)</f>
        <v/>
      </c>
      <c r="K323" s="11" t="s">
        <v>2990</v>
      </c>
      <c r="L323" s="12"/>
      <c r="M323" s="12"/>
      <c r="N323" s="12"/>
      <c r="O323" s="12"/>
      <c r="Q323" s="71">
        <v>70.0</v>
      </c>
      <c r="R323" s="72">
        <v>100.0</v>
      </c>
      <c r="S323" s="73">
        <v>70.0</v>
      </c>
      <c r="T323" s="74">
        <v>105.0</v>
      </c>
      <c r="U323" s="75">
        <v>75.0</v>
      </c>
      <c r="V323" s="76">
        <v>40.0</v>
      </c>
      <c r="W323" s="77">
        <v>460.0</v>
      </c>
      <c r="X323" s="21"/>
      <c r="Y323" s="71">
        <v>70.0</v>
      </c>
      <c r="Z323" s="72">
        <v>100.0</v>
      </c>
      <c r="AA323" s="73">
        <v>70.0</v>
      </c>
      <c r="AB323" s="74">
        <v>105.0</v>
      </c>
      <c r="AC323" s="75">
        <v>75.0</v>
      </c>
      <c r="AD323" s="76">
        <v>40.0</v>
      </c>
      <c r="AE323" s="77">
        <v>460.0</v>
      </c>
      <c r="AF323" s="21"/>
      <c r="AG323" s="71">
        <v>70.0</v>
      </c>
      <c r="AH323" s="72">
        <v>100.0</v>
      </c>
      <c r="AI323" s="73">
        <v>70.0</v>
      </c>
      <c r="AJ323" s="74">
        <v>105.0</v>
      </c>
      <c r="AK323" s="75">
        <v>75.0</v>
      </c>
      <c r="AL323" s="76">
        <v>40.0</v>
      </c>
      <c r="AM323" s="77">
        <v>460.0</v>
      </c>
      <c r="AN323" s="21"/>
      <c r="AO323" s="22">
        <v>70.0</v>
      </c>
      <c r="AP323" s="23">
        <v>100.0</v>
      </c>
      <c r="AQ323" s="23">
        <v>70.0</v>
      </c>
      <c r="AR323" s="23">
        <v>105.0</v>
      </c>
      <c r="AS323" s="23">
        <v>75.0</v>
      </c>
      <c r="AT323" s="23">
        <v>40.0</v>
      </c>
      <c r="AU323" s="24">
        <v>460.0</v>
      </c>
      <c r="AV323" s="21"/>
      <c r="AW323" s="78">
        <v>70.0</v>
      </c>
      <c r="AX323" s="79">
        <v>100.0</v>
      </c>
      <c r="AY323" s="79">
        <v>70.0</v>
      </c>
      <c r="AZ323" s="79">
        <v>105.0</v>
      </c>
      <c r="BA323" s="79">
        <v>75.0</v>
      </c>
      <c r="BB323" s="79">
        <v>40.0</v>
      </c>
      <c r="BC323" s="201">
        <v>460.0</v>
      </c>
      <c r="BE323" s="194" t="s">
        <v>325</v>
      </c>
      <c r="BF323" s="285" t="s">
        <v>4</v>
      </c>
      <c r="BG323" s="210"/>
      <c r="BI323" s="31" t="s">
        <v>5</v>
      </c>
      <c r="BJ323" s="32">
        <v>1.0</v>
      </c>
      <c r="BK323" s="32" t="s">
        <v>5</v>
      </c>
      <c r="BL323" s="32">
        <v>1.0</v>
      </c>
      <c r="BM323" s="32" t="s">
        <v>5</v>
      </c>
      <c r="BN323" s="33" t="s">
        <v>5</v>
      </c>
      <c r="BP323" s="115" t="s">
        <v>34</v>
      </c>
      <c r="BQ323" s="116" t="s">
        <v>79</v>
      </c>
      <c r="BS323" s="115" t="s">
        <v>34</v>
      </c>
      <c r="BT323" s="117" t="s">
        <v>79</v>
      </c>
      <c r="BU323" s="37" t="str">
        <f t="shared" si="1"/>
        <v>#NAME?</v>
      </c>
      <c r="BV323" s="89" t="s">
        <v>34</v>
      </c>
      <c r="BW323" s="37" t="str">
        <f t="shared" si="2"/>
        <v>#NAME?</v>
      </c>
      <c r="BX323" s="89" t="s">
        <v>79</v>
      </c>
      <c r="BY323" s="39"/>
      <c r="BZ323" s="39"/>
      <c r="CA323" s="40" t="s">
        <v>2982</v>
      </c>
      <c r="CB323" s="41"/>
      <c r="CC323" s="90" t="s">
        <v>34</v>
      </c>
      <c r="CD323" s="91" t="s">
        <v>79</v>
      </c>
      <c r="CE323" s="2"/>
      <c r="CF323" s="92" t="s">
        <v>2102</v>
      </c>
      <c r="CG323" s="93" t="s">
        <v>2993</v>
      </c>
      <c r="CH323" s="2"/>
      <c r="CI323" s="362" t="s">
        <v>2993</v>
      </c>
      <c r="CJ323" s="359" t="s">
        <v>2102</v>
      </c>
      <c r="CK323" s="2"/>
      <c r="CL323" s="22" t="s">
        <v>2994</v>
      </c>
      <c r="CM323" s="12"/>
      <c r="CN323" s="48"/>
      <c r="CO323" s="360" t="s">
        <v>2102</v>
      </c>
      <c r="CP323" s="2"/>
      <c r="CQ323" s="2" t="s">
        <v>1355</v>
      </c>
      <c r="CR323" s="97">
        <v>120.0</v>
      </c>
      <c r="CS323" s="2" t="s">
        <v>1956</v>
      </c>
      <c r="CT323" s="98">
        <v>175.0</v>
      </c>
      <c r="CU323" s="2"/>
      <c r="CV323" s="52" t="s">
        <v>149</v>
      </c>
      <c r="CW323" s="52" t="s">
        <v>149</v>
      </c>
      <c r="CX323" s="2"/>
      <c r="CY323" s="119" t="s">
        <v>277</v>
      </c>
      <c r="CZ323" s="160"/>
      <c r="DA323" s="2"/>
      <c r="DB323" s="98">
        <v>150.0</v>
      </c>
      <c r="DC323" s="2"/>
      <c r="DD323" s="101" t="s">
        <v>150</v>
      </c>
      <c r="DE323" s="2"/>
      <c r="DF323" s="120" t="s">
        <v>2995</v>
      </c>
      <c r="DG323" s="119"/>
      <c r="DH323" s="160"/>
      <c r="DI323" s="2"/>
      <c r="DJ323" s="2"/>
      <c r="DK323" s="59" t="s">
        <v>2996</v>
      </c>
      <c r="DL323" s="37" t="s">
        <v>156</v>
      </c>
      <c r="DM323" s="37" t="str">
        <f t="shared" si="3"/>
        <v>#NAME?</v>
      </c>
      <c r="DN323" s="61"/>
      <c r="DO323" s="37" t="s">
        <v>19</v>
      </c>
      <c r="DP323" s="105">
        <v>1.0</v>
      </c>
      <c r="DQ323" s="62" t="s">
        <v>20</v>
      </c>
      <c r="DR323" s="63"/>
      <c r="DS323" s="198"/>
      <c r="DT323" s="108"/>
      <c r="DU323" s="108"/>
      <c r="DV323" s="182"/>
      <c r="DW323" s="182"/>
      <c r="DX323" s="182"/>
      <c r="DY323" s="182"/>
      <c r="DZ323" s="182"/>
      <c r="EA323" s="182"/>
      <c r="EB323" s="2"/>
      <c r="EC323" s="182"/>
      <c r="ED323" s="2"/>
      <c r="EE323" s="396" t="s">
        <v>2997</v>
      </c>
      <c r="EF323" s="68" t="s">
        <v>2998</v>
      </c>
      <c r="EG323" s="69" t="str">
        <f>image("https://www.serebii.net/diamondpearl/berries/16.png", 3)</f>
        <v/>
      </c>
      <c r="EH323" s="69"/>
      <c r="EI323" s="69"/>
    </row>
    <row r="324" ht="15.75" customHeight="1">
      <c r="A324" s="1">
        <v>324.0</v>
      </c>
      <c r="B324" s="2" t="s">
        <v>2999</v>
      </c>
      <c r="C324" s="7"/>
      <c r="D324" s="167" t="s">
        <v>3000</v>
      </c>
      <c r="E324" s="5"/>
      <c r="F324" s="168"/>
      <c r="G324" s="7"/>
      <c r="H324" s="8" t="s">
        <v>3001</v>
      </c>
      <c r="I324" s="9" t="s">
        <v>3002</v>
      </c>
      <c r="J324" s="355" t="str">
        <f>image("https://archives.bulbagarden.net/media/upload/4/49/324MS6.png", 3)</f>
        <v/>
      </c>
      <c r="K324" s="11" t="s">
        <v>3000</v>
      </c>
      <c r="L324" s="12"/>
      <c r="M324" s="12"/>
      <c r="N324" s="12"/>
      <c r="O324" s="12"/>
      <c r="Q324" s="71">
        <v>70.0</v>
      </c>
      <c r="R324" s="72">
        <v>85.0</v>
      </c>
      <c r="S324" s="73">
        <v>140.0</v>
      </c>
      <c r="T324" s="74">
        <v>85.0</v>
      </c>
      <c r="U324" s="75">
        <v>70.0</v>
      </c>
      <c r="V324" s="76">
        <v>20.0</v>
      </c>
      <c r="W324" s="77">
        <v>470.0</v>
      </c>
      <c r="X324" s="21"/>
      <c r="Y324" s="71">
        <v>70.0</v>
      </c>
      <c r="Z324" s="72">
        <v>85.0</v>
      </c>
      <c r="AA324" s="73">
        <v>140.0</v>
      </c>
      <c r="AB324" s="74">
        <v>85.0</v>
      </c>
      <c r="AC324" s="75">
        <v>70.0</v>
      </c>
      <c r="AD324" s="76">
        <v>20.0</v>
      </c>
      <c r="AE324" s="77">
        <v>470.0</v>
      </c>
      <c r="AF324" s="21"/>
      <c r="AG324" s="71">
        <v>70.0</v>
      </c>
      <c r="AH324" s="72">
        <v>85.0</v>
      </c>
      <c r="AI324" s="73">
        <v>140.0</v>
      </c>
      <c r="AJ324" s="74">
        <v>85.0</v>
      </c>
      <c r="AK324" s="75">
        <v>70.0</v>
      </c>
      <c r="AL324" s="76">
        <v>20.0</v>
      </c>
      <c r="AM324" s="77">
        <v>470.0</v>
      </c>
      <c r="AN324" s="21"/>
      <c r="AO324" s="22">
        <v>70.0</v>
      </c>
      <c r="AP324" s="23">
        <v>85.0</v>
      </c>
      <c r="AQ324" s="23">
        <v>140.0</v>
      </c>
      <c r="AR324" s="23">
        <v>85.0</v>
      </c>
      <c r="AS324" s="23">
        <v>70.0</v>
      </c>
      <c r="AT324" s="23">
        <v>20.0</v>
      </c>
      <c r="AU324" s="24">
        <v>470.0</v>
      </c>
      <c r="AV324" s="21"/>
      <c r="AW324" s="78">
        <v>70.0</v>
      </c>
      <c r="AX324" s="79">
        <v>85.0</v>
      </c>
      <c r="AY324" s="79">
        <v>140.0</v>
      </c>
      <c r="AZ324" s="79">
        <v>85.0</v>
      </c>
      <c r="BA324" s="79">
        <v>70.0</v>
      </c>
      <c r="BB324" s="79">
        <v>20.0</v>
      </c>
      <c r="BC324" s="201">
        <v>470.0</v>
      </c>
      <c r="BE324" s="156" t="s">
        <v>162</v>
      </c>
      <c r="BF324" s="113"/>
      <c r="BG324" s="384"/>
      <c r="BI324" s="31" t="s">
        <v>5</v>
      </c>
      <c r="BJ324" s="32" t="s">
        <v>5</v>
      </c>
      <c r="BK324" s="32">
        <v>2.0</v>
      </c>
      <c r="BL324" s="32" t="s">
        <v>5</v>
      </c>
      <c r="BM324" s="32" t="s">
        <v>5</v>
      </c>
      <c r="BN324" s="33" t="s">
        <v>5</v>
      </c>
      <c r="BP324" s="85" t="s">
        <v>34</v>
      </c>
      <c r="BQ324" s="129"/>
      <c r="BS324" s="87" t="s">
        <v>34</v>
      </c>
      <c r="BT324" s="130"/>
      <c r="BU324" s="37" t="str">
        <f t="shared" si="1"/>
        <v>#NAME?</v>
      </c>
      <c r="BV324" s="89" t="s">
        <v>34</v>
      </c>
      <c r="BW324" s="37" t="str">
        <f t="shared" si="2"/>
        <v>#NAME?</v>
      </c>
      <c r="BX324" s="89"/>
      <c r="BY324" s="39"/>
      <c r="BZ324" s="39"/>
      <c r="CA324" s="40" t="s">
        <v>34</v>
      </c>
      <c r="CB324" s="41"/>
      <c r="CC324" s="90" t="s">
        <v>34</v>
      </c>
      <c r="CD324" s="91"/>
      <c r="CE324" s="21"/>
      <c r="CF324" s="92" t="s">
        <v>3003</v>
      </c>
      <c r="CG324" s="93"/>
      <c r="CH324" s="21"/>
      <c r="CI324" s="274" t="s">
        <v>3004</v>
      </c>
      <c r="CJ324" s="275" t="s">
        <v>3003</v>
      </c>
      <c r="CK324" s="21"/>
      <c r="CL324" s="22" t="s">
        <v>488</v>
      </c>
      <c r="CM324" s="12"/>
      <c r="CN324" s="48"/>
      <c r="CO324" s="242" t="s">
        <v>3003</v>
      </c>
      <c r="CP324" s="21"/>
      <c r="CQ324" s="2" t="s">
        <v>3005</v>
      </c>
      <c r="CR324" s="97">
        <v>80.0</v>
      </c>
      <c r="CS324" s="2" t="s">
        <v>162</v>
      </c>
      <c r="CT324" s="98">
        <v>161.0</v>
      </c>
      <c r="CU324" s="2"/>
      <c r="CV324" s="52" t="s">
        <v>149</v>
      </c>
      <c r="CW324" s="52" t="s">
        <v>149</v>
      </c>
      <c r="CX324" s="2"/>
      <c r="CY324" s="382" t="s">
        <v>277</v>
      </c>
      <c r="CZ324" s="385"/>
      <c r="DA324" s="2"/>
      <c r="DB324" s="98">
        <v>90.0</v>
      </c>
      <c r="DC324" s="2"/>
      <c r="DD324" s="101" t="s">
        <v>150</v>
      </c>
      <c r="DE324" s="2"/>
      <c r="DF324" s="383" t="s">
        <v>914</v>
      </c>
      <c r="DG324" s="381" t="s">
        <v>3006</v>
      </c>
      <c r="DH324" s="385"/>
      <c r="DI324" s="2"/>
      <c r="DJ324" s="2"/>
      <c r="DK324" s="59" t="s">
        <v>3007</v>
      </c>
      <c r="DL324" s="37" t="s">
        <v>197</v>
      </c>
      <c r="DM324" s="37" t="str">
        <f t="shared" si="3"/>
        <v>#NAME?</v>
      </c>
      <c r="DN324" s="61"/>
      <c r="DO324" s="37" t="s">
        <v>19</v>
      </c>
      <c r="DP324" s="37" t="s">
        <v>19</v>
      </c>
      <c r="DQ324" s="62" t="s">
        <v>20</v>
      </c>
      <c r="DR324" s="63"/>
      <c r="DS324" s="198"/>
      <c r="DT324" s="108"/>
      <c r="DU324" s="108"/>
      <c r="DV324" s="182"/>
      <c r="DW324" s="182"/>
      <c r="DX324" s="182"/>
      <c r="DY324" s="182"/>
      <c r="DZ324" s="182"/>
      <c r="EA324" s="182"/>
      <c r="EB324" s="2"/>
      <c r="EC324" s="182"/>
      <c r="ED324" s="2"/>
      <c r="EE324" s="396" t="s">
        <v>3008</v>
      </c>
      <c r="EF324" s="68" t="s">
        <v>3009</v>
      </c>
      <c r="EG324" s="69" t="str">
        <f>image("https://www.serebii.net/diamondpearl/berries/17.png", 3)</f>
        <v/>
      </c>
      <c r="EH324" s="69"/>
      <c r="EI324" s="69"/>
    </row>
    <row r="325" ht="15.75" customHeight="1">
      <c r="A325" s="1">
        <v>325.0</v>
      </c>
      <c r="B325" s="2" t="s">
        <v>3010</v>
      </c>
      <c r="C325" s="7"/>
      <c r="D325" s="295" t="s">
        <v>3011</v>
      </c>
      <c r="E325" s="5"/>
      <c r="F325" s="296"/>
      <c r="G325" s="7"/>
      <c r="H325" s="8" t="s">
        <v>3012</v>
      </c>
      <c r="I325" s="9" t="s">
        <v>3013</v>
      </c>
      <c r="J325" s="355" t="str">
        <f>image("https://archives.bulbagarden.net/media/upload/a/ab/325MS6.png", 3)</f>
        <v/>
      </c>
      <c r="K325" s="398" t="s">
        <v>3011</v>
      </c>
      <c r="L325" s="12"/>
      <c r="M325" s="12"/>
      <c r="N325" s="12"/>
      <c r="O325" s="12"/>
      <c r="Q325" s="71">
        <v>60.0</v>
      </c>
      <c r="R325" s="72">
        <v>25.0</v>
      </c>
      <c r="S325" s="73">
        <v>35.0</v>
      </c>
      <c r="T325" s="74">
        <v>70.0</v>
      </c>
      <c r="U325" s="75">
        <v>80.0</v>
      </c>
      <c r="V325" s="76">
        <v>60.0</v>
      </c>
      <c r="W325" s="77">
        <v>330.0</v>
      </c>
      <c r="X325" s="21"/>
      <c r="Y325" s="71">
        <v>60.0</v>
      </c>
      <c r="Z325" s="72">
        <v>25.0</v>
      </c>
      <c r="AA325" s="73">
        <v>35.0</v>
      </c>
      <c r="AB325" s="74">
        <v>70.0</v>
      </c>
      <c r="AC325" s="75">
        <v>80.0</v>
      </c>
      <c r="AD325" s="76">
        <v>60.0</v>
      </c>
      <c r="AE325" s="77">
        <v>330.0</v>
      </c>
      <c r="AF325" s="21"/>
      <c r="AG325" s="71">
        <v>60.0</v>
      </c>
      <c r="AH325" s="72">
        <v>25.0</v>
      </c>
      <c r="AI325" s="73">
        <v>35.0</v>
      </c>
      <c r="AJ325" s="74">
        <v>70.0</v>
      </c>
      <c r="AK325" s="75">
        <v>80.0</v>
      </c>
      <c r="AL325" s="76">
        <v>60.0</v>
      </c>
      <c r="AM325" s="77">
        <v>330.0</v>
      </c>
      <c r="AN325" s="21"/>
      <c r="AO325" s="22">
        <v>60.0</v>
      </c>
      <c r="AP325" s="23">
        <v>25.0</v>
      </c>
      <c r="AQ325" s="23">
        <v>35.0</v>
      </c>
      <c r="AR325" s="23">
        <v>70.0</v>
      </c>
      <c r="AS325" s="23">
        <v>80.0</v>
      </c>
      <c r="AT325" s="23">
        <v>60.0</v>
      </c>
      <c r="AU325" s="24">
        <v>330.0</v>
      </c>
      <c r="AV325" s="21"/>
      <c r="AW325" s="78">
        <v>60.0</v>
      </c>
      <c r="AX325" s="79">
        <v>25.0</v>
      </c>
      <c r="AY325" s="79">
        <v>35.0</v>
      </c>
      <c r="AZ325" s="79">
        <v>70.0</v>
      </c>
      <c r="BA325" s="79">
        <v>80.0</v>
      </c>
      <c r="BB325" s="79">
        <v>60.0</v>
      </c>
      <c r="BC325" s="201">
        <v>330.0</v>
      </c>
      <c r="BE325" s="225" t="s">
        <v>27</v>
      </c>
      <c r="BF325" s="143"/>
      <c r="BG325" s="128"/>
      <c r="BI325" s="31" t="s">
        <v>5</v>
      </c>
      <c r="BJ325" s="32" t="s">
        <v>5</v>
      </c>
      <c r="BK325" s="32" t="s">
        <v>5</v>
      </c>
      <c r="BL325" s="32" t="s">
        <v>5</v>
      </c>
      <c r="BM325" s="32">
        <v>1.0</v>
      </c>
      <c r="BN325" s="33" t="s">
        <v>5</v>
      </c>
      <c r="BP325" s="115" t="s">
        <v>122</v>
      </c>
      <c r="BQ325" s="93"/>
      <c r="BS325" s="115" t="s">
        <v>122</v>
      </c>
      <c r="BT325" s="133"/>
      <c r="BU325" s="37" t="str">
        <f t="shared" si="1"/>
        <v>#NAME?</v>
      </c>
      <c r="BV325" s="89" t="s">
        <v>122</v>
      </c>
      <c r="BW325" s="37" t="str">
        <f t="shared" si="2"/>
        <v>#NAME?</v>
      </c>
      <c r="BX325" s="89"/>
      <c r="BY325" s="39"/>
      <c r="BZ325" s="39"/>
      <c r="CA325" s="40" t="s">
        <v>122</v>
      </c>
      <c r="CB325" s="41"/>
      <c r="CC325" s="90" t="s">
        <v>122</v>
      </c>
      <c r="CD325" s="91"/>
      <c r="CE325" s="21"/>
      <c r="CF325" s="92" t="s">
        <v>944</v>
      </c>
      <c r="CG325" s="93" t="s">
        <v>871</v>
      </c>
      <c r="CH325" s="21"/>
      <c r="CI325" s="175" t="s">
        <v>944</v>
      </c>
      <c r="CJ325" s="195" t="s">
        <v>871</v>
      </c>
      <c r="CK325" s="21"/>
      <c r="CL325" s="22" t="s">
        <v>944</v>
      </c>
      <c r="CM325" s="12"/>
      <c r="CN325" s="48"/>
      <c r="CO325" s="196" t="s">
        <v>871</v>
      </c>
      <c r="CP325" s="21"/>
      <c r="CQ325" s="2" t="s">
        <v>3014</v>
      </c>
      <c r="CR325" s="97">
        <v>60.0</v>
      </c>
      <c r="CS325" s="2" t="s">
        <v>27</v>
      </c>
      <c r="CT325" s="98">
        <v>89.0</v>
      </c>
      <c r="CU325" s="2"/>
      <c r="CV325" s="52" t="s">
        <v>149</v>
      </c>
      <c r="CW325" s="52" t="s">
        <v>149</v>
      </c>
      <c r="CX325" s="2"/>
      <c r="CY325" s="119" t="s">
        <v>277</v>
      </c>
      <c r="CZ325" s="160"/>
      <c r="DA325" s="2"/>
      <c r="DB325" s="98">
        <v>255.0</v>
      </c>
      <c r="DC325" s="2"/>
      <c r="DD325" s="101" t="s">
        <v>468</v>
      </c>
      <c r="DE325" s="2"/>
      <c r="DF325" s="148" t="s">
        <v>3015</v>
      </c>
      <c r="DG325" s="119"/>
      <c r="DH325" s="160"/>
      <c r="DI325" s="21"/>
      <c r="DJ325" s="21"/>
      <c r="DK325" s="59" t="s">
        <v>3016</v>
      </c>
      <c r="DL325" s="230" t="s">
        <v>3017</v>
      </c>
      <c r="DM325" s="231" t="str">
        <f t="shared" si="3"/>
        <v>#NAME?</v>
      </c>
      <c r="DN325" s="61"/>
      <c r="DO325" s="37" t="s">
        <v>19</v>
      </c>
      <c r="DP325" s="105">
        <v>1.0</v>
      </c>
      <c r="DQ325" s="62" t="s">
        <v>20</v>
      </c>
      <c r="DR325" s="63"/>
      <c r="DS325" s="198"/>
      <c r="DT325" s="108"/>
      <c r="DU325" s="108"/>
      <c r="DV325" s="182"/>
      <c r="DW325" s="182"/>
      <c r="DX325" s="182"/>
      <c r="DY325" s="182"/>
      <c r="DZ325" s="182"/>
      <c r="EA325" s="182"/>
      <c r="EB325" s="2"/>
      <c r="EC325" s="182"/>
      <c r="ED325" s="2"/>
      <c r="EE325" s="396" t="s">
        <v>3018</v>
      </c>
      <c r="EF325" s="68" t="s">
        <v>3019</v>
      </c>
      <c r="EG325" s="69" t="str">
        <f>image("https://www.serebii.net/diamondpearl/berries/18.png", 3)</f>
        <v/>
      </c>
      <c r="EH325" s="69"/>
      <c r="EI325" s="69"/>
    </row>
    <row r="326" ht="15.75" customHeight="1">
      <c r="A326" s="1">
        <v>326.0</v>
      </c>
      <c r="B326" s="2" t="s">
        <v>3020</v>
      </c>
      <c r="C326" s="7"/>
      <c r="D326" s="180" t="s">
        <v>3021</v>
      </c>
      <c r="E326" s="5"/>
      <c r="F326" s="181"/>
      <c r="G326" s="7"/>
      <c r="H326" s="8" t="s">
        <v>3022</v>
      </c>
      <c r="I326" s="9" t="s">
        <v>3023</v>
      </c>
      <c r="J326" s="355" t="str">
        <f>image("https://archives.bulbagarden.net/media/upload/5/53/326MS6.png", 3)</f>
        <v/>
      </c>
      <c r="K326" s="11" t="s">
        <v>3021</v>
      </c>
      <c r="L326" s="12"/>
      <c r="M326" s="12"/>
      <c r="N326" s="12"/>
      <c r="O326" s="12"/>
      <c r="Q326" s="71">
        <v>80.0</v>
      </c>
      <c r="R326" s="72">
        <v>45.0</v>
      </c>
      <c r="S326" s="73">
        <v>65.0</v>
      </c>
      <c r="T326" s="74">
        <v>90.0</v>
      </c>
      <c r="U326" s="75">
        <v>110.0</v>
      </c>
      <c r="V326" s="76">
        <v>80.0</v>
      </c>
      <c r="W326" s="77">
        <v>470.0</v>
      </c>
      <c r="X326" s="21"/>
      <c r="Y326" s="71">
        <v>80.0</v>
      </c>
      <c r="Z326" s="72">
        <v>45.0</v>
      </c>
      <c r="AA326" s="73">
        <v>65.0</v>
      </c>
      <c r="AB326" s="74">
        <v>90.0</v>
      </c>
      <c r="AC326" s="75">
        <v>110.0</v>
      </c>
      <c r="AD326" s="76">
        <v>80.0</v>
      </c>
      <c r="AE326" s="77">
        <v>470.0</v>
      </c>
      <c r="AF326" s="21"/>
      <c r="AG326" s="71">
        <v>80.0</v>
      </c>
      <c r="AH326" s="72">
        <v>45.0</v>
      </c>
      <c r="AI326" s="73">
        <v>65.0</v>
      </c>
      <c r="AJ326" s="74">
        <v>90.0</v>
      </c>
      <c r="AK326" s="75">
        <v>110.0</v>
      </c>
      <c r="AL326" s="76">
        <v>80.0</v>
      </c>
      <c r="AM326" s="77">
        <v>470.0</v>
      </c>
      <c r="AN326" s="21"/>
      <c r="AO326" s="22">
        <v>80.0</v>
      </c>
      <c r="AP326" s="23">
        <v>45.0</v>
      </c>
      <c r="AQ326" s="23">
        <v>65.0</v>
      </c>
      <c r="AR326" s="23">
        <v>90.0</v>
      </c>
      <c r="AS326" s="23">
        <v>110.0</v>
      </c>
      <c r="AT326" s="23">
        <v>80.0</v>
      </c>
      <c r="AU326" s="24">
        <v>470.0</v>
      </c>
      <c r="AV326" s="21"/>
      <c r="AW326" s="258">
        <v>80.0</v>
      </c>
      <c r="AX326" s="80">
        <v>45.0</v>
      </c>
      <c r="AY326" s="80">
        <v>65.0</v>
      </c>
      <c r="AZ326" s="80">
        <v>90.0</v>
      </c>
      <c r="BA326" s="80">
        <v>110.0</v>
      </c>
      <c r="BB326" s="80">
        <v>80.0</v>
      </c>
      <c r="BC326" s="81">
        <v>470.0</v>
      </c>
      <c r="BE326" s="150" t="s">
        <v>815</v>
      </c>
      <c r="BF326" s="113"/>
      <c r="BG326" s="384"/>
      <c r="BI326" s="31" t="s">
        <v>5</v>
      </c>
      <c r="BJ326" s="32" t="s">
        <v>5</v>
      </c>
      <c r="BK326" s="32" t="s">
        <v>5</v>
      </c>
      <c r="BL326" s="32" t="s">
        <v>5</v>
      </c>
      <c r="BM326" s="32">
        <v>2.0</v>
      </c>
      <c r="BN326" s="33" t="s">
        <v>5</v>
      </c>
      <c r="BP326" s="85" t="s">
        <v>122</v>
      </c>
      <c r="BQ326" s="129"/>
      <c r="BS326" s="87" t="s">
        <v>122</v>
      </c>
      <c r="BT326" s="130"/>
      <c r="BU326" s="37" t="str">
        <f t="shared" si="1"/>
        <v>#NAME?</v>
      </c>
      <c r="BV326" s="89" t="s">
        <v>122</v>
      </c>
      <c r="BW326" s="37" t="str">
        <f t="shared" si="2"/>
        <v>#NAME?</v>
      </c>
      <c r="BX326" s="89"/>
      <c r="BY326" s="39"/>
      <c r="BZ326" s="39"/>
      <c r="CA326" s="40" t="s">
        <v>122</v>
      </c>
      <c r="CB326" s="41"/>
      <c r="CC326" s="90" t="s">
        <v>122</v>
      </c>
      <c r="CD326" s="91"/>
      <c r="CE326" s="21"/>
      <c r="CF326" s="92" t="s">
        <v>944</v>
      </c>
      <c r="CG326" s="93" t="s">
        <v>871</v>
      </c>
      <c r="CH326" s="21"/>
      <c r="CI326" s="92" t="s">
        <v>944</v>
      </c>
      <c r="CJ326" s="93" t="s">
        <v>871</v>
      </c>
      <c r="CK326" s="21"/>
      <c r="CL326" s="22" t="s">
        <v>944</v>
      </c>
      <c r="CM326" s="12"/>
      <c r="CN326" s="48"/>
      <c r="CO326" s="96" t="s">
        <v>871</v>
      </c>
      <c r="CP326" s="21"/>
      <c r="CQ326" s="2" t="s">
        <v>3024</v>
      </c>
      <c r="CR326" s="97">
        <v>80.0</v>
      </c>
      <c r="CS326" s="2" t="s">
        <v>815</v>
      </c>
      <c r="CT326" s="98">
        <v>164.0</v>
      </c>
      <c r="CU326" s="2"/>
      <c r="CV326" s="52" t="s">
        <v>149</v>
      </c>
      <c r="CW326" s="52" t="s">
        <v>149</v>
      </c>
      <c r="CX326" s="2"/>
      <c r="CY326" s="382" t="s">
        <v>277</v>
      </c>
      <c r="CZ326" s="385"/>
      <c r="DA326" s="2"/>
      <c r="DB326" s="98">
        <v>60.0</v>
      </c>
      <c r="DC326" s="2"/>
      <c r="DD326" s="101" t="s">
        <v>468</v>
      </c>
      <c r="DE326" s="2"/>
      <c r="DF326" s="383" t="s">
        <v>3025</v>
      </c>
      <c r="DG326" s="382"/>
      <c r="DH326" s="385"/>
      <c r="DI326" s="2"/>
      <c r="DJ326" s="2"/>
      <c r="DK326" s="59" t="s">
        <v>3026</v>
      </c>
      <c r="DL326" s="37" t="s">
        <v>92</v>
      </c>
      <c r="DM326" s="37" t="str">
        <f t="shared" si="3"/>
        <v>#NAME?</v>
      </c>
      <c r="DN326" s="61"/>
      <c r="DO326" s="37" t="s">
        <v>19</v>
      </c>
      <c r="DP326" s="105">
        <v>1.0</v>
      </c>
      <c r="DQ326" s="62" t="s">
        <v>49</v>
      </c>
      <c r="DR326" s="63"/>
      <c r="DS326" s="198"/>
      <c r="DT326" s="108"/>
      <c r="DU326" s="108"/>
      <c r="DV326" s="182"/>
      <c r="DW326" s="182"/>
      <c r="DX326" s="182"/>
      <c r="DY326" s="182"/>
      <c r="DZ326" s="182"/>
      <c r="EA326" s="182"/>
      <c r="EB326" s="2"/>
      <c r="EC326" s="182"/>
      <c r="ED326" s="2"/>
      <c r="EE326" s="396" t="s">
        <v>3027</v>
      </c>
      <c r="EF326" s="68" t="s">
        <v>3028</v>
      </c>
      <c r="EG326" s="69" t="str">
        <f>image("https://www.serebii.net/diamondpearl/berries/19.png", 3)</f>
        <v/>
      </c>
      <c r="EH326" s="69"/>
      <c r="EI326" s="69"/>
    </row>
    <row r="327" ht="15.75" customHeight="1">
      <c r="A327" s="1">
        <v>327.0</v>
      </c>
      <c r="B327" s="2" t="s">
        <v>3029</v>
      </c>
      <c r="C327" s="7"/>
      <c r="D327" s="167" t="s">
        <v>3030</v>
      </c>
      <c r="E327" s="5"/>
      <c r="F327" s="168"/>
      <c r="G327" s="7"/>
      <c r="H327" s="8" t="s">
        <v>3031</v>
      </c>
      <c r="I327" s="9" t="s">
        <v>3032</v>
      </c>
      <c r="J327" s="355" t="str">
        <f>image("https://archives.bulbagarden.net/media/upload/f/f9/327MS6.png", 3)</f>
        <v/>
      </c>
      <c r="K327" s="11" t="s">
        <v>3030</v>
      </c>
      <c r="L327" s="12"/>
      <c r="M327" s="12"/>
      <c r="N327" s="12"/>
      <c r="O327" s="12"/>
      <c r="Q327" s="71">
        <v>60.0</v>
      </c>
      <c r="R327" s="72">
        <v>60.0</v>
      </c>
      <c r="S327" s="73">
        <v>60.0</v>
      </c>
      <c r="T327" s="74">
        <v>60.0</v>
      </c>
      <c r="U327" s="75">
        <v>60.0</v>
      </c>
      <c r="V327" s="76">
        <v>60.0</v>
      </c>
      <c r="W327" s="77">
        <v>360.0</v>
      </c>
      <c r="X327" s="21"/>
      <c r="Y327" s="71">
        <v>60.0</v>
      </c>
      <c r="Z327" s="72">
        <v>60.0</v>
      </c>
      <c r="AA327" s="73">
        <v>60.0</v>
      </c>
      <c r="AB327" s="74">
        <v>60.0</v>
      </c>
      <c r="AC327" s="75">
        <v>60.0</v>
      </c>
      <c r="AD327" s="76">
        <v>60.0</v>
      </c>
      <c r="AE327" s="77">
        <v>360.0</v>
      </c>
      <c r="AF327" s="21"/>
      <c r="AG327" s="261">
        <v>75.0</v>
      </c>
      <c r="AH327" s="109">
        <v>75.0</v>
      </c>
      <c r="AI327" s="109">
        <v>75.0</v>
      </c>
      <c r="AJ327" s="109">
        <v>75.0</v>
      </c>
      <c r="AK327" s="109">
        <v>75.0</v>
      </c>
      <c r="AL327" s="109">
        <v>75.0</v>
      </c>
      <c r="AM327" s="110">
        <v>450.0</v>
      </c>
      <c r="AN327" s="21"/>
      <c r="AO327" s="22" t="s">
        <v>154</v>
      </c>
      <c r="AP327" s="23" t="s">
        <v>154</v>
      </c>
      <c r="AQ327" s="23" t="s">
        <v>154</v>
      </c>
      <c r="AR327" s="23" t="s">
        <v>154</v>
      </c>
      <c r="AS327" s="23" t="s">
        <v>154</v>
      </c>
      <c r="AT327" s="23" t="s">
        <v>154</v>
      </c>
      <c r="AU327" s="24" t="s">
        <v>176</v>
      </c>
      <c r="AV327" s="21"/>
      <c r="AW327" s="171">
        <v>75.0</v>
      </c>
      <c r="AX327" s="111">
        <v>75.0</v>
      </c>
      <c r="AY327" s="111">
        <v>75.0</v>
      </c>
      <c r="AZ327" s="111">
        <v>75.0</v>
      </c>
      <c r="BA327" s="111">
        <v>75.0</v>
      </c>
      <c r="BB327" s="111">
        <v>75.0</v>
      </c>
      <c r="BC327" s="171">
        <v>450.0</v>
      </c>
      <c r="BE327" s="82" t="s">
        <v>4</v>
      </c>
      <c r="BF327" s="143"/>
      <c r="BG327" s="128"/>
      <c r="BI327" s="31" t="s">
        <v>5</v>
      </c>
      <c r="BJ327" s="32" t="s">
        <v>5</v>
      </c>
      <c r="BK327" s="32" t="s">
        <v>5</v>
      </c>
      <c r="BL327" s="32">
        <v>1.0</v>
      </c>
      <c r="BM327" s="32" t="s">
        <v>5</v>
      </c>
      <c r="BN327" s="33" t="s">
        <v>5</v>
      </c>
      <c r="BP327" s="115" t="s">
        <v>156</v>
      </c>
      <c r="BQ327" s="93"/>
      <c r="BS327" s="115" t="s">
        <v>156</v>
      </c>
      <c r="BT327" s="133"/>
      <c r="BU327" s="37" t="str">
        <f t="shared" si="1"/>
        <v>#NAME?</v>
      </c>
      <c r="BV327" s="89" t="s">
        <v>156</v>
      </c>
      <c r="BW327" s="37" t="str">
        <f t="shared" si="2"/>
        <v>#NAME?</v>
      </c>
      <c r="BX327" s="89"/>
      <c r="BY327" s="134"/>
      <c r="BZ327" s="134"/>
      <c r="CA327" s="135" t="s">
        <v>156</v>
      </c>
      <c r="CB327" s="136"/>
      <c r="CC327" s="212" t="s">
        <v>156</v>
      </c>
      <c r="CD327" s="91"/>
      <c r="CE327" s="21"/>
      <c r="CF327" s="92" t="s">
        <v>871</v>
      </c>
      <c r="CG327" s="93" t="s">
        <v>236</v>
      </c>
      <c r="CH327" s="21"/>
      <c r="CI327" s="92" t="s">
        <v>871</v>
      </c>
      <c r="CJ327" s="93" t="s">
        <v>236</v>
      </c>
      <c r="CK327" s="21"/>
      <c r="CL327" s="22" t="s">
        <v>871</v>
      </c>
      <c r="CM327" s="12"/>
      <c r="CN327" s="48"/>
      <c r="CO327" s="96" t="s">
        <v>236</v>
      </c>
      <c r="CP327" s="21"/>
      <c r="CQ327" s="2" t="s">
        <v>1955</v>
      </c>
      <c r="CR327" s="97">
        <v>20.0</v>
      </c>
      <c r="CS327" s="2" t="s">
        <v>4</v>
      </c>
      <c r="CT327" s="98">
        <v>85.0</v>
      </c>
      <c r="CU327" s="2"/>
      <c r="CV327" s="52" t="s">
        <v>149</v>
      </c>
      <c r="CW327" s="52" t="s">
        <v>149</v>
      </c>
      <c r="CX327" s="2"/>
      <c r="CY327" s="118" t="s">
        <v>277</v>
      </c>
      <c r="CZ327" s="119" t="s">
        <v>728</v>
      </c>
      <c r="DA327" s="2"/>
      <c r="DB327" s="98">
        <v>255.0</v>
      </c>
      <c r="DC327" s="2"/>
      <c r="DD327" s="101" t="s">
        <v>468</v>
      </c>
      <c r="DE327" s="2"/>
      <c r="DF327" s="120" t="s">
        <v>914</v>
      </c>
      <c r="DG327" s="119"/>
      <c r="DH327" s="119"/>
      <c r="DI327" s="2"/>
      <c r="DJ327" s="2"/>
      <c r="DK327" s="59" t="s">
        <v>3033</v>
      </c>
      <c r="DL327" s="37" t="s">
        <v>156</v>
      </c>
      <c r="DM327" s="37" t="str">
        <f t="shared" si="3"/>
        <v>#NAME?</v>
      </c>
      <c r="DN327" s="61"/>
      <c r="DO327" s="37" t="s">
        <v>19</v>
      </c>
      <c r="DP327" s="37" t="s">
        <v>19</v>
      </c>
      <c r="DQ327" s="62" t="s">
        <v>342</v>
      </c>
      <c r="DR327" s="63"/>
      <c r="DS327" s="198"/>
      <c r="DT327" s="108"/>
      <c r="DU327" s="108"/>
      <c r="DV327" s="182"/>
      <c r="DW327" s="182"/>
      <c r="DX327" s="182"/>
      <c r="DY327" s="182"/>
      <c r="DZ327" s="182"/>
      <c r="EA327" s="182"/>
      <c r="EB327" s="2"/>
      <c r="EC327" s="182"/>
      <c r="ED327" s="2"/>
      <c r="EE327" s="396" t="s">
        <v>3034</v>
      </c>
      <c r="EF327" s="68" t="s">
        <v>3035</v>
      </c>
      <c r="EG327" s="69" t="str">
        <f>image("https://www.serebii.net/diamondpearl/berries/20.png", 3)</f>
        <v/>
      </c>
      <c r="EH327" s="69"/>
      <c r="EI327" s="69"/>
    </row>
    <row r="328" ht="15.75" customHeight="1">
      <c r="A328" s="1">
        <v>328.0</v>
      </c>
      <c r="B328" s="2" t="s">
        <v>3036</v>
      </c>
      <c r="C328" s="7"/>
      <c r="D328" s="167" t="s">
        <v>3037</v>
      </c>
      <c r="E328" s="5"/>
      <c r="F328" s="168"/>
      <c r="G328" s="7"/>
      <c r="H328" s="8" t="s">
        <v>3038</v>
      </c>
      <c r="I328" s="9" t="s">
        <v>3039</v>
      </c>
      <c r="J328" s="355" t="str">
        <f>image("https://archives.bulbagarden.net/media/upload/c/cb/328MS6.png", 3)</f>
        <v/>
      </c>
      <c r="K328" s="11" t="s">
        <v>3037</v>
      </c>
      <c r="L328" s="12"/>
      <c r="M328" s="12"/>
      <c r="N328" s="12"/>
      <c r="O328" s="12"/>
      <c r="Q328" s="71">
        <v>45.0</v>
      </c>
      <c r="R328" s="72">
        <v>100.0</v>
      </c>
      <c r="S328" s="73">
        <v>45.0</v>
      </c>
      <c r="T328" s="74">
        <v>45.0</v>
      </c>
      <c r="U328" s="75">
        <v>45.0</v>
      </c>
      <c r="V328" s="76">
        <v>10.0</v>
      </c>
      <c r="W328" s="77">
        <v>290.0</v>
      </c>
      <c r="X328" s="21"/>
      <c r="Y328" s="71">
        <v>45.0</v>
      </c>
      <c r="Z328" s="72">
        <v>100.0</v>
      </c>
      <c r="AA328" s="73">
        <v>45.0</v>
      </c>
      <c r="AB328" s="74">
        <v>45.0</v>
      </c>
      <c r="AC328" s="75">
        <v>45.0</v>
      </c>
      <c r="AD328" s="76">
        <v>10.0</v>
      </c>
      <c r="AE328" s="77">
        <v>290.0</v>
      </c>
      <c r="AF328" s="21"/>
      <c r="AG328" s="261">
        <v>55.0</v>
      </c>
      <c r="AH328" s="72">
        <v>100.0</v>
      </c>
      <c r="AI328" s="73">
        <v>45.0</v>
      </c>
      <c r="AJ328" s="74">
        <v>45.0</v>
      </c>
      <c r="AK328" s="75">
        <v>45.0</v>
      </c>
      <c r="AL328" s="76">
        <v>10.0</v>
      </c>
      <c r="AM328" s="110">
        <v>300.0</v>
      </c>
      <c r="AN328" s="21"/>
      <c r="AO328" s="22" t="s">
        <v>507</v>
      </c>
      <c r="AP328" s="23">
        <v>100.0</v>
      </c>
      <c r="AQ328" s="23">
        <v>45.0</v>
      </c>
      <c r="AR328" s="23">
        <v>45.0</v>
      </c>
      <c r="AS328" s="23">
        <v>45.0</v>
      </c>
      <c r="AT328" s="23">
        <v>10.0</v>
      </c>
      <c r="AU328" s="24" t="s">
        <v>2842</v>
      </c>
      <c r="AV328" s="21"/>
      <c r="AW328" s="111">
        <v>55.0</v>
      </c>
      <c r="AX328" s="182">
        <v>100.0</v>
      </c>
      <c r="AY328" s="182">
        <v>45.0</v>
      </c>
      <c r="AZ328" s="182">
        <v>45.0</v>
      </c>
      <c r="BA328" s="182">
        <v>45.0</v>
      </c>
      <c r="BB328" s="124">
        <v>10.0</v>
      </c>
      <c r="BC328" s="111">
        <v>300.0</v>
      </c>
      <c r="BE328" s="194" t="s">
        <v>325</v>
      </c>
      <c r="BF328" s="386"/>
      <c r="BG328" s="128"/>
      <c r="BI328" s="31" t="s">
        <v>5</v>
      </c>
      <c r="BJ328" s="32">
        <v>1.0</v>
      </c>
      <c r="BK328" s="32" t="s">
        <v>5</v>
      </c>
      <c r="BL328" s="32" t="s">
        <v>5</v>
      </c>
      <c r="BM328" s="32" t="s">
        <v>5</v>
      </c>
      <c r="BN328" s="33" t="s">
        <v>5</v>
      </c>
      <c r="BP328" s="85" t="s">
        <v>79</v>
      </c>
      <c r="BQ328" s="129"/>
      <c r="BS328" s="87" t="s">
        <v>79</v>
      </c>
      <c r="BT328" s="130"/>
      <c r="BU328" s="37" t="str">
        <f t="shared" si="1"/>
        <v>#NAME?</v>
      </c>
      <c r="BV328" s="89" t="s">
        <v>435</v>
      </c>
      <c r="BW328" s="37" t="str">
        <f t="shared" si="2"/>
        <v>#NAME?</v>
      </c>
      <c r="BX328" s="89" t="s">
        <v>79</v>
      </c>
      <c r="BY328" s="39"/>
      <c r="BZ328" s="39"/>
      <c r="CA328" s="40" t="s">
        <v>3040</v>
      </c>
      <c r="CB328" s="41"/>
      <c r="CC328" s="216" t="s">
        <v>3041</v>
      </c>
      <c r="CD328" s="62" t="s">
        <v>79</v>
      </c>
      <c r="CE328" s="21"/>
      <c r="CF328" s="92" t="s">
        <v>1050</v>
      </c>
      <c r="CG328" s="93" t="s">
        <v>608</v>
      </c>
      <c r="CH328" s="21"/>
      <c r="CI328" s="92" t="s">
        <v>1050</v>
      </c>
      <c r="CJ328" s="188" t="s">
        <v>608</v>
      </c>
      <c r="CK328" s="21"/>
      <c r="CL328" s="22" t="s">
        <v>1050</v>
      </c>
      <c r="CM328" s="12"/>
      <c r="CN328" s="48"/>
      <c r="CO328" s="189" t="s">
        <v>608</v>
      </c>
      <c r="CP328" s="21"/>
      <c r="CQ328" s="2" t="s">
        <v>913</v>
      </c>
      <c r="CR328" s="97">
        <v>40.0</v>
      </c>
      <c r="CS328" s="2" t="s">
        <v>325</v>
      </c>
      <c r="CT328" s="98">
        <v>73.0</v>
      </c>
      <c r="CU328" s="2"/>
      <c r="CV328" s="52" t="s">
        <v>149</v>
      </c>
      <c r="CW328" s="52" t="s">
        <v>149</v>
      </c>
      <c r="CX328" s="2"/>
      <c r="CY328" s="382" t="s">
        <v>109</v>
      </c>
      <c r="CZ328" s="385"/>
      <c r="DA328" s="2"/>
      <c r="DB328" s="98">
        <v>255.0</v>
      </c>
      <c r="DC328" s="2"/>
      <c r="DD328" s="101" t="s">
        <v>15</v>
      </c>
      <c r="DE328" s="2"/>
      <c r="DF328" s="393" t="s">
        <v>3042</v>
      </c>
      <c r="DG328" s="381" t="s">
        <v>611</v>
      </c>
      <c r="DH328" s="385"/>
      <c r="DI328" s="21"/>
      <c r="DJ328" s="21"/>
      <c r="DK328" s="59" t="s">
        <v>3043</v>
      </c>
      <c r="DL328" s="37" t="s">
        <v>156</v>
      </c>
      <c r="DM328" s="37" t="str">
        <f t="shared" si="3"/>
        <v>#NAME?</v>
      </c>
      <c r="DN328" s="61"/>
      <c r="DO328" s="37" t="s">
        <v>19</v>
      </c>
      <c r="DP328" s="37" t="s">
        <v>19</v>
      </c>
      <c r="DQ328" s="62" t="s">
        <v>342</v>
      </c>
      <c r="DR328" s="63"/>
      <c r="DS328" s="198"/>
      <c r="DT328" s="108"/>
      <c r="DU328" s="108"/>
      <c r="DV328" s="182"/>
      <c r="DW328" s="182"/>
      <c r="DX328" s="182"/>
      <c r="DY328" s="182"/>
      <c r="DZ328" s="182"/>
      <c r="EA328" s="182"/>
      <c r="EB328" s="2"/>
      <c r="EC328" s="182"/>
      <c r="ED328" s="2"/>
      <c r="EE328" s="396" t="s">
        <v>3044</v>
      </c>
      <c r="EF328" s="68" t="s">
        <v>3045</v>
      </c>
      <c r="EG328" s="69" t="str">
        <f>image("https://www.serebii.net/diamondpearl/berries/21.png", 3)</f>
        <v/>
      </c>
      <c r="EH328" s="69"/>
      <c r="EI328" s="69"/>
    </row>
    <row r="329" ht="15.75" customHeight="1">
      <c r="A329" s="1">
        <v>329.0</v>
      </c>
      <c r="B329" s="2" t="s">
        <v>3046</v>
      </c>
      <c r="C329" s="7"/>
      <c r="D329" s="4" t="s">
        <v>3047</v>
      </c>
      <c r="E329" s="5"/>
      <c r="F329" s="6"/>
      <c r="G329" s="7"/>
      <c r="H329" s="8" t="s">
        <v>3048</v>
      </c>
      <c r="I329" s="9" t="s">
        <v>3049</v>
      </c>
      <c r="J329" s="355" t="str">
        <f>image("https://archives.bulbagarden.net/media/upload/a/a6/329MS6.png", 3)</f>
        <v/>
      </c>
      <c r="K329" s="11" t="s">
        <v>3047</v>
      </c>
      <c r="L329" s="12"/>
      <c r="M329" s="12"/>
      <c r="N329" s="12"/>
      <c r="O329" s="12"/>
      <c r="Q329" s="71">
        <v>50.0</v>
      </c>
      <c r="R329" s="72">
        <v>70.0</v>
      </c>
      <c r="S329" s="73">
        <v>50.0</v>
      </c>
      <c r="T329" s="74">
        <v>50.0</v>
      </c>
      <c r="U329" s="75">
        <v>50.0</v>
      </c>
      <c r="V329" s="76">
        <v>70.0</v>
      </c>
      <c r="W329" s="77">
        <v>340.0</v>
      </c>
      <c r="X329" s="21"/>
      <c r="Y329" s="71">
        <v>50.0</v>
      </c>
      <c r="Z329" s="72">
        <v>70.0</v>
      </c>
      <c r="AA329" s="73">
        <v>50.0</v>
      </c>
      <c r="AB329" s="74">
        <v>50.0</v>
      </c>
      <c r="AC329" s="75">
        <v>50.0</v>
      </c>
      <c r="AD329" s="76">
        <v>70.0</v>
      </c>
      <c r="AE329" s="77">
        <v>340.0</v>
      </c>
      <c r="AF329" s="21"/>
      <c r="AG329" s="261">
        <v>60.0</v>
      </c>
      <c r="AH329" s="109">
        <v>80.0</v>
      </c>
      <c r="AI329" s="109">
        <v>55.0</v>
      </c>
      <c r="AJ329" s="109">
        <v>90.0</v>
      </c>
      <c r="AK329" s="109">
        <v>55.0</v>
      </c>
      <c r="AL329" s="76">
        <v>70.0</v>
      </c>
      <c r="AM329" s="110">
        <v>410.0</v>
      </c>
      <c r="AN329" s="21"/>
      <c r="AO329" s="22" t="s">
        <v>77</v>
      </c>
      <c r="AP329" s="23" t="s">
        <v>337</v>
      </c>
      <c r="AQ329" s="23" t="s">
        <v>507</v>
      </c>
      <c r="AR329" s="23" t="s">
        <v>128</v>
      </c>
      <c r="AS329" s="23" t="s">
        <v>507</v>
      </c>
      <c r="AT329" s="23">
        <v>70.0</v>
      </c>
      <c r="AU329" s="24" t="s">
        <v>3050</v>
      </c>
      <c r="AV329" s="21"/>
      <c r="AW329" s="111">
        <v>60.0</v>
      </c>
      <c r="AX329" s="111">
        <v>80.0</v>
      </c>
      <c r="AY329" s="111">
        <v>55.0</v>
      </c>
      <c r="AZ329" s="111">
        <v>90.0</v>
      </c>
      <c r="BA329" s="111">
        <v>55.0</v>
      </c>
      <c r="BB329" s="79">
        <v>70.0</v>
      </c>
      <c r="BC329" s="111">
        <v>410.0</v>
      </c>
      <c r="BE329" s="194" t="s">
        <v>325</v>
      </c>
      <c r="BF329" s="132" t="s">
        <v>3051</v>
      </c>
      <c r="BG329" s="399" t="s">
        <v>3052</v>
      </c>
      <c r="BI329" s="31" t="s">
        <v>5</v>
      </c>
      <c r="BJ329" s="400">
        <v>0.0</v>
      </c>
      <c r="BK329" s="32" t="s">
        <v>5</v>
      </c>
      <c r="BL329" s="401">
        <v>2.0</v>
      </c>
      <c r="BM329" s="32" t="s">
        <v>5</v>
      </c>
      <c r="BN329" s="402">
        <v>0.0</v>
      </c>
      <c r="BP329" s="115" t="s">
        <v>79</v>
      </c>
      <c r="BQ329" s="116" t="s">
        <v>61</v>
      </c>
      <c r="BS329" s="115" t="s">
        <v>79</v>
      </c>
      <c r="BT329" s="117" t="s">
        <v>61</v>
      </c>
      <c r="BU329" s="37" t="str">
        <f t="shared" si="1"/>
        <v>#NAME?</v>
      </c>
      <c r="BV329" s="89" t="s">
        <v>435</v>
      </c>
      <c r="BW329" s="37" t="str">
        <f t="shared" si="2"/>
        <v>#NAME?</v>
      </c>
      <c r="BX329" s="89" t="s">
        <v>61</v>
      </c>
      <c r="BY329" s="39"/>
      <c r="BZ329" s="39"/>
      <c r="CA329" s="40" t="s">
        <v>3040</v>
      </c>
      <c r="CB329" s="41"/>
      <c r="CC329" s="403" t="s">
        <v>3041</v>
      </c>
      <c r="CD329" s="62" t="s">
        <v>61</v>
      </c>
      <c r="CE329" s="2"/>
      <c r="CF329" s="92" t="s">
        <v>1001</v>
      </c>
      <c r="CG329" s="93"/>
      <c r="CH329" s="2"/>
      <c r="CI329" s="191" t="s">
        <v>1001</v>
      </c>
      <c r="CJ329" s="325" t="s">
        <v>1001</v>
      </c>
      <c r="CK329" s="2"/>
      <c r="CL329" s="22" t="s">
        <v>2522</v>
      </c>
      <c r="CM329" s="12"/>
      <c r="CN329" s="48"/>
      <c r="CO329" s="239" t="s">
        <v>1001</v>
      </c>
      <c r="CP329" s="2"/>
      <c r="CQ329" s="2" t="s">
        <v>3053</v>
      </c>
      <c r="CR329" s="97">
        <v>40.0</v>
      </c>
      <c r="CS329" s="2" t="s">
        <v>1332</v>
      </c>
      <c r="CT329" s="98">
        <v>126.0</v>
      </c>
      <c r="CU329" s="2"/>
      <c r="CV329" s="52" t="s">
        <v>149</v>
      </c>
      <c r="CW329" s="52" t="s">
        <v>149</v>
      </c>
      <c r="CX329" s="2"/>
      <c r="CY329" s="119" t="s">
        <v>109</v>
      </c>
      <c r="CZ329" s="160"/>
      <c r="DA329" s="2"/>
      <c r="DB329" s="98">
        <v>120.0</v>
      </c>
      <c r="DC329" s="2"/>
      <c r="DD329" s="101" t="s">
        <v>15</v>
      </c>
      <c r="DE329" s="2"/>
      <c r="DF329" s="159" t="s">
        <v>3054</v>
      </c>
      <c r="DG329" s="119"/>
      <c r="DH329" s="160"/>
      <c r="DI329" s="2"/>
      <c r="DJ329" s="2"/>
      <c r="DK329" s="59" t="s">
        <v>3055</v>
      </c>
      <c r="DL329" s="37" t="s">
        <v>156</v>
      </c>
      <c r="DM329" s="37" t="str">
        <f t="shared" si="3"/>
        <v>#NAME?</v>
      </c>
      <c r="DN329" s="61"/>
      <c r="DO329" s="37" t="s">
        <v>19</v>
      </c>
      <c r="DP329" s="37" t="s">
        <v>19</v>
      </c>
      <c r="DQ329" s="62" t="s">
        <v>20</v>
      </c>
      <c r="DR329" s="63"/>
      <c r="DS329" s="198"/>
      <c r="DT329" s="108"/>
      <c r="DU329" s="108"/>
      <c r="DV329" s="182"/>
      <c r="DW329" s="182"/>
      <c r="DX329" s="182"/>
      <c r="DY329" s="182"/>
      <c r="DZ329" s="182"/>
      <c r="EA329" s="182"/>
      <c r="EB329" s="2"/>
      <c r="EC329" s="182"/>
      <c r="ED329" s="2"/>
      <c r="EE329" s="396" t="s">
        <v>3056</v>
      </c>
      <c r="EF329" s="68" t="s">
        <v>3057</v>
      </c>
      <c r="EG329" s="69" t="str">
        <f>image("https://www.serebii.net/diamondpearl/berries/22.png", 3)</f>
        <v/>
      </c>
      <c r="EH329" s="69"/>
      <c r="EI329" s="69"/>
    </row>
    <row r="330" ht="15.75" customHeight="1">
      <c r="A330" s="1">
        <v>330.0</v>
      </c>
      <c r="B330" s="2" t="s">
        <v>3058</v>
      </c>
      <c r="C330" s="7"/>
      <c r="D330" s="4" t="s">
        <v>3059</v>
      </c>
      <c r="E330" s="5"/>
      <c r="F330" s="6"/>
      <c r="G330" s="7"/>
      <c r="H330" s="8" t="s">
        <v>3060</v>
      </c>
      <c r="I330" s="9" t="s">
        <v>3061</v>
      </c>
      <c r="J330" s="355" t="str">
        <f>image("https://archives.bulbagarden.net/media/upload/e/ee/330MS6.png", 3)</f>
        <v/>
      </c>
      <c r="K330" s="11" t="s">
        <v>3059</v>
      </c>
      <c r="L330" s="12"/>
      <c r="M330" s="12"/>
      <c r="N330" s="12"/>
      <c r="O330" s="12"/>
      <c r="Q330" s="71">
        <v>80.0</v>
      </c>
      <c r="R330" s="72">
        <v>100.0</v>
      </c>
      <c r="S330" s="73">
        <v>80.0</v>
      </c>
      <c r="T330" s="74">
        <v>80.0</v>
      </c>
      <c r="U330" s="75">
        <v>80.0</v>
      </c>
      <c r="V330" s="76">
        <v>100.0</v>
      </c>
      <c r="W330" s="77">
        <v>520.0</v>
      </c>
      <c r="X330" s="21"/>
      <c r="Y330" s="71">
        <v>80.0</v>
      </c>
      <c r="Z330" s="72">
        <v>100.0</v>
      </c>
      <c r="AA330" s="73">
        <v>80.0</v>
      </c>
      <c r="AB330" s="74">
        <v>80.0</v>
      </c>
      <c r="AC330" s="75">
        <v>80.0</v>
      </c>
      <c r="AD330" s="76">
        <v>100.0</v>
      </c>
      <c r="AE330" s="77">
        <v>520.0</v>
      </c>
      <c r="AF330" s="21"/>
      <c r="AG330" s="261">
        <v>90.0</v>
      </c>
      <c r="AH330" s="109">
        <v>110.0</v>
      </c>
      <c r="AI330" s="109">
        <v>85.0</v>
      </c>
      <c r="AJ330" s="109">
        <v>130.0</v>
      </c>
      <c r="AK330" s="109">
        <v>85.0</v>
      </c>
      <c r="AL330" s="76">
        <v>100.0</v>
      </c>
      <c r="AM330" s="110">
        <v>600.0</v>
      </c>
      <c r="AN330" s="21"/>
      <c r="AO330" s="22" t="s">
        <v>128</v>
      </c>
      <c r="AP330" s="23" t="s">
        <v>40</v>
      </c>
      <c r="AQ330" s="23" t="s">
        <v>1621</v>
      </c>
      <c r="AR330" s="23" t="s">
        <v>917</v>
      </c>
      <c r="AS330" s="23" t="s">
        <v>1621</v>
      </c>
      <c r="AT330" s="23">
        <v>100.0</v>
      </c>
      <c r="AU330" s="24" t="s">
        <v>3062</v>
      </c>
      <c r="AV330" s="21"/>
      <c r="AW330" s="111">
        <v>90.0</v>
      </c>
      <c r="AX330" s="111">
        <v>110.0</v>
      </c>
      <c r="AY330" s="111">
        <v>85.0</v>
      </c>
      <c r="AZ330" s="111">
        <v>130.0</v>
      </c>
      <c r="BA330" s="111">
        <v>85.0</v>
      </c>
      <c r="BB330" s="79">
        <v>100.0</v>
      </c>
      <c r="BC330" s="111">
        <v>600.0</v>
      </c>
      <c r="BE330" s="194" t="s">
        <v>325</v>
      </c>
      <c r="BF330" s="132" t="s">
        <v>3063</v>
      </c>
      <c r="BG330" s="404" t="s">
        <v>3064</v>
      </c>
      <c r="BI330" s="31" t="s">
        <v>5</v>
      </c>
      <c r="BJ330" s="400">
        <v>0.0</v>
      </c>
      <c r="BK330" s="32" t="s">
        <v>5</v>
      </c>
      <c r="BL330" s="401">
        <v>3.0</v>
      </c>
      <c r="BM330" s="32" t="s">
        <v>5</v>
      </c>
      <c r="BN330" s="402">
        <v>0.0</v>
      </c>
      <c r="BP330" s="85" t="s">
        <v>79</v>
      </c>
      <c r="BQ330" s="86" t="s">
        <v>61</v>
      </c>
      <c r="BS330" s="87" t="s">
        <v>79</v>
      </c>
      <c r="BT330" s="88" t="s">
        <v>61</v>
      </c>
      <c r="BU330" s="37" t="str">
        <f t="shared" si="1"/>
        <v>#NAME?</v>
      </c>
      <c r="BV330" s="89" t="s">
        <v>435</v>
      </c>
      <c r="BW330" s="37" t="str">
        <f t="shared" si="2"/>
        <v>#NAME?</v>
      </c>
      <c r="BX330" s="89" t="s">
        <v>61</v>
      </c>
      <c r="BY330" s="39"/>
      <c r="BZ330" s="39"/>
      <c r="CA330" s="40" t="s">
        <v>3040</v>
      </c>
      <c r="CB330" s="41"/>
      <c r="CC330" s="219" t="s">
        <v>3041</v>
      </c>
      <c r="CD330" s="62" t="s">
        <v>61</v>
      </c>
      <c r="CE330" s="2"/>
      <c r="CF330" s="92" t="s">
        <v>1001</v>
      </c>
      <c r="CG330" s="93"/>
      <c r="CH330" s="2"/>
      <c r="CI330" s="277" t="s">
        <v>1001</v>
      </c>
      <c r="CJ330" s="332" t="s">
        <v>1001</v>
      </c>
      <c r="CK330" s="2"/>
      <c r="CL330" s="22" t="s">
        <v>2522</v>
      </c>
      <c r="CM330" s="12"/>
      <c r="CN330" s="48"/>
      <c r="CO330" s="242" t="s">
        <v>1001</v>
      </c>
      <c r="CP330" s="2"/>
      <c r="CQ330" s="2" t="s">
        <v>3065</v>
      </c>
      <c r="CR330" s="97">
        <v>80.0</v>
      </c>
      <c r="CS330" s="2" t="s">
        <v>3066</v>
      </c>
      <c r="CT330" s="98">
        <v>197.0</v>
      </c>
      <c r="CU330" s="2"/>
      <c r="CV330" s="52" t="s">
        <v>149</v>
      </c>
      <c r="CW330" s="52" t="s">
        <v>149</v>
      </c>
      <c r="CX330" s="2"/>
      <c r="CY330" s="382" t="s">
        <v>109</v>
      </c>
      <c r="CZ330" s="385"/>
      <c r="DA330" s="2"/>
      <c r="DB330" s="98">
        <v>45.0</v>
      </c>
      <c r="DC330" s="2"/>
      <c r="DD330" s="101" t="s">
        <v>15</v>
      </c>
      <c r="DE330" s="2"/>
      <c r="DF330" s="405" t="s">
        <v>3067</v>
      </c>
      <c r="DG330" s="382"/>
      <c r="DH330" s="385"/>
      <c r="DI330" s="2"/>
      <c r="DJ330" s="2"/>
      <c r="DK330" s="59" t="s">
        <v>3068</v>
      </c>
      <c r="DL330" s="37" t="s">
        <v>122</v>
      </c>
      <c r="DM330" s="37" t="str">
        <f t="shared" si="3"/>
        <v>#NAME?</v>
      </c>
      <c r="DN330" s="61"/>
      <c r="DO330" s="37" t="s">
        <v>19</v>
      </c>
      <c r="DP330" s="37" t="s">
        <v>19</v>
      </c>
      <c r="DQ330" s="62" t="s">
        <v>20</v>
      </c>
      <c r="DR330" s="63"/>
      <c r="DS330" s="198"/>
      <c r="DT330" s="108"/>
      <c r="DU330" s="108"/>
      <c r="DV330" s="182"/>
      <c r="DW330" s="182"/>
      <c r="DX330" s="182"/>
      <c r="DY330" s="182"/>
      <c r="DZ330" s="182"/>
      <c r="EA330" s="182"/>
      <c r="EB330" s="2"/>
      <c r="EC330" s="182"/>
      <c r="ED330" s="2"/>
      <c r="EE330" s="396" t="s">
        <v>3069</v>
      </c>
      <c r="EF330" s="68" t="s">
        <v>3070</v>
      </c>
      <c r="EG330" s="69" t="str">
        <f>image("https://www.serebii.net/diamondpearl/berries/23.png", 3)</f>
        <v/>
      </c>
      <c r="EH330" s="69"/>
      <c r="EI330" s="69"/>
    </row>
    <row r="331" ht="15.75" customHeight="1">
      <c r="A331" s="1">
        <v>331.0</v>
      </c>
      <c r="B331" s="2" t="s">
        <v>3071</v>
      </c>
      <c r="C331" s="7"/>
      <c r="D331" s="4" t="s">
        <v>3072</v>
      </c>
      <c r="E331" s="5"/>
      <c r="F331" s="6"/>
      <c r="G331" s="7"/>
      <c r="H331" s="8" t="s">
        <v>3073</v>
      </c>
      <c r="I331" s="9" t="s">
        <v>3074</v>
      </c>
      <c r="J331" s="355" t="str">
        <f>image("https://archives.bulbagarden.net/media/upload/7/70/331MS6.png", 3)</f>
        <v/>
      </c>
      <c r="K331" s="11" t="s">
        <v>3072</v>
      </c>
      <c r="L331" s="12"/>
      <c r="M331" s="12"/>
      <c r="N331" s="12"/>
      <c r="O331" s="12"/>
      <c r="Q331" s="71">
        <v>50.0</v>
      </c>
      <c r="R331" s="72">
        <v>85.0</v>
      </c>
      <c r="S331" s="73">
        <v>40.0</v>
      </c>
      <c r="T331" s="74">
        <v>85.0</v>
      </c>
      <c r="U331" s="75">
        <v>40.0</v>
      </c>
      <c r="V331" s="76">
        <v>35.0</v>
      </c>
      <c r="W331" s="77">
        <v>335.0</v>
      </c>
      <c r="X331" s="21"/>
      <c r="Y331" s="71">
        <v>50.0</v>
      </c>
      <c r="Z331" s="72">
        <v>85.0</v>
      </c>
      <c r="AA331" s="73">
        <v>40.0</v>
      </c>
      <c r="AB331" s="74">
        <v>85.0</v>
      </c>
      <c r="AC331" s="75">
        <v>40.0</v>
      </c>
      <c r="AD331" s="76">
        <v>35.0</v>
      </c>
      <c r="AE331" s="77">
        <v>335.0</v>
      </c>
      <c r="AF331" s="21"/>
      <c r="AG331" s="71">
        <v>50.0</v>
      </c>
      <c r="AH331" s="72">
        <v>85.0</v>
      </c>
      <c r="AI331" s="73">
        <v>40.0</v>
      </c>
      <c r="AJ331" s="74">
        <v>85.0</v>
      </c>
      <c r="AK331" s="75">
        <v>40.0</v>
      </c>
      <c r="AL331" s="76">
        <v>35.0</v>
      </c>
      <c r="AM331" s="77">
        <v>335.0</v>
      </c>
      <c r="AN331" s="21"/>
      <c r="AO331" s="22">
        <v>50.0</v>
      </c>
      <c r="AP331" s="23">
        <v>85.0</v>
      </c>
      <c r="AQ331" s="23">
        <v>40.0</v>
      </c>
      <c r="AR331" s="23">
        <v>85.0</v>
      </c>
      <c r="AS331" s="23">
        <v>40.0</v>
      </c>
      <c r="AT331" s="23">
        <v>35.0</v>
      </c>
      <c r="AU331" s="24">
        <v>335.0</v>
      </c>
      <c r="AV331" s="21"/>
      <c r="AW331" s="265">
        <v>50.0</v>
      </c>
      <c r="AX331" s="124">
        <v>85.0</v>
      </c>
      <c r="AY331" s="124">
        <v>40.0</v>
      </c>
      <c r="AZ331" s="124">
        <v>85.0</v>
      </c>
      <c r="BA331" s="124">
        <v>40.0</v>
      </c>
      <c r="BB331" s="79">
        <v>35.0</v>
      </c>
      <c r="BC331" s="125">
        <v>335.0</v>
      </c>
      <c r="BE331" s="82" t="s">
        <v>4</v>
      </c>
      <c r="BF331" s="406"/>
      <c r="BG331" s="407" t="s">
        <v>3075</v>
      </c>
      <c r="BI331" s="31" t="s">
        <v>5</v>
      </c>
      <c r="BJ331" s="32" t="s">
        <v>5</v>
      </c>
      <c r="BK331" s="32" t="s">
        <v>5</v>
      </c>
      <c r="BL331" s="32">
        <v>1.0</v>
      </c>
      <c r="BM331" s="32" t="s">
        <v>5</v>
      </c>
      <c r="BN331" s="33" t="s">
        <v>5</v>
      </c>
      <c r="BP331" s="115" t="s">
        <v>6</v>
      </c>
      <c r="BQ331" s="93"/>
      <c r="BS331" s="115" t="s">
        <v>6</v>
      </c>
      <c r="BT331" s="133"/>
      <c r="BU331" s="37" t="str">
        <f t="shared" si="1"/>
        <v>#NAME?</v>
      </c>
      <c r="BV331" s="89" t="s">
        <v>6</v>
      </c>
      <c r="BW331" s="37" t="str">
        <f t="shared" si="2"/>
        <v>#NAME?</v>
      </c>
      <c r="BX331" s="89"/>
      <c r="BY331" s="144"/>
      <c r="BZ331" s="144"/>
      <c r="CA331" s="145" t="s">
        <v>6</v>
      </c>
      <c r="CB331" s="146"/>
      <c r="CC331" s="224" t="s">
        <v>6</v>
      </c>
      <c r="CD331" s="91"/>
      <c r="CE331" s="21"/>
      <c r="CF331" s="92" t="s">
        <v>376</v>
      </c>
      <c r="CG331" s="93"/>
      <c r="CH331" s="21"/>
      <c r="CI331" s="46" t="s">
        <v>698</v>
      </c>
      <c r="CJ331" s="165" t="s">
        <v>376</v>
      </c>
      <c r="CK331" s="21"/>
      <c r="CL331" s="22" t="s">
        <v>1691</v>
      </c>
      <c r="CM331" s="12"/>
      <c r="CN331" s="48"/>
      <c r="CO331" s="165" t="s">
        <v>376</v>
      </c>
      <c r="CP331" s="21"/>
      <c r="CQ331" s="2" t="s">
        <v>3076</v>
      </c>
      <c r="CR331" s="97">
        <v>80.0</v>
      </c>
      <c r="CS331" s="2" t="s">
        <v>4</v>
      </c>
      <c r="CT331" s="98">
        <v>97.0</v>
      </c>
      <c r="CU331" s="2"/>
      <c r="CV331" s="52" t="s">
        <v>149</v>
      </c>
      <c r="CW331" s="52" t="s">
        <v>149</v>
      </c>
      <c r="CX331" s="2"/>
      <c r="CY331" s="118" t="s">
        <v>6</v>
      </c>
      <c r="CZ331" s="119" t="s">
        <v>728</v>
      </c>
      <c r="DA331" s="2"/>
      <c r="DB331" s="98">
        <v>190.0</v>
      </c>
      <c r="DC331" s="2"/>
      <c r="DD331" s="101" t="s">
        <v>15</v>
      </c>
      <c r="DE331" s="2"/>
      <c r="DF331" s="148" t="s">
        <v>3077</v>
      </c>
      <c r="DG331" s="118" t="s">
        <v>3078</v>
      </c>
      <c r="DH331" s="119"/>
      <c r="DI331" s="21"/>
      <c r="DJ331" s="21"/>
      <c r="DK331" s="59" t="s">
        <v>3079</v>
      </c>
      <c r="DL331" s="37" t="s">
        <v>6</v>
      </c>
      <c r="DM331" s="37" t="str">
        <f t="shared" si="3"/>
        <v>#NAME?</v>
      </c>
      <c r="DN331" s="61"/>
      <c r="DO331" s="37" t="s">
        <v>19</v>
      </c>
      <c r="DP331" s="37" t="s">
        <v>225</v>
      </c>
      <c r="DQ331" s="62" t="s">
        <v>702</v>
      </c>
      <c r="DR331" s="63"/>
      <c r="DS331" s="198"/>
      <c r="DT331" s="108"/>
      <c r="DU331" s="108"/>
      <c r="DV331" s="182"/>
      <c r="DW331" s="182"/>
      <c r="DX331" s="182"/>
      <c r="DY331" s="182"/>
      <c r="DZ331" s="182"/>
      <c r="EA331" s="182"/>
      <c r="EB331" s="2"/>
      <c r="EC331" s="182"/>
      <c r="ED331" s="2"/>
      <c r="EE331" s="396" t="s">
        <v>3080</v>
      </c>
      <c r="EF331" s="68" t="s">
        <v>3081</v>
      </c>
      <c r="EG331" s="69" t="str">
        <f>image("https://www.serebii.net/diamondpearl/berries/24.png", 3)</f>
        <v/>
      </c>
      <c r="EH331" s="69"/>
      <c r="EI331" s="69"/>
    </row>
    <row r="332" ht="15.75" customHeight="1">
      <c r="A332" s="1">
        <v>332.0</v>
      </c>
      <c r="B332" s="2" t="s">
        <v>3082</v>
      </c>
      <c r="C332" s="7"/>
      <c r="D332" s="4" t="s">
        <v>3083</v>
      </c>
      <c r="E332" s="5"/>
      <c r="F332" s="6"/>
      <c r="G332" s="7"/>
      <c r="H332" s="8" t="s">
        <v>3084</v>
      </c>
      <c r="I332" s="9" t="s">
        <v>3085</v>
      </c>
      <c r="J332" s="355" t="str">
        <f>image("https://archives.bulbagarden.net/media/upload/9/94/332MS6.png", 3)</f>
        <v/>
      </c>
      <c r="K332" s="11" t="s">
        <v>3083</v>
      </c>
      <c r="L332" s="12"/>
      <c r="M332" s="12"/>
      <c r="N332" s="12"/>
      <c r="O332" s="12"/>
      <c r="Q332" s="71">
        <v>70.0</v>
      </c>
      <c r="R332" s="72">
        <v>115.0</v>
      </c>
      <c r="S332" s="73">
        <v>60.0</v>
      </c>
      <c r="T332" s="74">
        <v>115.0</v>
      </c>
      <c r="U332" s="75">
        <v>60.0</v>
      </c>
      <c r="V332" s="76">
        <v>55.0</v>
      </c>
      <c r="W332" s="77">
        <v>475.0</v>
      </c>
      <c r="X332" s="21"/>
      <c r="Y332" s="71">
        <v>70.0</v>
      </c>
      <c r="Z332" s="72">
        <v>115.0</v>
      </c>
      <c r="AA332" s="73">
        <v>60.0</v>
      </c>
      <c r="AB332" s="74">
        <v>115.0</v>
      </c>
      <c r="AC332" s="75">
        <v>60.0</v>
      </c>
      <c r="AD332" s="76">
        <v>55.0</v>
      </c>
      <c r="AE332" s="77">
        <v>475.0</v>
      </c>
      <c r="AF332" s="21"/>
      <c r="AG332" s="71">
        <v>70.0</v>
      </c>
      <c r="AH332" s="72">
        <v>115.0</v>
      </c>
      <c r="AI332" s="73">
        <v>60.0</v>
      </c>
      <c r="AJ332" s="74">
        <v>115.0</v>
      </c>
      <c r="AK332" s="75">
        <v>60.0</v>
      </c>
      <c r="AL332" s="76">
        <v>55.0</v>
      </c>
      <c r="AM332" s="77">
        <v>475.0</v>
      </c>
      <c r="AN332" s="21"/>
      <c r="AO332" s="22">
        <v>70.0</v>
      </c>
      <c r="AP332" s="23">
        <v>115.0</v>
      </c>
      <c r="AQ332" s="23">
        <v>60.0</v>
      </c>
      <c r="AR332" s="23">
        <v>115.0</v>
      </c>
      <c r="AS332" s="23">
        <v>60.0</v>
      </c>
      <c r="AT332" s="23">
        <v>55.0</v>
      </c>
      <c r="AU332" s="24">
        <v>475.0</v>
      </c>
      <c r="AV332" s="21"/>
      <c r="AW332" s="78">
        <v>70.0</v>
      </c>
      <c r="AX332" s="80">
        <v>115.0</v>
      </c>
      <c r="AY332" s="79">
        <v>60.0</v>
      </c>
      <c r="AZ332" s="80">
        <v>115.0</v>
      </c>
      <c r="BA332" s="79">
        <v>60.0</v>
      </c>
      <c r="BB332" s="79">
        <v>55.0</v>
      </c>
      <c r="BC332" s="81">
        <v>475.0</v>
      </c>
      <c r="BE332" s="194" t="s">
        <v>325</v>
      </c>
      <c r="BF332" s="285" t="s">
        <v>4</v>
      </c>
      <c r="BG332" s="408"/>
      <c r="BI332" s="31" t="s">
        <v>5</v>
      </c>
      <c r="BJ332" s="32">
        <v>1.0</v>
      </c>
      <c r="BK332" s="32" t="s">
        <v>5</v>
      </c>
      <c r="BL332" s="32">
        <v>1.0</v>
      </c>
      <c r="BM332" s="32" t="s">
        <v>5</v>
      </c>
      <c r="BN332" s="33" t="s">
        <v>5</v>
      </c>
      <c r="BP332" s="85" t="s">
        <v>6</v>
      </c>
      <c r="BQ332" s="86" t="s">
        <v>76</v>
      </c>
      <c r="BS332" s="87" t="s">
        <v>6</v>
      </c>
      <c r="BT332" s="88" t="s">
        <v>76</v>
      </c>
      <c r="BU332" s="37" t="str">
        <f t="shared" si="1"/>
        <v>#NAME?</v>
      </c>
      <c r="BV332" s="89" t="s">
        <v>6</v>
      </c>
      <c r="BW332" s="37" t="str">
        <f t="shared" si="2"/>
        <v>#NAME?</v>
      </c>
      <c r="BX332" s="89" t="s">
        <v>76</v>
      </c>
      <c r="BY332" s="134"/>
      <c r="BZ332" s="134"/>
      <c r="CA332" s="135" t="s">
        <v>2562</v>
      </c>
      <c r="CB332" s="136"/>
      <c r="CC332" s="212" t="s">
        <v>6</v>
      </c>
      <c r="CD332" s="91" t="s">
        <v>76</v>
      </c>
      <c r="CE332" s="2"/>
      <c r="CF332" s="92" t="s">
        <v>376</v>
      </c>
      <c r="CG332" s="93"/>
      <c r="CH332" s="2"/>
      <c r="CI332" s="94" t="s">
        <v>698</v>
      </c>
      <c r="CJ332" s="95" t="s">
        <v>376</v>
      </c>
      <c r="CK332" s="2"/>
      <c r="CL332" s="22" t="s">
        <v>1691</v>
      </c>
      <c r="CM332" s="12"/>
      <c r="CN332" s="48"/>
      <c r="CO332" s="95" t="s">
        <v>376</v>
      </c>
      <c r="CP332" s="2"/>
      <c r="CQ332" s="2" t="s">
        <v>3086</v>
      </c>
      <c r="CR332" s="97">
        <v>80.0</v>
      </c>
      <c r="CS332" s="2" t="s">
        <v>1956</v>
      </c>
      <c r="CT332" s="98">
        <v>177.0</v>
      </c>
      <c r="CU332" s="2"/>
      <c r="CV332" s="52" t="s">
        <v>149</v>
      </c>
      <c r="CW332" s="52" t="s">
        <v>149</v>
      </c>
      <c r="CX332" s="2"/>
      <c r="CY332" s="381" t="s">
        <v>6</v>
      </c>
      <c r="CZ332" s="382" t="s">
        <v>728</v>
      </c>
      <c r="DA332" s="2"/>
      <c r="DB332" s="98">
        <v>60.0</v>
      </c>
      <c r="DC332" s="2"/>
      <c r="DD332" s="101" t="s">
        <v>15</v>
      </c>
      <c r="DE332" s="2"/>
      <c r="DF332" s="383" t="s">
        <v>3087</v>
      </c>
      <c r="DG332" s="381" t="s">
        <v>3078</v>
      </c>
      <c r="DH332" s="382"/>
      <c r="DI332" s="2"/>
      <c r="DJ332" s="2"/>
      <c r="DK332" s="59" t="s">
        <v>3088</v>
      </c>
      <c r="DL332" s="37" t="s">
        <v>92</v>
      </c>
      <c r="DM332" s="37" t="str">
        <f t="shared" si="3"/>
        <v>#NAME?</v>
      </c>
      <c r="DN332" s="61"/>
      <c r="DO332" s="37" t="s">
        <v>19</v>
      </c>
      <c r="DP332" s="37" t="s">
        <v>19</v>
      </c>
      <c r="DQ332" s="62" t="s">
        <v>49</v>
      </c>
      <c r="DR332" s="63"/>
      <c r="DS332" s="198"/>
      <c r="DT332" s="108"/>
      <c r="DU332" s="108"/>
      <c r="DV332" s="182"/>
      <c r="DW332" s="182"/>
      <c r="DX332" s="182"/>
      <c r="DY332" s="182"/>
      <c r="DZ332" s="182"/>
      <c r="EA332" s="182"/>
      <c r="EB332" s="2"/>
      <c r="EC332" s="182"/>
      <c r="ED332" s="2"/>
      <c r="EE332" s="396" t="s">
        <v>3089</v>
      </c>
      <c r="EF332" s="68" t="s">
        <v>3090</v>
      </c>
      <c r="EG332" s="69" t="str">
        <f>image("https://www.serebii.net/diamondpearl/berries/25.png", 3)</f>
        <v/>
      </c>
      <c r="EH332" s="69"/>
      <c r="EI332" s="69"/>
    </row>
    <row r="333" ht="15.75" customHeight="1">
      <c r="A333" s="1">
        <v>333.0</v>
      </c>
      <c r="B333" s="2" t="s">
        <v>3091</v>
      </c>
      <c r="C333" s="7"/>
      <c r="D333" s="140" t="s">
        <v>3092</v>
      </c>
      <c r="E333" s="5"/>
      <c r="F333" s="141"/>
      <c r="G333" s="7"/>
      <c r="H333" s="8" t="s">
        <v>3093</v>
      </c>
      <c r="I333" s="9" t="s">
        <v>3094</v>
      </c>
      <c r="J333" s="355" t="str">
        <f>image("https://archives.bulbagarden.net/media/upload/4/42/333MS6.png", 3)</f>
        <v/>
      </c>
      <c r="K333" s="11" t="s">
        <v>3092</v>
      </c>
      <c r="L333" s="12"/>
      <c r="M333" s="12"/>
      <c r="N333" s="12"/>
      <c r="O333" s="12"/>
      <c r="Q333" s="71">
        <v>45.0</v>
      </c>
      <c r="R333" s="72">
        <v>40.0</v>
      </c>
      <c r="S333" s="73">
        <v>60.0</v>
      </c>
      <c r="T333" s="74">
        <v>40.0</v>
      </c>
      <c r="U333" s="75">
        <v>75.0</v>
      </c>
      <c r="V333" s="76">
        <v>50.0</v>
      </c>
      <c r="W333" s="77">
        <v>310.0</v>
      </c>
      <c r="X333" s="21"/>
      <c r="Y333" s="71">
        <v>45.0</v>
      </c>
      <c r="Z333" s="72">
        <v>40.0</v>
      </c>
      <c r="AA333" s="73">
        <v>60.0</v>
      </c>
      <c r="AB333" s="74">
        <v>40.0</v>
      </c>
      <c r="AC333" s="75">
        <v>75.0</v>
      </c>
      <c r="AD333" s="76">
        <v>50.0</v>
      </c>
      <c r="AE333" s="77">
        <v>310.0</v>
      </c>
      <c r="AF333" s="21"/>
      <c r="AG333" s="71">
        <v>45.0</v>
      </c>
      <c r="AH333" s="109">
        <v>60.0</v>
      </c>
      <c r="AI333" s="73">
        <v>60.0</v>
      </c>
      <c r="AJ333" s="109">
        <v>60.0</v>
      </c>
      <c r="AK333" s="75">
        <v>75.0</v>
      </c>
      <c r="AL333" s="76">
        <v>50.0</v>
      </c>
      <c r="AM333" s="110">
        <v>350.0</v>
      </c>
      <c r="AN333" s="21"/>
      <c r="AO333" s="22">
        <v>45.0</v>
      </c>
      <c r="AP333" s="23" t="s">
        <v>77</v>
      </c>
      <c r="AQ333" s="23">
        <v>60.0</v>
      </c>
      <c r="AR333" s="23" t="s">
        <v>77</v>
      </c>
      <c r="AS333" s="23">
        <v>75.0</v>
      </c>
      <c r="AT333" s="23">
        <v>50.0</v>
      </c>
      <c r="AU333" s="24" t="s">
        <v>3095</v>
      </c>
      <c r="AV333" s="21"/>
      <c r="AW333" s="78">
        <v>45.0</v>
      </c>
      <c r="AX333" s="111">
        <v>60.0</v>
      </c>
      <c r="AY333" s="79">
        <v>60.0</v>
      </c>
      <c r="AZ333" s="111">
        <v>60.0</v>
      </c>
      <c r="BA333" s="79">
        <v>75.0</v>
      </c>
      <c r="BB333" s="79">
        <v>50.0</v>
      </c>
      <c r="BC333" s="111">
        <v>350.0</v>
      </c>
      <c r="BE333" s="225" t="s">
        <v>27</v>
      </c>
      <c r="BF333" s="143"/>
      <c r="BG333" s="128"/>
      <c r="BI333" s="31" t="s">
        <v>5</v>
      </c>
      <c r="BJ333" s="32" t="s">
        <v>5</v>
      </c>
      <c r="BK333" s="32" t="s">
        <v>5</v>
      </c>
      <c r="BL333" s="32" t="s">
        <v>5</v>
      </c>
      <c r="BM333" s="32">
        <v>1.0</v>
      </c>
      <c r="BN333" s="33" t="s">
        <v>5</v>
      </c>
      <c r="BP333" s="115" t="s">
        <v>156</v>
      </c>
      <c r="BQ333" s="116" t="s">
        <v>18</v>
      </c>
      <c r="BS333" s="115" t="s">
        <v>156</v>
      </c>
      <c r="BT333" s="117" t="s">
        <v>18</v>
      </c>
      <c r="BU333" s="37" t="str">
        <f t="shared" si="1"/>
        <v>#NAME?</v>
      </c>
      <c r="BV333" s="89" t="s">
        <v>461</v>
      </c>
      <c r="BW333" s="37" t="str">
        <f t="shared" si="2"/>
        <v>#NAME?</v>
      </c>
      <c r="BX333" s="89" t="s">
        <v>18</v>
      </c>
      <c r="BY333" s="39"/>
      <c r="BZ333" s="39"/>
      <c r="CA333" s="40" t="s">
        <v>1743</v>
      </c>
      <c r="CB333" s="41"/>
      <c r="CC333" s="24" t="s">
        <v>153</v>
      </c>
      <c r="CD333" s="346" t="s">
        <v>18</v>
      </c>
      <c r="CE333" s="2"/>
      <c r="CF333" s="92" t="s">
        <v>1182</v>
      </c>
      <c r="CG333" s="93"/>
      <c r="CH333" s="2"/>
      <c r="CI333" s="94" t="s">
        <v>647</v>
      </c>
      <c r="CJ333" s="95" t="s">
        <v>1182</v>
      </c>
      <c r="CK333" s="2"/>
      <c r="CL333" s="22" t="s">
        <v>3096</v>
      </c>
      <c r="CM333" s="12"/>
      <c r="CN333" s="48"/>
      <c r="CO333" s="96" t="s">
        <v>1182</v>
      </c>
      <c r="CP333" s="2"/>
      <c r="CQ333" s="2" t="s">
        <v>2715</v>
      </c>
      <c r="CR333" s="97">
        <v>20.0</v>
      </c>
      <c r="CS333" s="2" t="s">
        <v>27</v>
      </c>
      <c r="CT333" s="98">
        <v>74.0</v>
      </c>
      <c r="CU333" s="2"/>
      <c r="CV333" s="52" t="s">
        <v>149</v>
      </c>
      <c r="CW333" s="52" t="s">
        <v>149</v>
      </c>
      <c r="CX333" s="2"/>
      <c r="CY333" s="118" t="s">
        <v>18</v>
      </c>
      <c r="CZ333" s="119" t="s">
        <v>61</v>
      </c>
      <c r="DA333" s="2"/>
      <c r="DB333" s="98">
        <v>255.0</v>
      </c>
      <c r="DC333" s="2"/>
      <c r="DD333" s="101" t="s">
        <v>2698</v>
      </c>
      <c r="DE333" s="2"/>
      <c r="DF333" s="148" t="s">
        <v>3097</v>
      </c>
      <c r="DG333" s="119"/>
      <c r="DH333" s="119"/>
      <c r="DI333" s="21"/>
      <c r="DJ333" s="21"/>
      <c r="DK333" s="59" t="s">
        <v>3098</v>
      </c>
      <c r="DL333" s="37" t="s">
        <v>76</v>
      </c>
      <c r="DM333" s="37" t="str">
        <f t="shared" si="3"/>
        <v>#NAME?</v>
      </c>
      <c r="DN333" s="61"/>
      <c r="DO333" s="37" t="s">
        <v>19</v>
      </c>
      <c r="DP333" s="37" t="s">
        <v>3099</v>
      </c>
      <c r="DQ333" s="62" t="s">
        <v>49</v>
      </c>
      <c r="DR333" s="63"/>
      <c r="DS333" s="198"/>
      <c r="DT333" s="108"/>
      <c r="DU333" s="108"/>
      <c r="DV333" s="182"/>
      <c r="DW333" s="182"/>
      <c r="DX333" s="182"/>
      <c r="DY333" s="182"/>
      <c r="DZ333" s="182"/>
      <c r="EA333" s="182"/>
      <c r="EB333" s="2"/>
      <c r="EC333" s="182"/>
      <c r="ED333" s="2"/>
      <c r="EE333" s="396" t="s">
        <v>3100</v>
      </c>
      <c r="EF333" s="68" t="s">
        <v>3101</v>
      </c>
      <c r="EG333" s="69" t="str">
        <f>image("https://www.serebii.net/diamondpearl/berries/26.png", 3)</f>
        <v/>
      </c>
      <c r="EH333" s="69"/>
      <c r="EI333" s="69"/>
    </row>
    <row r="334" ht="15.75" customHeight="1">
      <c r="A334" s="1">
        <v>334.0</v>
      </c>
      <c r="B334" s="2" t="s">
        <v>3102</v>
      </c>
      <c r="C334" s="7"/>
      <c r="D334" s="140" t="s">
        <v>3103</v>
      </c>
      <c r="E334" s="5"/>
      <c r="F334" s="141"/>
      <c r="G334" s="7"/>
      <c r="H334" s="8" t="s">
        <v>3104</v>
      </c>
      <c r="I334" s="9" t="s">
        <v>3105</v>
      </c>
      <c r="J334" s="355" t="str">
        <f>image("https://archives.bulbagarden.net/media/upload/0/07/334MS6.png", 3)</f>
        <v/>
      </c>
      <c r="K334" s="11" t="s">
        <v>3103</v>
      </c>
      <c r="L334" s="12"/>
      <c r="M334" s="12"/>
      <c r="N334" s="12"/>
      <c r="O334" s="12"/>
      <c r="Q334" s="71">
        <v>75.0</v>
      </c>
      <c r="R334" s="72">
        <v>70.0</v>
      </c>
      <c r="S334" s="73">
        <v>90.0</v>
      </c>
      <c r="T334" s="74">
        <v>70.0</v>
      </c>
      <c r="U334" s="75">
        <v>105.0</v>
      </c>
      <c r="V334" s="76">
        <v>80.0</v>
      </c>
      <c r="W334" s="77">
        <v>490.0</v>
      </c>
      <c r="X334" s="21"/>
      <c r="Y334" s="71">
        <v>75.0</v>
      </c>
      <c r="Z334" s="72">
        <v>70.0</v>
      </c>
      <c r="AA334" s="73">
        <v>90.0</v>
      </c>
      <c r="AB334" s="74">
        <v>70.0</v>
      </c>
      <c r="AC334" s="75">
        <v>105.0</v>
      </c>
      <c r="AD334" s="76">
        <v>80.0</v>
      </c>
      <c r="AE334" s="77">
        <v>490.0</v>
      </c>
      <c r="AF334" s="21"/>
      <c r="AG334" s="71">
        <v>75.0</v>
      </c>
      <c r="AH334" s="109">
        <v>90.0</v>
      </c>
      <c r="AI334" s="73">
        <v>90.0</v>
      </c>
      <c r="AJ334" s="109">
        <v>90.0</v>
      </c>
      <c r="AK334" s="75">
        <v>105.0</v>
      </c>
      <c r="AL334" s="76">
        <v>80.0</v>
      </c>
      <c r="AM334" s="110">
        <v>530.0</v>
      </c>
      <c r="AN334" s="21"/>
      <c r="AO334" s="22">
        <v>75.0</v>
      </c>
      <c r="AP334" s="23" t="s">
        <v>128</v>
      </c>
      <c r="AQ334" s="23">
        <v>90.0</v>
      </c>
      <c r="AR334" s="23" t="s">
        <v>128</v>
      </c>
      <c r="AS334" s="23">
        <v>105.0</v>
      </c>
      <c r="AT334" s="23">
        <v>80.0</v>
      </c>
      <c r="AU334" s="24" t="s">
        <v>1094</v>
      </c>
      <c r="AV334" s="21"/>
      <c r="AW334" s="258">
        <v>75.0</v>
      </c>
      <c r="AX334" s="111">
        <v>90.0</v>
      </c>
      <c r="AY334" s="79">
        <v>90.0</v>
      </c>
      <c r="AZ334" s="111">
        <v>90.0</v>
      </c>
      <c r="BA334" s="79">
        <v>105.0</v>
      </c>
      <c r="BB334" s="80">
        <v>80.0</v>
      </c>
      <c r="BC334" s="111">
        <v>530.0</v>
      </c>
      <c r="BE334" s="150" t="s">
        <v>815</v>
      </c>
      <c r="BF334" s="113"/>
      <c r="BG334" s="384"/>
      <c r="BI334" s="31" t="s">
        <v>5</v>
      </c>
      <c r="BJ334" s="32" t="s">
        <v>5</v>
      </c>
      <c r="BK334" s="32" t="s">
        <v>5</v>
      </c>
      <c r="BL334" s="32" t="s">
        <v>5</v>
      </c>
      <c r="BM334" s="32">
        <v>2.0</v>
      </c>
      <c r="BN334" s="33" t="s">
        <v>5</v>
      </c>
      <c r="BP334" s="85" t="s">
        <v>61</v>
      </c>
      <c r="BQ334" s="86" t="s">
        <v>18</v>
      </c>
      <c r="BS334" s="87" t="s">
        <v>61</v>
      </c>
      <c r="BT334" s="88" t="s">
        <v>18</v>
      </c>
      <c r="BU334" s="37" t="str">
        <f t="shared" si="1"/>
        <v>#NAME?</v>
      </c>
      <c r="BV334" s="89" t="s">
        <v>61</v>
      </c>
      <c r="BW334" s="37" t="str">
        <f t="shared" si="2"/>
        <v>#NAME?</v>
      </c>
      <c r="BX334" s="89" t="s">
        <v>461</v>
      </c>
      <c r="BY334" s="144"/>
      <c r="BZ334" s="144"/>
      <c r="CA334" s="145" t="s">
        <v>3106</v>
      </c>
      <c r="CB334" s="146"/>
      <c r="CC334" s="60" t="s">
        <v>61</v>
      </c>
      <c r="CD334" s="139" t="s">
        <v>153</v>
      </c>
      <c r="CE334" s="2"/>
      <c r="CF334" s="92" t="s">
        <v>1182</v>
      </c>
      <c r="CG334" s="93"/>
      <c r="CH334" s="2"/>
      <c r="CI334" s="152" t="s">
        <v>647</v>
      </c>
      <c r="CJ334" s="95" t="s">
        <v>1182</v>
      </c>
      <c r="CK334" s="2"/>
      <c r="CL334" s="22" t="s">
        <v>3096</v>
      </c>
      <c r="CM334" s="12"/>
      <c r="CN334" s="48"/>
      <c r="CO334" s="96" t="s">
        <v>1182</v>
      </c>
      <c r="CP334" s="2"/>
      <c r="CQ334" s="2" t="s">
        <v>3107</v>
      </c>
      <c r="CR334" s="97">
        <v>40.0</v>
      </c>
      <c r="CS334" s="2" t="s">
        <v>815</v>
      </c>
      <c r="CT334" s="98">
        <v>188.0</v>
      </c>
      <c r="CU334" s="2"/>
      <c r="CV334" s="52" t="s">
        <v>149</v>
      </c>
      <c r="CW334" s="52" t="s">
        <v>149</v>
      </c>
      <c r="CX334" s="2"/>
      <c r="CY334" s="381" t="s">
        <v>18</v>
      </c>
      <c r="CZ334" s="382" t="s">
        <v>61</v>
      </c>
      <c r="DA334" s="2"/>
      <c r="DB334" s="98">
        <v>45.0</v>
      </c>
      <c r="DC334" s="2"/>
      <c r="DD334" s="101" t="s">
        <v>2698</v>
      </c>
      <c r="DE334" s="2"/>
      <c r="DF334" s="383" t="s">
        <v>3108</v>
      </c>
      <c r="DG334" s="382"/>
      <c r="DH334" s="382"/>
      <c r="DI334" s="2"/>
      <c r="DJ334" s="2"/>
      <c r="DK334" s="59" t="s">
        <v>3109</v>
      </c>
      <c r="DL334" s="37" t="s">
        <v>109</v>
      </c>
      <c r="DM334" s="37" t="str">
        <f t="shared" si="3"/>
        <v>#NAME?</v>
      </c>
      <c r="DN334" s="61"/>
      <c r="DO334" s="37" t="s">
        <v>19</v>
      </c>
      <c r="DP334" s="37" t="s">
        <v>19</v>
      </c>
      <c r="DQ334" s="62" t="s">
        <v>49</v>
      </c>
      <c r="DR334" s="63"/>
      <c r="DS334" s="198"/>
      <c r="DT334" s="108"/>
      <c r="DU334" s="108"/>
      <c r="DV334" s="182"/>
      <c r="DW334" s="182"/>
      <c r="DX334" s="182"/>
      <c r="DY334" s="182"/>
      <c r="DZ334" s="182"/>
      <c r="EA334" s="182"/>
      <c r="EB334" s="2"/>
      <c r="EC334" s="182"/>
      <c r="ED334" s="2"/>
      <c r="EE334" s="396" t="s">
        <v>3110</v>
      </c>
      <c r="EF334" s="68" t="s">
        <v>3111</v>
      </c>
      <c r="EG334" s="69" t="str">
        <f>image("https://www.serebii.net/diamondpearl/berries/27.png", 3)</f>
        <v/>
      </c>
      <c r="EH334" s="69"/>
      <c r="EI334" s="69"/>
    </row>
    <row r="335" ht="15.75" customHeight="1">
      <c r="A335" s="1">
        <v>335.0</v>
      </c>
      <c r="B335" s="2" t="s">
        <v>3112</v>
      </c>
      <c r="C335" s="7"/>
      <c r="D335" s="352" t="s">
        <v>3113</v>
      </c>
      <c r="E335" s="5"/>
      <c r="F335" s="7"/>
      <c r="G335" s="7"/>
      <c r="H335" s="8" t="s">
        <v>3114</v>
      </c>
      <c r="I335" s="9" t="s">
        <v>3115</v>
      </c>
      <c r="J335" s="355" t="str">
        <f>image("https://archives.bulbagarden.net/media/upload/c/c6/335MS6.png", 3)</f>
        <v/>
      </c>
      <c r="K335" s="11" t="s">
        <v>3113</v>
      </c>
      <c r="L335" s="12"/>
      <c r="M335" s="12"/>
      <c r="N335" s="12"/>
      <c r="O335" s="12"/>
      <c r="Q335" s="71">
        <v>73.0</v>
      </c>
      <c r="R335" s="72">
        <v>115.0</v>
      </c>
      <c r="S335" s="73">
        <v>60.0</v>
      </c>
      <c r="T335" s="74">
        <v>60.0</v>
      </c>
      <c r="U335" s="75">
        <v>60.0</v>
      </c>
      <c r="V335" s="76">
        <v>90.0</v>
      </c>
      <c r="W335" s="77">
        <v>458.0</v>
      </c>
      <c r="X335" s="21"/>
      <c r="Y335" s="71">
        <v>73.0</v>
      </c>
      <c r="Z335" s="72">
        <v>115.0</v>
      </c>
      <c r="AA335" s="73">
        <v>60.0</v>
      </c>
      <c r="AB335" s="74">
        <v>60.0</v>
      </c>
      <c r="AC335" s="75">
        <v>60.0</v>
      </c>
      <c r="AD335" s="76">
        <v>90.0</v>
      </c>
      <c r="AE335" s="77">
        <v>458.0</v>
      </c>
      <c r="AF335" s="21"/>
      <c r="AG335" s="261">
        <v>75.0</v>
      </c>
      <c r="AH335" s="72">
        <v>115.0</v>
      </c>
      <c r="AI335" s="73">
        <v>60.0</v>
      </c>
      <c r="AJ335" s="74">
        <v>60.0</v>
      </c>
      <c r="AK335" s="75">
        <v>60.0</v>
      </c>
      <c r="AL335" s="109">
        <v>95.0</v>
      </c>
      <c r="AM335" s="110">
        <v>465.0</v>
      </c>
      <c r="AN335" s="21"/>
      <c r="AO335" s="22" t="s">
        <v>154</v>
      </c>
      <c r="AP335" s="23">
        <v>115.0</v>
      </c>
      <c r="AQ335" s="23">
        <v>60.0</v>
      </c>
      <c r="AR335" s="23">
        <v>60.0</v>
      </c>
      <c r="AS335" s="23">
        <v>60.0</v>
      </c>
      <c r="AT335" s="23" t="s">
        <v>215</v>
      </c>
      <c r="AU335" s="24" t="s">
        <v>638</v>
      </c>
      <c r="AV335" s="21"/>
      <c r="AW335" s="111">
        <v>75.0</v>
      </c>
      <c r="AX335" s="182">
        <v>115.0</v>
      </c>
      <c r="AY335" s="79">
        <v>60.0</v>
      </c>
      <c r="AZ335" s="182">
        <v>60.0</v>
      </c>
      <c r="BA335" s="79">
        <v>60.0</v>
      </c>
      <c r="BB335" s="111">
        <v>95.0</v>
      </c>
      <c r="BC335" s="227">
        <v>465.0</v>
      </c>
      <c r="BE335" s="172" t="s">
        <v>216</v>
      </c>
      <c r="BF335" s="113"/>
      <c r="BG335" s="210"/>
      <c r="BI335" s="31" t="s">
        <v>5</v>
      </c>
      <c r="BJ335" s="32">
        <v>2.0</v>
      </c>
      <c r="BK335" s="32" t="s">
        <v>5</v>
      </c>
      <c r="BL335" s="32" t="s">
        <v>5</v>
      </c>
      <c r="BM335" s="32" t="s">
        <v>5</v>
      </c>
      <c r="BN335" s="33" t="s">
        <v>5</v>
      </c>
      <c r="BP335" s="115" t="s">
        <v>156</v>
      </c>
      <c r="BQ335" s="93"/>
      <c r="BS335" s="115" t="s">
        <v>156</v>
      </c>
      <c r="BT335" s="133"/>
      <c r="BU335" s="37" t="str">
        <f t="shared" si="1"/>
        <v>#NAME?</v>
      </c>
      <c r="BV335" s="89" t="s">
        <v>156</v>
      </c>
      <c r="BW335" s="37" t="str">
        <f t="shared" si="2"/>
        <v>#NAME?</v>
      </c>
      <c r="BX335" s="89"/>
      <c r="BY335" s="65"/>
      <c r="BZ335" s="65"/>
      <c r="CA335" s="222" t="s">
        <v>156</v>
      </c>
      <c r="CB335" s="223"/>
      <c r="CC335" s="90" t="s">
        <v>156</v>
      </c>
      <c r="CD335" s="107"/>
      <c r="CE335" s="21"/>
      <c r="CF335" s="92" t="s">
        <v>1455</v>
      </c>
      <c r="CG335" s="93"/>
      <c r="CH335" s="21"/>
      <c r="CI335" s="175" t="s">
        <v>1455</v>
      </c>
      <c r="CJ335" s="93"/>
      <c r="CK335" s="21"/>
      <c r="CL335" s="22" t="s">
        <v>1455</v>
      </c>
      <c r="CM335" s="12"/>
      <c r="CN335" s="48"/>
      <c r="CO335" s="95"/>
      <c r="CP335" s="21"/>
      <c r="CQ335" s="2" t="s">
        <v>3116</v>
      </c>
      <c r="CR335" s="97">
        <v>60.0</v>
      </c>
      <c r="CS335" s="2" t="s">
        <v>216</v>
      </c>
      <c r="CT335" s="98">
        <v>165.0</v>
      </c>
      <c r="CU335" s="2"/>
      <c r="CV335" s="256" t="s">
        <v>149</v>
      </c>
      <c r="CW335" s="256" t="s">
        <v>149</v>
      </c>
      <c r="CX335" s="2"/>
      <c r="CY335" s="119" t="s">
        <v>277</v>
      </c>
      <c r="CZ335" s="160"/>
      <c r="DA335" s="2"/>
      <c r="DB335" s="98">
        <v>90.0</v>
      </c>
      <c r="DC335" s="2"/>
      <c r="DD335" s="101" t="s">
        <v>2698</v>
      </c>
      <c r="DE335" s="2"/>
      <c r="DF335" s="120" t="s">
        <v>914</v>
      </c>
      <c r="DG335" s="118" t="s">
        <v>631</v>
      </c>
      <c r="DH335" s="160"/>
      <c r="DI335" s="2"/>
      <c r="DJ335" s="2"/>
      <c r="DK335" s="59" t="s">
        <v>3117</v>
      </c>
      <c r="DL335" s="37" t="s">
        <v>156</v>
      </c>
      <c r="DM335" s="37" t="str">
        <f t="shared" si="3"/>
        <v>#NAME?</v>
      </c>
      <c r="DN335" s="61"/>
      <c r="DO335" s="37" t="s">
        <v>19</v>
      </c>
      <c r="DP335" s="37" t="s">
        <v>19</v>
      </c>
      <c r="DQ335" s="62" t="s">
        <v>702</v>
      </c>
      <c r="DR335" s="63"/>
      <c r="DS335" s="198"/>
      <c r="DT335" s="108"/>
      <c r="DU335" s="108"/>
      <c r="DV335" s="182"/>
      <c r="DW335" s="182"/>
      <c r="DX335" s="182"/>
      <c r="DY335" s="182"/>
      <c r="DZ335" s="182"/>
      <c r="EA335" s="182"/>
      <c r="EB335" s="2"/>
      <c r="EC335" s="182"/>
      <c r="ED335" s="2"/>
      <c r="EE335" s="396" t="s">
        <v>3118</v>
      </c>
      <c r="EF335" s="68" t="s">
        <v>3119</v>
      </c>
      <c r="EG335" s="69" t="str">
        <f>image("https://www.serebii.net/diamondpearl/berries/28.png", 3)</f>
        <v/>
      </c>
      <c r="EH335" s="69"/>
      <c r="EI335" s="69"/>
    </row>
    <row r="336" ht="15.75" customHeight="1">
      <c r="A336" s="1">
        <v>336.0</v>
      </c>
      <c r="B336" s="2" t="s">
        <v>3120</v>
      </c>
      <c r="C336" s="7"/>
      <c r="D336" s="295" t="s">
        <v>3121</v>
      </c>
      <c r="E336" s="5"/>
      <c r="F336" s="296"/>
      <c r="G336" s="7"/>
      <c r="H336" s="8" t="s">
        <v>3122</v>
      </c>
      <c r="I336" s="9" t="s">
        <v>3123</v>
      </c>
      <c r="J336" s="355" t="str">
        <f>image("https://archives.bulbagarden.net/media/upload/a/a5/336MS6.png", 3)</f>
        <v/>
      </c>
      <c r="K336" s="11" t="s">
        <v>3121</v>
      </c>
      <c r="L336" s="12"/>
      <c r="M336" s="12"/>
      <c r="N336" s="12"/>
      <c r="O336" s="12"/>
      <c r="Q336" s="71">
        <v>73.0</v>
      </c>
      <c r="R336" s="72">
        <v>100.0</v>
      </c>
      <c r="S336" s="73">
        <v>60.0</v>
      </c>
      <c r="T336" s="74">
        <v>100.0</v>
      </c>
      <c r="U336" s="75">
        <v>60.0</v>
      </c>
      <c r="V336" s="76">
        <v>65.0</v>
      </c>
      <c r="W336" s="77">
        <v>458.0</v>
      </c>
      <c r="X336" s="21"/>
      <c r="Y336" s="71">
        <v>73.0</v>
      </c>
      <c r="Z336" s="72">
        <v>100.0</v>
      </c>
      <c r="AA336" s="73">
        <v>60.0</v>
      </c>
      <c r="AB336" s="74">
        <v>100.0</v>
      </c>
      <c r="AC336" s="75">
        <v>60.0</v>
      </c>
      <c r="AD336" s="76">
        <v>65.0</v>
      </c>
      <c r="AE336" s="77">
        <v>458.0</v>
      </c>
      <c r="AF336" s="21"/>
      <c r="AG336" s="261">
        <v>75.0</v>
      </c>
      <c r="AH336" s="109">
        <v>115.0</v>
      </c>
      <c r="AI336" s="73">
        <v>60.0</v>
      </c>
      <c r="AJ336" s="162">
        <v>80.0</v>
      </c>
      <c r="AK336" s="75">
        <v>60.0</v>
      </c>
      <c r="AL336" s="109">
        <v>75.0</v>
      </c>
      <c r="AM336" s="110">
        <v>465.0</v>
      </c>
      <c r="AN336" s="21"/>
      <c r="AO336" s="22" t="s">
        <v>154</v>
      </c>
      <c r="AP336" s="23" t="s">
        <v>213</v>
      </c>
      <c r="AQ336" s="23">
        <v>60.0</v>
      </c>
      <c r="AR336" s="23" t="s">
        <v>1578</v>
      </c>
      <c r="AS336" s="23">
        <v>60.0</v>
      </c>
      <c r="AT336" s="23" t="s">
        <v>154</v>
      </c>
      <c r="AU336" s="24" t="s">
        <v>638</v>
      </c>
      <c r="AV336" s="21"/>
      <c r="AW336" s="111">
        <v>75.0</v>
      </c>
      <c r="AX336" s="111">
        <v>115.0</v>
      </c>
      <c r="AY336" s="79">
        <v>60.0</v>
      </c>
      <c r="AZ336" s="163">
        <v>80.0</v>
      </c>
      <c r="BA336" s="79">
        <v>60.0</v>
      </c>
      <c r="BB336" s="111">
        <v>75.0</v>
      </c>
      <c r="BC336" s="171">
        <v>465.0</v>
      </c>
      <c r="BE336" s="194" t="s">
        <v>325</v>
      </c>
      <c r="BF336" s="285" t="s">
        <v>4</v>
      </c>
      <c r="BG336" s="384"/>
      <c r="BI336" s="31" t="s">
        <v>5</v>
      </c>
      <c r="BJ336" s="32">
        <v>1.0</v>
      </c>
      <c r="BK336" s="32" t="s">
        <v>5</v>
      </c>
      <c r="BL336" s="32">
        <v>1.0</v>
      </c>
      <c r="BM336" s="32" t="s">
        <v>5</v>
      </c>
      <c r="BN336" s="33" t="s">
        <v>5</v>
      </c>
      <c r="BP336" s="85" t="s">
        <v>7</v>
      </c>
      <c r="BQ336" s="129"/>
      <c r="BS336" s="87" t="s">
        <v>7</v>
      </c>
      <c r="BT336" s="130"/>
      <c r="BU336" s="37" t="str">
        <f t="shared" si="1"/>
        <v>#NAME?</v>
      </c>
      <c r="BV336" s="89" t="s">
        <v>7</v>
      </c>
      <c r="BW336" s="37" t="str">
        <f t="shared" si="2"/>
        <v>#NAME?</v>
      </c>
      <c r="BX336" s="89" t="s">
        <v>380</v>
      </c>
      <c r="BY336" s="39"/>
      <c r="BZ336" s="39"/>
      <c r="CA336" s="40" t="s">
        <v>3124</v>
      </c>
      <c r="CB336" s="41"/>
      <c r="CC336" s="37" t="s">
        <v>7</v>
      </c>
      <c r="CD336" s="139" t="s">
        <v>76</v>
      </c>
      <c r="CE336" s="21"/>
      <c r="CF336" s="92" t="s">
        <v>163</v>
      </c>
      <c r="CG336" s="93"/>
      <c r="CH336" s="21"/>
      <c r="CI336" s="92" t="s">
        <v>163</v>
      </c>
      <c r="CJ336" s="93"/>
      <c r="CK336" s="21"/>
      <c r="CL336" s="22" t="s">
        <v>163</v>
      </c>
      <c r="CM336" s="12"/>
      <c r="CN336" s="48"/>
      <c r="CO336" s="95"/>
      <c r="CP336" s="21"/>
      <c r="CQ336" s="2" t="s">
        <v>3125</v>
      </c>
      <c r="CR336" s="97">
        <v>80.0</v>
      </c>
      <c r="CS336" s="2" t="s">
        <v>1956</v>
      </c>
      <c r="CT336" s="98">
        <v>165.0</v>
      </c>
      <c r="CU336" s="2"/>
      <c r="CV336" s="256" t="s">
        <v>149</v>
      </c>
      <c r="CW336" s="256" t="s">
        <v>149</v>
      </c>
      <c r="CX336" s="2"/>
      <c r="CY336" s="381" t="s">
        <v>277</v>
      </c>
      <c r="CZ336" s="382" t="s">
        <v>61</v>
      </c>
      <c r="DA336" s="2"/>
      <c r="DB336" s="98">
        <v>90.0</v>
      </c>
      <c r="DC336" s="2"/>
      <c r="DD336" s="101" t="s">
        <v>2656</v>
      </c>
      <c r="DE336" s="2"/>
      <c r="DF336" s="383" t="s">
        <v>914</v>
      </c>
      <c r="DG336" s="381" t="s">
        <v>601</v>
      </c>
      <c r="DH336" s="382"/>
      <c r="DI336" s="2"/>
      <c r="DJ336" s="2"/>
      <c r="DK336" s="59" t="s">
        <v>3126</v>
      </c>
      <c r="DL336" s="37" t="s">
        <v>18</v>
      </c>
      <c r="DM336" s="37" t="str">
        <f t="shared" si="3"/>
        <v>#NAME?</v>
      </c>
      <c r="DN336" s="61"/>
      <c r="DO336" s="37" t="s">
        <v>19</v>
      </c>
      <c r="DP336" s="37" t="s">
        <v>19</v>
      </c>
      <c r="DQ336" s="62" t="s">
        <v>93</v>
      </c>
      <c r="DR336" s="63"/>
      <c r="DS336" s="198"/>
      <c r="DT336" s="108"/>
      <c r="DU336" s="108"/>
      <c r="DV336" s="182"/>
      <c r="DW336" s="182"/>
      <c r="DX336" s="182"/>
      <c r="DY336" s="182"/>
      <c r="DZ336" s="182"/>
      <c r="EA336" s="182"/>
      <c r="EB336" s="2"/>
      <c r="EC336" s="182"/>
      <c r="ED336" s="2"/>
      <c r="EE336" s="396" t="s">
        <v>3127</v>
      </c>
      <c r="EF336" s="68" t="s">
        <v>3128</v>
      </c>
      <c r="EG336" s="69" t="str">
        <f>image("https://www.serebii.net/diamondpearl/berries/29.png", 3)</f>
        <v/>
      </c>
      <c r="EH336" s="69"/>
      <c r="EI336" s="69"/>
    </row>
    <row r="337" ht="15.75" customHeight="1">
      <c r="A337" s="1">
        <v>337.0</v>
      </c>
      <c r="B337" s="2" t="s">
        <v>3129</v>
      </c>
      <c r="C337" s="7"/>
      <c r="D337" s="169" t="s">
        <v>3130</v>
      </c>
      <c r="E337" s="5"/>
      <c r="F337" s="170"/>
      <c r="G337" s="7"/>
      <c r="H337" s="8" t="s">
        <v>3131</v>
      </c>
      <c r="I337" s="9" t="s">
        <v>3132</v>
      </c>
      <c r="J337" s="355" t="str">
        <f>image("https://archives.bulbagarden.net/media/upload/7/71/337MS6.png", 3)</f>
        <v/>
      </c>
      <c r="K337" s="11" t="s">
        <v>3130</v>
      </c>
      <c r="L337" s="12"/>
      <c r="M337" s="12"/>
      <c r="N337" s="12"/>
      <c r="O337" s="12"/>
      <c r="Q337" s="71">
        <v>70.0</v>
      </c>
      <c r="R337" s="72">
        <v>55.0</v>
      </c>
      <c r="S337" s="73">
        <v>65.0</v>
      </c>
      <c r="T337" s="74">
        <v>95.0</v>
      </c>
      <c r="U337" s="75">
        <v>85.0</v>
      </c>
      <c r="V337" s="76">
        <v>70.0</v>
      </c>
      <c r="W337" s="77">
        <v>440.0</v>
      </c>
      <c r="X337" s="21"/>
      <c r="Y337" s="261">
        <v>90.0</v>
      </c>
      <c r="Z337" s="72">
        <v>55.0</v>
      </c>
      <c r="AA337" s="73">
        <v>65.0</v>
      </c>
      <c r="AB337" s="74">
        <v>95.0</v>
      </c>
      <c r="AC337" s="75">
        <v>85.0</v>
      </c>
      <c r="AD337" s="76">
        <v>70.0</v>
      </c>
      <c r="AE337" s="110">
        <v>460.0</v>
      </c>
      <c r="AF337" s="21"/>
      <c r="AG337" s="261">
        <v>90.0</v>
      </c>
      <c r="AH337" s="72">
        <v>55.0</v>
      </c>
      <c r="AI337" s="73">
        <v>65.0</v>
      </c>
      <c r="AJ337" s="109">
        <v>100.0</v>
      </c>
      <c r="AK337" s="75">
        <v>85.0</v>
      </c>
      <c r="AL337" s="76">
        <v>70.0</v>
      </c>
      <c r="AM337" s="110">
        <v>465.0</v>
      </c>
      <c r="AN337" s="21"/>
      <c r="AO337" s="22" t="s">
        <v>128</v>
      </c>
      <c r="AP337" s="23">
        <v>55.0</v>
      </c>
      <c r="AQ337" s="23">
        <v>65.0</v>
      </c>
      <c r="AR337" s="23" t="s">
        <v>175</v>
      </c>
      <c r="AS337" s="23">
        <v>85.0</v>
      </c>
      <c r="AT337" s="23">
        <v>70.0</v>
      </c>
      <c r="AU337" s="24" t="s">
        <v>638</v>
      </c>
      <c r="AV337" s="21"/>
      <c r="AW337" s="111">
        <v>90.0</v>
      </c>
      <c r="AX337" s="182">
        <v>55.0</v>
      </c>
      <c r="AY337" s="79">
        <v>65.0</v>
      </c>
      <c r="AZ337" s="227">
        <v>100.0</v>
      </c>
      <c r="BA337" s="79">
        <v>85.0</v>
      </c>
      <c r="BB337" s="124">
        <v>70.0</v>
      </c>
      <c r="BC337" s="111">
        <v>465.0</v>
      </c>
      <c r="BE337" s="112" t="s">
        <v>42</v>
      </c>
      <c r="BF337" s="113"/>
      <c r="BG337" s="210"/>
      <c r="BI337" s="31" t="s">
        <v>5</v>
      </c>
      <c r="BJ337" s="32" t="s">
        <v>5</v>
      </c>
      <c r="BK337" s="32" t="s">
        <v>5</v>
      </c>
      <c r="BL337" s="32">
        <v>2.0</v>
      </c>
      <c r="BM337" s="32" t="s">
        <v>5</v>
      </c>
      <c r="BN337" s="33" t="s">
        <v>5</v>
      </c>
      <c r="BP337" s="115" t="s">
        <v>66</v>
      </c>
      <c r="BQ337" s="116" t="s">
        <v>122</v>
      </c>
      <c r="BS337" s="115" t="s">
        <v>66</v>
      </c>
      <c r="BT337" s="117" t="s">
        <v>122</v>
      </c>
      <c r="BU337" s="37" t="str">
        <f t="shared" si="1"/>
        <v>#NAME?</v>
      </c>
      <c r="BV337" s="89" t="s">
        <v>66</v>
      </c>
      <c r="BW337" s="37" t="str">
        <f t="shared" si="2"/>
        <v>#NAME?</v>
      </c>
      <c r="BX337" s="89" t="s">
        <v>122</v>
      </c>
      <c r="BY337" s="144"/>
      <c r="BZ337" s="144"/>
      <c r="CA337" s="145" t="s">
        <v>3133</v>
      </c>
      <c r="CB337" s="146"/>
      <c r="CC337" s="90" t="s">
        <v>66</v>
      </c>
      <c r="CD337" s="147" t="s">
        <v>122</v>
      </c>
      <c r="CE337" s="2"/>
      <c r="CF337" s="92" t="s">
        <v>1001</v>
      </c>
      <c r="CG337" s="93"/>
      <c r="CH337" s="2"/>
      <c r="CI337" s="92" t="s">
        <v>1001</v>
      </c>
      <c r="CJ337" s="93"/>
      <c r="CK337" s="2"/>
      <c r="CL337" s="22" t="s">
        <v>1001</v>
      </c>
      <c r="CM337" s="12"/>
      <c r="CN337" s="48"/>
      <c r="CO337" s="95"/>
      <c r="CP337" s="2"/>
      <c r="CQ337" s="2" t="s">
        <v>3134</v>
      </c>
      <c r="CR337" s="97">
        <v>100.0</v>
      </c>
      <c r="CS337" s="2" t="s">
        <v>42</v>
      </c>
      <c r="CT337" s="98">
        <v>150.0</v>
      </c>
      <c r="CU337" s="2"/>
      <c r="CV337" s="52" t="s">
        <v>890</v>
      </c>
      <c r="CW337" s="52" t="s">
        <v>890</v>
      </c>
      <c r="CX337" s="2"/>
      <c r="CY337" s="257" t="s">
        <v>826</v>
      </c>
      <c r="CZ337" s="160"/>
      <c r="DA337" s="2"/>
      <c r="DB337" s="98">
        <v>45.0</v>
      </c>
      <c r="DC337" s="2"/>
      <c r="DD337" s="101" t="s">
        <v>468</v>
      </c>
      <c r="DE337" s="2"/>
      <c r="DF337" s="120" t="s">
        <v>914</v>
      </c>
      <c r="DG337" s="409" t="s">
        <v>1259</v>
      </c>
      <c r="DH337" s="160" t="s">
        <v>470</v>
      </c>
      <c r="DI337" s="2"/>
      <c r="DJ337" s="2"/>
      <c r="DK337" s="59" t="s">
        <v>3135</v>
      </c>
      <c r="DL337" s="37" t="s">
        <v>92</v>
      </c>
      <c r="DM337" s="37" t="str">
        <f t="shared" si="3"/>
        <v>#NAME?</v>
      </c>
      <c r="DN337" s="61"/>
      <c r="DO337" s="37" t="s">
        <v>19</v>
      </c>
      <c r="DP337" s="37" t="s">
        <v>19</v>
      </c>
      <c r="DQ337" s="62" t="s">
        <v>293</v>
      </c>
      <c r="DR337" s="63"/>
      <c r="DS337" s="198"/>
      <c r="DT337" s="108"/>
      <c r="DU337" s="108"/>
      <c r="DV337" s="182"/>
      <c r="DW337" s="182"/>
      <c r="DX337" s="182"/>
      <c r="DY337" s="182"/>
      <c r="DZ337" s="182"/>
      <c r="EA337" s="182"/>
      <c r="EB337" s="2"/>
      <c r="EC337" s="182"/>
      <c r="ED337" s="2"/>
      <c r="EE337" s="396" t="s">
        <v>3136</v>
      </c>
      <c r="EF337" s="68" t="s">
        <v>3137</v>
      </c>
      <c r="EG337" s="69" t="str">
        <f>image("https://www.serebii.net/diamondpearl/berries/30.png", 3)</f>
        <v/>
      </c>
      <c r="EH337" s="69"/>
      <c r="EI337" s="69"/>
    </row>
    <row r="338" ht="15.75" customHeight="1">
      <c r="A338" s="1">
        <v>338.0</v>
      </c>
      <c r="B338" s="2" t="s">
        <v>3138</v>
      </c>
      <c r="C338" s="7"/>
      <c r="D338" s="122" t="s">
        <v>3139</v>
      </c>
      <c r="E338" s="5"/>
      <c r="F338" s="123"/>
      <c r="G338" s="7"/>
      <c r="H338" s="8" t="s">
        <v>3140</v>
      </c>
      <c r="I338" s="9" t="s">
        <v>3141</v>
      </c>
      <c r="J338" s="355" t="str">
        <f>image("https://archives.bulbagarden.net/media/upload/d/d5/338MS6.png", 3)</f>
        <v/>
      </c>
      <c r="K338" s="11" t="s">
        <v>3139</v>
      </c>
      <c r="L338" s="12"/>
      <c r="M338" s="12"/>
      <c r="N338" s="12"/>
      <c r="O338" s="12"/>
      <c r="Q338" s="71">
        <v>70.0</v>
      </c>
      <c r="R338" s="72">
        <v>95.0</v>
      </c>
      <c r="S338" s="73">
        <v>85.0</v>
      </c>
      <c r="T338" s="74">
        <v>55.0</v>
      </c>
      <c r="U338" s="75">
        <v>65.0</v>
      </c>
      <c r="V338" s="76">
        <v>70.0</v>
      </c>
      <c r="W338" s="77">
        <v>440.0</v>
      </c>
      <c r="X338" s="21"/>
      <c r="Y338" s="261">
        <v>90.0</v>
      </c>
      <c r="Z338" s="72">
        <v>95.0</v>
      </c>
      <c r="AA338" s="73">
        <v>85.0</v>
      </c>
      <c r="AB338" s="74">
        <v>55.0</v>
      </c>
      <c r="AC338" s="75">
        <v>65.0</v>
      </c>
      <c r="AD338" s="76">
        <v>70.0</v>
      </c>
      <c r="AE338" s="110">
        <v>460.0</v>
      </c>
      <c r="AF338" s="21"/>
      <c r="AG338" s="261">
        <v>90.0</v>
      </c>
      <c r="AH338" s="109">
        <v>100.0</v>
      </c>
      <c r="AI338" s="73">
        <v>85.0</v>
      </c>
      <c r="AJ338" s="74">
        <v>55.0</v>
      </c>
      <c r="AK338" s="75">
        <v>65.0</v>
      </c>
      <c r="AL338" s="76">
        <v>70.0</v>
      </c>
      <c r="AM338" s="110">
        <v>465.0</v>
      </c>
      <c r="AN338" s="21"/>
      <c r="AO338" s="22" t="s">
        <v>128</v>
      </c>
      <c r="AP338" s="23" t="s">
        <v>175</v>
      </c>
      <c r="AQ338" s="23">
        <v>85.0</v>
      </c>
      <c r="AR338" s="23">
        <v>55.0</v>
      </c>
      <c r="AS338" s="23">
        <v>65.0</v>
      </c>
      <c r="AT338" s="23">
        <v>70.0</v>
      </c>
      <c r="AU338" s="24" t="s">
        <v>638</v>
      </c>
      <c r="AV338" s="21"/>
      <c r="AW338" s="111">
        <v>90.0</v>
      </c>
      <c r="AX338" s="111">
        <v>100.0</v>
      </c>
      <c r="AY338" s="79">
        <v>85.0</v>
      </c>
      <c r="AZ338" s="124">
        <v>55.0</v>
      </c>
      <c r="BA338" s="79">
        <v>65.0</v>
      </c>
      <c r="BB338" s="79">
        <v>70.0</v>
      </c>
      <c r="BC338" s="111">
        <v>465.0</v>
      </c>
      <c r="BE338" s="172" t="s">
        <v>216</v>
      </c>
      <c r="BF338" s="113"/>
      <c r="BG338" s="384"/>
      <c r="BI338" s="31" t="s">
        <v>5</v>
      </c>
      <c r="BJ338" s="32">
        <v>2.0</v>
      </c>
      <c r="BK338" s="32" t="s">
        <v>5</v>
      </c>
      <c r="BL338" s="32" t="s">
        <v>5</v>
      </c>
      <c r="BM338" s="32" t="s">
        <v>5</v>
      </c>
      <c r="BN338" s="33" t="s">
        <v>5</v>
      </c>
      <c r="BP338" s="85" t="s">
        <v>66</v>
      </c>
      <c r="BQ338" s="86" t="s">
        <v>122</v>
      </c>
      <c r="BS338" s="87" t="s">
        <v>66</v>
      </c>
      <c r="BT338" s="88" t="s">
        <v>122</v>
      </c>
      <c r="BU338" s="37" t="str">
        <f t="shared" si="1"/>
        <v>#NAME?</v>
      </c>
      <c r="BV338" s="89" t="s">
        <v>66</v>
      </c>
      <c r="BW338" s="37" t="str">
        <f t="shared" si="2"/>
        <v>#NAME?</v>
      </c>
      <c r="BX338" s="89" t="s">
        <v>122</v>
      </c>
      <c r="BY338" s="39"/>
      <c r="BZ338" s="39"/>
      <c r="CA338" s="40" t="s">
        <v>3133</v>
      </c>
      <c r="CB338" s="41"/>
      <c r="CC338" s="90" t="s">
        <v>66</v>
      </c>
      <c r="CD338" s="91" t="s">
        <v>122</v>
      </c>
      <c r="CE338" s="2"/>
      <c r="CF338" s="92" t="s">
        <v>1001</v>
      </c>
      <c r="CG338" s="93"/>
      <c r="CH338" s="2"/>
      <c r="CI338" s="92" t="s">
        <v>1001</v>
      </c>
      <c r="CJ338" s="93"/>
      <c r="CK338" s="2"/>
      <c r="CL338" s="22" t="s">
        <v>1001</v>
      </c>
      <c r="CM338" s="12"/>
      <c r="CN338" s="48"/>
      <c r="CO338" s="95"/>
      <c r="CP338" s="2"/>
      <c r="CQ338" s="2" t="s">
        <v>3142</v>
      </c>
      <c r="CR338" s="97">
        <v>100.0</v>
      </c>
      <c r="CS338" s="2" t="s">
        <v>216</v>
      </c>
      <c r="CT338" s="98">
        <v>150.0</v>
      </c>
      <c r="CU338" s="2"/>
      <c r="CV338" s="52" t="s">
        <v>890</v>
      </c>
      <c r="CW338" s="52" t="s">
        <v>890</v>
      </c>
      <c r="CX338" s="2"/>
      <c r="CY338" s="390" t="s">
        <v>826</v>
      </c>
      <c r="CZ338" s="385"/>
      <c r="DA338" s="2"/>
      <c r="DB338" s="98">
        <v>45.0</v>
      </c>
      <c r="DC338" s="2"/>
      <c r="DD338" s="101" t="s">
        <v>468</v>
      </c>
      <c r="DE338" s="2"/>
      <c r="DF338" s="383" t="s">
        <v>914</v>
      </c>
      <c r="DG338" s="410" t="s">
        <v>1259</v>
      </c>
      <c r="DH338" s="385" t="s">
        <v>3143</v>
      </c>
      <c r="DI338" s="2"/>
      <c r="DJ338" s="2"/>
      <c r="DK338" s="59" t="s">
        <v>3144</v>
      </c>
      <c r="DL338" s="37" t="s">
        <v>64</v>
      </c>
      <c r="DM338" s="37" t="str">
        <f t="shared" si="3"/>
        <v>#NAME?</v>
      </c>
      <c r="DN338" s="61"/>
      <c r="DO338" s="37" t="s">
        <v>19</v>
      </c>
      <c r="DP338" s="37" t="s">
        <v>19</v>
      </c>
      <c r="DQ338" s="62" t="s">
        <v>293</v>
      </c>
      <c r="DR338" s="63"/>
      <c r="DS338" s="198"/>
      <c r="DT338" s="108"/>
      <c r="DU338" s="108"/>
      <c r="DV338" s="182"/>
      <c r="DW338" s="182"/>
      <c r="DX338" s="182"/>
      <c r="DY338" s="182"/>
      <c r="DZ338" s="182"/>
      <c r="EA338" s="182"/>
      <c r="EB338" s="2"/>
      <c r="EC338" s="182"/>
      <c r="ED338" s="2"/>
      <c r="EE338" s="396" t="s">
        <v>3145</v>
      </c>
      <c r="EF338" s="68" t="s">
        <v>3146</v>
      </c>
      <c r="EG338" s="69" t="str">
        <f>image("https://www.serebii.net/diamondpearl/berries/31.png", 3)</f>
        <v/>
      </c>
      <c r="EH338" s="69"/>
      <c r="EI338" s="69"/>
    </row>
    <row r="339" ht="15.75" customHeight="1">
      <c r="A339" s="1">
        <v>339.0</v>
      </c>
      <c r="B339" s="2" t="s">
        <v>3147</v>
      </c>
      <c r="C339" s="7"/>
      <c r="D339" s="247" t="s">
        <v>3148</v>
      </c>
      <c r="E339" s="5"/>
      <c r="F339" s="248"/>
      <c r="G339" s="7"/>
      <c r="H339" s="8" t="s">
        <v>3149</v>
      </c>
      <c r="I339" s="9" t="s">
        <v>3150</v>
      </c>
      <c r="J339" s="355" t="str">
        <f>image("https://archives.bulbagarden.net/media/upload/b/b1/339MS6.png", 3)</f>
        <v/>
      </c>
      <c r="K339" s="11" t="s">
        <v>3148</v>
      </c>
      <c r="L339" s="12"/>
      <c r="M339" s="12"/>
      <c r="N339" s="12"/>
      <c r="O339" s="12"/>
      <c r="Q339" s="71">
        <v>50.0</v>
      </c>
      <c r="R339" s="72">
        <v>48.0</v>
      </c>
      <c r="S339" s="73">
        <v>43.0</v>
      </c>
      <c r="T339" s="74">
        <v>46.0</v>
      </c>
      <c r="U339" s="75">
        <v>41.0</v>
      </c>
      <c r="V339" s="76">
        <v>60.0</v>
      </c>
      <c r="W339" s="77">
        <v>288.0</v>
      </c>
      <c r="X339" s="21"/>
      <c r="Y339" s="71">
        <v>50.0</v>
      </c>
      <c r="Z339" s="72">
        <v>48.0</v>
      </c>
      <c r="AA339" s="73">
        <v>43.0</v>
      </c>
      <c r="AB339" s="74">
        <v>46.0</v>
      </c>
      <c r="AC339" s="75">
        <v>41.0</v>
      </c>
      <c r="AD339" s="76">
        <v>60.0</v>
      </c>
      <c r="AE339" s="77">
        <v>288.0</v>
      </c>
      <c r="AF339" s="21"/>
      <c r="AG339" s="71">
        <v>50.0</v>
      </c>
      <c r="AH339" s="72">
        <v>48.0</v>
      </c>
      <c r="AI339" s="73">
        <v>43.0</v>
      </c>
      <c r="AJ339" s="74">
        <v>46.0</v>
      </c>
      <c r="AK339" s="75">
        <v>41.0</v>
      </c>
      <c r="AL339" s="76">
        <v>60.0</v>
      </c>
      <c r="AM339" s="77">
        <v>288.0</v>
      </c>
      <c r="AN339" s="21"/>
      <c r="AO339" s="22">
        <v>50.0</v>
      </c>
      <c r="AP339" s="23">
        <v>48.0</v>
      </c>
      <c r="AQ339" s="23">
        <v>43.0</v>
      </c>
      <c r="AR339" s="23">
        <v>46.0</v>
      </c>
      <c r="AS339" s="23">
        <v>41.0</v>
      </c>
      <c r="AT339" s="23">
        <v>60.0</v>
      </c>
      <c r="AU339" s="24">
        <v>288.0</v>
      </c>
      <c r="AV339" s="21"/>
      <c r="AW339" s="265">
        <v>50.0</v>
      </c>
      <c r="AX339" s="124">
        <v>48.0</v>
      </c>
      <c r="AY339" s="79">
        <v>43.0</v>
      </c>
      <c r="AZ339" s="79">
        <v>46.0</v>
      </c>
      <c r="BA339" s="79">
        <v>41.0</v>
      </c>
      <c r="BB339" s="79">
        <v>60.0</v>
      </c>
      <c r="BC339" s="125">
        <v>288.0</v>
      </c>
      <c r="BE339" s="151" t="s">
        <v>144</v>
      </c>
      <c r="BF339" s="143"/>
      <c r="BG339" s="128"/>
      <c r="BI339" s="31">
        <v>1.0</v>
      </c>
      <c r="BJ339" s="32" t="s">
        <v>5</v>
      </c>
      <c r="BK339" s="32" t="s">
        <v>5</v>
      </c>
      <c r="BL339" s="32" t="s">
        <v>5</v>
      </c>
      <c r="BM339" s="32" t="s">
        <v>5</v>
      </c>
      <c r="BN339" s="33" t="s">
        <v>5</v>
      </c>
      <c r="BP339" s="115" t="s">
        <v>32</v>
      </c>
      <c r="BQ339" s="116" t="s">
        <v>79</v>
      </c>
      <c r="BS339" s="115" t="s">
        <v>32</v>
      </c>
      <c r="BT339" s="117" t="s">
        <v>79</v>
      </c>
      <c r="BU339" s="37" t="str">
        <f t="shared" si="1"/>
        <v>#NAME?</v>
      </c>
      <c r="BV339" s="89" t="s">
        <v>32</v>
      </c>
      <c r="BW339" s="37" t="str">
        <f t="shared" si="2"/>
        <v>#NAME?</v>
      </c>
      <c r="BX339" s="89" t="s">
        <v>79</v>
      </c>
      <c r="BY339" s="39"/>
      <c r="BZ339" s="39"/>
      <c r="CA339" s="40" t="s">
        <v>1893</v>
      </c>
      <c r="CB339" s="41"/>
      <c r="CC339" s="90" t="s">
        <v>32</v>
      </c>
      <c r="CD339" s="91" t="s">
        <v>79</v>
      </c>
      <c r="CE339" s="2"/>
      <c r="CF339" s="92" t="s">
        <v>870</v>
      </c>
      <c r="CG339" s="93" t="s">
        <v>3151</v>
      </c>
      <c r="CH339" s="2"/>
      <c r="CI339" s="92" t="s">
        <v>870</v>
      </c>
      <c r="CJ339" s="93" t="s">
        <v>3151</v>
      </c>
      <c r="CK339" s="2"/>
      <c r="CL339" s="22" t="s">
        <v>870</v>
      </c>
      <c r="CM339" s="12"/>
      <c r="CN339" s="48"/>
      <c r="CO339" s="96" t="s">
        <v>3151</v>
      </c>
      <c r="CP339" s="2"/>
      <c r="CQ339" s="2" t="s">
        <v>3152</v>
      </c>
      <c r="CR339" s="97">
        <v>20.0</v>
      </c>
      <c r="CS339" s="2" t="s">
        <v>144</v>
      </c>
      <c r="CT339" s="98">
        <v>92.0</v>
      </c>
      <c r="CU339" s="2"/>
      <c r="CV339" s="52" t="s">
        <v>149</v>
      </c>
      <c r="CW339" s="52" t="s">
        <v>149</v>
      </c>
      <c r="CX339" s="2"/>
      <c r="CY339" s="119" t="s">
        <v>1236</v>
      </c>
      <c r="CZ339" s="160"/>
      <c r="DA339" s="2"/>
      <c r="DB339" s="98">
        <v>190.0</v>
      </c>
      <c r="DC339" s="2"/>
      <c r="DD339" s="101" t="s">
        <v>150</v>
      </c>
      <c r="DE339" s="2"/>
      <c r="DF339" s="148" t="s">
        <v>3153</v>
      </c>
      <c r="DG339" s="160"/>
      <c r="DH339" s="160"/>
      <c r="DI339" s="21"/>
      <c r="DJ339" s="21"/>
      <c r="DK339" s="59" t="s">
        <v>3154</v>
      </c>
      <c r="DL339" s="37" t="s">
        <v>156</v>
      </c>
      <c r="DM339" s="37" t="str">
        <f t="shared" si="3"/>
        <v>#NAME?</v>
      </c>
      <c r="DN339" s="61"/>
      <c r="DO339" s="37" t="s">
        <v>19</v>
      </c>
      <c r="DP339" s="37" t="s">
        <v>225</v>
      </c>
      <c r="DQ339" s="62" t="s">
        <v>20</v>
      </c>
      <c r="DR339" s="63"/>
      <c r="DS339" s="198"/>
      <c r="DT339" s="108"/>
      <c r="DU339" s="108"/>
      <c r="DV339" s="182"/>
      <c r="DW339" s="182"/>
      <c r="DX339" s="182"/>
      <c r="DY339" s="182"/>
      <c r="DZ339" s="182"/>
      <c r="EA339" s="182"/>
      <c r="EB339" s="2"/>
      <c r="EC339" s="182"/>
      <c r="ED339" s="2"/>
      <c r="EE339" s="396" t="s">
        <v>3155</v>
      </c>
      <c r="EF339" s="68" t="s">
        <v>3156</v>
      </c>
      <c r="EG339" s="69" t="str">
        <f>image("https://www.serebii.net/diamondpearl/berries/32.png", 3)</f>
        <v/>
      </c>
      <c r="EH339" s="69"/>
      <c r="EI339" s="69"/>
    </row>
    <row r="340" ht="15.75" customHeight="1">
      <c r="A340" s="1">
        <v>340.0</v>
      </c>
      <c r="B340" s="2" t="s">
        <v>3157</v>
      </c>
      <c r="C340" s="7"/>
      <c r="D340" s="140" t="s">
        <v>3158</v>
      </c>
      <c r="E340" s="5"/>
      <c r="F340" s="141"/>
      <c r="G340" s="7"/>
      <c r="H340" s="8" t="s">
        <v>3159</v>
      </c>
      <c r="I340" s="9" t="s">
        <v>3160</v>
      </c>
      <c r="J340" s="355" t="str">
        <f>image("https://archives.bulbagarden.net/media/upload/c/cd/340MS6.png", 3)</f>
        <v/>
      </c>
      <c r="K340" s="11" t="s">
        <v>3158</v>
      </c>
      <c r="L340" s="12"/>
      <c r="M340" s="12"/>
      <c r="N340" s="12"/>
      <c r="O340" s="12"/>
      <c r="Q340" s="71">
        <v>110.0</v>
      </c>
      <c r="R340" s="72">
        <v>78.0</v>
      </c>
      <c r="S340" s="73">
        <v>73.0</v>
      </c>
      <c r="T340" s="74">
        <v>76.0</v>
      </c>
      <c r="U340" s="75">
        <v>71.0</v>
      </c>
      <c r="V340" s="76">
        <v>60.0</v>
      </c>
      <c r="W340" s="77">
        <v>468.0</v>
      </c>
      <c r="X340" s="21"/>
      <c r="Y340" s="71">
        <v>110.0</v>
      </c>
      <c r="Z340" s="72">
        <v>78.0</v>
      </c>
      <c r="AA340" s="73">
        <v>73.0</v>
      </c>
      <c r="AB340" s="74">
        <v>76.0</v>
      </c>
      <c r="AC340" s="75">
        <v>71.0</v>
      </c>
      <c r="AD340" s="76">
        <v>60.0</v>
      </c>
      <c r="AE340" s="77">
        <v>468.0</v>
      </c>
      <c r="AF340" s="21"/>
      <c r="AG340" s="71">
        <v>110.0</v>
      </c>
      <c r="AH340" s="72">
        <v>78.0</v>
      </c>
      <c r="AI340" s="73">
        <v>73.0</v>
      </c>
      <c r="AJ340" s="74">
        <v>76.0</v>
      </c>
      <c r="AK340" s="75">
        <v>71.0</v>
      </c>
      <c r="AL340" s="76">
        <v>60.0</v>
      </c>
      <c r="AM340" s="77">
        <v>468.0</v>
      </c>
      <c r="AN340" s="21"/>
      <c r="AO340" s="22">
        <v>110.0</v>
      </c>
      <c r="AP340" s="23">
        <v>78.0</v>
      </c>
      <c r="AQ340" s="23">
        <v>73.0</v>
      </c>
      <c r="AR340" s="23">
        <v>76.0</v>
      </c>
      <c r="AS340" s="23">
        <v>71.0</v>
      </c>
      <c r="AT340" s="23">
        <v>60.0</v>
      </c>
      <c r="AU340" s="24">
        <v>468.0</v>
      </c>
      <c r="AV340" s="21"/>
      <c r="AW340" s="78">
        <v>110.0</v>
      </c>
      <c r="AX340" s="79">
        <v>78.0</v>
      </c>
      <c r="AY340" s="79">
        <v>73.0</v>
      </c>
      <c r="AZ340" s="79">
        <v>76.0</v>
      </c>
      <c r="BA340" s="79">
        <v>71.0</v>
      </c>
      <c r="BB340" s="79">
        <v>60.0</v>
      </c>
      <c r="BC340" s="201">
        <v>468.0</v>
      </c>
      <c r="BE340" s="203" t="s">
        <v>409</v>
      </c>
      <c r="BF340" s="113"/>
      <c r="BG340" s="384"/>
      <c r="BI340" s="31">
        <v>2.0</v>
      </c>
      <c r="BJ340" s="32" t="s">
        <v>5</v>
      </c>
      <c r="BK340" s="32" t="s">
        <v>5</v>
      </c>
      <c r="BL340" s="32" t="s">
        <v>5</v>
      </c>
      <c r="BM340" s="32" t="s">
        <v>5</v>
      </c>
      <c r="BN340" s="33" t="s">
        <v>5</v>
      </c>
      <c r="BP340" s="85" t="s">
        <v>32</v>
      </c>
      <c r="BQ340" s="86" t="s">
        <v>79</v>
      </c>
      <c r="BS340" s="87" t="s">
        <v>32</v>
      </c>
      <c r="BT340" s="88" t="s">
        <v>79</v>
      </c>
      <c r="BU340" s="37" t="str">
        <f t="shared" si="1"/>
        <v>#NAME?</v>
      </c>
      <c r="BV340" s="89" t="s">
        <v>32</v>
      </c>
      <c r="BW340" s="37" t="str">
        <f t="shared" si="2"/>
        <v>#NAME?</v>
      </c>
      <c r="BX340" s="89" t="s">
        <v>79</v>
      </c>
      <c r="BY340" s="39"/>
      <c r="BZ340" s="39"/>
      <c r="CA340" s="40" t="s">
        <v>1893</v>
      </c>
      <c r="CB340" s="41"/>
      <c r="CC340" s="90" t="s">
        <v>32</v>
      </c>
      <c r="CD340" s="91" t="s">
        <v>79</v>
      </c>
      <c r="CE340" s="2"/>
      <c r="CF340" s="92" t="s">
        <v>870</v>
      </c>
      <c r="CG340" s="93" t="s">
        <v>3151</v>
      </c>
      <c r="CH340" s="2"/>
      <c r="CI340" s="177" t="s">
        <v>870</v>
      </c>
      <c r="CJ340" s="93" t="s">
        <v>3151</v>
      </c>
      <c r="CK340" s="2"/>
      <c r="CL340" s="22" t="s">
        <v>870</v>
      </c>
      <c r="CM340" s="12"/>
      <c r="CN340" s="48"/>
      <c r="CO340" s="96" t="s">
        <v>3151</v>
      </c>
      <c r="CP340" s="2"/>
      <c r="CQ340" s="2" t="s">
        <v>3161</v>
      </c>
      <c r="CR340" s="97">
        <v>40.0</v>
      </c>
      <c r="CS340" s="2" t="s">
        <v>409</v>
      </c>
      <c r="CT340" s="98">
        <v>158.0</v>
      </c>
      <c r="CU340" s="2"/>
      <c r="CV340" s="52" t="s">
        <v>149</v>
      </c>
      <c r="CW340" s="52" t="s">
        <v>149</v>
      </c>
      <c r="CX340" s="2"/>
      <c r="CY340" s="382" t="s">
        <v>1236</v>
      </c>
      <c r="CZ340" s="385"/>
      <c r="DA340" s="2"/>
      <c r="DB340" s="98">
        <v>75.0</v>
      </c>
      <c r="DC340" s="2"/>
      <c r="DD340" s="101" t="s">
        <v>150</v>
      </c>
      <c r="DE340" s="2"/>
      <c r="DF340" s="383" t="s">
        <v>3162</v>
      </c>
      <c r="DG340" s="385"/>
      <c r="DH340" s="385"/>
      <c r="DI340" s="2"/>
      <c r="DJ340" s="2"/>
      <c r="DK340" s="59" t="s">
        <v>3163</v>
      </c>
      <c r="DL340" s="37" t="s">
        <v>156</v>
      </c>
      <c r="DM340" s="37" t="str">
        <f t="shared" si="3"/>
        <v>#NAME?</v>
      </c>
      <c r="DN340" s="61"/>
      <c r="DO340" s="37" t="s">
        <v>19</v>
      </c>
      <c r="DP340" s="37" t="s">
        <v>19</v>
      </c>
      <c r="DQ340" s="62" t="s">
        <v>93</v>
      </c>
      <c r="DR340" s="63"/>
      <c r="DS340" s="198"/>
      <c r="DT340" s="108"/>
      <c r="DU340" s="108"/>
      <c r="DV340" s="182"/>
      <c r="DW340" s="182"/>
      <c r="DX340" s="182"/>
      <c r="DY340" s="182"/>
      <c r="DZ340" s="182"/>
      <c r="EA340" s="182"/>
      <c r="EB340" s="2"/>
      <c r="EC340" s="182"/>
      <c r="ED340" s="2"/>
      <c r="EE340" s="396" t="s">
        <v>3164</v>
      </c>
      <c r="EF340" s="68" t="s">
        <v>3165</v>
      </c>
      <c r="EG340" s="69" t="str">
        <f>image("https://www.serebii.net/diamondpearl/berries/33.png", 3)</f>
        <v/>
      </c>
      <c r="EH340" s="69"/>
      <c r="EI340" s="69"/>
    </row>
    <row r="341" ht="15.75" customHeight="1">
      <c r="A341" s="1">
        <v>341.0</v>
      </c>
      <c r="B341" s="2" t="s">
        <v>3166</v>
      </c>
      <c r="C341" s="7"/>
      <c r="D341" s="122" t="s">
        <v>3167</v>
      </c>
      <c r="E341" s="5"/>
      <c r="F341" s="123"/>
      <c r="G341" s="7"/>
      <c r="H341" s="8" t="s">
        <v>3168</v>
      </c>
      <c r="I341" s="9" t="s">
        <v>3169</v>
      </c>
      <c r="J341" s="355" t="str">
        <f>image("https://archives.bulbagarden.net/media/upload/0/09/341MS6.png", 3)</f>
        <v/>
      </c>
      <c r="K341" s="11" t="s">
        <v>3167</v>
      </c>
      <c r="L341" s="12"/>
      <c r="M341" s="12"/>
      <c r="N341" s="12"/>
      <c r="O341" s="12"/>
      <c r="Q341" s="71">
        <v>43.0</v>
      </c>
      <c r="R341" s="72">
        <v>80.0</v>
      </c>
      <c r="S341" s="73">
        <v>65.0</v>
      </c>
      <c r="T341" s="74">
        <v>50.0</v>
      </c>
      <c r="U341" s="75">
        <v>35.0</v>
      </c>
      <c r="V341" s="76">
        <v>35.0</v>
      </c>
      <c r="W341" s="77">
        <v>308.0</v>
      </c>
      <c r="X341" s="21"/>
      <c r="Y341" s="71">
        <v>43.0</v>
      </c>
      <c r="Z341" s="72">
        <v>80.0</v>
      </c>
      <c r="AA341" s="73">
        <v>65.0</v>
      </c>
      <c r="AB341" s="74">
        <v>50.0</v>
      </c>
      <c r="AC341" s="75">
        <v>35.0</v>
      </c>
      <c r="AD341" s="76">
        <v>35.0</v>
      </c>
      <c r="AE341" s="77">
        <v>308.0</v>
      </c>
      <c r="AF341" s="21"/>
      <c r="AG341" s="71">
        <v>43.0</v>
      </c>
      <c r="AH341" s="72">
        <v>80.0</v>
      </c>
      <c r="AI341" s="73">
        <v>65.0</v>
      </c>
      <c r="AJ341" s="74">
        <v>50.0</v>
      </c>
      <c r="AK341" s="75">
        <v>35.0</v>
      </c>
      <c r="AL341" s="76">
        <v>35.0</v>
      </c>
      <c r="AM341" s="77">
        <v>308.0</v>
      </c>
      <c r="AN341" s="21"/>
      <c r="AO341" s="22">
        <v>43.0</v>
      </c>
      <c r="AP341" s="23">
        <v>80.0</v>
      </c>
      <c r="AQ341" s="23">
        <v>65.0</v>
      </c>
      <c r="AR341" s="23">
        <v>50.0</v>
      </c>
      <c r="AS341" s="23">
        <v>35.0</v>
      </c>
      <c r="AT341" s="23">
        <v>35.0</v>
      </c>
      <c r="AU341" s="24">
        <v>308.0</v>
      </c>
      <c r="AV341" s="21"/>
      <c r="AW341" s="78">
        <v>43.0</v>
      </c>
      <c r="AX341" s="79">
        <v>80.0</v>
      </c>
      <c r="AY341" s="79">
        <v>65.0</v>
      </c>
      <c r="AZ341" s="79">
        <v>50.0</v>
      </c>
      <c r="BA341" s="79">
        <v>35.0</v>
      </c>
      <c r="BB341" s="79">
        <v>35.0</v>
      </c>
      <c r="BC341" s="201">
        <v>308.0</v>
      </c>
      <c r="BE341" s="194" t="s">
        <v>325</v>
      </c>
      <c r="BF341" s="143"/>
      <c r="BG341" s="128"/>
      <c r="BI341" s="31" t="s">
        <v>5</v>
      </c>
      <c r="BJ341" s="32">
        <v>1.0</v>
      </c>
      <c r="BK341" s="32" t="s">
        <v>5</v>
      </c>
      <c r="BL341" s="32" t="s">
        <v>5</v>
      </c>
      <c r="BM341" s="32" t="s">
        <v>5</v>
      </c>
      <c r="BN341" s="33" t="s">
        <v>5</v>
      </c>
      <c r="BP341" s="115" t="s">
        <v>32</v>
      </c>
      <c r="BQ341" s="93"/>
      <c r="BS341" s="115" t="s">
        <v>32</v>
      </c>
      <c r="BT341" s="133"/>
      <c r="BU341" s="37" t="str">
        <f t="shared" si="1"/>
        <v>#NAME?</v>
      </c>
      <c r="BV341" s="89" t="s">
        <v>32</v>
      </c>
      <c r="BW341" s="37" t="str">
        <f t="shared" si="2"/>
        <v>#NAME?</v>
      </c>
      <c r="BX341" s="89"/>
      <c r="BY341" s="39"/>
      <c r="BZ341" s="39"/>
      <c r="CA341" s="40" t="s">
        <v>32</v>
      </c>
      <c r="CB341" s="41"/>
      <c r="CC341" s="90" t="s">
        <v>32</v>
      </c>
      <c r="CD341" s="91"/>
      <c r="CE341" s="21"/>
      <c r="CF341" s="92" t="s">
        <v>1050</v>
      </c>
      <c r="CG341" s="93" t="s">
        <v>981</v>
      </c>
      <c r="CH341" s="21"/>
      <c r="CI341" s="46" t="s">
        <v>3170</v>
      </c>
      <c r="CJ341" s="95" t="s">
        <v>1050</v>
      </c>
      <c r="CK341" s="21"/>
      <c r="CL341" s="22" t="s">
        <v>219</v>
      </c>
      <c r="CM341" s="12"/>
      <c r="CN341" s="48"/>
      <c r="CO341" s="96" t="s">
        <v>1050</v>
      </c>
      <c r="CP341" s="21"/>
      <c r="CQ341" s="2" t="s">
        <v>1431</v>
      </c>
      <c r="CR341" s="97">
        <v>40.0</v>
      </c>
      <c r="CS341" s="2" t="s">
        <v>325</v>
      </c>
      <c r="CT341" s="98">
        <v>111.0</v>
      </c>
      <c r="CU341" s="2"/>
      <c r="CV341" s="256" t="s">
        <v>149</v>
      </c>
      <c r="CW341" s="256" t="s">
        <v>149</v>
      </c>
      <c r="CX341" s="2"/>
      <c r="CY341" s="118" t="s">
        <v>106</v>
      </c>
      <c r="CZ341" s="119" t="s">
        <v>807</v>
      </c>
      <c r="DA341" s="2"/>
      <c r="DB341" s="98">
        <v>205.0</v>
      </c>
      <c r="DC341" s="2"/>
      <c r="DD341" s="101" t="s">
        <v>2656</v>
      </c>
      <c r="DE341" s="2"/>
      <c r="DF341" s="148" t="s">
        <v>3171</v>
      </c>
      <c r="DG341" s="160"/>
      <c r="DH341" s="119"/>
      <c r="DI341" s="21"/>
      <c r="DJ341" s="21"/>
      <c r="DK341" s="59" t="s">
        <v>3172</v>
      </c>
      <c r="DL341" s="37" t="s">
        <v>61</v>
      </c>
      <c r="DM341" s="37" t="str">
        <f t="shared" si="3"/>
        <v>#NAME?</v>
      </c>
      <c r="DN341" s="61"/>
      <c r="DO341" s="37" t="s">
        <v>19</v>
      </c>
      <c r="DP341" s="37" t="s">
        <v>19</v>
      </c>
      <c r="DQ341" s="62" t="s">
        <v>20</v>
      </c>
      <c r="DR341" s="63"/>
      <c r="DS341" s="198"/>
      <c r="DT341" s="108"/>
      <c r="DU341" s="108"/>
      <c r="DV341" s="182"/>
      <c r="DW341" s="182"/>
      <c r="DX341" s="182"/>
      <c r="DY341" s="182"/>
      <c r="DZ341" s="182"/>
      <c r="EA341" s="182"/>
      <c r="EB341" s="2"/>
      <c r="EC341" s="182"/>
      <c r="ED341" s="2"/>
      <c r="EE341" s="396" t="s">
        <v>3173</v>
      </c>
      <c r="EF341" s="68" t="s">
        <v>3174</v>
      </c>
      <c r="EG341" s="69" t="str">
        <f>image("https://www.serebii.net/diamondpearl/berries/34.png", 3)</f>
        <v/>
      </c>
      <c r="EH341" s="69"/>
      <c r="EI341" s="69"/>
    </row>
    <row r="342" ht="15.75" customHeight="1">
      <c r="A342" s="1">
        <v>342.0</v>
      </c>
      <c r="B342" s="2" t="s">
        <v>3175</v>
      </c>
      <c r="C342" s="7"/>
      <c r="D342" s="122" t="s">
        <v>3176</v>
      </c>
      <c r="E342" s="5"/>
      <c r="F342" s="123"/>
      <c r="G342" s="7"/>
      <c r="H342" s="8" t="s">
        <v>3177</v>
      </c>
      <c r="I342" s="9" t="s">
        <v>3178</v>
      </c>
      <c r="J342" s="355" t="str">
        <f>image("https://archives.bulbagarden.net/media/upload/2/20/342MS6.png", 3)</f>
        <v/>
      </c>
      <c r="K342" s="11" t="s">
        <v>3176</v>
      </c>
      <c r="L342" s="12"/>
      <c r="M342" s="12"/>
      <c r="N342" s="12"/>
      <c r="O342" s="12"/>
      <c r="Q342" s="71">
        <v>63.0</v>
      </c>
      <c r="R342" s="72">
        <v>120.0</v>
      </c>
      <c r="S342" s="73">
        <v>85.0</v>
      </c>
      <c r="T342" s="74">
        <v>90.0</v>
      </c>
      <c r="U342" s="75">
        <v>55.0</v>
      </c>
      <c r="V342" s="76">
        <v>55.0</v>
      </c>
      <c r="W342" s="77">
        <v>468.0</v>
      </c>
      <c r="X342" s="21"/>
      <c r="Y342" s="71">
        <v>63.0</v>
      </c>
      <c r="Z342" s="72">
        <v>120.0</v>
      </c>
      <c r="AA342" s="73">
        <v>85.0</v>
      </c>
      <c r="AB342" s="74">
        <v>90.0</v>
      </c>
      <c r="AC342" s="75">
        <v>55.0</v>
      </c>
      <c r="AD342" s="76">
        <v>55.0</v>
      </c>
      <c r="AE342" s="77">
        <v>468.0</v>
      </c>
      <c r="AF342" s="21"/>
      <c r="AG342" s="71">
        <v>63.0</v>
      </c>
      <c r="AH342" s="72">
        <v>120.0</v>
      </c>
      <c r="AI342" s="73">
        <v>85.0</v>
      </c>
      <c r="AJ342" s="74">
        <v>90.0</v>
      </c>
      <c r="AK342" s="75">
        <v>55.0</v>
      </c>
      <c r="AL342" s="76">
        <v>55.0</v>
      </c>
      <c r="AM342" s="77">
        <v>468.0</v>
      </c>
      <c r="AN342" s="21"/>
      <c r="AO342" s="22">
        <v>63.0</v>
      </c>
      <c r="AP342" s="23">
        <v>120.0</v>
      </c>
      <c r="AQ342" s="23">
        <v>85.0</v>
      </c>
      <c r="AR342" s="23">
        <v>90.0</v>
      </c>
      <c r="AS342" s="23">
        <v>55.0</v>
      </c>
      <c r="AT342" s="23">
        <v>55.0</v>
      </c>
      <c r="AU342" s="24">
        <v>468.0</v>
      </c>
      <c r="AV342" s="21"/>
      <c r="AW342" s="78">
        <v>63.0</v>
      </c>
      <c r="AX342" s="79">
        <v>120.0</v>
      </c>
      <c r="AY342" s="79">
        <v>85.0</v>
      </c>
      <c r="AZ342" s="79">
        <v>90.0</v>
      </c>
      <c r="BA342" s="79">
        <v>55.0</v>
      </c>
      <c r="BB342" s="79">
        <v>55.0</v>
      </c>
      <c r="BC342" s="201">
        <v>468.0</v>
      </c>
      <c r="BE342" s="172" t="s">
        <v>216</v>
      </c>
      <c r="BF342" s="113"/>
      <c r="BG342" s="384"/>
      <c r="BI342" s="31" t="s">
        <v>5</v>
      </c>
      <c r="BJ342" s="32">
        <v>2.0</v>
      </c>
      <c r="BK342" s="32" t="s">
        <v>5</v>
      </c>
      <c r="BL342" s="32" t="s">
        <v>5</v>
      </c>
      <c r="BM342" s="32" t="s">
        <v>5</v>
      </c>
      <c r="BN342" s="33" t="s">
        <v>5</v>
      </c>
      <c r="BP342" s="85" t="s">
        <v>32</v>
      </c>
      <c r="BQ342" s="86" t="s">
        <v>76</v>
      </c>
      <c r="BS342" s="87" t="s">
        <v>32</v>
      </c>
      <c r="BT342" s="88" t="s">
        <v>76</v>
      </c>
      <c r="BU342" s="37" t="str">
        <f t="shared" si="1"/>
        <v>#NAME?</v>
      </c>
      <c r="BV342" s="89" t="s">
        <v>32</v>
      </c>
      <c r="BW342" s="37" t="str">
        <f t="shared" si="2"/>
        <v>#NAME?</v>
      </c>
      <c r="BX342" s="89" t="s">
        <v>76</v>
      </c>
      <c r="BY342" s="39"/>
      <c r="BZ342" s="39"/>
      <c r="CA342" s="40" t="s">
        <v>2945</v>
      </c>
      <c r="CB342" s="41"/>
      <c r="CC342" s="90" t="s">
        <v>32</v>
      </c>
      <c r="CD342" s="91" t="s">
        <v>76</v>
      </c>
      <c r="CE342" s="2"/>
      <c r="CF342" s="92" t="s">
        <v>1050</v>
      </c>
      <c r="CG342" s="93" t="s">
        <v>981</v>
      </c>
      <c r="CH342" s="2"/>
      <c r="CI342" s="152" t="s">
        <v>3170</v>
      </c>
      <c r="CJ342" s="95" t="s">
        <v>1050</v>
      </c>
      <c r="CK342" s="2"/>
      <c r="CL342" s="22" t="s">
        <v>219</v>
      </c>
      <c r="CM342" s="12"/>
      <c r="CN342" s="48"/>
      <c r="CO342" s="96" t="s">
        <v>1050</v>
      </c>
      <c r="CP342" s="2"/>
      <c r="CQ342" s="2" t="s">
        <v>3179</v>
      </c>
      <c r="CR342" s="97">
        <v>60.0</v>
      </c>
      <c r="CS342" s="2" t="s">
        <v>216</v>
      </c>
      <c r="CT342" s="98">
        <v>161.0</v>
      </c>
      <c r="CU342" s="2"/>
      <c r="CV342" s="256" t="s">
        <v>149</v>
      </c>
      <c r="CW342" s="256" t="s">
        <v>149</v>
      </c>
      <c r="CX342" s="2"/>
      <c r="CY342" s="381" t="s">
        <v>106</v>
      </c>
      <c r="CZ342" s="382" t="s">
        <v>807</v>
      </c>
      <c r="DA342" s="2"/>
      <c r="DB342" s="98">
        <v>155.0</v>
      </c>
      <c r="DC342" s="2"/>
      <c r="DD342" s="101" t="s">
        <v>2656</v>
      </c>
      <c r="DE342" s="2"/>
      <c r="DF342" s="383" t="s">
        <v>3180</v>
      </c>
      <c r="DG342" s="385"/>
      <c r="DH342" s="382"/>
      <c r="DI342" s="2"/>
      <c r="DJ342" s="2"/>
      <c r="DK342" s="59" t="s">
        <v>3181</v>
      </c>
      <c r="DL342" s="37" t="s">
        <v>76</v>
      </c>
      <c r="DM342" s="37" t="str">
        <f t="shared" si="3"/>
        <v>#NAME?</v>
      </c>
      <c r="DN342" s="61"/>
      <c r="DO342" s="37" t="s">
        <v>19</v>
      </c>
      <c r="DP342" s="105">
        <v>1.0</v>
      </c>
      <c r="DQ342" s="62" t="s">
        <v>93</v>
      </c>
      <c r="DR342" s="63"/>
      <c r="DS342" s="198"/>
      <c r="DT342" s="108"/>
      <c r="DU342" s="108"/>
      <c r="DV342" s="182"/>
      <c r="DW342" s="182"/>
      <c r="DX342" s="182"/>
      <c r="DY342" s="182"/>
      <c r="DZ342" s="182"/>
      <c r="EA342" s="182"/>
      <c r="EB342" s="2"/>
      <c r="EC342" s="182"/>
      <c r="ED342" s="2"/>
      <c r="EE342" s="396" t="s">
        <v>3182</v>
      </c>
      <c r="EF342" s="68" t="s">
        <v>3183</v>
      </c>
      <c r="EG342" s="69" t="str">
        <f>image("https://www.serebii.net/diamondpearl/berries/35.png", 3)</f>
        <v/>
      </c>
      <c r="EH342" s="69"/>
      <c r="EI342" s="69"/>
    </row>
    <row r="343" ht="15.75" customHeight="1">
      <c r="A343" s="1">
        <v>343.0</v>
      </c>
      <c r="B343" s="2" t="s">
        <v>3184</v>
      </c>
      <c r="C343" s="7"/>
      <c r="D343" s="167" t="s">
        <v>3185</v>
      </c>
      <c r="E343" s="5"/>
      <c r="F343" s="168"/>
      <c r="G343" s="7"/>
      <c r="H343" s="8" t="s">
        <v>3186</v>
      </c>
      <c r="I343" s="9" t="s">
        <v>3187</v>
      </c>
      <c r="J343" s="355" t="str">
        <f>image("https://archives.bulbagarden.net/media/upload/0/0e/343MS6.png", 3)</f>
        <v/>
      </c>
      <c r="K343" s="11" t="s">
        <v>3185</v>
      </c>
      <c r="L343" s="12"/>
      <c r="M343" s="12"/>
      <c r="N343" s="12"/>
      <c r="O343" s="12"/>
      <c r="Q343" s="71">
        <v>40.0</v>
      </c>
      <c r="R343" s="72">
        <v>40.0</v>
      </c>
      <c r="S343" s="73">
        <v>55.0</v>
      </c>
      <c r="T343" s="74">
        <v>40.0</v>
      </c>
      <c r="U343" s="75">
        <v>70.0</v>
      </c>
      <c r="V343" s="76">
        <v>55.0</v>
      </c>
      <c r="W343" s="77">
        <v>300.0</v>
      </c>
      <c r="X343" s="21"/>
      <c r="Y343" s="71">
        <v>40.0</v>
      </c>
      <c r="Z343" s="72">
        <v>40.0</v>
      </c>
      <c r="AA343" s="73">
        <v>55.0</v>
      </c>
      <c r="AB343" s="74">
        <v>40.0</v>
      </c>
      <c r="AC343" s="75">
        <v>70.0</v>
      </c>
      <c r="AD343" s="76">
        <v>55.0</v>
      </c>
      <c r="AE343" s="77">
        <v>300.0</v>
      </c>
      <c r="AF343" s="21"/>
      <c r="AG343" s="71">
        <v>40.0</v>
      </c>
      <c r="AH343" s="72">
        <v>40.0</v>
      </c>
      <c r="AI343" s="73">
        <v>55.0</v>
      </c>
      <c r="AJ343" s="74">
        <v>40.0</v>
      </c>
      <c r="AK343" s="75">
        <v>70.0</v>
      </c>
      <c r="AL343" s="76">
        <v>55.0</v>
      </c>
      <c r="AM343" s="77">
        <v>300.0</v>
      </c>
      <c r="AN343" s="21"/>
      <c r="AO343" s="22">
        <v>40.0</v>
      </c>
      <c r="AP343" s="23">
        <v>40.0</v>
      </c>
      <c r="AQ343" s="23">
        <v>55.0</v>
      </c>
      <c r="AR343" s="23">
        <v>40.0</v>
      </c>
      <c r="AS343" s="23">
        <v>70.0</v>
      </c>
      <c r="AT343" s="23">
        <v>55.0</v>
      </c>
      <c r="AU343" s="24">
        <v>300.0</v>
      </c>
      <c r="AV343" s="21"/>
      <c r="AW343" s="78">
        <v>40.0</v>
      </c>
      <c r="AX343" s="79">
        <v>40.0</v>
      </c>
      <c r="AY343" s="79">
        <v>55.0</v>
      </c>
      <c r="AZ343" s="79">
        <v>40.0</v>
      </c>
      <c r="BA343" s="79">
        <v>70.0</v>
      </c>
      <c r="BB343" s="79">
        <v>55.0</v>
      </c>
      <c r="BC343" s="201">
        <v>300.0</v>
      </c>
      <c r="BE343" s="225" t="s">
        <v>27</v>
      </c>
      <c r="BF343" s="143"/>
      <c r="BG343" s="128"/>
      <c r="BI343" s="31" t="s">
        <v>5</v>
      </c>
      <c r="BJ343" s="32" t="s">
        <v>5</v>
      </c>
      <c r="BK343" s="32" t="s">
        <v>5</v>
      </c>
      <c r="BL343" s="32" t="s">
        <v>5</v>
      </c>
      <c r="BM343" s="32">
        <v>1.0</v>
      </c>
      <c r="BN343" s="33" t="s">
        <v>5</v>
      </c>
      <c r="BP343" s="115" t="s">
        <v>79</v>
      </c>
      <c r="BQ343" s="116" t="s">
        <v>122</v>
      </c>
      <c r="BS343" s="115" t="s">
        <v>79</v>
      </c>
      <c r="BT343" s="117" t="s">
        <v>122</v>
      </c>
      <c r="BU343" s="37" t="str">
        <f t="shared" si="1"/>
        <v>#NAME?</v>
      </c>
      <c r="BV343" s="89" t="s">
        <v>79</v>
      </c>
      <c r="BW343" s="37" t="str">
        <f t="shared" si="2"/>
        <v>#NAME?</v>
      </c>
      <c r="BX343" s="89" t="s">
        <v>122</v>
      </c>
      <c r="BY343" s="39"/>
      <c r="BZ343" s="39"/>
      <c r="CA343" s="40" t="s">
        <v>3188</v>
      </c>
      <c r="CB343" s="41"/>
      <c r="CC343" s="90" t="s">
        <v>79</v>
      </c>
      <c r="CD343" s="91" t="s">
        <v>122</v>
      </c>
      <c r="CE343" s="2"/>
      <c r="CF343" s="92" t="s">
        <v>1001</v>
      </c>
      <c r="CG343" s="93"/>
      <c r="CH343" s="2"/>
      <c r="CI343" s="175" t="s">
        <v>1001</v>
      </c>
      <c r="CJ343" s="93"/>
      <c r="CK343" s="2"/>
      <c r="CL343" s="22" t="s">
        <v>1001</v>
      </c>
      <c r="CM343" s="12"/>
      <c r="CN343" s="48"/>
      <c r="CO343" s="95"/>
      <c r="CP343" s="2"/>
      <c r="CQ343" s="2" t="s">
        <v>3189</v>
      </c>
      <c r="CR343" s="97">
        <v>40.0</v>
      </c>
      <c r="CS343" s="2" t="s">
        <v>27</v>
      </c>
      <c r="CT343" s="98">
        <v>58.0</v>
      </c>
      <c r="CU343" s="2"/>
      <c r="CV343" s="52" t="s">
        <v>890</v>
      </c>
      <c r="CW343" s="52" t="s">
        <v>890</v>
      </c>
      <c r="CX343" s="2"/>
      <c r="CY343" s="257" t="s">
        <v>826</v>
      </c>
      <c r="CZ343" s="160"/>
      <c r="DA343" s="2"/>
      <c r="DB343" s="98">
        <v>255.0</v>
      </c>
      <c r="DC343" s="2"/>
      <c r="DD343" s="101" t="s">
        <v>150</v>
      </c>
      <c r="DE343" s="2"/>
      <c r="DF343" s="276" t="s">
        <v>3190</v>
      </c>
      <c r="DG343" s="409" t="s">
        <v>3191</v>
      </c>
      <c r="DH343" s="160"/>
      <c r="DI343" s="21"/>
      <c r="DJ343" s="21"/>
      <c r="DK343" s="59" t="s">
        <v>3192</v>
      </c>
      <c r="DL343" s="37" t="s">
        <v>156</v>
      </c>
      <c r="DM343" s="37" t="str">
        <f t="shared" si="3"/>
        <v>#NAME?</v>
      </c>
      <c r="DN343" s="61"/>
      <c r="DO343" s="37" t="s">
        <v>19</v>
      </c>
      <c r="DP343" s="105">
        <v>1.0</v>
      </c>
      <c r="DQ343" s="62" t="s">
        <v>293</v>
      </c>
      <c r="DR343" s="63"/>
      <c r="DS343" s="198"/>
      <c r="DT343" s="108"/>
      <c r="DU343" s="108"/>
      <c r="DV343" s="182"/>
      <c r="DW343" s="182"/>
      <c r="DX343" s="182"/>
      <c r="DY343" s="182"/>
      <c r="DZ343" s="182"/>
      <c r="EA343" s="182"/>
      <c r="EB343" s="2"/>
      <c r="EC343" s="182"/>
      <c r="ED343" s="2"/>
      <c r="EE343" s="396" t="s">
        <v>3193</v>
      </c>
      <c r="EF343" s="68" t="s">
        <v>3194</v>
      </c>
      <c r="EG343" s="69" t="str">
        <f>image("https://www.serebii.net/diamondpearl/berries/36.png", 3)</f>
        <v/>
      </c>
      <c r="EH343" s="69"/>
      <c r="EI343" s="69"/>
    </row>
    <row r="344" ht="15.75" customHeight="1">
      <c r="A344" s="1">
        <v>344.0</v>
      </c>
      <c r="B344" s="2" t="s">
        <v>3195</v>
      </c>
      <c r="C344" s="7"/>
      <c r="D344" s="295" t="s">
        <v>3196</v>
      </c>
      <c r="E344" s="5"/>
      <c r="F344" s="296"/>
      <c r="G344" s="7"/>
      <c r="H344" s="8" t="s">
        <v>3197</v>
      </c>
      <c r="I344" s="9" t="s">
        <v>3198</v>
      </c>
      <c r="J344" s="355" t="str">
        <f>image("https://archives.bulbagarden.net/media/upload/3/31/344MS6.png", 3)</f>
        <v/>
      </c>
      <c r="K344" s="11" t="s">
        <v>3196</v>
      </c>
      <c r="L344" s="12"/>
      <c r="M344" s="12"/>
      <c r="N344" s="12"/>
      <c r="O344" s="12"/>
      <c r="Q344" s="71">
        <v>60.0</v>
      </c>
      <c r="R344" s="72">
        <v>70.0</v>
      </c>
      <c r="S344" s="73">
        <v>105.0</v>
      </c>
      <c r="T344" s="74">
        <v>70.0</v>
      </c>
      <c r="U344" s="75">
        <v>120.0</v>
      </c>
      <c r="V344" s="76">
        <v>75.0</v>
      </c>
      <c r="W344" s="77">
        <v>500.0</v>
      </c>
      <c r="X344" s="21"/>
      <c r="Y344" s="71">
        <v>60.0</v>
      </c>
      <c r="Z344" s="72">
        <v>70.0</v>
      </c>
      <c r="AA344" s="73">
        <v>105.0</v>
      </c>
      <c r="AB344" s="74">
        <v>70.0</v>
      </c>
      <c r="AC344" s="75">
        <v>120.0</v>
      </c>
      <c r="AD344" s="76">
        <v>75.0</v>
      </c>
      <c r="AE344" s="77">
        <v>500.0</v>
      </c>
      <c r="AF344" s="21"/>
      <c r="AG344" s="71">
        <v>60.0</v>
      </c>
      <c r="AH344" s="72">
        <v>70.0</v>
      </c>
      <c r="AI344" s="73">
        <v>105.0</v>
      </c>
      <c r="AJ344" s="74">
        <v>70.0</v>
      </c>
      <c r="AK344" s="75">
        <v>120.0</v>
      </c>
      <c r="AL344" s="76">
        <v>75.0</v>
      </c>
      <c r="AM344" s="77">
        <v>500.0</v>
      </c>
      <c r="AN344" s="21"/>
      <c r="AO344" s="22">
        <v>60.0</v>
      </c>
      <c r="AP344" s="23">
        <v>70.0</v>
      </c>
      <c r="AQ344" s="23">
        <v>105.0</v>
      </c>
      <c r="AR344" s="23">
        <v>70.0</v>
      </c>
      <c r="AS344" s="23">
        <v>120.0</v>
      </c>
      <c r="AT344" s="23">
        <v>75.0</v>
      </c>
      <c r="AU344" s="24">
        <v>500.0</v>
      </c>
      <c r="AV344" s="21"/>
      <c r="AW344" s="78">
        <v>60.0</v>
      </c>
      <c r="AX344" s="79">
        <v>70.0</v>
      </c>
      <c r="AY344" s="79">
        <v>105.0</v>
      </c>
      <c r="AZ344" s="79">
        <v>70.0</v>
      </c>
      <c r="BA344" s="79">
        <v>120.0</v>
      </c>
      <c r="BB344" s="79">
        <v>75.0</v>
      </c>
      <c r="BC344" s="201">
        <v>500.0</v>
      </c>
      <c r="BE344" s="150" t="s">
        <v>815</v>
      </c>
      <c r="BF344" s="113"/>
      <c r="BG344" s="384"/>
      <c r="BI344" s="31" t="s">
        <v>5</v>
      </c>
      <c r="BJ344" s="32" t="s">
        <v>5</v>
      </c>
      <c r="BK344" s="32" t="s">
        <v>5</v>
      </c>
      <c r="BL344" s="32" t="s">
        <v>5</v>
      </c>
      <c r="BM344" s="32">
        <v>2.0</v>
      </c>
      <c r="BN344" s="33" t="s">
        <v>5</v>
      </c>
      <c r="BP344" s="85" t="s">
        <v>79</v>
      </c>
      <c r="BQ344" s="86" t="s">
        <v>122</v>
      </c>
      <c r="BS344" s="87" t="s">
        <v>79</v>
      </c>
      <c r="BT344" s="88" t="s">
        <v>122</v>
      </c>
      <c r="BU344" s="37" t="str">
        <f t="shared" si="1"/>
        <v>#NAME?</v>
      </c>
      <c r="BV344" s="89" t="s">
        <v>79</v>
      </c>
      <c r="BW344" s="37" t="str">
        <f t="shared" si="2"/>
        <v>#NAME?</v>
      </c>
      <c r="BX344" s="89" t="s">
        <v>122</v>
      </c>
      <c r="BY344" s="39"/>
      <c r="BZ344" s="39"/>
      <c r="CA344" s="40" t="s">
        <v>3188</v>
      </c>
      <c r="CB344" s="41"/>
      <c r="CC344" s="90" t="s">
        <v>79</v>
      </c>
      <c r="CD344" s="91" t="s">
        <v>122</v>
      </c>
      <c r="CE344" s="2"/>
      <c r="CF344" s="92" t="s">
        <v>1001</v>
      </c>
      <c r="CG344" s="93"/>
      <c r="CH344" s="2"/>
      <c r="CI344" s="92" t="s">
        <v>1001</v>
      </c>
      <c r="CJ344" s="188"/>
      <c r="CK344" s="2"/>
      <c r="CL344" s="22" t="s">
        <v>1001</v>
      </c>
      <c r="CM344" s="12"/>
      <c r="CN344" s="48"/>
      <c r="CO344" s="153"/>
      <c r="CP344" s="2"/>
      <c r="CQ344" s="2" t="s">
        <v>3199</v>
      </c>
      <c r="CR344" s="97">
        <v>100.0</v>
      </c>
      <c r="CS344" s="2" t="s">
        <v>815</v>
      </c>
      <c r="CT344" s="98">
        <v>189.0</v>
      </c>
      <c r="CU344" s="2"/>
      <c r="CV344" s="52" t="s">
        <v>890</v>
      </c>
      <c r="CW344" s="52" t="s">
        <v>890</v>
      </c>
      <c r="CX344" s="2"/>
      <c r="CY344" s="390" t="s">
        <v>826</v>
      </c>
      <c r="CZ344" s="385"/>
      <c r="DA344" s="2"/>
      <c r="DB344" s="98">
        <v>90.0</v>
      </c>
      <c r="DC344" s="2"/>
      <c r="DD344" s="101" t="s">
        <v>150</v>
      </c>
      <c r="DE344" s="2"/>
      <c r="DF344" s="159" t="s">
        <v>3200</v>
      </c>
      <c r="DG344" s="410" t="s">
        <v>3191</v>
      </c>
      <c r="DH344" s="385"/>
      <c r="DI344" s="2"/>
      <c r="DJ344" s="2"/>
      <c r="DK344" s="59" t="s">
        <v>3201</v>
      </c>
      <c r="DL344" s="37" t="s">
        <v>156</v>
      </c>
      <c r="DM344" s="37" t="str">
        <f t="shared" si="3"/>
        <v>#NAME?</v>
      </c>
      <c r="DN344" s="61"/>
      <c r="DO344" s="37" t="s">
        <v>19</v>
      </c>
      <c r="DP344" s="37" t="s">
        <v>19</v>
      </c>
      <c r="DQ344" s="62" t="s">
        <v>49</v>
      </c>
      <c r="DR344" s="63"/>
      <c r="DS344" s="198"/>
      <c r="DT344" s="108"/>
      <c r="DU344" s="108"/>
      <c r="DV344" s="182"/>
      <c r="DW344" s="182"/>
      <c r="DX344" s="182"/>
      <c r="DY344" s="182"/>
      <c r="DZ344" s="182"/>
      <c r="EA344" s="182"/>
      <c r="EB344" s="2"/>
      <c r="EC344" s="182"/>
      <c r="ED344" s="2"/>
      <c r="EE344" s="396" t="s">
        <v>3202</v>
      </c>
      <c r="EF344" s="68" t="s">
        <v>3203</v>
      </c>
      <c r="EG344" s="69" t="str">
        <f>image("https://www.serebii.net/diamondpearl/berries/37.png", 3)</f>
        <v/>
      </c>
      <c r="EH344" s="69"/>
      <c r="EI344" s="69"/>
    </row>
    <row r="345" ht="15.75" customHeight="1">
      <c r="A345" s="1">
        <v>345.0</v>
      </c>
      <c r="B345" s="2" t="s">
        <v>3204</v>
      </c>
      <c r="C345" s="7"/>
      <c r="D345" s="180" t="s">
        <v>3205</v>
      </c>
      <c r="E345" s="5"/>
      <c r="F345" s="181"/>
      <c r="G345" s="7"/>
      <c r="H345" s="8" t="s">
        <v>3206</v>
      </c>
      <c r="I345" s="9" t="s">
        <v>3207</v>
      </c>
      <c r="J345" s="355" t="str">
        <f>image("https://archives.bulbagarden.net/media/upload/b/bc/345MS6.png", 3)</f>
        <v/>
      </c>
      <c r="K345" s="11" t="s">
        <v>3205</v>
      </c>
      <c r="L345" s="12"/>
      <c r="M345" s="12"/>
      <c r="N345" s="12"/>
      <c r="O345" s="12"/>
      <c r="Q345" s="71">
        <v>66.0</v>
      </c>
      <c r="R345" s="72">
        <v>41.0</v>
      </c>
      <c r="S345" s="73">
        <v>77.0</v>
      </c>
      <c r="T345" s="74">
        <v>61.0</v>
      </c>
      <c r="U345" s="75">
        <v>87.0</v>
      </c>
      <c r="V345" s="76">
        <v>23.0</v>
      </c>
      <c r="W345" s="77">
        <v>355.0</v>
      </c>
      <c r="X345" s="21"/>
      <c r="Y345" s="71">
        <v>66.0</v>
      </c>
      <c r="Z345" s="72">
        <v>41.0</v>
      </c>
      <c r="AA345" s="73">
        <v>77.0</v>
      </c>
      <c r="AB345" s="74">
        <v>61.0</v>
      </c>
      <c r="AC345" s="75">
        <v>87.0</v>
      </c>
      <c r="AD345" s="76">
        <v>23.0</v>
      </c>
      <c r="AE345" s="77">
        <v>355.0</v>
      </c>
      <c r="AF345" s="21"/>
      <c r="AG345" s="71">
        <v>66.0</v>
      </c>
      <c r="AH345" s="72">
        <v>41.0</v>
      </c>
      <c r="AI345" s="73">
        <v>77.0</v>
      </c>
      <c r="AJ345" s="74">
        <v>61.0</v>
      </c>
      <c r="AK345" s="75">
        <v>87.0</v>
      </c>
      <c r="AL345" s="76">
        <v>23.0</v>
      </c>
      <c r="AM345" s="77">
        <v>355.0</v>
      </c>
      <c r="AN345" s="21"/>
      <c r="AO345" s="22">
        <v>66.0</v>
      </c>
      <c r="AP345" s="23">
        <v>41.0</v>
      </c>
      <c r="AQ345" s="23">
        <v>77.0</v>
      </c>
      <c r="AR345" s="23">
        <v>61.0</v>
      </c>
      <c r="AS345" s="23">
        <v>87.0</v>
      </c>
      <c r="AT345" s="23">
        <v>23.0</v>
      </c>
      <c r="AU345" s="24">
        <v>355.0</v>
      </c>
      <c r="AV345" s="21"/>
      <c r="AW345" s="78">
        <v>66.0</v>
      </c>
      <c r="AX345" s="79">
        <v>41.0</v>
      </c>
      <c r="AY345" s="79">
        <v>77.0</v>
      </c>
      <c r="AZ345" s="79">
        <v>61.0</v>
      </c>
      <c r="BA345" s="79">
        <v>87.0</v>
      </c>
      <c r="BB345" s="79">
        <v>23.0</v>
      </c>
      <c r="BC345" s="201">
        <v>355.0</v>
      </c>
      <c r="BE345" s="225" t="s">
        <v>27</v>
      </c>
      <c r="BF345" s="143"/>
      <c r="BG345" s="128"/>
      <c r="BI345" s="31" t="s">
        <v>5</v>
      </c>
      <c r="BJ345" s="32" t="s">
        <v>5</v>
      </c>
      <c r="BK345" s="32" t="s">
        <v>5</v>
      </c>
      <c r="BL345" s="32" t="s">
        <v>5</v>
      </c>
      <c r="BM345" s="32">
        <v>1.0</v>
      </c>
      <c r="BN345" s="33" t="s">
        <v>5</v>
      </c>
      <c r="BP345" s="115" t="s">
        <v>66</v>
      </c>
      <c r="BQ345" s="116" t="s">
        <v>6</v>
      </c>
      <c r="BS345" s="115" t="s">
        <v>66</v>
      </c>
      <c r="BT345" s="117" t="s">
        <v>6</v>
      </c>
      <c r="BU345" s="37" t="str">
        <f t="shared" si="1"/>
        <v>#NAME?</v>
      </c>
      <c r="BV345" s="89" t="s">
        <v>66</v>
      </c>
      <c r="BW345" s="37" t="str">
        <f t="shared" si="2"/>
        <v>#NAME?</v>
      </c>
      <c r="BX345" s="89" t="s">
        <v>6</v>
      </c>
      <c r="BY345" s="39"/>
      <c r="BZ345" s="39"/>
      <c r="CA345" s="40" t="s">
        <v>3208</v>
      </c>
      <c r="CB345" s="41"/>
      <c r="CC345" s="90" t="s">
        <v>66</v>
      </c>
      <c r="CD345" s="91" t="s">
        <v>6</v>
      </c>
      <c r="CE345" s="2"/>
      <c r="CF345" s="92" t="s">
        <v>2151</v>
      </c>
      <c r="CG345" s="93"/>
      <c r="CH345" s="2"/>
      <c r="CI345" s="191" t="s">
        <v>2151</v>
      </c>
      <c r="CJ345" s="46" t="s">
        <v>3209</v>
      </c>
      <c r="CK345" s="2"/>
      <c r="CL345" s="22" t="s">
        <v>2151</v>
      </c>
      <c r="CM345" s="12"/>
      <c r="CN345" s="48"/>
      <c r="CO345" s="192" t="s">
        <v>3210</v>
      </c>
      <c r="CP345" s="2"/>
      <c r="CQ345" s="2" t="s">
        <v>3211</v>
      </c>
      <c r="CR345" s="97">
        <v>40.0</v>
      </c>
      <c r="CS345" s="2" t="s">
        <v>27</v>
      </c>
      <c r="CT345" s="98">
        <v>99.0</v>
      </c>
      <c r="CU345" s="2"/>
      <c r="CV345" s="52" t="s">
        <v>13</v>
      </c>
      <c r="CW345" s="53">
        <v>0.125</v>
      </c>
      <c r="CX345" s="2"/>
      <c r="CY345" s="119" t="s">
        <v>807</v>
      </c>
      <c r="CZ345" s="160"/>
      <c r="DA345" s="2"/>
      <c r="DB345" s="98">
        <v>45.0</v>
      </c>
      <c r="DC345" s="2"/>
      <c r="DD345" s="101" t="s">
        <v>2698</v>
      </c>
      <c r="DE345" s="2"/>
      <c r="DF345" s="254" t="s">
        <v>3212</v>
      </c>
      <c r="DG345" s="409" t="s">
        <v>3213</v>
      </c>
      <c r="DH345" s="160"/>
      <c r="DI345" s="21"/>
      <c r="DJ345" s="21"/>
      <c r="DK345" s="59" t="s">
        <v>3214</v>
      </c>
      <c r="DL345" s="37" t="s">
        <v>76</v>
      </c>
      <c r="DM345" s="37" t="str">
        <f t="shared" si="3"/>
        <v>#NAME?</v>
      </c>
      <c r="DN345" s="61"/>
      <c r="DO345" s="37" t="s">
        <v>19</v>
      </c>
      <c r="DP345" s="105">
        <v>1.0</v>
      </c>
      <c r="DQ345" s="62" t="s">
        <v>20</v>
      </c>
      <c r="DR345" s="63"/>
      <c r="DS345" s="198"/>
      <c r="DT345" s="108"/>
      <c r="DU345" s="108"/>
      <c r="DV345" s="182"/>
      <c r="DW345" s="182"/>
      <c r="DX345" s="182"/>
      <c r="DY345" s="182"/>
      <c r="DZ345" s="182"/>
      <c r="EA345" s="182"/>
      <c r="EB345" s="2"/>
      <c r="EC345" s="182"/>
      <c r="ED345" s="2"/>
      <c r="EE345" s="396" t="s">
        <v>3215</v>
      </c>
      <c r="EF345" s="68" t="s">
        <v>3216</v>
      </c>
      <c r="EG345" s="69" t="str">
        <f>image("https://www.serebii.net/diamondpearl/berries/38.png", 3)</f>
        <v/>
      </c>
      <c r="EH345" s="69"/>
      <c r="EI345" s="69"/>
    </row>
    <row r="346" ht="15.75" customHeight="1">
      <c r="A346" s="1">
        <v>346.0</v>
      </c>
      <c r="B346" s="2" t="s">
        <v>3217</v>
      </c>
      <c r="C346" s="7"/>
      <c r="D346" s="4" t="s">
        <v>3218</v>
      </c>
      <c r="E346" s="5"/>
      <c r="F346" s="6"/>
      <c r="G346" s="7"/>
      <c r="H346" s="8" t="s">
        <v>3219</v>
      </c>
      <c r="I346" s="9" t="s">
        <v>3220</v>
      </c>
      <c r="J346" s="355" t="str">
        <f>image("https://archives.bulbagarden.net/media/upload/6/68/346MS6.png", 3)</f>
        <v/>
      </c>
      <c r="K346" s="11" t="s">
        <v>3218</v>
      </c>
      <c r="L346" s="12"/>
      <c r="M346" s="12"/>
      <c r="N346" s="12"/>
      <c r="O346" s="12"/>
      <c r="Q346" s="71">
        <v>86.0</v>
      </c>
      <c r="R346" s="72">
        <v>81.0</v>
      </c>
      <c r="S346" s="73">
        <v>97.0</v>
      </c>
      <c r="T346" s="74">
        <v>81.0</v>
      </c>
      <c r="U346" s="75">
        <v>107.0</v>
      </c>
      <c r="V346" s="76">
        <v>43.0</v>
      </c>
      <c r="W346" s="77">
        <v>495.0</v>
      </c>
      <c r="X346" s="21"/>
      <c r="Y346" s="71">
        <v>86.0</v>
      </c>
      <c r="Z346" s="72">
        <v>81.0</v>
      </c>
      <c r="AA346" s="73">
        <v>97.0</v>
      </c>
      <c r="AB346" s="74">
        <v>81.0</v>
      </c>
      <c r="AC346" s="75">
        <v>107.0</v>
      </c>
      <c r="AD346" s="76">
        <v>43.0</v>
      </c>
      <c r="AE346" s="77">
        <v>495.0</v>
      </c>
      <c r="AF346" s="21"/>
      <c r="AG346" s="71">
        <v>86.0</v>
      </c>
      <c r="AH346" s="72">
        <v>81.0</v>
      </c>
      <c r="AI346" s="73">
        <v>97.0</v>
      </c>
      <c r="AJ346" s="74">
        <v>81.0</v>
      </c>
      <c r="AK346" s="75">
        <v>107.0</v>
      </c>
      <c r="AL346" s="76">
        <v>43.0</v>
      </c>
      <c r="AM346" s="77">
        <v>495.0</v>
      </c>
      <c r="AN346" s="21"/>
      <c r="AO346" s="22">
        <v>86.0</v>
      </c>
      <c r="AP346" s="23">
        <v>81.0</v>
      </c>
      <c r="AQ346" s="23">
        <v>97.0</v>
      </c>
      <c r="AR346" s="23">
        <v>81.0</v>
      </c>
      <c r="AS346" s="23">
        <v>107.0</v>
      </c>
      <c r="AT346" s="23">
        <v>43.0</v>
      </c>
      <c r="AU346" s="24">
        <v>495.0</v>
      </c>
      <c r="AV346" s="21"/>
      <c r="AW346" s="78">
        <v>86.0</v>
      </c>
      <c r="AX346" s="79">
        <v>81.0</v>
      </c>
      <c r="AY346" s="79">
        <v>97.0</v>
      </c>
      <c r="AZ346" s="79">
        <v>81.0</v>
      </c>
      <c r="BA346" s="79">
        <v>107.0</v>
      </c>
      <c r="BB346" s="79">
        <v>43.0</v>
      </c>
      <c r="BC346" s="201">
        <v>495.0</v>
      </c>
      <c r="BE346" s="150" t="s">
        <v>815</v>
      </c>
      <c r="BF346" s="113"/>
      <c r="BG346" s="384"/>
      <c r="BI346" s="31" t="s">
        <v>5</v>
      </c>
      <c r="BJ346" s="32" t="s">
        <v>5</v>
      </c>
      <c r="BK346" s="32" t="s">
        <v>5</v>
      </c>
      <c r="BL346" s="32" t="s">
        <v>5</v>
      </c>
      <c r="BM346" s="32">
        <v>2.0</v>
      </c>
      <c r="BN346" s="33" t="s">
        <v>5</v>
      </c>
      <c r="BP346" s="85" t="s">
        <v>66</v>
      </c>
      <c r="BQ346" s="86" t="s">
        <v>6</v>
      </c>
      <c r="BS346" s="87" t="s">
        <v>66</v>
      </c>
      <c r="BT346" s="88" t="s">
        <v>6</v>
      </c>
      <c r="BU346" s="37" t="str">
        <f t="shared" si="1"/>
        <v>#NAME?</v>
      </c>
      <c r="BV346" s="89" t="s">
        <v>66</v>
      </c>
      <c r="BW346" s="37" t="str">
        <f t="shared" si="2"/>
        <v>#NAME?</v>
      </c>
      <c r="BX346" s="89" t="s">
        <v>6</v>
      </c>
      <c r="BY346" s="39"/>
      <c r="BZ346" s="39"/>
      <c r="CA346" s="40" t="s">
        <v>3208</v>
      </c>
      <c r="CB346" s="41"/>
      <c r="CC346" s="90" t="s">
        <v>66</v>
      </c>
      <c r="CD346" s="91" t="s">
        <v>6</v>
      </c>
      <c r="CE346" s="2"/>
      <c r="CF346" s="92" t="s">
        <v>2151</v>
      </c>
      <c r="CG346" s="93"/>
      <c r="CH346" s="2"/>
      <c r="CI346" s="191" t="s">
        <v>2151</v>
      </c>
      <c r="CJ346" s="94" t="s">
        <v>3209</v>
      </c>
      <c r="CK346" s="2"/>
      <c r="CL346" s="22" t="s">
        <v>2151</v>
      </c>
      <c r="CM346" s="12"/>
      <c r="CN346" s="48"/>
      <c r="CO346" s="235" t="s">
        <v>3210</v>
      </c>
      <c r="CP346" s="2"/>
      <c r="CQ346" s="2" t="s">
        <v>3221</v>
      </c>
      <c r="CR346" s="97">
        <v>80.0</v>
      </c>
      <c r="CS346" s="2" t="s">
        <v>815</v>
      </c>
      <c r="CT346" s="98">
        <v>199.0</v>
      </c>
      <c r="CU346" s="2"/>
      <c r="CV346" s="52" t="s">
        <v>13</v>
      </c>
      <c r="CW346" s="53">
        <v>0.125</v>
      </c>
      <c r="CX346" s="2"/>
      <c r="CY346" s="382" t="s">
        <v>807</v>
      </c>
      <c r="CZ346" s="385"/>
      <c r="DA346" s="2"/>
      <c r="DB346" s="98">
        <v>45.0</v>
      </c>
      <c r="DC346" s="2"/>
      <c r="DD346" s="101" t="s">
        <v>2698</v>
      </c>
      <c r="DE346" s="2"/>
      <c r="DF346" s="159" t="s">
        <v>3222</v>
      </c>
      <c r="DG346" s="381" t="s">
        <v>3213</v>
      </c>
      <c r="DH346" s="385"/>
      <c r="DI346" s="2"/>
      <c r="DJ346" s="2"/>
      <c r="DK346" s="59" t="s">
        <v>3223</v>
      </c>
      <c r="DL346" s="37" t="s">
        <v>18</v>
      </c>
      <c r="DM346" s="37" t="str">
        <f t="shared" si="3"/>
        <v>#NAME?</v>
      </c>
      <c r="DN346" s="61"/>
      <c r="DO346" s="37" t="s">
        <v>19</v>
      </c>
      <c r="DP346" s="105">
        <v>1.0</v>
      </c>
      <c r="DQ346" s="62" t="s">
        <v>93</v>
      </c>
      <c r="DR346" s="63"/>
      <c r="DS346" s="198"/>
      <c r="DT346" s="108"/>
      <c r="DU346" s="108"/>
      <c r="DV346" s="182"/>
      <c r="DW346" s="182"/>
      <c r="DX346" s="182"/>
      <c r="DY346" s="182"/>
      <c r="DZ346" s="182"/>
      <c r="EA346" s="182"/>
      <c r="EB346" s="2"/>
      <c r="EC346" s="182"/>
      <c r="ED346" s="2"/>
      <c r="EE346" s="396" t="s">
        <v>3224</v>
      </c>
      <c r="EF346" s="68" t="s">
        <v>3225</v>
      </c>
      <c r="EG346" s="69" t="str">
        <f>image("https://www.serebii.net/diamondpearl/berries/39.png", 3)</f>
        <v/>
      </c>
      <c r="EH346" s="69"/>
      <c r="EI346" s="69"/>
    </row>
    <row r="347" ht="15.75" customHeight="1">
      <c r="A347" s="1">
        <v>347.0</v>
      </c>
      <c r="B347" s="2" t="s">
        <v>3226</v>
      </c>
      <c r="C347" s="7"/>
      <c r="D347" s="247" t="s">
        <v>3227</v>
      </c>
      <c r="E347" s="5"/>
      <c r="F347" s="248"/>
      <c r="G347" s="7"/>
      <c r="H347" s="8" t="s">
        <v>3228</v>
      </c>
      <c r="I347" s="9" t="s">
        <v>3229</v>
      </c>
      <c r="J347" s="355" t="str">
        <f>image("https://archives.bulbagarden.net/media/upload/f/ff/347MS6.png", 3)</f>
        <v/>
      </c>
      <c r="K347" s="11" t="s">
        <v>3227</v>
      </c>
      <c r="L347" s="12"/>
      <c r="M347" s="12"/>
      <c r="N347" s="12"/>
      <c r="O347" s="12"/>
      <c r="Q347" s="71">
        <v>45.0</v>
      </c>
      <c r="R347" s="72">
        <v>95.0</v>
      </c>
      <c r="S347" s="73">
        <v>50.0</v>
      </c>
      <c r="T347" s="74">
        <v>40.0</v>
      </c>
      <c r="U347" s="75">
        <v>50.0</v>
      </c>
      <c r="V347" s="76">
        <v>75.0</v>
      </c>
      <c r="W347" s="77">
        <v>355.0</v>
      </c>
      <c r="X347" s="21"/>
      <c r="Y347" s="71">
        <v>45.0</v>
      </c>
      <c r="Z347" s="72">
        <v>95.0</v>
      </c>
      <c r="AA347" s="73">
        <v>50.0</v>
      </c>
      <c r="AB347" s="74">
        <v>40.0</v>
      </c>
      <c r="AC347" s="75">
        <v>50.0</v>
      </c>
      <c r="AD347" s="76">
        <v>75.0</v>
      </c>
      <c r="AE347" s="77">
        <v>355.0</v>
      </c>
      <c r="AF347" s="21"/>
      <c r="AG347" s="71">
        <v>45.0</v>
      </c>
      <c r="AH347" s="72">
        <v>95.0</v>
      </c>
      <c r="AI347" s="73">
        <v>50.0</v>
      </c>
      <c r="AJ347" s="74">
        <v>40.0</v>
      </c>
      <c r="AK347" s="75">
        <v>50.0</v>
      </c>
      <c r="AL347" s="76">
        <v>75.0</v>
      </c>
      <c r="AM347" s="77">
        <v>355.0</v>
      </c>
      <c r="AN347" s="21"/>
      <c r="AO347" s="22">
        <v>45.0</v>
      </c>
      <c r="AP347" s="23">
        <v>95.0</v>
      </c>
      <c r="AQ347" s="23">
        <v>50.0</v>
      </c>
      <c r="AR347" s="23">
        <v>40.0</v>
      </c>
      <c r="AS347" s="23">
        <v>50.0</v>
      </c>
      <c r="AT347" s="23">
        <v>75.0</v>
      </c>
      <c r="AU347" s="24">
        <v>355.0</v>
      </c>
      <c r="AV347" s="21"/>
      <c r="AW347" s="78">
        <v>45.0</v>
      </c>
      <c r="AX347" s="79">
        <v>95.0</v>
      </c>
      <c r="AY347" s="79">
        <v>50.0</v>
      </c>
      <c r="AZ347" s="79">
        <v>40.0</v>
      </c>
      <c r="BA347" s="79">
        <v>50.0</v>
      </c>
      <c r="BB347" s="79">
        <v>75.0</v>
      </c>
      <c r="BC347" s="201">
        <v>355.0</v>
      </c>
      <c r="BE347" s="194" t="s">
        <v>325</v>
      </c>
      <c r="BF347" s="143"/>
      <c r="BG347" s="128"/>
      <c r="BI347" s="31" t="s">
        <v>5</v>
      </c>
      <c r="BJ347" s="32">
        <v>1.0</v>
      </c>
      <c r="BK347" s="32" t="s">
        <v>5</v>
      </c>
      <c r="BL347" s="32" t="s">
        <v>5</v>
      </c>
      <c r="BM347" s="32" t="s">
        <v>5</v>
      </c>
      <c r="BN347" s="33" t="s">
        <v>5</v>
      </c>
      <c r="BP347" s="115" t="s">
        <v>66</v>
      </c>
      <c r="BQ347" s="116" t="s">
        <v>109</v>
      </c>
      <c r="BS347" s="115" t="s">
        <v>66</v>
      </c>
      <c r="BT347" s="117" t="s">
        <v>109</v>
      </c>
      <c r="BU347" s="37" t="str">
        <f t="shared" si="1"/>
        <v>#NAME?</v>
      </c>
      <c r="BV347" s="89" t="s">
        <v>66</v>
      </c>
      <c r="BW347" s="37" t="str">
        <f t="shared" si="2"/>
        <v>#NAME?</v>
      </c>
      <c r="BX347" s="89" t="s">
        <v>109</v>
      </c>
      <c r="BY347" s="39"/>
      <c r="BZ347" s="39"/>
      <c r="CA347" s="40" t="s">
        <v>3230</v>
      </c>
      <c r="CB347" s="41"/>
      <c r="CC347" s="90" t="s">
        <v>66</v>
      </c>
      <c r="CD347" s="91" t="s">
        <v>109</v>
      </c>
      <c r="CE347" s="2"/>
      <c r="CF347" s="92" t="s">
        <v>1430</v>
      </c>
      <c r="CG347" s="93"/>
      <c r="CH347" s="2"/>
      <c r="CI347" s="191" t="s">
        <v>1430</v>
      </c>
      <c r="CJ347" s="94" t="s">
        <v>1212</v>
      </c>
      <c r="CK347" s="2"/>
      <c r="CL347" s="22" t="s">
        <v>1430</v>
      </c>
      <c r="CM347" s="12"/>
      <c r="CN347" s="48"/>
      <c r="CO347" s="235" t="s">
        <v>3231</v>
      </c>
      <c r="CP347" s="2"/>
      <c r="CQ347" s="2" t="s">
        <v>599</v>
      </c>
      <c r="CR347" s="97">
        <v>40.0</v>
      </c>
      <c r="CS347" s="2" t="s">
        <v>325</v>
      </c>
      <c r="CT347" s="98">
        <v>99.0</v>
      </c>
      <c r="CU347" s="2"/>
      <c r="CV347" s="52" t="s">
        <v>13</v>
      </c>
      <c r="CW347" s="53">
        <v>0.125</v>
      </c>
      <c r="CX347" s="2"/>
      <c r="CY347" s="119" t="s">
        <v>807</v>
      </c>
      <c r="CZ347" s="160"/>
      <c r="DA347" s="2"/>
      <c r="DB347" s="98">
        <v>45.0</v>
      </c>
      <c r="DC347" s="2"/>
      <c r="DD347" s="101" t="s">
        <v>2698</v>
      </c>
      <c r="DE347" s="2"/>
      <c r="DF347" s="254" t="s">
        <v>3232</v>
      </c>
      <c r="DG347" s="119"/>
      <c r="DH347" s="160"/>
      <c r="DI347" s="21"/>
      <c r="DJ347" s="21"/>
      <c r="DK347" s="59" t="s">
        <v>3233</v>
      </c>
      <c r="DL347" s="37" t="s">
        <v>156</v>
      </c>
      <c r="DM347" s="37" t="str">
        <f t="shared" si="3"/>
        <v>#NAME?</v>
      </c>
      <c r="DN347" s="61"/>
      <c r="DO347" s="37" t="s">
        <v>19</v>
      </c>
      <c r="DP347" s="105">
        <v>1.0</v>
      </c>
      <c r="DQ347" s="62" t="s">
        <v>20</v>
      </c>
      <c r="DR347" s="63"/>
      <c r="DS347" s="198"/>
      <c r="DT347" s="108"/>
      <c r="DU347" s="108"/>
      <c r="DV347" s="182"/>
      <c r="DW347" s="182"/>
      <c r="DX347" s="182"/>
      <c r="DY347" s="182"/>
      <c r="DZ347" s="182"/>
      <c r="EA347" s="182"/>
      <c r="EB347" s="2"/>
      <c r="EC347" s="182"/>
      <c r="ED347" s="2"/>
      <c r="EE347" s="396" t="s">
        <v>3234</v>
      </c>
      <c r="EF347" s="68" t="s">
        <v>3235</v>
      </c>
      <c r="EG347" s="69" t="str">
        <f>image("https://www.serebii.net/diamondpearl/berries/40.png", 3)</f>
        <v/>
      </c>
      <c r="EH347" s="69"/>
      <c r="EI347" s="69"/>
    </row>
    <row r="348" ht="15.75" customHeight="1">
      <c r="A348" s="1">
        <v>348.0</v>
      </c>
      <c r="B348" s="2" t="s">
        <v>3236</v>
      </c>
      <c r="C348" s="7"/>
      <c r="D348" s="247" t="s">
        <v>3237</v>
      </c>
      <c r="E348" s="5"/>
      <c r="F348" s="248"/>
      <c r="G348" s="7"/>
      <c r="H348" s="8" t="s">
        <v>3238</v>
      </c>
      <c r="I348" s="9" t="s">
        <v>3239</v>
      </c>
      <c r="J348" s="355" t="str">
        <f>image("https://archives.bulbagarden.net/media/upload/d/dc/348MS6.png", 3)</f>
        <v/>
      </c>
      <c r="K348" s="11" t="s">
        <v>3237</v>
      </c>
      <c r="L348" s="12"/>
      <c r="M348" s="12"/>
      <c r="N348" s="12"/>
      <c r="O348" s="12"/>
      <c r="Q348" s="71">
        <v>75.0</v>
      </c>
      <c r="R348" s="72">
        <v>125.0</v>
      </c>
      <c r="S348" s="73">
        <v>100.0</v>
      </c>
      <c r="T348" s="74">
        <v>70.0</v>
      </c>
      <c r="U348" s="75">
        <v>80.0</v>
      </c>
      <c r="V348" s="76">
        <v>45.0</v>
      </c>
      <c r="W348" s="77">
        <v>495.0</v>
      </c>
      <c r="X348" s="21"/>
      <c r="Y348" s="71">
        <v>75.0</v>
      </c>
      <c r="Z348" s="72">
        <v>125.0</v>
      </c>
      <c r="AA348" s="73">
        <v>100.0</v>
      </c>
      <c r="AB348" s="74">
        <v>70.0</v>
      </c>
      <c r="AC348" s="75">
        <v>80.0</v>
      </c>
      <c r="AD348" s="76">
        <v>45.0</v>
      </c>
      <c r="AE348" s="77">
        <v>495.0</v>
      </c>
      <c r="AF348" s="21"/>
      <c r="AG348" s="71">
        <v>75.0</v>
      </c>
      <c r="AH348" s="72">
        <v>125.0</v>
      </c>
      <c r="AI348" s="73">
        <v>100.0</v>
      </c>
      <c r="AJ348" s="74">
        <v>70.0</v>
      </c>
      <c r="AK348" s="75">
        <v>80.0</v>
      </c>
      <c r="AL348" s="76">
        <v>45.0</v>
      </c>
      <c r="AM348" s="77">
        <v>495.0</v>
      </c>
      <c r="AN348" s="21"/>
      <c r="AO348" s="22">
        <v>75.0</v>
      </c>
      <c r="AP348" s="23">
        <v>125.0</v>
      </c>
      <c r="AQ348" s="23">
        <v>100.0</v>
      </c>
      <c r="AR348" s="23">
        <v>70.0</v>
      </c>
      <c r="AS348" s="23">
        <v>80.0</v>
      </c>
      <c r="AT348" s="23">
        <v>45.0</v>
      </c>
      <c r="AU348" s="24">
        <v>495.0</v>
      </c>
      <c r="AV348" s="21"/>
      <c r="AW348" s="78">
        <v>75.0</v>
      </c>
      <c r="AX348" s="79">
        <v>125.0</v>
      </c>
      <c r="AY348" s="79">
        <v>100.0</v>
      </c>
      <c r="AZ348" s="79">
        <v>70.0</v>
      </c>
      <c r="BA348" s="79">
        <v>80.0</v>
      </c>
      <c r="BB348" s="79">
        <v>45.0</v>
      </c>
      <c r="BC348" s="201">
        <v>495.0</v>
      </c>
      <c r="BE348" s="172" t="s">
        <v>216</v>
      </c>
      <c r="BF348" s="113"/>
      <c r="BG348" s="384"/>
      <c r="BI348" s="31" t="s">
        <v>5</v>
      </c>
      <c r="BJ348" s="32">
        <v>2.0</v>
      </c>
      <c r="BK348" s="32" t="s">
        <v>5</v>
      </c>
      <c r="BL348" s="32" t="s">
        <v>5</v>
      </c>
      <c r="BM348" s="32" t="s">
        <v>5</v>
      </c>
      <c r="BN348" s="33" t="s">
        <v>5</v>
      </c>
      <c r="BP348" s="85" t="s">
        <v>66</v>
      </c>
      <c r="BQ348" s="86" t="s">
        <v>109</v>
      </c>
      <c r="BS348" s="87" t="s">
        <v>66</v>
      </c>
      <c r="BT348" s="88" t="s">
        <v>109</v>
      </c>
      <c r="BU348" s="37" t="str">
        <f t="shared" si="1"/>
        <v>#NAME?</v>
      </c>
      <c r="BV348" s="89" t="s">
        <v>66</v>
      </c>
      <c r="BW348" s="37" t="str">
        <f t="shared" si="2"/>
        <v>#NAME?</v>
      </c>
      <c r="BX348" s="89" t="s">
        <v>109</v>
      </c>
      <c r="BY348" s="39"/>
      <c r="BZ348" s="39"/>
      <c r="CA348" s="40" t="s">
        <v>3230</v>
      </c>
      <c r="CB348" s="41"/>
      <c r="CC348" s="90" t="s">
        <v>66</v>
      </c>
      <c r="CD348" s="91" t="s">
        <v>109</v>
      </c>
      <c r="CE348" s="2"/>
      <c r="CF348" s="92" t="s">
        <v>1430</v>
      </c>
      <c r="CG348" s="93"/>
      <c r="CH348" s="2"/>
      <c r="CI348" s="191" t="s">
        <v>1430</v>
      </c>
      <c r="CJ348" s="94" t="s">
        <v>1212</v>
      </c>
      <c r="CK348" s="2"/>
      <c r="CL348" s="22" t="s">
        <v>1430</v>
      </c>
      <c r="CM348" s="12"/>
      <c r="CN348" s="48"/>
      <c r="CO348" s="235" t="s">
        <v>3231</v>
      </c>
      <c r="CP348" s="2"/>
      <c r="CQ348" s="2" t="s">
        <v>3240</v>
      </c>
      <c r="CR348" s="97">
        <v>80.0</v>
      </c>
      <c r="CS348" s="2" t="s">
        <v>216</v>
      </c>
      <c r="CT348" s="98">
        <v>199.0</v>
      </c>
      <c r="CU348" s="2"/>
      <c r="CV348" s="52" t="s">
        <v>13</v>
      </c>
      <c r="CW348" s="53">
        <v>0.125</v>
      </c>
      <c r="CX348" s="2"/>
      <c r="CY348" s="382" t="s">
        <v>807</v>
      </c>
      <c r="CZ348" s="385"/>
      <c r="DA348" s="2"/>
      <c r="DB348" s="98">
        <v>45.0</v>
      </c>
      <c r="DC348" s="2"/>
      <c r="DD348" s="101" t="s">
        <v>2698</v>
      </c>
      <c r="DE348" s="2"/>
      <c r="DF348" s="159" t="s">
        <v>3241</v>
      </c>
      <c r="DG348" s="382"/>
      <c r="DH348" s="385"/>
      <c r="DI348" s="2"/>
      <c r="DJ348" s="2"/>
      <c r="DK348" s="59" t="s">
        <v>3242</v>
      </c>
      <c r="DL348" s="37" t="s">
        <v>76</v>
      </c>
      <c r="DM348" s="37" t="str">
        <f t="shared" si="3"/>
        <v>#NAME?</v>
      </c>
      <c r="DN348" s="61"/>
      <c r="DO348" s="37" t="s">
        <v>19</v>
      </c>
      <c r="DP348" s="105">
        <v>1.0</v>
      </c>
      <c r="DQ348" s="62" t="s">
        <v>93</v>
      </c>
      <c r="DR348" s="63"/>
      <c r="DS348" s="198"/>
      <c r="DT348" s="108"/>
      <c r="DU348" s="108"/>
      <c r="DV348" s="182"/>
      <c r="DW348" s="182"/>
      <c r="DX348" s="182"/>
      <c r="DY348" s="182"/>
      <c r="DZ348" s="182"/>
      <c r="EA348" s="182"/>
      <c r="EB348" s="2"/>
      <c r="EC348" s="182"/>
      <c r="ED348" s="2"/>
      <c r="EE348" s="396" t="s">
        <v>3243</v>
      </c>
      <c r="EF348" s="68" t="s">
        <v>3244</v>
      </c>
      <c r="EG348" s="69" t="str">
        <f>image("https://www.serebii.net/diamondpearl/berries/41.png", 3)</f>
        <v/>
      </c>
      <c r="EH348" s="69"/>
      <c r="EI348" s="69"/>
    </row>
    <row r="349" ht="15.75" customHeight="1">
      <c r="A349" s="1">
        <v>349.0</v>
      </c>
      <c r="B349" s="2" t="s">
        <v>3245</v>
      </c>
      <c r="C349" s="7"/>
      <c r="D349" s="167" t="s">
        <v>3246</v>
      </c>
      <c r="E349" s="5"/>
      <c r="F349" s="168"/>
      <c r="G349" s="7"/>
      <c r="H349" s="8" t="s">
        <v>3247</v>
      </c>
      <c r="I349" s="9" t="s">
        <v>3248</v>
      </c>
      <c r="J349" s="355" t="str">
        <f>image("https://archives.bulbagarden.net/media/upload/9/97/349MS6.png", 3)</f>
        <v/>
      </c>
      <c r="K349" s="11" t="s">
        <v>3246</v>
      </c>
      <c r="L349" s="12"/>
      <c r="M349" s="12"/>
      <c r="N349" s="12"/>
      <c r="O349" s="12"/>
      <c r="Q349" s="71">
        <v>20.0</v>
      </c>
      <c r="R349" s="72">
        <v>15.0</v>
      </c>
      <c r="S349" s="73">
        <v>20.0</v>
      </c>
      <c r="T349" s="74">
        <v>10.0</v>
      </c>
      <c r="U349" s="75">
        <v>55.0</v>
      </c>
      <c r="V349" s="76">
        <v>80.0</v>
      </c>
      <c r="W349" s="77">
        <v>200.0</v>
      </c>
      <c r="X349" s="21"/>
      <c r="Y349" s="71">
        <v>20.0</v>
      </c>
      <c r="Z349" s="72">
        <v>15.0</v>
      </c>
      <c r="AA349" s="73">
        <v>20.0</v>
      </c>
      <c r="AB349" s="74">
        <v>10.0</v>
      </c>
      <c r="AC349" s="75">
        <v>55.0</v>
      </c>
      <c r="AD349" s="76">
        <v>80.0</v>
      </c>
      <c r="AE349" s="77">
        <v>200.0</v>
      </c>
      <c r="AF349" s="21"/>
      <c r="AG349" s="71">
        <v>20.0</v>
      </c>
      <c r="AH349" s="72">
        <v>15.0</v>
      </c>
      <c r="AI349" s="73">
        <v>20.0</v>
      </c>
      <c r="AJ349" s="74">
        <v>10.0</v>
      </c>
      <c r="AK349" s="75">
        <v>55.0</v>
      </c>
      <c r="AL349" s="76">
        <v>80.0</v>
      </c>
      <c r="AM349" s="77">
        <v>200.0</v>
      </c>
      <c r="AN349" s="21"/>
      <c r="AO349" s="22">
        <v>20.0</v>
      </c>
      <c r="AP349" s="23">
        <v>15.0</v>
      </c>
      <c r="AQ349" s="23">
        <v>20.0</v>
      </c>
      <c r="AR349" s="23">
        <v>10.0</v>
      </c>
      <c r="AS349" s="23">
        <v>55.0</v>
      </c>
      <c r="AT349" s="23">
        <v>80.0</v>
      </c>
      <c r="AU349" s="24">
        <v>200.0</v>
      </c>
      <c r="AV349" s="21"/>
      <c r="AW349" s="78">
        <v>20.0</v>
      </c>
      <c r="AX349" s="79">
        <v>15.0</v>
      </c>
      <c r="AY349" s="79">
        <v>20.0</v>
      </c>
      <c r="AZ349" s="79">
        <v>10.0</v>
      </c>
      <c r="BA349" s="79">
        <v>55.0</v>
      </c>
      <c r="BB349" s="79">
        <v>80.0</v>
      </c>
      <c r="BC349" s="201">
        <v>200.0</v>
      </c>
      <c r="BE349" s="126" t="s">
        <v>56</v>
      </c>
      <c r="BF349" s="143"/>
      <c r="BG349" s="128"/>
      <c r="BI349" s="31" t="s">
        <v>5</v>
      </c>
      <c r="BJ349" s="32" t="s">
        <v>5</v>
      </c>
      <c r="BK349" s="32" t="s">
        <v>5</v>
      </c>
      <c r="BL349" s="32" t="s">
        <v>5</v>
      </c>
      <c r="BM349" s="32" t="s">
        <v>5</v>
      </c>
      <c r="BN349" s="33">
        <v>1.0</v>
      </c>
      <c r="BP349" s="115" t="s">
        <v>32</v>
      </c>
      <c r="BQ349" s="93"/>
      <c r="BS349" s="115" t="s">
        <v>32</v>
      </c>
      <c r="BT349" s="133"/>
      <c r="BU349" s="37" t="str">
        <f t="shared" si="1"/>
        <v>#NAME?</v>
      </c>
      <c r="BV349" s="89" t="s">
        <v>32</v>
      </c>
      <c r="BW349" s="37" t="str">
        <f t="shared" si="2"/>
        <v>#NAME?</v>
      </c>
      <c r="BX349" s="89"/>
      <c r="BY349" s="134"/>
      <c r="BZ349" s="134"/>
      <c r="CA349" s="135" t="s">
        <v>32</v>
      </c>
      <c r="CB349" s="136"/>
      <c r="CC349" s="90" t="s">
        <v>32</v>
      </c>
      <c r="CD349" s="137"/>
      <c r="CE349" s="21"/>
      <c r="CF349" s="92" t="s">
        <v>1212</v>
      </c>
      <c r="CG349" s="93"/>
      <c r="CH349" s="21"/>
      <c r="CI349" s="191" t="s">
        <v>1212</v>
      </c>
      <c r="CJ349" s="94" t="s">
        <v>1371</v>
      </c>
      <c r="CK349" s="21"/>
      <c r="CL349" s="22" t="s">
        <v>1212</v>
      </c>
      <c r="CM349" s="12"/>
      <c r="CN349" s="48"/>
      <c r="CO349" s="235" t="s">
        <v>219</v>
      </c>
      <c r="CP349" s="21"/>
      <c r="CQ349" s="2" t="s">
        <v>3249</v>
      </c>
      <c r="CR349" s="97">
        <v>20.0</v>
      </c>
      <c r="CS349" s="2" t="s">
        <v>56</v>
      </c>
      <c r="CT349" s="98">
        <v>61.0</v>
      </c>
      <c r="CU349" s="2"/>
      <c r="CV349" s="52" t="s">
        <v>149</v>
      </c>
      <c r="CW349" s="52" t="s">
        <v>149</v>
      </c>
      <c r="CX349" s="2"/>
      <c r="CY349" s="118" t="s">
        <v>106</v>
      </c>
      <c r="CZ349" s="119" t="s">
        <v>61</v>
      </c>
      <c r="DA349" s="2"/>
      <c r="DB349" s="98">
        <v>255.0</v>
      </c>
      <c r="DC349" s="2"/>
      <c r="DD349" s="101" t="s">
        <v>2698</v>
      </c>
      <c r="DE349" s="2"/>
      <c r="DF349" s="254" t="s">
        <v>3250</v>
      </c>
      <c r="DG349" s="119"/>
      <c r="DH349" s="119"/>
      <c r="DI349" s="21"/>
      <c r="DJ349" s="21"/>
      <c r="DK349" s="59" t="s">
        <v>3251</v>
      </c>
      <c r="DL349" s="37" t="s">
        <v>156</v>
      </c>
      <c r="DM349" s="37" t="str">
        <f t="shared" si="3"/>
        <v>#NAME?</v>
      </c>
      <c r="DN349" s="61"/>
      <c r="DO349" s="37" t="s">
        <v>19</v>
      </c>
      <c r="DP349" s="37" t="s">
        <v>19</v>
      </c>
      <c r="DQ349" s="62" t="s">
        <v>342</v>
      </c>
      <c r="DR349" s="63"/>
      <c r="DS349" s="198"/>
      <c r="DT349" s="108"/>
      <c r="DU349" s="108"/>
      <c r="DV349" s="182"/>
      <c r="DW349" s="182"/>
      <c r="DX349" s="182"/>
      <c r="DY349" s="182"/>
      <c r="DZ349" s="182"/>
      <c r="EA349" s="182"/>
      <c r="EB349" s="2"/>
      <c r="EC349" s="182"/>
      <c r="ED349" s="2"/>
      <c r="EE349" s="396" t="s">
        <v>3252</v>
      </c>
      <c r="EF349" s="68" t="s">
        <v>3253</v>
      </c>
      <c r="EG349" s="69" t="str">
        <f>image("https://www.serebii.net/diamondpearl/berries/42.png", 3)</f>
        <v/>
      </c>
      <c r="EH349" s="69"/>
      <c r="EI349" s="69"/>
    </row>
    <row r="350" ht="15.75" customHeight="1">
      <c r="A350" s="1">
        <v>350.0</v>
      </c>
      <c r="B350" s="2" t="s">
        <v>3254</v>
      </c>
      <c r="C350" s="7"/>
      <c r="D350" s="213" t="s">
        <v>3255</v>
      </c>
      <c r="E350" s="5"/>
      <c r="F350" s="214"/>
      <c r="G350" s="7"/>
      <c r="H350" s="8" t="s">
        <v>3256</v>
      </c>
      <c r="I350" s="9" t="s">
        <v>3257</v>
      </c>
      <c r="J350" s="355" t="str">
        <f>image("https://archives.bulbagarden.net/media/upload/8/8d/350MS6.png", 3)</f>
        <v/>
      </c>
      <c r="K350" s="11" t="s">
        <v>3255</v>
      </c>
      <c r="L350" s="12"/>
      <c r="M350" s="12"/>
      <c r="N350" s="12"/>
      <c r="O350" s="12"/>
      <c r="Q350" s="71">
        <v>95.0</v>
      </c>
      <c r="R350" s="72">
        <v>60.0</v>
      </c>
      <c r="S350" s="73">
        <v>79.0</v>
      </c>
      <c r="T350" s="74">
        <v>100.0</v>
      </c>
      <c r="U350" s="75">
        <v>125.0</v>
      </c>
      <c r="V350" s="76">
        <v>81.0</v>
      </c>
      <c r="W350" s="77">
        <v>540.0</v>
      </c>
      <c r="X350" s="21"/>
      <c r="Y350" s="71">
        <v>95.0</v>
      </c>
      <c r="Z350" s="72">
        <v>60.0</v>
      </c>
      <c r="AA350" s="73">
        <v>79.0</v>
      </c>
      <c r="AB350" s="74">
        <v>100.0</v>
      </c>
      <c r="AC350" s="75">
        <v>125.0</v>
      </c>
      <c r="AD350" s="76">
        <v>81.0</v>
      </c>
      <c r="AE350" s="77">
        <v>540.0</v>
      </c>
      <c r="AF350" s="21"/>
      <c r="AG350" s="71">
        <v>95.0</v>
      </c>
      <c r="AH350" s="72">
        <v>60.0</v>
      </c>
      <c r="AI350" s="73">
        <v>79.0</v>
      </c>
      <c r="AJ350" s="74">
        <v>100.0</v>
      </c>
      <c r="AK350" s="75">
        <v>125.0</v>
      </c>
      <c r="AL350" s="76">
        <v>81.0</v>
      </c>
      <c r="AM350" s="77">
        <v>540.0</v>
      </c>
      <c r="AN350" s="21"/>
      <c r="AO350" s="22">
        <v>95.0</v>
      </c>
      <c r="AP350" s="23">
        <v>60.0</v>
      </c>
      <c r="AQ350" s="23">
        <v>79.0</v>
      </c>
      <c r="AR350" s="23">
        <v>100.0</v>
      </c>
      <c r="AS350" s="23">
        <v>125.0</v>
      </c>
      <c r="AT350" s="23">
        <v>81.0</v>
      </c>
      <c r="AU350" s="24">
        <v>540.0</v>
      </c>
      <c r="AV350" s="21"/>
      <c r="AW350" s="258">
        <v>95.0</v>
      </c>
      <c r="AX350" s="80">
        <v>60.0</v>
      </c>
      <c r="AY350" s="80">
        <v>79.0</v>
      </c>
      <c r="AZ350" s="80">
        <v>100.0</v>
      </c>
      <c r="BA350" s="79">
        <v>125.0</v>
      </c>
      <c r="BB350" s="80">
        <v>81.0</v>
      </c>
      <c r="BC350" s="81">
        <v>540.0</v>
      </c>
      <c r="BE350" s="150" t="s">
        <v>815</v>
      </c>
      <c r="BF350" s="113"/>
      <c r="BG350" s="384"/>
      <c r="BI350" s="31" t="s">
        <v>5</v>
      </c>
      <c r="BJ350" s="32" t="s">
        <v>5</v>
      </c>
      <c r="BK350" s="32" t="s">
        <v>5</v>
      </c>
      <c r="BL350" s="32" t="s">
        <v>5</v>
      </c>
      <c r="BM350" s="32">
        <v>2.0</v>
      </c>
      <c r="BN350" s="33" t="s">
        <v>5</v>
      </c>
      <c r="BP350" s="85" t="s">
        <v>32</v>
      </c>
      <c r="BQ350" s="129"/>
      <c r="BS350" s="87" t="s">
        <v>32</v>
      </c>
      <c r="BT350" s="130"/>
      <c r="BU350" s="37" t="str">
        <f t="shared" si="1"/>
        <v>#NAME?</v>
      </c>
      <c r="BV350" s="89" t="s">
        <v>32</v>
      </c>
      <c r="BW350" s="37" t="str">
        <f t="shared" si="2"/>
        <v>#NAME?</v>
      </c>
      <c r="BX350" s="89" t="s">
        <v>461</v>
      </c>
      <c r="BY350" s="39"/>
      <c r="BZ350" s="39"/>
      <c r="CA350" s="40" t="s">
        <v>1801</v>
      </c>
      <c r="CB350" s="41"/>
      <c r="CC350" s="37" t="s">
        <v>32</v>
      </c>
      <c r="CD350" s="139" t="s">
        <v>153</v>
      </c>
      <c r="CE350" s="21"/>
      <c r="CF350" s="92" t="s">
        <v>1492</v>
      </c>
      <c r="CG350" s="93"/>
      <c r="CH350" s="21"/>
      <c r="CI350" s="191" t="s">
        <v>1492</v>
      </c>
      <c r="CJ350" s="152" t="s">
        <v>463</v>
      </c>
      <c r="CK350" s="21"/>
      <c r="CL350" s="22" t="s">
        <v>1492</v>
      </c>
      <c r="CM350" s="12"/>
      <c r="CN350" s="48"/>
      <c r="CO350" s="193" t="s">
        <v>3258</v>
      </c>
      <c r="CP350" s="21"/>
      <c r="CQ350" s="2" t="s">
        <v>3259</v>
      </c>
      <c r="CR350" s="97">
        <v>100.0</v>
      </c>
      <c r="CS350" s="2" t="s">
        <v>815</v>
      </c>
      <c r="CT350" s="98">
        <v>213.0</v>
      </c>
      <c r="CU350" s="2"/>
      <c r="CV350" s="52" t="s">
        <v>149</v>
      </c>
      <c r="CW350" s="52" t="s">
        <v>149</v>
      </c>
      <c r="CX350" s="2"/>
      <c r="CY350" s="381" t="s">
        <v>106</v>
      </c>
      <c r="CZ350" s="382" t="s">
        <v>61</v>
      </c>
      <c r="DA350" s="2"/>
      <c r="DB350" s="98">
        <v>60.0</v>
      </c>
      <c r="DC350" s="2"/>
      <c r="DD350" s="101" t="s">
        <v>2698</v>
      </c>
      <c r="DE350" s="2"/>
      <c r="DF350" s="159" t="s">
        <v>3260</v>
      </c>
      <c r="DG350" s="382"/>
      <c r="DH350" s="382"/>
      <c r="DI350" s="2"/>
      <c r="DJ350" s="2"/>
      <c r="DK350" s="59" t="s">
        <v>3261</v>
      </c>
      <c r="DL350" s="37" t="s">
        <v>156</v>
      </c>
      <c r="DM350" s="37" t="str">
        <f t="shared" si="3"/>
        <v>#NAME?</v>
      </c>
      <c r="DN350" s="61"/>
      <c r="DO350" s="37" t="s">
        <v>19</v>
      </c>
      <c r="DP350" s="37" t="s">
        <v>19</v>
      </c>
      <c r="DQ350" s="62" t="s">
        <v>20</v>
      </c>
      <c r="DR350" s="63"/>
      <c r="DS350" s="198"/>
      <c r="DT350" s="108"/>
      <c r="DU350" s="108"/>
      <c r="DV350" s="182"/>
      <c r="DW350" s="182"/>
      <c r="DX350" s="182"/>
      <c r="DY350" s="182"/>
      <c r="DZ350" s="182"/>
      <c r="EA350" s="182"/>
      <c r="EB350" s="2"/>
      <c r="EC350" s="182"/>
      <c r="ED350" s="2"/>
      <c r="EE350" s="396" t="s">
        <v>3262</v>
      </c>
      <c r="EF350" s="68" t="s">
        <v>3263</v>
      </c>
      <c r="EG350" s="69" t="str">
        <f>image("https://www.serebii.net/diamondpearl/berries/43.png", 3)</f>
        <v/>
      </c>
      <c r="EH350" s="69"/>
      <c r="EI350" s="69"/>
    </row>
    <row r="351" ht="15.75" customHeight="1">
      <c r="A351" s="1">
        <v>351.0</v>
      </c>
      <c r="B351" s="2" t="s">
        <v>3264</v>
      </c>
      <c r="C351" s="7"/>
      <c r="D351" s="352" t="s">
        <v>3265</v>
      </c>
      <c r="E351" s="5"/>
      <c r="F351" s="7"/>
      <c r="G351" s="7"/>
      <c r="H351" s="8" t="s">
        <v>3266</v>
      </c>
      <c r="I351" s="9" t="s">
        <v>3267</v>
      </c>
      <c r="J351" s="355" t="str">
        <f>image("https://archives.bulbagarden.net/media/upload/e/ef/351MS6.png", 3)</f>
        <v/>
      </c>
      <c r="K351" s="11" t="s">
        <v>3265</v>
      </c>
      <c r="L351" s="12"/>
      <c r="M351" s="12"/>
      <c r="N351" s="12"/>
      <c r="O351" s="12"/>
      <c r="Q351" s="71">
        <v>70.0</v>
      </c>
      <c r="R351" s="72">
        <v>70.0</v>
      </c>
      <c r="S351" s="73">
        <v>70.0</v>
      </c>
      <c r="T351" s="74">
        <v>70.0</v>
      </c>
      <c r="U351" s="75">
        <v>70.0</v>
      </c>
      <c r="V351" s="76">
        <v>70.0</v>
      </c>
      <c r="W351" s="77">
        <v>420.0</v>
      </c>
      <c r="X351" s="21"/>
      <c r="Y351" s="71">
        <v>70.0</v>
      </c>
      <c r="Z351" s="72">
        <v>70.0</v>
      </c>
      <c r="AA351" s="73">
        <v>70.0</v>
      </c>
      <c r="AB351" s="74">
        <v>70.0</v>
      </c>
      <c r="AC351" s="75">
        <v>70.0</v>
      </c>
      <c r="AD351" s="76">
        <v>70.0</v>
      </c>
      <c r="AE351" s="77">
        <v>420.0</v>
      </c>
      <c r="AF351" s="21"/>
      <c r="AG351" s="411">
        <v>60.0</v>
      </c>
      <c r="AH351" s="162">
        <v>60.0</v>
      </c>
      <c r="AI351" s="162">
        <v>60.0</v>
      </c>
      <c r="AJ351" s="109">
        <v>105.0</v>
      </c>
      <c r="AK351" s="75">
        <v>70.0</v>
      </c>
      <c r="AL351" s="109">
        <v>95.0</v>
      </c>
      <c r="AM351" s="110">
        <v>450.0</v>
      </c>
      <c r="AN351" s="21"/>
      <c r="AO351" s="22" t="s">
        <v>257</v>
      </c>
      <c r="AP351" s="23" t="s">
        <v>257</v>
      </c>
      <c r="AQ351" s="23" t="s">
        <v>257</v>
      </c>
      <c r="AR351" s="23" t="s">
        <v>1622</v>
      </c>
      <c r="AS351" s="23">
        <v>70.0</v>
      </c>
      <c r="AT351" s="23" t="s">
        <v>215</v>
      </c>
      <c r="AU351" s="24" t="s">
        <v>176</v>
      </c>
      <c r="AV351" s="21"/>
      <c r="AW351" s="163">
        <v>60.0</v>
      </c>
      <c r="AX351" s="163">
        <v>60.0</v>
      </c>
      <c r="AY351" s="163">
        <v>60.0</v>
      </c>
      <c r="AZ351" s="164">
        <v>105.0</v>
      </c>
      <c r="BA351" s="79">
        <v>70.0</v>
      </c>
      <c r="BB351" s="111">
        <v>95.0</v>
      </c>
      <c r="BC351" s="171">
        <v>450.0</v>
      </c>
      <c r="BE351" s="151" t="s">
        <v>144</v>
      </c>
      <c r="BF351" s="143"/>
      <c r="BG351" s="128"/>
      <c r="BI351" s="31">
        <v>1.0</v>
      </c>
      <c r="BJ351" s="32" t="s">
        <v>5</v>
      </c>
      <c r="BK351" s="32" t="s">
        <v>5</v>
      </c>
      <c r="BL351" s="32" t="s">
        <v>5</v>
      </c>
      <c r="BM351" s="32" t="s">
        <v>5</v>
      </c>
      <c r="BN351" s="33" t="s">
        <v>5</v>
      </c>
      <c r="BP351" s="115" t="s">
        <v>156</v>
      </c>
      <c r="BQ351" s="93"/>
      <c r="BS351" s="115" t="s">
        <v>156</v>
      </c>
      <c r="BT351" s="133"/>
      <c r="BU351" s="37" t="str">
        <f t="shared" si="1"/>
        <v>#NAME?</v>
      </c>
      <c r="BV351" s="89" t="s">
        <v>156</v>
      </c>
      <c r="BW351" s="37" t="str">
        <f t="shared" si="2"/>
        <v>#NAME?</v>
      </c>
      <c r="BX351" s="89"/>
      <c r="BY351" s="144"/>
      <c r="BZ351" s="144"/>
      <c r="CA351" s="145" t="s">
        <v>156</v>
      </c>
      <c r="CB351" s="146"/>
      <c r="CC351" s="90" t="s">
        <v>156</v>
      </c>
      <c r="CD351" s="147"/>
      <c r="CE351" s="21"/>
      <c r="CF351" s="92" t="s">
        <v>3268</v>
      </c>
      <c r="CG351" s="93"/>
      <c r="CH351" s="21"/>
      <c r="CI351" s="92" t="s">
        <v>3268</v>
      </c>
      <c r="CJ351" s="195"/>
      <c r="CK351" s="21"/>
      <c r="CL351" s="22" t="s">
        <v>3268</v>
      </c>
      <c r="CM351" s="12"/>
      <c r="CN351" s="48"/>
      <c r="CO351" s="165"/>
      <c r="CP351" s="21"/>
      <c r="CQ351" s="2" t="s">
        <v>609</v>
      </c>
      <c r="CR351" s="97">
        <v>20.0</v>
      </c>
      <c r="CS351" s="2" t="s">
        <v>144</v>
      </c>
      <c r="CT351" s="98">
        <v>145.0</v>
      </c>
      <c r="CU351" s="2"/>
      <c r="CV351" s="52" t="s">
        <v>149</v>
      </c>
      <c r="CW351" s="52" t="s">
        <v>149</v>
      </c>
      <c r="CX351" s="2"/>
      <c r="CY351" s="118" t="s">
        <v>153</v>
      </c>
      <c r="CZ351" s="119" t="s">
        <v>964</v>
      </c>
      <c r="DA351" s="2"/>
      <c r="DB351" s="98">
        <v>45.0</v>
      </c>
      <c r="DC351" s="2"/>
      <c r="DD351" s="101" t="s">
        <v>150</v>
      </c>
      <c r="DE351" s="2"/>
      <c r="DF351" s="279" t="s">
        <v>914</v>
      </c>
      <c r="DG351" s="118" t="s">
        <v>1356</v>
      </c>
      <c r="DH351" s="119"/>
      <c r="DI351" s="2"/>
      <c r="DJ351" s="2"/>
      <c r="DK351" s="59" t="s">
        <v>3269</v>
      </c>
      <c r="DL351" s="37" t="s">
        <v>156</v>
      </c>
      <c r="DM351" s="37" t="str">
        <f t="shared" si="3"/>
        <v>#NAME?</v>
      </c>
      <c r="DN351" s="61"/>
      <c r="DO351" s="37" t="s">
        <v>19</v>
      </c>
      <c r="DP351" s="37" t="s">
        <v>19</v>
      </c>
      <c r="DQ351" s="62" t="s">
        <v>702</v>
      </c>
      <c r="DR351" s="63"/>
      <c r="DS351" s="198"/>
      <c r="DT351" s="108"/>
      <c r="DU351" s="108"/>
      <c r="DV351" s="182"/>
      <c r="DW351" s="182"/>
      <c r="DX351" s="182"/>
      <c r="DY351" s="182"/>
      <c r="DZ351" s="182"/>
      <c r="EA351" s="182"/>
      <c r="EB351" s="2"/>
      <c r="EC351" s="182"/>
      <c r="ED351" s="2"/>
      <c r="EE351" s="396" t="s">
        <v>3270</v>
      </c>
      <c r="EF351" s="68" t="s">
        <v>3271</v>
      </c>
      <c r="EG351" s="69" t="str">
        <f>image("https://www.serebii.net/diamondpearl/berries/44.png", 3)</f>
        <v/>
      </c>
      <c r="EH351" s="69"/>
      <c r="EI351" s="69"/>
    </row>
    <row r="352" ht="15.75" customHeight="1">
      <c r="A352" s="1">
        <v>352.0</v>
      </c>
      <c r="B352" s="2" t="s">
        <v>3272</v>
      </c>
      <c r="C352" s="7"/>
      <c r="D352" s="4" t="s">
        <v>3273</v>
      </c>
      <c r="E352" s="5"/>
      <c r="F352" s="6"/>
      <c r="G352" s="7"/>
      <c r="H352" s="8" t="s">
        <v>3274</v>
      </c>
      <c r="I352" s="9" t="s">
        <v>3275</v>
      </c>
      <c r="J352" s="355" t="str">
        <f>image("https://archives.bulbagarden.net/media/upload/d/de/352MS6.png", 3)</f>
        <v/>
      </c>
      <c r="K352" s="11" t="s">
        <v>3273</v>
      </c>
      <c r="L352" s="12"/>
      <c r="M352" s="12"/>
      <c r="N352" s="12"/>
      <c r="O352" s="12"/>
      <c r="Q352" s="71">
        <v>60.0</v>
      </c>
      <c r="R352" s="72">
        <v>90.0</v>
      </c>
      <c r="S352" s="73">
        <v>70.0</v>
      </c>
      <c r="T352" s="74">
        <v>60.0</v>
      </c>
      <c r="U352" s="75">
        <v>120.0</v>
      </c>
      <c r="V352" s="76">
        <v>40.0</v>
      </c>
      <c r="W352" s="77">
        <v>440.0</v>
      </c>
      <c r="X352" s="21"/>
      <c r="Y352" s="71">
        <v>60.0</v>
      </c>
      <c r="Z352" s="72">
        <v>90.0</v>
      </c>
      <c r="AA352" s="73">
        <v>70.0</v>
      </c>
      <c r="AB352" s="74">
        <v>60.0</v>
      </c>
      <c r="AC352" s="75">
        <v>120.0</v>
      </c>
      <c r="AD352" s="76">
        <v>40.0</v>
      </c>
      <c r="AE352" s="77">
        <v>440.0</v>
      </c>
      <c r="AF352" s="21"/>
      <c r="AG352" s="71">
        <v>60.0</v>
      </c>
      <c r="AH352" s="109">
        <v>100.0</v>
      </c>
      <c r="AI352" s="73">
        <v>70.0</v>
      </c>
      <c r="AJ352" s="74">
        <v>60.0</v>
      </c>
      <c r="AK352" s="75">
        <v>120.0</v>
      </c>
      <c r="AL352" s="76">
        <v>40.0</v>
      </c>
      <c r="AM352" s="110">
        <v>450.0</v>
      </c>
      <c r="AN352" s="21"/>
      <c r="AO352" s="22">
        <v>60.0</v>
      </c>
      <c r="AP352" s="23" t="s">
        <v>175</v>
      </c>
      <c r="AQ352" s="23">
        <v>70.0</v>
      </c>
      <c r="AR352" s="23">
        <v>60.0</v>
      </c>
      <c r="AS352" s="23">
        <v>120.0</v>
      </c>
      <c r="AT352" s="23">
        <v>40.0</v>
      </c>
      <c r="AU352" s="24" t="s">
        <v>176</v>
      </c>
      <c r="AV352" s="21"/>
      <c r="AW352" s="265">
        <v>60.0</v>
      </c>
      <c r="AX352" s="227">
        <v>100.0</v>
      </c>
      <c r="AY352" s="124">
        <v>70.0</v>
      </c>
      <c r="AZ352" s="124">
        <v>60.0</v>
      </c>
      <c r="BA352" s="79">
        <v>120.0</v>
      </c>
      <c r="BB352" s="124">
        <v>40.0</v>
      </c>
      <c r="BC352" s="111">
        <v>450.0</v>
      </c>
      <c r="BE352" s="225" t="s">
        <v>27</v>
      </c>
      <c r="BF352" s="386"/>
      <c r="BG352" s="128"/>
      <c r="BI352" s="31" t="s">
        <v>5</v>
      </c>
      <c r="BJ352" s="32" t="s">
        <v>5</v>
      </c>
      <c r="BK352" s="32" t="s">
        <v>5</v>
      </c>
      <c r="BL352" s="32" t="s">
        <v>5</v>
      </c>
      <c r="BM352" s="32">
        <v>1.0</v>
      </c>
      <c r="BN352" s="33" t="s">
        <v>5</v>
      </c>
      <c r="BP352" s="85" t="s">
        <v>156</v>
      </c>
      <c r="BQ352" s="129"/>
      <c r="BS352" s="87" t="s">
        <v>156</v>
      </c>
      <c r="BT352" s="130"/>
      <c r="BU352" s="37" t="str">
        <f t="shared" si="1"/>
        <v>#NAME?</v>
      </c>
      <c r="BV352" s="89" t="s">
        <v>156</v>
      </c>
      <c r="BW352" s="37" t="str">
        <f t="shared" si="2"/>
        <v>#NAME?</v>
      </c>
      <c r="BX352" s="89"/>
      <c r="BY352" s="39"/>
      <c r="BZ352" s="39"/>
      <c r="CA352" s="40" t="s">
        <v>156</v>
      </c>
      <c r="CB352" s="41"/>
      <c r="CC352" s="90" t="s">
        <v>156</v>
      </c>
      <c r="CD352" s="91"/>
      <c r="CE352" s="21"/>
      <c r="CF352" s="92" t="s">
        <v>3276</v>
      </c>
      <c r="CG352" s="93"/>
      <c r="CH352" s="21"/>
      <c r="CI352" s="92" t="s">
        <v>3276</v>
      </c>
      <c r="CJ352" s="93"/>
      <c r="CK352" s="21"/>
      <c r="CL352" s="22" t="s">
        <v>3276</v>
      </c>
      <c r="CM352" s="12"/>
      <c r="CN352" s="48"/>
      <c r="CO352" s="95"/>
      <c r="CP352" s="21"/>
      <c r="CQ352" s="2" t="s">
        <v>3277</v>
      </c>
      <c r="CR352" s="97">
        <v>40.0</v>
      </c>
      <c r="CS352" s="2" t="s">
        <v>27</v>
      </c>
      <c r="CT352" s="98">
        <v>132.0</v>
      </c>
      <c r="CU352" s="2"/>
      <c r="CV352" s="52" t="s">
        <v>149</v>
      </c>
      <c r="CW352" s="52" t="s">
        <v>149</v>
      </c>
      <c r="CX352" s="2"/>
      <c r="CY352" s="382" t="s">
        <v>277</v>
      </c>
      <c r="CZ352" s="385"/>
      <c r="DA352" s="2"/>
      <c r="DB352" s="98">
        <v>200.0</v>
      </c>
      <c r="DC352" s="2"/>
      <c r="DD352" s="101" t="s">
        <v>15</v>
      </c>
      <c r="DE352" s="2"/>
      <c r="DF352" s="383" t="s">
        <v>914</v>
      </c>
      <c r="DG352" s="382"/>
      <c r="DH352" s="385"/>
      <c r="DI352" s="2"/>
      <c r="DJ352" s="2"/>
      <c r="DK352" s="59" t="s">
        <v>3278</v>
      </c>
      <c r="DL352" s="37" t="s">
        <v>7</v>
      </c>
      <c r="DM352" s="37" t="str">
        <f t="shared" si="3"/>
        <v>#NAME?</v>
      </c>
      <c r="DN352" s="61"/>
      <c r="DO352" s="37" t="s">
        <v>19</v>
      </c>
      <c r="DP352" s="105">
        <v>1.0</v>
      </c>
      <c r="DQ352" s="62" t="s">
        <v>49</v>
      </c>
      <c r="DR352" s="63"/>
      <c r="DS352" s="198"/>
      <c r="DT352" s="108"/>
      <c r="DU352" s="108"/>
      <c r="DV352" s="182"/>
      <c r="DW352" s="182"/>
      <c r="DX352" s="182"/>
      <c r="DY352" s="182"/>
      <c r="DZ352" s="182"/>
      <c r="EA352" s="182"/>
      <c r="EB352" s="2"/>
      <c r="EC352" s="182"/>
      <c r="ED352" s="2"/>
      <c r="EE352" s="396" t="s">
        <v>3279</v>
      </c>
      <c r="EF352" s="68" t="s">
        <v>3280</v>
      </c>
      <c r="EG352" s="69" t="str">
        <f>image("https://www.serebii.net/diamondpearl/berries/45.png", 3)</f>
        <v/>
      </c>
      <c r="EH352" s="69"/>
      <c r="EI352" s="69"/>
    </row>
    <row r="353" ht="15.75" customHeight="1">
      <c r="A353" s="1">
        <v>353.0</v>
      </c>
      <c r="B353" s="2" t="s">
        <v>3281</v>
      </c>
      <c r="C353" s="7"/>
      <c r="D353" s="295" t="s">
        <v>3282</v>
      </c>
      <c r="E353" s="5"/>
      <c r="F353" s="296"/>
      <c r="G353" s="7"/>
      <c r="H353" s="8" t="s">
        <v>3283</v>
      </c>
      <c r="I353" s="9" t="s">
        <v>3284</v>
      </c>
      <c r="J353" s="355" t="str">
        <f>image("https://archives.bulbagarden.net/media/upload/4/4a/353MS6.png", 3)</f>
        <v/>
      </c>
      <c r="K353" s="11" t="s">
        <v>3282</v>
      </c>
      <c r="L353" s="12"/>
      <c r="M353" s="12"/>
      <c r="N353" s="12"/>
      <c r="O353" s="12"/>
      <c r="Q353" s="71">
        <v>44.0</v>
      </c>
      <c r="R353" s="72">
        <v>75.0</v>
      </c>
      <c r="S353" s="73">
        <v>35.0</v>
      </c>
      <c r="T353" s="74">
        <v>63.0</v>
      </c>
      <c r="U353" s="75">
        <v>33.0</v>
      </c>
      <c r="V353" s="76">
        <v>45.0</v>
      </c>
      <c r="W353" s="77">
        <v>295.0</v>
      </c>
      <c r="X353" s="21"/>
      <c r="Y353" s="71">
        <v>44.0</v>
      </c>
      <c r="Z353" s="72">
        <v>75.0</v>
      </c>
      <c r="AA353" s="73">
        <v>35.0</v>
      </c>
      <c r="AB353" s="74">
        <v>63.0</v>
      </c>
      <c r="AC353" s="75">
        <v>33.0</v>
      </c>
      <c r="AD353" s="76">
        <v>45.0</v>
      </c>
      <c r="AE353" s="77">
        <v>295.0</v>
      </c>
      <c r="AF353" s="21"/>
      <c r="AG353" s="71">
        <v>44.0</v>
      </c>
      <c r="AH353" s="72">
        <v>75.0</v>
      </c>
      <c r="AI353" s="73">
        <v>35.0</v>
      </c>
      <c r="AJ353" s="74">
        <v>63.0</v>
      </c>
      <c r="AK353" s="75">
        <v>33.0</v>
      </c>
      <c r="AL353" s="76">
        <v>45.0</v>
      </c>
      <c r="AM353" s="77">
        <v>295.0</v>
      </c>
      <c r="AN353" s="21"/>
      <c r="AO353" s="22">
        <v>44.0</v>
      </c>
      <c r="AP353" s="23">
        <v>75.0</v>
      </c>
      <c r="AQ353" s="23">
        <v>35.0</v>
      </c>
      <c r="AR353" s="23">
        <v>63.0</v>
      </c>
      <c r="AS353" s="23">
        <v>33.0</v>
      </c>
      <c r="AT353" s="23">
        <v>45.0</v>
      </c>
      <c r="AU353" s="24">
        <v>295.0</v>
      </c>
      <c r="AV353" s="21"/>
      <c r="AW353" s="78">
        <v>44.0</v>
      </c>
      <c r="AX353" s="182">
        <v>75.0</v>
      </c>
      <c r="AY353" s="79">
        <v>35.0</v>
      </c>
      <c r="AZ353" s="80">
        <v>63.0</v>
      </c>
      <c r="BA353" s="79">
        <v>33.0</v>
      </c>
      <c r="BB353" s="79">
        <v>45.0</v>
      </c>
      <c r="BC353" s="183">
        <v>295.0</v>
      </c>
      <c r="BE353" s="194" t="s">
        <v>325</v>
      </c>
      <c r="BF353" s="143"/>
      <c r="BG353" s="128"/>
      <c r="BI353" s="31" t="s">
        <v>5</v>
      </c>
      <c r="BJ353" s="32">
        <v>1.0</v>
      </c>
      <c r="BK353" s="32" t="s">
        <v>5</v>
      </c>
      <c r="BL353" s="32" t="s">
        <v>5</v>
      </c>
      <c r="BM353" s="32" t="s">
        <v>5</v>
      </c>
      <c r="BN353" s="33" t="s">
        <v>5</v>
      </c>
      <c r="BP353" s="115" t="s">
        <v>92</v>
      </c>
      <c r="BQ353" s="93"/>
      <c r="BS353" s="115" t="s">
        <v>92</v>
      </c>
      <c r="BT353" s="133"/>
      <c r="BU353" s="37" t="str">
        <f t="shared" si="1"/>
        <v>#NAME?</v>
      </c>
      <c r="BV353" s="89" t="s">
        <v>92</v>
      </c>
      <c r="BW353" s="37" t="str">
        <f t="shared" si="2"/>
        <v>#NAME?</v>
      </c>
      <c r="BX353" s="89"/>
      <c r="BY353" s="39"/>
      <c r="BZ353" s="39"/>
      <c r="CA353" s="40" t="s">
        <v>92</v>
      </c>
      <c r="CB353" s="41"/>
      <c r="CC353" s="90" t="s">
        <v>92</v>
      </c>
      <c r="CD353" s="91"/>
      <c r="CE353" s="21"/>
      <c r="CF353" s="92" t="s">
        <v>1032</v>
      </c>
      <c r="CG353" s="93" t="s">
        <v>2227</v>
      </c>
      <c r="CH353" s="21"/>
      <c r="CI353" s="92" t="s">
        <v>1032</v>
      </c>
      <c r="CJ353" s="93" t="s">
        <v>2227</v>
      </c>
      <c r="CK353" s="21"/>
      <c r="CL353" s="22" t="s">
        <v>1032</v>
      </c>
      <c r="CM353" s="12"/>
      <c r="CN353" s="48"/>
      <c r="CO353" s="96" t="s">
        <v>2227</v>
      </c>
      <c r="CP353" s="21"/>
      <c r="CQ353" s="2" t="s">
        <v>2578</v>
      </c>
      <c r="CR353" s="97">
        <v>20.0</v>
      </c>
      <c r="CS353" s="2" t="s">
        <v>325</v>
      </c>
      <c r="CT353" s="98">
        <v>97.0</v>
      </c>
      <c r="CU353" s="2"/>
      <c r="CV353" s="52" t="s">
        <v>149</v>
      </c>
      <c r="CW353" s="52" t="s">
        <v>149</v>
      </c>
      <c r="CX353" s="2"/>
      <c r="CY353" s="119" t="s">
        <v>964</v>
      </c>
      <c r="CZ353" s="160"/>
      <c r="DA353" s="2"/>
      <c r="DB353" s="98">
        <v>225.0</v>
      </c>
      <c r="DC353" s="2"/>
      <c r="DD353" s="101" t="s">
        <v>468</v>
      </c>
      <c r="DE353" s="2"/>
      <c r="DF353" s="276" t="s">
        <v>3285</v>
      </c>
      <c r="DG353" s="118" t="s">
        <v>3286</v>
      </c>
      <c r="DH353" s="160"/>
      <c r="DI353" s="21"/>
      <c r="DJ353" s="21"/>
      <c r="DK353" s="59" t="s">
        <v>3287</v>
      </c>
      <c r="DL353" s="37" t="s">
        <v>156</v>
      </c>
      <c r="DM353" s="37" t="str">
        <f t="shared" si="3"/>
        <v>#NAME?</v>
      </c>
      <c r="DN353" s="61"/>
      <c r="DO353" s="37" t="s">
        <v>19</v>
      </c>
      <c r="DP353" s="37" t="s">
        <v>225</v>
      </c>
      <c r="DQ353" s="62" t="s">
        <v>342</v>
      </c>
      <c r="DR353" s="63"/>
      <c r="DS353" s="198"/>
      <c r="DT353" s="108"/>
      <c r="DU353" s="108"/>
      <c r="DV353" s="182"/>
      <c r="DW353" s="182"/>
      <c r="DX353" s="182"/>
      <c r="DY353" s="182"/>
      <c r="DZ353" s="182"/>
      <c r="EA353" s="182"/>
      <c r="EB353" s="2"/>
      <c r="EC353" s="182"/>
      <c r="ED353" s="2"/>
      <c r="EE353" s="396" t="s">
        <v>3288</v>
      </c>
      <c r="EF353" s="68" t="s">
        <v>3289</v>
      </c>
      <c r="EG353" s="69" t="str">
        <f>image("https://www.serebii.net/diamondpearl/berries/46.png", 3)</f>
        <v/>
      </c>
      <c r="EH353" s="69"/>
      <c r="EI353" s="69"/>
    </row>
    <row r="354" ht="15.75" customHeight="1">
      <c r="A354" s="1">
        <v>354.0</v>
      </c>
      <c r="B354" s="2" t="s">
        <v>3290</v>
      </c>
      <c r="C354" s="7"/>
      <c r="D354" s="295" t="s">
        <v>3291</v>
      </c>
      <c r="E354" s="5"/>
      <c r="F354" s="296"/>
      <c r="G354" s="7"/>
      <c r="H354" s="8" t="s">
        <v>3292</v>
      </c>
      <c r="I354" s="9" t="s">
        <v>3293</v>
      </c>
      <c r="J354" s="355" t="str">
        <f>image("https://archives.bulbagarden.net/media/upload/7/79/354MS6.png", 3)</f>
        <v/>
      </c>
      <c r="K354" s="11" t="s">
        <v>3291</v>
      </c>
      <c r="L354" s="12"/>
      <c r="M354" s="12"/>
      <c r="N354" s="12"/>
      <c r="O354" s="12"/>
      <c r="Q354" s="71">
        <v>64.0</v>
      </c>
      <c r="R354" s="72">
        <v>115.0</v>
      </c>
      <c r="S354" s="73">
        <v>65.0</v>
      </c>
      <c r="T354" s="74">
        <v>83.0</v>
      </c>
      <c r="U354" s="75">
        <v>63.0</v>
      </c>
      <c r="V354" s="76">
        <v>65.0</v>
      </c>
      <c r="W354" s="77">
        <v>455.0</v>
      </c>
      <c r="X354" s="21"/>
      <c r="Y354" s="71">
        <v>64.0</v>
      </c>
      <c r="Z354" s="72">
        <v>115.0</v>
      </c>
      <c r="AA354" s="73">
        <v>65.0</v>
      </c>
      <c r="AB354" s="74">
        <v>83.0</v>
      </c>
      <c r="AC354" s="75">
        <v>63.0</v>
      </c>
      <c r="AD354" s="76">
        <v>65.0</v>
      </c>
      <c r="AE354" s="77">
        <v>455.0</v>
      </c>
      <c r="AF354" s="21"/>
      <c r="AG354" s="71">
        <v>64.0</v>
      </c>
      <c r="AH354" s="109">
        <v>125.0</v>
      </c>
      <c r="AI354" s="73">
        <v>65.0</v>
      </c>
      <c r="AJ354" s="109">
        <v>93.0</v>
      </c>
      <c r="AK354" s="75">
        <v>63.0</v>
      </c>
      <c r="AL354" s="76">
        <v>65.0</v>
      </c>
      <c r="AM354" s="110">
        <v>475.0</v>
      </c>
      <c r="AN354" s="21"/>
      <c r="AO354" s="22">
        <v>64.0</v>
      </c>
      <c r="AP354" s="23" t="s">
        <v>1295</v>
      </c>
      <c r="AQ354" s="23">
        <v>65.0</v>
      </c>
      <c r="AR354" s="23" t="s">
        <v>1549</v>
      </c>
      <c r="AS354" s="23">
        <v>63.0</v>
      </c>
      <c r="AT354" s="23">
        <v>65.0</v>
      </c>
      <c r="AU354" s="24" t="s">
        <v>1875</v>
      </c>
      <c r="AV354" s="21"/>
      <c r="AW354" s="78">
        <v>64.0</v>
      </c>
      <c r="AX354" s="111">
        <v>125.0</v>
      </c>
      <c r="AY354" s="79">
        <v>65.0</v>
      </c>
      <c r="AZ354" s="111">
        <v>93.0</v>
      </c>
      <c r="BA354" s="79">
        <v>63.0</v>
      </c>
      <c r="BB354" s="79">
        <v>65.0</v>
      </c>
      <c r="BC354" s="111">
        <v>475.0</v>
      </c>
      <c r="BE354" s="172" t="s">
        <v>216</v>
      </c>
      <c r="BF354" s="113"/>
      <c r="BG354" s="384"/>
      <c r="BI354" s="31" t="s">
        <v>5</v>
      </c>
      <c r="BJ354" s="32">
        <v>2.0</v>
      </c>
      <c r="BK354" s="32" t="s">
        <v>5</v>
      </c>
      <c r="BL354" s="32" t="s">
        <v>5</v>
      </c>
      <c r="BM354" s="32" t="s">
        <v>5</v>
      </c>
      <c r="BN354" s="33" t="s">
        <v>5</v>
      </c>
      <c r="BP354" s="85" t="s">
        <v>92</v>
      </c>
      <c r="BQ354" s="129"/>
      <c r="BS354" s="87" t="s">
        <v>92</v>
      </c>
      <c r="BT354" s="130"/>
      <c r="BU354" s="37" t="str">
        <f t="shared" si="1"/>
        <v>#NAME?</v>
      </c>
      <c r="BV354" s="89" t="s">
        <v>92</v>
      </c>
      <c r="BW354" s="37" t="str">
        <f t="shared" si="2"/>
        <v>#NAME?</v>
      </c>
      <c r="BX354" s="89"/>
      <c r="BY354" s="39"/>
      <c r="BZ354" s="39"/>
      <c r="CA354" s="40" t="s">
        <v>92</v>
      </c>
      <c r="CB354" s="41"/>
      <c r="CC354" s="90" t="s">
        <v>92</v>
      </c>
      <c r="CD354" s="91"/>
      <c r="CE354" s="21"/>
      <c r="CF354" s="92" t="s">
        <v>1032</v>
      </c>
      <c r="CG354" s="93" t="s">
        <v>2227</v>
      </c>
      <c r="CH354" s="21"/>
      <c r="CI354" s="177" t="s">
        <v>1032</v>
      </c>
      <c r="CJ354" s="93" t="s">
        <v>2227</v>
      </c>
      <c r="CK354" s="21"/>
      <c r="CL354" s="22" t="s">
        <v>1032</v>
      </c>
      <c r="CM354" s="12"/>
      <c r="CN354" s="48"/>
      <c r="CO354" s="189" t="s">
        <v>2227</v>
      </c>
      <c r="CP354" s="21"/>
      <c r="CQ354" s="2" t="s">
        <v>599</v>
      </c>
      <c r="CR354" s="97">
        <v>40.0</v>
      </c>
      <c r="CS354" s="2" t="s">
        <v>216</v>
      </c>
      <c r="CT354" s="98">
        <v>179.0</v>
      </c>
      <c r="CU354" s="2"/>
      <c r="CV354" s="52" t="s">
        <v>149</v>
      </c>
      <c r="CW354" s="52" t="s">
        <v>149</v>
      </c>
      <c r="CX354" s="2"/>
      <c r="CY354" s="382" t="s">
        <v>964</v>
      </c>
      <c r="CZ354" s="385"/>
      <c r="DA354" s="2"/>
      <c r="DB354" s="98">
        <v>45.0</v>
      </c>
      <c r="DC354" s="2"/>
      <c r="DD354" s="101" t="s">
        <v>468</v>
      </c>
      <c r="DE354" s="2"/>
      <c r="DF354" s="159" t="s">
        <v>3294</v>
      </c>
      <c r="DG354" s="381" t="s">
        <v>3286</v>
      </c>
      <c r="DH354" s="385"/>
      <c r="DI354" s="2"/>
      <c r="DJ354" s="2"/>
      <c r="DK354" s="59" t="s">
        <v>3295</v>
      </c>
      <c r="DL354" s="37" t="s">
        <v>6</v>
      </c>
      <c r="DM354" s="37" t="str">
        <f t="shared" si="3"/>
        <v>#NAME?</v>
      </c>
      <c r="DN354" s="61"/>
      <c r="DO354" s="37" t="s">
        <v>19</v>
      </c>
      <c r="DP354" s="105">
        <v>0.55</v>
      </c>
      <c r="DQ354" s="62" t="s">
        <v>93</v>
      </c>
      <c r="DR354" s="63"/>
      <c r="DS354" s="198"/>
      <c r="DT354" s="108"/>
      <c r="DU354" s="108"/>
      <c r="DV354" s="182"/>
      <c r="DW354" s="182"/>
      <c r="DX354" s="182"/>
      <c r="DY354" s="182"/>
      <c r="DZ354" s="182"/>
      <c r="EA354" s="182"/>
      <c r="EB354" s="2"/>
      <c r="EC354" s="182"/>
      <c r="ED354" s="2"/>
      <c r="EE354" s="396" t="s">
        <v>3296</v>
      </c>
      <c r="EF354" s="68" t="s">
        <v>3297</v>
      </c>
      <c r="EG354" s="69" t="str">
        <f>image("https://www.serebii.net/diamondpearl/berries/47.png", 3)</f>
        <v/>
      </c>
      <c r="EH354" s="69"/>
      <c r="EI354" s="69"/>
    </row>
    <row r="355" ht="15.75" customHeight="1">
      <c r="A355" s="1">
        <v>355.0</v>
      </c>
      <c r="B355" s="2" t="s">
        <v>3298</v>
      </c>
      <c r="C355" s="7"/>
      <c r="D355" s="295" t="s">
        <v>3299</v>
      </c>
      <c r="E355" s="5"/>
      <c r="F355" s="296"/>
      <c r="G355" s="7"/>
      <c r="H355" s="8" t="s">
        <v>3300</v>
      </c>
      <c r="I355" s="9" t="s">
        <v>3301</v>
      </c>
      <c r="J355" s="355" t="str">
        <f>image("https://archives.bulbagarden.net/media/upload/d/d3/355MS6.png", 3)</f>
        <v/>
      </c>
      <c r="K355" s="11" t="s">
        <v>3299</v>
      </c>
      <c r="L355" s="12"/>
      <c r="M355" s="12"/>
      <c r="N355" s="12"/>
      <c r="O355" s="12"/>
      <c r="Q355" s="71">
        <v>20.0</v>
      </c>
      <c r="R355" s="72">
        <v>40.0</v>
      </c>
      <c r="S355" s="73">
        <v>90.0</v>
      </c>
      <c r="T355" s="74">
        <v>30.0</v>
      </c>
      <c r="U355" s="75">
        <v>90.0</v>
      </c>
      <c r="V355" s="76">
        <v>25.0</v>
      </c>
      <c r="W355" s="77">
        <v>295.0</v>
      </c>
      <c r="X355" s="21"/>
      <c r="Y355" s="71">
        <v>20.0</v>
      </c>
      <c r="Z355" s="72">
        <v>40.0</v>
      </c>
      <c r="AA355" s="73">
        <v>90.0</v>
      </c>
      <c r="AB355" s="74">
        <v>30.0</v>
      </c>
      <c r="AC355" s="75">
        <v>90.0</v>
      </c>
      <c r="AD355" s="76">
        <v>25.0</v>
      </c>
      <c r="AE355" s="77">
        <v>295.0</v>
      </c>
      <c r="AF355" s="21"/>
      <c r="AG355" s="71">
        <v>20.0</v>
      </c>
      <c r="AH355" s="72">
        <v>40.0</v>
      </c>
      <c r="AI355" s="73">
        <v>90.0</v>
      </c>
      <c r="AJ355" s="74">
        <v>30.0</v>
      </c>
      <c r="AK355" s="75">
        <v>90.0</v>
      </c>
      <c r="AL355" s="76">
        <v>25.0</v>
      </c>
      <c r="AM355" s="77">
        <v>295.0</v>
      </c>
      <c r="AN355" s="21"/>
      <c r="AO355" s="22">
        <v>20.0</v>
      </c>
      <c r="AP355" s="23">
        <v>40.0</v>
      </c>
      <c r="AQ355" s="23">
        <v>90.0</v>
      </c>
      <c r="AR355" s="23">
        <v>30.0</v>
      </c>
      <c r="AS355" s="23">
        <v>90.0</v>
      </c>
      <c r="AT355" s="23">
        <v>25.0</v>
      </c>
      <c r="AU355" s="24">
        <v>295.0</v>
      </c>
      <c r="AV355" s="21"/>
      <c r="AW355" s="78">
        <v>20.0</v>
      </c>
      <c r="AX355" s="124">
        <v>40.0</v>
      </c>
      <c r="AY355" s="79">
        <v>90.0</v>
      </c>
      <c r="AZ355" s="124">
        <v>30.0</v>
      </c>
      <c r="BA355" s="79">
        <v>90.0</v>
      </c>
      <c r="BB355" s="79">
        <v>25.0</v>
      </c>
      <c r="BC355" s="125">
        <v>295.0</v>
      </c>
      <c r="BE355" s="225" t="s">
        <v>27</v>
      </c>
      <c r="BF355" s="143"/>
      <c r="BG355" s="128"/>
      <c r="BI355" s="31" t="s">
        <v>5</v>
      </c>
      <c r="BJ355" s="32" t="s">
        <v>5</v>
      </c>
      <c r="BK355" s="32" t="s">
        <v>5</v>
      </c>
      <c r="BL355" s="32" t="s">
        <v>5</v>
      </c>
      <c r="BM355" s="32">
        <v>1.0</v>
      </c>
      <c r="BN355" s="33" t="s">
        <v>5</v>
      </c>
      <c r="BP355" s="115" t="s">
        <v>92</v>
      </c>
      <c r="BQ355" s="93"/>
      <c r="BS355" s="115" t="s">
        <v>92</v>
      </c>
      <c r="BT355" s="133"/>
      <c r="BU355" s="37" t="str">
        <f t="shared" si="1"/>
        <v>#NAME?</v>
      </c>
      <c r="BV355" s="89" t="s">
        <v>92</v>
      </c>
      <c r="BW355" s="37" t="str">
        <f t="shared" si="2"/>
        <v>#NAME?</v>
      </c>
      <c r="BX355" s="89"/>
      <c r="BY355" s="39"/>
      <c r="BZ355" s="39"/>
      <c r="CA355" s="40" t="s">
        <v>92</v>
      </c>
      <c r="CB355" s="41"/>
      <c r="CC355" s="90" t="s">
        <v>92</v>
      </c>
      <c r="CD355" s="91"/>
      <c r="CE355" s="21"/>
      <c r="CF355" s="92" t="s">
        <v>1001</v>
      </c>
      <c r="CG355" s="93"/>
      <c r="CH355" s="21"/>
      <c r="CI355" s="158" t="s">
        <v>3302</v>
      </c>
      <c r="CJ355" s="153" t="s">
        <v>1001</v>
      </c>
      <c r="CK355" s="21"/>
      <c r="CL355" s="412" t="s">
        <v>3303</v>
      </c>
      <c r="CM355" s="413"/>
      <c r="CN355" s="414"/>
      <c r="CO355" s="159" t="s">
        <v>3303</v>
      </c>
      <c r="CP355" s="21"/>
      <c r="CQ355" s="2" t="s">
        <v>913</v>
      </c>
      <c r="CR355" s="97">
        <v>40.0</v>
      </c>
      <c r="CS355" s="2" t="s">
        <v>27</v>
      </c>
      <c r="CT355" s="98">
        <v>97.0</v>
      </c>
      <c r="CU355" s="2"/>
      <c r="CV355" s="52" t="s">
        <v>149</v>
      </c>
      <c r="CW355" s="52" t="s">
        <v>149</v>
      </c>
      <c r="CX355" s="2"/>
      <c r="CY355" s="119" t="s">
        <v>964</v>
      </c>
      <c r="CZ355" s="160"/>
      <c r="DA355" s="2"/>
      <c r="DB355" s="98">
        <v>190.0</v>
      </c>
      <c r="DC355" s="2"/>
      <c r="DD355" s="101" t="s">
        <v>468</v>
      </c>
      <c r="DE355" s="2"/>
      <c r="DF355" s="254" t="s">
        <v>3304</v>
      </c>
      <c r="DG355" s="118" t="s">
        <v>3286</v>
      </c>
      <c r="DH355" s="160"/>
      <c r="DI355" s="21"/>
      <c r="DJ355" s="21"/>
      <c r="DK355" s="59" t="s">
        <v>3305</v>
      </c>
      <c r="DL355" s="37" t="s">
        <v>122</v>
      </c>
      <c r="DM355" s="37" t="str">
        <f t="shared" si="3"/>
        <v>#NAME?</v>
      </c>
      <c r="DN355" s="61"/>
      <c r="DO355" s="37" t="s">
        <v>19</v>
      </c>
      <c r="DP355" s="37" t="s">
        <v>19</v>
      </c>
      <c r="DQ355" s="62" t="s">
        <v>293</v>
      </c>
      <c r="DR355" s="63"/>
      <c r="DS355" s="198"/>
      <c r="DT355" s="108"/>
      <c r="DU355" s="108"/>
      <c r="DV355" s="182"/>
      <c r="DW355" s="182"/>
      <c r="DX355" s="182"/>
      <c r="DY355" s="182"/>
      <c r="DZ355" s="182"/>
      <c r="EA355" s="182"/>
      <c r="EB355" s="2"/>
      <c r="EC355" s="182"/>
      <c r="ED355" s="2"/>
      <c r="EE355" s="396" t="s">
        <v>3306</v>
      </c>
      <c r="EF355" s="68" t="s">
        <v>3307</v>
      </c>
      <c r="EG355" s="69" t="str">
        <f>image("https://www.serebii.net/diamondpearl/berries/48.png", 3)</f>
        <v/>
      </c>
      <c r="EH355" s="69"/>
      <c r="EI355" s="69"/>
    </row>
    <row r="356" ht="15.75" customHeight="1">
      <c r="A356" s="1">
        <v>356.0</v>
      </c>
      <c r="B356" s="2" t="s">
        <v>3308</v>
      </c>
      <c r="C356" s="7"/>
      <c r="D356" s="295" t="s">
        <v>3309</v>
      </c>
      <c r="E356" s="5"/>
      <c r="F356" s="296"/>
      <c r="G356" s="7"/>
      <c r="H356" s="8" t="s">
        <v>3310</v>
      </c>
      <c r="I356" s="9" t="s">
        <v>3311</v>
      </c>
      <c r="J356" s="355" t="str">
        <f>image("https://archives.bulbagarden.net/media/upload/f/fe/356MS6.png", 3)</f>
        <v/>
      </c>
      <c r="K356" s="11" t="s">
        <v>3309</v>
      </c>
      <c r="L356" s="12"/>
      <c r="M356" s="12"/>
      <c r="N356" s="12"/>
      <c r="O356" s="12"/>
      <c r="Q356" s="71">
        <v>40.0</v>
      </c>
      <c r="R356" s="72">
        <v>70.0</v>
      </c>
      <c r="S356" s="73">
        <v>130.0</v>
      </c>
      <c r="T356" s="74">
        <v>60.0</v>
      </c>
      <c r="U356" s="75">
        <v>130.0</v>
      </c>
      <c r="V356" s="76">
        <v>25.0</v>
      </c>
      <c r="W356" s="77">
        <v>455.0</v>
      </c>
      <c r="X356" s="21"/>
      <c r="Y356" s="71">
        <v>40.0</v>
      </c>
      <c r="Z356" s="72">
        <v>70.0</v>
      </c>
      <c r="AA356" s="73">
        <v>130.0</v>
      </c>
      <c r="AB356" s="74">
        <v>60.0</v>
      </c>
      <c r="AC356" s="75">
        <v>130.0</v>
      </c>
      <c r="AD356" s="76">
        <v>25.0</v>
      </c>
      <c r="AE356" s="77">
        <v>455.0</v>
      </c>
      <c r="AF356" s="21"/>
      <c r="AG356" s="71">
        <v>40.0</v>
      </c>
      <c r="AH356" s="72">
        <v>70.0</v>
      </c>
      <c r="AI356" s="73">
        <v>130.0</v>
      </c>
      <c r="AJ356" s="74">
        <v>60.0</v>
      </c>
      <c r="AK356" s="75">
        <v>130.0</v>
      </c>
      <c r="AL356" s="76">
        <v>25.0</v>
      </c>
      <c r="AM356" s="77">
        <v>455.0</v>
      </c>
      <c r="AN356" s="21"/>
      <c r="AO356" s="22">
        <v>40.0</v>
      </c>
      <c r="AP356" s="23">
        <v>70.0</v>
      </c>
      <c r="AQ356" s="23">
        <v>130.0</v>
      </c>
      <c r="AR356" s="23">
        <v>60.0</v>
      </c>
      <c r="AS356" s="23">
        <v>130.0</v>
      </c>
      <c r="AT356" s="23">
        <v>25.0</v>
      </c>
      <c r="AU356" s="24">
        <v>455.0</v>
      </c>
      <c r="AV356" s="21"/>
      <c r="AW356" s="258">
        <v>40.0</v>
      </c>
      <c r="AX356" s="80">
        <v>70.0</v>
      </c>
      <c r="AY356" s="80">
        <v>130.0</v>
      </c>
      <c r="AZ356" s="80">
        <v>60.0</v>
      </c>
      <c r="BA356" s="80">
        <v>130.0</v>
      </c>
      <c r="BB356" s="80">
        <v>25.0</v>
      </c>
      <c r="BC356" s="81">
        <v>455.0</v>
      </c>
      <c r="BE356" s="142" t="s">
        <v>101</v>
      </c>
      <c r="BF356" s="83" t="s">
        <v>27</v>
      </c>
      <c r="BG356" s="384"/>
      <c r="BI356" s="31" t="s">
        <v>5</v>
      </c>
      <c r="BJ356" s="32" t="s">
        <v>5</v>
      </c>
      <c r="BK356" s="32">
        <v>1.0</v>
      </c>
      <c r="BL356" s="32" t="s">
        <v>5</v>
      </c>
      <c r="BM356" s="234">
        <v>1.0</v>
      </c>
      <c r="BN356" s="33" t="s">
        <v>5</v>
      </c>
      <c r="BP356" s="85" t="s">
        <v>92</v>
      </c>
      <c r="BQ356" s="129"/>
      <c r="BS356" s="87" t="s">
        <v>92</v>
      </c>
      <c r="BT356" s="130"/>
      <c r="BU356" s="37" t="str">
        <f t="shared" si="1"/>
        <v>#NAME?</v>
      </c>
      <c r="BV356" s="89" t="s">
        <v>92</v>
      </c>
      <c r="BW356" s="37" t="str">
        <f t="shared" si="2"/>
        <v>#NAME?</v>
      </c>
      <c r="BX356" s="89"/>
      <c r="BY356" s="39"/>
      <c r="BZ356" s="39"/>
      <c r="CA356" s="40" t="s">
        <v>92</v>
      </c>
      <c r="CB356" s="41"/>
      <c r="CC356" s="90" t="s">
        <v>92</v>
      </c>
      <c r="CD356" s="91"/>
      <c r="CE356" s="21"/>
      <c r="CF356" s="92" t="s">
        <v>1447</v>
      </c>
      <c r="CG356" s="93"/>
      <c r="CH356" s="21"/>
      <c r="CI356" s="291" t="s">
        <v>1447</v>
      </c>
      <c r="CJ356" s="297" t="s">
        <v>3302</v>
      </c>
      <c r="CK356" s="21"/>
      <c r="CL356" s="415" t="s">
        <v>3303</v>
      </c>
      <c r="CM356" s="416"/>
      <c r="CN356" s="417"/>
      <c r="CO356" s="165" t="s">
        <v>1447</v>
      </c>
      <c r="CP356" s="21"/>
      <c r="CQ356" s="2" t="s">
        <v>3014</v>
      </c>
      <c r="CR356" s="97">
        <v>60.0</v>
      </c>
      <c r="CS356" s="2" t="s">
        <v>117</v>
      </c>
      <c r="CT356" s="311">
        <v>179.0</v>
      </c>
      <c r="CU356" s="2"/>
      <c r="CV356" s="52" t="s">
        <v>149</v>
      </c>
      <c r="CW356" s="52" t="s">
        <v>149</v>
      </c>
      <c r="CX356" s="2"/>
      <c r="CY356" s="382" t="s">
        <v>964</v>
      </c>
      <c r="CZ356" s="385"/>
      <c r="DA356" s="2"/>
      <c r="DB356" s="98">
        <v>90.0</v>
      </c>
      <c r="DC356" s="2"/>
      <c r="DD356" s="101" t="s">
        <v>468</v>
      </c>
      <c r="DE356" s="2"/>
      <c r="DF356" s="159" t="s">
        <v>3312</v>
      </c>
      <c r="DG356" s="381" t="s">
        <v>3286</v>
      </c>
      <c r="DH356" s="385"/>
      <c r="DI356" s="2"/>
      <c r="DJ356" s="2"/>
      <c r="DK356" s="59" t="s">
        <v>3313</v>
      </c>
      <c r="DL356" s="37" t="s">
        <v>156</v>
      </c>
      <c r="DM356" s="37" t="str">
        <f t="shared" si="3"/>
        <v>#NAME?</v>
      </c>
      <c r="DN356" s="61"/>
      <c r="DO356" s="37" t="s">
        <v>19</v>
      </c>
      <c r="DP356" s="105">
        <v>1.0</v>
      </c>
      <c r="DQ356" s="62" t="s">
        <v>702</v>
      </c>
      <c r="DR356" s="63"/>
      <c r="DS356" s="198"/>
      <c r="DT356" s="108"/>
      <c r="DU356" s="108"/>
      <c r="DV356" s="182"/>
      <c r="DW356" s="182"/>
      <c r="DX356" s="182"/>
      <c r="DY356" s="182"/>
      <c r="DZ356" s="182"/>
      <c r="EA356" s="182"/>
      <c r="EB356" s="2"/>
      <c r="EC356" s="182"/>
      <c r="ED356" s="2"/>
      <c r="EE356" s="396" t="s">
        <v>3314</v>
      </c>
      <c r="EF356" s="68" t="s">
        <v>3315</v>
      </c>
      <c r="EG356" s="69" t="str">
        <f>image("https://www.serebii.net/diamondpearl/berries/49.png", 3)</f>
        <v/>
      </c>
      <c r="EH356" s="69"/>
      <c r="EI356" s="69"/>
    </row>
    <row r="357" ht="15.75" customHeight="1">
      <c r="A357" s="1">
        <v>357.0</v>
      </c>
      <c r="B357" s="2" t="s">
        <v>3316</v>
      </c>
      <c r="C357" s="7"/>
      <c r="D357" s="4" t="s">
        <v>3317</v>
      </c>
      <c r="E357" s="5"/>
      <c r="F357" s="6"/>
      <c r="G357" s="7"/>
      <c r="H357" s="8" t="s">
        <v>3318</v>
      </c>
      <c r="I357" s="9" t="s">
        <v>3319</v>
      </c>
      <c r="J357" s="355" t="str">
        <f>image("https://archives.bulbagarden.net/media/upload/7/77/357MS6.png", 3)</f>
        <v/>
      </c>
      <c r="K357" s="11" t="s">
        <v>3317</v>
      </c>
      <c r="L357" s="12"/>
      <c r="M357" s="12"/>
      <c r="N357" s="12"/>
      <c r="O357" s="12"/>
      <c r="Q357" s="71">
        <v>99.0</v>
      </c>
      <c r="R357" s="72">
        <v>68.0</v>
      </c>
      <c r="S357" s="73">
        <v>83.0</v>
      </c>
      <c r="T357" s="74">
        <v>72.0</v>
      </c>
      <c r="U357" s="75">
        <v>87.0</v>
      </c>
      <c r="V357" s="76">
        <v>51.0</v>
      </c>
      <c r="W357" s="77">
        <v>460.0</v>
      </c>
      <c r="X357" s="21"/>
      <c r="Y357" s="71">
        <v>99.0</v>
      </c>
      <c r="Z357" s="72">
        <v>68.0</v>
      </c>
      <c r="AA357" s="73">
        <v>83.0</v>
      </c>
      <c r="AB357" s="74">
        <v>72.0</v>
      </c>
      <c r="AC357" s="75">
        <v>87.0</v>
      </c>
      <c r="AD357" s="76">
        <v>51.0</v>
      </c>
      <c r="AE357" s="77">
        <v>460.0</v>
      </c>
      <c r="AF357" s="21"/>
      <c r="AG357" s="261">
        <v>110.0</v>
      </c>
      <c r="AH357" s="109">
        <v>95.0</v>
      </c>
      <c r="AI357" s="109">
        <v>95.0</v>
      </c>
      <c r="AJ357" s="109">
        <v>95.0</v>
      </c>
      <c r="AK357" s="109">
        <v>95.0</v>
      </c>
      <c r="AL357" s="162">
        <v>45.0</v>
      </c>
      <c r="AM357" s="110">
        <v>535.0</v>
      </c>
      <c r="AN357" s="21"/>
      <c r="AO357" s="22" t="s">
        <v>40</v>
      </c>
      <c r="AP357" s="23" t="s">
        <v>215</v>
      </c>
      <c r="AQ357" s="23" t="s">
        <v>215</v>
      </c>
      <c r="AR357" s="23" t="s">
        <v>215</v>
      </c>
      <c r="AS357" s="23" t="s">
        <v>215</v>
      </c>
      <c r="AT357" s="23" t="s">
        <v>174</v>
      </c>
      <c r="AU357" s="24" t="s">
        <v>41</v>
      </c>
      <c r="AV357" s="21"/>
      <c r="AW357" s="171">
        <v>110.0</v>
      </c>
      <c r="AX357" s="171">
        <v>95.0</v>
      </c>
      <c r="AY357" s="171">
        <v>95.0</v>
      </c>
      <c r="AZ357" s="171">
        <v>95.0</v>
      </c>
      <c r="BA357" s="418">
        <v>95.0</v>
      </c>
      <c r="BB357" s="163">
        <v>45.0</v>
      </c>
      <c r="BC357" s="164">
        <v>535.0</v>
      </c>
      <c r="BE357" s="203" t="s">
        <v>409</v>
      </c>
      <c r="BF357" s="113"/>
      <c r="BG357" s="210"/>
      <c r="BI357" s="31">
        <v>2.0</v>
      </c>
      <c r="BJ357" s="32" t="s">
        <v>5</v>
      </c>
      <c r="BK357" s="32" t="s">
        <v>5</v>
      </c>
      <c r="BL357" s="32" t="s">
        <v>5</v>
      </c>
      <c r="BM357" s="32" t="s">
        <v>5</v>
      </c>
      <c r="BN357" s="33" t="s">
        <v>5</v>
      </c>
      <c r="BP357" s="115" t="s">
        <v>6</v>
      </c>
      <c r="BQ357" s="116" t="s">
        <v>18</v>
      </c>
      <c r="BS357" s="115" t="s">
        <v>6</v>
      </c>
      <c r="BT357" s="117" t="s">
        <v>18</v>
      </c>
      <c r="BU357" s="37" t="str">
        <f t="shared" si="1"/>
        <v>#NAME?</v>
      </c>
      <c r="BV357" s="89" t="s">
        <v>6</v>
      </c>
      <c r="BW357" s="37" t="str">
        <f t="shared" si="2"/>
        <v>#NAME?</v>
      </c>
      <c r="BX357" s="89" t="s">
        <v>18</v>
      </c>
      <c r="BY357" s="39"/>
      <c r="BZ357" s="39"/>
      <c r="CA357" s="40" t="s">
        <v>1836</v>
      </c>
      <c r="CB357" s="41"/>
      <c r="CC357" s="90" t="s">
        <v>6</v>
      </c>
      <c r="CD357" s="91" t="s">
        <v>18</v>
      </c>
      <c r="CE357" s="2"/>
      <c r="CF357" s="92" t="s">
        <v>43</v>
      </c>
      <c r="CG357" s="93" t="s">
        <v>58</v>
      </c>
      <c r="CH357" s="2"/>
      <c r="CI357" s="92" t="s">
        <v>43</v>
      </c>
      <c r="CJ357" s="195" t="s">
        <v>58</v>
      </c>
      <c r="CK357" s="2"/>
      <c r="CL357" s="22" t="s">
        <v>43</v>
      </c>
      <c r="CM357" s="12"/>
      <c r="CN357" s="48"/>
      <c r="CO357" s="96" t="s">
        <v>58</v>
      </c>
      <c r="CP357" s="2"/>
      <c r="CQ357" s="2" t="s">
        <v>45</v>
      </c>
      <c r="CR357" s="97">
        <v>100.0</v>
      </c>
      <c r="CS357" s="2" t="s">
        <v>409</v>
      </c>
      <c r="CT357" s="344">
        <v>219.0</v>
      </c>
      <c r="CU357" s="2"/>
      <c r="CV357" s="52" t="s">
        <v>149</v>
      </c>
      <c r="CW357" s="52" t="s">
        <v>149</v>
      </c>
      <c r="CX357" s="2"/>
      <c r="CY357" s="118" t="s">
        <v>14</v>
      </c>
      <c r="CZ357" s="119" t="s">
        <v>6</v>
      </c>
      <c r="DA357" s="2"/>
      <c r="DB357" s="98">
        <v>200.0</v>
      </c>
      <c r="DC357" s="2"/>
      <c r="DD357" s="101" t="s">
        <v>683</v>
      </c>
      <c r="DE357" s="2"/>
      <c r="DF357" s="419" t="s">
        <v>914</v>
      </c>
      <c r="DG357" s="119"/>
      <c r="DH357" s="119"/>
      <c r="DI357" s="2"/>
      <c r="DJ357" s="2"/>
      <c r="DK357" s="59" t="s">
        <v>3320</v>
      </c>
      <c r="DL357" s="37" t="s">
        <v>156</v>
      </c>
      <c r="DM357" s="37" t="str">
        <f t="shared" si="3"/>
        <v>#NAME?</v>
      </c>
      <c r="DN357" s="61"/>
      <c r="DO357" s="37" t="s">
        <v>19</v>
      </c>
      <c r="DP357" s="37" t="s">
        <v>19</v>
      </c>
      <c r="DQ357" s="62" t="s">
        <v>137</v>
      </c>
      <c r="DR357" s="63"/>
      <c r="DS357" s="198"/>
      <c r="DT357" s="108"/>
      <c r="DU357" s="108"/>
      <c r="DV357" s="182"/>
      <c r="DW357" s="182"/>
      <c r="DX357" s="182"/>
      <c r="DY357" s="182"/>
      <c r="DZ357" s="182"/>
      <c r="EA357" s="182"/>
      <c r="EB357" s="2"/>
      <c r="EC357" s="182"/>
      <c r="ED357" s="2"/>
      <c r="EE357" s="396" t="s">
        <v>3321</v>
      </c>
      <c r="EF357" s="68" t="s">
        <v>3322</v>
      </c>
      <c r="EG357" s="69" t="str">
        <f>image("https://www.serebii.net/diamondpearl/berries/50.png", 3)</f>
        <v/>
      </c>
      <c r="EH357" s="69"/>
      <c r="EI357" s="69"/>
    </row>
    <row r="358" ht="15.75" customHeight="1">
      <c r="A358" s="1">
        <v>358.0</v>
      </c>
      <c r="B358" s="2" t="s">
        <v>3323</v>
      </c>
      <c r="C358" s="7"/>
      <c r="D358" s="140" t="s">
        <v>3324</v>
      </c>
      <c r="E358" s="5"/>
      <c r="F358" s="141"/>
      <c r="G358" s="7"/>
      <c r="H358" s="8" t="s">
        <v>3325</v>
      </c>
      <c r="I358" s="9" t="s">
        <v>3326</v>
      </c>
      <c r="J358" s="355" t="str">
        <f>image("https://archives.bulbagarden.net/media/upload/1/1a/358MS6.png", 3)</f>
        <v/>
      </c>
      <c r="K358" s="11" t="s">
        <v>3324</v>
      </c>
      <c r="L358" s="12"/>
      <c r="M358" s="12"/>
      <c r="N358" s="12"/>
      <c r="O358" s="12"/>
      <c r="Q358" s="71">
        <v>65.0</v>
      </c>
      <c r="R358" s="72">
        <v>50.0</v>
      </c>
      <c r="S358" s="73">
        <v>70.0</v>
      </c>
      <c r="T358" s="74">
        <v>95.0</v>
      </c>
      <c r="U358" s="75">
        <v>80.0</v>
      </c>
      <c r="V358" s="76">
        <v>65.0</v>
      </c>
      <c r="W358" s="77">
        <v>425.0</v>
      </c>
      <c r="X358" s="21"/>
      <c r="Y358" s="261">
        <v>75.0</v>
      </c>
      <c r="Z358" s="72">
        <v>50.0</v>
      </c>
      <c r="AA358" s="109">
        <v>80.0</v>
      </c>
      <c r="AB358" s="74">
        <v>95.0</v>
      </c>
      <c r="AC358" s="109">
        <v>90.0</v>
      </c>
      <c r="AD358" s="76">
        <v>65.0</v>
      </c>
      <c r="AE358" s="110">
        <v>455.0</v>
      </c>
      <c r="AF358" s="21"/>
      <c r="AG358" s="261">
        <v>75.0</v>
      </c>
      <c r="AH358" s="162">
        <v>40.0</v>
      </c>
      <c r="AI358" s="109">
        <v>80.0</v>
      </c>
      <c r="AJ358" s="109">
        <v>110.0</v>
      </c>
      <c r="AK358" s="109">
        <v>100.0</v>
      </c>
      <c r="AL358" s="76">
        <v>65.0</v>
      </c>
      <c r="AM358" s="110">
        <v>470.0</v>
      </c>
      <c r="AN358" s="21"/>
      <c r="AO358" s="22" t="s">
        <v>154</v>
      </c>
      <c r="AP358" s="23" t="s">
        <v>214</v>
      </c>
      <c r="AQ358" s="23" t="s">
        <v>337</v>
      </c>
      <c r="AR358" s="23" t="s">
        <v>40</v>
      </c>
      <c r="AS358" s="23" t="s">
        <v>175</v>
      </c>
      <c r="AT358" s="23">
        <v>65.0</v>
      </c>
      <c r="AU358" s="24" t="s">
        <v>933</v>
      </c>
      <c r="AV358" s="21"/>
      <c r="AW358" s="187">
        <v>75.0</v>
      </c>
      <c r="AX358" s="163">
        <v>40.0</v>
      </c>
      <c r="AY358" s="164">
        <v>80.0</v>
      </c>
      <c r="AZ358" s="171">
        <v>110.0</v>
      </c>
      <c r="BA358" s="111">
        <v>100.0</v>
      </c>
      <c r="BB358" s="182">
        <v>65.0</v>
      </c>
      <c r="BC358" s="111">
        <v>470.0</v>
      </c>
      <c r="BE358" s="82" t="s">
        <v>4</v>
      </c>
      <c r="BF358" s="83" t="s">
        <v>27</v>
      </c>
      <c r="BG358" s="384"/>
      <c r="BI358" s="31" t="s">
        <v>5</v>
      </c>
      <c r="BJ358" s="32" t="s">
        <v>5</v>
      </c>
      <c r="BK358" s="32" t="s">
        <v>5</v>
      </c>
      <c r="BL358" s="32">
        <v>1.0</v>
      </c>
      <c r="BM358" s="32">
        <v>1.0</v>
      </c>
      <c r="BN358" s="33" t="s">
        <v>5</v>
      </c>
      <c r="BP358" s="85" t="s">
        <v>122</v>
      </c>
      <c r="BQ358" s="129"/>
      <c r="BS358" s="87" t="s">
        <v>122</v>
      </c>
      <c r="BT358" s="130"/>
      <c r="BU358" s="37" t="str">
        <f t="shared" si="1"/>
        <v>#NAME?</v>
      </c>
      <c r="BV358" s="89" t="s">
        <v>122</v>
      </c>
      <c r="BW358" s="37" t="str">
        <f t="shared" si="2"/>
        <v>#NAME?</v>
      </c>
      <c r="BX358" s="89"/>
      <c r="BY358" s="39"/>
      <c r="BZ358" s="39"/>
      <c r="CA358" s="40" t="s">
        <v>122</v>
      </c>
      <c r="CB358" s="41"/>
      <c r="CC358" s="90" t="s">
        <v>122</v>
      </c>
      <c r="CD358" s="91"/>
      <c r="CE358" s="21"/>
      <c r="CF358" s="92" t="s">
        <v>1001</v>
      </c>
      <c r="CG358" s="93"/>
      <c r="CH358" s="21"/>
      <c r="CI358" s="177" t="s">
        <v>1001</v>
      </c>
      <c r="CJ358" s="188"/>
      <c r="CK358" s="21"/>
      <c r="CL358" s="22" t="s">
        <v>1001</v>
      </c>
      <c r="CM358" s="12"/>
      <c r="CN358" s="48"/>
      <c r="CO358" s="153"/>
      <c r="CP358" s="21"/>
      <c r="CQ358" s="2" t="s">
        <v>1146</v>
      </c>
      <c r="CR358" s="97">
        <v>20.0</v>
      </c>
      <c r="CS358" s="2" t="s">
        <v>29</v>
      </c>
      <c r="CT358" s="366">
        <v>147.0</v>
      </c>
      <c r="CU358" s="2"/>
      <c r="CV358" s="52" t="s">
        <v>149</v>
      </c>
      <c r="CW358" s="52" t="s">
        <v>149</v>
      </c>
      <c r="CX358" s="2"/>
      <c r="CY358" s="382" t="s">
        <v>964</v>
      </c>
      <c r="CZ358" s="385"/>
      <c r="DA358" s="2"/>
      <c r="DB358" s="98">
        <v>45.0</v>
      </c>
      <c r="DC358" s="2"/>
      <c r="DD358" s="101" t="s">
        <v>468</v>
      </c>
      <c r="DE358" s="2"/>
      <c r="DF358" s="159" t="s">
        <v>3327</v>
      </c>
      <c r="DG358" s="381" t="s">
        <v>3328</v>
      </c>
      <c r="DH358" s="385"/>
      <c r="DI358" s="2"/>
      <c r="DJ358" s="2"/>
      <c r="DK358" s="59" t="s">
        <v>3329</v>
      </c>
      <c r="DL358" s="37" t="s">
        <v>92</v>
      </c>
      <c r="DM358" s="37" t="str">
        <f t="shared" si="3"/>
        <v>#NAME?</v>
      </c>
      <c r="DN358" s="61"/>
      <c r="DO358" s="37" t="s">
        <v>19</v>
      </c>
      <c r="DP358" s="37" t="s">
        <v>19</v>
      </c>
      <c r="DQ358" s="62" t="s">
        <v>293</v>
      </c>
      <c r="DR358" s="63"/>
      <c r="DS358" s="198"/>
      <c r="DT358" s="108"/>
      <c r="DU358" s="108"/>
      <c r="DV358" s="182"/>
      <c r="DW358" s="182"/>
      <c r="DX358" s="182"/>
      <c r="DY358" s="182"/>
      <c r="DZ358" s="182"/>
      <c r="EA358" s="182"/>
      <c r="EB358" s="2"/>
      <c r="EC358" s="182"/>
      <c r="ED358" s="2"/>
      <c r="EE358" s="396" t="s">
        <v>3330</v>
      </c>
      <c r="EF358" s="68" t="s">
        <v>3331</v>
      </c>
      <c r="EG358" s="69" t="str">
        <f>image("https://www.serebii.net/diamondpearl/berries/51.png", 3)</f>
        <v/>
      </c>
      <c r="EH358" s="69"/>
      <c r="EI358" s="69"/>
    </row>
    <row r="359" ht="15.75" customHeight="1">
      <c r="A359" s="1">
        <v>359.0</v>
      </c>
      <c r="B359" s="2" t="s">
        <v>3332</v>
      </c>
      <c r="C359" s="7"/>
      <c r="D359" s="352" t="s">
        <v>3333</v>
      </c>
      <c r="E359" s="5"/>
      <c r="F359" s="7"/>
      <c r="G359" s="7"/>
      <c r="H359" s="8" t="s">
        <v>3334</v>
      </c>
      <c r="I359" s="9" t="s">
        <v>3335</v>
      </c>
      <c r="J359" s="355" t="str">
        <f>image("https://archives.bulbagarden.net/media/upload/0/07/359MS6.png", 3)</f>
        <v/>
      </c>
      <c r="K359" s="11" t="s">
        <v>3333</v>
      </c>
      <c r="L359" s="12"/>
      <c r="M359" s="12"/>
      <c r="N359" s="12"/>
      <c r="O359" s="12"/>
      <c r="Q359" s="71">
        <v>65.0</v>
      </c>
      <c r="R359" s="72">
        <v>130.0</v>
      </c>
      <c r="S359" s="73">
        <v>60.0</v>
      </c>
      <c r="T359" s="74">
        <v>75.0</v>
      </c>
      <c r="U359" s="75">
        <v>60.0</v>
      </c>
      <c r="V359" s="76">
        <v>75.0</v>
      </c>
      <c r="W359" s="77">
        <v>465.0</v>
      </c>
      <c r="X359" s="21"/>
      <c r="Y359" s="71">
        <v>65.0</v>
      </c>
      <c r="Z359" s="72">
        <v>130.0</v>
      </c>
      <c r="AA359" s="73">
        <v>60.0</v>
      </c>
      <c r="AB359" s="74">
        <v>75.0</v>
      </c>
      <c r="AC359" s="75">
        <v>60.0</v>
      </c>
      <c r="AD359" s="76">
        <v>75.0</v>
      </c>
      <c r="AE359" s="77">
        <v>465.0</v>
      </c>
      <c r="AF359" s="21"/>
      <c r="AG359" s="71">
        <v>65.0</v>
      </c>
      <c r="AH359" s="72">
        <v>130.0</v>
      </c>
      <c r="AI359" s="73">
        <v>60.0</v>
      </c>
      <c r="AJ359" s="109">
        <v>85.0</v>
      </c>
      <c r="AK359" s="75">
        <v>60.0</v>
      </c>
      <c r="AL359" s="109">
        <v>85.0</v>
      </c>
      <c r="AM359" s="110">
        <v>485.0</v>
      </c>
      <c r="AN359" s="21"/>
      <c r="AO359" s="22">
        <v>65.0</v>
      </c>
      <c r="AP359" s="23">
        <v>130.0</v>
      </c>
      <c r="AQ359" s="23">
        <v>60.0</v>
      </c>
      <c r="AR359" s="23" t="s">
        <v>1621</v>
      </c>
      <c r="AS359" s="23">
        <v>60.0</v>
      </c>
      <c r="AT359" s="23" t="s">
        <v>1621</v>
      </c>
      <c r="AU359" s="24" t="s">
        <v>521</v>
      </c>
      <c r="AV359" s="21"/>
      <c r="AW359" s="265">
        <v>65.0</v>
      </c>
      <c r="AX359" s="124">
        <v>130.0</v>
      </c>
      <c r="AY359" s="124">
        <v>60.0</v>
      </c>
      <c r="AZ359" s="111">
        <v>85.0</v>
      </c>
      <c r="BA359" s="124">
        <v>60.0</v>
      </c>
      <c r="BB359" s="111">
        <v>85.0</v>
      </c>
      <c r="BC359" s="111">
        <v>485.0</v>
      </c>
      <c r="BE359" s="172" t="s">
        <v>216</v>
      </c>
      <c r="BF359" s="113"/>
      <c r="BG359" s="210"/>
      <c r="BI359" s="31" t="s">
        <v>5</v>
      </c>
      <c r="BJ359" s="32">
        <v>2.0</v>
      </c>
      <c r="BK359" s="32" t="s">
        <v>5</v>
      </c>
      <c r="BL359" s="32" t="s">
        <v>5</v>
      </c>
      <c r="BM359" s="32" t="s">
        <v>5</v>
      </c>
      <c r="BN359" s="33" t="s">
        <v>5</v>
      </c>
      <c r="BP359" s="115" t="s">
        <v>76</v>
      </c>
      <c r="BQ359" s="93"/>
      <c r="BS359" s="115" t="s">
        <v>76</v>
      </c>
      <c r="BT359" s="133"/>
      <c r="BU359" s="37" t="str">
        <f t="shared" si="1"/>
        <v>#NAME?</v>
      </c>
      <c r="BV359" s="89" t="s">
        <v>76</v>
      </c>
      <c r="BW359" s="37" t="str">
        <f t="shared" si="2"/>
        <v>#NAME?</v>
      </c>
      <c r="BX359" s="89"/>
      <c r="BY359" s="39"/>
      <c r="BZ359" s="39"/>
      <c r="CA359" s="40" t="s">
        <v>76</v>
      </c>
      <c r="CB359" s="41"/>
      <c r="CC359" s="90" t="s">
        <v>76</v>
      </c>
      <c r="CD359" s="91"/>
      <c r="CE359" s="21"/>
      <c r="CF359" s="92" t="s">
        <v>1447</v>
      </c>
      <c r="CG359" s="93" t="s">
        <v>1734</v>
      </c>
      <c r="CH359" s="21"/>
      <c r="CI359" s="278" t="s">
        <v>1734</v>
      </c>
      <c r="CJ359" s="283" t="s">
        <v>1447</v>
      </c>
      <c r="CK359" s="21"/>
      <c r="CL359" s="22" t="s">
        <v>1928</v>
      </c>
      <c r="CM359" s="12"/>
      <c r="CN359" s="48"/>
      <c r="CO359" s="284" t="s">
        <v>1447</v>
      </c>
      <c r="CP359" s="21"/>
      <c r="CQ359" s="2" t="s">
        <v>3336</v>
      </c>
      <c r="CR359" s="97">
        <v>60.0</v>
      </c>
      <c r="CS359" s="2" t="s">
        <v>216</v>
      </c>
      <c r="CT359" s="98">
        <v>174.0</v>
      </c>
      <c r="CU359" s="2"/>
      <c r="CV359" s="52" t="s">
        <v>149</v>
      </c>
      <c r="CW359" s="52" t="s">
        <v>149</v>
      </c>
      <c r="CX359" s="2"/>
      <c r="CY359" s="119" t="s">
        <v>277</v>
      </c>
      <c r="CZ359" s="160"/>
      <c r="DA359" s="2"/>
      <c r="DB359" s="98">
        <v>30.0</v>
      </c>
      <c r="DC359" s="2"/>
      <c r="DD359" s="101" t="s">
        <v>15</v>
      </c>
      <c r="DE359" s="2"/>
      <c r="DF359" s="279" t="s">
        <v>914</v>
      </c>
      <c r="DG359" s="118" t="s">
        <v>3337</v>
      </c>
      <c r="DH359" s="160"/>
      <c r="DI359" s="2"/>
      <c r="DJ359" s="2"/>
      <c r="DK359" s="59" t="s">
        <v>3338</v>
      </c>
      <c r="DL359" s="37" t="s">
        <v>122</v>
      </c>
      <c r="DM359" s="37" t="str">
        <f t="shared" si="3"/>
        <v>#NAME?</v>
      </c>
      <c r="DN359" s="61"/>
      <c r="DO359" s="37" t="s">
        <v>19</v>
      </c>
      <c r="DP359" s="37" t="s">
        <v>19</v>
      </c>
      <c r="DQ359" s="62" t="s">
        <v>49</v>
      </c>
      <c r="DR359" s="63"/>
      <c r="DS359" s="198"/>
      <c r="DT359" s="108"/>
      <c r="DU359" s="108"/>
      <c r="DV359" s="182"/>
      <c r="DW359" s="182"/>
      <c r="DX359" s="182"/>
      <c r="DY359" s="182"/>
      <c r="DZ359" s="182"/>
      <c r="EA359" s="182"/>
      <c r="EB359" s="2"/>
      <c r="EC359" s="182"/>
      <c r="ED359" s="2"/>
      <c r="EE359" s="396" t="s">
        <v>3339</v>
      </c>
      <c r="EF359" s="68" t="s">
        <v>3340</v>
      </c>
      <c r="EG359" s="69" t="str">
        <f>image("https://www.serebii.net/diamondpearl/berries/52.png", 3)</f>
        <v/>
      </c>
      <c r="EH359" s="69"/>
      <c r="EI359" s="69"/>
    </row>
    <row r="360" ht="15.75" customHeight="1">
      <c r="A360" s="1">
        <v>360.0</v>
      </c>
      <c r="B360" s="2" t="s">
        <v>3341</v>
      </c>
      <c r="C360" s="7"/>
      <c r="D360" s="140" t="s">
        <v>3342</v>
      </c>
      <c r="E360" s="5"/>
      <c r="F360" s="141"/>
      <c r="G360" s="7"/>
      <c r="H360" s="8" t="s">
        <v>3343</v>
      </c>
      <c r="I360" s="9" t="s">
        <v>3344</v>
      </c>
      <c r="J360" s="355" t="str">
        <f>image("https://archives.bulbagarden.net/media/upload/8/82/360MS6.png", 3)</f>
        <v/>
      </c>
      <c r="K360" s="11" t="s">
        <v>3342</v>
      </c>
      <c r="L360" s="12"/>
      <c r="M360" s="12"/>
      <c r="N360" s="12"/>
      <c r="O360" s="12"/>
      <c r="Q360" s="71">
        <v>95.0</v>
      </c>
      <c r="R360" s="72">
        <v>23.0</v>
      </c>
      <c r="S360" s="73">
        <v>48.0</v>
      </c>
      <c r="T360" s="74">
        <v>23.0</v>
      </c>
      <c r="U360" s="75">
        <v>48.0</v>
      </c>
      <c r="V360" s="76">
        <v>23.0</v>
      </c>
      <c r="W360" s="77">
        <v>260.0</v>
      </c>
      <c r="X360" s="21"/>
      <c r="Y360" s="71">
        <v>95.0</v>
      </c>
      <c r="Z360" s="72">
        <v>23.0</v>
      </c>
      <c r="AA360" s="73">
        <v>48.0</v>
      </c>
      <c r="AB360" s="74">
        <v>23.0</v>
      </c>
      <c r="AC360" s="75">
        <v>48.0</v>
      </c>
      <c r="AD360" s="76">
        <v>23.0</v>
      </c>
      <c r="AE360" s="77">
        <v>260.0</v>
      </c>
      <c r="AF360" s="21"/>
      <c r="AG360" s="71">
        <v>95.0</v>
      </c>
      <c r="AH360" s="72">
        <v>23.0</v>
      </c>
      <c r="AI360" s="73">
        <v>48.0</v>
      </c>
      <c r="AJ360" s="74">
        <v>23.0</v>
      </c>
      <c r="AK360" s="75">
        <v>48.0</v>
      </c>
      <c r="AL360" s="76">
        <v>23.0</v>
      </c>
      <c r="AM360" s="77">
        <v>260.0</v>
      </c>
      <c r="AN360" s="21"/>
      <c r="AO360" s="22">
        <v>95.0</v>
      </c>
      <c r="AP360" s="23">
        <v>23.0</v>
      </c>
      <c r="AQ360" s="23">
        <v>48.0</v>
      </c>
      <c r="AR360" s="23">
        <v>23.0</v>
      </c>
      <c r="AS360" s="23">
        <v>48.0</v>
      </c>
      <c r="AT360" s="23">
        <v>23.0</v>
      </c>
      <c r="AU360" s="24">
        <v>260.0</v>
      </c>
      <c r="AV360" s="21"/>
      <c r="AW360" s="78">
        <v>95.0</v>
      </c>
      <c r="AX360" s="79">
        <v>23.0</v>
      </c>
      <c r="AY360" s="79">
        <v>48.0</v>
      </c>
      <c r="AZ360" s="124">
        <v>23.0</v>
      </c>
      <c r="BA360" s="79">
        <v>48.0</v>
      </c>
      <c r="BB360" s="124">
        <v>23.0</v>
      </c>
      <c r="BC360" s="125">
        <v>260.0</v>
      </c>
      <c r="BE360" s="151" t="s">
        <v>144</v>
      </c>
      <c r="BF360" s="386"/>
      <c r="BG360" s="128"/>
      <c r="BI360" s="31">
        <v>1.0</v>
      </c>
      <c r="BJ360" s="32" t="s">
        <v>5</v>
      </c>
      <c r="BK360" s="32" t="s">
        <v>5</v>
      </c>
      <c r="BL360" s="32" t="s">
        <v>5</v>
      </c>
      <c r="BM360" s="32" t="s">
        <v>5</v>
      </c>
      <c r="BN360" s="33" t="s">
        <v>5</v>
      </c>
      <c r="BP360" s="85" t="s">
        <v>122</v>
      </c>
      <c r="BQ360" s="129"/>
      <c r="BS360" s="87" t="s">
        <v>122</v>
      </c>
      <c r="BT360" s="130"/>
      <c r="BU360" s="37" t="str">
        <f t="shared" si="1"/>
        <v>#NAME?</v>
      </c>
      <c r="BV360" s="89" t="s">
        <v>122</v>
      </c>
      <c r="BW360" s="37" t="str">
        <f t="shared" si="2"/>
        <v>#NAME?</v>
      </c>
      <c r="BX360" s="89"/>
      <c r="BY360" s="39"/>
      <c r="BZ360" s="39"/>
      <c r="CA360" s="40" t="s">
        <v>122</v>
      </c>
      <c r="CB360" s="41"/>
      <c r="CC360" s="90" t="s">
        <v>122</v>
      </c>
      <c r="CD360" s="91"/>
      <c r="CE360" s="21"/>
      <c r="CF360" s="92" t="s">
        <v>1963</v>
      </c>
      <c r="CG360" s="93"/>
      <c r="CH360" s="21"/>
      <c r="CI360" s="175" t="s">
        <v>1963</v>
      </c>
      <c r="CJ360" s="195"/>
      <c r="CK360" s="21"/>
      <c r="CL360" s="22" t="s">
        <v>1963</v>
      </c>
      <c r="CM360" s="12"/>
      <c r="CN360" s="48"/>
      <c r="CO360" s="165"/>
      <c r="CP360" s="21"/>
      <c r="CQ360" s="2" t="s">
        <v>1996</v>
      </c>
      <c r="CR360" s="97">
        <v>40.0</v>
      </c>
      <c r="CS360" s="2" t="s">
        <v>144</v>
      </c>
      <c r="CT360" s="98">
        <v>44.0</v>
      </c>
      <c r="CU360" s="2"/>
      <c r="CV360" s="52" t="s">
        <v>149</v>
      </c>
      <c r="CW360" s="52" t="s">
        <v>149</v>
      </c>
      <c r="CX360" s="2"/>
      <c r="CY360" s="382" t="s">
        <v>411</v>
      </c>
      <c r="CZ360" s="385"/>
      <c r="DA360" s="2"/>
      <c r="DB360" s="98">
        <v>125.0</v>
      </c>
      <c r="DC360" s="2"/>
      <c r="DD360" s="101" t="s">
        <v>150</v>
      </c>
      <c r="DE360" s="2"/>
      <c r="DF360" s="387" t="s">
        <v>3345</v>
      </c>
      <c r="DG360" s="382"/>
      <c r="DH360" s="385"/>
      <c r="DI360" s="21"/>
      <c r="DJ360" s="21"/>
      <c r="DK360" s="59" t="s">
        <v>3346</v>
      </c>
      <c r="DL360" s="37" t="s">
        <v>120</v>
      </c>
      <c r="DM360" s="37" t="str">
        <f t="shared" si="3"/>
        <v>#NAME?</v>
      </c>
      <c r="DN360" s="61"/>
      <c r="DO360" s="37" t="s">
        <v>19</v>
      </c>
      <c r="DP360" s="37" t="s">
        <v>19</v>
      </c>
      <c r="DQ360" s="62" t="s">
        <v>49</v>
      </c>
      <c r="DR360" s="155"/>
      <c r="DS360" s="251"/>
      <c r="DT360" s="108"/>
      <c r="DU360" s="108"/>
      <c r="DV360" s="252"/>
      <c r="DW360" s="252"/>
      <c r="DX360" s="252"/>
      <c r="DY360" s="252"/>
      <c r="DZ360" s="252"/>
      <c r="EA360" s="182"/>
      <c r="EB360" s="2"/>
      <c r="EC360" s="182"/>
      <c r="ED360" s="2"/>
      <c r="EE360" s="396" t="s">
        <v>3347</v>
      </c>
      <c r="EF360" s="68" t="s">
        <v>3348</v>
      </c>
      <c r="EG360" s="69" t="str">
        <f>image("https://www.serebii.net/diamondpearl/berries/53.png", 3)</f>
        <v/>
      </c>
      <c r="EH360" s="69"/>
      <c r="EI360" s="69"/>
    </row>
    <row r="361" ht="15.75" customHeight="1">
      <c r="A361" s="1">
        <v>361.0</v>
      </c>
      <c r="B361" s="2" t="s">
        <v>3349</v>
      </c>
      <c r="C361" s="7"/>
      <c r="D361" s="247" t="s">
        <v>3350</v>
      </c>
      <c r="E361" s="5"/>
      <c r="F361" s="248"/>
      <c r="G361" s="7"/>
      <c r="H361" s="8" t="s">
        <v>3351</v>
      </c>
      <c r="I361" s="9" t="s">
        <v>3352</v>
      </c>
      <c r="J361" s="355" t="str">
        <f>image("https://archives.bulbagarden.net/media/upload/a/a2/361MS6.png", 3)</f>
        <v/>
      </c>
      <c r="K361" s="11" t="s">
        <v>3350</v>
      </c>
      <c r="L361" s="12"/>
      <c r="M361" s="12"/>
      <c r="N361" s="12"/>
      <c r="O361" s="12"/>
      <c r="Q361" s="71">
        <v>50.0</v>
      </c>
      <c r="R361" s="72">
        <v>50.0</v>
      </c>
      <c r="S361" s="73">
        <v>50.0</v>
      </c>
      <c r="T361" s="74">
        <v>50.0</v>
      </c>
      <c r="U361" s="75">
        <v>50.0</v>
      </c>
      <c r="V361" s="76">
        <v>50.0</v>
      </c>
      <c r="W361" s="77">
        <v>300.0</v>
      </c>
      <c r="X361" s="21"/>
      <c r="Y361" s="71">
        <v>50.0</v>
      </c>
      <c r="Z361" s="72">
        <v>50.0</v>
      </c>
      <c r="AA361" s="73">
        <v>50.0</v>
      </c>
      <c r="AB361" s="74">
        <v>50.0</v>
      </c>
      <c r="AC361" s="75">
        <v>50.0</v>
      </c>
      <c r="AD361" s="76">
        <v>50.0</v>
      </c>
      <c r="AE361" s="77">
        <v>300.0</v>
      </c>
      <c r="AF361" s="21"/>
      <c r="AG361" s="71">
        <v>50.0</v>
      </c>
      <c r="AH361" s="72">
        <v>50.0</v>
      </c>
      <c r="AI361" s="73">
        <v>50.0</v>
      </c>
      <c r="AJ361" s="74">
        <v>50.0</v>
      </c>
      <c r="AK361" s="75">
        <v>50.0</v>
      </c>
      <c r="AL361" s="76">
        <v>50.0</v>
      </c>
      <c r="AM361" s="77">
        <v>300.0</v>
      </c>
      <c r="AN361" s="21"/>
      <c r="AO361" s="22">
        <v>50.0</v>
      </c>
      <c r="AP361" s="23">
        <v>50.0</v>
      </c>
      <c r="AQ361" s="23">
        <v>50.0</v>
      </c>
      <c r="AR361" s="23">
        <v>50.0</v>
      </c>
      <c r="AS361" s="23">
        <v>50.0</v>
      </c>
      <c r="AT361" s="23">
        <v>50.0</v>
      </c>
      <c r="AU361" s="24">
        <v>300.0</v>
      </c>
      <c r="AV361" s="21"/>
      <c r="AW361" s="78">
        <v>50.0</v>
      </c>
      <c r="AX361" s="80">
        <v>50.0</v>
      </c>
      <c r="AY361" s="80">
        <v>50.0</v>
      </c>
      <c r="AZ361" s="80">
        <v>50.0</v>
      </c>
      <c r="BA361" s="80">
        <v>50.0</v>
      </c>
      <c r="BB361" s="79">
        <v>50.0</v>
      </c>
      <c r="BC361" s="81">
        <v>300.0</v>
      </c>
      <c r="BE361" s="151" t="s">
        <v>144</v>
      </c>
      <c r="BF361" s="143"/>
      <c r="BG361" s="128"/>
      <c r="BI361" s="31">
        <v>1.0</v>
      </c>
      <c r="BJ361" s="32" t="s">
        <v>5</v>
      </c>
      <c r="BK361" s="32" t="s">
        <v>5</v>
      </c>
      <c r="BL361" s="32" t="s">
        <v>5</v>
      </c>
      <c r="BM361" s="32" t="s">
        <v>5</v>
      </c>
      <c r="BN361" s="33" t="s">
        <v>5</v>
      </c>
      <c r="BP361" s="115" t="s">
        <v>120</v>
      </c>
      <c r="BQ361" s="93"/>
      <c r="BS361" s="115" t="s">
        <v>120</v>
      </c>
      <c r="BT361" s="133"/>
      <c r="BU361" s="37" t="str">
        <f t="shared" si="1"/>
        <v>#NAME?</v>
      </c>
      <c r="BV361" s="89" t="s">
        <v>120</v>
      </c>
      <c r="BW361" s="37" t="str">
        <f t="shared" si="2"/>
        <v>#NAME?</v>
      </c>
      <c r="BX361" s="89"/>
      <c r="BY361" s="134"/>
      <c r="BZ361" s="134"/>
      <c r="CA361" s="135" t="s">
        <v>120</v>
      </c>
      <c r="CB361" s="136"/>
      <c r="CC361" s="90" t="s">
        <v>120</v>
      </c>
      <c r="CD361" s="137"/>
      <c r="CE361" s="21"/>
      <c r="CF361" s="92" t="s">
        <v>530</v>
      </c>
      <c r="CG361" s="93" t="s">
        <v>3353</v>
      </c>
      <c r="CH361" s="21"/>
      <c r="CI361" s="92" t="s">
        <v>530</v>
      </c>
      <c r="CJ361" s="93" t="s">
        <v>3353</v>
      </c>
      <c r="CK361" s="21"/>
      <c r="CL361" s="22" t="s">
        <v>530</v>
      </c>
      <c r="CM361" s="12"/>
      <c r="CN361" s="48"/>
      <c r="CO361" s="96" t="s">
        <v>3353</v>
      </c>
      <c r="CP361" s="21"/>
      <c r="CQ361" s="2" t="s">
        <v>3354</v>
      </c>
      <c r="CR361" s="97">
        <v>40.0</v>
      </c>
      <c r="CS361" s="2" t="s">
        <v>144</v>
      </c>
      <c r="CT361" s="98">
        <v>74.0</v>
      </c>
      <c r="CU361" s="2"/>
      <c r="CV361" s="52" t="s">
        <v>149</v>
      </c>
      <c r="CW361" s="52" t="s">
        <v>149</v>
      </c>
      <c r="CX361" s="2"/>
      <c r="CY361" s="118" t="s">
        <v>153</v>
      </c>
      <c r="CZ361" s="119" t="s">
        <v>826</v>
      </c>
      <c r="DA361" s="2"/>
      <c r="DB361" s="98">
        <v>190.0</v>
      </c>
      <c r="DC361" s="2"/>
      <c r="DD361" s="101" t="s">
        <v>150</v>
      </c>
      <c r="DE361" s="2"/>
      <c r="DF361" s="276" t="s">
        <v>3355</v>
      </c>
      <c r="DG361" s="119"/>
      <c r="DH361" s="119"/>
      <c r="DI361" s="21"/>
      <c r="DJ361" s="21"/>
      <c r="DK361" s="59" t="s">
        <v>3356</v>
      </c>
      <c r="DL361" s="37" t="s">
        <v>156</v>
      </c>
      <c r="DM361" s="37" t="str">
        <f t="shared" si="3"/>
        <v>#NAME?</v>
      </c>
      <c r="DN361" s="61"/>
      <c r="DO361" s="37" t="s">
        <v>19</v>
      </c>
      <c r="DP361" s="37" t="s">
        <v>19</v>
      </c>
      <c r="DQ361" s="62" t="s">
        <v>342</v>
      </c>
      <c r="DR361" s="63"/>
      <c r="DS361" s="198"/>
      <c r="DT361" s="108"/>
      <c r="DU361" s="108"/>
      <c r="DV361" s="182"/>
      <c r="DW361" s="182"/>
      <c r="DX361" s="182"/>
      <c r="DY361" s="182"/>
      <c r="DZ361" s="182"/>
      <c r="EA361" s="182"/>
      <c r="EB361" s="2"/>
      <c r="EC361" s="182"/>
      <c r="ED361" s="2"/>
      <c r="EE361" s="396" t="s">
        <v>3357</v>
      </c>
      <c r="EF361" s="68" t="s">
        <v>3358</v>
      </c>
      <c r="EG361" s="69" t="str">
        <f>image("https://www.serebii.net/diamondpearl/berries/54.png", 3)</f>
        <v/>
      </c>
      <c r="EH361" s="69"/>
      <c r="EI361" s="69"/>
    </row>
    <row r="362" ht="15.75" customHeight="1">
      <c r="A362" s="1">
        <v>362.0</v>
      </c>
      <c r="B362" s="2" t="s">
        <v>3359</v>
      </c>
      <c r="C362" s="7"/>
      <c r="D362" s="247" t="s">
        <v>3360</v>
      </c>
      <c r="E362" s="5"/>
      <c r="F362" s="248"/>
      <c r="G362" s="7"/>
      <c r="H362" s="8" t="s">
        <v>3361</v>
      </c>
      <c r="I362" s="9" t="s">
        <v>3362</v>
      </c>
      <c r="J362" s="355" t="str">
        <f>image("https://archives.bulbagarden.net/media/upload/5/50/362MS6.png", 3)</f>
        <v/>
      </c>
      <c r="K362" s="11" t="s">
        <v>3360</v>
      </c>
      <c r="L362" s="12"/>
      <c r="M362" s="12"/>
      <c r="N362" s="12"/>
      <c r="O362" s="12"/>
      <c r="Q362" s="71">
        <v>80.0</v>
      </c>
      <c r="R362" s="72">
        <v>80.0</v>
      </c>
      <c r="S362" s="73">
        <v>80.0</v>
      </c>
      <c r="T362" s="74">
        <v>80.0</v>
      </c>
      <c r="U362" s="75">
        <v>80.0</v>
      </c>
      <c r="V362" s="76">
        <v>80.0</v>
      </c>
      <c r="W362" s="77">
        <v>480.0</v>
      </c>
      <c r="X362" s="21"/>
      <c r="Y362" s="71">
        <v>80.0</v>
      </c>
      <c r="Z362" s="72">
        <v>80.0</v>
      </c>
      <c r="AA362" s="73">
        <v>80.0</v>
      </c>
      <c r="AB362" s="74">
        <v>80.0</v>
      </c>
      <c r="AC362" s="75">
        <v>80.0</v>
      </c>
      <c r="AD362" s="76">
        <v>80.0</v>
      </c>
      <c r="AE362" s="77">
        <v>480.0</v>
      </c>
      <c r="AF362" s="21"/>
      <c r="AG362" s="71">
        <v>80.0</v>
      </c>
      <c r="AH362" s="109">
        <v>110.0</v>
      </c>
      <c r="AI362" s="109">
        <v>110.0</v>
      </c>
      <c r="AJ362" s="162">
        <v>60.0</v>
      </c>
      <c r="AK362" s="162">
        <v>60.0</v>
      </c>
      <c r="AL362" s="76">
        <v>80.0</v>
      </c>
      <c r="AM362" s="110">
        <v>500.0</v>
      </c>
      <c r="AN362" s="21"/>
      <c r="AO362" s="22">
        <v>80.0</v>
      </c>
      <c r="AP362" s="23" t="s">
        <v>40</v>
      </c>
      <c r="AQ362" s="23" t="s">
        <v>40</v>
      </c>
      <c r="AR362" s="23" t="s">
        <v>257</v>
      </c>
      <c r="AS362" s="23" t="s">
        <v>257</v>
      </c>
      <c r="AT362" s="23">
        <v>80.0</v>
      </c>
      <c r="AU362" s="24" t="s">
        <v>745</v>
      </c>
      <c r="AV362" s="21"/>
      <c r="AW362" s="78">
        <v>80.0</v>
      </c>
      <c r="AX362" s="111">
        <v>110.0</v>
      </c>
      <c r="AY362" s="187">
        <v>110.0</v>
      </c>
      <c r="AZ362" s="163">
        <v>60.0</v>
      </c>
      <c r="BA362" s="163">
        <v>60.0</v>
      </c>
      <c r="BB362" s="79">
        <v>80.0</v>
      </c>
      <c r="BC362" s="111">
        <v>500.0</v>
      </c>
      <c r="BE362" s="203" t="s">
        <v>409</v>
      </c>
      <c r="BF362" s="113"/>
      <c r="BG362" s="384"/>
      <c r="BI362" s="31">
        <v>2.0</v>
      </c>
      <c r="BJ362" s="32" t="s">
        <v>5</v>
      </c>
      <c r="BK362" s="32" t="s">
        <v>5</v>
      </c>
      <c r="BL362" s="32" t="s">
        <v>5</v>
      </c>
      <c r="BM362" s="32" t="s">
        <v>5</v>
      </c>
      <c r="BN362" s="33" t="s">
        <v>5</v>
      </c>
      <c r="BP362" s="85" t="s">
        <v>120</v>
      </c>
      <c r="BQ362" s="129"/>
      <c r="BS362" s="87" t="s">
        <v>120</v>
      </c>
      <c r="BT362" s="130"/>
      <c r="BU362" s="37" t="str">
        <f t="shared" si="1"/>
        <v>#NAME?</v>
      </c>
      <c r="BV362" s="89" t="s">
        <v>120</v>
      </c>
      <c r="BW362" s="37" t="str">
        <f t="shared" si="2"/>
        <v>#NAME?</v>
      </c>
      <c r="BX362" s="89" t="s">
        <v>319</v>
      </c>
      <c r="BY362" s="39"/>
      <c r="BZ362" s="39"/>
      <c r="CA362" s="40" t="s">
        <v>3363</v>
      </c>
      <c r="CB362" s="41"/>
      <c r="CC362" s="37" t="s">
        <v>120</v>
      </c>
      <c r="CD362" s="139" t="s">
        <v>66</v>
      </c>
      <c r="CE362" s="21"/>
      <c r="CF362" s="92" t="s">
        <v>530</v>
      </c>
      <c r="CG362" s="93" t="s">
        <v>3353</v>
      </c>
      <c r="CH362" s="21"/>
      <c r="CI362" s="92" t="s">
        <v>530</v>
      </c>
      <c r="CJ362" s="93" t="s">
        <v>3353</v>
      </c>
      <c r="CK362" s="21"/>
      <c r="CL362" s="22" t="s">
        <v>88</v>
      </c>
      <c r="CM362" s="12"/>
      <c r="CN362" s="48"/>
      <c r="CO362" s="96" t="s">
        <v>3353</v>
      </c>
      <c r="CP362" s="21"/>
      <c r="CQ362" s="2" t="s">
        <v>3364</v>
      </c>
      <c r="CR362" s="97">
        <v>120.0</v>
      </c>
      <c r="CS362" s="2" t="s">
        <v>409</v>
      </c>
      <c r="CT362" s="98">
        <v>187.0</v>
      </c>
      <c r="CU362" s="2"/>
      <c r="CV362" s="52" t="s">
        <v>149</v>
      </c>
      <c r="CW362" s="52" t="s">
        <v>149</v>
      </c>
      <c r="CX362" s="2"/>
      <c r="CY362" s="381" t="s">
        <v>153</v>
      </c>
      <c r="CZ362" s="382" t="s">
        <v>826</v>
      </c>
      <c r="DA362" s="2"/>
      <c r="DB362" s="98">
        <v>75.0</v>
      </c>
      <c r="DC362" s="2"/>
      <c r="DD362" s="101" t="s">
        <v>150</v>
      </c>
      <c r="DE362" s="2"/>
      <c r="DF362" s="159" t="s">
        <v>3365</v>
      </c>
      <c r="DG362" s="382"/>
      <c r="DH362" s="382"/>
      <c r="DI362" s="2"/>
      <c r="DJ362" s="2"/>
      <c r="DK362" s="59" t="s">
        <v>3366</v>
      </c>
      <c r="DL362" s="37" t="s">
        <v>120</v>
      </c>
      <c r="DM362" s="37" t="str">
        <f t="shared" si="3"/>
        <v>#NAME?</v>
      </c>
      <c r="DN362" s="61"/>
      <c r="DO362" s="37" t="s">
        <v>19</v>
      </c>
      <c r="DP362" s="37" t="s">
        <v>19</v>
      </c>
      <c r="DQ362" s="62" t="s">
        <v>342</v>
      </c>
      <c r="DR362" s="63"/>
      <c r="DS362" s="198"/>
      <c r="DT362" s="108"/>
      <c r="DU362" s="108"/>
      <c r="DV362" s="182"/>
      <c r="DW362" s="182"/>
      <c r="DX362" s="182"/>
      <c r="DY362" s="182"/>
      <c r="DZ362" s="182"/>
      <c r="EA362" s="182"/>
      <c r="EB362" s="2"/>
      <c r="EC362" s="182"/>
      <c r="ED362" s="2"/>
      <c r="EE362" s="396" t="s">
        <v>3367</v>
      </c>
      <c r="EF362" s="68" t="s">
        <v>3368</v>
      </c>
      <c r="EG362" s="69" t="str">
        <f>image("https://www.serebii.net/diamondpearl/berries/55.png", 3)</f>
        <v/>
      </c>
      <c r="EH362" s="69"/>
      <c r="EI362" s="69"/>
    </row>
    <row r="363" ht="15.75" customHeight="1">
      <c r="A363" s="1">
        <v>363.0</v>
      </c>
      <c r="B363" s="2" t="s">
        <v>3369</v>
      </c>
      <c r="C363" s="7"/>
      <c r="D363" s="140" t="s">
        <v>3370</v>
      </c>
      <c r="E363" s="5"/>
      <c r="F363" s="141"/>
      <c r="G363" s="7"/>
      <c r="H363" s="8" t="s">
        <v>3371</v>
      </c>
      <c r="I363" s="9" t="s">
        <v>3372</v>
      </c>
      <c r="J363" s="355" t="str">
        <f>image("https://archives.bulbagarden.net/media/upload/2/26/363MS6.png", 3)</f>
        <v/>
      </c>
      <c r="K363" s="11" t="s">
        <v>3370</v>
      </c>
      <c r="L363" s="12"/>
      <c r="M363" s="12"/>
      <c r="N363" s="12"/>
      <c r="O363" s="12"/>
      <c r="Q363" s="71">
        <v>70.0</v>
      </c>
      <c r="R363" s="72">
        <v>40.0</v>
      </c>
      <c r="S363" s="73">
        <v>50.0</v>
      </c>
      <c r="T363" s="74">
        <v>55.0</v>
      </c>
      <c r="U363" s="75">
        <v>50.0</v>
      </c>
      <c r="V363" s="76">
        <v>25.0</v>
      </c>
      <c r="W363" s="77">
        <v>290.0</v>
      </c>
      <c r="X363" s="21"/>
      <c r="Y363" s="71">
        <v>70.0</v>
      </c>
      <c r="Z363" s="72">
        <v>40.0</v>
      </c>
      <c r="AA363" s="73">
        <v>50.0</v>
      </c>
      <c r="AB363" s="74">
        <v>55.0</v>
      </c>
      <c r="AC363" s="75">
        <v>50.0</v>
      </c>
      <c r="AD363" s="76">
        <v>25.0</v>
      </c>
      <c r="AE363" s="77">
        <v>290.0</v>
      </c>
      <c r="AF363" s="21"/>
      <c r="AG363" s="71">
        <v>70.0</v>
      </c>
      <c r="AH363" s="72">
        <v>40.0</v>
      </c>
      <c r="AI363" s="73">
        <v>50.0</v>
      </c>
      <c r="AJ363" s="74">
        <v>55.0</v>
      </c>
      <c r="AK363" s="75">
        <v>50.0</v>
      </c>
      <c r="AL363" s="76">
        <v>25.0</v>
      </c>
      <c r="AM363" s="77">
        <v>290.0</v>
      </c>
      <c r="AN363" s="21"/>
      <c r="AO363" s="22">
        <v>70.0</v>
      </c>
      <c r="AP363" s="23">
        <v>40.0</v>
      </c>
      <c r="AQ363" s="23">
        <v>50.0</v>
      </c>
      <c r="AR363" s="23">
        <v>55.0</v>
      </c>
      <c r="AS363" s="23">
        <v>50.0</v>
      </c>
      <c r="AT363" s="23">
        <v>25.0</v>
      </c>
      <c r="AU363" s="24">
        <v>290.0</v>
      </c>
      <c r="AV363" s="21"/>
      <c r="AW363" s="78">
        <v>70.0</v>
      </c>
      <c r="AX363" s="124">
        <v>40.0</v>
      </c>
      <c r="AY363" s="124">
        <v>50.0</v>
      </c>
      <c r="AZ363" s="124">
        <v>55.0</v>
      </c>
      <c r="BA363" s="124">
        <v>50.0</v>
      </c>
      <c r="BB363" s="79">
        <v>25.0</v>
      </c>
      <c r="BC363" s="125">
        <v>290.0</v>
      </c>
      <c r="BE363" s="151" t="s">
        <v>144</v>
      </c>
      <c r="BF363" s="143"/>
      <c r="BG363" s="128"/>
      <c r="BI363" s="31">
        <v>1.0</v>
      </c>
      <c r="BJ363" s="32" t="s">
        <v>5</v>
      </c>
      <c r="BK363" s="32" t="s">
        <v>5</v>
      </c>
      <c r="BL363" s="32" t="s">
        <v>5</v>
      </c>
      <c r="BM363" s="32" t="s">
        <v>5</v>
      </c>
      <c r="BN363" s="33" t="s">
        <v>5</v>
      </c>
      <c r="BP363" s="115" t="s">
        <v>120</v>
      </c>
      <c r="BQ363" s="116" t="s">
        <v>32</v>
      </c>
      <c r="BS363" s="115" t="s">
        <v>120</v>
      </c>
      <c r="BT363" s="117" t="s">
        <v>32</v>
      </c>
      <c r="BU363" s="37" t="str">
        <f t="shared" si="1"/>
        <v>#NAME?</v>
      </c>
      <c r="BV363" s="89" t="s">
        <v>120</v>
      </c>
      <c r="BW363" s="37" t="str">
        <f t="shared" si="2"/>
        <v>#NAME?</v>
      </c>
      <c r="BX363" s="89" t="s">
        <v>32</v>
      </c>
      <c r="BY363" s="144"/>
      <c r="BZ363" s="144"/>
      <c r="CA363" s="145" t="s">
        <v>3373</v>
      </c>
      <c r="CB363" s="146"/>
      <c r="CC363" s="90" t="s">
        <v>120</v>
      </c>
      <c r="CD363" s="147" t="s">
        <v>32</v>
      </c>
      <c r="CE363" s="2"/>
      <c r="CF363" s="92" t="s">
        <v>944</v>
      </c>
      <c r="CG363" s="93" t="s">
        <v>3353</v>
      </c>
      <c r="CH363" s="2"/>
      <c r="CI363" s="92" t="s">
        <v>944</v>
      </c>
      <c r="CJ363" s="93" t="s">
        <v>3353</v>
      </c>
      <c r="CK363" s="2"/>
      <c r="CL363" s="22" t="s">
        <v>944</v>
      </c>
      <c r="CM363" s="12"/>
      <c r="CN363" s="48"/>
      <c r="CO363" s="96" t="s">
        <v>3353</v>
      </c>
      <c r="CP363" s="2"/>
      <c r="CQ363" s="2" t="s">
        <v>263</v>
      </c>
      <c r="CR363" s="97">
        <v>60.0</v>
      </c>
      <c r="CS363" s="2" t="s">
        <v>144</v>
      </c>
      <c r="CT363" s="98">
        <v>75.0</v>
      </c>
      <c r="CU363" s="2"/>
      <c r="CV363" s="52" t="s">
        <v>149</v>
      </c>
      <c r="CW363" s="52" t="s">
        <v>149</v>
      </c>
      <c r="CX363" s="2"/>
      <c r="CY363" s="118" t="s">
        <v>106</v>
      </c>
      <c r="CZ363" s="119" t="s">
        <v>277</v>
      </c>
      <c r="DA363" s="2"/>
      <c r="DB363" s="98">
        <v>255.0</v>
      </c>
      <c r="DC363" s="2"/>
      <c r="DD363" s="101" t="s">
        <v>15</v>
      </c>
      <c r="DE363" s="2"/>
      <c r="DF363" s="254" t="s">
        <v>3374</v>
      </c>
      <c r="DG363" s="119"/>
      <c r="DH363" s="119"/>
      <c r="DI363" s="21"/>
      <c r="DJ363" s="21"/>
      <c r="DK363" s="59" t="s">
        <v>3375</v>
      </c>
      <c r="DL363" s="37" t="s">
        <v>156</v>
      </c>
      <c r="DM363" s="37" t="str">
        <f t="shared" si="3"/>
        <v>#NAME?</v>
      </c>
      <c r="DN363" s="61"/>
      <c r="DO363" s="37" t="s">
        <v>19</v>
      </c>
      <c r="DP363" s="37" t="s">
        <v>19</v>
      </c>
      <c r="DQ363" s="62" t="s">
        <v>293</v>
      </c>
      <c r="DR363" s="63"/>
      <c r="DS363" s="198"/>
      <c r="DT363" s="108"/>
      <c r="DU363" s="108"/>
      <c r="DV363" s="182"/>
      <c r="DW363" s="182"/>
      <c r="DX363" s="182"/>
      <c r="DY363" s="182"/>
      <c r="DZ363" s="182"/>
      <c r="EA363" s="182"/>
      <c r="EB363" s="2"/>
      <c r="EC363" s="182"/>
      <c r="ED363" s="2"/>
      <c r="EE363" s="396" t="s">
        <v>3376</v>
      </c>
      <c r="EF363" s="68" t="s">
        <v>3377</v>
      </c>
      <c r="EG363" s="69" t="str">
        <f>image("https://www.serebii.net/diamondpearl/berries/56.png", 3)</f>
        <v/>
      </c>
      <c r="EH363" s="69"/>
      <c r="EI363" s="69"/>
    </row>
    <row r="364" ht="15.75" customHeight="1">
      <c r="A364" s="1">
        <v>364.0</v>
      </c>
      <c r="B364" s="2" t="s">
        <v>3378</v>
      </c>
      <c r="C364" s="7"/>
      <c r="D364" s="140" t="s">
        <v>3379</v>
      </c>
      <c r="E364" s="5"/>
      <c r="F364" s="141"/>
      <c r="G364" s="7"/>
      <c r="H364" s="8" t="s">
        <v>3380</v>
      </c>
      <c r="I364" s="9" t="s">
        <v>3381</v>
      </c>
      <c r="J364" s="355" t="str">
        <f>image("https://archives.bulbagarden.net/media/upload/0/09/364MS6.png", 3)</f>
        <v/>
      </c>
      <c r="K364" s="11" t="s">
        <v>3379</v>
      </c>
      <c r="L364" s="12"/>
      <c r="M364" s="12"/>
      <c r="N364" s="12"/>
      <c r="O364" s="12"/>
      <c r="Q364" s="71">
        <v>90.0</v>
      </c>
      <c r="R364" s="72">
        <v>60.0</v>
      </c>
      <c r="S364" s="73">
        <v>70.0</v>
      </c>
      <c r="T364" s="74">
        <v>75.0</v>
      </c>
      <c r="U364" s="75">
        <v>70.0</v>
      </c>
      <c r="V364" s="76">
        <v>45.0</v>
      </c>
      <c r="W364" s="77">
        <v>410.0</v>
      </c>
      <c r="X364" s="21"/>
      <c r="Y364" s="71">
        <v>90.0</v>
      </c>
      <c r="Z364" s="72">
        <v>60.0</v>
      </c>
      <c r="AA364" s="73">
        <v>70.0</v>
      </c>
      <c r="AB364" s="74">
        <v>75.0</v>
      </c>
      <c r="AC364" s="75">
        <v>70.0</v>
      </c>
      <c r="AD364" s="76">
        <v>45.0</v>
      </c>
      <c r="AE364" s="77">
        <v>410.0</v>
      </c>
      <c r="AF364" s="21"/>
      <c r="AG364" s="71">
        <v>90.0</v>
      </c>
      <c r="AH364" s="72">
        <v>60.0</v>
      </c>
      <c r="AI364" s="73">
        <v>70.0</v>
      </c>
      <c r="AJ364" s="74">
        <v>75.0</v>
      </c>
      <c r="AK364" s="75">
        <v>70.0</v>
      </c>
      <c r="AL364" s="76">
        <v>45.0</v>
      </c>
      <c r="AM364" s="77">
        <v>410.0</v>
      </c>
      <c r="AN364" s="21"/>
      <c r="AO364" s="22">
        <v>90.0</v>
      </c>
      <c r="AP364" s="23">
        <v>60.0</v>
      </c>
      <c r="AQ364" s="23">
        <v>70.0</v>
      </c>
      <c r="AR364" s="23">
        <v>75.0</v>
      </c>
      <c r="AS364" s="23">
        <v>70.0</v>
      </c>
      <c r="AT364" s="23">
        <v>45.0</v>
      </c>
      <c r="AU364" s="24">
        <v>410.0</v>
      </c>
      <c r="AV364" s="21"/>
      <c r="AW364" s="78">
        <v>90.0</v>
      </c>
      <c r="AX364" s="79">
        <v>60.0</v>
      </c>
      <c r="AY364" s="79">
        <v>70.0</v>
      </c>
      <c r="AZ364" s="79">
        <v>75.0</v>
      </c>
      <c r="BA364" s="79">
        <v>70.0</v>
      </c>
      <c r="BB364" s="79">
        <v>45.0</v>
      </c>
      <c r="BC364" s="201">
        <v>410.0</v>
      </c>
      <c r="BE364" s="203" t="s">
        <v>409</v>
      </c>
      <c r="BF364" s="113"/>
      <c r="BG364" s="384"/>
      <c r="BI364" s="31">
        <v>2.0</v>
      </c>
      <c r="BJ364" s="32" t="s">
        <v>5</v>
      </c>
      <c r="BK364" s="32" t="s">
        <v>5</v>
      </c>
      <c r="BL364" s="32" t="s">
        <v>5</v>
      </c>
      <c r="BM364" s="32" t="s">
        <v>5</v>
      </c>
      <c r="BN364" s="33" t="s">
        <v>5</v>
      </c>
      <c r="BP364" s="85" t="s">
        <v>120</v>
      </c>
      <c r="BQ364" s="86" t="s">
        <v>32</v>
      </c>
      <c r="BS364" s="87" t="s">
        <v>120</v>
      </c>
      <c r="BT364" s="88" t="s">
        <v>32</v>
      </c>
      <c r="BU364" s="37" t="str">
        <f t="shared" si="1"/>
        <v>#NAME?</v>
      </c>
      <c r="BV364" s="89" t="s">
        <v>120</v>
      </c>
      <c r="BW364" s="37" t="str">
        <f t="shared" si="2"/>
        <v>#NAME?</v>
      </c>
      <c r="BX364" s="89" t="s">
        <v>32</v>
      </c>
      <c r="BY364" s="39"/>
      <c r="BZ364" s="39"/>
      <c r="CA364" s="40" t="s">
        <v>3373</v>
      </c>
      <c r="CB364" s="41"/>
      <c r="CC364" s="90" t="s">
        <v>120</v>
      </c>
      <c r="CD364" s="91" t="s">
        <v>32</v>
      </c>
      <c r="CE364" s="2"/>
      <c r="CF364" s="92" t="s">
        <v>944</v>
      </c>
      <c r="CG364" s="93" t="s">
        <v>3353</v>
      </c>
      <c r="CH364" s="2"/>
      <c r="CI364" s="92" t="s">
        <v>944</v>
      </c>
      <c r="CJ364" s="93" t="s">
        <v>3353</v>
      </c>
      <c r="CK364" s="2"/>
      <c r="CL364" s="22" t="s">
        <v>944</v>
      </c>
      <c r="CM364" s="12"/>
      <c r="CN364" s="48"/>
      <c r="CO364" s="96" t="s">
        <v>3353</v>
      </c>
      <c r="CP364" s="2"/>
      <c r="CQ364" s="2" t="s">
        <v>3382</v>
      </c>
      <c r="CR364" s="97">
        <v>80.0</v>
      </c>
      <c r="CS364" s="2" t="s">
        <v>409</v>
      </c>
      <c r="CT364" s="98">
        <v>128.0</v>
      </c>
      <c r="CU364" s="2"/>
      <c r="CV364" s="52" t="s">
        <v>149</v>
      </c>
      <c r="CW364" s="52" t="s">
        <v>149</v>
      </c>
      <c r="CX364" s="2"/>
      <c r="CY364" s="381" t="s">
        <v>106</v>
      </c>
      <c r="CZ364" s="382" t="s">
        <v>277</v>
      </c>
      <c r="DA364" s="2"/>
      <c r="DB364" s="98">
        <v>120.0</v>
      </c>
      <c r="DC364" s="2"/>
      <c r="DD364" s="101" t="s">
        <v>15</v>
      </c>
      <c r="DE364" s="2"/>
      <c r="DF364" s="192" t="s">
        <v>3383</v>
      </c>
      <c r="DG364" s="382"/>
      <c r="DH364" s="382"/>
      <c r="DI364" s="2"/>
      <c r="DJ364" s="2"/>
      <c r="DK364" s="59" t="s">
        <v>3384</v>
      </c>
      <c r="DL364" s="37" t="s">
        <v>122</v>
      </c>
      <c r="DM364" s="37" t="str">
        <f t="shared" si="3"/>
        <v>#NAME?</v>
      </c>
      <c r="DN364" s="61"/>
      <c r="DO364" s="37" t="s">
        <v>19</v>
      </c>
      <c r="DP364" s="105">
        <v>1.0</v>
      </c>
      <c r="DQ364" s="62" t="s">
        <v>93</v>
      </c>
      <c r="DR364" s="63"/>
      <c r="DS364" s="198"/>
      <c r="DT364" s="108"/>
      <c r="DU364" s="108"/>
      <c r="DV364" s="182"/>
      <c r="DW364" s="182"/>
      <c r="DX364" s="182"/>
      <c r="DY364" s="182"/>
      <c r="DZ364" s="182"/>
      <c r="EA364" s="182"/>
      <c r="EB364" s="2"/>
      <c r="EC364" s="182"/>
      <c r="ED364" s="2"/>
      <c r="EE364" s="396" t="s">
        <v>3385</v>
      </c>
      <c r="EF364" s="68" t="s">
        <v>3386</v>
      </c>
      <c r="EG364" s="69" t="str">
        <f>image("https://www.serebii.net/diamondpearl/berries/57.png", 3)</f>
        <v/>
      </c>
      <c r="EH364" s="69"/>
      <c r="EI364" s="69"/>
    </row>
    <row r="365" ht="15.75" customHeight="1">
      <c r="A365" s="1">
        <v>365.0</v>
      </c>
      <c r="B365" s="2" t="s">
        <v>3387</v>
      </c>
      <c r="C365" s="7"/>
      <c r="D365" s="140" t="s">
        <v>3388</v>
      </c>
      <c r="E365" s="5"/>
      <c r="F365" s="141"/>
      <c r="G365" s="7"/>
      <c r="H365" s="8" t="s">
        <v>3389</v>
      </c>
      <c r="I365" s="9" t="s">
        <v>3390</v>
      </c>
      <c r="J365" s="355" t="str">
        <f>image("https://archives.bulbagarden.net/media/upload/b/b8/365MS6.png", 3)</f>
        <v/>
      </c>
      <c r="K365" s="11" t="s">
        <v>3388</v>
      </c>
      <c r="L365" s="12"/>
      <c r="M365" s="12"/>
      <c r="N365" s="12"/>
      <c r="O365" s="12"/>
      <c r="Q365" s="71">
        <v>110.0</v>
      </c>
      <c r="R365" s="72">
        <v>80.0</v>
      </c>
      <c r="S365" s="73">
        <v>90.0</v>
      </c>
      <c r="T365" s="74">
        <v>95.0</v>
      </c>
      <c r="U365" s="75">
        <v>90.0</v>
      </c>
      <c r="V365" s="76">
        <v>65.0</v>
      </c>
      <c r="W365" s="77">
        <v>530.0</v>
      </c>
      <c r="X365" s="21"/>
      <c r="Y365" s="71">
        <v>110.0</v>
      </c>
      <c r="Z365" s="72">
        <v>80.0</v>
      </c>
      <c r="AA365" s="73">
        <v>90.0</v>
      </c>
      <c r="AB365" s="74">
        <v>95.0</v>
      </c>
      <c r="AC365" s="75">
        <v>90.0</v>
      </c>
      <c r="AD365" s="76">
        <v>65.0</v>
      </c>
      <c r="AE365" s="77">
        <v>530.0</v>
      </c>
      <c r="AF365" s="21"/>
      <c r="AG365" s="71">
        <v>110.0</v>
      </c>
      <c r="AH365" s="72">
        <v>80.0</v>
      </c>
      <c r="AI365" s="73">
        <v>90.0</v>
      </c>
      <c r="AJ365" s="74">
        <v>95.0</v>
      </c>
      <c r="AK365" s="75">
        <v>90.0</v>
      </c>
      <c r="AL365" s="76">
        <v>65.0</v>
      </c>
      <c r="AM365" s="77">
        <v>530.0</v>
      </c>
      <c r="AN365" s="21"/>
      <c r="AO365" s="22">
        <v>110.0</v>
      </c>
      <c r="AP365" s="23">
        <v>80.0</v>
      </c>
      <c r="AQ365" s="23">
        <v>90.0</v>
      </c>
      <c r="AR365" s="23">
        <v>95.0</v>
      </c>
      <c r="AS365" s="23">
        <v>90.0</v>
      </c>
      <c r="AT365" s="23">
        <v>65.0</v>
      </c>
      <c r="AU365" s="24">
        <v>530.0</v>
      </c>
      <c r="AV365" s="21"/>
      <c r="AW365" s="78">
        <v>110.0</v>
      </c>
      <c r="AX365" s="79">
        <v>80.0</v>
      </c>
      <c r="AY365" s="79">
        <v>90.0</v>
      </c>
      <c r="AZ365" s="79">
        <v>95.0</v>
      </c>
      <c r="BA365" s="79">
        <v>90.0</v>
      </c>
      <c r="BB365" s="79">
        <v>65.0</v>
      </c>
      <c r="BC365" s="201">
        <v>530.0</v>
      </c>
      <c r="BE365" s="203" t="s">
        <v>422</v>
      </c>
      <c r="BF365" s="138"/>
      <c r="BG365" s="128"/>
      <c r="BI365" s="31">
        <v>3.0</v>
      </c>
      <c r="BJ365" s="32" t="s">
        <v>5</v>
      </c>
      <c r="BK365" s="32" t="s">
        <v>5</v>
      </c>
      <c r="BL365" s="32" t="s">
        <v>5</v>
      </c>
      <c r="BM365" s="32" t="s">
        <v>5</v>
      </c>
      <c r="BN365" s="33" t="s">
        <v>5</v>
      </c>
      <c r="BP365" s="115" t="s">
        <v>120</v>
      </c>
      <c r="BQ365" s="116" t="s">
        <v>32</v>
      </c>
      <c r="BS365" s="115" t="s">
        <v>120</v>
      </c>
      <c r="BT365" s="117" t="s">
        <v>32</v>
      </c>
      <c r="BU365" s="37" t="str">
        <f t="shared" si="1"/>
        <v>#NAME?</v>
      </c>
      <c r="BV365" s="89" t="s">
        <v>120</v>
      </c>
      <c r="BW365" s="37" t="str">
        <f t="shared" si="2"/>
        <v>#NAME?</v>
      </c>
      <c r="BX365" s="89" t="s">
        <v>32</v>
      </c>
      <c r="BY365" s="39"/>
      <c r="BZ365" s="39"/>
      <c r="CA365" s="40" t="s">
        <v>3373</v>
      </c>
      <c r="CB365" s="41"/>
      <c r="CC365" s="90" t="s">
        <v>120</v>
      </c>
      <c r="CD365" s="91" t="s">
        <v>32</v>
      </c>
      <c r="CE365" s="2"/>
      <c r="CF365" s="92" t="s">
        <v>944</v>
      </c>
      <c r="CG365" s="93" t="s">
        <v>3353</v>
      </c>
      <c r="CH365" s="2"/>
      <c r="CI365" s="92" t="s">
        <v>944</v>
      </c>
      <c r="CJ365" s="188" t="s">
        <v>3353</v>
      </c>
      <c r="CK365" s="2"/>
      <c r="CL365" s="22" t="s">
        <v>944</v>
      </c>
      <c r="CM365" s="12"/>
      <c r="CN365" s="48"/>
      <c r="CO365" s="189" t="s">
        <v>3353</v>
      </c>
      <c r="CP365" s="2"/>
      <c r="CQ365" s="2" t="s">
        <v>3391</v>
      </c>
      <c r="CR365" s="97">
        <v>100.0</v>
      </c>
      <c r="CS365" s="2" t="s">
        <v>422</v>
      </c>
      <c r="CT365" s="98">
        <v>192.0</v>
      </c>
      <c r="CU365" s="2"/>
      <c r="CV365" s="52" t="s">
        <v>149</v>
      </c>
      <c r="CW365" s="52" t="s">
        <v>149</v>
      </c>
      <c r="CX365" s="2"/>
      <c r="CY365" s="118" t="s">
        <v>106</v>
      </c>
      <c r="CZ365" s="119" t="s">
        <v>277</v>
      </c>
      <c r="DA365" s="2"/>
      <c r="DB365" s="98">
        <v>45.0</v>
      </c>
      <c r="DC365" s="2"/>
      <c r="DD365" s="101" t="s">
        <v>15</v>
      </c>
      <c r="DE365" s="2"/>
      <c r="DF365" s="193" t="s">
        <v>3392</v>
      </c>
      <c r="DG365" s="119"/>
      <c r="DH365" s="119"/>
      <c r="DI365" s="2"/>
      <c r="DJ365" s="2"/>
      <c r="DK365" s="59" t="s">
        <v>3393</v>
      </c>
      <c r="DL365" s="37" t="s">
        <v>109</v>
      </c>
      <c r="DM365" s="37" t="str">
        <f t="shared" si="3"/>
        <v>#NAME?</v>
      </c>
      <c r="DN365" s="61"/>
      <c r="DO365" s="37" t="s">
        <v>19</v>
      </c>
      <c r="DP365" s="37" t="s">
        <v>19</v>
      </c>
      <c r="DQ365" s="62" t="s">
        <v>49</v>
      </c>
      <c r="DR365" s="63"/>
      <c r="DS365" s="198"/>
      <c r="DT365" s="108"/>
      <c r="DU365" s="108"/>
      <c r="DV365" s="182"/>
      <c r="DW365" s="182"/>
      <c r="DX365" s="182"/>
      <c r="DY365" s="182"/>
      <c r="DZ365" s="182"/>
      <c r="EA365" s="182"/>
      <c r="EB365" s="2"/>
      <c r="EC365" s="182"/>
      <c r="ED365" s="2"/>
      <c r="EE365" s="396" t="s">
        <v>3394</v>
      </c>
      <c r="EF365" s="68" t="s">
        <v>3395</v>
      </c>
      <c r="EG365" s="69" t="str">
        <f>image("https://www.serebii.net/diamondpearl/berries/58.png", 3)</f>
        <v/>
      </c>
      <c r="EH365" s="69"/>
      <c r="EI365" s="69"/>
    </row>
    <row r="366" ht="15.75" customHeight="1">
      <c r="A366" s="1">
        <v>366.0</v>
      </c>
      <c r="B366" s="2" t="s">
        <v>3396</v>
      </c>
      <c r="C366" s="7"/>
      <c r="D366" s="140" t="s">
        <v>3397</v>
      </c>
      <c r="E366" s="5"/>
      <c r="F366" s="141"/>
      <c r="G366" s="7"/>
      <c r="H366" s="8" t="s">
        <v>3398</v>
      </c>
      <c r="I366" s="9" t="s">
        <v>3399</v>
      </c>
      <c r="J366" s="355" t="str">
        <f>image("https://archives.bulbagarden.net/media/upload/6/67/366MS6.png", 3)</f>
        <v/>
      </c>
      <c r="K366" s="11" t="s">
        <v>3397</v>
      </c>
      <c r="L366" s="12"/>
      <c r="M366" s="12"/>
      <c r="N366" s="12"/>
      <c r="O366" s="12"/>
      <c r="Q366" s="71">
        <v>35.0</v>
      </c>
      <c r="R366" s="72">
        <v>64.0</v>
      </c>
      <c r="S366" s="73">
        <v>85.0</v>
      </c>
      <c r="T366" s="74">
        <v>74.0</v>
      </c>
      <c r="U366" s="75">
        <v>55.0</v>
      </c>
      <c r="V366" s="76">
        <v>32.0</v>
      </c>
      <c r="W366" s="77">
        <v>345.0</v>
      </c>
      <c r="X366" s="21"/>
      <c r="Y366" s="71">
        <v>35.0</v>
      </c>
      <c r="Z366" s="72">
        <v>64.0</v>
      </c>
      <c r="AA366" s="73">
        <v>85.0</v>
      </c>
      <c r="AB366" s="74">
        <v>74.0</v>
      </c>
      <c r="AC366" s="75">
        <v>55.0</v>
      </c>
      <c r="AD366" s="76">
        <v>32.0</v>
      </c>
      <c r="AE366" s="77">
        <v>345.0</v>
      </c>
      <c r="AF366" s="21"/>
      <c r="AG366" s="71">
        <v>35.0</v>
      </c>
      <c r="AH366" s="72">
        <v>64.0</v>
      </c>
      <c r="AI366" s="73">
        <v>85.0</v>
      </c>
      <c r="AJ366" s="74">
        <v>74.0</v>
      </c>
      <c r="AK366" s="75">
        <v>55.0</v>
      </c>
      <c r="AL366" s="76">
        <v>32.0</v>
      </c>
      <c r="AM366" s="77">
        <v>345.0</v>
      </c>
      <c r="AN366" s="21"/>
      <c r="AO366" s="22">
        <v>35.0</v>
      </c>
      <c r="AP366" s="23">
        <v>64.0</v>
      </c>
      <c r="AQ366" s="23">
        <v>85.0</v>
      </c>
      <c r="AR366" s="23">
        <v>74.0</v>
      </c>
      <c r="AS366" s="23">
        <v>55.0</v>
      </c>
      <c r="AT366" s="23">
        <v>32.0</v>
      </c>
      <c r="AU366" s="24">
        <v>345.0</v>
      </c>
      <c r="AV366" s="21"/>
      <c r="AW366" s="78">
        <v>35.0</v>
      </c>
      <c r="AX366" s="79">
        <v>64.0</v>
      </c>
      <c r="AY366" s="79">
        <v>85.0</v>
      </c>
      <c r="AZ366" s="79">
        <v>74.0</v>
      </c>
      <c r="BA366" s="79">
        <v>55.0</v>
      </c>
      <c r="BB366" s="79">
        <v>32.0</v>
      </c>
      <c r="BC366" s="201">
        <v>345.0</v>
      </c>
      <c r="BE366" s="142" t="s">
        <v>101</v>
      </c>
      <c r="BF366" s="386"/>
      <c r="BG366" s="128"/>
      <c r="BI366" s="31" t="s">
        <v>5</v>
      </c>
      <c r="BJ366" s="32" t="s">
        <v>5</v>
      </c>
      <c r="BK366" s="32">
        <v>1.0</v>
      </c>
      <c r="BL366" s="32" t="s">
        <v>5</v>
      </c>
      <c r="BM366" s="32" t="s">
        <v>5</v>
      </c>
      <c r="BN366" s="33" t="s">
        <v>5</v>
      </c>
      <c r="BP366" s="85" t="s">
        <v>32</v>
      </c>
      <c r="BQ366" s="129"/>
      <c r="BS366" s="87" t="s">
        <v>32</v>
      </c>
      <c r="BT366" s="130"/>
      <c r="BU366" s="37" t="str">
        <f t="shared" si="1"/>
        <v>#NAME?</v>
      </c>
      <c r="BV366" s="89" t="s">
        <v>32</v>
      </c>
      <c r="BW366" s="37" t="str">
        <f t="shared" si="2"/>
        <v>#NAME?</v>
      </c>
      <c r="BX366" s="89"/>
      <c r="BY366" s="39"/>
      <c r="BZ366" s="39"/>
      <c r="CA366" s="40" t="s">
        <v>32</v>
      </c>
      <c r="CB366" s="41"/>
      <c r="CC366" s="90" t="s">
        <v>32</v>
      </c>
      <c r="CD366" s="91"/>
      <c r="CE366" s="21"/>
      <c r="CF366" s="92" t="s">
        <v>981</v>
      </c>
      <c r="CG366" s="93"/>
      <c r="CH366" s="21"/>
      <c r="CI366" s="191" t="s">
        <v>981</v>
      </c>
      <c r="CJ366" s="46" t="s">
        <v>981</v>
      </c>
      <c r="CK366" s="21"/>
      <c r="CL366" s="22" t="s">
        <v>981</v>
      </c>
      <c r="CM366" s="12"/>
      <c r="CN366" s="48"/>
      <c r="CO366" s="192" t="s">
        <v>3400</v>
      </c>
      <c r="CP366" s="21"/>
      <c r="CQ366" s="2" t="s">
        <v>3125</v>
      </c>
      <c r="CR366" s="97">
        <v>80.0</v>
      </c>
      <c r="CS366" s="2" t="s">
        <v>101</v>
      </c>
      <c r="CT366" s="98">
        <v>142.0</v>
      </c>
      <c r="CU366" s="2"/>
      <c r="CV366" s="52" t="s">
        <v>149</v>
      </c>
      <c r="CW366" s="52" t="s">
        <v>149</v>
      </c>
      <c r="CX366" s="2"/>
      <c r="CY366" s="382" t="s">
        <v>106</v>
      </c>
      <c r="CZ366" s="385"/>
      <c r="DA366" s="2"/>
      <c r="DB366" s="98">
        <v>255.0</v>
      </c>
      <c r="DC366" s="2"/>
      <c r="DD366" s="101" t="s">
        <v>2698</v>
      </c>
      <c r="DE366" s="2"/>
      <c r="DF366" s="420" t="s">
        <v>3401</v>
      </c>
      <c r="DG366" s="381" t="s">
        <v>985</v>
      </c>
      <c r="DH366" s="385" t="s">
        <v>986</v>
      </c>
      <c r="DI366" s="21"/>
      <c r="DJ366" s="21"/>
      <c r="DK366" s="59" t="s">
        <v>3402</v>
      </c>
      <c r="DL366" s="37" t="s">
        <v>122</v>
      </c>
      <c r="DM366" s="37" t="str">
        <f t="shared" si="3"/>
        <v>#NAME?</v>
      </c>
      <c r="DN366" s="61"/>
      <c r="DO366" s="37" t="s">
        <v>19</v>
      </c>
      <c r="DP366" s="37" t="s">
        <v>19</v>
      </c>
      <c r="DQ366" s="62" t="s">
        <v>49</v>
      </c>
      <c r="DR366" s="63"/>
      <c r="DS366" s="198"/>
      <c r="DT366" s="108"/>
      <c r="DU366" s="108"/>
      <c r="DV366" s="182"/>
      <c r="DW366" s="182"/>
      <c r="DX366" s="182"/>
      <c r="DY366" s="182"/>
      <c r="DZ366" s="182"/>
      <c r="EA366" s="182"/>
      <c r="EB366" s="2"/>
      <c r="EC366" s="182"/>
      <c r="ED366" s="2"/>
      <c r="EE366" s="396" t="s">
        <v>3403</v>
      </c>
      <c r="EF366" s="68" t="s">
        <v>3404</v>
      </c>
      <c r="EG366" s="69" t="str">
        <f>image("https://www.serebii.net/diamondpearl/berries/59.png", 3)</f>
        <v/>
      </c>
      <c r="EH366" s="69"/>
      <c r="EI366" s="69"/>
    </row>
    <row r="367" ht="15.75" customHeight="1">
      <c r="A367" s="1">
        <v>367.0</v>
      </c>
      <c r="B367" s="2" t="s">
        <v>3405</v>
      </c>
      <c r="C367" s="7"/>
      <c r="D367" s="140" t="s">
        <v>3406</v>
      </c>
      <c r="E367" s="5"/>
      <c r="F367" s="141"/>
      <c r="G367" s="7"/>
      <c r="H367" s="8" t="s">
        <v>3407</v>
      </c>
      <c r="I367" s="9" t="s">
        <v>3408</v>
      </c>
      <c r="J367" s="355" t="str">
        <f>image("https://archives.bulbagarden.net/media/upload/4/4d/367MS6.png", 3)</f>
        <v/>
      </c>
      <c r="K367" s="11" t="s">
        <v>3406</v>
      </c>
      <c r="L367" s="12"/>
      <c r="M367" s="12"/>
      <c r="N367" s="12"/>
      <c r="O367" s="12"/>
      <c r="Q367" s="71">
        <v>55.0</v>
      </c>
      <c r="R367" s="72">
        <v>104.0</v>
      </c>
      <c r="S367" s="73">
        <v>105.0</v>
      </c>
      <c r="T367" s="74">
        <v>94.0</v>
      </c>
      <c r="U367" s="75">
        <v>75.0</v>
      </c>
      <c r="V367" s="76">
        <v>52.0</v>
      </c>
      <c r="W367" s="77">
        <v>485.0</v>
      </c>
      <c r="X367" s="21"/>
      <c r="Y367" s="71">
        <v>55.0</v>
      </c>
      <c r="Z367" s="72">
        <v>104.0</v>
      </c>
      <c r="AA367" s="73">
        <v>105.0</v>
      </c>
      <c r="AB367" s="74">
        <v>94.0</v>
      </c>
      <c r="AC367" s="75">
        <v>75.0</v>
      </c>
      <c r="AD367" s="76">
        <v>52.0</v>
      </c>
      <c r="AE367" s="77">
        <v>485.0</v>
      </c>
      <c r="AF367" s="21"/>
      <c r="AG367" s="71">
        <v>55.0</v>
      </c>
      <c r="AH367" s="72">
        <v>104.0</v>
      </c>
      <c r="AI367" s="73">
        <v>105.0</v>
      </c>
      <c r="AJ367" s="74">
        <v>94.0</v>
      </c>
      <c r="AK367" s="75">
        <v>75.0</v>
      </c>
      <c r="AL367" s="76">
        <v>52.0</v>
      </c>
      <c r="AM367" s="77">
        <v>485.0</v>
      </c>
      <c r="AN367" s="21"/>
      <c r="AO367" s="22">
        <v>55.0</v>
      </c>
      <c r="AP367" s="23">
        <v>104.0</v>
      </c>
      <c r="AQ367" s="23">
        <v>105.0</v>
      </c>
      <c r="AR367" s="23">
        <v>94.0</v>
      </c>
      <c r="AS367" s="23">
        <v>75.0</v>
      </c>
      <c r="AT367" s="23">
        <v>52.0</v>
      </c>
      <c r="AU367" s="24">
        <v>485.0</v>
      </c>
      <c r="AV367" s="21"/>
      <c r="AW367" s="78">
        <v>55.0</v>
      </c>
      <c r="AX367" s="79">
        <v>104.0</v>
      </c>
      <c r="AY367" s="79">
        <v>105.0</v>
      </c>
      <c r="AZ367" s="79">
        <v>94.0</v>
      </c>
      <c r="BA367" s="79">
        <v>75.0</v>
      </c>
      <c r="BB367" s="79">
        <v>52.0</v>
      </c>
      <c r="BC367" s="201">
        <v>485.0</v>
      </c>
      <c r="BE367" s="194" t="s">
        <v>325</v>
      </c>
      <c r="BF367" s="340" t="s">
        <v>101</v>
      </c>
      <c r="BG367" s="210"/>
      <c r="BI367" s="31" t="s">
        <v>5</v>
      </c>
      <c r="BJ367" s="32">
        <v>1.0</v>
      </c>
      <c r="BK367" s="32">
        <v>1.0</v>
      </c>
      <c r="BL367" s="32" t="s">
        <v>5</v>
      </c>
      <c r="BM367" s="32" t="s">
        <v>5</v>
      </c>
      <c r="BN367" s="33" t="s">
        <v>5</v>
      </c>
      <c r="BP367" s="115" t="s">
        <v>32</v>
      </c>
      <c r="BQ367" s="93"/>
      <c r="BS367" s="115" t="s">
        <v>32</v>
      </c>
      <c r="BT367" s="133"/>
      <c r="BU367" s="37" t="str">
        <f t="shared" si="1"/>
        <v>#NAME?</v>
      </c>
      <c r="BV367" s="89" t="s">
        <v>32</v>
      </c>
      <c r="BW367" s="37" t="str">
        <f t="shared" si="2"/>
        <v>#NAME?</v>
      </c>
      <c r="BX367" s="89"/>
      <c r="BY367" s="39"/>
      <c r="BZ367" s="39"/>
      <c r="CA367" s="40" t="s">
        <v>32</v>
      </c>
      <c r="CB367" s="41"/>
      <c r="CC367" s="90" t="s">
        <v>32</v>
      </c>
      <c r="CD367" s="91"/>
      <c r="CE367" s="21"/>
      <c r="CF367" s="92" t="s">
        <v>1212</v>
      </c>
      <c r="CG367" s="93"/>
      <c r="CH367" s="21"/>
      <c r="CI367" s="191" t="s">
        <v>1212</v>
      </c>
      <c r="CJ367" s="94" t="s">
        <v>1235</v>
      </c>
      <c r="CK367" s="21"/>
      <c r="CL367" s="22" t="s">
        <v>1212</v>
      </c>
      <c r="CM367" s="12"/>
      <c r="CN367" s="48"/>
      <c r="CO367" s="235" t="s">
        <v>3409</v>
      </c>
      <c r="CP367" s="21"/>
      <c r="CQ367" s="2" t="s">
        <v>1919</v>
      </c>
      <c r="CR367" s="97">
        <v>60.0</v>
      </c>
      <c r="CS367" s="2" t="s">
        <v>1595</v>
      </c>
      <c r="CT367" s="98">
        <v>178.0</v>
      </c>
      <c r="CU367" s="2"/>
      <c r="CV367" s="52" t="s">
        <v>149</v>
      </c>
      <c r="CW367" s="52" t="s">
        <v>149</v>
      </c>
      <c r="CX367" s="2"/>
      <c r="CY367" s="119" t="s">
        <v>106</v>
      </c>
      <c r="CZ367" s="160"/>
      <c r="DA367" s="2"/>
      <c r="DB367" s="98">
        <v>60.0</v>
      </c>
      <c r="DC367" s="2"/>
      <c r="DD367" s="101" t="s">
        <v>2698</v>
      </c>
      <c r="DE367" s="2"/>
      <c r="DF367" s="192" t="s">
        <v>3410</v>
      </c>
      <c r="DG367" s="118" t="s">
        <v>2949</v>
      </c>
      <c r="DH367" s="160"/>
      <c r="DI367" s="2"/>
      <c r="DJ367" s="2"/>
      <c r="DK367" s="59" t="s">
        <v>3411</v>
      </c>
      <c r="DL367" s="37" t="s">
        <v>122</v>
      </c>
      <c r="DM367" s="37" t="str">
        <f t="shared" si="3"/>
        <v>#NAME?</v>
      </c>
      <c r="DN367" s="61"/>
      <c r="DO367" s="37" t="s">
        <v>19</v>
      </c>
      <c r="DP367" s="37" t="s">
        <v>19</v>
      </c>
      <c r="DQ367" s="62" t="s">
        <v>49</v>
      </c>
      <c r="DR367" s="63"/>
      <c r="DS367" s="198"/>
      <c r="DT367" s="108"/>
      <c r="DU367" s="108"/>
      <c r="DV367" s="182"/>
      <c r="DW367" s="182"/>
      <c r="DX367" s="182"/>
      <c r="DY367" s="182"/>
      <c r="DZ367" s="182"/>
      <c r="EA367" s="182"/>
      <c r="EB367" s="2"/>
      <c r="EC367" s="182"/>
      <c r="ED367" s="2"/>
      <c r="EE367" s="396" t="s">
        <v>3412</v>
      </c>
      <c r="EF367" s="68" t="s">
        <v>3413</v>
      </c>
      <c r="EG367" s="69" t="str">
        <f>image("https://www.serebii.net/diamondpearl/berries/60.png", 3)</f>
        <v/>
      </c>
      <c r="EH367" s="69"/>
      <c r="EI367" s="69"/>
    </row>
    <row r="368" ht="15.75" customHeight="1">
      <c r="A368" s="1">
        <v>368.0</v>
      </c>
      <c r="B368" s="2" t="s">
        <v>3414</v>
      </c>
      <c r="C368" s="7"/>
      <c r="D368" s="213" t="s">
        <v>3415</v>
      </c>
      <c r="E368" s="5"/>
      <c r="F368" s="214"/>
      <c r="G368" s="7"/>
      <c r="H368" s="8" t="s">
        <v>3416</v>
      </c>
      <c r="I368" s="9" t="s">
        <v>3417</v>
      </c>
      <c r="J368" s="355" t="str">
        <f>image("https://archives.bulbagarden.net/media/upload/1/11/368MS6.png", 3)</f>
        <v/>
      </c>
      <c r="K368" s="11" t="s">
        <v>3415</v>
      </c>
      <c r="L368" s="12"/>
      <c r="M368" s="12"/>
      <c r="N368" s="12"/>
      <c r="O368" s="12"/>
      <c r="Q368" s="71">
        <v>55.0</v>
      </c>
      <c r="R368" s="72">
        <v>84.0</v>
      </c>
      <c r="S368" s="73">
        <v>105.0</v>
      </c>
      <c r="T368" s="74">
        <v>114.0</v>
      </c>
      <c r="U368" s="75">
        <v>75.0</v>
      </c>
      <c r="V368" s="76">
        <v>52.0</v>
      </c>
      <c r="W368" s="77">
        <v>485.0</v>
      </c>
      <c r="X368" s="21"/>
      <c r="Y368" s="71">
        <v>55.0</v>
      </c>
      <c r="Z368" s="72">
        <v>84.0</v>
      </c>
      <c r="AA368" s="73">
        <v>105.0</v>
      </c>
      <c r="AB368" s="74">
        <v>114.0</v>
      </c>
      <c r="AC368" s="75">
        <v>75.0</v>
      </c>
      <c r="AD368" s="76">
        <v>52.0</v>
      </c>
      <c r="AE368" s="77">
        <v>485.0</v>
      </c>
      <c r="AF368" s="21"/>
      <c r="AG368" s="71">
        <v>55.0</v>
      </c>
      <c r="AH368" s="72">
        <v>84.0</v>
      </c>
      <c r="AI368" s="73">
        <v>105.0</v>
      </c>
      <c r="AJ368" s="74">
        <v>114.0</v>
      </c>
      <c r="AK368" s="75">
        <v>75.0</v>
      </c>
      <c r="AL368" s="76">
        <v>52.0</v>
      </c>
      <c r="AM368" s="77">
        <v>485.0</v>
      </c>
      <c r="AN368" s="21"/>
      <c r="AO368" s="22">
        <v>55.0</v>
      </c>
      <c r="AP368" s="23">
        <v>84.0</v>
      </c>
      <c r="AQ368" s="23">
        <v>105.0</v>
      </c>
      <c r="AR368" s="23">
        <v>114.0</v>
      </c>
      <c r="AS368" s="23">
        <v>75.0</v>
      </c>
      <c r="AT368" s="23">
        <v>52.0</v>
      </c>
      <c r="AU368" s="24">
        <v>485.0</v>
      </c>
      <c r="AV368" s="21"/>
      <c r="AW368" s="78">
        <v>55.0</v>
      </c>
      <c r="AX368" s="79">
        <v>84.0</v>
      </c>
      <c r="AY368" s="79">
        <v>105.0</v>
      </c>
      <c r="AZ368" s="79">
        <v>114.0</v>
      </c>
      <c r="BA368" s="79">
        <v>75.0</v>
      </c>
      <c r="BB368" s="79">
        <v>52.0</v>
      </c>
      <c r="BC368" s="201">
        <v>485.0</v>
      </c>
      <c r="BE368" s="112" t="s">
        <v>42</v>
      </c>
      <c r="BF368" s="113"/>
      <c r="BG368" s="384"/>
      <c r="BI368" s="31" t="s">
        <v>5</v>
      </c>
      <c r="BJ368" s="32" t="s">
        <v>5</v>
      </c>
      <c r="BK368" s="32" t="s">
        <v>5</v>
      </c>
      <c r="BL368" s="32">
        <v>2.0</v>
      </c>
      <c r="BM368" s="32" t="s">
        <v>5</v>
      </c>
      <c r="BN368" s="33" t="s">
        <v>5</v>
      </c>
      <c r="BP368" s="85" t="s">
        <v>32</v>
      </c>
      <c r="BQ368" s="129"/>
      <c r="BS368" s="87" t="s">
        <v>32</v>
      </c>
      <c r="BT368" s="130"/>
      <c r="BU368" s="37" t="str">
        <f t="shared" si="1"/>
        <v>#NAME?</v>
      </c>
      <c r="BV368" s="89" t="s">
        <v>32</v>
      </c>
      <c r="BW368" s="37" t="str">
        <f t="shared" si="2"/>
        <v>#NAME?</v>
      </c>
      <c r="BX368" s="89"/>
      <c r="BY368" s="39"/>
      <c r="BZ368" s="39"/>
      <c r="CA368" s="40" t="s">
        <v>32</v>
      </c>
      <c r="CB368" s="41"/>
      <c r="CC368" s="90" t="s">
        <v>32</v>
      </c>
      <c r="CD368" s="91"/>
      <c r="CE368" s="21"/>
      <c r="CF368" s="92" t="s">
        <v>1212</v>
      </c>
      <c r="CG368" s="93"/>
      <c r="CH368" s="21"/>
      <c r="CI368" s="277" t="s">
        <v>1212</v>
      </c>
      <c r="CJ368" s="94" t="s">
        <v>945</v>
      </c>
      <c r="CK368" s="21"/>
      <c r="CL368" s="22" t="s">
        <v>1212</v>
      </c>
      <c r="CM368" s="12"/>
      <c r="CN368" s="48"/>
      <c r="CO368" s="421" t="s">
        <v>2263</v>
      </c>
      <c r="CP368" s="21"/>
      <c r="CQ368" s="2" t="s">
        <v>3418</v>
      </c>
      <c r="CR368" s="97">
        <v>40.0</v>
      </c>
      <c r="CS368" s="2" t="s">
        <v>42</v>
      </c>
      <c r="CT368" s="98">
        <v>178.0</v>
      </c>
      <c r="CU368" s="2"/>
      <c r="CV368" s="52" t="s">
        <v>149</v>
      </c>
      <c r="CW368" s="52" t="s">
        <v>149</v>
      </c>
      <c r="CX368" s="2"/>
      <c r="CY368" s="382" t="s">
        <v>106</v>
      </c>
      <c r="CZ368" s="385"/>
      <c r="DA368" s="2"/>
      <c r="DB368" s="98">
        <v>60.0</v>
      </c>
      <c r="DC368" s="2"/>
      <c r="DD368" s="101" t="s">
        <v>2698</v>
      </c>
      <c r="DE368" s="2"/>
      <c r="DF368" s="193" t="s">
        <v>3419</v>
      </c>
      <c r="DG368" s="381" t="s">
        <v>1693</v>
      </c>
      <c r="DH368" s="385"/>
      <c r="DI368" s="2"/>
      <c r="DJ368" s="2"/>
      <c r="DK368" s="59" t="s">
        <v>3420</v>
      </c>
      <c r="DL368" s="37" t="s">
        <v>156</v>
      </c>
      <c r="DM368" s="37" t="str">
        <f t="shared" si="3"/>
        <v>#NAME?</v>
      </c>
      <c r="DN368" s="61"/>
      <c r="DO368" s="37" t="s">
        <v>19</v>
      </c>
      <c r="DP368" s="37" t="s">
        <v>19</v>
      </c>
      <c r="DQ368" s="62" t="s">
        <v>20</v>
      </c>
      <c r="DR368" s="63"/>
      <c r="DS368" s="198"/>
      <c r="DT368" s="108"/>
      <c r="DU368" s="108"/>
      <c r="DV368" s="182"/>
      <c r="DW368" s="182"/>
      <c r="DX368" s="182"/>
      <c r="DY368" s="182"/>
      <c r="DZ368" s="182"/>
      <c r="EA368" s="182"/>
      <c r="EB368" s="2"/>
      <c r="EC368" s="182"/>
      <c r="ED368" s="2"/>
      <c r="EE368" s="396" t="s">
        <v>3421</v>
      </c>
      <c r="EF368" s="68" t="s">
        <v>3422</v>
      </c>
      <c r="EG368" s="69" t="str">
        <f>image("https://www.serebii.net/diamondpearl/berries/61.png", 3)</f>
        <v/>
      </c>
      <c r="EH368" s="69"/>
      <c r="EI368" s="69"/>
    </row>
    <row r="369" ht="15.75" customHeight="1">
      <c r="A369" s="1">
        <v>369.0</v>
      </c>
      <c r="B369" s="2" t="s">
        <v>3423</v>
      </c>
      <c r="C369" s="7"/>
      <c r="D369" s="247" t="s">
        <v>3424</v>
      </c>
      <c r="E369" s="5"/>
      <c r="F369" s="248"/>
      <c r="G369" s="7"/>
      <c r="H369" s="8" t="s">
        <v>3425</v>
      </c>
      <c r="I369" s="9" t="s">
        <v>3426</v>
      </c>
      <c r="J369" s="355" t="str">
        <f>image("https://archives.bulbagarden.net/media/upload/f/f4/369MS6.png", 3)</f>
        <v/>
      </c>
      <c r="K369" s="11" t="s">
        <v>3424</v>
      </c>
      <c r="L369" s="12"/>
      <c r="M369" s="12"/>
      <c r="N369" s="12"/>
      <c r="O369" s="12"/>
      <c r="Q369" s="71">
        <v>100.0</v>
      </c>
      <c r="R369" s="72">
        <v>90.0</v>
      </c>
      <c r="S369" s="73">
        <v>130.0</v>
      </c>
      <c r="T369" s="74">
        <v>45.0</v>
      </c>
      <c r="U369" s="75">
        <v>65.0</v>
      </c>
      <c r="V369" s="76">
        <v>55.0</v>
      </c>
      <c r="W369" s="77">
        <v>485.0</v>
      </c>
      <c r="X369" s="21"/>
      <c r="Y369" s="71">
        <v>100.0</v>
      </c>
      <c r="Z369" s="72">
        <v>90.0</v>
      </c>
      <c r="AA369" s="73">
        <v>130.0</v>
      </c>
      <c r="AB369" s="74">
        <v>45.0</v>
      </c>
      <c r="AC369" s="75">
        <v>65.0</v>
      </c>
      <c r="AD369" s="76">
        <v>55.0</v>
      </c>
      <c r="AE369" s="77">
        <v>485.0</v>
      </c>
      <c r="AF369" s="21"/>
      <c r="AG369" s="71">
        <v>100.0</v>
      </c>
      <c r="AH369" s="72">
        <v>90.0</v>
      </c>
      <c r="AI369" s="73">
        <v>130.0</v>
      </c>
      <c r="AJ369" s="74">
        <v>45.0</v>
      </c>
      <c r="AK369" s="75">
        <v>65.0</v>
      </c>
      <c r="AL369" s="76">
        <v>55.0</v>
      </c>
      <c r="AM369" s="77">
        <v>485.0</v>
      </c>
      <c r="AN369" s="21"/>
      <c r="AO369" s="22">
        <v>100.0</v>
      </c>
      <c r="AP369" s="23">
        <v>90.0</v>
      </c>
      <c r="AQ369" s="23">
        <v>130.0</v>
      </c>
      <c r="AR369" s="23">
        <v>45.0</v>
      </c>
      <c r="AS369" s="23">
        <v>65.0</v>
      </c>
      <c r="AT369" s="23">
        <v>55.0</v>
      </c>
      <c r="AU369" s="24">
        <v>485.0</v>
      </c>
      <c r="AV369" s="21"/>
      <c r="AW369" s="258">
        <v>100.0</v>
      </c>
      <c r="AX369" s="79">
        <v>90.0</v>
      </c>
      <c r="AY369" s="80">
        <v>130.0</v>
      </c>
      <c r="AZ369" s="80">
        <v>45.0</v>
      </c>
      <c r="BA369" s="80">
        <v>65.0</v>
      </c>
      <c r="BB369" s="80">
        <v>55.0</v>
      </c>
      <c r="BC369" s="81">
        <v>485.0</v>
      </c>
      <c r="BE369" s="151" t="s">
        <v>144</v>
      </c>
      <c r="BF369" s="340" t="s">
        <v>101</v>
      </c>
      <c r="BG369" s="210"/>
      <c r="BI369" s="31">
        <v>1.0</v>
      </c>
      <c r="BJ369" s="32" t="s">
        <v>5</v>
      </c>
      <c r="BK369" s="32">
        <v>1.0</v>
      </c>
      <c r="BL369" s="32" t="s">
        <v>5</v>
      </c>
      <c r="BM369" s="32" t="s">
        <v>5</v>
      </c>
      <c r="BN369" s="33" t="s">
        <v>5</v>
      </c>
      <c r="BP369" s="115" t="s">
        <v>32</v>
      </c>
      <c r="BQ369" s="116" t="s">
        <v>66</v>
      </c>
      <c r="BS369" s="115" t="s">
        <v>32</v>
      </c>
      <c r="BT369" s="117" t="s">
        <v>66</v>
      </c>
      <c r="BU369" s="37" t="str">
        <f t="shared" si="1"/>
        <v>#NAME?</v>
      </c>
      <c r="BV369" s="89" t="s">
        <v>32</v>
      </c>
      <c r="BW369" s="37" t="str">
        <f t="shared" si="2"/>
        <v>#NAME?</v>
      </c>
      <c r="BX369" s="89" t="s">
        <v>66</v>
      </c>
      <c r="BY369" s="134"/>
      <c r="BZ369" s="134"/>
      <c r="CA369" s="135" t="s">
        <v>2136</v>
      </c>
      <c r="CB369" s="136"/>
      <c r="CC369" s="90" t="s">
        <v>32</v>
      </c>
      <c r="CD369" s="137" t="s">
        <v>66</v>
      </c>
      <c r="CE369" s="2"/>
      <c r="CF369" s="92" t="s">
        <v>1212</v>
      </c>
      <c r="CG369" s="93" t="s">
        <v>824</v>
      </c>
      <c r="CH369" s="2"/>
      <c r="CI369" s="278" t="s">
        <v>824</v>
      </c>
      <c r="CJ369" s="359" t="s">
        <v>1212</v>
      </c>
      <c r="CK369" s="2"/>
      <c r="CL369" s="22" t="s">
        <v>1165</v>
      </c>
      <c r="CM369" s="12"/>
      <c r="CN369" s="48"/>
      <c r="CO369" s="422" t="s">
        <v>1212</v>
      </c>
      <c r="CP369" s="2"/>
      <c r="CQ369" s="2" t="s">
        <v>3427</v>
      </c>
      <c r="CR369" s="97">
        <v>40.0</v>
      </c>
      <c r="CS369" s="2" t="s">
        <v>3428</v>
      </c>
      <c r="CT369" s="98">
        <v>198.0</v>
      </c>
      <c r="CU369" s="2"/>
      <c r="CV369" s="52" t="s">
        <v>13</v>
      </c>
      <c r="CW369" s="53">
        <v>0.125</v>
      </c>
      <c r="CX369" s="2"/>
      <c r="CY369" s="118" t="s">
        <v>106</v>
      </c>
      <c r="CZ369" s="119" t="s">
        <v>1236</v>
      </c>
      <c r="DA369" s="2"/>
      <c r="DB369" s="98">
        <v>25.0</v>
      </c>
      <c r="DC369" s="2"/>
      <c r="DD369" s="101" t="s">
        <v>683</v>
      </c>
      <c r="DE369" s="2"/>
      <c r="DF369" s="279" t="s">
        <v>914</v>
      </c>
      <c r="DG369" s="409" t="s">
        <v>1693</v>
      </c>
      <c r="DH369" s="119"/>
      <c r="DI369" s="2"/>
      <c r="DJ369" s="2"/>
      <c r="DK369" s="59" t="s">
        <v>3429</v>
      </c>
      <c r="DL369" s="37" t="s">
        <v>156</v>
      </c>
      <c r="DM369" s="37" t="str">
        <f t="shared" si="3"/>
        <v>#NAME?</v>
      </c>
      <c r="DN369" s="61"/>
      <c r="DO369" s="37" t="s">
        <v>19</v>
      </c>
      <c r="DP369" s="37" t="s">
        <v>19</v>
      </c>
      <c r="DQ369" s="62" t="s">
        <v>702</v>
      </c>
      <c r="DR369" s="63"/>
      <c r="DS369" s="198"/>
      <c r="DT369" s="108"/>
      <c r="DU369" s="108"/>
      <c r="DV369" s="182"/>
      <c r="DW369" s="182"/>
      <c r="DX369" s="182"/>
      <c r="DY369" s="182"/>
      <c r="DZ369" s="182"/>
      <c r="EA369" s="182"/>
      <c r="EB369" s="2"/>
      <c r="EC369" s="182"/>
      <c r="ED369" s="2"/>
      <c r="EE369" s="396" t="s">
        <v>3430</v>
      </c>
      <c r="EF369" s="68" t="s">
        <v>3431</v>
      </c>
      <c r="EG369" s="69" t="str">
        <f>image("https://www.serebii.net/diamondpearl/berries/62.png", 3)</f>
        <v/>
      </c>
      <c r="EH369" s="69"/>
      <c r="EI369" s="69"/>
    </row>
    <row r="370" ht="15.75" customHeight="1">
      <c r="A370" s="1">
        <v>370.0</v>
      </c>
      <c r="B370" s="2" t="s">
        <v>3432</v>
      </c>
      <c r="C370" s="7"/>
      <c r="D370" s="213" t="s">
        <v>3433</v>
      </c>
      <c r="E370" s="5"/>
      <c r="F370" s="214"/>
      <c r="G370" s="7"/>
      <c r="H370" s="8" t="s">
        <v>3434</v>
      </c>
      <c r="I370" s="9" t="s">
        <v>3435</v>
      </c>
      <c r="J370" s="355" t="str">
        <f>image("https://archives.bulbagarden.net/media/upload/1/1b/370MS6.png", 3)</f>
        <v/>
      </c>
      <c r="K370" s="11" t="s">
        <v>3433</v>
      </c>
      <c r="L370" s="12"/>
      <c r="M370" s="12"/>
      <c r="N370" s="12"/>
      <c r="O370" s="12"/>
      <c r="Q370" s="71">
        <v>43.0</v>
      </c>
      <c r="R370" s="72">
        <v>30.0</v>
      </c>
      <c r="S370" s="73">
        <v>55.0</v>
      </c>
      <c r="T370" s="74">
        <v>40.0</v>
      </c>
      <c r="U370" s="75">
        <v>65.0</v>
      </c>
      <c r="V370" s="76">
        <v>97.0</v>
      </c>
      <c r="W370" s="77">
        <v>330.0</v>
      </c>
      <c r="X370" s="21"/>
      <c r="Y370" s="71">
        <v>43.0</v>
      </c>
      <c r="Z370" s="72">
        <v>30.0</v>
      </c>
      <c r="AA370" s="73">
        <v>55.0</v>
      </c>
      <c r="AB370" s="74">
        <v>40.0</v>
      </c>
      <c r="AC370" s="75">
        <v>65.0</v>
      </c>
      <c r="AD370" s="76">
        <v>97.0</v>
      </c>
      <c r="AE370" s="77">
        <v>330.0</v>
      </c>
      <c r="AF370" s="21"/>
      <c r="AG370" s="261">
        <v>50.0</v>
      </c>
      <c r="AH370" s="72">
        <v>30.0</v>
      </c>
      <c r="AI370" s="109">
        <v>75.0</v>
      </c>
      <c r="AJ370" s="109">
        <v>95.0</v>
      </c>
      <c r="AK370" s="109">
        <v>75.0</v>
      </c>
      <c r="AL370" s="109">
        <v>125.0</v>
      </c>
      <c r="AM370" s="110">
        <v>450.0</v>
      </c>
      <c r="AN370" s="21"/>
      <c r="AO370" s="22" t="s">
        <v>233</v>
      </c>
      <c r="AP370" s="23">
        <v>30.0</v>
      </c>
      <c r="AQ370" s="23" t="s">
        <v>154</v>
      </c>
      <c r="AR370" s="23" t="s">
        <v>215</v>
      </c>
      <c r="AS370" s="23" t="s">
        <v>154</v>
      </c>
      <c r="AT370" s="23" t="s">
        <v>1295</v>
      </c>
      <c r="AU370" s="24" t="s">
        <v>176</v>
      </c>
      <c r="AV370" s="21"/>
      <c r="AW370" s="111">
        <v>50.0</v>
      </c>
      <c r="AX370" s="79">
        <v>30.0</v>
      </c>
      <c r="AY370" s="111">
        <v>75.0</v>
      </c>
      <c r="AZ370" s="111">
        <v>95.0</v>
      </c>
      <c r="BA370" s="111">
        <v>75.0</v>
      </c>
      <c r="BB370" s="111">
        <v>125.0</v>
      </c>
      <c r="BC370" s="111">
        <v>450.0</v>
      </c>
      <c r="BE370" s="126" t="s">
        <v>56</v>
      </c>
      <c r="BF370" s="386"/>
      <c r="BG370" s="128"/>
      <c r="BI370" s="31" t="s">
        <v>5</v>
      </c>
      <c r="BJ370" s="32" t="s">
        <v>5</v>
      </c>
      <c r="BK370" s="32" t="s">
        <v>5</v>
      </c>
      <c r="BL370" s="32" t="s">
        <v>5</v>
      </c>
      <c r="BM370" s="32" t="s">
        <v>5</v>
      </c>
      <c r="BN370" s="33">
        <v>1.0</v>
      </c>
      <c r="BP370" s="85" t="s">
        <v>32</v>
      </c>
      <c r="BQ370" s="129"/>
      <c r="BS370" s="87" t="s">
        <v>32</v>
      </c>
      <c r="BT370" s="130"/>
      <c r="BU370" s="37" t="str">
        <f t="shared" si="1"/>
        <v>#NAME?</v>
      </c>
      <c r="BV370" s="89" t="s">
        <v>32</v>
      </c>
      <c r="BW370" s="37" t="str">
        <f t="shared" si="2"/>
        <v>#NAME?</v>
      </c>
      <c r="BX370" s="89" t="s">
        <v>461</v>
      </c>
      <c r="BY370" s="39"/>
      <c r="BZ370" s="39"/>
      <c r="CA370" s="40" t="s">
        <v>1801</v>
      </c>
      <c r="CB370" s="41"/>
      <c r="CC370" s="37" t="s">
        <v>32</v>
      </c>
      <c r="CD370" s="139" t="s">
        <v>153</v>
      </c>
      <c r="CE370" s="21"/>
      <c r="CF370" s="92" t="s">
        <v>1212</v>
      </c>
      <c r="CG370" s="93"/>
      <c r="CH370" s="21"/>
      <c r="CI370" s="291" t="s">
        <v>1212</v>
      </c>
      <c r="CJ370" s="152" t="s">
        <v>945</v>
      </c>
      <c r="CK370" s="21"/>
      <c r="CL370" s="22" t="s">
        <v>1212</v>
      </c>
      <c r="CM370" s="12"/>
      <c r="CN370" s="48"/>
      <c r="CO370" s="193" t="s">
        <v>2263</v>
      </c>
      <c r="CP370" s="21"/>
      <c r="CQ370" s="2" t="s">
        <v>3436</v>
      </c>
      <c r="CR370" s="97">
        <v>20.0</v>
      </c>
      <c r="CS370" s="2" t="s">
        <v>56</v>
      </c>
      <c r="CT370" s="98">
        <v>110.0</v>
      </c>
      <c r="CU370" s="2"/>
      <c r="CV370" s="52" t="s">
        <v>466</v>
      </c>
      <c r="CW370" s="347">
        <v>0.75</v>
      </c>
      <c r="CX370" s="2"/>
      <c r="CY370" s="382" t="s">
        <v>1236</v>
      </c>
      <c r="CZ370" s="385"/>
      <c r="DA370" s="2"/>
      <c r="DB370" s="98">
        <v>225.0</v>
      </c>
      <c r="DC370" s="2"/>
      <c r="DD370" s="101" t="s">
        <v>468</v>
      </c>
      <c r="DE370" s="2"/>
      <c r="DF370" s="383" t="s">
        <v>914</v>
      </c>
      <c r="DG370" s="410" t="s">
        <v>3437</v>
      </c>
      <c r="DH370" s="385"/>
      <c r="DI370" s="2"/>
      <c r="DJ370" s="2"/>
      <c r="DK370" s="59" t="s">
        <v>3438</v>
      </c>
      <c r="DL370" s="37" t="s">
        <v>122</v>
      </c>
      <c r="DM370" s="37" t="str">
        <f t="shared" si="3"/>
        <v>#NAME?</v>
      </c>
      <c r="DN370" s="61"/>
      <c r="DO370" s="37" t="s">
        <v>19</v>
      </c>
      <c r="DP370" s="37" t="s">
        <v>3439</v>
      </c>
      <c r="DQ370" s="62" t="s">
        <v>20</v>
      </c>
      <c r="DR370" s="63"/>
      <c r="DS370" s="198"/>
      <c r="DT370" s="108"/>
      <c r="DU370" s="108"/>
      <c r="DV370" s="182"/>
      <c r="DW370" s="182"/>
      <c r="DX370" s="182"/>
      <c r="DY370" s="182"/>
      <c r="DZ370" s="182"/>
      <c r="EA370" s="182"/>
      <c r="EB370" s="2"/>
      <c r="EC370" s="182"/>
      <c r="ED370" s="2"/>
      <c r="EE370" s="396" t="s">
        <v>3440</v>
      </c>
      <c r="EF370" s="68" t="s">
        <v>3441</v>
      </c>
      <c r="EG370" s="69" t="str">
        <f>image("https://www.serebii.net/diamondpearl/berries/63.png", 3)</f>
        <v/>
      </c>
      <c r="EH370" s="69"/>
      <c r="EI370" s="69"/>
    </row>
    <row r="371" ht="15.75" customHeight="1">
      <c r="A371" s="1">
        <v>371.0</v>
      </c>
      <c r="B371" s="2" t="s">
        <v>3442</v>
      </c>
      <c r="C371" s="7"/>
      <c r="D371" s="140" t="s">
        <v>3443</v>
      </c>
      <c r="E371" s="5"/>
      <c r="F371" s="141"/>
      <c r="G371" s="7"/>
      <c r="H371" s="8" t="s">
        <v>3444</v>
      </c>
      <c r="I371" s="9" t="s">
        <v>3445</v>
      </c>
      <c r="J371" s="355" t="str">
        <f>image("https://archives.bulbagarden.net/media/upload/4/4c/371MS6.png", 3)</f>
        <v/>
      </c>
      <c r="K371" s="11" t="s">
        <v>3443</v>
      </c>
      <c r="L371" s="12"/>
      <c r="M371" s="12"/>
      <c r="N371" s="12"/>
      <c r="O371" s="12"/>
      <c r="Q371" s="71">
        <v>45.0</v>
      </c>
      <c r="R371" s="72">
        <v>75.0</v>
      </c>
      <c r="S371" s="73">
        <v>60.0</v>
      </c>
      <c r="T371" s="74">
        <v>40.0</v>
      </c>
      <c r="U371" s="75">
        <v>30.0</v>
      </c>
      <c r="V371" s="76">
        <v>50.0</v>
      </c>
      <c r="W371" s="77">
        <v>300.0</v>
      </c>
      <c r="X371" s="21"/>
      <c r="Y371" s="71">
        <v>45.0</v>
      </c>
      <c r="Z371" s="72">
        <v>75.0</v>
      </c>
      <c r="AA371" s="73">
        <v>60.0</v>
      </c>
      <c r="AB371" s="74">
        <v>40.0</v>
      </c>
      <c r="AC371" s="75">
        <v>30.0</v>
      </c>
      <c r="AD371" s="76">
        <v>50.0</v>
      </c>
      <c r="AE371" s="77">
        <v>300.0</v>
      </c>
      <c r="AF371" s="21"/>
      <c r="AG371" s="71">
        <v>45.0</v>
      </c>
      <c r="AH371" s="72">
        <v>75.0</v>
      </c>
      <c r="AI371" s="73">
        <v>60.0</v>
      </c>
      <c r="AJ371" s="74">
        <v>40.0</v>
      </c>
      <c r="AK371" s="75">
        <v>30.0</v>
      </c>
      <c r="AL371" s="76">
        <v>50.0</v>
      </c>
      <c r="AM371" s="77">
        <v>300.0</v>
      </c>
      <c r="AN371" s="21"/>
      <c r="AO371" s="22">
        <v>45.0</v>
      </c>
      <c r="AP371" s="23">
        <v>75.0</v>
      </c>
      <c r="AQ371" s="23">
        <v>60.0</v>
      </c>
      <c r="AR371" s="23">
        <v>40.0</v>
      </c>
      <c r="AS371" s="23">
        <v>30.0</v>
      </c>
      <c r="AT371" s="23">
        <v>50.0</v>
      </c>
      <c r="AU371" s="24">
        <v>300.0</v>
      </c>
      <c r="AV371" s="21"/>
      <c r="AW371" s="265">
        <v>45.0</v>
      </c>
      <c r="AX371" s="79">
        <v>75.0</v>
      </c>
      <c r="AY371" s="124">
        <v>60.0</v>
      </c>
      <c r="AZ371" s="124">
        <v>40.0</v>
      </c>
      <c r="BA371" s="124">
        <v>30.0</v>
      </c>
      <c r="BB371" s="124">
        <v>50.0</v>
      </c>
      <c r="BC371" s="125">
        <v>300.0</v>
      </c>
      <c r="BE371" s="194" t="s">
        <v>325</v>
      </c>
      <c r="BF371" s="143"/>
      <c r="BG371" s="128"/>
      <c r="BI371" s="31" t="s">
        <v>5</v>
      </c>
      <c r="BJ371" s="32">
        <v>1.0</v>
      </c>
      <c r="BK371" s="32" t="s">
        <v>5</v>
      </c>
      <c r="BL371" s="32" t="s">
        <v>5</v>
      </c>
      <c r="BM371" s="32" t="s">
        <v>5</v>
      </c>
      <c r="BN371" s="33" t="s">
        <v>5</v>
      </c>
      <c r="BP371" s="115" t="s">
        <v>61</v>
      </c>
      <c r="BQ371" s="93"/>
      <c r="BS371" s="115" t="s">
        <v>61</v>
      </c>
      <c r="BT371" s="133"/>
      <c r="BU371" s="37" t="str">
        <f t="shared" si="1"/>
        <v>#NAME?</v>
      </c>
      <c r="BV371" s="89" t="s">
        <v>61</v>
      </c>
      <c r="BW371" s="37" t="str">
        <f t="shared" si="2"/>
        <v>#NAME?</v>
      </c>
      <c r="BX371" s="89"/>
      <c r="BY371" s="144"/>
      <c r="BZ371" s="144"/>
      <c r="CA371" s="145" t="s">
        <v>61</v>
      </c>
      <c r="CB371" s="146"/>
      <c r="CC371" s="90" t="s">
        <v>61</v>
      </c>
      <c r="CD371" s="147"/>
      <c r="CE371" s="21"/>
      <c r="CF371" s="92" t="s">
        <v>824</v>
      </c>
      <c r="CG371" s="93"/>
      <c r="CH371" s="21"/>
      <c r="CI371" s="92" t="s">
        <v>824</v>
      </c>
      <c r="CJ371" s="195"/>
      <c r="CK371" s="21"/>
      <c r="CL371" s="22" t="s">
        <v>824</v>
      </c>
      <c r="CM371" s="12"/>
      <c r="CN371" s="48"/>
      <c r="CO371" s="165"/>
      <c r="CP371" s="21"/>
      <c r="CQ371" s="2" t="s">
        <v>3446</v>
      </c>
      <c r="CR371" s="97">
        <v>60.0</v>
      </c>
      <c r="CS371" s="2" t="s">
        <v>325</v>
      </c>
      <c r="CT371" s="98">
        <v>89.0</v>
      </c>
      <c r="CU371" s="2"/>
      <c r="CV371" s="52" t="s">
        <v>149</v>
      </c>
      <c r="CW371" s="52" t="s">
        <v>149</v>
      </c>
      <c r="CX371" s="2"/>
      <c r="CY371" s="119" t="s">
        <v>61</v>
      </c>
      <c r="CZ371" s="160"/>
      <c r="DA371" s="2"/>
      <c r="DB371" s="98">
        <v>45.0</v>
      </c>
      <c r="DC371" s="2"/>
      <c r="DD371" s="101" t="s">
        <v>683</v>
      </c>
      <c r="DE371" s="2"/>
      <c r="DF371" s="148" t="s">
        <v>3447</v>
      </c>
      <c r="DG371" s="409" t="s">
        <v>3448</v>
      </c>
      <c r="DH371" s="160"/>
      <c r="DI371" s="21"/>
      <c r="DJ371" s="21"/>
      <c r="DK371" s="59" t="s">
        <v>3449</v>
      </c>
      <c r="DL371" s="37" t="s">
        <v>122</v>
      </c>
      <c r="DM371" s="37" t="str">
        <f t="shared" si="3"/>
        <v>#NAME?</v>
      </c>
      <c r="DN371" s="61"/>
      <c r="DO371" s="37" t="s">
        <v>19</v>
      </c>
      <c r="DP371" s="37" t="s">
        <v>19</v>
      </c>
      <c r="DQ371" s="62" t="s">
        <v>49</v>
      </c>
      <c r="DR371" s="63"/>
      <c r="DS371" s="198"/>
      <c r="DT371" s="108"/>
      <c r="DU371" s="108"/>
      <c r="DV371" s="182"/>
      <c r="DW371" s="182"/>
      <c r="DX371" s="182"/>
      <c r="DY371" s="182"/>
      <c r="DZ371" s="182"/>
      <c r="EA371" s="182"/>
      <c r="EB371" s="2"/>
      <c r="EC371" s="182"/>
      <c r="ED371" s="2"/>
      <c r="EE371" s="423" t="s">
        <v>3450</v>
      </c>
      <c r="EF371" s="424" t="s">
        <v>3451</v>
      </c>
      <c r="EG371" s="425" t="str">
        <f>image("https://www.serebii.net/diamondpearl/berries/64.png", 3)</f>
        <v/>
      </c>
      <c r="EH371" s="69"/>
      <c r="EI371" s="69"/>
    </row>
    <row r="372" ht="15.75" customHeight="1">
      <c r="A372" s="1">
        <v>372.0</v>
      </c>
      <c r="B372" s="2" t="s">
        <v>3452</v>
      </c>
      <c r="C372" s="7"/>
      <c r="D372" s="352" t="s">
        <v>3453</v>
      </c>
      <c r="E372" s="5"/>
      <c r="F372" s="7"/>
      <c r="G372" s="7"/>
      <c r="H372" s="8" t="s">
        <v>3454</v>
      </c>
      <c r="I372" s="9" t="s">
        <v>3455</v>
      </c>
      <c r="J372" s="355" t="str">
        <f>image("https://archives.bulbagarden.net/media/upload/4/43/372MS6.png", 3)</f>
        <v/>
      </c>
      <c r="K372" s="11" t="s">
        <v>3453</v>
      </c>
      <c r="L372" s="12"/>
      <c r="M372" s="12"/>
      <c r="N372" s="12"/>
      <c r="O372" s="12"/>
      <c r="Q372" s="71">
        <v>65.0</v>
      </c>
      <c r="R372" s="72">
        <v>95.0</v>
      </c>
      <c r="S372" s="73">
        <v>100.0</v>
      </c>
      <c r="T372" s="74">
        <v>60.0</v>
      </c>
      <c r="U372" s="75">
        <v>50.0</v>
      </c>
      <c r="V372" s="76">
        <v>50.0</v>
      </c>
      <c r="W372" s="77">
        <v>420.0</v>
      </c>
      <c r="X372" s="21"/>
      <c r="Y372" s="71">
        <v>65.0</v>
      </c>
      <c r="Z372" s="72">
        <v>95.0</v>
      </c>
      <c r="AA372" s="73">
        <v>100.0</v>
      </c>
      <c r="AB372" s="74">
        <v>60.0</v>
      </c>
      <c r="AC372" s="75">
        <v>50.0</v>
      </c>
      <c r="AD372" s="76">
        <v>50.0</v>
      </c>
      <c r="AE372" s="77">
        <v>420.0</v>
      </c>
      <c r="AF372" s="21"/>
      <c r="AG372" s="71">
        <v>65.0</v>
      </c>
      <c r="AH372" s="72">
        <v>95.0</v>
      </c>
      <c r="AI372" s="73">
        <v>100.0</v>
      </c>
      <c r="AJ372" s="74">
        <v>60.0</v>
      </c>
      <c r="AK372" s="75">
        <v>50.0</v>
      </c>
      <c r="AL372" s="76">
        <v>50.0</v>
      </c>
      <c r="AM372" s="77">
        <v>420.0</v>
      </c>
      <c r="AN372" s="21"/>
      <c r="AO372" s="22">
        <v>65.0</v>
      </c>
      <c r="AP372" s="23">
        <v>95.0</v>
      </c>
      <c r="AQ372" s="23">
        <v>100.0</v>
      </c>
      <c r="AR372" s="23">
        <v>60.0</v>
      </c>
      <c r="AS372" s="23">
        <v>50.0</v>
      </c>
      <c r="AT372" s="23">
        <v>50.0</v>
      </c>
      <c r="AU372" s="24">
        <v>420.0</v>
      </c>
      <c r="AV372" s="21"/>
      <c r="AW372" s="78">
        <v>65.0</v>
      </c>
      <c r="AX372" s="79">
        <v>95.0</v>
      </c>
      <c r="AY372" s="79">
        <v>100.0</v>
      </c>
      <c r="AZ372" s="79">
        <v>60.0</v>
      </c>
      <c r="BA372" s="79">
        <v>50.0</v>
      </c>
      <c r="BB372" s="79">
        <v>50.0</v>
      </c>
      <c r="BC372" s="201">
        <v>420.0</v>
      </c>
      <c r="BE372" s="156" t="s">
        <v>162</v>
      </c>
      <c r="BF372" s="113"/>
      <c r="BG372" s="384"/>
      <c r="BI372" s="31" t="s">
        <v>5</v>
      </c>
      <c r="BJ372" s="32" t="s">
        <v>5</v>
      </c>
      <c r="BK372" s="32">
        <v>2.0</v>
      </c>
      <c r="BL372" s="32" t="s">
        <v>5</v>
      </c>
      <c r="BM372" s="32" t="s">
        <v>5</v>
      </c>
      <c r="BN372" s="33" t="s">
        <v>5</v>
      </c>
      <c r="BP372" s="85" t="s">
        <v>61</v>
      </c>
      <c r="BQ372" s="129"/>
      <c r="BS372" s="87" t="s">
        <v>61</v>
      </c>
      <c r="BT372" s="130"/>
      <c r="BU372" s="37" t="str">
        <f t="shared" si="1"/>
        <v>#NAME?</v>
      </c>
      <c r="BV372" s="89" t="s">
        <v>61</v>
      </c>
      <c r="BW372" s="37" t="str">
        <f t="shared" si="2"/>
        <v>#NAME?</v>
      </c>
      <c r="BX372" s="89"/>
      <c r="BY372" s="39"/>
      <c r="BZ372" s="39"/>
      <c r="CA372" s="40" t="s">
        <v>61</v>
      </c>
      <c r="CB372" s="41"/>
      <c r="CC372" s="90" t="s">
        <v>61</v>
      </c>
      <c r="CD372" s="91"/>
      <c r="CE372" s="21"/>
      <c r="CF372" s="92" t="s">
        <v>824</v>
      </c>
      <c r="CG372" s="93"/>
      <c r="CH372" s="21"/>
      <c r="CI372" s="92" t="s">
        <v>824</v>
      </c>
      <c r="CJ372" s="93"/>
      <c r="CK372" s="21"/>
      <c r="CL372" s="22" t="s">
        <v>824</v>
      </c>
      <c r="CM372" s="12"/>
      <c r="CN372" s="48"/>
      <c r="CO372" s="95"/>
      <c r="CP372" s="21"/>
      <c r="CQ372" s="2" t="s">
        <v>3456</v>
      </c>
      <c r="CR372" s="97">
        <v>100.0</v>
      </c>
      <c r="CS372" s="2" t="s">
        <v>162</v>
      </c>
      <c r="CT372" s="98">
        <v>144.0</v>
      </c>
      <c r="CU372" s="2"/>
      <c r="CV372" s="256" t="s">
        <v>149</v>
      </c>
      <c r="CW372" s="256" t="s">
        <v>149</v>
      </c>
      <c r="CX372" s="2"/>
      <c r="CY372" s="382" t="s">
        <v>61</v>
      </c>
      <c r="CZ372" s="385"/>
      <c r="DA372" s="2"/>
      <c r="DB372" s="98">
        <v>45.0</v>
      </c>
      <c r="DC372" s="2"/>
      <c r="DD372" s="101" t="s">
        <v>683</v>
      </c>
      <c r="DE372" s="2"/>
      <c r="DF372" s="383" t="s">
        <v>3457</v>
      </c>
      <c r="DG372" s="410" t="s">
        <v>3448</v>
      </c>
      <c r="DH372" s="385"/>
      <c r="DI372" s="2"/>
      <c r="DJ372" s="2"/>
      <c r="DK372" s="59" t="s">
        <v>3458</v>
      </c>
      <c r="DL372" s="37" t="s">
        <v>6</v>
      </c>
      <c r="DM372" s="37" t="str">
        <f t="shared" si="3"/>
        <v>#NAME?</v>
      </c>
      <c r="DN372" s="61"/>
      <c r="DO372" s="37" t="s">
        <v>19</v>
      </c>
      <c r="DP372" s="37" t="s">
        <v>19</v>
      </c>
      <c r="DQ372" s="62" t="s">
        <v>20</v>
      </c>
      <c r="DR372" s="63"/>
      <c r="DS372" s="198"/>
      <c r="DT372" s="108"/>
      <c r="DU372" s="108"/>
      <c r="DV372" s="182"/>
      <c r="DW372" s="182"/>
      <c r="DX372" s="182"/>
      <c r="DY372" s="182"/>
      <c r="DZ372" s="182"/>
      <c r="EA372" s="182"/>
      <c r="EB372" s="2"/>
      <c r="EC372" s="182"/>
      <c r="ED372" s="2"/>
      <c r="EG372" s="108"/>
    </row>
    <row r="373" ht="15.75" customHeight="1">
      <c r="A373" s="1">
        <v>373.0</v>
      </c>
      <c r="B373" s="2" t="s">
        <v>3459</v>
      </c>
      <c r="C373" s="7"/>
      <c r="D373" s="140" t="s">
        <v>3460</v>
      </c>
      <c r="E373" s="5"/>
      <c r="F373" s="141"/>
      <c r="G373" s="7"/>
      <c r="H373" s="8" t="s">
        <v>3461</v>
      </c>
      <c r="I373" s="9" t="s">
        <v>3462</v>
      </c>
      <c r="J373" s="355" t="str">
        <f>image("https://archives.bulbagarden.net/media/upload/5/5f/373MS6.png", 3)</f>
        <v/>
      </c>
      <c r="K373" s="11" t="s">
        <v>3460</v>
      </c>
      <c r="L373" s="12"/>
      <c r="M373" s="12"/>
      <c r="N373" s="12"/>
      <c r="O373" s="12"/>
      <c r="Q373" s="71">
        <v>95.0</v>
      </c>
      <c r="R373" s="72">
        <v>135.0</v>
      </c>
      <c r="S373" s="73">
        <v>80.0</v>
      </c>
      <c r="T373" s="74">
        <v>110.0</v>
      </c>
      <c r="U373" s="75">
        <v>80.0</v>
      </c>
      <c r="V373" s="76">
        <v>100.0</v>
      </c>
      <c r="W373" s="77">
        <v>600.0</v>
      </c>
      <c r="X373" s="21"/>
      <c r="Y373" s="71">
        <v>95.0</v>
      </c>
      <c r="Z373" s="72">
        <v>135.0</v>
      </c>
      <c r="AA373" s="73">
        <v>80.0</v>
      </c>
      <c r="AB373" s="74">
        <v>110.0</v>
      </c>
      <c r="AC373" s="75">
        <v>80.0</v>
      </c>
      <c r="AD373" s="76">
        <v>100.0</v>
      </c>
      <c r="AE373" s="77">
        <v>600.0</v>
      </c>
      <c r="AF373" s="21"/>
      <c r="AG373" s="71">
        <v>95.0</v>
      </c>
      <c r="AH373" s="72">
        <v>135.0</v>
      </c>
      <c r="AI373" s="73">
        <v>80.0</v>
      </c>
      <c r="AJ373" s="74">
        <v>110.0</v>
      </c>
      <c r="AK373" s="75">
        <v>80.0</v>
      </c>
      <c r="AL373" s="76">
        <v>100.0</v>
      </c>
      <c r="AM373" s="77">
        <v>600.0</v>
      </c>
      <c r="AN373" s="21"/>
      <c r="AO373" s="22">
        <v>95.0</v>
      </c>
      <c r="AP373" s="23">
        <v>135.0</v>
      </c>
      <c r="AQ373" s="23">
        <v>80.0</v>
      </c>
      <c r="AR373" s="23">
        <v>110.0</v>
      </c>
      <c r="AS373" s="23">
        <v>80.0</v>
      </c>
      <c r="AT373" s="23">
        <v>100.0</v>
      </c>
      <c r="AU373" s="24">
        <v>600.0</v>
      </c>
      <c r="AV373" s="21"/>
      <c r="AW373" s="78">
        <v>95.0</v>
      </c>
      <c r="AX373" s="79">
        <v>135.0</v>
      </c>
      <c r="AY373" s="79">
        <v>80.0</v>
      </c>
      <c r="AZ373" s="79">
        <v>110.0</v>
      </c>
      <c r="BA373" s="79">
        <v>80.0</v>
      </c>
      <c r="BB373" s="79">
        <v>100.0</v>
      </c>
      <c r="BC373" s="201">
        <v>600.0</v>
      </c>
      <c r="BE373" s="172" t="s">
        <v>451</v>
      </c>
      <c r="BF373" s="138"/>
      <c r="BG373" s="128"/>
      <c r="BI373" s="31" t="s">
        <v>5</v>
      </c>
      <c r="BJ373" s="32">
        <v>3.0</v>
      </c>
      <c r="BK373" s="32" t="s">
        <v>5</v>
      </c>
      <c r="BL373" s="32" t="s">
        <v>5</v>
      </c>
      <c r="BM373" s="32" t="s">
        <v>5</v>
      </c>
      <c r="BN373" s="33" t="s">
        <v>5</v>
      </c>
      <c r="BP373" s="115" t="s">
        <v>61</v>
      </c>
      <c r="BQ373" s="116" t="s">
        <v>18</v>
      </c>
      <c r="BS373" s="115" t="s">
        <v>61</v>
      </c>
      <c r="BT373" s="117" t="s">
        <v>18</v>
      </c>
      <c r="BU373" s="37" t="str">
        <f t="shared" si="1"/>
        <v>#NAME?</v>
      </c>
      <c r="BV373" s="89" t="s">
        <v>61</v>
      </c>
      <c r="BW373" s="37" t="str">
        <f t="shared" si="2"/>
        <v>#NAME?</v>
      </c>
      <c r="BX373" s="89" t="s">
        <v>18</v>
      </c>
      <c r="BY373" s="39"/>
      <c r="BZ373" s="39"/>
      <c r="CA373" s="40" t="s">
        <v>1511</v>
      </c>
      <c r="CB373" s="41"/>
      <c r="CC373" s="90" t="s">
        <v>61</v>
      </c>
      <c r="CD373" s="91" t="s">
        <v>18</v>
      </c>
      <c r="CE373" s="2"/>
      <c r="CF373" s="92" t="s">
        <v>326</v>
      </c>
      <c r="CG373" s="93"/>
      <c r="CH373" s="2"/>
      <c r="CI373" s="92" t="s">
        <v>326</v>
      </c>
      <c r="CJ373" s="93"/>
      <c r="CK373" s="2"/>
      <c r="CL373" s="22" t="s">
        <v>326</v>
      </c>
      <c r="CM373" s="12"/>
      <c r="CN373" s="48"/>
      <c r="CO373" s="95"/>
      <c r="CP373" s="2"/>
      <c r="CQ373" s="2" t="s">
        <v>3463</v>
      </c>
      <c r="CR373" s="97">
        <v>100.0</v>
      </c>
      <c r="CS373" s="2" t="s">
        <v>451</v>
      </c>
      <c r="CT373" s="98">
        <v>218.0</v>
      </c>
      <c r="CU373" s="2"/>
      <c r="CV373" s="256" t="s">
        <v>149</v>
      </c>
      <c r="CW373" s="256" t="s">
        <v>149</v>
      </c>
      <c r="CX373" s="2"/>
      <c r="CY373" s="119" t="s">
        <v>61</v>
      </c>
      <c r="CZ373" s="160"/>
      <c r="DA373" s="2"/>
      <c r="DB373" s="311">
        <v>45.0</v>
      </c>
      <c r="DC373" s="2"/>
      <c r="DD373" s="101" t="s">
        <v>683</v>
      </c>
      <c r="DE373" s="2"/>
      <c r="DF373" s="120" t="s">
        <v>3464</v>
      </c>
      <c r="DG373" s="409" t="s">
        <v>3448</v>
      </c>
      <c r="DH373" s="160"/>
      <c r="DI373" s="2"/>
      <c r="DJ373" s="2"/>
      <c r="DK373" s="59" t="s">
        <v>3465</v>
      </c>
      <c r="DL373" s="37" t="s">
        <v>95</v>
      </c>
      <c r="DM373" s="37" t="str">
        <f t="shared" si="3"/>
        <v>#NAME?</v>
      </c>
      <c r="DN373" s="61"/>
      <c r="DO373" s="37" t="s">
        <v>19</v>
      </c>
      <c r="DP373" s="37" t="s">
        <v>19</v>
      </c>
      <c r="DQ373" s="62" t="s">
        <v>93</v>
      </c>
      <c r="DR373" s="63"/>
      <c r="DS373" s="198"/>
      <c r="DT373" s="108"/>
      <c r="DU373" s="108"/>
      <c r="DV373" s="182"/>
      <c r="DW373" s="182"/>
      <c r="DX373" s="182"/>
      <c r="DY373" s="182"/>
      <c r="DZ373" s="182"/>
      <c r="EA373" s="182"/>
      <c r="EF373" s="21" t="s">
        <v>3466</v>
      </c>
      <c r="EG373" s="69"/>
      <c r="EH373" s="349"/>
      <c r="EI373" s="349"/>
    </row>
    <row r="374" ht="15.75" customHeight="1">
      <c r="A374" s="1">
        <v>374.0</v>
      </c>
      <c r="B374" s="2" t="s">
        <v>3467</v>
      </c>
      <c r="C374" s="7"/>
      <c r="D374" s="140" t="s">
        <v>3468</v>
      </c>
      <c r="E374" s="5"/>
      <c r="F374" s="141"/>
      <c r="G374" s="7"/>
      <c r="H374" s="8" t="s">
        <v>3469</v>
      </c>
      <c r="I374" s="9" t="s">
        <v>3470</v>
      </c>
      <c r="J374" s="355" t="str">
        <f>image("https://archives.bulbagarden.net/media/upload/c/c6/374MS6.png", 3)</f>
        <v/>
      </c>
      <c r="K374" s="11" t="s">
        <v>3468</v>
      </c>
      <c r="L374" s="12"/>
      <c r="M374" s="12"/>
      <c r="N374" s="12"/>
      <c r="O374" s="12"/>
      <c r="Q374" s="71">
        <v>40.0</v>
      </c>
      <c r="R374" s="72">
        <v>55.0</v>
      </c>
      <c r="S374" s="73">
        <v>80.0</v>
      </c>
      <c r="T374" s="74">
        <v>35.0</v>
      </c>
      <c r="U374" s="75">
        <v>60.0</v>
      </c>
      <c r="V374" s="76">
        <v>30.0</v>
      </c>
      <c r="W374" s="77">
        <v>300.0</v>
      </c>
      <c r="X374" s="21"/>
      <c r="Y374" s="71">
        <v>40.0</v>
      </c>
      <c r="Z374" s="72">
        <v>55.0</v>
      </c>
      <c r="AA374" s="73">
        <v>80.0</v>
      </c>
      <c r="AB374" s="74">
        <v>35.0</v>
      </c>
      <c r="AC374" s="75">
        <v>60.0</v>
      </c>
      <c r="AD374" s="76">
        <v>30.0</v>
      </c>
      <c r="AE374" s="77">
        <v>300.0</v>
      </c>
      <c r="AF374" s="21"/>
      <c r="AG374" s="71">
        <v>40.0</v>
      </c>
      <c r="AH374" s="72">
        <v>55.0</v>
      </c>
      <c r="AI374" s="73">
        <v>80.0</v>
      </c>
      <c r="AJ374" s="74">
        <v>35.0</v>
      </c>
      <c r="AK374" s="75">
        <v>60.0</v>
      </c>
      <c r="AL374" s="76">
        <v>30.0</v>
      </c>
      <c r="AM374" s="77">
        <v>300.0</v>
      </c>
      <c r="AN374" s="21"/>
      <c r="AO374" s="22">
        <v>40.0</v>
      </c>
      <c r="AP374" s="23">
        <v>55.0</v>
      </c>
      <c r="AQ374" s="23">
        <v>80.0</v>
      </c>
      <c r="AR374" s="23">
        <v>35.0</v>
      </c>
      <c r="AS374" s="23">
        <v>60.0</v>
      </c>
      <c r="AT374" s="23">
        <v>30.0</v>
      </c>
      <c r="AU374" s="24">
        <v>300.0</v>
      </c>
      <c r="AV374" s="21"/>
      <c r="AW374" s="78">
        <v>40.0</v>
      </c>
      <c r="AX374" s="79">
        <v>55.0</v>
      </c>
      <c r="AY374" s="79">
        <v>80.0</v>
      </c>
      <c r="AZ374" s="79">
        <v>35.0</v>
      </c>
      <c r="BA374" s="79">
        <v>60.0</v>
      </c>
      <c r="BB374" s="79">
        <v>30.0</v>
      </c>
      <c r="BC374" s="201">
        <v>300.0</v>
      </c>
      <c r="BE374" s="142" t="s">
        <v>101</v>
      </c>
      <c r="BF374" s="386"/>
      <c r="BG374" s="128"/>
      <c r="BI374" s="31" t="s">
        <v>5</v>
      </c>
      <c r="BJ374" s="32" t="s">
        <v>5</v>
      </c>
      <c r="BK374" s="32">
        <v>1.0</v>
      </c>
      <c r="BL374" s="32" t="s">
        <v>5</v>
      </c>
      <c r="BM374" s="32" t="s">
        <v>5</v>
      </c>
      <c r="BN374" s="33" t="s">
        <v>5</v>
      </c>
      <c r="BP374" s="85" t="s">
        <v>95</v>
      </c>
      <c r="BQ374" s="86" t="s">
        <v>122</v>
      </c>
      <c r="BS374" s="87" t="s">
        <v>95</v>
      </c>
      <c r="BT374" s="88" t="s">
        <v>122</v>
      </c>
      <c r="BU374" s="37" t="str">
        <f t="shared" si="1"/>
        <v>#NAME?</v>
      </c>
      <c r="BV374" s="89" t="s">
        <v>95</v>
      </c>
      <c r="BW374" s="37" t="str">
        <f t="shared" si="2"/>
        <v>#NAME?</v>
      </c>
      <c r="BX374" s="89" t="s">
        <v>122</v>
      </c>
      <c r="BY374" s="39"/>
      <c r="BZ374" s="39"/>
      <c r="CA374" s="40" t="s">
        <v>3471</v>
      </c>
      <c r="CB374" s="41"/>
      <c r="CC374" s="90" t="s">
        <v>95</v>
      </c>
      <c r="CD374" s="91" t="s">
        <v>122</v>
      </c>
      <c r="CE374" s="2"/>
      <c r="CF374" s="92" t="s">
        <v>804</v>
      </c>
      <c r="CG374" s="93"/>
      <c r="CH374" s="2"/>
      <c r="CI374" s="92" t="s">
        <v>804</v>
      </c>
      <c r="CJ374" s="93"/>
      <c r="CK374" s="2"/>
      <c r="CL374" s="22" t="s">
        <v>3472</v>
      </c>
      <c r="CM374" s="12"/>
      <c r="CN374" s="48"/>
      <c r="CO374" s="96" t="s">
        <v>804</v>
      </c>
      <c r="CP374" s="2"/>
      <c r="CQ374" s="2" t="s">
        <v>3473</v>
      </c>
      <c r="CR374" s="97">
        <v>80.0</v>
      </c>
      <c r="CS374" s="2" t="s">
        <v>101</v>
      </c>
      <c r="CT374" s="98">
        <v>103.0</v>
      </c>
      <c r="CU374" s="2"/>
      <c r="CV374" s="256" t="s">
        <v>890</v>
      </c>
      <c r="CW374" s="256" t="s">
        <v>890</v>
      </c>
      <c r="CX374" s="2"/>
      <c r="CY374" s="390" t="s">
        <v>826</v>
      </c>
      <c r="CZ374" s="385"/>
      <c r="DA374" s="2"/>
      <c r="DB374" s="426">
        <v>45.0</v>
      </c>
      <c r="DC374" s="2"/>
      <c r="DD374" s="101" t="s">
        <v>683</v>
      </c>
      <c r="DE374" s="2"/>
      <c r="DF374" s="387" t="s">
        <v>3474</v>
      </c>
      <c r="DG374" s="410" t="s">
        <v>892</v>
      </c>
      <c r="DH374" s="385"/>
      <c r="DI374" s="21"/>
      <c r="DJ374" s="21"/>
      <c r="DK374" s="59" t="s">
        <v>3475</v>
      </c>
      <c r="DL374" s="37" t="s">
        <v>122</v>
      </c>
      <c r="DM374" s="37" t="str">
        <f t="shared" si="3"/>
        <v>#NAME?</v>
      </c>
      <c r="DN374" s="61"/>
      <c r="DO374" s="37" t="s">
        <v>19</v>
      </c>
      <c r="DP374" s="105">
        <v>0.8</v>
      </c>
      <c r="DQ374" s="62" t="s">
        <v>93</v>
      </c>
      <c r="DR374" s="63"/>
      <c r="DS374" s="198"/>
      <c r="DT374" s="108"/>
      <c r="DU374" s="108"/>
      <c r="DV374" s="182"/>
      <c r="DW374" s="182"/>
      <c r="DX374" s="182"/>
      <c r="DY374" s="182"/>
      <c r="DZ374" s="182"/>
      <c r="EA374" s="182"/>
      <c r="EG374" s="108"/>
    </row>
    <row r="375" ht="15.75" customHeight="1">
      <c r="A375" s="1">
        <v>375.0</v>
      </c>
      <c r="B375" s="2" t="s">
        <v>3476</v>
      </c>
      <c r="C375" s="7"/>
      <c r="D375" s="140" t="s">
        <v>3477</v>
      </c>
      <c r="E375" s="5"/>
      <c r="F375" s="141"/>
      <c r="G375" s="7"/>
      <c r="H375" s="8" t="s">
        <v>3478</v>
      </c>
      <c r="I375" s="9" t="s">
        <v>3479</v>
      </c>
      <c r="J375" s="355" t="str">
        <f>image("https://archives.bulbagarden.net/media/upload/6/67/375MS6.png", 3)</f>
        <v/>
      </c>
      <c r="K375" s="11" t="s">
        <v>3477</v>
      </c>
      <c r="L375" s="12"/>
      <c r="M375" s="12"/>
      <c r="N375" s="12"/>
      <c r="O375" s="12"/>
      <c r="Q375" s="71">
        <v>60.0</v>
      </c>
      <c r="R375" s="72">
        <v>75.0</v>
      </c>
      <c r="S375" s="73">
        <v>100.0</v>
      </c>
      <c r="T375" s="74">
        <v>55.0</v>
      </c>
      <c r="U375" s="75">
        <v>80.0</v>
      </c>
      <c r="V375" s="76">
        <v>50.0</v>
      </c>
      <c r="W375" s="77">
        <v>420.0</v>
      </c>
      <c r="X375" s="21"/>
      <c r="Y375" s="71">
        <v>60.0</v>
      </c>
      <c r="Z375" s="72">
        <v>75.0</v>
      </c>
      <c r="AA375" s="73">
        <v>100.0</v>
      </c>
      <c r="AB375" s="74">
        <v>55.0</v>
      </c>
      <c r="AC375" s="75">
        <v>80.0</v>
      </c>
      <c r="AD375" s="76">
        <v>50.0</v>
      </c>
      <c r="AE375" s="77">
        <v>420.0</v>
      </c>
      <c r="AF375" s="21"/>
      <c r="AG375" s="71">
        <v>60.0</v>
      </c>
      <c r="AH375" s="72">
        <v>75.0</v>
      </c>
      <c r="AI375" s="73">
        <v>100.0</v>
      </c>
      <c r="AJ375" s="74">
        <v>55.0</v>
      </c>
      <c r="AK375" s="75">
        <v>80.0</v>
      </c>
      <c r="AL375" s="76">
        <v>50.0</v>
      </c>
      <c r="AM375" s="77">
        <v>420.0</v>
      </c>
      <c r="AN375" s="21"/>
      <c r="AO375" s="22">
        <v>60.0</v>
      </c>
      <c r="AP375" s="23">
        <v>75.0</v>
      </c>
      <c r="AQ375" s="23">
        <v>100.0</v>
      </c>
      <c r="AR375" s="23">
        <v>55.0</v>
      </c>
      <c r="AS375" s="23">
        <v>80.0</v>
      </c>
      <c r="AT375" s="23">
        <v>50.0</v>
      </c>
      <c r="AU375" s="24">
        <v>420.0</v>
      </c>
      <c r="AV375" s="21"/>
      <c r="AW375" s="78">
        <v>60.0</v>
      </c>
      <c r="AX375" s="79">
        <v>75.0</v>
      </c>
      <c r="AY375" s="79">
        <v>100.0</v>
      </c>
      <c r="AZ375" s="79">
        <v>55.0</v>
      </c>
      <c r="BA375" s="79">
        <v>80.0</v>
      </c>
      <c r="BB375" s="79">
        <v>50.0</v>
      </c>
      <c r="BC375" s="201">
        <v>420.0</v>
      </c>
      <c r="BE375" s="156" t="s">
        <v>162</v>
      </c>
      <c r="BF375" s="113"/>
      <c r="BG375" s="210"/>
      <c r="BI375" s="31" t="s">
        <v>5</v>
      </c>
      <c r="BJ375" s="32" t="s">
        <v>5</v>
      </c>
      <c r="BK375" s="32">
        <v>2.0</v>
      </c>
      <c r="BL375" s="32" t="s">
        <v>5</v>
      </c>
      <c r="BM375" s="32" t="s">
        <v>5</v>
      </c>
      <c r="BN375" s="33" t="s">
        <v>5</v>
      </c>
      <c r="BP375" s="115" t="s">
        <v>95</v>
      </c>
      <c r="BQ375" s="116" t="s">
        <v>122</v>
      </c>
      <c r="BS375" s="115" t="s">
        <v>95</v>
      </c>
      <c r="BT375" s="117" t="s">
        <v>122</v>
      </c>
      <c r="BU375" s="37" t="str">
        <f t="shared" si="1"/>
        <v>#NAME?</v>
      </c>
      <c r="BV375" s="89" t="s">
        <v>95</v>
      </c>
      <c r="BW375" s="37" t="str">
        <f t="shared" si="2"/>
        <v>#NAME?</v>
      </c>
      <c r="BX375" s="89" t="s">
        <v>122</v>
      </c>
      <c r="BY375" s="39"/>
      <c r="BZ375" s="39"/>
      <c r="CA375" s="40" t="s">
        <v>3471</v>
      </c>
      <c r="CB375" s="41"/>
      <c r="CC375" s="90" t="s">
        <v>95</v>
      </c>
      <c r="CD375" s="91" t="s">
        <v>122</v>
      </c>
      <c r="CE375" s="2"/>
      <c r="CF375" s="92" t="s">
        <v>804</v>
      </c>
      <c r="CG375" s="93"/>
      <c r="CH375" s="2"/>
      <c r="CI375" s="92" t="s">
        <v>804</v>
      </c>
      <c r="CJ375" s="93"/>
      <c r="CK375" s="2"/>
      <c r="CL375" s="22" t="s">
        <v>1652</v>
      </c>
      <c r="CM375" s="12"/>
      <c r="CN375" s="48"/>
      <c r="CO375" s="96" t="s">
        <v>804</v>
      </c>
      <c r="CP375" s="2"/>
      <c r="CQ375" s="2" t="s">
        <v>3480</v>
      </c>
      <c r="CR375" s="97">
        <v>120.0</v>
      </c>
      <c r="CS375" s="2" t="s">
        <v>162</v>
      </c>
      <c r="CT375" s="98">
        <v>153.0</v>
      </c>
      <c r="CU375" s="2"/>
      <c r="CV375" s="256" t="s">
        <v>890</v>
      </c>
      <c r="CW375" s="256" t="s">
        <v>890</v>
      </c>
      <c r="CX375" s="2"/>
      <c r="CY375" s="257" t="s">
        <v>826</v>
      </c>
      <c r="CZ375" s="160"/>
      <c r="DA375" s="2"/>
      <c r="DB375" s="427">
        <v>45.0</v>
      </c>
      <c r="DC375" s="2"/>
      <c r="DD375" s="101" t="s">
        <v>683</v>
      </c>
      <c r="DE375" s="2"/>
      <c r="DF375" s="120" t="s">
        <v>3481</v>
      </c>
      <c r="DG375" s="409" t="s">
        <v>892</v>
      </c>
      <c r="DH375" s="160"/>
      <c r="DI375" s="2"/>
      <c r="DJ375" s="2"/>
      <c r="DK375" s="59" t="s">
        <v>3482</v>
      </c>
      <c r="DL375" s="37" t="s">
        <v>6</v>
      </c>
      <c r="DM375" s="37" t="str">
        <f t="shared" si="3"/>
        <v>#NAME?</v>
      </c>
      <c r="DN375" s="61"/>
      <c r="DO375" s="37" t="s">
        <v>19</v>
      </c>
      <c r="DP375" s="105">
        <v>0.9</v>
      </c>
      <c r="DQ375" s="62" t="s">
        <v>49</v>
      </c>
      <c r="DR375" s="63"/>
      <c r="DS375" s="198"/>
      <c r="DT375" s="108"/>
      <c r="DU375" s="108"/>
      <c r="DV375" s="182"/>
      <c r="DW375" s="182"/>
      <c r="DX375" s="182"/>
      <c r="DY375" s="182"/>
      <c r="DZ375" s="182"/>
      <c r="EA375" s="182"/>
      <c r="EF375" s="21" t="s">
        <v>3483</v>
      </c>
      <c r="EG375" s="108" t="str">
        <f>image("https://www.pokebip.com/pages/icones/objets/orbe-bleu.png",3)</f>
        <v/>
      </c>
    </row>
    <row r="376" ht="15.75" customHeight="1">
      <c r="A376" s="1">
        <v>376.0</v>
      </c>
      <c r="B376" s="2" t="s">
        <v>3484</v>
      </c>
      <c r="C376" s="7"/>
      <c r="D376" s="140" t="s">
        <v>3485</v>
      </c>
      <c r="E376" s="5"/>
      <c r="F376" s="141"/>
      <c r="G376" s="7"/>
      <c r="H376" s="8" t="s">
        <v>3486</v>
      </c>
      <c r="I376" s="9" t="s">
        <v>3487</v>
      </c>
      <c r="J376" s="355" t="str">
        <f>image("https://archives.bulbagarden.net/media/upload/6/66/376MS6.png", 3)</f>
        <v/>
      </c>
      <c r="K376" s="11" t="s">
        <v>3485</v>
      </c>
      <c r="L376" s="12"/>
      <c r="M376" s="12"/>
      <c r="N376" s="12"/>
      <c r="O376" s="12"/>
      <c r="Q376" s="71">
        <v>80.0</v>
      </c>
      <c r="R376" s="72">
        <v>135.0</v>
      </c>
      <c r="S376" s="73">
        <v>130.0</v>
      </c>
      <c r="T376" s="74">
        <v>95.0</v>
      </c>
      <c r="U376" s="75">
        <v>90.0</v>
      </c>
      <c r="V376" s="76">
        <v>70.0</v>
      </c>
      <c r="W376" s="77">
        <v>600.0</v>
      </c>
      <c r="X376" s="21"/>
      <c r="Y376" s="71">
        <v>80.0</v>
      </c>
      <c r="Z376" s="72">
        <v>135.0</v>
      </c>
      <c r="AA376" s="73">
        <v>130.0</v>
      </c>
      <c r="AB376" s="74">
        <v>95.0</v>
      </c>
      <c r="AC376" s="75">
        <v>90.0</v>
      </c>
      <c r="AD376" s="76">
        <v>70.0</v>
      </c>
      <c r="AE376" s="77">
        <v>600.0</v>
      </c>
      <c r="AF376" s="21"/>
      <c r="AG376" s="71">
        <v>80.0</v>
      </c>
      <c r="AH376" s="72">
        <v>135.0</v>
      </c>
      <c r="AI376" s="73">
        <v>130.0</v>
      </c>
      <c r="AJ376" s="74">
        <v>95.0</v>
      </c>
      <c r="AK376" s="75">
        <v>90.0</v>
      </c>
      <c r="AL376" s="76">
        <v>70.0</v>
      </c>
      <c r="AM376" s="77">
        <v>600.0</v>
      </c>
      <c r="AN376" s="21"/>
      <c r="AO376" s="22">
        <v>80.0</v>
      </c>
      <c r="AP376" s="23">
        <v>135.0</v>
      </c>
      <c r="AQ376" s="23">
        <v>130.0</v>
      </c>
      <c r="AR376" s="23">
        <v>95.0</v>
      </c>
      <c r="AS376" s="23">
        <v>90.0</v>
      </c>
      <c r="AT376" s="23">
        <v>70.0</v>
      </c>
      <c r="AU376" s="24">
        <v>600.0</v>
      </c>
      <c r="AV376" s="21"/>
      <c r="AW376" s="78">
        <v>80.0</v>
      </c>
      <c r="AX376" s="79">
        <v>135.0</v>
      </c>
      <c r="AY376" s="79">
        <v>130.0</v>
      </c>
      <c r="AZ376" s="79">
        <v>95.0</v>
      </c>
      <c r="BA376" s="79">
        <v>90.0</v>
      </c>
      <c r="BB376" s="79">
        <v>70.0</v>
      </c>
      <c r="BC376" s="201">
        <v>600.0</v>
      </c>
      <c r="BE376" s="156" t="s">
        <v>717</v>
      </c>
      <c r="BF376" s="138"/>
      <c r="BG376" s="128"/>
      <c r="BI376" s="31" t="s">
        <v>5</v>
      </c>
      <c r="BJ376" s="32" t="s">
        <v>5</v>
      </c>
      <c r="BK376" s="32">
        <v>3.0</v>
      </c>
      <c r="BL376" s="32" t="s">
        <v>5</v>
      </c>
      <c r="BM376" s="32" t="s">
        <v>5</v>
      </c>
      <c r="BN376" s="33" t="s">
        <v>5</v>
      </c>
      <c r="BP376" s="85" t="s">
        <v>95</v>
      </c>
      <c r="BQ376" s="86" t="s">
        <v>122</v>
      </c>
      <c r="BS376" s="87" t="s">
        <v>95</v>
      </c>
      <c r="BT376" s="88" t="s">
        <v>122</v>
      </c>
      <c r="BU376" s="37" t="str">
        <f t="shared" si="1"/>
        <v>#NAME?</v>
      </c>
      <c r="BV376" s="89" t="s">
        <v>95</v>
      </c>
      <c r="BW376" s="37" t="str">
        <f t="shared" si="2"/>
        <v>#NAME?</v>
      </c>
      <c r="BX376" s="89" t="s">
        <v>122</v>
      </c>
      <c r="BY376" s="39"/>
      <c r="BZ376" s="39"/>
      <c r="CA376" s="40" t="s">
        <v>3471</v>
      </c>
      <c r="CB376" s="41"/>
      <c r="CC376" s="90" t="s">
        <v>95</v>
      </c>
      <c r="CD376" s="91" t="s">
        <v>122</v>
      </c>
      <c r="CE376" s="2"/>
      <c r="CF376" s="92" t="s">
        <v>804</v>
      </c>
      <c r="CG376" s="93"/>
      <c r="CH376" s="2"/>
      <c r="CI376" s="92" t="s">
        <v>804</v>
      </c>
      <c r="CJ376" s="93"/>
      <c r="CK376" s="2"/>
      <c r="CL376" s="22" t="s">
        <v>1652</v>
      </c>
      <c r="CM376" s="12"/>
      <c r="CN376" s="48"/>
      <c r="CO376" s="96" t="s">
        <v>804</v>
      </c>
      <c r="CP376" s="2"/>
      <c r="CQ376" s="2" t="s">
        <v>3488</v>
      </c>
      <c r="CR376" s="97">
        <v>120.0</v>
      </c>
      <c r="CS376" s="2" t="s">
        <v>717</v>
      </c>
      <c r="CT376" s="98">
        <v>210.0</v>
      </c>
      <c r="CU376" s="2"/>
      <c r="CV376" s="256" t="s">
        <v>890</v>
      </c>
      <c r="CW376" s="256" t="s">
        <v>890</v>
      </c>
      <c r="CX376" s="2"/>
      <c r="CY376" s="390" t="s">
        <v>826</v>
      </c>
      <c r="CZ376" s="385"/>
      <c r="DA376" s="2"/>
      <c r="DB376" s="217">
        <v>45.0</v>
      </c>
      <c r="DC376" s="2"/>
      <c r="DD376" s="101" t="s">
        <v>683</v>
      </c>
      <c r="DE376" s="2"/>
      <c r="DF376" s="383" t="s">
        <v>3489</v>
      </c>
      <c r="DG376" s="410" t="s">
        <v>892</v>
      </c>
      <c r="DH376" s="385"/>
      <c r="DI376" s="2"/>
      <c r="DJ376" s="2"/>
      <c r="DK376" s="59" t="s">
        <v>3490</v>
      </c>
      <c r="DL376" s="37" t="s">
        <v>156</v>
      </c>
      <c r="DM376" s="37" t="str">
        <f t="shared" si="3"/>
        <v>#NAME?</v>
      </c>
      <c r="DN376" s="61"/>
      <c r="DO376" s="37" t="s">
        <v>19</v>
      </c>
      <c r="DP376" s="105">
        <v>1.0</v>
      </c>
      <c r="DQ376" s="62" t="s">
        <v>342</v>
      </c>
      <c r="DR376" s="63"/>
      <c r="DS376" s="198"/>
      <c r="DT376" s="108"/>
      <c r="DU376" s="108"/>
      <c r="DV376" s="182"/>
      <c r="DW376" s="182"/>
      <c r="DX376" s="182"/>
      <c r="DY376" s="182"/>
      <c r="DZ376" s="182"/>
      <c r="EA376" s="182"/>
      <c r="EF376" s="21" t="s">
        <v>3491</v>
      </c>
      <c r="EG376" s="108" t="str">
        <f>image("https://www.pokebip.com/pages/icones/objets/orbe-rouge.png",3)</f>
        <v/>
      </c>
    </row>
    <row r="377" ht="15.75" customHeight="1">
      <c r="A377" s="1">
        <v>377.0</v>
      </c>
      <c r="B377" s="2" t="s">
        <v>3492</v>
      </c>
      <c r="C377" s="7"/>
      <c r="D377" s="167" t="s">
        <v>3493</v>
      </c>
      <c r="E377" s="5"/>
      <c r="F377" s="168"/>
      <c r="G377" s="7"/>
      <c r="H377" s="8" t="s">
        <v>3494</v>
      </c>
      <c r="I377" s="9" t="s">
        <v>3495</v>
      </c>
      <c r="J377" s="355" t="str">
        <f>image("https://archives.bulbagarden.net/media/upload/a/a7/377MS6.png", 3)</f>
        <v/>
      </c>
      <c r="K377" s="11" t="s">
        <v>3493</v>
      </c>
      <c r="L377" s="12"/>
      <c r="M377" s="12"/>
      <c r="N377" s="12"/>
      <c r="O377" s="12"/>
      <c r="Q377" s="71">
        <v>80.0</v>
      </c>
      <c r="R377" s="72">
        <v>100.0</v>
      </c>
      <c r="S377" s="73">
        <v>200.0</v>
      </c>
      <c r="T377" s="74">
        <v>50.0</v>
      </c>
      <c r="U377" s="75">
        <v>100.0</v>
      </c>
      <c r="V377" s="76">
        <v>50.0</v>
      </c>
      <c r="W377" s="77">
        <v>580.0</v>
      </c>
      <c r="X377" s="21"/>
      <c r="Y377" s="71">
        <v>80.0</v>
      </c>
      <c r="Z377" s="72">
        <v>100.0</v>
      </c>
      <c r="AA377" s="73">
        <v>200.0</v>
      </c>
      <c r="AB377" s="74">
        <v>50.0</v>
      </c>
      <c r="AC377" s="75">
        <v>100.0</v>
      </c>
      <c r="AD377" s="76">
        <v>50.0</v>
      </c>
      <c r="AE377" s="77">
        <v>580.0</v>
      </c>
      <c r="AF377" s="21"/>
      <c r="AG377" s="71">
        <v>80.0</v>
      </c>
      <c r="AH377" s="72">
        <v>100.0</v>
      </c>
      <c r="AI377" s="73">
        <v>200.0</v>
      </c>
      <c r="AJ377" s="74">
        <v>50.0</v>
      </c>
      <c r="AK377" s="75">
        <v>100.0</v>
      </c>
      <c r="AL377" s="76">
        <v>50.0</v>
      </c>
      <c r="AM377" s="77">
        <v>580.0</v>
      </c>
      <c r="AN377" s="21"/>
      <c r="AO377" s="22">
        <v>80.0</v>
      </c>
      <c r="AP377" s="23">
        <v>100.0</v>
      </c>
      <c r="AQ377" s="23">
        <v>200.0</v>
      </c>
      <c r="AR377" s="23">
        <v>50.0</v>
      </c>
      <c r="AS377" s="23">
        <v>100.0</v>
      </c>
      <c r="AT377" s="23">
        <v>50.0</v>
      </c>
      <c r="AU377" s="24">
        <v>580.0</v>
      </c>
      <c r="AV377" s="21"/>
      <c r="AW377" s="78">
        <v>80.0</v>
      </c>
      <c r="AX377" s="79">
        <v>100.0</v>
      </c>
      <c r="AY377" s="79">
        <v>200.0</v>
      </c>
      <c r="AZ377" s="79">
        <v>50.0</v>
      </c>
      <c r="BA377" s="79">
        <v>100.0</v>
      </c>
      <c r="BB377" s="79">
        <v>50.0</v>
      </c>
      <c r="BC377" s="201">
        <v>580.0</v>
      </c>
      <c r="BE377" s="156" t="s">
        <v>717</v>
      </c>
      <c r="BF377" s="138"/>
      <c r="BG377" s="128"/>
      <c r="BI377" s="31" t="s">
        <v>5</v>
      </c>
      <c r="BJ377" s="32" t="s">
        <v>5</v>
      </c>
      <c r="BK377" s="32">
        <v>3.0</v>
      </c>
      <c r="BL377" s="32" t="s">
        <v>5</v>
      </c>
      <c r="BM377" s="32" t="s">
        <v>5</v>
      </c>
      <c r="BN377" s="33" t="s">
        <v>5</v>
      </c>
      <c r="BP377" s="115" t="s">
        <v>66</v>
      </c>
      <c r="BQ377" s="93"/>
      <c r="BS377" s="115" t="s">
        <v>66</v>
      </c>
      <c r="BT377" s="133"/>
      <c r="BU377" s="37" t="str">
        <f t="shared" si="1"/>
        <v>#NAME?</v>
      </c>
      <c r="BV377" s="89" t="s">
        <v>66</v>
      </c>
      <c r="BW377" s="37" t="str">
        <f t="shared" si="2"/>
        <v>#NAME?</v>
      </c>
      <c r="BX377" s="89"/>
      <c r="BY377" s="39"/>
      <c r="BZ377" s="39"/>
      <c r="CA377" s="40" t="s">
        <v>66</v>
      </c>
      <c r="CB377" s="41"/>
      <c r="CC377" s="90" t="s">
        <v>66</v>
      </c>
      <c r="CD377" s="91"/>
      <c r="CE377" s="21"/>
      <c r="CF377" s="92" t="s">
        <v>804</v>
      </c>
      <c r="CG377" s="93"/>
      <c r="CH377" s="21"/>
      <c r="CI377" s="92" t="s">
        <v>804</v>
      </c>
      <c r="CJ377" s="93"/>
      <c r="CK377" s="21"/>
      <c r="CL377" s="22" t="s">
        <v>804</v>
      </c>
      <c r="CM377" s="12"/>
      <c r="CN377" s="48"/>
      <c r="CO377" s="95"/>
      <c r="CP377" s="21"/>
      <c r="CQ377" s="2" t="s">
        <v>3496</v>
      </c>
      <c r="CR377" s="97">
        <v>120.0</v>
      </c>
      <c r="CS377" s="2" t="s">
        <v>717</v>
      </c>
      <c r="CT377" s="98">
        <v>217.0</v>
      </c>
      <c r="CU377" s="2"/>
      <c r="CV377" s="256" t="s">
        <v>890</v>
      </c>
      <c r="CW377" s="256" t="s">
        <v>890</v>
      </c>
      <c r="CX377" s="2"/>
      <c r="CY377" s="119" t="s">
        <v>411</v>
      </c>
      <c r="CZ377" s="160"/>
      <c r="DA377" s="2"/>
      <c r="DB377" s="366">
        <v>3.0</v>
      </c>
      <c r="DC377" s="2"/>
      <c r="DD377" s="101" t="s">
        <v>683</v>
      </c>
      <c r="DE377" s="2"/>
      <c r="DF377" s="120" t="s">
        <v>914</v>
      </c>
      <c r="DG377" s="160"/>
      <c r="DH377" s="160"/>
      <c r="DI377" s="2"/>
      <c r="DJ377" s="2"/>
      <c r="DK377" s="59" t="s">
        <v>3497</v>
      </c>
      <c r="DL377" s="37" t="s">
        <v>122</v>
      </c>
      <c r="DM377" s="37" t="str">
        <f t="shared" si="3"/>
        <v>#NAME?</v>
      </c>
      <c r="DN377" s="61"/>
      <c r="DO377" s="37" t="s">
        <v>19</v>
      </c>
      <c r="DP377" s="37" t="s">
        <v>19</v>
      </c>
      <c r="DQ377" s="62" t="s">
        <v>342</v>
      </c>
      <c r="DR377" s="63"/>
      <c r="DS377" s="198"/>
      <c r="DT377" s="108"/>
      <c r="DU377" s="108"/>
      <c r="DV377" s="182"/>
      <c r="DW377" s="182"/>
      <c r="DX377" s="182"/>
      <c r="DY377" s="182"/>
      <c r="DZ377" s="182"/>
      <c r="EA377" s="182"/>
      <c r="EF377" s="21" t="s">
        <v>2356</v>
      </c>
      <c r="EG377" s="108" t="str">
        <f>image("https://www.pokebip.com/pages/icones/objets/gracidee.png", 3)</f>
        <v/>
      </c>
    </row>
    <row r="378" ht="15.75" customHeight="1">
      <c r="A378" s="1">
        <v>378.0</v>
      </c>
      <c r="B378" s="2" t="s">
        <v>3498</v>
      </c>
      <c r="C378" s="7"/>
      <c r="D378" s="140" t="s">
        <v>3499</v>
      </c>
      <c r="E378" s="5"/>
      <c r="F378" s="141"/>
      <c r="G378" s="7"/>
      <c r="H378" s="8" t="s">
        <v>3500</v>
      </c>
      <c r="I378" s="9" t="s">
        <v>3501</v>
      </c>
      <c r="J378" s="355" t="str">
        <f>image("https://archives.bulbagarden.net/media/upload/3/3e/378MS6.png", 3)</f>
        <v/>
      </c>
      <c r="K378" s="11" t="s">
        <v>3499</v>
      </c>
      <c r="L378" s="12"/>
      <c r="M378" s="12"/>
      <c r="N378" s="12"/>
      <c r="O378" s="12"/>
      <c r="Q378" s="71">
        <v>80.0</v>
      </c>
      <c r="R378" s="72">
        <v>50.0</v>
      </c>
      <c r="S378" s="73">
        <v>100.0</v>
      </c>
      <c r="T378" s="74">
        <v>100.0</v>
      </c>
      <c r="U378" s="75">
        <v>200.0</v>
      </c>
      <c r="V378" s="76">
        <v>50.0</v>
      </c>
      <c r="W378" s="77">
        <v>580.0</v>
      </c>
      <c r="X378" s="21"/>
      <c r="Y378" s="71">
        <v>80.0</v>
      </c>
      <c r="Z378" s="72">
        <v>50.0</v>
      </c>
      <c r="AA378" s="73">
        <v>100.0</v>
      </c>
      <c r="AB378" s="74">
        <v>100.0</v>
      </c>
      <c r="AC378" s="75">
        <v>200.0</v>
      </c>
      <c r="AD378" s="76">
        <v>50.0</v>
      </c>
      <c r="AE378" s="77">
        <v>580.0</v>
      </c>
      <c r="AF378" s="21"/>
      <c r="AG378" s="71">
        <v>80.0</v>
      </c>
      <c r="AH378" s="72">
        <v>50.0</v>
      </c>
      <c r="AI378" s="73">
        <v>100.0</v>
      </c>
      <c r="AJ378" s="74">
        <v>100.0</v>
      </c>
      <c r="AK378" s="75">
        <v>200.0</v>
      </c>
      <c r="AL378" s="76">
        <v>50.0</v>
      </c>
      <c r="AM378" s="77">
        <v>580.0</v>
      </c>
      <c r="AN378" s="21"/>
      <c r="AO378" s="22">
        <v>80.0</v>
      </c>
      <c r="AP378" s="23">
        <v>50.0</v>
      </c>
      <c r="AQ378" s="23">
        <v>100.0</v>
      </c>
      <c r="AR378" s="23">
        <v>100.0</v>
      </c>
      <c r="AS378" s="23">
        <v>200.0</v>
      </c>
      <c r="AT378" s="23">
        <v>50.0</v>
      </c>
      <c r="AU378" s="24">
        <v>580.0</v>
      </c>
      <c r="AV378" s="21"/>
      <c r="AW378" s="78">
        <v>80.0</v>
      </c>
      <c r="AX378" s="79">
        <v>50.0</v>
      </c>
      <c r="AY378" s="79">
        <v>100.0</v>
      </c>
      <c r="AZ378" s="79">
        <v>100.0</v>
      </c>
      <c r="BA378" s="79">
        <v>200.0</v>
      </c>
      <c r="BB378" s="79">
        <v>50.0</v>
      </c>
      <c r="BC378" s="201">
        <v>580.0</v>
      </c>
      <c r="BE378" s="150" t="s">
        <v>129</v>
      </c>
      <c r="BF378" s="138"/>
      <c r="BG378" s="128"/>
      <c r="BI378" s="31" t="s">
        <v>5</v>
      </c>
      <c r="BJ378" s="32" t="s">
        <v>5</v>
      </c>
      <c r="BK378" s="32" t="s">
        <v>5</v>
      </c>
      <c r="BL378" s="32" t="s">
        <v>5</v>
      </c>
      <c r="BM378" s="32">
        <v>3.0</v>
      </c>
      <c r="BN378" s="33" t="s">
        <v>5</v>
      </c>
      <c r="BP378" s="85" t="s">
        <v>120</v>
      </c>
      <c r="BQ378" s="129"/>
      <c r="BS378" s="87" t="s">
        <v>120</v>
      </c>
      <c r="BT378" s="130"/>
      <c r="BU378" s="37" t="str">
        <f t="shared" si="1"/>
        <v>#NAME?</v>
      </c>
      <c r="BV378" s="89" t="s">
        <v>120</v>
      </c>
      <c r="BW378" s="37" t="str">
        <f t="shared" si="2"/>
        <v>#NAME?</v>
      </c>
      <c r="BX378" s="89"/>
      <c r="BY378" s="39"/>
      <c r="BZ378" s="39"/>
      <c r="CA378" s="40" t="s">
        <v>120</v>
      </c>
      <c r="CB378" s="41"/>
      <c r="CC378" s="90" t="s">
        <v>120</v>
      </c>
      <c r="CD378" s="91"/>
      <c r="CE378" s="21"/>
      <c r="CF378" s="92" t="s">
        <v>804</v>
      </c>
      <c r="CG378" s="93"/>
      <c r="CH378" s="21"/>
      <c r="CI378" s="92" t="s">
        <v>804</v>
      </c>
      <c r="CJ378" s="93"/>
      <c r="CK378" s="21"/>
      <c r="CL378" s="22" t="s">
        <v>804</v>
      </c>
      <c r="CM378" s="12"/>
      <c r="CN378" s="48"/>
      <c r="CO378" s="95"/>
      <c r="CP378" s="21"/>
      <c r="CQ378" s="2" t="s">
        <v>3502</v>
      </c>
      <c r="CR378" s="97">
        <v>100.0</v>
      </c>
      <c r="CS378" s="2" t="s">
        <v>129</v>
      </c>
      <c r="CT378" s="98">
        <v>216.0</v>
      </c>
      <c r="CU378" s="2"/>
      <c r="CV378" s="52" t="s">
        <v>890</v>
      </c>
      <c r="CW378" s="52" t="s">
        <v>890</v>
      </c>
      <c r="CX378" s="2"/>
      <c r="CY378" s="382" t="s">
        <v>411</v>
      </c>
      <c r="CZ378" s="385"/>
      <c r="DA378" s="2"/>
      <c r="DB378" s="98">
        <v>3.0</v>
      </c>
      <c r="DC378" s="2"/>
      <c r="DD378" s="101" t="s">
        <v>683</v>
      </c>
      <c r="DE378" s="2"/>
      <c r="DF378" s="383" t="s">
        <v>914</v>
      </c>
      <c r="DG378" s="385"/>
      <c r="DH378" s="385"/>
      <c r="DI378" s="2"/>
      <c r="DJ378" s="2"/>
      <c r="DK378" s="59" t="s">
        <v>3503</v>
      </c>
      <c r="DL378" s="37" t="s">
        <v>156</v>
      </c>
      <c r="DM378" s="37" t="str">
        <f t="shared" si="3"/>
        <v>#NAME?</v>
      </c>
      <c r="DN378" s="61"/>
      <c r="DO378" s="37" t="s">
        <v>19</v>
      </c>
      <c r="DP378" s="37" t="s">
        <v>19</v>
      </c>
      <c r="DQ378" s="62" t="s">
        <v>293</v>
      </c>
      <c r="DR378" s="63"/>
      <c r="DS378" s="198"/>
      <c r="DT378" s="108"/>
      <c r="DU378" s="108"/>
      <c r="DV378" s="182"/>
      <c r="DW378" s="182"/>
      <c r="DX378" s="182"/>
      <c r="DY378" s="182"/>
      <c r="DZ378" s="182"/>
      <c r="EA378" s="182"/>
      <c r="EF378" s="21" t="s">
        <v>2440</v>
      </c>
      <c r="EG378" s="108" t="str">
        <f>image("https://www.pokebip.com/pages/icones/objets/super-canne-3g.png", 3)</f>
        <v/>
      </c>
    </row>
    <row r="379" ht="15.75" customHeight="1">
      <c r="A379" s="1">
        <v>379.0</v>
      </c>
      <c r="B379" s="2" t="s">
        <v>3504</v>
      </c>
      <c r="C379" s="7"/>
      <c r="D379" s="247" t="s">
        <v>3505</v>
      </c>
      <c r="E379" s="5"/>
      <c r="F379" s="248"/>
      <c r="G379" s="7"/>
      <c r="H379" s="8" t="s">
        <v>3506</v>
      </c>
      <c r="I379" s="9" t="s">
        <v>3507</v>
      </c>
      <c r="J379" s="355" t="str">
        <f>image("https://archives.bulbagarden.net/media/upload/c/c0/379MS6.png", 3)</f>
        <v/>
      </c>
      <c r="K379" s="11" t="s">
        <v>3505</v>
      </c>
      <c r="L379" s="12"/>
      <c r="M379" s="12"/>
      <c r="N379" s="12"/>
      <c r="O379" s="12"/>
      <c r="Q379" s="71">
        <v>80.0</v>
      </c>
      <c r="R379" s="72">
        <v>75.0</v>
      </c>
      <c r="S379" s="73">
        <v>150.0</v>
      </c>
      <c r="T379" s="74">
        <v>75.0</v>
      </c>
      <c r="U379" s="75">
        <v>150.0</v>
      </c>
      <c r="V379" s="76">
        <v>50.0</v>
      </c>
      <c r="W379" s="77">
        <v>580.0</v>
      </c>
      <c r="X379" s="21"/>
      <c r="Y379" s="71">
        <v>80.0</v>
      </c>
      <c r="Z379" s="72">
        <v>75.0</v>
      </c>
      <c r="AA379" s="73">
        <v>150.0</v>
      </c>
      <c r="AB379" s="74">
        <v>75.0</v>
      </c>
      <c r="AC379" s="75">
        <v>150.0</v>
      </c>
      <c r="AD379" s="76">
        <v>50.0</v>
      </c>
      <c r="AE379" s="77">
        <v>580.0</v>
      </c>
      <c r="AF379" s="21"/>
      <c r="AG379" s="71">
        <v>80.0</v>
      </c>
      <c r="AH379" s="72">
        <v>75.0</v>
      </c>
      <c r="AI379" s="73">
        <v>150.0</v>
      </c>
      <c r="AJ379" s="74">
        <v>75.0</v>
      </c>
      <c r="AK379" s="75">
        <v>150.0</v>
      </c>
      <c r="AL379" s="76">
        <v>50.0</v>
      </c>
      <c r="AM379" s="77">
        <v>580.0</v>
      </c>
      <c r="AN379" s="21"/>
      <c r="AO379" s="22">
        <v>80.0</v>
      </c>
      <c r="AP379" s="23">
        <v>75.0</v>
      </c>
      <c r="AQ379" s="23">
        <v>150.0</v>
      </c>
      <c r="AR379" s="23">
        <v>75.0</v>
      </c>
      <c r="AS379" s="23">
        <v>150.0</v>
      </c>
      <c r="AT379" s="23">
        <v>50.0</v>
      </c>
      <c r="AU379" s="24">
        <v>580.0</v>
      </c>
      <c r="AV379" s="21"/>
      <c r="AW379" s="78">
        <v>80.0</v>
      </c>
      <c r="AX379" s="79">
        <v>75.0</v>
      </c>
      <c r="AY379" s="79">
        <v>150.0</v>
      </c>
      <c r="AZ379" s="79">
        <v>75.0</v>
      </c>
      <c r="BA379" s="79">
        <v>150.0</v>
      </c>
      <c r="BB379" s="79">
        <v>50.0</v>
      </c>
      <c r="BC379" s="201">
        <v>580.0</v>
      </c>
      <c r="BE379" s="156" t="s">
        <v>162</v>
      </c>
      <c r="BF379" s="113"/>
      <c r="BG379" s="114" t="s">
        <v>27</v>
      </c>
      <c r="BI379" s="31" t="s">
        <v>5</v>
      </c>
      <c r="BJ379" s="32" t="s">
        <v>5</v>
      </c>
      <c r="BK379" s="32">
        <v>2.0</v>
      </c>
      <c r="BL379" s="32" t="s">
        <v>5</v>
      </c>
      <c r="BM379" s="32">
        <v>1.0</v>
      </c>
      <c r="BN379" s="33" t="s">
        <v>5</v>
      </c>
      <c r="BP379" s="115" t="s">
        <v>95</v>
      </c>
      <c r="BQ379" s="93"/>
      <c r="BS379" s="115" t="s">
        <v>95</v>
      </c>
      <c r="BT379" s="133"/>
      <c r="BU379" s="37" t="str">
        <f t="shared" si="1"/>
        <v>#NAME?</v>
      </c>
      <c r="BV379" s="89" t="s">
        <v>95</v>
      </c>
      <c r="BW379" s="37" t="str">
        <f t="shared" si="2"/>
        <v>#NAME?</v>
      </c>
      <c r="BX379" s="89"/>
      <c r="BY379" s="39"/>
      <c r="BZ379" s="39"/>
      <c r="CA379" s="40" t="s">
        <v>95</v>
      </c>
      <c r="CB379" s="41"/>
      <c r="CC379" s="90" t="s">
        <v>95</v>
      </c>
      <c r="CD379" s="91"/>
      <c r="CE379" s="21"/>
      <c r="CF379" s="92" t="s">
        <v>804</v>
      </c>
      <c r="CG379" s="93"/>
      <c r="CH379" s="21"/>
      <c r="CI379" s="92" t="s">
        <v>804</v>
      </c>
      <c r="CJ379" s="93"/>
      <c r="CK379" s="21"/>
      <c r="CL379" s="22" t="s">
        <v>804</v>
      </c>
      <c r="CM379" s="12"/>
      <c r="CN379" s="48"/>
      <c r="CO379" s="95"/>
      <c r="CP379" s="21"/>
      <c r="CQ379" s="2" t="s">
        <v>3508</v>
      </c>
      <c r="CR379" s="97">
        <v>120.0</v>
      </c>
      <c r="CS379" s="2" t="s">
        <v>3509</v>
      </c>
      <c r="CT379" s="98">
        <v>215.0</v>
      </c>
      <c r="CU379" s="2"/>
      <c r="CV379" s="52" t="s">
        <v>890</v>
      </c>
      <c r="CW379" s="52" t="s">
        <v>890</v>
      </c>
      <c r="CX379" s="2"/>
      <c r="CY379" s="119" t="s">
        <v>411</v>
      </c>
      <c r="CZ379" s="160"/>
      <c r="DA379" s="2"/>
      <c r="DB379" s="98">
        <v>3.0</v>
      </c>
      <c r="DC379" s="2"/>
      <c r="DD379" s="101" t="s">
        <v>683</v>
      </c>
      <c r="DE379" s="2"/>
      <c r="DF379" s="120" t="s">
        <v>914</v>
      </c>
      <c r="DG379" s="160"/>
      <c r="DH379" s="160"/>
      <c r="DI379" s="2"/>
      <c r="DJ379" s="2"/>
      <c r="DK379" s="59" t="s">
        <v>3510</v>
      </c>
      <c r="DL379" s="37" t="s">
        <v>156</v>
      </c>
      <c r="DM379" s="37" t="str">
        <f t="shared" si="3"/>
        <v>#NAME?</v>
      </c>
      <c r="DN379" s="61"/>
      <c r="DO379" s="37" t="s">
        <v>19</v>
      </c>
      <c r="DP379" s="105">
        <v>0.75</v>
      </c>
      <c r="DQ379" s="62" t="s">
        <v>49</v>
      </c>
      <c r="DR379" s="63"/>
      <c r="DS379" s="198"/>
      <c r="DT379" s="108"/>
      <c r="DU379" s="108"/>
      <c r="DV379" s="182"/>
      <c r="DW379" s="182"/>
      <c r="DX379" s="182"/>
      <c r="DY379" s="182"/>
      <c r="DZ379" s="182"/>
      <c r="EA379" s="182"/>
      <c r="EF379" s="21" t="s">
        <v>3511</v>
      </c>
      <c r="EG379" s="108" t="str">
        <f>image("https://www.pokebip.com/pages/icones/balls/gs.png",3)</f>
        <v/>
      </c>
    </row>
    <row r="380" ht="15.75" customHeight="1">
      <c r="A380" s="1">
        <v>380.0</v>
      </c>
      <c r="B380" s="2" t="s">
        <v>3512</v>
      </c>
      <c r="C380" s="7"/>
      <c r="D380" s="122" t="s">
        <v>3513</v>
      </c>
      <c r="E380" s="5"/>
      <c r="F380" s="123"/>
      <c r="G380" s="7"/>
      <c r="H380" s="8" t="s">
        <v>3514</v>
      </c>
      <c r="I380" s="9" t="s">
        <v>3515</v>
      </c>
      <c r="J380" s="355" t="str">
        <f>image("https://archives.bulbagarden.net/media/upload/e/e1/380MS6.png", 3)</f>
        <v/>
      </c>
      <c r="K380" s="11" t="s">
        <v>3513</v>
      </c>
      <c r="L380" s="12"/>
      <c r="M380" s="12"/>
      <c r="N380" s="12"/>
      <c r="O380" s="12"/>
      <c r="Q380" s="71">
        <v>80.0</v>
      </c>
      <c r="R380" s="72">
        <v>80.0</v>
      </c>
      <c r="S380" s="73">
        <v>90.0</v>
      </c>
      <c r="T380" s="74">
        <v>110.0</v>
      </c>
      <c r="U380" s="75">
        <v>130.0</v>
      </c>
      <c r="V380" s="76">
        <v>110.0</v>
      </c>
      <c r="W380" s="77">
        <v>600.0</v>
      </c>
      <c r="X380" s="21"/>
      <c r="Y380" s="71">
        <v>80.0</v>
      </c>
      <c r="Z380" s="72">
        <v>80.0</v>
      </c>
      <c r="AA380" s="73">
        <v>90.0</v>
      </c>
      <c r="AB380" s="74">
        <v>110.0</v>
      </c>
      <c r="AC380" s="75">
        <v>130.0</v>
      </c>
      <c r="AD380" s="76">
        <v>110.0</v>
      </c>
      <c r="AE380" s="77">
        <v>600.0</v>
      </c>
      <c r="AF380" s="21"/>
      <c r="AG380" s="71">
        <v>80.0</v>
      </c>
      <c r="AH380" s="72">
        <v>80.0</v>
      </c>
      <c r="AI380" s="73">
        <v>90.0</v>
      </c>
      <c r="AJ380" s="74">
        <v>110.0</v>
      </c>
      <c r="AK380" s="75">
        <v>130.0</v>
      </c>
      <c r="AL380" s="76">
        <v>110.0</v>
      </c>
      <c r="AM380" s="77">
        <v>600.0</v>
      </c>
      <c r="AN380" s="21"/>
      <c r="AO380" s="22">
        <v>80.0</v>
      </c>
      <c r="AP380" s="23">
        <v>80.0</v>
      </c>
      <c r="AQ380" s="23">
        <v>90.0</v>
      </c>
      <c r="AR380" s="23">
        <v>110.0</v>
      </c>
      <c r="AS380" s="23">
        <v>130.0</v>
      </c>
      <c r="AT380" s="23">
        <v>110.0</v>
      </c>
      <c r="AU380" s="24">
        <v>600.0</v>
      </c>
      <c r="AV380" s="21"/>
      <c r="AW380" s="78">
        <v>80.0</v>
      </c>
      <c r="AX380" s="79">
        <v>80.0</v>
      </c>
      <c r="AY380" s="79">
        <v>90.0</v>
      </c>
      <c r="AZ380" s="79">
        <v>110.0</v>
      </c>
      <c r="BA380" s="79">
        <v>130.0</v>
      </c>
      <c r="BB380" s="79">
        <v>110.0</v>
      </c>
      <c r="BC380" s="201">
        <v>600.0</v>
      </c>
      <c r="BE380" s="150" t="s">
        <v>129</v>
      </c>
      <c r="BF380" s="138"/>
      <c r="BG380" s="128"/>
      <c r="BI380" s="31" t="s">
        <v>5</v>
      </c>
      <c r="BJ380" s="32" t="s">
        <v>5</v>
      </c>
      <c r="BK380" s="32" t="s">
        <v>5</v>
      </c>
      <c r="BL380" s="32" t="s">
        <v>5</v>
      </c>
      <c r="BM380" s="32">
        <v>3.0</v>
      </c>
      <c r="BN380" s="33" t="s">
        <v>5</v>
      </c>
      <c r="BP380" s="85" t="s">
        <v>61</v>
      </c>
      <c r="BQ380" s="86" t="s">
        <v>122</v>
      </c>
      <c r="BS380" s="87" t="s">
        <v>61</v>
      </c>
      <c r="BT380" s="88" t="s">
        <v>122</v>
      </c>
      <c r="BU380" s="37" t="str">
        <f t="shared" si="1"/>
        <v>#NAME?</v>
      </c>
      <c r="BV380" s="89" t="s">
        <v>61</v>
      </c>
      <c r="BW380" s="37" t="str">
        <f t="shared" si="2"/>
        <v>#NAME?</v>
      </c>
      <c r="BX380" s="89" t="s">
        <v>122</v>
      </c>
      <c r="BY380" s="39"/>
      <c r="BZ380" s="39"/>
      <c r="CA380" s="40" t="s">
        <v>3516</v>
      </c>
      <c r="CB380" s="41"/>
      <c r="CC380" s="90" t="s">
        <v>61</v>
      </c>
      <c r="CD380" s="91" t="s">
        <v>122</v>
      </c>
      <c r="CE380" s="2"/>
      <c r="CF380" s="92" t="s">
        <v>1001</v>
      </c>
      <c r="CG380" s="93"/>
      <c r="CH380" s="2"/>
      <c r="CI380" s="92" t="s">
        <v>1001</v>
      </c>
      <c r="CJ380" s="93"/>
      <c r="CK380" s="2"/>
      <c r="CL380" s="22" t="s">
        <v>1001</v>
      </c>
      <c r="CM380" s="12"/>
      <c r="CN380" s="48"/>
      <c r="CO380" s="95"/>
      <c r="CP380" s="2"/>
      <c r="CQ380" s="2" t="s">
        <v>478</v>
      </c>
      <c r="CR380" s="97">
        <v>60.0</v>
      </c>
      <c r="CS380" s="2" t="s">
        <v>129</v>
      </c>
      <c r="CT380" s="98">
        <v>211.0</v>
      </c>
      <c r="CU380" s="2"/>
      <c r="CV380" s="202">
        <v>0.0</v>
      </c>
      <c r="CW380" s="52" t="s">
        <v>397</v>
      </c>
      <c r="CX380" s="2"/>
      <c r="CY380" s="382" t="s">
        <v>411</v>
      </c>
      <c r="CZ380" s="385"/>
      <c r="DA380" s="2"/>
      <c r="DB380" s="98">
        <v>3.0</v>
      </c>
      <c r="DC380" s="2"/>
      <c r="DD380" s="101" t="s">
        <v>683</v>
      </c>
      <c r="DE380" s="2"/>
      <c r="DF380" s="383" t="s">
        <v>914</v>
      </c>
      <c r="DG380" s="385"/>
      <c r="DH380" s="385"/>
      <c r="DI380" s="2"/>
      <c r="DJ380" s="2"/>
      <c r="DK380" s="59" t="s">
        <v>3517</v>
      </c>
      <c r="DL380" s="37" t="s">
        <v>156</v>
      </c>
      <c r="DM380" s="37" t="str">
        <f t="shared" si="3"/>
        <v>#NAME?</v>
      </c>
      <c r="DN380" s="61"/>
      <c r="DO380" s="37" t="s">
        <v>19</v>
      </c>
      <c r="DP380" s="37" t="s">
        <v>19</v>
      </c>
      <c r="DQ380" s="62" t="s">
        <v>342</v>
      </c>
      <c r="DR380" s="63"/>
      <c r="DS380" s="198"/>
      <c r="DT380" s="108"/>
      <c r="DU380" s="108"/>
      <c r="DV380" s="182"/>
      <c r="DW380" s="182"/>
      <c r="DX380" s="182"/>
      <c r="DY380" s="182"/>
      <c r="DZ380" s="182"/>
      <c r="EA380" s="182"/>
      <c r="EF380" s="21" t="s">
        <v>3518</v>
      </c>
      <c r="EG380" s="108" t="str">
        <f>image("https://www.pokebip.com/pages/icones/objets/orbe-vert.png",3)</f>
        <v/>
      </c>
    </row>
    <row r="381" ht="15.75" customHeight="1">
      <c r="A381" s="1">
        <v>381.0</v>
      </c>
      <c r="B381" s="2" t="s">
        <v>3519</v>
      </c>
      <c r="C381" s="7"/>
      <c r="D381" s="140" t="s">
        <v>3520</v>
      </c>
      <c r="E381" s="5"/>
      <c r="F381" s="141"/>
      <c r="G381" s="7"/>
      <c r="H381" s="8" t="s">
        <v>3521</v>
      </c>
      <c r="I381" s="9" t="s">
        <v>3522</v>
      </c>
      <c r="J381" s="355" t="str">
        <f>image("https://archives.bulbagarden.net/media/upload/5/56/381MS6.png", 3)</f>
        <v/>
      </c>
      <c r="K381" s="11" t="s">
        <v>3520</v>
      </c>
      <c r="L381" s="12"/>
      <c r="M381" s="12"/>
      <c r="N381" s="12"/>
      <c r="O381" s="12"/>
      <c r="Q381" s="71">
        <v>80.0</v>
      </c>
      <c r="R381" s="72">
        <v>90.0</v>
      </c>
      <c r="S381" s="73">
        <v>80.0</v>
      </c>
      <c r="T381" s="74">
        <v>130.0</v>
      </c>
      <c r="U381" s="75">
        <v>110.0</v>
      </c>
      <c r="V381" s="76">
        <v>110.0</v>
      </c>
      <c r="W381" s="77">
        <v>600.0</v>
      </c>
      <c r="X381" s="21"/>
      <c r="Y381" s="71">
        <v>80.0</v>
      </c>
      <c r="Z381" s="72">
        <v>90.0</v>
      </c>
      <c r="AA381" s="73">
        <v>80.0</v>
      </c>
      <c r="AB381" s="74">
        <v>130.0</v>
      </c>
      <c r="AC381" s="75">
        <v>110.0</v>
      </c>
      <c r="AD381" s="76">
        <v>110.0</v>
      </c>
      <c r="AE381" s="77">
        <v>600.0</v>
      </c>
      <c r="AF381" s="21"/>
      <c r="AG381" s="71">
        <v>80.0</v>
      </c>
      <c r="AH381" s="72">
        <v>90.0</v>
      </c>
      <c r="AI381" s="73">
        <v>80.0</v>
      </c>
      <c r="AJ381" s="74">
        <v>130.0</v>
      </c>
      <c r="AK381" s="75">
        <v>110.0</v>
      </c>
      <c r="AL381" s="76">
        <v>110.0</v>
      </c>
      <c r="AM381" s="77">
        <v>600.0</v>
      </c>
      <c r="AN381" s="21"/>
      <c r="AO381" s="22">
        <v>80.0</v>
      </c>
      <c r="AP381" s="23">
        <v>90.0</v>
      </c>
      <c r="AQ381" s="23">
        <v>80.0</v>
      </c>
      <c r="AR381" s="23">
        <v>130.0</v>
      </c>
      <c r="AS381" s="23">
        <v>110.0</v>
      </c>
      <c r="AT381" s="23">
        <v>110.0</v>
      </c>
      <c r="AU381" s="24">
        <v>600.0</v>
      </c>
      <c r="AV381" s="21"/>
      <c r="AW381" s="78">
        <v>80.0</v>
      </c>
      <c r="AX381" s="79">
        <v>90.0</v>
      </c>
      <c r="AY381" s="79">
        <v>80.0</v>
      </c>
      <c r="AZ381" s="79">
        <v>130.0</v>
      </c>
      <c r="BA381" s="79">
        <v>110.0</v>
      </c>
      <c r="BB381" s="79">
        <v>110.0</v>
      </c>
      <c r="BC381" s="201">
        <v>600.0</v>
      </c>
      <c r="BE381" s="112" t="s">
        <v>85</v>
      </c>
      <c r="BF381" s="138"/>
      <c r="BG381" s="128"/>
      <c r="BI381" s="31" t="s">
        <v>5</v>
      </c>
      <c r="BJ381" s="32" t="s">
        <v>5</v>
      </c>
      <c r="BK381" s="32" t="s">
        <v>5</v>
      </c>
      <c r="BL381" s="32">
        <v>3.0</v>
      </c>
      <c r="BM381" s="32" t="s">
        <v>5</v>
      </c>
      <c r="BN381" s="33" t="s">
        <v>5</v>
      </c>
      <c r="BP381" s="115" t="s">
        <v>61</v>
      </c>
      <c r="BQ381" s="116" t="s">
        <v>122</v>
      </c>
      <c r="BS381" s="115" t="s">
        <v>61</v>
      </c>
      <c r="BT381" s="117" t="s">
        <v>122</v>
      </c>
      <c r="BU381" s="37" t="str">
        <f t="shared" si="1"/>
        <v>#NAME?</v>
      </c>
      <c r="BV381" s="89" t="s">
        <v>61</v>
      </c>
      <c r="BW381" s="37" t="str">
        <f t="shared" si="2"/>
        <v>#NAME?</v>
      </c>
      <c r="BX381" s="89" t="s">
        <v>122</v>
      </c>
      <c r="BY381" s="39"/>
      <c r="BZ381" s="39"/>
      <c r="CA381" s="40" t="s">
        <v>3516</v>
      </c>
      <c r="CB381" s="41"/>
      <c r="CC381" s="90" t="s">
        <v>61</v>
      </c>
      <c r="CD381" s="91" t="s">
        <v>122</v>
      </c>
      <c r="CE381" s="2"/>
      <c r="CF381" s="92" t="s">
        <v>1001</v>
      </c>
      <c r="CG381" s="93"/>
      <c r="CH381" s="2"/>
      <c r="CI381" s="92" t="s">
        <v>1001</v>
      </c>
      <c r="CJ381" s="93"/>
      <c r="CK381" s="2"/>
      <c r="CL381" s="22" t="s">
        <v>1001</v>
      </c>
      <c r="CM381" s="12"/>
      <c r="CN381" s="48"/>
      <c r="CO381" s="95"/>
      <c r="CP381" s="2"/>
      <c r="CQ381" s="2" t="s">
        <v>424</v>
      </c>
      <c r="CR381" s="97">
        <v>80.0</v>
      </c>
      <c r="CS381" s="2" t="s">
        <v>85</v>
      </c>
      <c r="CT381" s="98">
        <v>211.0</v>
      </c>
      <c r="CU381" s="2"/>
      <c r="CV381" s="256" t="s">
        <v>397</v>
      </c>
      <c r="CW381" s="202">
        <v>0.0</v>
      </c>
      <c r="CX381" s="2"/>
      <c r="CY381" s="119" t="s">
        <v>411</v>
      </c>
      <c r="CZ381" s="160"/>
      <c r="DA381" s="2"/>
      <c r="DB381" s="98">
        <v>3.0</v>
      </c>
      <c r="DC381" s="2"/>
      <c r="DD381" s="101" t="s">
        <v>683</v>
      </c>
      <c r="DE381" s="2"/>
      <c r="DF381" s="120" t="s">
        <v>914</v>
      </c>
      <c r="DG381" s="160"/>
      <c r="DH381" s="160"/>
      <c r="DI381" s="2"/>
      <c r="DJ381" s="2"/>
      <c r="DK381" s="59" t="s">
        <v>3523</v>
      </c>
      <c r="DL381" s="37" t="s">
        <v>2364</v>
      </c>
      <c r="DM381" s="37" t="str">
        <f t="shared" si="3"/>
        <v>#NAME?</v>
      </c>
      <c r="DN381" s="61"/>
      <c r="DO381" s="37" t="s">
        <v>167</v>
      </c>
      <c r="DP381" s="37" t="s">
        <v>167</v>
      </c>
      <c r="DQ381" s="62" t="s">
        <v>918</v>
      </c>
      <c r="DR381" s="63"/>
      <c r="DS381" s="198"/>
      <c r="DT381" s="108"/>
      <c r="DU381" s="108"/>
      <c r="DV381" s="182"/>
      <c r="DW381" s="182"/>
      <c r="DX381" s="182"/>
      <c r="DY381" s="182"/>
      <c r="DZ381" s="182"/>
      <c r="EA381" s="182"/>
      <c r="EF381" s="21" t="s">
        <v>3524</v>
      </c>
      <c r="EG381" s="108"/>
    </row>
    <row r="382" ht="15.75" customHeight="1">
      <c r="A382" s="1">
        <v>382.0</v>
      </c>
      <c r="B382" s="2" t="s">
        <v>3525</v>
      </c>
      <c r="C382" s="7"/>
      <c r="D382" s="140" t="s">
        <v>3526</v>
      </c>
      <c r="E382" s="5"/>
      <c r="F382" s="141"/>
      <c r="G382" s="7"/>
      <c r="H382" s="8" t="s">
        <v>3527</v>
      </c>
      <c r="I382" s="9" t="s">
        <v>3528</v>
      </c>
      <c r="J382" s="355" t="str">
        <f>image("https://archives.bulbagarden.net/media/upload/9/95/382MS6.png", 3)</f>
        <v/>
      </c>
      <c r="K382" s="11" t="s">
        <v>3526</v>
      </c>
      <c r="L382" s="12"/>
      <c r="M382" s="12"/>
      <c r="N382" s="12"/>
      <c r="O382" s="12"/>
      <c r="Q382" s="71">
        <v>100.0</v>
      </c>
      <c r="R382" s="72">
        <v>100.0</v>
      </c>
      <c r="S382" s="73">
        <v>90.0</v>
      </c>
      <c r="T382" s="74">
        <v>150.0</v>
      </c>
      <c r="U382" s="75">
        <v>140.0</v>
      </c>
      <c r="V382" s="76">
        <v>90.0</v>
      </c>
      <c r="W382" s="77">
        <v>670.0</v>
      </c>
      <c r="X382" s="21"/>
      <c r="Y382" s="71">
        <v>100.0</v>
      </c>
      <c r="Z382" s="72">
        <v>100.0</v>
      </c>
      <c r="AA382" s="73">
        <v>90.0</v>
      </c>
      <c r="AB382" s="74">
        <v>150.0</v>
      </c>
      <c r="AC382" s="75">
        <v>140.0</v>
      </c>
      <c r="AD382" s="76">
        <v>90.0</v>
      </c>
      <c r="AE382" s="77">
        <v>670.0</v>
      </c>
      <c r="AF382" s="21"/>
      <c r="AG382" s="71">
        <v>100.0</v>
      </c>
      <c r="AH382" s="72">
        <v>100.0</v>
      </c>
      <c r="AI382" s="73">
        <v>90.0</v>
      </c>
      <c r="AJ382" s="74">
        <v>150.0</v>
      </c>
      <c r="AK382" s="75">
        <v>140.0</v>
      </c>
      <c r="AL382" s="76">
        <v>90.0</v>
      </c>
      <c r="AM382" s="77">
        <v>670.0</v>
      </c>
      <c r="AN382" s="21"/>
      <c r="AO382" s="22">
        <v>100.0</v>
      </c>
      <c r="AP382" s="23">
        <v>100.0</v>
      </c>
      <c r="AQ382" s="23">
        <v>90.0</v>
      </c>
      <c r="AR382" s="23">
        <v>150.0</v>
      </c>
      <c r="AS382" s="23">
        <v>140.0</v>
      </c>
      <c r="AT382" s="23">
        <v>90.0</v>
      </c>
      <c r="AU382" s="24">
        <v>670.0</v>
      </c>
      <c r="AV382" s="21"/>
      <c r="AW382" s="78">
        <v>100.0</v>
      </c>
      <c r="AX382" s="79">
        <v>100.0</v>
      </c>
      <c r="AY382" s="79">
        <v>90.0</v>
      </c>
      <c r="AZ382" s="79">
        <v>150.0</v>
      </c>
      <c r="BA382" s="79">
        <v>140.0</v>
      </c>
      <c r="BB382" s="79">
        <v>90.0</v>
      </c>
      <c r="BC382" s="201">
        <v>670.0</v>
      </c>
      <c r="BE382" s="112" t="s">
        <v>85</v>
      </c>
      <c r="BF382" s="138"/>
      <c r="BG382" s="128"/>
      <c r="BI382" s="31" t="s">
        <v>5</v>
      </c>
      <c r="BJ382" s="32" t="s">
        <v>5</v>
      </c>
      <c r="BK382" s="32" t="s">
        <v>5</v>
      </c>
      <c r="BL382" s="32">
        <v>3.0</v>
      </c>
      <c r="BM382" s="32" t="s">
        <v>5</v>
      </c>
      <c r="BN382" s="33" t="s">
        <v>5</v>
      </c>
      <c r="BP382" s="85" t="s">
        <v>32</v>
      </c>
      <c r="BQ382" s="129"/>
      <c r="BS382" s="87" t="s">
        <v>32</v>
      </c>
      <c r="BT382" s="130"/>
      <c r="BU382" s="37" t="str">
        <f t="shared" si="1"/>
        <v>#NAME?</v>
      </c>
      <c r="BV382" s="89" t="s">
        <v>32</v>
      </c>
      <c r="BW382" s="37" t="str">
        <f t="shared" si="2"/>
        <v>#NAME?</v>
      </c>
      <c r="BX382" s="89"/>
      <c r="BY382" s="39"/>
      <c r="BZ382" s="39"/>
      <c r="CA382" s="40" t="s">
        <v>32</v>
      </c>
      <c r="CB382" s="41"/>
      <c r="CC382" s="90" t="s">
        <v>32</v>
      </c>
      <c r="CD382" s="91"/>
      <c r="CE382" s="21"/>
      <c r="CF382" s="92" t="s">
        <v>2602</v>
      </c>
      <c r="CG382" s="93"/>
      <c r="CH382" s="21"/>
      <c r="CI382" s="92" t="s">
        <v>2602</v>
      </c>
      <c r="CJ382" s="93"/>
      <c r="CK382" s="21"/>
      <c r="CL382" s="22" t="s">
        <v>2602</v>
      </c>
      <c r="CM382" s="12"/>
      <c r="CN382" s="48"/>
      <c r="CO382" s="95"/>
      <c r="CP382" s="21"/>
      <c r="CQ382" s="2" t="s">
        <v>3529</v>
      </c>
      <c r="CR382" s="97">
        <v>120.0</v>
      </c>
      <c r="CS382" s="2" t="s">
        <v>85</v>
      </c>
      <c r="CT382" s="98">
        <v>218.0</v>
      </c>
      <c r="CU382" s="2"/>
      <c r="CV382" s="256" t="s">
        <v>890</v>
      </c>
      <c r="CW382" s="256" t="s">
        <v>890</v>
      </c>
      <c r="CX382" s="2"/>
      <c r="CY382" s="382" t="s">
        <v>411</v>
      </c>
      <c r="CZ382" s="385"/>
      <c r="DA382" s="2"/>
      <c r="DB382" s="98">
        <v>5.0</v>
      </c>
      <c r="DC382" s="2"/>
      <c r="DD382" s="101" t="s">
        <v>683</v>
      </c>
      <c r="DE382" s="2"/>
      <c r="DF382" s="383" t="s">
        <v>914</v>
      </c>
      <c r="DG382" s="382"/>
      <c r="DH382" s="385"/>
      <c r="DI382" s="2"/>
      <c r="DJ382" s="2"/>
      <c r="DK382" s="59" t="s">
        <v>3530</v>
      </c>
      <c r="DL382" s="37" t="s">
        <v>153</v>
      </c>
      <c r="DM382" s="37" t="str">
        <f t="shared" si="3"/>
        <v>#NAME?</v>
      </c>
      <c r="DN382" s="61"/>
      <c r="DO382" s="37">
        <v>95.0</v>
      </c>
      <c r="DP382" s="105">
        <v>1.0</v>
      </c>
      <c r="DQ382" s="62" t="s">
        <v>93</v>
      </c>
      <c r="DR382" s="63"/>
      <c r="DS382" s="198"/>
      <c r="DT382" s="108"/>
      <c r="DU382" s="108"/>
      <c r="DV382" s="182"/>
      <c r="DW382" s="182"/>
      <c r="DX382" s="182"/>
      <c r="DY382" s="182"/>
      <c r="DZ382" s="182"/>
      <c r="EA382" s="182"/>
      <c r="EB382" s="2"/>
      <c r="EC382" s="2"/>
      <c r="ED382" s="2"/>
      <c r="EE382" s="2"/>
      <c r="EF382" s="2" t="s">
        <v>3531</v>
      </c>
      <c r="EG382" s="108" t="str">
        <f>image("https://www.pokebip.com/pages/icones/objets/arcenci-aile.png",3)</f>
        <v/>
      </c>
      <c r="EH382" s="428"/>
      <c r="EI382" s="428"/>
    </row>
    <row r="383" ht="15.75" customHeight="1">
      <c r="A383" s="1">
        <v>383.0</v>
      </c>
      <c r="B383" s="2" t="s">
        <v>3532</v>
      </c>
      <c r="C383" s="7"/>
      <c r="D383" s="122" t="s">
        <v>3533</v>
      </c>
      <c r="E383" s="5"/>
      <c r="F383" s="123"/>
      <c r="G383" s="7"/>
      <c r="H383" s="8" t="s">
        <v>3534</v>
      </c>
      <c r="I383" s="9" t="s">
        <v>3535</v>
      </c>
      <c r="J383" s="355" t="str">
        <f>image("https://archives.bulbagarden.net/media/upload/0/0c/383MS6.png", 3)</f>
        <v/>
      </c>
      <c r="K383" s="11" t="s">
        <v>3533</v>
      </c>
      <c r="L383" s="12"/>
      <c r="M383" s="12"/>
      <c r="N383" s="12"/>
      <c r="O383" s="12"/>
      <c r="Q383" s="71">
        <v>100.0</v>
      </c>
      <c r="R383" s="72">
        <v>150.0</v>
      </c>
      <c r="S383" s="73">
        <v>140.0</v>
      </c>
      <c r="T383" s="74">
        <v>100.0</v>
      </c>
      <c r="U383" s="75">
        <v>90.0</v>
      </c>
      <c r="V383" s="76">
        <v>90.0</v>
      </c>
      <c r="W383" s="77">
        <v>670.0</v>
      </c>
      <c r="X383" s="21"/>
      <c r="Y383" s="71">
        <v>100.0</v>
      </c>
      <c r="Z383" s="72">
        <v>150.0</v>
      </c>
      <c r="AA383" s="73">
        <v>140.0</v>
      </c>
      <c r="AB383" s="74">
        <v>100.0</v>
      </c>
      <c r="AC383" s="75">
        <v>90.0</v>
      </c>
      <c r="AD383" s="76">
        <v>90.0</v>
      </c>
      <c r="AE383" s="77">
        <v>670.0</v>
      </c>
      <c r="AF383" s="21"/>
      <c r="AG383" s="71">
        <v>100.0</v>
      </c>
      <c r="AH383" s="72">
        <v>150.0</v>
      </c>
      <c r="AI383" s="73">
        <v>140.0</v>
      </c>
      <c r="AJ383" s="74">
        <v>100.0</v>
      </c>
      <c r="AK383" s="75">
        <v>90.0</v>
      </c>
      <c r="AL383" s="76">
        <v>90.0</v>
      </c>
      <c r="AM383" s="77">
        <v>670.0</v>
      </c>
      <c r="AN383" s="21"/>
      <c r="AO383" s="22">
        <v>100.0</v>
      </c>
      <c r="AP383" s="23">
        <v>150.0</v>
      </c>
      <c r="AQ383" s="23">
        <v>140.0</v>
      </c>
      <c r="AR383" s="23">
        <v>100.0</v>
      </c>
      <c r="AS383" s="23">
        <v>90.0</v>
      </c>
      <c r="AT383" s="23">
        <v>90.0</v>
      </c>
      <c r="AU383" s="24">
        <v>670.0</v>
      </c>
      <c r="AV383" s="21"/>
      <c r="AW383" s="78">
        <v>100.0</v>
      </c>
      <c r="AX383" s="79">
        <v>150.0</v>
      </c>
      <c r="AY383" s="79">
        <v>140.0</v>
      </c>
      <c r="AZ383" s="79">
        <v>100.0</v>
      </c>
      <c r="BA383" s="79">
        <v>90.0</v>
      </c>
      <c r="BB383" s="79">
        <v>90.0</v>
      </c>
      <c r="BC383" s="201">
        <v>670.0</v>
      </c>
      <c r="BE383" s="172" t="s">
        <v>451</v>
      </c>
      <c r="BF383" s="138"/>
      <c r="BG383" s="128"/>
      <c r="BI383" s="31" t="s">
        <v>5</v>
      </c>
      <c r="BJ383" s="32">
        <v>3.0</v>
      </c>
      <c r="BK383" s="32" t="s">
        <v>5</v>
      </c>
      <c r="BL383" s="32" t="s">
        <v>5</v>
      </c>
      <c r="BM383" s="32" t="s">
        <v>5</v>
      </c>
      <c r="BN383" s="33" t="s">
        <v>5</v>
      </c>
      <c r="BP383" s="115" t="s">
        <v>79</v>
      </c>
      <c r="BQ383" s="93"/>
      <c r="BS383" s="115" t="s">
        <v>79</v>
      </c>
      <c r="BT383" s="133"/>
      <c r="BU383" s="37" t="str">
        <f t="shared" si="1"/>
        <v>#NAME?</v>
      </c>
      <c r="BV383" s="89" t="s">
        <v>79</v>
      </c>
      <c r="BW383" s="37" t="str">
        <f t="shared" si="2"/>
        <v>#NAME?</v>
      </c>
      <c r="BX383" s="89"/>
      <c r="BY383" s="39"/>
      <c r="BZ383" s="39"/>
      <c r="CA383" s="40" t="s">
        <v>79</v>
      </c>
      <c r="CB383" s="41"/>
      <c r="CC383" s="90" t="s">
        <v>79</v>
      </c>
      <c r="CD383" s="91"/>
      <c r="CE383" s="21"/>
      <c r="CF383" s="92" t="s">
        <v>3004</v>
      </c>
      <c r="CG383" s="93"/>
      <c r="CH383" s="21"/>
      <c r="CI383" s="92" t="s">
        <v>3004</v>
      </c>
      <c r="CJ383" s="93"/>
      <c r="CK383" s="21"/>
      <c r="CL383" s="22" t="s">
        <v>3004</v>
      </c>
      <c r="CM383" s="12"/>
      <c r="CN383" s="48"/>
      <c r="CO383" s="95"/>
      <c r="CP383" s="21"/>
      <c r="CQ383" s="2" t="s">
        <v>3536</v>
      </c>
      <c r="CR383" s="97">
        <v>120.0</v>
      </c>
      <c r="CS383" s="2" t="s">
        <v>451</v>
      </c>
      <c r="CT383" s="98">
        <v>218.0</v>
      </c>
      <c r="CU383" s="2"/>
      <c r="CV383" s="256" t="s">
        <v>890</v>
      </c>
      <c r="CW383" s="256" t="s">
        <v>890</v>
      </c>
      <c r="CX383" s="2"/>
      <c r="CY383" s="119" t="s">
        <v>411</v>
      </c>
      <c r="CZ383" s="160"/>
      <c r="DA383" s="2"/>
      <c r="DB383" s="98">
        <v>5.0</v>
      </c>
      <c r="DC383" s="2"/>
      <c r="DD383" s="101" t="s">
        <v>683</v>
      </c>
      <c r="DE383" s="2"/>
      <c r="DF383" s="120" t="s">
        <v>914</v>
      </c>
      <c r="DG383" s="119"/>
      <c r="DH383" s="160"/>
      <c r="DI383" s="2"/>
      <c r="DJ383" s="2"/>
      <c r="DK383" s="59" t="s">
        <v>3537</v>
      </c>
      <c r="DL383" s="37" t="s">
        <v>122</v>
      </c>
      <c r="DM383" s="37" t="str">
        <f t="shared" si="3"/>
        <v>#NAME?</v>
      </c>
      <c r="DN383" s="61"/>
      <c r="DO383" s="37" t="s">
        <v>19</v>
      </c>
      <c r="DP383" s="37" t="s">
        <v>19</v>
      </c>
      <c r="DQ383" s="62" t="s">
        <v>93</v>
      </c>
      <c r="DR383" s="63"/>
      <c r="DS383" s="198"/>
      <c r="DT383" s="108"/>
      <c r="DU383" s="108"/>
      <c r="DV383" s="182"/>
      <c r="DW383" s="182"/>
      <c r="DX383" s="182"/>
      <c r="DY383" s="182"/>
      <c r="DZ383" s="182"/>
      <c r="EA383" s="182"/>
      <c r="EB383" s="2"/>
      <c r="EC383" s="2"/>
      <c r="ED383" s="2"/>
      <c r="EE383" s="2"/>
      <c r="EF383" s="2" t="s">
        <v>2424</v>
      </c>
      <c r="EG383" s="108" t="str">
        <f>image("https://www.pokebip.com/pages/icones/objets/potionsecret.png", 3)</f>
        <v/>
      </c>
      <c r="EH383" s="428"/>
      <c r="EI383" s="428"/>
    </row>
    <row r="384" ht="15.75" customHeight="1">
      <c r="A384" s="1">
        <v>384.0</v>
      </c>
      <c r="B384" s="2" t="s">
        <v>3538</v>
      </c>
      <c r="C384" s="7"/>
      <c r="D384" s="4" t="s">
        <v>3539</v>
      </c>
      <c r="E384" s="5"/>
      <c r="F384" s="6"/>
      <c r="G384" s="7"/>
      <c r="H384" s="8" t="s">
        <v>3540</v>
      </c>
      <c r="I384" s="9" t="s">
        <v>3541</v>
      </c>
      <c r="J384" s="355" t="str">
        <f>image("https://archives.bulbagarden.net/media/upload/d/d0/384MS6.png", 3)</f>
        <v/>
      </c>
      <c r="K384" s="11" t="s">
        <v>3539</v>
      </c>
      <c r="L384" s="12"/>
      <c r="M384" s="12"/>
      <c r="N384" s="12"/>
      <c r="O384" s="12"/>
      <c r="Q384" s="71">
        <v>105.0</v>
      </c>
      <c r="R384" s="72">
        <v>150.0</v>
      </c>
      <c r="S384" s="73">
        <v>90.0</v>
      </c>
      <c r="T384" s="74">
        <v>150.0</v>
      </c>
      <c r="U384" s="75">
        <v>90.0</v>
      </c>
      <c r="V384" s="76">
        <v>95.0</v>
      </c>
      <c r="W384" s="77">
        <v>680.0</v>
      </c>
      <c r="X384" s="21"/>
      <c r="Y384" s="71">
        <v>105.0</v>
      </c>
      <c r="Z384" s="72">
        <v>150.0</v>
      </c>
      <c r="AA384" s="73">
        <v>90.0</v>
      </c>
      <c r="AB384" s="74">
        <v>150.0</v>
      </c>
      <c r="AC384" s="75">
        <v>90.0</v>
      </c>
      <c r="AD384" s="76">
        <v>95.0</v>
      </c>
      <c r="AE384" s="77">
        <v>680.0</v>
      </c>
      <c r="AF384" s="21"/>
      <c r="AG384" s="71">
        <v>105.0</v>
      </c>
      <c r="AH384" s="72">
        <v>150.0</v>
      </c>
      <c r="AI384" s="73">
        <v>90.0</v>
      </c>
      <c r="AJ384" s="74">
        <v>150.0</v>
      </c>
      <c r="AK384" s="75">
        <v>90.0</v>
      </c>
      <c r="AL384" s="76">
        <v>95.0</v>
      </c>
      <c r="AM384" s="77">
        <v>680.0</v>
      </c>
      <c r="AN384" s="21"/>
      <c r="AO384" s="22">
        <v>105.0</v>
      </c>
      <c r="AP384" s="23">
        <v>150.0</v>
      </c>
      <c r="AQ384" s="23">
        <v>90.0</v>
      </c>
      <c r="AR384" s="23">
        <v>150.0</v>
      </c>
      <c r="AS384" s="23">
        <v>90.0</v>
      </c>
      <c r="AT384" s="23">
        <v>95.0</v>
      </c>
      <c r="AU384" s="24">
        <v>680.0</v>
      </c>
      <c r="AV384" s="21"/>
      <c r="AW384" s="78">
        <v>105.0</v>
      </c>
      <c r="AX384" s="79">
        <v>150.0</v>
      </c>
      <c r="AY384" s="79">
        <v>90.0</v>
      </c>
      <c r="AZ384" s="79">
        <v>150.0</v>
      </c>
      <c r="BA384" s="79">
        <v>90.0</v>
      </c>
      <c r="BB384" s="79">
        <v>95.0</v>
      </c>
      <c r="BC384" s="201">
        <v>680.0</v>
      </c>
      <c r="BE384" s="172" t="s">
        <v>216</v>
      </c>
      <c r="BF384" s="113"/>
      <c r="BG384" s="429" t="s">
        <v>4</v>
      </c>
      <c r="BI384" s="31" t="s">
        <v>5</v>
      </c>
      <c r="BJ384" s="32">
        <v>2.0</v>
      </c>
      <c r="BK384" s="32" t="s">
        <v>5</v>
      </c>
      <c r="BL384" s="32">
        <v>1.0</v>
      </c>
      <c r="BM384" s="32" t="s">
        <v>5</v>
      </c>
      <c r="BN384" s="33" t="s">
        <v>5</v>
      </c>
      <c r="BP384" s="85" t="s">
        <v>61</v>
      </c>
      <c r="BQ384" s="86" t="s">
        <v>18</v>
      </c>
      <c r="BS384" s="87" t="s">
        <v>61</v>
      </c>
      <c r="BT384" s="88" t="s">
        <v>18</v>
      </c>
      <c r="BU384" s="37" t="str">
        <f t="shared" si="1"/>
        <v>#NAME?</v>
      </c>
      <c r="BV384" s="89" t="s">
        <v>61</v>
      </c>
      <c r="BW384" s="37" t="str">
        <f t="shared" si="2"/>
        <v>#NAME?</v>
      </c>
      <c r="BX384" s="89" t="s">
        <v>18</v>
      </c>
      <c r="BY384" s="39"/>
      <c r="BZ384" s="39"/>
      <c r="CA384" s="40" t="s">
        <v>1511</v>
      </c>
      <c r="CB384" s="41"/>
      <c r="CC384" s="90" t="s">
        <v>61</v>
      </c>
      <c r="CD384" s="91" t="s">
        <v>18</v>
      </c>
      <c r="CE384" s="2"/>
      <c r="CF384" s="92" t="s">
        <v>3542</v>
      </c>
      <c r="CG384" s="93"/>
      <c r="CH384" s="2"/>
      <c r="CI384" s="92" t="s">
        <v>3542</v>
      </c>
      <c r="CJ384" s="93"/>
      <c r="CK384" s="2"/>
      <c r="CL384" s="22" t="s">
        <v>3542</v>
      </c>
      <c r="CM384" s="12"/>
      <c r="CN384" s="48"/>
      <c r="CO384" s="95"/>
      <c r="CP384" s="2"/>
      <c r="CQ384" s="2" t="s">
        <v>3543</v>
      </c>
      <c r="CR384" s="97">
        <v>120.0</v>
      </c>
      <c r="CS384" s="2" t="s">
        <v>3544</v>
      </c>
      <c r="CT384" s="98">
        <v>220.0</v>
      </c>
      <c r="CU384" s="2"/>
      <c r="CV384" s="256" t="s">
        <v>890</v>
      </c>
      <c r="CW384" s="256" t="s">
        <v>890</v>
      </c>
      <c r="CX384" s="2"/>
      <c r="CY384" s="382" t="s">
        <v>411</v>
      </c>
      <c r="CZ384" s="385"/>
      <c r="DA384" s="2"/>
      <c r="DB384" s="98">
        <v>3.0</v>
      </c>
      <c r="DC384" s="2"/>
      <c r="DD384" s="101" t="s">
        <v>683</v>
      </c>
      <c r="DE384" s="2"/>
      <c r="DF384" s="383" t="s">
        <v>914</v>
      </c>
      <c r="DG384" s="382"/>
      <c r="DH384" s="385"/>
      <c r="DI384" s="2"/>
      <c r="DJ384" s="2"/>
      <c r="DK384" s="59" t="s">
        <v>3545</v>
      </c>
      <c r="DL384" s="37" t="s">
        <v>197</v>
      </c>
      <c r="DM384" s="37" t="str">
        <f t="shared" si="3"/>
        <v>#NAME?</v>
      </c>
      <c r="DN384" s="61"/>
      <c r="DO384" s="37" t="s">
        <v>19</v>
      </c>
      <c r="DP384" s="37" t="s">
        <v>19</v>
      </c>
      <c r="DQ384" s="62" t="s">
        <v>49</v>
      </c>
      <c r="DR384" s="155"/>
      <c r="DS384" s="251"/>
      <c r="DT384" s="108"/>
      <c r="DU384" s="108"/>
      <c r="DV384" s="252"/>
      <c r="DW384" s="252"/>
      <c r="DX384" s="252"/>
      <c r="DY384" s="252"/>
      <c r="DZ384" s="252"/>
      <c r="EA384" s="252"/>
      <c r="EB384" s="2"/>
      <c r="EC384" s="2"/>
      <c r="ED384" s="2"/>
      <c r="EE384" s="2"/>
      <c r="EF384" s="2" t="s">
        <v>3546</v>
      </c>
      <c r="EG384" s="108" t="str">
        <f>image("https://www.pokebip.com/pages/icones/objets/argent-aile.png",3)</f>
        <v/>
      </c>
      <c r="EH384" s="428"/>
      <c r="EI384" s="428"/>
    </row>
    <row r="385" ht="15.75" customHeight="1">
      <c r="A385" s="1">
        <v>385.0</v>
      </c>
      <c r="B385" s="2" t="s">
        <v>3547</v>
      </c>
      <c r="C385" s="7"/>
      <c r="D385" s="169" t="s">
        <v>3548</v>
      </c>
      <c r="E385" s="5"/>
      <c r="F385" s="170"/>
      <c r="G385" s="7"/>
      <c r="H385" s="8" t="s">
        <v>3549</v>
      </c>
      <c r="I385" s="9" t="s">
        <v>3550</v>
      </c>
      <c r="J385" s="355" t="str">
        <f>image("https://archives.bulbagarden.net/media/upload/4/4a/385MS6.png", 3)</f>
        <v/>
      </c>
      <c r="K385" s="11" t="s">
        <v>3548</v>
      </c>
      <c r="L385" s="12"/>
      <c r="M385" s="12"/>
      <c r="N385" s="12"/>
      <c r="O385" s="12"/>
      <c r="Q385" s="71">
        <v>100.0</v>
      </c>
      <c r="R385" s="72">
        <v>100.0</v>
      </c>
      <c r="S385" s="73">
        <v>100.0</v>
      </c>
      <c r="T385" s="74">
        <v>100.0</v>
      </c>
      <c r="U385" s="75">
        <v>100.0</v>
      </c>
      <c r="V385" s="76">
        <v>100.0</v>
      </c>
      <c r="W385" s="77">
        <v>600.0</v>
      </c>
      <c r="X385" s="21"/>
      <c r="Y385" s="71">
        <v>100.0</v>
      </c>
      <c r="Z385" s="72">
        <v>100.0</v>
      </c>
      <c r="AA385" s="73">
        <v>100.0</v>
      </c>
      <c r="AB385" s="74">
        <v>100.0</v>
      </c>
      <c r="AC385" s="75">
        <v>100.0</v>
      </c>
      <c r="AD385" s="76">
        <v>100.0</v>
      </c>
      <c r="AE385" s="77">
        <v>600.0</v>
      </c>
      <c r="AF385" s="21"/>
      <c r="AG385" s="71">
        <v>100.0</v>
      </c>
      <c r="AH385" s="72">
        <v>100.0</v>
      </c>
      <c r="AI385" s="73">
        <v>100.0</v>
      </c>
      <c r="AJ385" s="74">
        <v>100.0</v>
      </c>
      <c r="AK385" s="75">
        <v>100.0</v>
      </c>
      <c r="AL385" s="76">
        <v>100.0</v>
      </c>
      <c r="AM385" s="77">
        <v>600.0</v>
      </c>
      <c r="AN385" s="21"/>
      <c r="AO385" s="22">
        <v>100.0</v>
      </c>
      <c r="AP385" s="23">
        <v>100.0</v>
      </c>
      <c r="AQ385" s="23">
        <v>100.0</v>
      </c>
      <c r="AR385" s="23">
        <v>100.0</v>
      </c>
      <c r="AS385" s="23">
        <v>100.0</v>
      </c>
      <c r="AT385" s="23">
        <v>100.0</v>
      </c>
      <c r="AU385" s="24">
        <v>600.0</v>
      </c>
      <c r="AV385" s="21"/>
      <c r="AW385" s="78">
        <v>100.0</v>
      </c>
      <c r="AX385" s="79">
        <v>100.0</v>
      </c>
      <c r="AY385" s="79">
        <v>100.0</v>
      </c>
      <c r="AZ385" s="79">
        <v>100.0</v>
      </c>
      <c r="BA385" s="79">
        <v>100.0</v>
      </c>
      <c r="BB385" s="79">
        <v>100.0</v>
      </c>
      <c r="BC385" s="201">
        <v>600.0</v>
      </c>
      <c r="BE385" s="203" t="s">
        <v>422</v>
      </c>
      <c r="BF385" s="138"/>
      <c r="BG385" s="128"/>
      <c r="BI385" s="31">
        <v>3.0</v>
      </c>
      <c r="BJ385" s="32" t="s">
        <v>5</v>
      </c>
      <c r="BK385" s="32" t="s">
        <v>5</v>
      </c>
      <c r="BL385" s="32" t="s">
        <v>5</v>
      </c>
      <c r="BM385" s="32" t="s">
        <v>5</v>
      </c>
      <c r="BN385" s="33" t="s">
        <v>5</v>
      </c>
      <c r="BP385" s="115" t="s">
        <v>95</v>
      </c>
      <c r="BQ385" s="116" t="s">
        <v>122</v>
      </c>
      <c r="BS385" s="115" t="s">
        <v>95</v>
      </c>
      <c r="BT385" s="117" t="s">
        <v>122</v>
      </c>
      <c r="BU385" s="37" t="str">
        <f t="shared" si="1"/>
        <v>#NAME?</v>
      </c>
      <c r="BV385" s="89" t="s">
        <v>95</v>
      </c>
      <c r="BW385" s="37" t="str">
        <f t="shared" si="2"/>
        <v>#NAME?</v>
      </c>
      <c r="BX385" s="89" t="s">
        <v>122</v>
      </c>
      <c r="BY385" s="39"/>
      <c r="BZ385" s="39"/>
      <c r="CA385" s="40" t="s">
        <v>3471</v>
      </c>
      <c r="CB385" s="41"/>
      <c r="CC385" s="90" t="s">
        <v>95</v>
      </c>
      <c r="CD385" s="91" t="s">
        <v>122</v>
      </c>
      <c r="CE385" s="2"/>
      <c r="CF385" s="92" t="s">
        <v>1183</v>
      </c>
      <c r="CG385" s="93"/>
      <c r="CH385" s="2"/>
      <c r="CI385" s="92" t="s">
        <v>1183</v>
      </c>
      <c r="CJ385" s="93"/>
      <c r="CK385" s="2"/>
      <c r="CL385" s="22" t="s">
        <v>1183</v>
      </c>
      <c r="CM385" s="12"/>
      <c r="CN385" s="48"/>
      <c r="CO385" s="95"/>
      <c r="CP385" s="2"/>
      <c r="CQ385" s="2" t="s">
        <v>3551</v>
      </c>
      <c r="CR385" s="97">
        <v>20.0</v>
      </c>
      <c r="CS385" s="2" t="s">
        <v>422</v>
      </c>
      <c r="CT385" s="98">
        <v>215.0</v>
      </c>
      <c r="CU385" s="2"/>
      <c r="CV385" s="256" t="s">
        <v>890</v>
      </c>
      <c r="CW385" s="256" t="s">
        <v>890</v>
      </c>
      <c r="CX385" s="2"/>
      <c r="CY385" s="119" t="s">
        <v>411</v>
      </c>
      <c r="CZ385" s="160"/>
      <c r="DA385" s="2"/>
      <c r="DB385" s="98">
        <v>3.0</v>
      </c>
      <c r="DC385" s="2"/>
      <c r="DD385" s="101" t="s">
        <v>683</v>
      </c>
      <c r="DE385" s="2"/>
      <c r="DF385" s="120" t="s">
        <v>914</v>
      </c>
      <c r="DG385" s="430" t="s">
        <v>3552</v>
      </c>
      <c r="DH385" s="160"/>
      <c r="DI385" s="2"/>
      <c r="DJ385" s="2"/>
      <c r="DK385" s="59" t="s">
        <v>3553</v>
      </c>
      <c r="DL385" s="37" t="s">
        <v>156</v>
      </c>
      <c r="DM385" s="37" t="str">
        <f t="shared" si="3"/>
        <v>#NAME?</v>
      </c>
      <c r="DN385" s="61"/>
      <c r="DO385" s="37" t="s">
        <v>19</v>
      </c>
      <c r="DP385" s="37" t="s">
        <v>19</v>
      </c>
      <c r="DQ385" s="62" t="s">
        <v>20</v>
      </c>
      <c r="DR385" s="63"/>
      <c r="DS385" s="198"/>
      <c r="DT385" s="108"/>
      <c r="DU385" s="108"/>
      <c r="DV385" s="182"/>
      <c r="DW385" s="182"/>
      <c r="DX385" s="182"/>
      <c r="DY385" s="182"/>
      <c r="DZ385" s="182"/>
      <c r="EA385" s="182"/>
      <c r="EB385" s="2"/>
      <c r="EC385" s="2"/>
      <c r="ED385" s="2"/>
      <c r="EE385" s="2"/>
      <c r="EF385" s="2" t="s">
        <v>3554</v>
      </c>
      <c r="EG385" s="108" t="str">
        <f>image("https://www.pokebip.com/pages/icones/objets/the.png",3)</f>
        <v/>
      </c>
      <c r="EH385" s="428"/>
      <c r="EI385" s="428"/>
    </row>
    <row r="386" ht="15.75" customHeight="1">
      <c r="A386" s="1">
        <v>386.0</v>
      </c>
      <c r="B386" s="2" t="s">
        <v>3555</v>
      </c>
      <c r="C386" s="108"/>
      <c r="D386" s="122" t="s">
        <v>3556</v>
      </c>
      <c r="E386" s="10"/>
      <c r="F386" s="123"/>
      <c r="G386" s="108"/>
      <c r="H386" s="8" t="s">
        <v>3557</v>
      </c>
      <c r="I386" s="9" t="s">
        <v>3558</v>
      </c>
      <c r="J386" s="355" t="str">
        <f>image("https://archives.bulbagarden.net/media/upload/6/6a/386MS6.png", 3)</f>
        <v/>
      </c>
      <c r="K386" s="11" t="s">
        <v>3556</v>
      </c>
      <c r="L386" s="12"/>
      <c r="M386" s="12"/>
      <c r="N386" s="12"/>
      <c r="O386" s="12"/>
      <c r="Q386" s="71">
        <v>50.0</v>
      </c>
      <c r="R386" s="72">
        <v>150.0</v>
      </c>
      <c r="S386" s="73">
        <v>50.0</v>
      </c>
      <c r="T386" s="74">
        <v>150.0</v>
      </c>
      <c r="U386" s="75">
        <v>50.0</v>
      </c>
      <c r="V386" s="76">
        <v>150.0</v>
      </c>
      <c r="W386" s="77">
        <v>600.0</v>
      </c>
      <c r="X386" s="21"/>
      <c r="Y386" s="71">
        <v>50.0</v>
      </c>
      <c r="Z386" s="72">
        <v>150.0</v>
      </c>
      <c r="AA386" s="73">
        <v>50.0</v>
      </c>
      <c r="AB386" s="74">
        <v>150.0</v>
      </c>
      <c r="AC386" s="75">
        <v>50.0</v>
      </c>
      <c r="AD386" s="76">
        <v>150.0</v>
      </c>
      <c r="AE386" s="77">
        <v>600.0</v>
      </c>
      <c r="AF386" s="21"/>
      <c r="AG386" s="71">
        <v>50.0</v>
      </c>
      <c r="AH386" s="72">
        <v>150.0</v>
      </c>
      <c r="AI386" s="73">
        <v>50.0</v>
      </c>
      <c r="AJ386" s="74">
        <v>150.0</v>
      </c>
      <c r="AK386" s="75">
        <v>50.0</v>
      </c>
      <c r="AL386" s="76">
        <v>150.0</v>
      </c>
      <c r="AM386" s="77">
        <v>600.0</v>
      </c>
      <c r="AN386" s="21"/>
      <c r="AO386" s="22">
        <v>50.0</v>
      </c>
      <c r="AP386" s="23">
        <v>150.0</v>
      </c>
      <c r="AQ386" s="23">
        <v>50.0</v>
      </c>
      <c r="AR386" s="23">
        <v>150.0</v>
      </c>
      <c r="AS386" s="23">
        <v>50.0</v>
      </c>
      <c r="AT386" s="23">
        <v>150.0</v>
      </c>
      <c r="AU386" s="24">
        <v>600.0</v>
      </c>
      <c r="AV386" s="21"/>
      <c r="AW386" s="78">
        <v>50.0</v>
      </c>
      <c r="AX386" s="79">
        <v>150.0</v>
      </c>
      <c r="AY386" s="79">
        <v>50.0</v>
      </c>
      <c r="AZ386" s="79">
        <v>150.0</v>
      </c>
      <c r="BA386" s="79">
        <v>50.0</v>
      </c>
      <c r="BB386" s="79">
        <v>150.0</v>
      </c>
      <c r="BC386" s="201">
        <v>600.0</v>
      </c>
      <c r="BE386" s="194" t="s">
        <v>325</v>
      </c>
      <c r="BF386" s="285" t="s">
        <v>4</v>
      </c>
      <c r="BG386" s="431" t="s">
        <v>56</v>
      </c>
      <c r="BI386" s="31" t="s">
        <v>5</v>
      </c>
      <c r="BJ386" s="32">
        <v>1.0</v>
      </c>
      <c r="BK386" s="32" t="s">
        <v>5</v>
      </c>
      <c r="BL386" s="32">
        <v>1.0</v>
      </c>
      <c r="BM386" s="32" t="s">
        <v>5</v>
      </c>
      <c r="BN386" s="33">
        <v>1.0</v>
      </c>
      <c r="BP386" s="85" t="s">
        <v>122</v>
      </c>
      <c r="BQ386" s="129"/>
      <c r="BS386" s="87" t="s">
        <v>122</v>
      </c>
      <c r="BT386" s="130"/>
      <c r="BU386" s="37" t="str">
        <f t="shared" si="1"/>
        <v>#NAME?</v>
      </c>
      <c r="BV386" s="89" t="s">
        <v>122</v>
      </c>
      <c r="BW386" s="37" t="str">
        <f t="shared" si="2"/>
        <v>#NAME?</v>
      </c>
      <c r="BX386" s="89"/>
      <c r="BY386" s="39"/>
      <c r="BZ386" s="39"/>
      <c r="CA386" s="40" t="s">
        <v>122</v>
      </c>
      <c r="CB386" s="41"/>
      <c r="CC386" s="90" t="s">
        <v>122</v>
      </c>
      <c r="CD386" s="91"/>
      <c r="CE386" s="21"/>
      <c r="CF386" s="92" t="s">
        <v>1447</v>
      </c>
      <c r="CG386" s="93"/>
      <c r="CH386" s="21"/>
      <c r="CI386" s="92" t="s">
        <v>1447</v>
      </c>
      <c r="CJ386" s="93"/>
      <c r="CK386" s="21"/>
      <c r="CL386" s="22" t="s">
        <v>1447</v>
      </c>
      <c r="CM386" s="12"/>
      <c r="CN386" s="48"/>
      <c r="CO386" s="95"/>
      <c r="CP386" s="21"/>
      <c r="CQ386" s="2" t="s">
        <v>3559</v>
      </c>
      <c r="CR386" s="97">
        <v>80.0</v>
      </c>
      <c r="CS386" s="2" t="s">
        <v>3560</v>
      </c>
      <c r="CT386" s="98">
        <v>215.0</v>
      </c>
      <c r="CU386" s="2"/>
      <c r="CV386" s="256" t="s">
        <v>890</v>
      </c>
      <c r="CW386" s="256" t="s">
        <v>890</v>
      </c>
      <c r="CX386" s="2"/>
      <c r="CY386" s="382" t="s">
        <v>411</v>
      </c>
      <c r="CZ386" s="385"/>
      <c r="DA386" s="2"/>
      <c r="DB386" s="98">
        <v>3.0</v>
      </c>
      <c r="DC386" s="2"/>
      <c r="DD386" s="101" t="s">
        <v>683</v>
      </c>
      <c r="DE386" s="2"/>
      <c r="DF386" s="383" t="s">
        <v>914</v>
      </c>
      <c r="DG386" s="432"/>
      <c r="DH386" s="385"/>
      <c r="DI386" s="2"/>
      <c r="DJ386" s="2"/>
      <c r="DK386" s="59" t="s">
        <v>3561</v>
      </c>
      <c r="DL386" s="37" t="s">
        <v>156</v>
      </c>
      <c r="DM386" s="37" t="str">
        <f t="shared" si="3"/>
        <v>#NAME?</v>
      </c>
      <c r="DN386" s="61"/>
      <c r="DO386" s="37" t="s">
        <v>19</v>
      </c>
      <c r="DP386" s="37" t="s">
        <v>19</v>
      </c>
      <c r="DQ386" s="62" t="s">
        <v>293</v>
      </c>
      <c r="DR386" s="63"/>
      <c r="DS386" s="198"/>
      <c r="DT386" s="108"/>
      <c r="DU386" s="108"/>
      <c r="DV386" s="182"/>
      <c r="DW386" s="182"/>
      <c r="DX386" s="182"/>
      <c r="DY386" s="182"/>
      <c r="DZ386" s="182"/>
      <c r="EA386" s="182"/>
      <c r="EB386" s="2"/>
      <c r="EC386" s="2"/>
      <c r="ED386" s="2"/>
      <c r="EE386" s="2"/>
      <c r="EF386" s="2" t="s">
        <v>2275</v>
      </c>
      <c r="EG386" s="108" t="str">
        <f>image("https://www.pokebip.com/pages/icones/objets/cherche-vs.png", 3)</f>
        <v/>
      </c>
      <c r="EH386" s="428"/>
      <c r="EI386" s="428"/>
    </row>
    <row r="387" ht="15.75" customHeight="1">
      <c r="A387" s="2" t="s">
        <v>3562</v>
      </c>
      <c r="B387" s="2" t="s">
        <v>3563</v>
      </c>
      <c r="C387" s="108"/>
      <c r="D387" s="122" t="s">
        <v>3564</v>
      </c>
      <c r="E387" s="10"/>
      <c r="F387" s="123"/>
      <c r="G387" s="108"/>
      <c r="H387" s="8" t="s">
        <v>3565</v>
      </c>
      <c r="I387" s="9" t="s">
        <v>3566</v>
      </c>
      <c r="J387" s="355" t="str">
        <f>image("https://archives.bulbagarden.net/media/upload/2/23/386AMS6.png", 3)</f>
        <v/>
      </c>
      <c r="K387" s="11" t="s">
        <v>3567</v>
      </c>
      <c r="L387" s="12"/>
      <c r="M387" s="12"/>
      <c r="N387" s="12"/>
      <c r="O387" s="12"/>
      <c r="Q387" s="71">
        <v>50.0</v>
      </c>
      <c r="R387" s="72">
        <v>180.0</v>
      </c>
      <c r="S387" s="73">
        <v>20.0</v>
      </c>
      <c r="T387" s="74">
        <v>180.0</v>
      </c>
      <c r="U387" s="75">
        <v>20.0</v>
      </c>
      <c r="V387" s="76">
        <v>150.0</v>
      </c>
      <c r="W387" s="77">
        <v>600.0</v>
      </c>
      <c r="X387" s="21"/>
      <c r="Y387" s="71">
        <v>50.0</v>
      </c>
      <c r="Z387" s="72">
        <v>180.0</v>
      </c>
      <c r="AA387" s="73">
        <v>20.0</v>
      </c>
      <c r="AB387" s="74">
        <v>180.0</v>
      </c>
      <c r="AC387" s="75">
        <v>20.0</v>
      </c>
      <c r="AD387" s="76">
        <v>150.0</v>
      </c>
      <c r="AE387" s="77">
        <v>600.0</v>
      </c>
      <c r="AF387" s="21"/>
      <c r="AG387" s="71">
        <v>50.0</v>
      </c>
      <c r="AH387" s="72">
        <v>180.0</v>
      </c>
      <c r="AI387" s="73">
        <v>20.0</v>
      </c>
      <c r="AJ387" s="74">
        <v>180.0</v>
      </c>
      <c r="AK387" s="75">
        <v>20.0</v>
      </c>
      <c r="AL387" s="76">
        <v>150.0</v>
      </c>
      <c r="AM387" s="77">
        <v>600.0</v>
      </c>
      <c r="AN387" s="21"/>
      <c r="AO387" s="22">
        <v>50.0</v>
      </c>
      <c r="AP387" s="23">
        <v>180.0</v>
      </c>
      <c r="AQ387" s="23">
        <v>20.0</v>
      </c>
      <c r="AR387" s="23">
        <v>180.0</v>
      </c>
      <c r="AS387" s="23">
        <v>20.0</v>
      </c>
      <c r="AT387" s="23">
        <v>150.0</v>
      </c>
      <c r="AU387" s="24">
        <v>600.0</v>
      </c>
      <c r="AV387" s="21"/>
      <c r="AW387" s="78">
        <v>50.0</v>
      </c>
      <c r="AX387" s="79">
        <v>180.0</v>
      </c>
      <c r="AY387" s="79">
        <v>20.0</v>
      </c>
      <c r="AZ387" s="79">
        <v>180.0</v>
      </c>
      <c r="BA387" s="79">
        <v>20.0</v>
      </c>
      <c r="BB387" s="79">
        <v>150.0</v>
      </c>
      <c r="BC387" s="201">
        <v>600.0</v>
      </c>
      <c r="BE387" s="194" t="s">
        <v>325</v>
      </c>
      <c r="BF387" s="285" t="s">
        <v>4</v>
      </c>
      <c r="BG387" s="431" t="s">
        <v>56</v>
      </c>
      <c r="BI387" s="31" t="s">
        <v>5</v>
      </c>
      <c r="BJ387" s="32">
        <v>1.0</v>
      </c>
      <c r="BK387" s="32" t="s">
        <v>5</v>
      </c>
      <c r="BL387" s="32">
        <v>1.0</v>
      </c>
      <c r="BM387" s="32" t="s">
        <v>5</v>
      </c>
      <c r="BN387" s="33">
        <v>1.0</v>
      </c>
      <c r="BP387" s="115" t="s">
        <v>122</v>
      </c>
      <c r="BQ387" s="93"/>
      <c r="BS387" s="115" t="s">
        <v>122</v>
      </c>
      <c r="BT387" s="133"/>
      <c r="BU387" s="37" t="str">
        <f t="shared" si="1"/>
        <v>#NAME?</v>
      </c>
      <c r="BV387" s="89" t="s">
        <v>122</v>
      </c>
      <c r="BW387" s="37" t="str">
        <f t="shared" si="2"/>
        <v>#NAME?</v>
      </c>
      <c r="BX387" s="89"/>
      <c r="BY387" s="39"/>
      <c r="BZ387" s="39"/>
      <c r="CA387" s="40" t="s">
        <v>122</v>
      </c>
      <c r="CB387" s="41"/>
      <c r="CC387" s="90" t="s">
        <v>122</v>
      </c>
      <c r="CD387" s="91"/>
      <c r="CE387" s="21"/>
      <c r="CF387" s="92" t="s">
        <v>1447</v>
      </c>
      <c r="CG387" s="93"/>
      <c r="CH387" s="21"/>
      <c r="CI387" s="92" t="s">
        <v>1447</v>
      </c>
      <c r="CJ387" s="93"/>
      <c r="CK387" s="21"/>
      <c r="CL387" s="22" t="s">
        <v>1447</v>
      </c>
      <c r="CM387" s="12"/>
      <c r="CN387" s="48"/>
      <c r="CO387" s="95"/>
      <c r="CP387" s="21"/>
      <c r="CQ387" s="2" t="s">
        <v>3559</v>
      </c>
      <c r="CR387" s="97">
        <v>80.0</v>
      </c>
      <c r="CS387" s="2" t="s">
        <v>3560</v>
      </c>
      <c r="CT387" s="98">
        <v>215.0</v>
      </c>
      <c r="CU387" s="2"/>
      <c r="CV387" s="256" t="s">
        <v>890</v>
      </c>
      <c r="CW387" s="256" t="s">
        <v>890</v>
      </c>
      <c r="CX387" s="2"/>
      <c r="CY387" s="119" t="s">
        <v>411</v>
      </c>
      <c r="CZ387" s="160"/>
      <c r="DA387" s="2"/>
      <c r="DB387" s="98">
        <v>3.0</v>
      </c>
      <c r="DC387" s="2"/>
      <c r="DD387" s="101" t="s">
        <v>683</v>
      </c>
      <c r="DE387" s="2"/>
      <c r="DF387" s="120" t="s">
        <v>914</v>
      </c>
      <c r="DG387" s="433"/>
      <c r="DH387" s="160"/>
      <c r="DI387" s="2"/>
      <c r="DJ387" s="2"/>
      <c r="DK387" s="59" t="s">
        <v>3568</v>
      </c>
      <c r="DL387" s="37" t="s">
        <v>122</v>
      </c>
      <c r="DM387" s="37" t="str">
        <f t="shared" si="3"/>
        <v>#NAME?</v>
      </c>
      <c r="DN387" s="61"/>
      <c r="DO387" s="37" t="s">
        <v>19</v>
      </c>
      <c r="DP387" s="37" t="s">
        <v>19</v>
      </c>
      <c r="DQ387" s="62" t="s">
        <v>702</v>
      </c>
      <c r="DR387" s="63"/>
      <c r="DS387" s="198"/>
      <c r="DT387" s="108"/>
      <c r="DU387" s="108"/>
      <c r="DV387" s="182"/>
      <c r="DW387" s="182"/>
      <c r="DX387" s="182"/>
      <c r="DY387" s="182"/>
      <c r="DZ387" s="182"/>
      <c r="EA387" s="182"/>
      <c r="EB387" s="2"/>
      <c r="EC387" s="2"/>
      <c r="ED387" s="2"/>
      <c r="EE387" s="2"/>
      <c r="EF387" s="2" t="s">
        <v>3569</v>
      </c>
      <c r="EG387" s="108" t="str">
        <f>image("https://www.pokebip.com/pages/icones/objets/passe-concours.png",3)</f>
        <v/>
      </c>
      <c r="EH387" s="428"/>
      <c r="EI387" s="428"/>
    </row>
    <row r="388" ht="15.75" customHeight="1">
      <c r="A388" s="2" t="s">
        <v>3570</v>
      </c>
      <c r="B388" s="2" t="s">
        <v>3571</v>
      </c>
      <c r="C388" s="108"/>
      <c r="D388" s="122" t="s">
        <v>3572</v>
      </c>
      <c r="E388" s="10"/>
      <c r="F388" s="123"/>
      <c r="G388" s="108"/>
      <c r="H388" s="8" t="s">
        <v>3573</v>
      </c>
      <c r="I388" s="9" t="s">
        <v>3574</v>
      </c>
      <c r="J388" s="355" t="str">
        <f>image("https://archives.bulbagarden.net/media/upload/6/63/386DMS6.png", 3)</f>
        <v/>
      </c>
      <c r="K388" s="11" t="s">
        <v>3575</v>
      </c>
      <c r="L388" s="12"/>
      <c r="M388" s="12"/>
      <c r="N388" s="12"/>
      <c r="O388" s="12"/>
      <c r="Q388" s="71">
        <v>50.0</v>
      </c>
      <c r="R388" s="72">
        <v>70.0</v>
      </c>
      <c r="S388" s="73">
        <v>160.0</v>
      </c>
      <c r="T388" s="74">
        <v>70.0</v>
      </c>
      <c r="U388" s="75">
        <v>160.0</v>
      </c>
      <c r="V388" s="76">
        <v>90.0</v>
      </c>
      <c r="W388" s="77">
        <v>600.0</v>
      </c>
      <c r="X388" s="21"/>
      <c r="Y388" s="71">
        <v>50.0</v>
      </c>
      <c r="Z388" s="72">
        <v>70.0</v>
      </c>
      <c r="AA388" s="73">
        <v>160.0</v>
      </c>
      <c r="AB388" s="74">
        <v>70.0</v>
      </c>
      <c r="AC388" s="75">
        <v>160.0</v>
      </c>
      <c r="AD388" s="76">
        <v>90.0</v>
      </c>
      <c r="AE388" s="77">
        <v>600.0</v>
      </c>
      <c r="AF388" s="21"/>
      <c r="AG388" s="71">
        <v>50.0</v>
      </c>
      <c r="AH388" s="72">
        <v>70.0</v>
      </c>
      <c r="AI388" s="73">
        <v>160.0</v>
      </c>
      <c r="AJ388" s="74">
        <v>70.0</v>
      </c>
      <c r="AK388" s="75">
        <v>160.0</v>
      </c>
      <c r="AL388" s="76">
        <v>90.0</v>
      </c>
      <c r="AM388" s="77">
        <v>600.0</v>
      </c>
      <c r="AN388" s="21"/>
      <c r="AO388" s="22">
        <v>50.0</v>
      </c>
      <c r="AP388" s="23">
        <v>70.0</v>
      </c>
      <c r="AQ388" s="23">
        <v>160.0</v>
      </c>
      <c r="AR388" s="23">
        <v>70.0</v>
      </c>
      <c r="AS388" s="23">
        <v>160.0</v>
      </c>
      <c r="AT388" s="23">
        <v>90.0</v>
      </c>
      <c r="AU388" s="24">
        <v>600.0</v>
      </c>
      <c r="AV388" s="21"/>
      <c r="AW388" s="78">
        <v>50.0</v>
      </c>
      <c r="AX388" s="79">
        <v>70.0</v>
      </c>
      <c r="AY388" s="79">
        <v>160.0</v>
      </c>
      <c r="AZ388" s="79">
        <v>70.0</v>
      </c>
      <c r="BA388" s="79">
        <v>160.0</v>
      </c>
      <c r="BB388" s="79">
        <v>90.0</v>
      </c>
      <c r="BC388" s="201">
        <v>600.0</v>
      </c>
      <c r="BE388" s="194" t="s">
        <v>325</v>
      </c>
      <c r="BF388" s="285" t="s">
        <v>4</v>
      </c>
      <c r="BG388" s="431" t="s">
        <v>56</v>
      </c>
      <c r="BI388" s="31" t="s">
        <v>5</v>
      </c>
      <c r="BJ388" s="32">
        <v>1.0</v>
      </c>
      <c r="BK388" s="32" t="s">
        <v>5</v>
      </c>
      <c r="BL388" s="32">
        <v>1.0</v>
      </c>
      <c r="BM388" s="32" t="s">
        <v>5</v>
      </c>
      <c r="BN388" s="33">
        <v>1.0</v>
      </c>
      <c r="BP388" s="85" t="s">
        <v>122</v>
      </c>
      <c r="BQ388" s="129"/>
      <c r="BS388" s="87" t="s">
        <v>122</v>
      </c>
      <c r="BT388" s="130"/>
      <c r="BU388" s="37" t="str">
        <f t="shared" si="1"/>
        <v>#NAME?</v>
      </c>
      <c r="BV388" s="89" t="s">
        <v>122</v>
      </c>
      <c r="BW388" s="37" t="str">
        <f t="shared" si="2"/>
        <v>#NAME?</v>
      </c>
      <c r="BX388" s="89"/>
      <c r="BY388" s="39"/>
      <c r="BZ388" s="39"/>
      <c r="CA388" s="40" t="s">
        <v>122</v>
      </c>
      <c r="CB388" s="41"/>
      <c r="CC388" s="90" t="s">
        <v>122</v>
      </c>
      <c r="CD388" s="91"/>
      <c r="CE388" s="21"/>
      <c r="CF388" s="92" t="s">
        <v>1447</v>
      </c>
      <c r="CG388" s="93"/>
      <c r="CH388" s="21"/>
      <c r="CI388" s="92" t="s">
        <v>1447</v>
      </c>
      <c r="CJ388" s="93"/>
      <c r="CK388" s="21"/>
      <c r="CL388" s="22" t="s">
        <v>1447</v>
      </c>
      <c r="CM388" s="12"/>
      <c r="CN388" s="48"/>
      <c r="CO388" s="95"/>
      <c r="CP388" s="21"/>
      <c r="CQ388" s="2" t="s">
        <v>3559</v>
      </c>
      <c r="CR388" s="97">
        <v>80.0</v>
      </c>
      <c r="CS388" s="2" t="s">
        <v>3560</v>
      </c>
      <c r="CT388" s="98">
        <v>215.0</v>
      </c>
      <c r="CU388" s="2"/>
      <c r="CV388" s="52" t="s">
        <v>890</v>
      </c>
      <c r="CW388" s="52" t="s">
        <v>890</v>
      </c>
      <c r="CX388" s="2"/>
      <c r="CY388" s="382" t="s">
        <v>411</v>
      </c>
      <c r="CZ388" s="385"/>
      <c r="DA388" s="2"/>
      <c r="DB388" s="98">
        <v>3.0</v>
      </c>
      <c r="DC388" s="2"/>
      <c r="DD388" s="101" t="s">
        <v>683</v>
      </c>
      <c r="DE388" s="2"/>
      <c r="DF388" s="383" t="s">
        <v>914</v>
      </c>
      <c r="DG388" s="382"/>
      <c r="DH388" s="385"/>
      <c r="DI388" s="2"/>
      <c r="DJ388" s="2"/>
      <c r="DK388" s="59" t="s">
        <v>3576</v>
      </c>
      <c r="DL388" s="37" t="s">
        <v>76</v>
      </c>
      <c r="DM388" s="37" t="str">
        <f t="shared" si="3"/>
        <v>#NAME?</v>
      </c>
      <c r="DN388" s="61"/>
      <c r="DO388" s="37" t="s">
        <v>19</v>
      </c>
      <c r="DP388" s="105">
        <v>1.0</v>
      </c>
      <c r="DQ388" s="62" t="s">
        <v>49</v>
      </c>
      <c r="DR388" s="63"/>
      <c r="DS388" s="198"/>
      <c r="DT388" s="108"/>
      <c r="DU388" s="108"/>
      <c r="DV388" s="182"/>
      <c r="DW388" s="182"/>
      <c r="DX388" s="182"/>
      <c r="DY388" s="182"/>
      <c r="DZ388" s="182"/>
      <c r="EA388" s="182"/>
      <c r="EB388" s="2"/>
      <c r="EC388" s="2"/>
      <c r="ED388" s="2"/>
      <c r="EE388" s="2"/>
      <c r="EF388" s="2" t="s">
        <v>3577</v>
      </c>
      <c r="EG388" s="108" t="str">
        <f>image("https://www.pokepedia.fr/images/a/a4/Miniature_Sac_Butin_DP.png",3)</f>
        <v/>
      </c>
      <c r="EH388" s="428"/>
      <c r="EI388" s="428"/>
    </row>
    <row r="389" ht="15.75" customHeight="1">
      <c r="A389" s="2" t="s">
        <v>3578</v>
      </c>
      <c r="B389" s="2" t="s">
        <v>3579</v>
      </c>
      <c r="C389" s="108"/>
      <c r="D389" s="122" t="s">
        <v>3580</v>
      </c>
      <c r="E389" s="10"/>
      <c r="F389" s="123"/>
      <c r="G389" s="108"/>
      <c r="H389" s="8" t="s">
        <v>3581</v>
      </c>
      <c r="I389" s="9" t="s">
        <v>3582</v>
      </c>
      <c r="J389" s="355" t="str">
        <f>image("https://archives.bulbagarden.net/media/upload/3/3f/386SMS6.png", 3)</f>
        <v/>
      </c>
      <c r="K389" s="11" t="s">
        <v>3583</v>
      </c>
      <c r="L389" s="12"/>
      <c r="M389" s="12"/>
      <c r="N389" s="12"/>
      <c r="O389" s="12"/>
      <c r="Q389" s="298">
        <v>50.0</v>
      </c>
      <c r="R389" s="299">
        <v>95.0</v>
      </c>
      <c r="S389" s="300">
        <v>90.0</v>
      </c>
      <c r="T389" s="301">
        <v>95.0</v>
      </c>
      <c r="U389" s="302">
        <v>90.0</v>
      </c>
      <c r="V389" s="303">
        <v>180.0</v>
      </c>
      <c r="W389" s="304">
        <v>600.0</v>
      </c>
      <c r="X389" s="21"/>
      <c r="Y389" s="298">
        <v>50.0</v>
      </c>
      <c r="Z389" s="299">
        <v>95.0</v>
      </c>
      <c r="AA389" s="300">
        <v>90.0</v>
      </c>
      <c r="AB389" s="301">
        <v>95.0</v>
      </c>
      <c r="AC389" s="302">
        <v>90.0</v>
      </c>
      <c r="AD389" s="303">
        <v>180.0</v>
      </c>
      <c r="AE389" s="304">
        <v>600.0</v>
      </c>
      <c r="AF389" s="21"/>
      <c r="AG389" s="298">
        <v>50.0</v>
      </c>
      <c r="AH389" s="299">
        <v>95.0</v>
      </c>
      <c r="AI389" s="300">
        <v>90.0</v>
      </c>
      <c r="AJ389" s="301">
        <v>95.0</v>
      </c>
      <c r="AK389" s="302">
        <v>90.0</v>
      </c>
      <c r="AL389" s="303">
        <v>180.0</v>
      </c>
      <c r="AM389" s="304">
        <v>600.0</v>
      </c>
      <c r="AN389" s="21"/>
      <c r="AO389" s="22">
        <v>50.0</v>
      </c>
      <c r="AP389" s="23">
        <v>95.0</v>
      </c>
      <c r="AQ389" s="23">
        <v>90.0</v>
      </c>
      <c r="AR389" s="23">
        <v>95.0</v>
      </c>
      <c r="AS389" s="23">
        <v>90.0</v>
      </c>
      <c r="AT389" s="23">
        <v>180.0</v>
      </c>
      <c r="AU389" s="24">
        <v>600.0</v>
      </c>
      <c r="AV389" s="21"/>
      <c r="AW389" s="258">
        <v>50.0</v>
      </c>
      <c r="AX389" s="80">
        <v>95.0</v>
      </c>
      <c r="AY389" s="80">
        <v>90.0</v>
      </c>
      <c r="AZ389" s="80">
        <v>95.0</v>
      </c>
      <c r="BA389" s="80">
        <v>90.0</v>
      </c>
      <c r="BB389" s="80">
        <v>180.0</v>
      </c>
      <c r="BC389" s="81">
        <v>600.0</v>
      </c>
      <c r="BE389" s="434" t="s">
        <v>325</v>
      </c>
      <c r="BF389" s="435" t="s">
        <v>4</v>
      </c>
      <c r="BG389" s="436" t="s">
        <v>56</v>
      </c>
      <c r="BI389" s="31" t="s">
        <v>5</v>
      </c>
      <c r="BJ389" s="32">
        <v>1.0</v>
      </c>
      <c r="BK389" s="32" t="s">
        <v>5</v>
      </c>
      <c r="BL389" s="32">
        <v>1.0</v>
      </c>
      <c r="BM389" s="32" t="s">
        <v>5</v>
      </c>
      <c r="BN389" s="33">
        <v>1.0</v>
      </c>
      <c r="BP389" s="308" t="s">
        <v>122</v>
      </c>
      <c r="BQ389" s="188"/>
      <c r="BS389" s="308" t="s">
        <v>122</v>
      </c>
      <c r="BT389" s="309"/>
      <c r="BU389" s="37" t="str">
        <f t="shared" si="1"/>
        <v>#NAME?</v>
      </c>
      <c r="BV389" s="89" t="s">
        <v>122</v>
      </c>
      <c r="BW389" s="37" t="str">
        <f t="shared" si="2"/>
        <v>#NAME?</v>
      </c>
      <c r="BX389" s="89"/>
      <c r="BY389" s="39"/>
      <c r="BZ389" s="39"/>
      <c r="CA389" s="40" t="s">
        <v>122</v>
      </c>
      <c r="CB389" s="41"/>
      <c r="CC389" s="212" t="s">
        <v>122</v>
      </c>
      <c r="CD389" s="137"/>
      <c r="CE389" s="21"/>
      <c r="CF389" s="177" t="s">
        <v>1447</v>
      </c>
      <c r="CG389" s="188"/>
      <c r="CH389" s="21"/>
      <c r="CI389" s="177" t="s">
        <v>1447</v>
      </c>
      <c r="CJ389" s="188"/>
      <c r="CK389" s="21"/>
      <c r="CL389" s="22" t="s">
        <v>1447</v>
      </c>
      <c r="CM389" s="12"/>
      <c r="CN389" s="48"/>
      <c r="CO389" s="153"/>
      <c r="CP389" s="21"/>
      <c r="CQ389" s="2" t="s">
        <v>3559</v>
      </c>
      <c r="CR389" s="310">
        <v>80.0</v>
      </c>
      <c r="CS389" s="2" t="s">
        <v>3560</v>
      </c>
      <c r="CT389" s="311">
        <v>215.0</v>
      </c>
      <c r="CU389" s="2"/>
      <c r="CV389" s="52" t="s">
        <v>890</v>
      </c>
      <c r="CW389" s="52" t="s">
        <v>890</v>
      </c>
      <c r="CX389" s="2"/>
      <c r="CY389" s="312" t="s">
        <v>411</v>
      </c>
      <c r="CZ389" s="313"/>
      <c r="DA389" s="2"/>
      <c r="DB389" s="311">
        <v>3.0</v>
      </c>
      <c r="DC389" s="2"/>
      <c r="DD389" s="314" t="s">
        <v>683</v>
      </c>
      <c r="DE389" s="2"/>
      <c r="DF389" s="250" t="s">
        <v>914</v>
      </c>
      <c r="DG389" s="312"/>
      <c r="DH389" s="313"/>
      <c r="DI389" s="2"/>
      <c r="DJ389" s="2"/>
      <c r="DK389" s="59" t="s">
        <v>3584</v>
      </c>
      <c r="DL389" s="37" t="s">
        <v>95</v>
      </c>
      <c r="DM389" s="37" t="str">
        <f t="shared" si="3"/>
        <v>#NAME?</v>
      </c>
      <c r="DN389" s="61"/>
      <c r="DO389" s="37" t="s">
        <v>19</v>
      </c>
      <c r="DP389" s="105">
        <v>0.85</v>
      </c>
      <c r="DQ389" s="62" t="s">
        <v>702</v>
      </c>
      <c r="DR389" s="63"/>
      <c r="DS389" s="198"/>
      <c r="DT389" s="108"/>
      <c r="DU389" s="108"/>
      <c r="DV389" s="182"/>
      <c r="DW389" s="182"/>
      <c r="DX389" s="182"/>
      <c r="DY389" s="182"/>
      <c r="DZ389" s="182"/>
      <c r="EA389" s="182"/>
      <c r="EB389" s="2"/>
      <c r="EC389" s="2"/>
      <c r="ED389" s="2"/>
      <c r="EE389" s="2"/>
      <c r="EF389" s="2" t="s">
        <v>3585</v>
      </c>
      <c r="EG389" s="108" t="str">
        <f>image("https://www.pokebip.com/pages/icones/objets/carte-points.png",3)</f>
        <v/>
      </c>
      <c r="EH389" s="428"/>
      <c r="EI389" s="428"/>
    </row>
    <row r="390" ht="15.75" customHeight="1">
      <c r="A390" s="1">
        <v>387.0</v>
      </c>
      <c r="B390" s="2" t="s">
        <v>3586</v>
      </c>
      <c r="C390" s="3"/>
      <c r="D390" s="4" t="s">
        <v>3587</v>
      </c>
      <c r="E390" s="5"/>
      <c r="F390" s="6"/>
      <c r="G390" s="7"/>
      <c r="H390" s="8" t="s">
        <v>3588</v>
      </c>
      <c r="I390" s="9" t="s">
        <v>3589</v>
      </c>
      <c r="J390" s="355" t="str">
        <f>image("https://archives.bulbagarden.net/media/upload/8/89/387MS6.png", 3)</f>
        <v/>
      </c>
      <c r="K390" s="11" t="s">
        <v>3587</v>
      </c>
      <c r="L390" s="12"/>
      <c r="M390" s="12"/>
      <c r="N390" s="12"/>
      <c r="O390" s="12"/>
      <c r="Q390" s="14">
        <v>55.0</v>
      </c>
      <c r="R390" s="15">
        <v>68.0</v>
      </c>
      <c r="S390" s="16">
        <v>64.0</v>
      </c>
      <c r="T390" s="17">
        <v>45.0</v>
      </c>
      <c r="U390" s="18">
        <v>55.0</v>
      </c>
      <c r="V390" s="19">
        <v>31.0</v>
      </c>
      <c r="W390" s="20">
        <v>318.0</v>
      </c>
      <c r="X390" s="21"/>
      <c r="Y390" s="14">
        <v>55.0</v>
      </c>
      <c r="Z390" s="15">
        <v>68.0</v>
      </c>
      <c r="AA390" s="16">
        <v>64.0</v>
      </c>
      <c r="AB390" s="17">
        <v>45.0</v>
      </c>
      <c r="AC390" s="18">
        <v>55.0</v>
      </c>
      <c r="AD390" s="19">
        <v>31.0</v>
      </c>
      <c r="AE390" s="20">
        <v>318.0</v>
      </c>
      <c r="AF390" s="21"/>
      <c r="AG390" s="14">
        <v>55.0</v>
      </c>
      <c r="AH390" s="15">
        <v>68.0</v>
      </c>
      <c r="AI390" s="16">
        <v>64.0</v>
      </c>
      <c r="AJ390" s="17">
        <v>45.0</v>
      </c>
      <c r="AK390" s="18">
        <v>55.0</v>
      </c>
      <c r="AL390" s="19">
        <v>31.0</v>
      </c>
      <c r="AM390" s="20">
        <v>318.0</v>
      </c>
      <c r="AN390" s="21"/>
      <c r="AO390" s="22">
        <v>55.0</v>
      </c>
      <c r="AP390" s="23">
        <v>68.0</v>
      </c>
      <c r="AQ390" s="23">
        <v>64.0</v>
      </c>
      <c r="AR390" s="23">
        <v>45.0</v>
      </c>
      <c r="AS390" s="23">
        <v>55.0</v>
      </c>
      <c r="AT390" s="23">
        <v>31.0</v>
      </c>
      <c r="AU390" s="24">
        <v>318.0</v>
      </c>
      <c r="AV390" s="21"/>
      <c r="AW390" s="25">
        <v>55.0</v>
      </c>
      <c r="AX390" s="26">
        <v>68.0</v>
      </c>
      <c r="AY390" s="26">
        <v>64.0</v>
      </c>
      <c r="AZ390" s="26">
        <v>45.0</v>
      </c>
      <c r="BA390" s="26">
        <v>55.0</v>
      </c>
      <c r="BB390" s="26">
        <v>31.0</v>
      </c>
      <c r="BC390" s="27">
        <v>318.0</v>
      </c>
      <c r="BE390" s="437" t="s">
        <v>325</v>
      </c>
      <c r="BF390" s="438"/>
      <c r="BG390" s="319"/>
      <c r="BI390" s="31" t="s">
        <v>5</v>
      </c>
      <c r="BJ390" s="32">
        <v>1.0</v>
      </c>
      <c r="BK390" s="32" t="s">
        <v>5</v>
      </c>
      <c r="BL390" s="32" t="s">
        <v>5</v>
      </c>
      <c r="BM390" s="32" t="s">
        <v>5</v>
      </c>
      <c r="BN390" s="33" t="s">
        <v>5</v>
      </c>
      <c r="BP390" s="320" t="s">
        <v>6</v>
      </c>
      <c r="BQ390" s="321"/>
      <c r="BS390" s="322" t="s">
        <v>6</v>
      </c>
      <c r="BT390" s="323"/>
      <c r="BU390" s="37" t="str">
        <f t="shared" si="1"/>
        <v>#NAME?</v>
      </c>
      <c r="BV390" s="89" t="s">
        <v>6</v>
      </c>
      <c r="BW390" s="37" t="str">
        <f t="shared" si="2"/>
        <v>#NAME?</v>
      </c>
      <c r="BX390" s="89"/>
      <c r="BY390" s="39"/>
      <c r="BZ390" s="39"/>
      <c r="CA390" s="40" t="s">
        <v>6</v>
      </c>
      <c r="CB390" s="41"/>
      <c r="CC390" s="42" t="s">
        <v>6</v>
      </c>
      <c r="CD390" s="43"/>
      <c r="CE390" s="21"/>
      <c r="CF390" s="44" t="s">
        <v>9</v>
      </c>
      <c r="CG390" s="45"/>
      <c r="CH390" s="21"/>
      <c r="CI390" s="324" t="s">
        <v>9</v>
      </c>
      <c r="CJ390" s="46" t="s">
        <v>981</v>
      </c>
      <c r="CK390" s="21"/>
      <c r="CL390" s="22" t="s">
        <v>9</v>
      </c>
      <c r="CM390" s="12"/>
      <c r="CN390" s="48"/>
      <c r="CO390" s="192" t="s">
        <v>3590</v>
      </c>
      <c r="CP390" s="21"/>
      <c r="CQ390" s="2" t="s">
        <v>3591</v>
      </c>
      <c r="CR390" s="50">
        <v>40.0</v>
      </c>
      <c r="CS390" s="2" t="s">
        <v>325</v>
      </c>
      <c r="CT390" s="51">
        <v>64.0</v>
      </c>
      <c r="CU390" s="2"/>
      <c r="CV390" s="52" t="s">
        <v>13</v>
      </c>
      <c r="CW390" s="53">
        <v>0.125</v>
      </c>
      <c r="CX390" s="2"/>
      <c r="CY390" s="439" t="s">
        <v>14</v>
      </c>
      <c r="CZ390" s="440" t="s">
        <v>6</v>
      </c>
      <c r="DA390" s="2"/>
      <c r="DB390" s="51">
        <v>45.0</v>
      </c>
      <c r="DC390" s="2"/>
      <c r="DD390" s="56" t="s">
        <v>15</v>
      </c>
      <c r="DE390" s="2"/>
      <c r="DF390" s="441" t="s">
        <v>3592</v>
      </c>
      <c r="DG390" s="440"/>
      <c r="DH390" s="440"/>
      <c r="DI390" s="21"/>
      <c r="DJ390" s="21"/>
      <c r="DK390" s="59" t="s">
        <v>3593</v>
      </c>
      <c r="DL390" s="37" t="s">
        <v>156</v>
      </c>
      <c r="DM390" s="37" t="str">
        <f t="shared" si="3"/>
        <v>#NAME?</v>
      </c>
      <c r="DN390" s="61"/>
      <c r="DO390" s="37" t="s">
        <v>19</v>
      </c>
      <c r="DP390" s="37" t="s">
        <v>19</v>
      </c>
      <c r="DQ390" s="62" t="s">
        <v>49</v>
      </c>
      <c r="DR390" s="63"/>
      <c r="DS390" s="198"/>
      <c r="DT390" s="108"/>
      <c r="DU390" s="108"/>
      <c r="DV390" s="182"/>
      <c r="DW390" s="182"/>
      <c r="DX390" s="182"/>
      <c r="DY390" s="182"/>
      <c r="DZ390" s="182"/>
      <c r="EA390" s="182"/>
      <c r="EB390" s="21"/>
      <c r="EC390" s="21"/>
      <c r="ED390" s="21"/>
      <c r="EE390" s="21"/>
      <c r="EF390" s="21" t="s">
        <v>3594</v>
      </c>
      <c r="EG390" s="108" t="str">
        <f>image("https://www.pokepedia.fr/images/b/bc/Miniature_Livre_R%C3%A8gles_DP.png",3)</f>
        <v/>
      </c>
      <c r="EH390" s="442"/>
      <c r="EI390" s="442"/>
    </row>
    <row r="391" ht="15.75" customHeight="1">
      <c r="A391" s="1">
        <v>388.0</v>
      </c>
      <c r="B391" s="2" t="s">
        <v>3595</v>
      </c>
      <c r="C391" s="7"/>
      <c r="D391" s="4" t="s">
        <v>3596</v>
      </c>
      <c r="E391" s="5"/>
      <c r="F391" s="6"/>
      <c r="G391" s="7"/>
      <c r="H391" s="8" t="s">
        <v>3597</v>
      </c>
      <c r="I391" s="9" t="s">
        <v>3598</v>
      </c>
      <c r="J391" s="355" t="str">
        <f>image("https://archives.bulbagarden.net/media/upload/1/1b/388MS6.png", 3)</f>
        <v/>
      </c>
      <c r="K391" s="11" t="s">
        <v>3596</v>
      </c>
      <c r="L391" s="12"/>
      <c r="M391" s="12"/>
      <c r="N391" s="12"/>
      <c r="O391" s="12"/>
      <c r="Q391" s="71">
        <v>75.0</v>
      </c>
      <c r="R391" s="72">
        <v>89.0</v>
      </c>
      <c r="S391" s="73">
        <v>85.0</v>
      </c>
      <c r="T391" s="74">
        <v>55.0</v>
      </c>
      <c r="U391" s="75">
        <v>65.0</v>
      </c>
      <c r="V391" s="76">
        <v>36.0</v>
      </c>
      <c r="W391" s="77">
        <v>405.0</v>
      </c>
      <c r="X391" s="21"/>
      <c r="Y391" s="71">
        <v>75.0</v>
      </c>
      <c r="Z391" s="72">
        <v>89.0</v>
      </c>
      <c r="AA391" s="73">
        <v>85.0</v>
      </c>
      <c r="AB391" s="74">
        <v>55.0</v>
      </c>
      <c r="AC391" s="75">
        <v>65.0</v>
      </c>
      <c r="AD391" s="76">
        <v>36.0</v>
      </c>
      <c r="AE391" s="77">
        <v>405.0</v>
      </c>
      <c r="AF391" s="21"/>
      <c r="AG391" s="71">
        <v>75.0</v>
      </c>
      <c r="AH391" s="72">
        <v>89.0</v>
      </c>
      <c r="AI391" s="73">
        <v>85.0</v>
      </c>
      <c r="AJ391" s="74">
        <v>55.0</v>
      </c>
      <c r="AK391" s="75">
        <v>65.0</v>
      </c>
      <c r="AL391" s="76">
        <v>36.0</v>
      </c>
      <c r="AM391" s="77">
        <v>405.0</v>
      </c>
      <c r="AN391" s="21"/>
      <c r="AO391" s="22">
        <v>75.0</v>
      </c>
      <c r="AP391" s="23">
        <v>89.0</v>
      </c>
      <c r="AQ391" s="23">
        <v>85.0</v>
      </c>
      <c r="AR391" s="23">
        <v>55.0</v>
      </c>
      <c r="AS391" s="23">
        <v>65.0</v>
      </c>
      <c r="AT391" s="23">
        <v>36.0</v>
      </c>
      <c r="AU391" s="24">
        <v>405.0</v>
      </c>
      <c r="AV391" s="21"/>
      <c r="AW391" s="78">
        <v>75.0</v>
      </c>
      <c r="AX391" s="80">
        <v>89.0</v>
      </c>
      <c r="AY391" s="80">
        <v>85.0</v>
      </c>
      <c r="AZ391" s="79">
        <v>55.0</v>
      </c>
      <c r="BA391" s="79">
        <v>65.0</v>
      </c>
      <c r="BB391" s="79">
        <v>36.0</v>
      </c>
      <c r="BC391" s="81">
        <v>405.0</v>
      </c>
      <c r="BE391" s="194" t="s">
        <v>325</v>
      </c>
      <c r="BF391" s="340" t="s">
        <v>101</v>
      </c>
      <c r="BG391" s="210"/>
      <c r="BI391" s="31" t="s">
        <v>5</v>
      </c>
      <c r="BJ391" s="32">
        <v>1.0</v>
      </c>
      <c r="BK391" s="32">
        <v>1.0</v>
      </c>
      <c r="BL391" s="32" t="s">
        <v>5</v>
      </c>
      <c r="BM391" s="32" t="s">
        <v>5</v>
      </c>
      <c r="BN391" s="33" t="s">
        <v>5</v>
      </c>
      <c r="BP391" s="115" t="s">
        <v>6</v>
      </c>
      <c r="BQ391" s="93"/>
      <c r="BS391" s="115" t="s">
        <v>6</v>
      </c>
      <c r="BT391" s="133"/>
      <c r="BU391" s="37" t="str">
        <f t="shared" si="1"/>
        <v>#NAME?</v>
      </c>
      <c r="BV391" s="89" t="s">
        <v>6</v>
      </c>
      <c r="BW391" s="37" t="str">
        <f t="shared" si="2"/>
        <v>#NAME?</v>
      </c>
      <c r="BX391" s="89"/>
      <c r="BY391" s="39"/>
      <c r="BZ391" s="39"/>
      <c r="CA391" s="40" t="s">
        <v>6</v>
      </c>
      <c r="CB391" s="41"/>
      <c r="CC391" s="90" t="s">
        <v>6</v>
      </c>
      <c r="CD391" s="91"/>
      <c r="CE391" s="21"/>
      <c r="CF391" s="92" t="s">
        <v>9</v>
      </c>
      <c r="CG391" s="93"/>
      <c r="CH391" s="21"/>
      <c r="CI391" s="191" t="s">
        <v>9</v>
      </c>
      <c r="CJ391" s="94" t="s">
        <v>981</v>
      </c>
      <c r="CK391" s="21"/>
      <c r="CL391" s="22" t="s">
        <v>9</v>
      </c>
      <c r="CM391" s="12"/>
      <c r="CN391" s="48"/>
      <c r="CO391" s="235" t="s">
        <v>3590</v>
      </c>
      <c r="CP391" s="21"/>
      <c r="CQ391" s="2" t="s">
        <v>2773</v>
      </c>
      <c r="CR391" s="97">
        <v>80.0</v>
      </c>
      <c r="CS391" s="2" t="s">
        <v>1595</v>
      </c>
      <c r="CT391" s="98">
        <v>141.0</v>
      </c>
      <c r="CU391" s="2"/>
      <c r="CV391" s="52" t="s">
        <v>13</v>
      </c>
      <c r="CW391" s="53">
        <v>0.125</v>
      </c>
      <c r="CX391" s="2"/>
      <c r="CY391" s="118" t="s">
        <v>14</v>
      </c>
      <c r="CZ391" s="119" t="s">
        <v>6</v>
      </c>
      <c r="DA391" s="2"/>
      <c r="DB391" s="98">
        <v>45.0</v>
      </c>
      <c r="DC391" s="2"/>
      <c r="DD391" s="101" t="s">
        <v>15</v>
      </c>
      <c r="DE391" s="2"/>
      <c r="DF391" s="120" t="s">
        <v>3599</v>
      </c>
      <c r="DG391" s="119"/>
      <c r="DH391" s="119"/>
      <c r="DI391" s="2"/>
      <c r="DJ391" s="2"/>
      <c r="DK391" s="59" t="s">
        <v>3600</v>
      </c>
      <c r="DL391" s="37" t="s">
        <v>156</v>
      </c>
      <c r="DM391" s="37" t="str">
        <f t="shared" si="3"/>
        <v>#NAME?</v>
      </c>
      <c r="DN391" s="61"/>
      <c r="DO391" s="37" t="s">
        <v>19</v>
      </c>
      <c r="DP391" s="37" t="s">
        <v>19</v>
      </c>
      <c r="DQ391" s="62" t="s">
        <v>49</v>
      </c>
      <c r="DR391" s="63"/>
      <c r="DS391" s="198"/>
      <c r="DT391" s="108"/>
      <c r="DU391" s="108"/>
      <c r="DV391" s="182"/>
      <c r="DW391" s="182"/>
      <c r="DX391" s="182"/>
      <c r="DY391" s="182"/>
      <c r="DZ391" s="182"/>
      <c r="EA391" s="182"/>
      <c r="EB391" s="2"/>
      <c r="EC391" s="2"/>
      <c r="ED391" s="2"/>
      <c r="EE391" s="2"/>
      <c r="EF391" s="2" t="s">
        <v>3601</v>
      </c>
      <c r="EG391" s="108" t="str">
        <f>image("https://www.pokebip.com/pages/icones/objets/passe-bateau.png",3)</f>
        <v/>
      </c>
      <c r="EH391" s="428"/>
      <c r="EI391" s="428"/>
    </row>
    <row r="392" ht="15.75" customHeight="1">
      <c r="A392" s="1">
        <v>389.0</v>
      </c>
      <c r="B392" s="2" t="s">
        <v>3602</v>
      </c>
      <c r="C392" s="7"/>
      <c r="D392" s="4" t="s">
        <v>3603</v>
      </c>
      <c r="E392" s="5"/>
      <c r="F392" s="6"/>
      <c r="G392" s="7"/>
      <c r="H392" s="8" t="s">
        <v>3604</v>
      </c>
      <c r="I392" s="9" t="s">
        <v>3605</v>
      </c>
      <c r="J392" s="355" t="str">
        <f>image("https://archives.bulbagarden.net/media/upload/6/61/389MS6.png", 3)</f>
        <v/>
      </c>
      <c r="K392" s="11" t="s">
        <v>3603</v>
      </c>
      <c r="L392" s="12"/>
      <c r="M392" s="12"/>
      <c r="N392" s="12"/>
      <c r="O392" s="12"/>
      <c r="Q392" s="71">
        <v>95.0</v>
      </c>
      <c r="R392" s="72">
        <v>109.0</v>
      </c>
      <c r="S392" s="73">
        <v>105.0</v>
      </c>
      <c r="T392" s="74">
        <v>75.0</v>
      </c>
      <c r="U392" s="75">
        <v>85.0</v>
      </c>
      <c r="V392" s="76">
        <v>56.0</v>
      </c>
      <c r="W392" s="77">
        <v>525.0</v>
      </c>
      <c r="X392" s="21"/>
      <c r="Y392" s="71">
        <v>95.0</v>
      </c>
      <c r="Z392" s="72">
        <v>109.0</v>
      </c>
      <c r="AA392" s="73">
        <v>105.0</v>
      </c>
      <c r="AB392" s="74">
        <v>75.0</v>
      </c>
      <c r="AC392" s="75">
        <v>85.0</v>
      </c>
      <c r="AD392" s="76">
        <v>56.0</v>
      </c>
      <c r="AE392" s="77">
        <v>525.0</v>
      </c>
      <c r="AF392" s="21"/>
      <c r="AG392" s="71">
        <v>95.0</v>
      </c>
      <c r="AH392" s="109">
        <v>114.0</v>
      </c>
      <c r="AI392" s="109">
        <v>110.0</v>
      </c>
      <c r="AJ392" s="74">
        <v>75.0</v>
      </c>
      <c r="AK392" s="75">
        <v>85.0</v>
      </c>
      <c r="AL392" s="76">
        <v>56.0</v>
      </c>
      <c r="AM392" s="110">
        <v>535.0</v>
      </c>
      <c r="AN392" s="21"/>
      <c r="AO392" s="22">
        <v>95.0</v>
      </c>
      <c r="AP392" s="23" t="s">
        <v>3606</v>
      </c>
      <c r="AQ392" s="23" t="s">
        <v>40</v>
      </c>
      <c r="AR392" s="23">
        <v>75.0</v>
      </c>
      <c r="AS392" s="23">
        <v>85.0</v>
      </c>
      <c r="AT392" s="23">
        <v>56.0</v>
      </c>
      <c r="AU392" s="24" t="s">
        <v>41</v>
      </c>
      <c r="AV392" s="21"/>
      <c r="AW392" s="78">
        <v>95.0</v>
      </c>
      <c r="AX392" s="111">
        <v>114.0</v>
      </c>
      <c r="AY392" s="111">
        <v>110.0</v>
      </c>
      <c r="AZ392" s="79">
        <v>75.0</v>
      </c>
      <c r="BA392" s="79">
        <v>85.0</v>
      </c>
      <c r="BB392" s="79">
        <v>56.0</v>
      </c>
      <c r="BC392" s="111">
        <v>535.0</v>
      </c>
      <c r="BE392" s="172" t="s">
        <v>216</v>
      </c>
      <c r="BF392" s="113"/>
      <c r="BG392" s="236" t="s">
        <v>101</v>
      </c>
      <c r="BI392" s="31" t="s">
        <v>5</v>
      </c>
      <c r="BJ392" s="32">
        <v>2.0</v>
      </c>
      <c r="BK392" s="32">
        <v>1.0</v>
      </c>
      <c r="BL392" s="32" t="s">
        <v>5</v>
      </c>
      <c r="BM392" s="32" t="s">
        <v>5</v>
      </c>
      <c r="BN392" s="33" t="s">
        <v>5</v>
      </c>
      <c r="BP392" s="85" t="s">
        <v>6</v>
      </c>
      <c r="BQ392" s="86" t="s">
        <v>79</v>
      </c>
      <c r="BS392" s="87" t="s">
        <v>6</v>
      </c>
      <c r="BT392" s="88" t="s">
        <v>79</v>
      </c>
      <c r="BU392" s="37" t="str">
        <f t="shared" si="1"/>
        <v>#NAME?</v>
      </c>
      <c r="BV392" s="89" t="s">
        <v>6</v>
      </c>
      <c r="BW392" s="37" t="str">
        <f t="shared" si="2"/>
        <v>#NAME?</v>
      </c>
      <c r="BX392" s="89" t="s">
        <v>79</v>
      </c>
      <c r="BY392" s="39"/>
      <c r="BZ392" s="39"/>
      <c r="CA392" s="40" t="s">
        <v>3607</v>
      </c>
      <c r="CB392" s="41"/>
      <c r="CC392" s="90" t="s">
        <v>6</v>
      </c>
      <c r="CD392" s="91" t="s">
        <v>79</v>
      </c>
      <c r="CE392" s="2"/>
      <c r="CF392" s="92" t="s">
        <v>9</v>
      </c>
      <c r="CG392" s="93"/>
      <c r="CH392" s="2"/>
      <c r="CI392" s="277" t="s">
        <v>9</v>
      </c>
      <c r="CJ392" s="152" t="s">
        <v>981</v>
      </c>
      <c r="CK392" s="2"/>
      <c r="CL392" s="22" t="s">
        <v>9</v>
      </c>
      <c r="CM392" s="12"/>
      <c r="CN392" s="48"/>
      <c r="CO392" s="193" t="s">
        <v>3590</v>
      </c>
      <c r="CP392" s="2"/>
      <c r="CQ392" s="2" t="s">
        <v>3608</v>
      </c>
      <c r="CR392" s="97">
        <v>120.0</v>
      </c>
      <c r="CS392" s="2" t="s">
        <v>584</v>
      </c>
      <c r="CT392" s="98">
        <v>208.0</v>
      </c>
      <c r="CU392" s="2"/>
      <c r="CV392" s="52" t="s">
        <v>13</v>
      </c>
      <c r="CW392" s="53">
        <v>0.125</v>
      </c>
      <c r="CX392" s="2"/>
      <c r="CY392" s="443" t="s">
        <v>14</v>
      </c>
      <c r="CZ392" s="444" t="s">
        <v>6</v>
      </c>
      <c r="DA392" s="2"/>
      <c r="DB392" s="98">
        <v>45.0</v>
      </c>
      <c r="DC392" s="2"/>
      <c r="DD392" s="101" t="s">
        <v>15</v>
      </c>
      <c r="DE392" s="2"/>
      <c r="DF392" s="445" t="s">
        <v>3609</v>
      </c>
      <c r="DG392" s="444"/>
      <c r="DH392" s="444"/>
      <c r="DI392" s="2"/>
      <c r="DJ392" s="2"/>
      <c r="DK392" s="59" t="s">
        <v>3610</v>
      </c>
      <c r="DL392" s="37" t="s">
        <v>156</v>
      </c>
      <c r="DM392" s="37" t="str">
        <f t="shared" si="3"/>
        <v>#NAME?</v>
      </c>
      <c r="DN392" s="61"/>
      <c r="DO392" s="37" t="s">
        <v>19</v>
      </c>
      <c r="DP392" s="37" t="s">
        <v>19</v>
      </c>
      <c r="DQ392" s="62" t="s">
        <v>49</v>
      </c>
      <c r="DR392" s="63"/>
      <c r="DS392" s="198"/>
      <c r="DT392" s="108"/>
      <c r="DU392" s="108"/>
      <c r="DV392" s="182"/>
      <c r="DW392" s="182"/>
      <c r="DX392" s="182"/>
      <c r="DY392" s="182"/>
      <c r="DZ392" s="182"/>
      <c r="EA392" s="182"/>
      <c r="EB392" s="2"/>
      <c r="EC392" s="2"/>
      <c r="ED392" s="2"/>
      <c r="EE392" s="2"/>
      <c r="EF392" s="2" t="s">
        <v>3611</v>
      </c>
      <c r="EG392" s="108" t="str">
        <f>image("https://www.pokebip.com/pages/icones/objets/boite-sceaux.png", 3)</f>
        <v/>
      </c>
      <c r="EH392" s="428"/>
      <c r="EI392" s="428"/>
    </row>
    <row r="393" ht="15.75" customHeight="1">
      <c r="A393" s="1">
        <v>390.0</v>
      </c>
      <c r="B393" s="2" t="s">
        <v>3612</v>
      </c>
      <c r="C393" s="7"/>
      <c r="D393" s="167" t="s">
        <v>3613</v>
      </c>
      <c r="E393" s="5"/>
      <c r="F393" s="168"/>
      <c r="G393" s="7"/>
      <c r="H393" s="8" t="s">
        <v>3614</v>
      </c>
      <c r="I393" s="9" t="s">
        <v>3615</v>
      </c>
      <c r="J393" s="355" t="str">
        <f>image("https://archives.bulbagarden.net/media/upload/3/3c/390MS6.png", 3)</f>
        <v/>
      </c>
      <c r="K393" s="11" t="s">
        <v>3613</v>
      </c>
      <c r="L393" s="12"/>
      <c r="M393" s="12"/>
      <c r="N393" s="12"/>
      <c r="O393" s="12"/>
      <c r="Q393" s="71">
        <v>44.0</v>
      </c>
      <c r="R393" s="72">
        <v>58.0</v>
      </c>
      <c r="S393" s="73">
        <v>44.0</v>
      </c>
      <c r="T393" s="74">
        <v>58.0</v>
      </c>
      <c r="U393" s="75">
        <v>44.0</v>
      </c>
      <c r="V393" s="76">
        <v>61.0</v>
      </c>
      <c r="W393" s="77">
        <v>309.0</v>
      </c>
      <c r="X393" s="21"/>
      <c r="Y393" s="71">
        <v>44.0</v>
      </c>
      <c r="Z393" s="72">
        <v>58.0</v>
      </c>
      <c r="AA393" s="73">
        <v>44.0</v>
      </c>
      <c r="AB393" s="74">
        <v>58.0</v>
      </c>
      <c r="AC393" s="75">
        <v>44.0</v>
      </c>
      <c r="AD393" s="76">
        <v>61.0</v>
      </c>
      <c r="AE393" s="77">
        <v>309.0</v>
      </c>
      <c r="AF393" s="21"/>
      <c r="AG393" s="71">
        <v>44.0</v>
      </c>
      <c r="AH393" s="72">
        <v>58.0</v>
      </c>
      <c r="AI393" s="73">
        <v>44.0</v>
      </c>
      <c r="AJ393" s="74">
        <v>58.0</v>
      </c>
      <c r="AK393" s="75">
        <v>44.0</v>
      </c>
      <c r="AL393" s="76">
        <v>61.0</v>
      </c>
      <c r="AM393" s="77">
        <v>309.0</v>
      </c>
      <c r="AN393" s="21"/>
      <c r="AO393" s="22">
        <v>44.0</v>
      </c>
      <c r="AP393" s="23">
        <v>58.0</v>
      </c>
      <c r="AQ393" s="23">
        <v>44.0</v>
      </c>
      <c r="AR393" s="23">
        <v>58.0</v>
      </c>
      <c r="AS393" s="23">
        <v>44.0</v>
      </c>
      <c r="AT393" s="23">
        <v>61.0</v>
      </c>
      <c r="AU393" s="24">
        <v>309.0</v>
      </c>
      <c r="AV393" s="21"/>
      <c r="AW393" s="78">
        <v>44.0</v>
      </c>
      <c r="AX393" s="124">
        <v>58.0</v>
      </c>
      <c r="AY393" s="124">
        <v>44.0</v>
      </c>
      <c r="AZ393" s="79">
        <v>58.0</v>
      </c>
      <c r="BA393" s="79">
        <v>44.0</v>
      </c>
      <c r="BB393" s="79">
        <v>61.0</v>
      </c>
      <c r="BC393" s="125">
        <v>309.0</v>
      </c>
      <c r="BE393" s="126" t="s">
        <v>56</v>
      </c>
      <c r="BF393" s="143"/>
      <c r="BG393" s="128"/>
      <c r="BI393" s="31" t="s">
        <v>5</v>
      </c>
      <c r="BJ393" s="32" t="s">
        <v>5</v>
      </c>
      <c r="BK393" s="32" t="s">
        <v>5</v>
      </c>
      <c r="BL393" s="32" t="s">
        <v>5</v>
      </c>
      <c r="BM393" s="32" t="s">
        <v>5</v>
      </c>
      <c r="BN393" s="33">
        <v>1.0</v>
      </c>
      <c r="BP393" s="115" t="s">
        <v>34</v>
      </c>
      <c r="BQ393" s="93"/>
      <c r="BS393" s="115" t="s">
        <v>34</v>
      </c>
      <c r="BT393" s="133"/>
      <c r="BU393" s="37" t="str">
        <f t="shared" si="1"/>
        <v>#NAME?</v>
      </c>
      <c r="BV393" s="89" t="s">
        <v>34</v>
      </c>
      <c r="BW393" s="37" t="str">
        <f t="shared" si="2"/>
        <v>#NAME?</v>
      </c>
      <c r="BX393" s="89"/>
      <c r="BY393" s="39"/>
      <c r="BZ393" s="39"/>
      <c r="CA393" s="40" t="s">
        <v>34</v>
      </c>
      <c r="CB393" s="41"/>
      <c r="CC393" s="90" t="s">
        <v>34</v>
      </c>
      <c r="CD393" s="91"/>
      <c r="CE393" s="21"/>
      <c r="CF393" s="92" t="s">
        <v>57</v>
      </c>
      <c r="CG393" s="93"/>
      <c r="CH393" s="21"/>
      <c r="CI393" s="46" t="s">
        <v>1128</v>
      </c>
      <c r="CJ393" s="165" t="s">
        <v>57</v>
      </c>
      <c r="CK393" s="21"/>
      <c r="CL393" s="22" t="s">
        <v>1652</v>
      </c>
      <c r="CM393" s="12"/>
      <c r="CN393" s="48"/>
      <c r="CO393" s="165" t="s">
        <v>57</v>
      </c>
      <c r="CP393" s="21"/>
      <c r="CQ393" s="2" t="s">
        <v>3616</v>
      </c>
      <c r="CR393" s="97">
        <v>20.0</v>
      </c>
      <c r="CS393" s="2" t="s">
        <v>56</v>
      </c>
      <c r="CT393" s="98">
        <v>65.0</v>
      </c>
      <c r="CU393" s="2"/>
      <c r="CV393" s="52" t="s">
        <v>13</v>
      </c>
      <c r="CW393" s="53">
        <v>0.125</v>
      </c>
      <c r="CX393" s="2"/>
      <c r="CY393" s="118" t="s">
        <v>277</v>
      </c>
      <c r="CZ393" s="119" t="s">
        <v>728</v>
      </c>
      <c r="DA393" s="2"/>
      <c r="DB393" s="98">
        <v>45.0</v>
      </c>
      <c r="DC393" s="2"/>
      <c r="DD393" s="101" t="s">
        <v>15</v>
      </c>
      <c r="DE393" s="2"/>
      <c r="DF393" s="148" t="s">
        <v>3617</v>
      </c>
      <c r="DG393" s="119"/>
      <c r="DH393" s="119"/>
      <c r="DI393" s="21"/>
      <c r="DJ393" s="21"/>
      <c r="DK393" s="59" t="s">
        <v>3618</v>
      </c>
      <c r="DL393" s="37" t="s">
        <v>156</v>
      </c>
      <c r="DM393" s="37" t="str">
        <f t="shared" si="3"/>
        <v>#NAME?</v>
      </c>
      <c r="DN393" s="61"/>
      <c r="DO393" s="37" t="s">
        <v>19</v>
      </c>
      <c r="DP393" s="37" t="s">
        <v>19</v>
      </c>
      <c r="DQ393" s="62" t="s">
        <v>293</v>
      </c>
      <c r="DR393" s="63"/>
      <c r="DS393" s="198"/>
      <c r="DT393" s="108"/>
      <c r="DU393" s="108"/>
      <c r="DV393" s="182"/>
      <c r="DW393" s="182"/>
      <c r="DX393" s="182"/>
      <c r="DY393" s="182"/>
      <c r="DZ393" s="182"/>
      <c r="EA393" s="182"/>
      <c r="EB393" s="21"/>
      <c r="EC393" s="21"/>
      <c r="ED393" s="21"/>
      <c r="EE393" s="21"/>
      <c r="EF393" s="21" t="s">
        <v>2317</v>
      </c>
      <c r="EG393" s="108" t="str">
        <f>image("https://www.pokebip.com/pages/icones/objets/cle-stockage-dp.png",3)</f>
        <v/>
      </c>
      <c r="EH393" s="442"/>
      <c r="EI393" s="442"/>
    </row>
    <row r="394" ht="15.75" customHeight="1">
      <c r="A394" s="1">
        <v>391.0</v>
      </c>
      <c r="B394" s="2" t="s">
        <v>3619</v>
      </c>
      <c r="C394" s="7"/>
      <c r="D394" s="167" t="s">
        <v>3620</v>
      </c>
      <c r="E394" s="5"/>
      <c r="F394" s="168"/>
      <c r="G394" s="7"/>
      <c r="H394" s="8" t="s">
        <v>3621</v>
      </c>
      <c r="I394" s="9" t="s">
        <v>3622</v>
      </c>
      <c r="J394" s="355" t="str">
        <f>image("https://archives.bulbagarden.net/media/upload/b/bd/391MS6.png", 3)</f>
        <v/>
      </c>
      <c r="K394" s="11" t="s">
        <v>3620</v>
      </c>
      <c r="L394" s="12"/>
      <c r="M394" s="12"/>
      <c r="N394" s="12"/>
      <c r="O394" s="12"/>
      <c r="Q394" s="71">
        <v>64.0</v>
      </c>
      <c r="R394" s="72">
        <v>78.0</v>
      </c>
      <c r="S394" s="73">
        <v>52.0</v>
      </c>
      <c r="T394" s="74">
        <v>78.0</v>
      </c>
      <c r="U394" s="75">
        <v>52.0</v>
      </c>
      <c r="V394" s="76">
        <v>81.0</v>
      </c>
      <c r="W394" s="77">
        <v>405.0</v>
      </c>
      <c r="X394" s="21"/>
      <c r="Y394" s="71">
        <v>64.0</v>
      </c>
      <c r="Z394" s="72">
        <v>78.0</v>
      </c>
      <c r="AA394" s="73">
        <v>52.0</v>
      </c>
      <c r="AB394" s="74">
        <v>78.0</v>
      </c>
      <c r="AC394" s="75">
        <v>52.0</v>
      </c>
      <c r="AD394" s="76">
        <v>81.0</v>
      </c>
      <c r="AE394" s="77">
        <v>405.0</v>
      </c>
      <c r="AF394" s="21"/>
      <c r="AG394" s="71">
        <v>64.0</v>
      </c>
      <c r="AH394" s="72">
        <v>78.0</v>
      </c>
      <c r="AI394" s="73">
        <v>52.0</v>
      </c>
      <c r="AJ394" s="74">
        <v>78.0</v>
      </c>
      <c r="AK394" s="75">
        <v>52.0</v>
      </c>
      <c r="AL394" s="76">
        <v>81.0</v>
      </c>
      <c r="AM394" s="77">
        <v>405.0</v>
      </c>
      <c r="AN394" s="21"/>
      <c r="AO394" s="22">
        <v>64.0</v>
      </c>
      <c r="AP394" s="23">
        <v>78.0</v>
      </c>
      <c r="AQ394" s="23">
        <v>52.0</v>
      </c>
      <c r="AR394" s="23">
        <v>78.0</v>
      </c>
      <c r="AS394" s="23">
        <v>52.0</v>
      </c>
      <c r="AT394" s="23">
        <v>81.0</v>
      </c>
      <c r="AU394" s="24">
        <v>405.0</v>
      </c>
      <c r="AV394" s="21"/>
      <c r="AW394" s="78">
        <v>64.0</v>
      </c>
      <c r="AX394" s="79">
        <v>78.0</v>
      </c>
      <c r="AY394" s="79">
        <v>52.0</v>
      </c>
      <c r="AZ394" s="79">
        <v>78.0</v>
      </c>
      <c r="BA394" s="79">
        <v>52.0</v>
      </c>
      <c r="BB394" s="80">
        <v>81.0</v>
      </c>
      <c r="BC394" s="81">
        <v>405.0</v>
      </c>
      <c r="BE394" s="126" t="s">
        <v>56</v>
      </c>
      <c r="BF394" s="285" t="s">
        <v>4</v>
      </c>
      <c r="BG394" s="446"/>
      <c r="BI394" s="31" t="s">
        <v>5</v>
      </c>
      <c r="BJ394" s="32" t="s">
        <v>5</v>
      </c>
      <c r="BK394" s="32" t="s">
        <v>5</v>
      </c>
      <c r="BL394" s="32">
        <v>1.0</v>
      </c>
      <c r="BM394" s="32" t="s">
        <v>5</v>
      </c>
      <c r="BN394" s="33">
        <v>1.0</v>
      </c>
      <c r="BP394" s="85" t="s">
        <v>34</v>
      </c>
      <c r="BQ394" s="86" t="s">
        <v>64</v>
      </c>
      <c r="BS394" s="87" t="s">
        <v>34</v>
      </c>
      <c r="BT394" s="88" t="s">
        <v>64</v>
      </c>
      <c r="BU394" s="37" t="str">
        <f t="shared" si="1"/>
        <v>#NAME?</v>
      </c>
      <c r="BV394" s="89" t="s">
        <v>34</v>
      </c>
      <c r="BW394" s="37" t="str">
        <f t="shared" si="2"/>
        <v>#NAME?</v>
      </c>
      <c r="BX394" s="89" t="s">
        <v>64</v>
      </c>
      <c r="BY394" s="39"/>
      <c r="BZ394" s="39"/>
      <c r="CA394" s="40" t="s">
        <v>2413</v>
      </c>
      <c r="CB394" s="41"/>
      <c r="CC394" s="90" t="s">
        <v>34</v>
      </c>
      <c r="CD394" s="91" t="s">
        <v>64</v>
      </c>
      <c r="CE394" s="2"/>
      <c r="CF394" s="92" t="s">
        <v>57</v>
      </c>
      <c r="CG394" s="93"/>
      <c r="CH394" s="2"/>
      <c r="CI394" s="94" t="s">
        <v>1128</v>
      </c>
      <c r="CJ394" s="95" t="s">
        <v>57</v>
      </c>
      <c r="CK394" s="2"/>
      <c r="CL394" s="22" t="s">
        <v>1652</v>
      </c>
      <c r="CM394" s="12"/>
      <c r="CN394" s="48"/>
      <c r="CO394" s="95" t="s">
        <v>57</v>
      </c>
      <c r="CP394" s="2"/>
      <c r="CQ394" s="2" t="s">
        <v>3277</v>
      </c>
      <c r="CR394" s="97">
        <v>40.0</v>
      </c>
      <c r="CS394" s="2" t="s">
        <v>3623</v>
      </c>
      <c r="CT394" s="98">
        <v>142.0</v>
      </c>
      <c r="CU394" s="2"/>
      <c r="CV394" s="52" t="s">
        <v>13</v>
      </c>
      <c r="CW394" s="53">
        <v>0.125</v>
      </c>
      <c r="CX394" s="2"/>
      <c r="CY394" s="443" t="s">
        <v>277</v>
      </c>
      <c r="CZ394" s="444" t="s">
        <v>728</v>
      </c>
      <c r="DA394" s="2"/>
      <c r="DB394" s="98">
        <v>45.0</v>
      </c>
      <c r="DC394" s="2"/>
      <c r="DD394" s="101" t="s">
        <v>15</v>
      </c>
      <c r="DE394" s="2"/>
      <c r="DF394" s="445" t="s">
        <v>3624</v>
      </c>
      <c r="DG394" s="444"/>
      <c r="DH394" s="444"/>
      <c r="DI394" s="2"/>
      <c r="DJ394" s="2"/>
      <c r="DK394" s="59" t="s">
        <v>3625</v>
      </c>
      <c r="DL394" s="37" t="s">
        <v>156</v>
      </c>
      <c r="DM394" s="37" t="str">
        <f t="shared" si="3"/>
        <v>#NAME?</v>
      </c>
      <c r="DN394" s="61"/>
      <c r="DO394" s="37" t="s">
        <v>19</v>
      </c>
      <c r="DP394" s="37" t="s">
        <v>19</v>
      </c>
      <c r="DQ394" s="62" t="s">
        <v>918</v>
      </c>
      <c r="DR394" s="63"/>
      <c r="DS394" s="198"/>
      <c r="DT394" s="108"/>
      <c r="DU394" s="108"/>
      <c r="DV394" s="182"/>
      <c r="DW394" s="182"/>
      <c r="DX394" s="182"/>
      <c r="DY394" s="182"/>
      <c r="DZ394" s="182"/>
      <c r="EA394" s="182"/>
      <c r="EB394" s="2"/>
      <c r="EC394" s="2"/>
      <c r="ED394" s="2"/>
      <c r="EE394" s="2"/>
      <c r="EF394" s="21" t="s">
        <v>3626</v>
      </c>
      <c r="EG394" s="108"/>
      <c r="EH394" s="428"/>
      <c r="EI394" s="428"/>
    </row>
    <row r="395" ht="15.75" customHeight="1">
      <c r="A395" s="1">
        <v>392.0</v>
      </c>
      <c r="B395" s="2" t="s">
        <v>3627</v>
      </c>
      <c r="C395" s="7"/>
      <c r="D395" s="167" t="s">
        <v>3628</v>
      </c>
      <c r="E395" s="5"/>
      <c r="F395" s="168"/>
      <c r="G395" s="7"/>
      <c r="H395" s="8" t="s">
        <v>3629</v>
      </c>
      <c r="I395" s="9" t="s">
        <v>3630</v>
      </c>
      <c r="J395" s="355" t="str">
        <f>image("https://archives.bulbagarden.net/media/upload/5/5f/392MS6.png", 3)</f>
        <v/>
      </c>
      <c r="K395" s="11" t="s">
        <v>3628</v>
      </c>
      <c r="L395" s="12"/>
      <c r="M395" s="12"/>
      <c r="N395" s="12"/>
      <c r="O395" s="12"/>
      <c r="Q395" s="71">
        <v>76.0</v>
      </c>
      <c r="R395" s="72">
        <v>104.0</v>
      </c>
      <c r="S395" s="73">
        <v>71.0</v>
      </c>
      <c r="T395" s="74">
        <v>104.0</v>
      </c>
      <c r="U395" s="75">
        <v>71.0</v>
      </c>
      <c r="V395" s="76">
        <v>108.0</v>
      </c>
      <c r="W395" s="77">
        <v>534.0</v>
      </c>
      <c r="X395" s="21"/>
      <c r="Y395" s="71">
        <v>76.0</v>
      </c>
      <c r="Z395" s="72">
        <v>104.0</v>
      </c>
      <c r="AA395" s="73">
        <v>71.0</v>
      </c>
      <c r="AB395" s="74">
        <v>104.0</v>
      </c>
      <c r="AC395" s="75">
        <v>71.0</v>
      </c>
      <c r="AD395" s="76">
        <v>108.0</v>
      </c>
      <c r="AE395" s="77">
        <v>534.0</v>
      </c>
      <c r="AF395" s="21"/>
      <c r="AG395" s="71">
        <v>76.0</v>
      </c>
      <c r="AH395" s="72">
        <v>104.0</v>
      </c>
      <c r="AI395" s="73">
        <v>71.0</v>
      </c>
      <c r="AJ395" s="74">
        <v>104.0</v>
      </c>
      <c r="AK395" s="75">
        <v>71.0</v>
      </c>
      <c r="AL395" s="109">
        <v>109.0</v>
      </c>
      <c r="AM395" s="110">
        <v>535.0</v>
      </c>
      <c r="AN395" s="21"/>
      <c r="AO395" s="22">
        <v>76.0</v>
      </c>
      <c r="AP395" s="23">
        <v>104.0</v>
      </c>
      <c r="AQ395" s="23">
        <v>71.0</v>
      </c>
      <c r="AR395" s="23">
        <v>104.0</v>
      </c>
      <c r="AS395" s="23">
        <v>71.0</v>
      </c>
      <c r="AT395" s="23" t="s">
        <v>497</v>
      </c>
      <c r="AU395" s="24" t="s">
        <v>41</v>
      </c>
      <c r="AV395" s="21"/>
      <c r="AW395" s="78">
        <v>76.0</v>
      </c>
      <c r="AX395" s="79">
        <v>104.0</v>
      </c>
      <c r="AY395" s="79">
        <v>71.0</v>
      </c>
      <c r="AZ395" s="79">
        <v>104.0</v>
      </c>
      <c r="BA395" s="79">
        <v>71.0</v>
      </c>
      <c r="BB395" s="111">
        <v>109.0</v>
      </c>
      <c r="BC395" s="111">
        <v>535.0</v>
      </c>
      <c r="BE395" s="194" t="s">
        <v>325</v>
      </c>
      <c r="BF395" s="285" t="s">
        <v>4</v>
      </c>
      <c r="BG395" s="431" t="s">
        <v>56</v>
      </c>
      <c r="BI395" s="31" t="s">
        <v>5</v>
      </c>
      <c r="BJ395" s="32">
        <v>1.0</v>
      </c>
      <c r="BK395" s="32" t="s">
        <v>5</v>
      </c>
      <c r="BL395" s="32">
        <v>1.0</v>
      </c>
      <c r="BM395" s="32" t="s">
        <v>5</v>
      </c>
      <c r="BN395" s="33">
        <v>1.0</v>
      </c>
      <c r="BP395" s="115" t="s">
        <v>34</v>
      </c>
      <c r="BQ395" s="116" t="s">
        <v>64</v>
      </c>
      <c r="BS395" s="115" t="s">
        <v>34</v>
      </c>
      <c r="BT395" s="117" t="s">
        <v>64</v>
      </c>
      <c r="BU395" s="37" t="str">
        <f t="shared" si="1"/>
        <v>#NAME?</v>
      </c>
      <c r="BV395" s="89" t="s">
        <v>34</v>
      </c>
      <c r="BW395" s="37" t="str">
        <f t="shared" si="2"/>
        <v>#NAME?</v>
      </c>
      <c r="BX395" s="89" t="s">
        <v>64</v>
      </c>
      <c r="BY395" s="39"/>
      <c r="BZ395" s="39"/>
      <c r="CA395" s="40" t="s">
        <v>2413</v>
      </c>
      <c r="CB395" s="41"/>
      <c r="CC395" s="90" t="s">
        <v>34</v>
      </c>
      <c r="CD395" s="91" t="s">
        <v>64</v>
      </c>
      <c r="CE395" s="2"/>
      <c r="CF395" s="92" t="s">
        <v>57</v>
      </c>
      <c r="CG395" s="93"/>
      <c r="CH395" s="2"/>
      <c r="CI395" s="152" t="s">
        <v>1128</v>
      </c>
      <c r="CJ395" s="95" t="s">
        <v>57</v>
      </c>
      <c r="CK395" s="2"/>
      <c r="CL395" s="22" t="s">
        <v>1652</v>
      </c>
      <c r="CM395" s="12"/>
      <c r="CN395" s="48"/>
      <c r="CO395" s="153" t="s">
        <v>57</v>
      </c>
      <c r="CP395" s="2"/>
      <c r="CQ395" s="2" t="s">
        <v>538</v>
      </c>
      <c r="CR395" s="97">
        <v>80.0</v>
      </c>
      <c r="CS395" s="2" t="s">
        <v>3560</v>
      </c>
      <c r="CT395" s="98">
        <v>209.0</v>
      </c>
      <c r="CU395" s="2"/>
      <c r="CV395" s="52" t="s">
        <v>13</v>
      </c>
      <c r="CW395" s="53">
        <v>0.125</v>
      </c>
      <c r="CX395" s="2"/>
      <c r="CY395" s="118" t="s">
        <v>277</v>
      </c>
      <c r="CZ395" s="119" t="s">
        <v>728</v>
      </c>
      <c r="DA395" s="2"/>
      <c r="DB395" s="98">
        <v>45.0</v>
      </c>
      <c r="DC395" s="2"/>
      <c r="DD395" s="101" t="s">
        <v>15</v>
      </c>
      <c r="DE395" s="2"/>
      <c r="DF395" s="120" t="s">
        <v>3631</v>
      </c>
      <c r="DG395" s="119"/>
      <c r="DH395" s="119"/>
      <c r="DI395" s="2"/>
      <c r="DJ395" s="2"/>
      <c r="DK395" s="59" t="s">
        <v>3632</v>
      </c>
      <c r="DL395" s="37" t="s">
        <v>122</v>
      </c>
      <c r="DM395" s="37" t="str">
        <f t="shared" si="3"/>
        <v>#NAME?</v>
      </c>
      <c r="DN395" s="61"/>
      <c r="DO395" s="37" t="s">
        <v>19</v>
      </c>
      <c r="DP395" s="37" t="s">
        <v>19</v>
      </c>
      <c r="DQ395" s="62" t="s">
        <v>702</v>
      </c>
      <c r="DR395" s="63"/>
      <c r="DS395" s="198"/>
      <c r="DT395" s="108"/>
      <c r="DU395" s="108"/>
      <c r="DV395" s="182"/>
      <c r="DW395" s="182"/>
      <c r="DX395" s="182"/>
      <c r="DY395" s="182"/>
      <c r="DZ395" s="182"/>
      <c r="EA395" s="182"/>
      <c r="EB395" s="2"/>
      <c r="EC395" s="2"/>
      <c r="ED395" s="2"/>
      <c r="EE395" s="2"/>
      <c r="EF395" s="2" t="s">
        <v>3633</v>
      </c>
      <c r="EG395" s="108" t="str">
        <f>image("https://www.pokebip.com/pages/icones/balls/gs.png",3)</f>
        <v/>
      </c>
      <c r="EH395" s="428"/>
      <c r="EI395" s="428"/>
    </row>
    <row r="396" ht="15.75" customHeight="1">
      <c r="A396" s="1">
        <v>393.0</v>
      </c>
      <c r="B396" s="2" t="s">
        <v>3634</v>
      </c>
      <c r="C396" s="7"/>
      <c r="D396" s="140" t="s">
        <v>3635</v>
      </c>
      <c r="E396" s="5"/>
      <c r="F396" s="141"/>
      <c r="G396" s="7"/>
      <c r="H396" s="8" t="s">
        <v>3636</v>
      </c>
      <c r="I396" s="9" t="s">
        <v>3637</v>
      </c>
      <c r="J396" s="355" t="str">
        <f>image("https://archives.bulbagarden.net/media/upload/3/30/393MS6.png", 3)</f>
        <v/>
      </c>
      <c r="K396" s="11" t="s">
        <v>3635</v>
      </c>
      <c r="L396" s="12"/>
      <c r="M396" s="12"/>
      <c r="N396" s="12"/>
      <c r="O396" s="12"/>
      <c r="Q396" s="71">
        <v>53.0</v>
      </c>
      <c r="R396" s="72">
        <v>51.0</v>
      </c>
      <c r="S396" s="73">
        <v>53.0</v>
      </c>
      <c r="T396" s="74">
        <v>61.0</v>
      </c>
      <c r="U396" s="75">
        <v>56.0</v>
      </c>
      <c r="V396" s="76">
        <v>40.0</v>
      </c>
      <c r="W396" s="77">
        <v>314.0</v>
      </c>
      <c r="X396" s="21"/>
      <c r="Y396" s="71">
        <v>53.0</v>
      </c>
      <c r="Z396" s="72">
        <v>51.0</v>
      </c>
      <c r="AA396" s="73">
        <v>53.0</v>
      </c>
      <c r="AB396" s="74">
        <v>61.0</v>
      </c>
      <c r="AC396" s="75">
        <v>56.0</v>
      </c>
      <c r="AD396" s="76">
        <v>40.0</v>
      </c>
      <c r="AE396" s="77">
        <v>314.0</v>
      </c>
      <c r="AF396" s="21"/>
      <c r="AG396" s="71">
        <v>53.0</v>
      </c>
      <c r="AH396" s="72">
        <v>51.0</v>
      </c>
      <c r="AI396" s="73">
        <v>53.0</v>
      </c>
      <c r="AJ396" s="74">
        <v>61.0</v>
      </c>
      <c r="AK396" s="75">
        <v>56.0</v>
      </c>
      <c r="AL396" s="76">
        <v>40.0</v>
      </c>
      <c r="AM396" s="77">
        <v>314.0</v>
      </c>
      <c r="AN396" s="21"/>
      <c r="AO396" s="22">
        <v>53.0</v>
      </c>
      <c r="AP396" s="23">
        <v>51.0</v>
      </c>
      <c r="AQ396" s="23">
        <v>53.0</v>
      </c>
      <c r="AR396" s="23">
        <v>61.0</v>
      </c>
      <c r="AS396" s="23">
        <v>56.0</v>
      </c>
      <c r="AT396" s="23">
        <v>40.0</v>
      </c>
      <c r="AU396" s="24">
        <v>314.0</v>
      </c>
      <c r="AV396" s="21"/>
      <c r="AW396" s="78">
        <v>53.0</v>
      </c>
      <c r="AX396" s="79">
        <v>51.0</v>
      </c>
      <c r="AY396" s="79">
        <v>53.0</v>
      </c>
      <c r="AZ396" s="79">
        <v>61.0</v>
      </c>
      <c r="BA396" s="79">
        <v>56.0</v>
      </c>
      <c r="BB396" s="124">
        <v>40.0</v>
      </c>
      <c r="BC396" s="125">
        <v>314.0</v>
      </c>
      <c r="BE396" s="82" t="s">
        <v>4</v>
      </c>
      <c r="BF396" s="447"/>
      <c r="BG396" s="128"/>
      <c r="BI396" s="31" t="s">
        <v>5</v>
      </c>
      <c r="BJ396" s="32" t="s">
        <v>5</v>
      </c>
      <c r="BK396" s="32" t="s">
        <v>5</v>
      </c>
      <c r="BL396" s="32">
        <v>1.0</v>
      </c>
      <c r="BM396" s="32" t="s">
        <v>5</v>
      </c>
      <c r="BN396" s="33" t="s">
        <v>5</v>
      </c>
      <c r="BP396" s="85" t="s">
        <v>32</v>
      </c>
      <c r="BQ396" s="129"/>
      <c r="BS396" s="87" t="s">
        <v>32</v>
      </c>
      <c r="BT396" s="130"/>
      <c r="BU396" s="37" t="str">
        <f t="shared" si="1"/>
        <v>#NAME?</v>
      </c>
      <c r="BV396" s="89" t="s">
        <v>32</v>
      </c>
      <c r="BW396" s="37" t="str">
        <f t="shared" si="2"/>
        <v>#NAME?</v>
      </c>
      <c r="BX396" s="89"/>
      <c r="BY396" s="39"/>
      <c r="BZ396" s="39"/>
      <c r="CA396" s="40" t="s">
        <v>32</v>
      </c>
      <c r="CB396" s="41"/>
      <c r="CC396" s="90" t="s">
        <v>32</v>
      </c>
      <c r="CD396" s="91"/>
      <c r="CE396" s="21"/>
      <c r="CF396" s="92" t="s">
        <v>102</v>
      </c>
      <c r="CG396" s="93"/>
      <c r="CH396" s="21"/>
      <c r="CI396" s="175" t="s">
        <v>102</v>
      </c>
      <c r="CJ396" s="93"/>
      <c r="CK396" s="21"/>
      <c r="CL396" s="22" t="s">
        <v>102</v>
      </c>
      <c r="CM396" s="12"/>
      <c r="CN396" s="48"/>
      <c r="CO396" s="192" t="s">
        <v>1306</v>
      </c>
      <c r="CP396" s="21"/>
      <c r="CQ396" s="2" t="s">
        <v>3638</v>
      </c>
      <c r="CR396" s="97">
        <v>20.0</v>
      </c>
      <c r="CS396" s="2" t="s">
        <v>4</v>
      </c>
      <c r="CT396" s="98">
        <v>66.0</v>
      </c>
      <c r="CU396" s="2"/>
      <c r="CV396" s="52" t="s">
        <v>13</v>
      </c>
      <c r="CW396" s="53">
        <v>0.125</v>
      </c>
      <c r="CX396" s="2"/>
      <c r="CY396" s="443" t="s">
        <v>106</v>
      </c>
      <c r="CZ396" s="444" t="s">
        <v>277</v>
      </c>
      <c r="DA396" s="2"/>
      <c r="DB396" s="98">
        <v>45.0</v>
      </c>
      <c r="DC396" s="2"/>
      <c r="DD396" s="101" t="s">
        <v>15</v>
      </c>
      <c r="DE396" s="2"/>
      <c r="DF396" s="448" t="s">
        <v>3639</v>
      </c>
      <c r="DG396" s="444"/>
      <c r="DH396" s="444"/>
      <c r="DI396" s="21"/>
      <c r="DJ396" s="21"/>
      <c r="DK396" s="59" t="s">
        <v>3640</v>
      </c>
      <c r="DL396" s="37" t="s">
        <v>18</v>
      </c>
      <c r="DM396" s="37" t="str">
        <f t="shared" si="3"/>
        <v>#NAME?</v>
      </c>
      <c r="DN396" s="61"/>
      <c r="DO396" s="37" t="s">
        <v>19</v>
      </c>
      <c r="DP396" s="37" t="s">
        <v>19</v>
      </c>
      <c r="DQ396" s="62" t="s">
        <v>20</v>
      </c>
      <c r="DR396" s="63"/>
      <c r="DS396" s="198"/>
      <c r="DT396" s="108"/>
      <c r="DU396" s="108"/>
      <c r="DV396" s="182"/>
      <c r="DW396" s="182"/>
      <c r="DX396" s="182"/>
      <c r="DY396" s="182"/>
      <c r="DZ396" s="182"/>
      <c r="EA396" s="182"/>
      <c r="EB396" s="21"/>
      <c r="EC396" s="21"/>
      <c r="ED396" s="21"/>
      <c r="EE396" s="21"/>
      <c r="EF396" s="21"/>
      <c r="EG396" s="108"/>
      <c r="EH396" s="442"/>
      <c r="EI396" s="442"/>
    </row>
    <row r="397" ht="15.75" customHeight="1">
      <c r="A397" s="1">
        <v>394.0</v>
      </c>
      <c r="B397" s="2" t="s">
        <v>3641</v>
      </c>
      <c r="C397" s="7"/>
      <c r="D397" s="140" t="s">
        <v>3642</v>
      </c>
      <c r="E397" s="5"/>
      <c r="F397" s="141"/>
      <c r="G397" s="7"/>
      <c r="H397" s="8" t="s">
        <v>3643</v>
      </c>
      <c r="I397" s="9" t="s">
        <v>3644</v>
      </c>
      <c r="J397" s="355" t="str">
        <f>image("https://archives.bulbagarden.net/media/upload/7/71/394MS6.png", 3)</f>
        <v/>
      </c>
      <c r="K397" s="11" t="s">
        <v>3642</v>
      </c>
      <c r="L397" s="12"/>
      <c r="M397" s="12"/>
      <c r="N397" s="12"/>
      <c r="O397" s="12"/>
      <c r="Q397" s="71">
        <v>64.0</v>
      </c>
      <c r="R397" s="72">
        <v>66.0</v>
      </c>
      <c r="S397" s="73">
        <v>68.0</v>
      </c>
      <c r="T397" s="74">
        <v>81.0</v>
      </c>
      <c r="U397" s="75">
        <v>76.0</v>
      </c>
      <c r="V397" s="76">
        <v>50.0</v>
      </c>
      <c r="W397" s="77">
        <v>405.0</v>
      </c>
      <c r="X397" s="21"/>
      <c r="Y397" s="71">
        <v>64.0</v>
      </c>
      <c r="Z397" s="72">
        <v>66.0</v>
      </c>
      <c r="AA397" s="73">
        <v>68.0</v>
      </c>
      <c r="AB397" s="74">
        <v>81.0</v>
      </c>
      <c r="AC397" s="75">
        <v>76.0</v>
      </c>
      <c r="AD397" s="76">
        <v>50.0</v>
      </c>
      <c r="AE397" s="77">
        <v>405.0</v>
      </c>
      <c r="AF397" s="21"/>
      <c r="AG397" s="71">
        <v>64.0</v>
      </c>
      <c r="AH397" s="72">
        <v>66.0</v>
      </c>
      <c r="AI397" s="73">
        <v>68.0</v>
      </c>
      <c r="AJ397" s="74">
        <v>81.0</v>
      </c>
      <c r="AK397" s="75">
        <v>76.0</v>
      </c>
      <c r="AL397" s="76">
        <v>50.0</v>
      </c>
      <c r="AM397" s="77">
        <v>405.0</v>
      </c>
      <c r="AN397" s="21"/>
      <c r="AO397" s="22">
        <v>64.0</v>
      </c>
      <c r="AP397" s="23">
        <v>66.0</v>
      </c>
      <c r="AQ397" s="23">
        <v>68.0</v>
      </c>
      <c r="AR397" s="23">
        <v>81.0</v>
      </c>
      <c r="AS397" s="23">
        <v>76.0</v>
      </c>
      <c r="AT397" s="23">
        <v>50.0</v>
      </c>
      <c r="AU397" s="24">
        <v>405.0</v>
      </c>
      <c r="AV397" s="21"/>
      <c r="AW397" s="78">
        <v>64.0</v>
      </c>
      <c r="AX397" s="79">
        <v>66.0</v>
      </c>
      <c r="AY397" s="79">
        <v>68.0</v>
      </c>
      <c r="AZ397" s="80">
        <v>81.0</v>
      </c>
      <c r="BA397" s="79">
        <v>76.0</v>
      </c>
      <c r="BB397" s="79">
        <v>50.0</v>
      </c>
      <c r="BC397" s="81">
        <v>405.0</v>
      </c>
      <c r="BE397" s="112" t="s">
        <v>42</v>
      </c>
      <c r="BF397" s="113"/>
      <c r="BG397" s="210"/>
      <c r="BI397" s="31" t="s">
        <v>5</v>
      </c>
      <c r="BJ397" s="32" t="s">
        <v>5</v>
      </c>
      <c r="BK397" s="32" t="s">
        <v>5</v>
      </c>
      <c r="BL397" s="32">
        <v>2.0</v>
      </c>
      <c r="BM397" s="32" t="s">
        <v>5</v>
      </c>
      <c r="BN397" s="33" t="s">
        <v>5</v>
      </c>
      <c r="BP397" s="115" t="s">
        <v>32</v>
      </c>
      <c r="BQ397" s="93"/>
      <c r="BS397" s="115" t="s">
        <v>32</v>
      </c>
      <c r="BT397" s="133"/>
      <c r="BU397" s="37" t="str">
        <f t="shared" si="1"/>
        <v>#NAME?</v>
      </c>
      <c r="BV397" s="89" t="s">
        <v>32</v>
      </c>
      <c r="BW397" s="37" t="str">
        <f t="shared" si="2"/>
        <v>#NAME?</v>
      </c>
      <c r="BX397" s="89"/>
      <c r="BY397" s="39"/>
      <c r="BZ397" s="39"/>
      <c r="CA397" s="40" t="s">
        <v>32</v>
      </c>
      <c r="CB397" s="41"/>
      <c r="CC397" s="90" t="s">
        <v>32</v>
      </c>
      <c r="CD397" s="91"/>
      <c r="CE397" s="21"/>
      <c r="CF397" s="92" t="s">
        <v>102</v>
      </c>
      <c r="CG397" s="93"/>
      <c r="CH397" s="21"/>
      <c r="CI397" s="92" t="s">
        <v>102</v>
      </c>
      <c r="CJ397" s="93"/>
      <c r="CK397" s="21"/>
      <c r="CL397" s="22" t="s">
        <v>102</v>
      </c>
      <c r="CM397" s="12"/>
      <c r="CN397" s="48"/>
      <c r="CO397" s="235" t="s">
        <v>1306</v>
      </c>
      <c r="CP397" s="21"/>
      <c r="CQ397" s="2" t="s">
        <v>3645</v>
      </c>
      <c r="CR397" s="97">
        <v>40.0</v>
      </c>
      <c r="CS397" s="2" t="s">
        <v>42</v>
      </c>
      <c r="CT397" s="98">
        <v>143.0</v>
      </c>
      <c r="CU397" s="2"/>
      <c r="CV397" s="52" t="s">
        <v>13</v>
      </c>
      <c r="CW397" s="53">
        <v>0.125</v>
      </c>
      <c r="CX397" s="2"/>
      <c r="CY397" s="118" t="s">
        <v>106</v>
      </c>
      <c r="CZ397" s="119" t="s">
        <v>277</v>
      </c>
      <c r="DA397" s="2"/>
      <c r="DB397" s="98">
        <v>45.0</v>
      </c>
      <c r="DC397" s="2"/>
      <c r="DD397" s="101" t="s">
        <v>15</v>
      </c>
      <c r="DE397" s="2"/>
      <c r="DF397" s="120" t="s">
        <v>3646</v>
      </c>
      <c r="DG397" s="119"/>
      <c r="DH397" s="119"/>
      <c r="DI397" s="2"/>
      <c r="DJ397" s="2"/>
      <c r="DK397" s="59" t="s">
        <v>3647</v>
      </c>
      <c r="DL397" s="37" t="s">
        <v>120</v>
      </c>
      <c r="DM397" s="37" t="str">
        <f t="shared" si="3"/>
        <v>#NAME?</v>
      </c>
      <c r="DN397" s="61"/>
      <c r="DO397" s="37" t="s">
        <v>19</v>
      </c>
      <c r="DP397" s="37" t="s">
        <v>19</v>
      </c>
      <c r="DQ397" s="62" t="s">
        <v>342</v>
      </c>
      <c r="DR397" s="155"/>
      <c r="DS397" s="251"/>
      <c r="DT397" s="108"/>
      <c r="DU397" s="108"/>
      <c r="DV397" s="252"/>
      <c r="DW397" s="252"/>
      <c r="DX397" s="252"/>
      <c r="DY397" s="252"/>
      <c r="DZ397" s="252"/>
      <c r="EA397" s="252"/>
      <c r="EB397" s="2"/>
      <c r="EC397" s="2"/>
      <c r="ED397" s="2"/>
      <c r="EE397" s="2"/>
      <c r="EF397" s="2"/>
      <c r="EG397" s="449"/>
      <c r="EH397" s="428"/>
      <c r="EI397" s="428"/>
    </row>
    <row r="398" ht="15.75" customHeight="1">
      <c r="A398" s="1">
        <v>395.0</v>
      </c>
      <c r="B398" s="2" t="s">
        <v>3648</v>
      </c>
      <c r="C398" s="7"/>
      <c r="D398" s="140" t="s">
        <v>3649</v>
      </c>
      <c r="E398" s="5"/>
      <c r="F398" s="141"/>
      <c r="G398" s="7"/>
      <c r="H398" s="8" t="s">
        <v>3650</v>
      </c>
      <c r="I398" s="9" t="s">
        <v>3651</v>
      </c>
      <c r="J398" s="355" t="str">
        <f>image("https://archives.bulbagarden.net/media/upload/1/13/395MS6.png", 3)</f>
        <v/>
      </c>
      <c r="K398" s="11" t="s">
        <v>3649</v>
      </c>
      <c r="L398" s="12"/>
      <c r="M398" s="12"/>
      <c r="N398" s="12"/>
      <c r="O398" s="12"/>
      <c r="Q398" s="71">
        <v>84.0</v>
      </c>
      <c r="R398" s="72">
        <v>86.0</v>
      </c>
      <c r="S398" s="73">
        <v>88.0</v>
      </c>
      <c r="T398" s="74">
        <v>111.0</v>
      </c>
      <c r="U398" s="75">
        <v>101.0</v>
      </c>
      <c r="V398" s="76">
        <v>60.0</v>
      </c>
      <c r="W398" s="77">
        <v>530.0</v>
      </c>
      <c r="X398" s="21"/>
      <c r="Y398" s="71">
        <v>84.0</v>
      </c>
      <c r="Z398" s="72">
        <v>86.0</v>
      </c>
      <c r="AA398" s="73">
        <v>88.0</v>
      </c>
      <c r="AB398" s="74">
        <v>111.0</v>
      </c>
      <c r="AC398" s="75">
        <v>101.0</v>
      </c>
      <c r="AD398" s="76">
        <v>60.0</v>
      </c>
      <c r="AE398" s="77">
        <v>530.0</v>
      </c>
      <c r="AF398" s="21"/>
      <c r="AG398" s="71">
        <v>84.0</v>
      </c>
      <c r="AH398" s="72">
        <v>86.0</v>
      </c>
      <c r="AI398" s="73">
        <v>88.0</v>
      </c>
      <c r="AJ398" s="109">
        <v>116.0</v>
      </c>
      <c r="AK398" s="75">
        <v>101.0</v>
      </c>
      <c r="AL398" s="76">
        <v>60.0</v>
      </c>
      <c r="AM398" s="110">
        <v>535.0</v>
      </c>
      <c r="AN398" s="21"/>
      <c r="AO398" s="22">
        <v>84.0</v>
      </c>
      <c r="AP398" s="23">
        <v>86.0</v>
      </c>
      <c r="AQ398" s="23">
        <v>88.0</v>
      </c>
      <c r="AR398" s="23" t="s">
        <v>1641</v>
      </c>
      <c r="AS398" s="23">
        <v>101.0</v>
      </c>
      <c r="AT398" s="23">
        <v>60.0</v>
      </c>
      <c r="AU398" s="24" t="s">
        <v>41</v>
      </c>
      <c r="AV398" s="21"/>
      <c r="AW398" s="78">
        <v>84.0</v>
      </c>
      <c r="AX398" s="79">
        <v>86.0</v>
      </c>
      <c r="AY398" s="79">
        <v>88.0</v>
      </c>
      <c r="AZ398" s="111">
        <v>116.0</v>
      </c>
      <c r="BA398" s="79">
        <v>101.0</v>
      </c>
      <c r="BB398" s="79">
        <v>60.0</v>
      </c>
      <c r="BC398" s="111">
        <v>535.0</v>
      </c>
      <c r="BE398" s="112" t="s">
        <v>85</v>
      </c>
      <c r="BF398" s="138"/>
      <c r="BG398" s="128"/>
      <c r="BI398" s="31" t="s">
        <v>5</v>
      </c>
      <c r="BJ398" s="32" t="s">
        <v>5</v>
      </c>
      <c r="BK398" s="32" t="s">
        <v>5</v>
      </c>
      <c r="BL398" s="32">
        <v>3.0</v>
      </c>
      <c r="BM398" s="32" t="s">
        <v>5</v>
      </c>
      <c r="BN398" s="33" t="s">
        <v>5</v>
      </c>
      <c r="BP398" s="85" t="s">
        <v>32</v>
      </c>
      <c r="BQ398" s="86" t="s">
        <v>95</v>
      </c>
      <c r="BS398" s="87" t="s">
        <v>32</v>
      </c>
      <c r="BT398" s="88" t="s">
        <v>95</v>
      </c>
      <c r="BU398" s="37" t="str">
        <f t="shared" si="1"/>
        <v>#NAME?</v>
      </c>
      <c r="BV398" s="89" t="s">
        <v>32</v>
      </c>
      <c r="BW398" s="37" t="str">
        <f t="shared" si="2"/>
        <v>#NAME?</v>
      </c>
      <c r="BX398" s="89" t="s">
        <v>95</v>
      </c>
      <c r="BY398" s="39"/>
      <c r="BZ398" s="39"/>
      <c r="CA398" s="40" t="s">
        <v>3652</v>
      </c>
      <c r="CB398" s="41"/>
      <c r="CC398" s="90" t="s">
        <v>32</v>
      </c>
      <c r="CD398" s="91" t="s">
        <v>95</v>
      </c>
      <c r="CE398" s="2"/>
      <c r="CF398" s="92" t="s">
        <v>102</v>
      </c>
      <c r="CG398" s="93"/>
      <c r="CH398" s="2"/>
      <c r="CI398" s="177" t="s">
        <v>102</v>
      </c>
      <c r="CJ398" s="93"/>
      <c r="CK398" s="2"/>
      <c r="CL398" s="22" t="s">
        <v>102</v>
      </c>
      <c r="CM398" s="12"/>
      <c r="CN398" s="48"/>
      <c r="CO398" s="193" t="s">
        <v>1306</v>
      </c>
      <c r="CP398" s="2"/>
      <c r="CQ398" s="2" t="s">
        <v>3653</v>
      </c>
      <c r="CR398" s="97">
        <v>80.0</v>
      </c>
      <c r="CS398" s="2" t="s">
        <v>85</v>
      </c>
      <c r="CT398" s="98">
        <v>210.0</v>
      </c>
      <c r="CU398" s="2"/>
      <c r="CV398" s="52" t="s">
        <v>13</v>
      </c>
      <c r="CW398" s="53">
        <v>0.125</v>
      </c>
      <c r="CX398" s="2"/>
      <c r="CY398" s="443" t="s">
        <v>106</v>
      </c>
      <c r="CZ398" s="444" t="s">
        <v>277</v>
      </c>
      <c r="DA398" s="2"/>
      <c r="DB398" s="98">
        <v>45.0</v>
      </c>
      <c r="DC398" s="2"/>
      <c r="DD398" s="101" t="s">
        <v>15</v>
      </c>
      <c r="DE398" s="2"/>
      <c r="DF398" s="445" t="s">
        <v>3654</v>
      </c>
      <c r="DG398" s="444"/>
      <c r="DH398" s="444"/>
      <c r="DI398" s="2"/>
      <c r="DJ398" s="2"/>
      <c r="DK398" s="59" t="s">
        <v>3655</v>
      </c>
      <c r="DL398" s="230" t="s">
        <v>3017</v>
      </c>
      <c r="DM398" s="231" t="str">
        <f t="shared" si="3"/>
        <v>#NAME?</v>
      </c>
      <c r="DN398" s="61"/>
      <c r="DO398" s="37" t="s">
        <v>19</v>
      </c>
      <c r="DP398" s="37" t="s">
        <v>19</v>
      </c>
      <c r="DQ398" s="62" t="s">
        <v>293</v>
      </c>
      <c r="DR398" s="63"/>
      <c r="DS398" s="198"/>
      <c r="DT398" s="108"/>
      <c r="DU398" s="108"/>
      <c r="DV398" s="182"/>
      <c r="DW398" s="182"/>
      <c r="DX398" s="182"/>
      <c r="DY398" s="182"/>
      <c r="DZ398" s="182"/>
      <c r="EA398" s="182"/>
      <c r="EB398" s="2"/>
      <c r="EC398" s="2"/>
      <c r="ED398" s="2"/>
      <c r="EE398" s="2"/>
      <c r="EF398" s="2"/>
      <c r="EG398" s="449"/>
      <c r="EH398" s="428"/>
      <c r="EI398" s="428"/>
    </row>
    <row r="399" ht="15.75" customHeight="1">
      <c r="A399" s="1">
        <v>396.0</v>
      </c>
      <c r="B399" s="2" t="s">
        <v>3656</v>
      </c>
      <c r="C399" s="7"/>
      <c r="D399" s="167" t="s">
        <v>3657</v>
      </c>
      <c r="E399" s="5"/>
      <c r="F399" s="168"/>
      <c r="G399" s="7"/>
      <c r="H399" s="8" t="s">
        <v>3658</v>
      </c>
      <c r="I399" s="9" t="s">
        <v>3659</v>
      </c>
      <c r="J399" s="355" t="str">
        <f>image("https://archives.bulbagarden.net/media/upload/7/72/396MS6.png", 3)</f>
        <v/>
      </c>
      <c r="K399" s="11" t="s">
        <v>3657</v>
      </c>
      <c r="L399" s="12"/>
      <c r="M399" s="12"/>
      <c r="N399" s="12"/>
      <c r="O399" s="12"/>
      <c r="Q399" s="71">
        <v>40.0</v>
      </c>
      <c r="R399" s="72">
        <v>55.0</v>
      </c>
      <c r="S399" s="73">
        <v>30.0</v>
      </c>
      <c r="T399" s="74">
        <v>30.0</v>
      </c>
      <c r="U399" s="75">
        <v>30.0</v>
      </c>
      <c r="V399" s="76">
        <v>60.0</v>
      </c>
      <c r="W399" s="77">
        <v>245.0</v>
      </c>
      <c r="X399" s="21"/>
      <c r="Y399" s="71">
        <v>40.0</v>
      </c>
      <c r="Z399" s="72">
        <v>55.0</v>
      </c>
      <c r="AA399" s="73">
        <v>30.0</v>
      </c>
      <c r="AB399" s="74">
        <v>30.0</v>
      </c>
      <c r="AC399" s="75">
        <v>30.0</v>
      </c>
      <c r="AD399" s="76">
        <v>60.0</v>
      </c>
      <c r="AE399" s="77">
        <v>245.0</v>
      </c>
      <c r="AF399" s="21"/>
      <c r="AG399" s="71">
        <v>40.0</v>
      </c>
      <c r="AH399" s="72">
        <v>55.0</v>
      </c>
      <c r="AI399" s="73">
        <v>30.0</v>
      </c>
      <c r="AJ399" s="74">
        <v>30.0</v>
      </c>
      <c r="AK399" s="75">
        <v>30.0</v>
      </c>
      <c r="AL399" s="76">
        <v>60.0</v>
      </c>
      <c r="AM399" s="77">
        <v>245.0</v>
      </c>
      <c r="AN399" s="21"/>
      <c r="AO399" s="22">
        <v>40.0</v>
      </c>
      <c r="AP399" s="23">
        <v>55.0</v>
      </c>
      <c r="AQ399" s="23">
        <v>30.0</v>
      </c>
      <c r="AR399" s="23">
        <v>30.0</v>
      </c>
      <c r="AS399" s="23">
        <v>30.0</v>
      </c>
      <c r="AT399" s="23">
        <v>60.0</v>
      </c>
      <c r="AU399" s="24">
        <v>245.0</v>
      </c>
      <c r="AV399" s="21"/>
      <c r="AW399" s="78">
        <v>40.0</v>
      </c>
      <c r="AX399" s="79">
        <v>55.0</v>
      </c>
      <c r="AY399" s="79">
        <v>30.0</v>
      </c>
      <c r="AZ399" s="124">
        <v>30.0</v>
      </c>
      <c r="BA399" s="79">
        <v>30.0</v>
      </c>
      <c r="BB399" s="79">
        <v>60.0</v>
      </c>
      <c r="BC399" s="125">
        <v>245.0</v>
      </c>
      <c r="BE399" s="126" t="s">
        <v>56</v>
      </c>
      <c r="BF399" s="143"/>
      <c r="BG399" s="128"/>
      <c r="BI399" s="31" t="s">
        <v>5</v>
      </c>
      <c r="BJ399" s="32" t="s">
        <v>5</v>
      </c>
      <c r="BK399" s="32" t="s">
        <v>5</v>
      </c>
      <c r="BL399" s="32" t="s">
        <v>5</v>
      </c>
      <c r="BM399" s="32" t="s">
        <v>5</v>
      </c>
      <c r="BN399" s="33">
        <v>1.0</v>
      </c>
      <c r="BP399" s="115" t="s">
        <v>156</v>
      </c>
      <c r="BQ399" s="116" t="s">
        <v>18</v>
      </c>
      <c r="BS399" s="115" t="s">
        <v>156</v>
      </c>
      <c r="BT399" s="117" t="s">
        <v>18</v>
      </c>
      <c r="BU399" s="37" t="str">
        <f t="shared" si="1"/>
        <v>#NAME?</v>
      </c>
      <c r="BV399" s="89" t="s">
        <v>156</v>
      </c>
      <c r="BW399" s="37" t="str">
        <f t="shared" si="2"/>
        <v>#NAME?</v>
      </c>
      <c r="BX399" s="89" t="s">
        <v>18</v>
      </c>
      <c r="BY399" s="39"/>
      <c r="BZ399" s="39"/>
      <c r="CA399" s="40" t="s">
        <v>234</v>
      </c>
      <c r="CB399" s="41"/>
      <c r="CC399" s="90" t="s">
        <v>156</v>
      </c>
      <c r="CD399" s="91" t="s">
        <v>18</v>
      </c>
      <c r="CE399" s="2"/>
      <c r="CF399" s="92" t="s">
        <v>235</v>
      </c>
      <c r="CG399" s="93"/>
      <c r="CH399" s="2"/>
      <c r="CI399" s="46" t="s">
        <v>3660</v>
      </c>
      <c r="CJ399" s="95" t="s">
        <v>235</v>
      </c>
      <c r="CK399" s="2"/>
      <c r="CL399" s="22" t="s">
        <v>1166</v>
      </c>
      <c r="CM399" s="12"/>
      <c r="CN399" s="48"/>
      <c r="CO399" s="196" t="s">
        <v>235</v>
      </c>
      <c r="CP399" s="2"/>
      <c r="CQ399" s="2" t="s">
        <v>303</v>
      </c>
      <c r="CR399" s="97">
        <v>20.0</v>
      </c>
      <c r="CS399" s="2" t="s">
        <v>56</v>
      </c>
      <c r="CT399" s="98">
        <v>56.0</v>
      </c>
      <c r="CU399" s="2"/>
      <c r="CV399" s="52" t="s">
        <v>149</v>
      </c>
      <c r="CW399" s="52" t="s">
        <v>149</v>
      </c>
      <c r="CX399" s="2"/>
      <c r="CY399" s="119" t="s">
        <v>18</v>
      </c>
      <c r="CZ399" s="160"/>
      <c r="DA399" s="2"/>
      <c r="DB399" s="98">
        <v>255.0</v>
      </c>
      <c r="DC399" s="2"/>
      <c r="DD399" s="101" t="s">
        <v>15</v>
      </c>
      <c r="DE399" s="2"/>
      <c r="DF399" s="148" t="s">
        <v>3661</v>
      </c>
      <c r="DG399" s="119"/>
      <c r="DH399" s="160"/>
      <c r="DI399" s="21"/>
      <c r="DJ399" s="21"/>
      <c r="DK399" s="59" t="s">
        <v>3662</v>
      </c>
      <c r="DL399" s="37" t="s">
        <v>156</v>
      </c>
      <c r="DM399" s="37" t="str">
        <f t="shared" si="3"/>
        <v>#NAME?</v>
      </c>
      <c r="DN399" s="61"/>
      <c r="DO399" s="37" t="s">
        <v>19</v>
      </c>
      <c r="DP399" s="37" t="s">
        <v>19</v>
      </c>
      <c r="DQ399" s="62" t="s">
        <v>293</v>
      </c>
      <c r="DR399" s="63"/>
      <c r="DS399" s="198"/>
      <c r="DT399" s="108"/>
      <c r="DU399" s="108"/>
      <c r="DV399" s="182"/>
      <c r="DW399" s="182"/>
      <c r="DX399" s="182"/>
      <c r="DY399" s="182"/>
      <c r="DZ399" s="182"/>
      <c r="EA399" s="182"/>
      <c r="EB399" s="21"/>
      <c r="EC399" s="21"/>
      <c r="ED399" s="21"/>
      <c r="EE399" s="21"/>
      <c r="EF399" s="21"/>
      <c r="EG399" s="108"/>
      <c r="EH399" s="442"/>
      <c r="EI399" s="442"/>
    </row>
    <row r="400" ht="15.75" customHeight="1">
      <c r="A400" s="1">
        <v>397.0</v>
      </c>
      <c r="B400" s="2" t="s">
        <v>3663</v>
      </c>
      <c r="C400" s="7"/>
      <c r="D400" s="167" t="s">
        <v>3664</v>
      </c>
      <c r="E400" s="5"/>
      <c r="F400" s="168"/>
      <c r="G400" s="7"/>
      <c r="H400" s="8" t="s">
        <v>3665</v>
      </c>
      <c r="I400" s="9" t="s">
        <v>3666</v>
      </c>
      <c r="J400" s="355" t="str">
        <f>image("https://archives.bulbagarden.net/media/upload/4/4e/397MS6.png", 3)</f>
        <v/>
      </c>
      <c r="K400" s="11" t="s">
        <v>3664</v>
      </c>
      <c r="L400" s="12"/>
      <c r="M400" s="12"/>
      <c r="N400" s="12"/>
      <c r="O400" s="12"/>
      <c r="Q400" s="71">
        <v>55.0</v>
      </c>
      <c r="R400" s="72">
        <v>75.0</v>
      </c>
      <c r="S400" s="73">
        <v>50.0</v>
      </c>
      <c r="T400" s="74">
        <v>40.0</v>
      </c>
      <c r="U400" s="75">
        <v>40.0</v>
      </c>
      <c r="V400" s="76">
        <v>80.0</v>
      </c>
      <c r="W400" s="77">
        <v>340.0</v>
      </c>
      <c r="X400" s="21"/>
      <c r="Y400" s="71">
        <v>55.0</v>
      </c>
      <c r="Z400" s="72">
        <v>75.0</v>
      </c>
      <c r="AA400" s="73">
        <v>50.0</v>
      </c>
      <c r="AB400" s="74">
        <v>40.0</v>
      </c>
      <c r="AC400" s="75">
        <v>40.0</v>
      </c>
      <c r="AD400" s="76">
        <v>80.0</v>
      </c>
      <c r="AE400" s="77">
        <v>340.0</v>
      </c>
      <c r="AF400" s="21"/>
      <c r="AG400" s="71">
        <v>55.0</v>
      </c>
      <c r="AH400" s="72">
        <v>75.0</v>
      </c>
      <c r="AI400" s="73">
        <v>50.0</v>
      </c>
      <c r="AJ400" s="74">
        <v>40.0</v>
      </c>
      <c r="AK400" s="75">
        <v>40.0</v>
      </c>
      <c r="AL400" s="76">
        <v>80.0</v>
      </c>
      <c r="AM400" s="77">
        <v>340.0</v>
      </c>
      <c r="AN400" s="21"/>
      <c r="AO400" s="22">
        <v>55.0</v>
      </c>
      <c r="AP400" s="23">
        <v>75.0</v>
      </c>
      <c r="AQ400" s="23">
        <v>50.0</v>
      </c>
      <c r="AR400" s="23">
        <v>40.0</v>
      </c>
      <c r="AS400" s="23">
        <v>40.0</v>
      </c>
      <c r="AT400" s="23">
        <v>80.0</v>
      </c>
      <c r="AU400" s="24">
        <v>340.0</v>
      </c>
      <c r="AV400" s="21"/>
      <c r="AW400" s="78">
        <v>55.0</v>
      </c>
      <c r="AX400" s="79">
        <v>75.0</v>
      </c>
      <c r="AY400" s="79">
        <v>50.0</v>
      </c>
      <c r="AZ400" s="79">
        <v>40.0</v>
      </c>
      <c r="BA400" s="80">
        <v>40.0</v>
      </c>
      <c r="BB400" s="79">
        <v>80.0</v>
      </c>
      <c r="BC400" s="81">
        <v>340.0</v>
      </c>
      <c r="BE400" s="176" t="s">
        <v>248</v>
      </c>
      <c r="BF400" s="113"/>
      <c r="BG400" s="446"/>
      <c r="BI400" s="31" t="s">
        <v>5</v>
      </c>
      <c r="BJ400" s="32" t="s">
        <v>5</v>
      </c>
      <c r="BK400" s="32" t="s">
        <v>5</v>
      </c>
      <c r="BL400" s="32" t="s">
        <v>5</v>
      </c>
      <c r="BM400" s="32" t="s">
        <v>5</v>
      </c>
      <c r="BN400" s="33">
        <v>2.0</v>
      </c>
      <c r="BP400" s="85" t="s">
        <v>156</v>
      </c>
      <c r="BQ400" s="86" t="s">
        <v>18</v>
      </c>
      <c r="BS400" s="87" t="s">
        <v>156</v>
      </c>
      <c r="BT400" s="88" t="s">
        <v>18</v>
      </c>
      <c r="BU400" s="37" t="str">
        <f t="shared" si="1"/>
        <v>#NAME?</v>
      </c>
      <c r="BV400" s="89" t="s">
        <v>156</v>
      </c>
      <c r="BW400" s="37" t="str">
        <f t="shared" si="2"/>
        <v>#NAME?</v>
      </c>
      <c r="BX400" s="89" t="s">
        <v>18</v>
      </c>
      <c r="BY400" s="39"/>
      <c r="BZ400" s="39"/>
      <c r="CA400" s="40" t="s">
        <v>234</v>
      </c>
      <c r="CB400" s="41"/>
      <c r="CC400" s="90" t="s">
        <v>156</v>
      </c>
      <c r="CD400" s="91" t="s">
        <v>18</v>
      </c>
      <c r="CE400" s="2"/>
      <c r="CF400" s="92" t="s">
        <v>326</v>
      </c>
      <c r="CG400" s="93"/>
      <c r="CH400" s="2"/>
      <c r="CI400" s="94" t="s">
        <v>3660</v>
      </c>
      <c r="CJ400" s="95" t="s">
        <v>326</v>
      </c>
      <c r="CK400" s="2"/>
      <c r="CL400" s="22" t="s">
        <v>1166</v>
      </c>
      <c r="CM400" s="12"/>
      <c r="CN400" s="48"/>
      <c r="CO400" s="96" t="s">
        <v>326</v>
      </c>
      <c r="CP400" s="2"/>
      <c r="CQ400" s="2" t="s">
        <v>796</v>
      </c>
      <c r="CR400" s="97">
        <v>40.0</v>
      </c>
      <c r="CS400" s="2" t="s">
        <v>248</v>
      </c>
      <c r="CT400" s="98">
        <v>113.0</v>
      </c>
      <c r="CU400" s="2"/>
      <c r="CV400" s="52" t="s">
        <v>149</v>
      </c>
      <c r="CW400" s="52" t="s">
        <v>149</v>
      </c>
      <c r="CX400" s="2"/>
      <c r="CY400" s="444" t="s">
        <v>18</v>
      </c>
      <c r="CZ400" s="450"/>
      <c r="DA400" s="2"/>
      <c r="DB400" s="98">
        <v>120.0</v>
      </c>
      <c r="DC400" s="2"/>
      <c r="DD400" s="101" t="s">
        <v>15</v>
      </c>
      <c r="DE400" s="2"/>
      <c r="DF400" s="445" t="s">
        <v>3667</v>
      </c>
      <c r="DG400" s="444"/>
      <c r="DH400" s="450"/>
      <c r="DI400" s="2"/>
      <c r="DJ400" s="2"/>
      <c r="DK400" s="59" t="s">
        <v>3668</v>
      </c>
      <c r="DL400" s="37" t="s">
        <v>79</v>
      </c>
      <c r="DM400" s="37" t="str">
        <f t="shared" si="3"/>
        <v>#NAME?</v>
      </c>
      <c r="DN400" s="61"/>
      <c r="DO400" s="37" t="s">
        <v>19</v>
      </c>
      <c r="DP400" s="37" t="s">
        <v>19</v>
      </c>
      <c r="DQ400" s="62" t="s">
        <v>93</v>
      </c>
      <c r="DR400" s="63"/>
      <c r="DS400" s="198"/>
      <c r="DT400" s="108"/>
      <c r="DU400" s="108"/>
      <c r="DV400" s="182"/>
      <c r="DW400" s="182"/>
      <c r="DX400" s="182"/>
      <c r="DY400" s="182"/>
      <c r="DZ400" s="182"/>
      <c r="EA400" s="182"/>
      <c r="EB400" s="2"/>
      <c r="EC400" s="2"/>
      <c r="ED400" s="2"/>
      <c r="EE400" s="2"/>
      <c r="EF400" s="2"/>
      <c r="EG400" s="449"/>
      <c r="EH400" s="428"/>
      <c r="EI400" s="428"/>
    </row>
    <row r="401" ht="15.75" customHeight="1">
      <c r="A401" s="1">
        <v>398.0</v>
      </c>
      <c r="B401" s="2" t="s">
        <v>3669</v>
      </c>
      <c r="C401" s="7"/>
      <c r="D401" s="167" t="s">
        <v>3670</v>
      </c>
      <c r="E401" s="5"/>
      <c r="F401" s="168"/>
      <c r="G401" s="7"/>
      <c r="H401" s="8" t="s">
        <v>3671</v>
      </c>
      <c r="I401" s="9" t="s">
        <v>3672</v>
      </c>
      <c r="J401" s="355" t="str">
        <f>image("https://archives.bulbagarden.net/media/upload/0/0e/398MS6.png", 3)</f>
        <v/>
      </c>
      <c r="K401" s="11" t="s">
        <v>3670</v>
      </c>
      <c r="L401" s="12"/>
      <c r="M401" s="12"/>
      <c r="N401" s="12"/>
      <c r="O401" s="12"/>
      <c r="Q401" s="71">
        <v>85.0</v>
      </c>
      <c r="R401" s="72">
        <v>120.0</v>
      </c>
      <c r="S401" s="73">
        <v>70.0</v>
      </c>
      <c r="T401" s="74">
        <v>50.0</v>
      </c>
      <c r="U401" s="75">
        <v>50.0</v>
      </c>
      <c r="V401" s="76">
        <v>100.0</v>
      </c>
      <c r="W401" s="77">
        <v>475.0</v>
      </c>
      <c r="X401" s="21"/>
      <c r="Y401" s="71">
        <v>85.0</v>
      </c>
      <c r="Z401" s="72">
        <v>120.0</v>
      </c>
      <c r="AA401" s="73">
        <v>70.0</v>
      </c>
      <c r="AB401" s="74">
        <v>50.0</v>
      </c>
      <c r="AC401" s="109">
        <v>60.0</v>
      </c>
      <c r="AD401" s="76">
        <v>100.0</v>
      </c>
      <c r="AE401" s="110">
        <v>485.0</v>
      </c>
      <c r="AF401" s="21"/>
      <c r="AG401" s="71">
        <v>85.0</v>
      </c>
      <c r="AH401" s="72">
        <v>120.0</v>
      </c>
      <c r="AI401" s="73">
        <v>70.0</v>
      </c>
      <c r="AJ401" s="74">
        <v>50.0</v>
      </c>
      <c r="AK401" s="109">
        <v>60.0</v>
      </c>
      <c r="AL401" s="76">
        <v>100.0</v>
      </c>
      <c r="AM401" s="110">
        <v>485.0</v>
      </c>
      <c r="AN401" s="21"/>
      <c r="AO401" s="22">
        <v>85.0</v>
      </c>
      <c r="AP401" s="23">
        <v>120.0</v>
      </c>
      <c r="AQ401" s="23">
        <v>70.0</v>
      </c>
      <c r="AR401" s="23">
        <v>50.0</v>
      </c>
      <c r="AS401" s="23" t="s">
        <v>77</v>
      </c>
      <c r="AT401" s="23">
        <v>100.0</v>
      </c>
      <c r="AU401" s="24" t="s">
        <v>521</v>
      </c>
      <c r="AV401" s="21"/>
      <c r="AW401" s="78">
        <v>85.0</v>
      </c>
      <c r="AX401" s="79">
        <v>120.0</v>
      </c>
      <c r="AY401" s="79">
        <v>70.0</v>
      </c>
      <c r="AZ401" s="79">
        <v>50.0</v>
      </c>
      <c r="BA401" s="111">
        <v>60.0</v>
      </c>
      <c r="BB401" s="79">
        <v>100.0</v>
      </c>
      <c r="BC401" s="111">
        <v>485.0</v>
      </c>
      <c r="BE401" s="172" t="s">
        <v>451</v>
      </c>
      <c r="BF401" s="138"/>
      <c r="BG401" s="128"/>
      <c r="BI401" s="31" t="s">
        <v>5</v>
      </c>
      <c r="BJ401" s="32">
        <v>3.0</v>
      </c>
      <c r="BK401" s="32" t="s">
        <v>5</v>
      </c>
      <c r="BL401" s="32" t="s">
        <v>5</v>
      </c>
      <c r="BM401" s="32" t="s">
        <v>5</v>
      </c>
      <c r="BN401" s="33" t="s">
        <v>5</v>
      </c>
      <c r="BP401" s="115" t="s">
        <v>156</v>
      </c>
      <c r="BQ401" s="116" t="s">
        <v>18</v>
      </c>
      <c r="BS401" s="115" t="s">
        <v>156</v>
      </c>
      <c r="BT401" s="117" t="s">
        <v>18</v>
      </c>
      <c r="BU401" s="37" t="str">
        <f t="shared" si="1"/>
        <v>#NAME?</v>
      </c>
      <c r="BV401" s="89" t="s">
        <v>156</v>
      </c>
      <c r="BW401" s="37" t="str">
        <f t="shared" si="2"/>
        <v>#NAME?</v>
      </c>
      <c r="BX401" s="89" t="s">
        <v>18</v>
      </c>
      <c r="BY401" s="39"/>
      <c r="BZ401" s="39"/>
      <c r="CA401" s="40" t="s">
        <v>234</v>
      </c>
      <c r="CB401" s="41"/>
      <c r="CC401" s="90" t="s">
        <v>156</v>
      </c>
      <c r="CD401" s="91" t="s">
        <v>18</v>
      </c>
      <c r="CE401" s="2"/>
      <c r="CF401" s="92" t="s">
        <v>326</v>
      </c>
      <c r="CG401" s="93"/>
      <c r="CH401" s="2"/>
      <c r="CI401" s="152" t="s">
        <v>3660</v>
      </c>
      <c r="CJ401" s="95" t="s">
        <v>326</v>
      </c>
      <c r="CK401" s="2"/>
      <c r="CL401" s="22" t="s">
        <v>1166</v>
      </c>
      <c r="CM401" s="12"/>
      <c r="CN401" s="48"/>
      <c r="CO401" s="96" t="s">
        <v>326</v>
      </c>
      <c r="CP401" s="2"/>
      <c r="CQ401" s="2" t="s">
        <v>3673</v>
      </c>
      <c r="CR401" s="97">
        <v>40.0</v>
      </c>
      <c r="CS401" s="2" t="s">
        <v>451</v>
      </c>
      <c r="CT401" s="98">
        <v>172.0</v>
      </c>
      <c r="CU401" s="2"/>
      <c r="CV401" s="52" t="s">
        <v>149</v>
      </c>
      <c r="CW401" s="52" t="s">
        <v>149</v>
      </c>
      <c r="CX401" s="2"/>
      <c r="CY401" s="119" t="s">
        <v>18</v>
      </c>
      <c r="CZ401" s="160"/>
      <c r="DA401" s="2"/>
      <c r="DB401" s="98">
        <v>45.0</v>
      </c>
      <c r="DC401" s="2"/>
      <c r="DD401" s="101" t="s">
        <v>15</v>
      </c>
      <c r="DE401" s="2"/>
      <c r="DF401" s="120" t="s">
        <v>3674</v>
      </c>
      <c r="DG401" s="119"/>
      <c r="DH401" s="160"/>
      <c r="DI401" s="2"/>
      <c r="DJ401" s="2"/>
      <c r="DK401" s="59" t="s">
        <v>3675</v>
      </c>
      <c r="DL401" s="37" t="s">
        <v>76</v>
      </c>
      <c r="DM401" s="37" t="str">
        <f t="shared" si="3"/>
        <v>#NAME?</v>
      </c>
      <c r="DN401" s="61"/>
      <c r="DO401" s="37" t="s">
        <v>19</v>
      </c>
      <c r="DP401" s="37" t="s">
        <v>19</v>
      </c>
      <c r="DQ401" s="62" t="s">
        <v>20</v>
      </c>
      <c r="DR401" s="63"/>
      <c r="DS401" s="198"/>
      <c r="DT401" s="108"/>
      <c r="DU401" s="108"/>
      <c r="DV401" s="182"/>
      <c r="DW401" s="182"/>
      <c r="DX401" s="182"/>
      <c r="DY401" s="182"/>
      <c r="DZ401" s="182"/>
      <c r="EA401" s="182"/>
      <c r="EB401" s="2"/>
      <c r="EC401" s="2"/>
      <c r="ED401" s="2"/>
      <c r="EE401" s="2"/>
      <c r="EF401" s="2"/>
      <c r="EG401" s="449"/>
      <c r="EH401" s="428"/>
      <c r="EI401" s="428"/>
    </row>
    <row r="402" ht="15.75" customHeight="1">
      <c r="A402" s="1">
        <v>399.0</v>
      </c>
      <c r="B402" s="2" t="s">
        <v>3676</v>
      </c>
      <c r="C402" s="7"/>
      <c r="D402" s="167" t="s">
        <v>3677</v>
      </c>
      <c r="E402" s="5"/>
      <c r="F402" s="168"/>
      <c r="G402" s="7"/>
      <c r="H402" s="8" t="s">
        <v>3678</v>
      </c>
      <c r="I402" s="9" t="s">
        <v>3679</v>
      </c>
      <c r="J402" s="355" t="str">
        <f>image("https://archives.bulbagarden.net/media/upload/9/9f/399MS6.png", 3)</f>
        <v/>
      </c>
      <c r="K402" s="11" t="s">
        <v>3677</v>
      </c>
      <c r="L402" s="12"/>
      <c r="M402" s="12"/>
      <c r="N402" s="12"/>
      <c r="O402" s="12"/>
      <c r="Q402" s="71">
        <v>59.0</v>
      </c>
      <c r="R402" s="72">
        <v>45.0</v>
      </c>
      <c r="S402" s="73">
        <v>40.0</v>
      </c>
      <c r="T402" s="74">
        <v>35.0</v>
      </c>
      <c r="U402" s="75">
        <v>40.0</v>
      </c>
      <c r="V402" s="76">
        <v>31.0</v>
      </c>
      <c r="W402" s="77">
        <v>250.0</v>
      </c>
      <c r="X402" s="21"/>
      <c r="Y402" s="71">
        <v>59.0</v>
      </c>
      <c r="Z402" s="72">
        <v>45.0</v>
      </c>
      <c r="AA402" s="73">
        <v>40.0</v>
      </c>
      <c r="AB402" s="74">
        <v>35.0</v>
      </c>
      <c r="AC402" s="75">
        <v>40.0</v>
      </c>
      <c r="AD402" s="76">
        <v>31.0</v>
      </c>
      <c r="AE402" s="77">
        <v>250.0</v>
      </c>
      <c r="AF402" s="21"/>
      <c r="AG402" s="71">
        <v>59.0</v>
      </c>
      <c r="AH402" s="72">
        <v>45.0</v>
      </c>
      <c r="AI402" s="73">
        <v>40.0</v>
      </c>
      <c r="AJ402" s="74">
        <v>35.0</v>
      </c>
      <c r="AK402" s="75">
        <v>40.0</v>
      </c>
      <c r="AL402" s="76">
        <v>31.0</v>
      </c>
      <c r="AM402" s="77">
        <v>250.0</v>
      </c>
      <c r="AN402" s="21"/>
      <c r="AO402" s="22">
        <v>59.0</v>
      </c>
      <c r="AP402" s="23">
        <v>45.0</v>
      </c>
      <c r="AQ402" s="23">
        <v>40.0</v>
      </c>
      <c r="AR402" s="23">
        <v>35.0</v>
      </c>
      <c r="AS402" s="23">
        <v>40.0</v>
      </c>
      <c r="AT402" s="23">
        <v>31.0</v>
      </c>
      <c r="AU402" s="24">
        <v>250.0</v>
      </c>
      <c r="AV402" s="21"/>
      <c r="AW402" s="258">
        <v>59.0</v>
      </c>
      <c r="AX402" s="80">
        <v>45.0</v>
      </c>
      <c r="AY402" s="80">
        <v>40.0</v>
      </c>
      <c r="AZ402" s="79">
        <v>35.0</v>
      </c>
      <c r="BA402" s="182">
        <v>40.0</v>
      </c>
      <c r="BB402" s="79">
        <v>31.0</v>
      </c>
      <c r="BC402" s="183">
        <v>250.0</v>
      </c>
      <c r="BE402" s="151" t="s">
        <v>144</v>
      </c>
      <c r="BF402" s="447"/>
      <c r="BG402" s="128"/>
      <c r="BI402" s="31">
        <v>1.0</v>
      </c>
      <c r="BJ402" s="32" t="s">
        <v>5</v>
      </c>
      <c r="BK402" s="32" t="s">
        <v>5</v>
      </c>
      <c r="BL402" s="32" t="s">
        <v>5</v>
      </c>
      <c r="BM402" s="32" t="s">
        <v>5</v>
      </c>
      <c r="BN402" s="33" t="s">
        <v>5</v>
      </c>
      <c r="BP402" s="85" t="s">
        <v>156</v>
      </c>
      <c r="BQ402" s="129"/>
      <c r="BS402" s="87" t="s">
        <v>156</v>
      </c>
      <c r="BT402" s="130"/>
      <c r="BU402" s="37" t="str">
        <f t="shared" si="1"/>
        <v>#NAME?</v>
      </c>
      <c r="BV402" s="89" t="s">
        <v>156</v>
      </c>
      <c r="BW402" s="37" t="str">
        <f t="shared" si="2"/>
        <v>#NAME?</v>
      </c>
      <c r="BX402" s="89"/>
      <c r="BY402" s="39"/>
      <c r="BZ402" s="39"/>
      <c r="CA402" s="40" t="s">
        <v>156</v>
      </c>
      <c r="CB402" s="41"/>
      <c r="CC402" s="90" t="s">
        <v>156</v>
      </c>
      <c r="CD402" s="91"/>
      <c r="CE402" s="21"/>
      <c r="CF402" s="92" t="s">
        <v>2983</v>
      </c>
      <c r="CG402" s="93" t="s">
        <v>1894</v>
      </c>
      <c r="CH402" s="21"/>
      <c r="CI402" s="175" t="s">
        <v>2983</v>
      </c>
      <c r="CJ402" s="93" t="s">
        <v>1894</v>
      </c>
      <c r="CK402" s="21"/>
      <c r="CL402" s="22" t="s">
        <v>2983</v>
      </c>
      <c r="CM402" s="12"/>
      <c r="CN402" s="48"/>
      <c r="CO402" s="96" t="s">
        <v>1894</v>
      </c>
      <c r="CP402" s="21"/>
      <c r="CQ402" s="2" t="s">
        <v>410</v>
      </c>
      <c r="CR402" s="97">
        <v>40.0</v>
      </c>
      <c r="CS402" s="2" t="s">
        <v>144</v>
      </c>
      <c r="CT402" s="98">
        <v>58.0</v>
      </c>
      <c r="CU402" s="2"/>
      <c r="CV402" s="52" t="s">
        <v>149</v>
      </c>
      <c r="CW402" s="52" t="s">
        <v>149</v>
      </c>
      <c r="CX402" s="2"/>
      <c r="CY402" s="443" t="s">
        <v>106</v>
      </c>
      <c r="CZ402" s="444" t="s">
        <v>277</v>
      </c>
      <c r="DA402" s="2"/>
      <c r="DB402" s="98">
        <v>255.0</v>
      </c>
      <c r="DC402" s="2"/>
      <c r="DD402" s="101" t="s">
        <v>150</v>
      </c>
      <c r="DE402" s="2"/>
      <c r="DF402" s="448" t="s">
        <v>3680</v>
      </c>
      <c r="DG402" s="444"/>
      <c r="DH402" s="444"/>
      <c r="DI402" s="21"/>
      <c r="DJ402" s="21"/>
      <c r="DK402" s="59" t="s">
        <v>3681</v>
      </c>
      <c r="DL402" s="37" t="s">
        <v>156</v>
      </c>
      <c r="DM402" s="37" t="str">
        <f t="shared" si="3"/>
        <v>#NAME?</v>
      </c>
      <c r="DN402" s="61"/>
      <c r="DO402" s="37" t="s">
        <v>19</v>
      </c>
      <c r="DP402" s="37" t="s">
        <v>19</v>
      </c>
      <c r="DQ402" s="62" t="s">
        <v>20</v>
      </c>
      <c r="DR402" s="63"/>
      <c r="DS402" s="198"/>
      <c r="DT402" s="108"/>
      <c r="DU402" s="108"/>
      <c r="DV402" s="182"/>
      <c r="DW402" s="182"/>
      <c r="DX402" s="182"/>
      <c r="DY402" s="182"/>
      <c r="DZ402" s="182"/>
      <c r="EA402" s="182"/>
      <c r="EB402" s="21"/>
      <c r="EC402" s="21"/>
      <c r="ED402" s="21"/>
      <c r="EE402" s="21"/>
      <c r="EF402" s="21"/>
      <c r="EG402" s="108"/>
      <c r="EH402" s="442"/>
      <c r="EI402" s="442"/>
    </row>
    <row r="403" ht="15.75" customHeight="1">
      <c r="A403" s="1">
        <v>400.0</v>
      </c>
      <c r="B403" s="2" t="s">
        <v>3682</v>
      </c>
      <c r="C403" s="7"/>
      <c r="D403" s="167" t="s">
        <v>3683</v>
      </c>
      <c r="E403" s="5"/>
      <c r="F403" s="168"/>
      <c r="G403" s="7"/>
      <c r="H403" s="8" t="s">
        <v>3684</v>
      </c>
      <c r="I403" s="9" t="s">
        <v>3685</v>
      </c>
      <c r="J403" s="355" t="str">
        <f>image("https://archives.bulbagarden.net/media/upload/7/7d/400MS6.png", 3)</f>
        <v/>
      </c>
      <c r="K403" s="11" t="s">
        <v>3683</v>
      </c>
      <c r="L403" s="12"/>
      <c r="M403" s="12"/>
      <c r="N403" s="12"/>
      <c r="O403" s="12"/>
      <c r="Q403" s="71">
        <v>79.0</v>
      </c>
      <c r="R403" s="72">
        <v>85.0</v>
      </c>
      <c r="S403" s="73">
        <v>60.0</v>
      </c>
      <c r="T403" s="74">
        <v>55.0</v>
      </c>
      <c r="U403" s="75">
        <v>60.0</v>
      </c>
      <c r="V403" s="76">
        <v>71.0</v>
      </c>
      <c r="W403" s="77">
        <v>410.0</v>
      </c>
      <c r="X403" s="21"/>
      <c r="Y403" s="71">
        <v>79.0</v>
      </c>
      <c r="Z403" s="72">
        <v>85.0</v>
      </c>
      <c r="AA403" s="73">
        <v>60.0</v>
      </c>
      <c r="AB403" s="74">
        <v>55.0</v>
      </c>
      <c r="AC403" s="75">
        <v>60.0</v>
      </c>
      <c r="AD403" s="76">
        <v>71.0</v>
      </c>
      <c r="AE403" s="77">
        <v>410.0</v>
      </c>
      <c r="AF403" s="21"/>
      <c r="AG403" s="261">
        <v>94.0</v>
      </c>
      <c r="AH403" s="109">
        <v>100.0</v>
      </c>
      <c r="AI403" s="109">
        <v>65.0</v>
      </c>
      <c r="AJ403" s="74">
        <v>55.0</v>
      </c>
      <c r="AK403" s="109">
        <v>65.0</v>
      </c>
      <c r="AL403" s="76">
        <v>71.0</v>
      </c>
      <c r="AM403" s="110">
        <v>450.0</v>
      </c>
      <c r="AN403" s="21"/>
      <c r="AO403" s="22" t="s">
        <v>3686</v>
      </c>
      <c r="AP403" s="23" t="s">
        <v>175</v>
      </c>
      <c r="AQ403" s="23" t="s">
        <v>247</v>
      </c>
      <c r="AR403" s="23">
        <v>55.0</v>
      </c>
      <c r="AS403" s="23" t="s">
        <v>247</v>
      </c>
      <c r="AT403" s="23">
        <v>71.0</v>
      </c>
      <c r="AU403" s="24" t="s">
        <v>176</v>
      </c>
      <c r="AV403" s="21"/>
      <c r="AW403" s="111">
        <v>94.0</v>
      </c>
      <c r="AX403" s="171">
        <v>100.0</v>
      </c>
      <c r="AY403" s="111">
        <v>65.0</v>
      </c>
      <c r="AZ403" s="80">
        <v>55.0</v>
      </c>
      <c r="BA403" s="111">
        <v>65.0</v>
      </c>
      <c r="BB403" s="79">
        <v>71.0</v>
      </c>
      <c r="BC403" s="111">
        <v>450.0</v>
      </c>
      <c r="BE403" s="172" t="s">
        <v>216</v>
      </c>
      <c r="BF403" s="113"/>
      <c r="BG403" s="210"/>
      <c r="BI403" s="31" t="s">
        <v>5</v>
      </c>
      <c r="BJ403" s="32">
        <v>2.0</v>
      </c>
      <c r="BK403" s="32" t="s">
        <v>5</v>
      </c>
      <c r="BL403" s="32" t="s">
        <v>5</v>
      </c>
      <c r="BM403" s="32" t="s">
        <v>5</v>
      </c>
      <c r="BN403" s="33" t="s">
        <v>5</v>
      </c>
      <c r="BP403" s="115" t="s">
        <v>156</v>
      </c>
      <c r="BQ403" s="116" t="s">
        <v>32</v>
      </c>
      <c r="BS403" s="115" t="s">
        <v>156</v>
      </c>
      <c r="BT403" s="117" t="s">
        <v>32</v>
      </c>
      <c r="BU403" s="37" t="str">
        <f t="shared" si="1"/>
        <v>#NAME?</v>
      </c>
      <c r="BV403" s="89" t="s">
        <v>156</v>
      </c>
      <c r="BW403" s="37" t="str">
        <f t="shared" si="2"/>
        <v>#NAME?</v>
      </c>
      <c r="BX403" s="89" t="s">
        <v>32</v>
      </c>
      <c r="BY403" s="39"/>
      <c r="BZ403" s="39"/>
      <c r="CA403" s="40" t="s">
        <v>3687</v>
      </c>
      <c r="CB403" s="41"/>
      <c r="CC403" s="90" t="s">
        <v>156</v>
      </c>
      <c r="CD403" s="91" t="s">
        <v>32</v>
      </c>
      <c r="CE403" s="2"/>
      <c r="CF403" s="92" t="s">
        <v>2983</v>
      </c>
      <c r="CG403" s="93" t="s">
        <v>1894</v>
      </c>
      <c r="CH403" s="2"/>
      <c r="CI403" s="177" t="s">
        <v>2983</v>
      </c>
      <c r="CJ403" s="93" t="s">
        <v>1894</v>
      </c>
      <c r="CK403" s="2"/>
      <c r="CL403" s="22" t="s">
        <v>2983</v>
      </c>
      <c r="CM403" s="12"/>
      <c r="CN403" s="48"/>
      <c r="CO403" s="96" t="s">
        <v>1894</v>
      </c>
      <c r="CP403" s="2"/>
      <c r="CQ403" s="2" t="s">
        <v>2852</v>
      </c>
      <c r="CR403" s="97">
        <v>60.0</v>
      </c>
      <c r="CS403" s="2" t="s">
        <v>216</v>
      </c>
      <c r="CT403" s="98">
        <v>116.0</v>
      </c>
      <c r="CU403" s="2"/>
      <c r="CV403" s="52" t="s">
        <v>149</v>
      </c>
      <c r="CW403" s="52" t="s">
        <v>149</v>
      </c>
      <c r="CX403" s="2"/>
      <c r="CY403" s="118" t="s">
        <v>106</v>
      </c>
      <c r="CZ403" s="119" t="s">
        <v>277</v>
      </c>
      <c r="DA403" s="2"/>
      <c r="DB403" s="98">
        <v>127.0</v>
      </c>
      <c r="DC403" s="2"/>
      <c r="DD403" s="101" t="s">
        <v>150</v>
      </c>
      <c r="DE403" s="2"/>
      <c r="DF403" s="120" t="s">
        <v>3688</v>
      </c>
      <c r="DG403" s="119"/>
      <c r="DH403" s="119"/>
      <c r="DI403" s="2"/>
      <c r="DJ403" s="2"/>
      <c r="DK403" s="59" t="s">
        <v>3689</v>
      </c>
      <c r="DL403" s="37" t="s">
        <v>92</v>
      </c>
      <c r="DM403" s="37" t="str">
        <f t="shared" si="3"/>
        <v>#NAME?</v>
      </c>
      <c r="DN403" s="61"/>
      <c r="DO403" s="37" t="s">
        <v>19</v>
      </c>
      <c r="DP403" s="105">
        <v>1.0</v>
      </c>
      <c r="DQ403" s="62" t="s">
        <v>93</v>
      </c>
      <c r="DR403" s="63"/>
      <c r="DS403" s="198"/>
      <c r="DT403" s="108"/>
      <c r="DU403" s="108"/>
      <c r="DV403" s="182"/>
      <c r="DW403" s="182"/>
      <c r="DX403" s="182"/>
      <c r="DY403" s="182"/>
      <c r="DZ403" s="182"/>
      <c r="EA403" s="182"/>
      <c r="EB403" s="2"/>
      <c r="EC403" s="2"/>
      <c r="ED403" s="2"/>
      <c r="EE403" s="2"/>
      <c r="EF403" s="2"/>
      <c r="EG403" s="449"/>
      <c r="EH403" s="428"/>
      <c r="EI403" s="428"/>
    </row>
    <row r="404" ht="15.75" customHeight="1">
      <c r="A404" s="1">
        <v>401.0</v>
      </c>
      <c r="B404" s="2" t="s">
        <v>3690</v>
      </c>
      <c r="C404" s="7"/>
      <c r="D404" s="122" t="s">
        <v>3691</v>
      </c>
      <c r="E404" s="5"/>
      <c r="F404" s="123"/>
      <c r="G404" s="7"/>
      <c r="H404" s="8" t="s">
        <v>3692</v>
      </c>
      <c r="I404" s="9" t="s">
        <v>3693</v>
      </c>
      <c r="J404" s="355" t="str">
        <f>image("https://archives.bulbagarden.net/media/upload/1/1c/401MS6.png", 3)</f>
        <v/>
      </c>
      <c r="K404" s="11" t="s">
        <v>3691</v>
      </c>
      <c r="L404" s="12"/>
      <c r="M404" s="12"/>
      <c r="N404" s="12"/>
      <c r="O404" s="12"/>
      <c r="Q404" s="71">
        <v>37.0</v>
      </c>
      <c r="R404" s="72">
        <v>25.0</v>
      </c>
      <c r="S404" s="73">
        <v>41.0</v>
      </c>
      <c r="T404" s="74">
        <v>25.0</v>
      </c>
      <c r="U404" s="75">
        <v>41.0</v>
      </c>
      <c r="V404" s="76">
        <v>25.0</v>
      </c>
      <c r="W404" s="77">
        <v>194.0</v>
      </c>
      <c r="X404" s="21"/>
      <c r="Y404" s="71">
        <v>37.0</v>
      </c>
      <c r="Z404" s="72">
        <v>25.0</v>
      </c>
      <c r="AA404" s="73">
        <v>41.0</v>
      </c>
      <c r="AB404" s="74">
        <v>25.0</v>
      </c>
      <c r="AC404" s="75">
        <v>41.0</v>
      </c>
      <c r="AD404" s="76">
        <v>25.0</v>
      </c>
      <c r="AE404" s="77">
        <v>194.0</v>
      </c>
      <c r="AF404" s="21"/>
      <c r="AG404" s="71">
        <v>37.0</v>
      </c>
      <c r="AH404" s="109">
        <v>35.0</v>
      </c>
      <c r="AI404" s="73">
        <v>41.0</v>
      </c>
      <c r="AJ404" s="109">
        <v>35.0</v>
      </c>
      <c r="AK404" s="75">
        <v>41.0</v>
      </c>
      <c r="AL404" s="76">
        <v>25.0</v>
      </c>
      <c r="AM404" s="110">
        <v>214.0</v>
      </c>
      <c r="AN404" s="21"/>
      <c r="AO404" s="22">
        <v>37.0</v>
      </c>
      <c r="AP404" s="23" t="s">
        <v>509</v>
      </c>
      <c r="AQ404" s="23">
        <v>41.0</v>
      </c>
      <c r="AR404" s="23" t="s">
        <v>509</v>
      </c>
      <c r="AS404" s="23">
        <v>41.0</v>
      </c>
      <c r="AT404" s="23">
        <v>25.0</v>
      </c>
      <c r="AU404" s="24" t="s">
        <v>3694</v>
      </c>
      <c r="AV404" s="21"/>
      <c r="AW404" s="63">
        <v>37.0</v>
      </c>
      <c r="AX404" s="171">
        <v>35.0</v>
      </c>
      <c r="AY404" s="182">
        <v>41.0</v>
      </c>
      <c r="AZ404" s="171">
        <v>35.0</v>
      </c>
      <c r="BA404" s="182">
        <v>41.0</v>
      </c>
      <c r="BB404" s="79">
        <v>25.0</v>
      </c>
      <c r="BC404" s="111">
        <v>214.0</v>
      </c>
      <c r="BE404" s="142" t="s">
        <v>101</v>
      </c>
      <c r="BF404" s="447"/>
      <c r="BG404" s="128"/>
      <c r="BI404" s="31" t="s">
        <v>5</v>
      </c>
      <c r="BJ404" s="32" t="s">
        <v>5</v>
      </c>
      <c r="BK404" s="32">
        <v>1.0</v>
      </c>
      <c r="BL404" s="32" t="s">
        <v>5</v>
      </c>
      <c r="BM404" s="32" t="s">
        <v>5</v>
      </c>
      <c r="BN404" s="33" t="s">
        <v>5</v>
      </c>
      <c r="BP404" s="85" t="s">
        <v>109</v>
      </c>
      <c r="BQ404" s="129"/>
      <c r="BS404" s="87" t="s">
        <v>109</v>
      </c>
      <c r="BT404" s="130"/>
      <c r="BU404" s="37" t="str">
        <f t="shared" si="1"/>
        <v>#NAME?</v>
      </c>
      <c r="BV404" s="89" t="s">
        <v>109</v>
      </c>
      <c r="BW404" s="37" t="str">
        <f t="shared" si="2"/>
        <v>#NAME?</v>
      </c>
      <c r="BX404" s="89"/>
      <c r="BY404" s="39"/>
      <c r="BZ404" s="39"/>
      <c r="CA404" s="40" t="s">
        <v>109</v>
      </c>
      <c r="CB404" s="41"/>
      <c r="CC404" s="90" t="s">
        <v>109</v>
      </c>
      <c r="CD404" s="91"/>
      <c r="CE404" s="21"/>
      <c r="CF404" s="92" t="s">
        <v>163</v>
      </c>
      <c r="CG404" s="93"/>
      <c r="CH404" s="21"/>
      <c r="CI404" s="46" t="s">
        <v>146</v>
      </c>
      <c r="CJ404" s="95" t="s">
        <v>163</v>
      </c>
      <c r="CK404" s="21"/>
      <c r="CL404" s="22" t="s">
        <v>147</v>
      </c>
      <c r="CM404" s="12"/>
      <c r="CN404" s="48"/>
      <c r="CO404" s="96" t="s">
        <v>163</v>
      </c>
      <c r="CP404" s="21"/>
      <c r="CQ404" s="2" t="s">
        <v>3695</v>
      </c>
      <c r="CR404" s="97">
        <v>20.0</v>
      </c>
      <c r="CS404" s="2" t="s">
        <v>101</v>
      </c>
      <c r="CT404" s="98">
        <v>54.0</v>
      </c>
      <c r="CU404" s="2"/>
      <c r="CV404" s="52" t="s">
        <v>149</v>
      </c>
      <c r="CW404" s="52" t="s">
        <v>149</v>
      </c>
      <c r="CX404" s="2"/>
      <c r="CY404" s="444" t="s">
        <v>109</v>
      </c>
      <c r="CZ404" s="450"/>
      <c r="DA404" s="2"/>
      <c r="DB404" s="98">
        <v>255.0</v>
      </c>
      <c r="DC404" s="2"/>
      <c r="DD404" s="101" t="s">
        <v>15</v>
      </c>
      <c r="DE404" s="2"/>
      <c r="DF404" s="448" t="s">
        <v>3696</v>
      </c>
      <c r="DG404" s="443" t="s">
        <v>3697</v>
      </c>
      <c r="DH404" s="450"/>
      <c r="DI404" s="21"/>
      <c r="DJ404" s="21"/>
      <c r="DK404" s="59" t="s">
        <v>3698</v>
      </c>
      <c r="DL404" s="37" t="s">
        <v>156</v>
      </c>
      <c r="DM404" s="37" t="str">
        <f t="shared" si="3"/>
        <v>#NAME?</v>
      </c>
      <c r="DN404" s="61"/>
      <c r="DO404" s="37" t="s">
        <v>19</v>
      </c>
      <c r="DP404" s="37" t="s">
        <v>19</v>
      </c>
      <c r="DQ404" s="62" t="s">
        <v>702</v>
      </c>
      <c r="DR404" s="63"/>
      <c r="DS404" s="198"/>
      <c r="DT404" s="108"/>
      <c r="DU404" s="108"/>
      <c r="DV404" s="182"/>
      <c r="DW404" s="182"/>
      <c r="DX404" s="182"/>
      <c r="DY404" s="182"/>
      <c r="DZ404" s="182"/>
      <c r="EA404" s="182"/>
      <c r="EB404" s="21"/>
      <c r="EC404" s="21"/>
      <c r="ED404" s="21"/>
      <c r="EE404" s="21"/>
      <c r="EF404" s="21"/>
      <c r="EG404" s="108"/>
      <c r="EH404" s="442"/>
      <c r="EI404" s="442"/>
    </row>
    <row r="405" ht="15.75" customHeight="1">
      <c r="A405" s="1">
        <v>402.0</v>
      </c>
      <c r="B405" s="2" t="s">
        <v>3699</v>
      </c>
      <c r="C405" s="7"/>
      <c r="D405" s="122" t="s">
        <v>3700</v>
      </c>
      <c r="E405" s="5"/>
      <c r="F405" s="123"/>
      <c r="G405" s="7"/>
      <c r="H405" s="8" t="s">
        <v>3701</v>
      </c>
      <c r="I405" s="9" t="s">
        <v>3702</v>
      </c>
      <c r="J405" s="355" t="str">
        <f>image("https://archives.bulbagarden.net/media/upload/7/75/402MS6.png", 3)</f>
        <v/>
      </c>
      <c r="K405" s="11" t="s">
        <v>3700</v>
      </c>
      <c r="L405" s="12"/>
      <c r="M405" s="12"/>
      <c r="N405" s="12"/>
      <c r="O405" s="12"/>
      <c r="Q405" s="71">
        <v>77.0</v>
      </c>
      <c r="R405" s="72">
        <v>85.0</v>
      </c>
      <c r="S405" s="73">
        <v>51.0</v>
      </c>
      <c r="T405" s="74">
        <v>55.0</v>
      </c>
      <c r="U405" s="75">
        <v>51.0</v>
      </c>
      <c r="V405" s="76">
        <v>65.0</v>
      </c>
      <c r="W405" s="77">
        <v>384.0</v>
      </c>
      <c r="X405" s="21"/>
      <c r="Y405" s="71">
        <v>77.0</v>
      </c>
      <c r="Z405" s="72">
        <v>85.0</v>
      </c>
      <c r="AA405" s="73">
        <v>51.0</v>
      </c>
      <c r="AB405" s="74">
        <v>55.0</v>
      </c>
      <c r="AC405" s="75">
        <v>51.0</v>
      </c>
      <c r="AD405" s="76">
        <v>65.0</v>
      </c>
      <c r="AE405" s="77">
        <v>384.0</v>
      </c>
      <c r="AF405" s="21"/>
      <c r="AG405" s="261">
        <v>80.0</v>
      </c>
      <c r="AH405" s="109">
        <v>115.0</v>
      </c>
      <c r="AI405" s="109">
        <v>70.0</v>
      </c>
      <c r="AJ405" s="162">
        <v>50.0</v>
      </c>
      <c r="AK405" s="109">
        <v>70.0</v>
      </c>
      <c r="AL405" s="76">
        <v>65.0</v>
      </c>
      <c r="AM405" s="110">
        <v>450.0</v>
      </c>
      <c r="AN405" s="21"/>
      <c r="AO405" s="22" t="s">
        <v>337</v>
      </c>
      <c r="AP405" s="23" t="s">
        <v>213</v>
      </c>
      <c r="AQ405" s="23" t="s">
        <v>288</v>
      </c>
      <c r="AR405" s="23" t="s">
        <v>246</v>
      </c>
      <c r="AS405" s="23" t="s">
        <v>288</v>
      </c>
      <c r="AT405" s="23">
        <v>65.0</v>
      </c>
      <c r="AU405" s="24" t="s">
        <v>176</v>
      </c>
      <c r="AV405" s="21"/>
      <c r="AW405" s="111">
        <v>80.0</v>
      </c>
      <c r="AX405" s="111">
        <v>115.0</v>
      </c>
      <c r="AY405" s="187">
        <v>70.0</v>
      </c>
      <c r="AZ405" s="163">
        <v>50.0</v>
      </c>
      <c r="BA405" s="164">
        <v>70.0</v>
      </c>
      <c r="BB405" s="79">
        <v>65.0</v>
      </c>
      <c r="BC405" s="111">
        <v>450.0</v>
      </c>
      <c r="BE405" s="172" t="s">
        <v>216</v>
      </c>
      <c r="BF405" s="113"/>
      <c r="BG405" s="210"/>
      <c r="BI405" s="31" t="s">
        <v>5</v>
      </c>
      <c r="BJ405" s="32">
        <v>2.0</v>
      </c>
      <c r="BK405" s="32" t="s">
        <v>5</v>
      </c>
      <c r="BL405" s="32" t="s">
        <v>5</v>
      </c>
      <c r="BM405" s="32" t="s">
        <v>5</v>
      </c>
      <c r="BN405" s="33" t="s">
        <v>5</v>
      </c>
      <c r="BP405" s="115" t="s">
        <v>109</v>
      </c>
      <c r="BQ405" s="93"/>
      <c r="BS405" s="115" t="s">
        <v>109</v>
      </c>
      <c r="BT405" s="133"/>
      <c r="BU405" s="37" t="str">
        <f t="shared" si="1"/>
        <v>#NAME?</v>
      </c>
      <c r="BV405" s="89" t="s">
        <v>109</v>
      </c>
      <c r="BW405" s="37" t="str">
        <f t="shared" si="2"/>
        <v>#NAME?</v>
      </c>
      <c r="BX405" s="89"/>
      <c r="BY405" s="39"/>
      <c r="BZ405" s="39"/>
      <c r="CA405" s="40" t="s">
        <v>109</v>
      </c>
      <c r="CB405" s="41"/>
      <c r="CC405" s="90" t="s">
        <v>109</v>
      </c>
      <c r="CD405" s="91"/>
      <c r="CE405" s="21"/>
      <c r="CF405" s="92" t="s">
        <v>217</v>
      </c>
      <c r="CG405" s="93"/>
      <c r="CH405" s="21"/>
      <c r="CI405" s="152" t="s">
        <v>627</v>
      </c>
      <c r="CJ405" s="153" t="s">
        <v>217</v>
      </c>
      <c r="CK405" s="21"/>
      <c r="CL405" s="22" t="s">
        <v>1278</v>
      </c>
      <c r="CM405" s="12"/>
      <c r="CN405" s="48"/>
      <c r="CO405" s="189" t="s">
        <v>217</v>
      </c>
      <c r="CP405" s="21"/>
      <c r="CQ405" s="2" t="s">
        <v>3703</v>
      </c>
      <c r="CR405" s="97">
        <v>60.0</v>
      </c>
      <c r="CS405" s="2" t="s">
        <v>216</v>
      </c>
      <c r="CT405" s="98">
        <v>159.0</v>
      </c>
      <c r="CU405" s="2"/>
      <c r="CV405" s="52" t="s">
        <v>149</v>
      </c>
      <c r="CW405" s="52" t="s">
        <v>149</v>
      </c>
      <c r="CX405" s="2"/>
      <c r="CY405" s="119" t="s">
        <v>109</v>
      </c>
      <c r="CZ405" s="160"/>
      <c r="DA405" s="2"/>
      <c r="DB405" s="98">
        <v>45.0</v>
      </c>
      <c r="DC405" s="2"/>
      <c r="DD405" s="101" t="s">
        <v>15</v>
      </c>
      <c r="DE405" s="2"/>
      <c r="DF405" s="120" t="s">
        <v>3704</v>
      </c>
      <c r="DG405" s="118" t="s">
        <v>3697</v>
      </c>
      <c r="DH405" s="160"/>
      <c r="DI405" s="2"/>
      <c r="DJ405" s="2"/>
      <c r="DK405" s="59" t="s">
        <v>3705</v>
      </c>
      <c r="DL405" s="37" t="s">
        <v>156</v>
      </c>
      <c r="DM405" s="37" t="str">
        <f t="shared" si="3"/>
        <v>#NAME?</v>
      </c>
      <c r="DN405" s="61"/>
      <c r="DO405" s="37" t="s">
        <v>19</v>
      </c>
      <c r="DP405" s="37" t="s">
        <v>19</v>
      </c>
      <c r="DQ405" s="62" t="s">
        <v>20</v>
      </c>
      <c r="DR405" s="63"/>
      <c r="DS405" s="198"/>
      <c r="DT405" s="108"/>
      <c r="DU405" s="108"/>
      <c r="DV405" s="182"/>
      <c r="DW405" s="182"/>
      <c r="DX405" s="182"/>
      <c r="DY405" s="182"/>
      <c r="DZ405" s="182"/>
      <c r="EA405" s="182"/>
      <c r="EB405" s="2"/>
      <c r="EC405" s="2"/>
      <c r="ED405" s="2"/>
      <c r="EE405" s="2"/>
      <c r="EF405" s="2"/>
      <c r="EG405" s="449"/>
      <c r="EH405" s="428"/>
      <c r="EI405" s="428"/>
    </row>
    <row r="406" ht="15.75" customHeight="1">
      <c r="A406" s="1">
        <v>403.0</v>
      </c>
      <c r="B406" s="2" t="s">
        <v>3706</v>
      </c>
      <c r="C406" s="7"/>
      <c r="D406" s="140" t="s">
        <v>3707</v>
      </c>
      <c r="E406" s="5"/>
      <c r="F406" s="141"/>
      <c r="G406" s="7"/>
      <c r="H406" s="8" t="s">
        <v>3708</v>
      </c>
      <c r="I406" s="9" t="s">
        <v>3709</v>
      </c>
      <c r="J406" s="355" t="str">
        <f>image("https://archives.bulbagarden.net/media/upload/f/fe/403MS6.png", 3)</f>
        <v/>
      </c>
      <c r="K406" s="11" t="s">
        <v>3707</v>
      </c>
      <c r="L406" s="12"/>
      <c r="M406" s="12"/>
      <c r="N406" s="12"/>
      <c r="O406" s="12"/>
      <c r="Q406" s="71">
        <v>45.0</v>
      </c>
      <c r="R406" s="72">
        <v>65.0</v>
      </c>
      <c r="S406" s="73">
        <v>34.0</v>
      </c>
      <c r="T406" s="74">
        <v>40.0</v>
      </c>
      <c r="U406" s="75">
        <v>34.0</v>
      </c>
      <c r="V406" s="76">
        <v>45.0</v>
      </c>
      <c r="W406" s="77">
        <v>263.0</v>
      </c>
      <c r="X406" s="21"/>
      <c r="Y406" s="71">
        <v>45.0</v>
      </c>
      <c r="Z406" s="72">
        <v>65.0</v>
      </c>
      <c r="AA406" s="73">
        <v>34.0</v>
      </c>
      <c r="AB406" s="74">
        <v>40.0</v>
      </c>
      <c r="AC406" s="75">
        <v>34.0</v>
      </c>
      <c r="AD406" s="76">
        <v>45.0</v>
      </c>
      <c r="AE406" s="77">
        <v>263.0</v>
      </c>
      <c r="AF406" s="21"/>
      <c r="AG406" s="71">
        <v>45.0</v>
      </c>
      <c r="AH406" s="72">
        <v>65.0</v>
      </c>
      <c r="AI406" s="73">
        <v>34.0</v>
      </c>
      <c r="AJ406" s="74">
        <v>40.0</v>
      </c>
      <c r="AK406" s="75">
        <v>34.0</v>
      </c>
      <c r="AL406" s="76">
        <v>45.0</v>
      </c>
      <c r="AM406" s="77">
        <v>263.0</v>
      </c>
      <c r="AN406" s="21"/>
      <c r="AO406" s="22">
        <v>45.0</v>
      </c>
      <c r="AP406" s="23">
        <v>65.0</v>
      </c>
      <c r="AQ406" s="23">
        <v>34.0</v>
      </c>
      <c r="AR406" s="23">
        <v>40.0</v>
      </c>
      <c r="AS406" s="23">
        <v>34.0</v>
      </c>
      <c r="AT406" s="23">
        <v>45.0</v>
      </c>
      <c r="AU406" s="24">
        <v>263.0</v>
      </c>
      <c r="AV406" s="21"/>
      <c r="AW406" s="265">
        <v>45.0</v>
      </c>
      <c r="AX406" s="124">
        <v>65.0</v>
      </c>
      <c r="AY406" s="124">
        <v>34.0</v>
      </c>
      <c r="AZ406" s="124">
        <v>40.0</v>
      </c>
      <c r="BA406" s="124">
        <v>34.0</v>
      </c>
      <c r="BB406" s="79">
        <v>45.0</v>
      </c>
      <c r="BC406" s="125">
        <v>263.0</v>
      </c>
      <c r="BE406" s="194" t="s">
        <v>2242</v>
      </c>
      <c r="BF406" s="447"/>
      <c r="BG406" s="128"/>
      <c r="BI406" s="31" t="s">
        <v>5</v>
      </c>
      <c r="BJ406" s="32">
        <v>1.0</v>
      </c>
      <c r="BK406" s="32" t="s">
        <v>5</v>
      </c>
      <c r="BL406" s="32" t="s">
        <v>5</v>
      </c>
      <c r="BM406" s="32" t="s">
        <v>5</v>
      </c>
      <c r="BN406" s="33" t="s">
        <v>5</v>
      </c>
      <c r="BP406" s="85" t="s">
        <v>197</v>
      </c>
      <c r="BQ406" s="129"/>
      <c r="BS406" s="87" t="s">
        <v>197</v>
      </c>
      <c r="BT406" s="130"/>
      <c r="BU406" s="37" t="str">
        <f t="shared" si="1"/>
        <v>#NAME?</v>
      </c>
      <c r="BV406" s="89" t="s">
        <v>197</v>
      </c>
      <c r="BW406" s="37" t="str">
        <f t="shared" si="2"/>
        <v>#NAME?</v>
      </c>
      <c r="BX406" s="89"/>
      <c r="BY406" s="39"/>
      <c r="BZ406" s="39"/>
      <c r="CA406" s="40" t="s">
        <v>197</v>
      </c>
      <c r="CB406" s="41"/>
      <c r="CC406" s="90" t="s">
        <v>197</v>
      </c>
      <c r="CD406" s="91"/>
      <c r="CE406" s="21"/>
      <c r="CF406" s="92" t="s">
        <v>395</v>
      </c>
      <c r="CG406" s="93" t="s">
        <v>326</v>
      </c>
      <c r="CH406" s="21"/>
      <c r="CI406" s="291" t="s">
        <v>326</v>
      </c>
      <c r="CJ406" s="46" t="s">
        <v>273</v>
      </c>
      <c r="CK406" s="21"/>
      <c r="CL406" s="22" t="s">
        <v>3710</v>
      </c>
      <c r="CM406" s="12"/>
      <c r="CN406" s="48"/>
      <c r="CO406" s="192" t="s">
        <v>3711</v>
      </c>
      <c r="CP406" s="21"/>
      <c r="CQ406" s="2" t="s">
        <v>1155</v>
      </c>
      <c r="CR406" s="97">
        <v>20.0</v>
      </c>
      <c r="CS406" s="2" t="s">
        <v>2242</v>
      </c>
      <c r="CT406" s="98">
        <v>60.0</v>
      </c>
      <c r="CU406" s="2"/>
      <c r="CV406" s="52" t="s">
        <v>149</v>
      </c>
      <c r="CW406" s="52" t="s">
        <v>149</v>
      </c>
      <c r="CX406" s="2"/>
      <c r="CY406" s="444" t="s">
        <v>277</v>
      </c>
      <c r="CZ406" s="450"/>
      <c r="DA406" s="2"/>
      <c r="DB406" s="98">
        <v>235.0</v>
      </c>
      <c r="DC406" s="2"/>
      <c r="DD406" s="101" t="s">
        <v>15</v>
      </c>
      <c r="DE406" s="2"/>
      <c r="DF406" s="448" t="s">
        <v>3712</v>
      </c>
      <c r="DG406" s="444"/>
      <c r="DH406" s="450"/>
      <c r="DI406" s="21"/>
      <c r="DJ406" s="21"/>
      <c r="DK406" s="59" t="s">
        <v>3713</v>
      </c>
      <c r="DL406" s="37" t="s">
        <v>156</v>
      </c>
      <c r="DM406" s="37" t="str">
        <f t="shared" si="3"/>
        <v>#NAME?</v>
      </c>
      <c r="DN406" s="61"/>
      <c r="DO406" s="37" t="s">
        <v>19</v>
      </c>
      <c r="DP406" s="37" t="s">
        <v>19</v>
      </c>
      <c r="DQ406" s="62" t="s">
        <v>293</v>
      </c>
      <c r="DR406" s="63"/>
      <c r="DS406" s="198"/>
      <c r="DT406" s="108"/>
      <c r="DU406" s="108"/>
      <c r="DV406" s="182"/>
      <c r="DW406" s="182"/>
      <c r="DX406" s="182"/>
      <c r="DY406" s="182"/>
      <c r="DZ406" s="182"/>
      <c r="EA406" s="182"/>
      <c r="EB406" s="21"/>
      <c r="EC406" s="21"/>
      <c r="ED406" s="21"/>
      <c r="EE406" s="21"/>
      <c r="EF406" s="21"/>
      <c r="EG406" s="108"/>
      <c r="EH406" s="442"/>
      <c r="EI406" s="442"/>
    </row>
    <row r="407" ht="15.75" customHeight="1">
      <c r="A407" s="1">
        <v>404.0</v>
      </c>
      <c r="B407" s="2" t="s">
        <v>3714</v>
      </c>
      <c r="C407" s="7"/>
      <c r="D407" s="140" t="s">
        <v>3715</v>
      </c>
      <c r="E407" s="5"/>
      <c r="F407" s="141"/>
      <c r="G407" s="7"/>
      <c r="H407" s="8" t="s">
        <v>3716</v>
      </c>
      <c r="I407" s="9" t="s">
        <v>3717</v>
      </c>
      <c r="J407" s="355" t="str">
        <f>image("https://archives.bulbagarden.net/media/upload/b/bc/404MS6.png", 3)</f>
        <v/>
      </c>
      <c r="K407" s="11" t="s">
        <v>3715</v>
      </c>
      <c r="L407" s="12"/>
      <c r="M407" s="12"/>
      <c r="N407" s="12"/>
      <c r="O407" s="12"/>
      <c r="Q407" s="71">
        <v>60.0</v>
      </c>
      <c r="R407" s="72">
        <v>85.0</v>
      </c>
      <c r="S407" s="73">
        <v>49.0</v>
      </c>
      <c r="T407" s="74">
        <v>60.0</v>
      </c>
      <c r="U407" s="75">
        <v>49.0</v>
      </c>
      <c r="V407" s="76">
        <v>60.0</v>
      </c>
      <c r="W407" s="77">
        <v>363.0</v>
      </c>
      <c r="X407" s="21"/>
      <c r="Y407" s="71">
        <v>60.0</v>
      </c>
      <c r="Z407" s="72">
        <v>85.0</v>
      </c>
      <c r="AA407" s="73">
        <v>49.0</v>
      </c>
      <c r="AB407" s="74">
        <v>60.0</v>
      </c>
      <c r="AC407" s="75">
        <v>49.0</v>
      </c>
      <c r="AD407" s="76">
        <v>60.0</v>
      </c>
      <c r="AE407" s="77">
        <v>363.0</v>
      </c>
      <c r="AF407" s="21"/>
      <c r="AG407" s="71">
        <v>60.0</v>
      </c>
      <c r="AH407" s="72">
        <v>85.0</v>
      </c>
      <c r="AI407" s="73">
        <v>49.0</v>
      </c>
      <c r="AJ407" s="74">
        <v>60.0</v>
      </c>
      <c r="AK407" s="75">
        <v>49.0</v>
      </c>
      <c r="AL407" s="76">
        <v>60.0</v>
      </c>
      <c r="AM407" s="77">
        <v>363.0</v>
      </c>
      <c r="AN407" s="21"/>
      <c r="AO407" s="22">
        <v>60.0</v>
      </c>
      <c r="AP407" s="23">
        <v>85.0</v>
      </c>
      <c r="AQ407" s="23">
        <v>49.0</v>
      </c>
      <c r="AR407" s="23">
        <v>60.0</v>
      </c>
      <c r="AS407" s="23">
        <v>49.0</v>
      </c>
      <c r="AT407" s="23">
        <v>60.0</v>
      </c>
      <c r="AU407" s="24">
        <v>363.0</v>
      </c>
      <c r="AV407" s="21"/>
      <c r="AW407" s="78">
        <v>60.0</v>
      </c>
      <c r="AX407" s="79">
        <v>85.0</v>
      </c>
      <c r="AY407" s="79">
        <v>49.0</v>
      </c>
      <c r="AZ407" s="79">
        <v>60.0</v>
      </c>
      <c r="BA407" s="79">
        <v>49.0</v>
      </c>
      <c r="BB407" s="79">
        <v>60.0</v>
      </c>
      <c r="BC407" s="201">
        <v>363.0</v>
      </c>
      <c r="BE407" s="172" t="s">
        <v>216</v>
      </c>
      <c r="BF407" s="113"/>
      <c r="BG407" s="210"/>
      <c r="BI407" s="31" t="s">
        <v>5</v>
      </c>
      <c r="BJ407" s="32">
        <v>2.0</v>
      </c>
      <c r="BK407" s="32" t="s">
        <v>5</v>
      </c>
      <c r="BL407" s="32" t="s">
        <v>5</v>
      </c>
      <c r="BM407" s="32" t="s">
        <v>5</v>
      </c>
      <c r="BN407" s="33" t="s">
        <v>5</v>
      </c>
      <c r="BP407" s="115" t="s">
        <v>197</v>
      </c>
      <c r="BQ407" s="93"/>
      <c r="BS407" s="115" t="s">
        <v>197</v>
      </c>
      <c r="BT407" s="133"/>
      <c r="BU407" s="37" t="str">
        <f t="shared" si="1"/>
        <v>#NAME?</v>
      </c>
      <c r="BV407" s="89" t="s">
        <v>197</v>
      </c>
      <c r="BW407" s="37" t="str">
        <f t="shared" si="2"/>
        <v>#NAME?</v>
      </c>
      <c r="BX407" s="89"/>
      <c r="BY407" s="134"/>
      <c r="BZ407" s="134"/>
      <c r="CA407" s="135" t="s">
        <v>197</v>
      </c>
      <c r="CB407" s="136"/>
      <c r="CC407" s="90" t="s">
        <v>197</v>
      </c>
      <c r="CD407" s="137"/>
      <c r="CE407" s="21"/>
      <c r="CF407" s="92" t="s">
        <v>395</v>
      </c>
      <c r="CG407" s="93" t="s">
        <v>326</v>
      </c>
      <c r="CH407" s="21"/>
      <c r="CI407" s="191" t="s">
        <v>326</v>
      </c>
      <c r="CJ407" s="94" t="s">
        <v>273</v>
      </c>
      <c r="CK407" s="21"/>
      <c r="CL407" s="22" t="s">
        <v>3710</v>
      </c>
      <c r="CM407" s="12"/>
      <c r="CN407" s="48"/>
      <c r="CO407" s="235" t="s">
        <v>3711</v>
      </c>
      <c r="CP407" s="21"/>
      <c r="CQ407" s="2" t="s">
        <v>3718</v>
      </c>
      <c r="CR407" s="97">
        <v>60.0</v>
      </c>
      <c r="CS407" s="2" t="s">
        <v>216</v>
      </c>
      <c r="CT407" s="98">
        <v>117.0</v>
      </c>
      <c r="CU407" s="2"/>
      <c r="CV407" s="52" t="s">
        <v>149</v>
      </c>
      <c r="CW407" s="52" t="s">
        <v>149</v>
      </c>
      <c r="CX407" s="2"/>
      <c r="CY407" s="119" t="s">
        <v>277</v>
      </c>
      <c r="CZ407" s="160"/>
      <c r="DA407" s="2"/>
      <c r="DB407" s="98">
        <v>120.0</v>
      </c>
      <c r="DC407" s="2"/>
      <c r="DD407" s="101" t="s">
        <v>15</v>
      </c>
      <c r="DE407" s="2"/>
      <c r="DF407" s="120" t="s">
        <v>3719</v>
      </c>
      <c r="DG407" s="119"/>
      <c r="DH407" s="160"/>
      <c r="DI407" s="2"/>
      <c r="DJ407" s="2"/>
      <c r="DK407" s="59" t="s">
        <v>3720</v>
      </c>
      <c r="DL407" s="37" t="s">
        <v>7</v>
      </c>
      <c r="DM407" s="37" t="str">
        <f t="shared" si="3"/>
        <v>#NAME?</v>
      </c>
      <c r="DN407" s="61"/>
      <c r="DO407" s="37" t="s">
        <v>19</v>
      </c>
      <c r="DP407" s="37" t="s">
        <v>266</v>
      </c>
      <c r="DQ407" s="62" t="s">
        <v>702</v>
      </c>
      <c r="DR407" s="63"/>
      <c r="DS407" s="198"/>
      <c r="DT407" s="108"/>
      <c r="DU407" s="108"/>
      <c r="DV407" s="182"/>
      <c r="DW407" s="182"/>
      <c r="DX407" s="182"/>
      <c r="DY407" s="182"/>
      <c r="DZ407" s="182"/>
      <c r="EA407" s="182"/>
      <c r="EB407" s="2"/>
      <c r="EC407" s="2"/>
      <c r="ED407" s="2"/>
      <c r="EE407" s="2"/>
      <c r="EF407" s="2"/>
      <c r="EG407" s="449"/>
      <c r="EH407" s="428"/>
      <c r="EI407" s="428"/>
    </row>
    <row r="408" ht="15.75" customHeight="1">
      <c r="A408" s="1">
        <v>405.0</v>
      </c>
      <c r="B408" s="2" t="s">
        <v>3721</v>
      </c>
      <c r="C408" s="7"/>
      <c r="D408" s="140" t="s">
        <v>3722</v>
      </c>
      <c r="E408" s="5"/>
      <c r="F408" s="141"/>
      <c r="G408" s="7"/>
      <c r="H408" s="8" t="s">
        <v>3723</v>
      </c>
      <c r="I408" s="9" t="s">
        <v>3724</v>
      </c>
      <c r="J408" s="355" t="str">
        <f>image("https://archives.bulbagarden.net/media/upload/1/1e/405MS6.png", 3)</f>
        <v/>
      </c>
      <c r="K408" s="11" t="s">
        <v>3722</v>
      </c>
      <c r="L408" s="12"/>
      <c r="M408" s="12"/>
      <c r="N408" s="12"/>
      <c r="O408" s="12"/>
      <c r="Q408" s="71">
        <v>80.0</v>
      </c>
      <c r="R408" s="72">
        <v>120.0</v>
      </c>
      <c r="S408" s="73">
        <v>79.0</v>
      </c>
      <c r="T408" s="74">
        <v>95.0</v>
      </c>
      <c r="U408" s="75">
        <v>79.0</v>
      </c>
      <c r="V408" s="76">
        <v>70.0</v>
      </c>
      <c r="W408" s="77">
        <v>523.0</v>
      </c>
      <c r="X408" s="21"/>
      <c r="Y408" s="71">
        <v>80.0</v>
      </c>
      <c r="Z408" s="72">
        <v>120.0</v>
      </c>
      <c r="AA408" s="73">
        <v>79.0</v>
      </c>
      <c r="AB408" s="74">
        <v>95.0</v>
      </c>
      <c r="AC408" s="75">
        <v>79.0</v>
      </c>
      <c r="AD408" s="76">
        <v>70.0</v>
      </c>
      <c r="AE408" s="77">
        <v>523.0</v>
      </c>
      <c r="AF408" s="21"/>
      <c r="AG408" s="71">
        <v>80.0</v>
      </c>
      <c r="AH408" s="72">
        <v>120.0</v>
      </c>
      <c r="AI408" s="73">
        <v>79.0</v>
      </c>
      <c r="AJ408" s="74">
        <v>95.0</v>
      </c>
      <c r="AK408" s="75">
        <v>79.0</v>
      </c>
      <c r="AL408" s="76">
        <v>70.0</v>
      </c>
      <c r="AM408" s="77">
        <v>523.0</v>
      </c>
      <c r="AN408" s="21"/>
      <c r="AO408" s="22">
        <v>80.0</v>
      </c>
      <c r="AP408" s="23">
        <v>120.0</v>
      </c>
      <c r="AQ408" s="23">
        <v>79.0</v>
      </c>
      <c r="AR408" s="23">
        <v>95.0</v>
      </c>
      <c r="AS408" s="23">
        <v>79.0</v>
      </c>
      <c r="AT408" s="23">
        <v>70.0</v>
      </c>
      <c r="AU408" s="24">
        <v>523.0</v>
      </c>
      <c r="AV408" s="21"/>
      <c r="AW408" s="78">
        <v>80.0</v>
      </c>
      <c r="AX408" s="79">
        <v>120.0</v>
      </c>
      <c r="AY408" s="79">
        <v>79.0</v>
      </c>
      <c r="AZ408" s="79">
        <v>95.0</v>
      </c>
      <c r="BA408" s="79">
        <v>79.0</v>
      </c>
      <c r="BB408" s="79">
        <v>70.0</v>
      </c>
      <c r="BC408" s="201">
        <v>523.0</v>
      </c>
      <c r="BE408" s="172" t="s">
        <v>451</v>
      </c>
      <c r="BF408" s="138"/>
      <c r="BG408" s="128"/>
      <c r="BI408" s="31" t="s">
        <v>5</v>
      </c>
      <c r="BJ408" s="32">
        <v>3.0</v>
      </c>
      <c r="BK408" s="32" t="s">
        <v>5</v>
      </c>
      <c r="BL408" s="32" t="s">
        <v>5</v>
      </c>
      <c r="BM408" s="32" t="s">
        <v>5</v>
      </c>
      <c r="BN408" s="33" t="s">
        <v>5</v>
      </c>
      <c r="BP408" s="85" t="s">
        <v>197</v>
      </c>
      <c r="BQ408" s="129"/>
      <c r="BS408" s="87" t="s">
        <v>197</v>
      </c>
      <c r="BT408" s="130"/>
      <c r="BU408" s="37" t="str">
        <f t="shared" si="1"/>
        <v>#NAME?</v>
      </c>
      <c r="BV408" s="89" t="s">
        <v>197</v>
      </c>
      <c r="BW408" s="37" t="str">
        <f t="shared" si="2"/>
        <v>#NAME?</v>
      </c>
      <c r="BX408" s="89" t="s">
        <v>380</v>
      </c>
      <c r="BY408" s="39"/>
      <c r="BZ408" s="39"/>
      <c r="CA408" s="40" t="s">
        <v>3725</v>
      </c>
      <c r="CB408" s="41"/>
      <c r="CC408" s="37" t="s">
        <v>197</v>
      </c>
      <c r="CD408" s="139" t="s">
        <v>76</v>
      </c>
      <c r="CE408" s="21"/>
      <c r="CF408" s="92" t="s">
        <v>395</v>
      </c>
      <c r="CG408" s="93" t="s">
        <v>326</v>
      </c>
      <c r="CH408" s="21"/>
      <c r="CI408" s="277" t="s">
        <v>326</v>
      </c>
      <c r="CJ408" s="94" t="s">
        <v>273</v>
      </c>
      <c r="CK408" s="21"/>
      <c r="CL408" s="22" t="s">
        <v>3710</v>
      </c>
      <c r="CM408" s="12"/>
      <c r="CN408" s="48"/>
      <c r="CO408" s="235" t="s">
        <v>3711</v>
      </c>
      <c r="CP408" s="21"/>
      <c r="CQ408" s="2" t="s">
        <v>3726</v>
      </c>
      <c r="CR408" s="97">
        <v>60.0</v>
      </c>
      <c r="CS408" s="2" t="s">
        <v>451</v>
      </c>
      <c r="CT408" s="98">
        <v>194.0</v>
      </c>
      <c r="CU408" s="2"/>
      <c r="CV408" s="52" t="s">
        <v>149</v>
      </c>
      <c r="CW408" s="52" t="s">
        <v>149</v>
      </c>
      <c r="CX408" s="2"/>
      <c r="CY408" s="444" t="s">
        <v>277</v>
      </c>
      <c r="CZ408" s="450"/>
      <c r="DA408" s="2"/>
      <c r="DB408" s="98">
        <v>45.0</v>
      </c>
      <c r="DC408" s="2"/>
      <c r="DD408" s="101" t="s">
        <v>15</v>
      </c>
      <c r="DE408" s="2"/>
      <c r="DF408" s="445" t="s">
        <v>3727</v>
      </c>
      <c r="DG408" s="444"/>
      <c r="DH408" s="450"/>
      <c r="DI408" s="2"/>
      <c r="DJ408" s="2"/>
      <c r="DK408" s="59" t="s">
        <v>3728</v>
      </c>
      <c r="DL408" s="37" t="s">
        <v>7</v>
      </c>
      <c r="DM408" s="37" t="str">
        <f t="shared" si="3"/>
        <v>#NAME?</v>
      </c>
      <c r="DN408" s="61"/>
      <c r="DO408" s="37" t="s">
        <v>19</v>
      </c>
      <c r="DP408" s="105">
        <v>0.75</v>
      </c>
      <c r="DQ408" s="62" t="s">
        <v>1158</v>
      </c>
      <c r="DR408" s="63"/>
      <c r="DS408" s="198"/>
      <c r="DT408" s="108"/>
      <c r="DU408" s="108"/>
      <c r="DV408" s="182"/>
      <c r="DW408" s="182"/>
      <c r="DX408" s="182"/>
      <c r="DY408" s="182"/>
      <c r="DZ408" s="182"/>
      <c r="EA408" s="182"/>
      <c r="EB408" s="2"/>
      <c r="EC408" s="2"/>
      <c r="ED408" s="2"/>
      <c r="EE408" s="2"/>
      <c r="EF408" s="2"/>
      <c r="EG408" s="449"/>
      <c r="EH408" s="428"/>
      <c r="EI408" s="428"/>
    </row>
    <row r="409" ht="15.75" customHeight="1">
      <c r="A409" s="1">
        <v>406.0</v>
      </c>
      <c r="B409" s="2" t="s">
        <v>3729</v>
      </c>
      <c r="C409" s="7"/>
      <c r="D409" s="4" t="s">
        <v>3730</v>
      </c>
      <c r="E409" s="5"/>
      <c r="F409" s="6"/>
      <c r="G409" s="7"/>
      <c r="H409" s="8" t="s">
        <v>3731</v>
      </c>
      <c r="I409" s="9" t="s">
        <v>3732</v>
      </c>
      <c r="J409" s="355" t="str">
        <f>image("https://archives.bulbagarden.net/media/upload/0/0e/406MS6.png", 3)</f>
        <v/>
      </c>
      <c r="K409" s="11" t="s">
        <v>3730</v>
      </c>
      <c r="L409" s="12"/>
      <c r="M409" s="12"/>
      <c r="N409" s="12"/>
      <c r="O409" s="12"/>
      <c r="Q409" s="71">
        <v>40.0</v>
      </c>
      <c r="R409" s="72">
        <v>30.0</v>
      </c>
      <c r="S409" s="73">
        <v>35.0</v>
      </c>
      <c r="T409" s="74">
        <v>50.0</v>
      </c>
      <c r="U409" s="75">
        <v>70.0</v>
      </c>
      <c r="V409" s="76">
        <v>55.0</v>
      </c>
      <c r="W409" s="77">
        <v>280.0</v>
      </c>
      <c r="X409" s="21"/>
      <c r="Y409" s="71">
        <v>40.0</v>
      </c>
      <c r="Z409" s="72">
        <v>30.0</v>
      </c>
      <c r="AA409" s="73">
        <v>35.0</v>
      </c>
      <c r="AB409" s="74">
        <v>50.0</v>
      </c>
      <c r="AC409" s="75">
        <v>70.0</v>
      </c>
      <c r="AD409" s="76">
        <v>55.0</v>
      </c>
      <c r="AE409" s="77">
        <v>280.0</v>
      </c>
      <c r="AF409" s="21"/>
      <c r="AG409" s="71">
        <v>40.0</v>
      </c>
      <c r="AH409" s="72">
        <v>30.0</v>
      </c>
      <c r="AI409" s="73">
        <v>35.0</v>
      </c>
      <c r="AJ409" s="74">
        <v>50.0</v>
      </c>
      <c r="AK409" s="75">
        <v>70.0</v>
      </c>
      <c r="AL409" s="76">
        <v>55.0</v>
      </c>
      <c r="AM409" s="77">
        <v>280.0</v>
      </c>
      <c r="AN409" s="21"/>
      <c r="AO409" s="22">
        <v>40.0</v>
      </c>
      <c r="AP409" s="23">
        <v>30.0</v>
      </c>
      <c r="AQ409" s="23">
        <v>35.0</v>
      </c>
      <c r="AR409" s="23">
        <v>50.0</v>
      </c>
      <c r="AS409" s="23">
        <v>70.0</v>
      </c>
      <c r="AT409" s="23">
        <v>55.0</v>
      </c>
      <c r="AU409" s="24">
        <v>280.0</v>
      </c>
      <c r="AV409" s="21"/>
      <c r="AW409" s="78">
        <v>40.0</v>
      </c>
      <c r="AX409" s="79">
        <v>30.0</v>
      </c>
      <c r="AY409" s="80">
        <v>35.0</v>
      </c>
      <c r="AZ409" s="79">
        <v>50.0</v>
      </c>
      <c r="BA409" s="79">
        <v>70.0</v>
      </c>
      <c r="BB409" s="79">
        <v>55.0</v>
      </c>
      <c r="BC409" s="81">
        <v>280.0</v>
      </c>
      <c r="BE409" s="82" t="s">
        <v>4</v>
      </c>
      <c r="BF409" s="143"/>
      <c r="BG409" s="128"/>
      <c r="BI409" s="31" t="s">
        <v>5</v>
      </c>
      <c r="BJ409" s="32" t="s">
        <v>5</v>
      </c>
      <c r="BK409" s="32" t="s">
        <v>5</v>
      </c>
      <c r="BL409" s="32">
        <v>1.0</v>
      </c>
      <c r="BM409" s="32" t="s">
        <v>5</v>
      </c>
      <c r="BN409" s="33" t="s">
        <v>5</v>
      </c>
      <c r="BP409" s="115" t="s">
        <v>6</v>
      </c>
      <c r="BQ409" s="116" t="s">
        <v>7</v>
      </c>
      <c r="BS409" s="115" t="s">
        <v>6</v>
      </c>
      <c r="BT409" s="117" t="s">
        <v>7</v>
      </c>
      <c r="BU409" s="37" t="str">
        <f t="shared" si="1"/>
        <v>#NAME?</v>
      </c>
      <c r="BV409" s="89" t="s">
        <v>6</v>
      </c>
      <c r="BW409" s="37" t="str">
        <f t="shared" si="2"/>
        <v>#NAME?</v>
      </c>
      <c r="BX409" s="89" t="s">
        <v>7</v>
      </c>
      <c r="BY409" s="144"/>
      <c r="BZ409" s="144"/>
      <c r="CA409" s="145" t="s">
        <v>8</v>
      </c>
      <c r="CB409" s="146"/>
      <c r="CC409" s="90" t="s">
        <v>6</v>
      </c>
      <c r="CD409" s="147" t="s">
        <v>7</v>
      </c>
      <c r="CE409" s="2"/>
      <c r="CF409" s="92" t="s">
        <v>1182</v>
      </c>
      <c r="CG409" s="93" t="s">
        <v>394</v>
      </c>
      <c r="CH409" s="2"/>
      <c r="CI409" s="272" t="s">
        <v>394</v>
      </c>
      <c r="CJ409" s="275" t="s">
        <v>1182</v>
      </c>
      <c r="CK409" s="2"/>
      <c r="CL409" s="22" t="s">
        <v>2917</v>
      </c>
      <c r="CM409" s="12"/>
      <c r="CN409" s="48"/>
      <c r="CO409" s="242" t="s">
        <v>1182</v>
      </c>
      <c r="CP409" s="2"/>
      <c r="CQ409" s="2" t="s">
        <v>2715</v>
      </c>
      <c r="CR409" s="97">
        <v>20.0</v>
      </c>
      <c r="CS409" s="2" t="s">
        <v>4</v>
      </c>
      <c r="CT409" s="98">
        <v>68.0</v>
      </c>
      <c r="CU409" s="2"/>
      <c r="CV409" s="52" t="s">
        <v>149</v>
      </c>
      <c r="CW409" s="52" t="s">
        <v>149</v>
      </c>
      <c r="CX409" s="2"/>
      <c r="CY409" s="119" t="s">
        <v>411</v>
      </c>
      <c r="CZ409" s="160"/>
      <c r="DA409" s="2"/>
      <c r="DB409" s="98">
        <v>255.0</v>
      </c>
      <c r="DC409" s="2"/>
      <c r="DD409" s="101" t="s">
        <v>15</v>
      </c>
      <c r="DE409" s="2"/>
      <c r="DF409" s="148" t="s">
        <v>3733</v>
      </c>
      <c r="DG409" s="118" t="s">
        <v>223</v>
      </c>
      <c r="DH409" s="160"/>
      <c r="DI409" s="21"/>
      <c r="DJ409" s="21"/>
      <c r="DK409" s="59" t="s">
        <v>3734</v>
      </c>
      <c r="DL409" s="37" t="s">
        <v>122</v>
      </c>
      <c r="DM409" s="37" t="str">
        <f t="shared" si="3"/>
        <v>#NAME?</v>
      </c>
      <c r="DN409" s="61"/>
      <c r="DO409" s="37" t="s">
        <v>19</v>
      </c>
      <c r="DP409" s="37" t="s">
        <v>19</v>
      </c>
      <c r="DQ409" s="62" t="s">
        <v>49</v>
      </c>
      <c r="DR409" s="63"/>
      <c r="DS409" s="198"/>
      <c r="DT409" s="108"/>
      <c r="DU409" s="108"/>
      <c r="DV409" s="182"/>
      <c r="DW409" s="182"/>
      <c r="DX409" s="182"/>
      <c r="DY409" s="182"/>
      <c r="DZ409" s="182"/>
      <c r="EA409" s="182"/>
      <c r="EB409" s="21"/>
      <c r="EC409" s="21"/>
      <c r="ED409" s="21"/>
      <c r="EE409" s="21"/>
      <c r="EF409" s="21"/>
      <c r="EG409" s="108"/>
      <c r="EH409" s="442"/>
      <c r="EI409" s="442"/>
    </row>
    <row r="410" ht="15.75" customHeight="1">
      <c r="A410" s="1">
        <v>407.0</v>
      </c>
      <c r="B410" s="2" t="s">
        <v>3735</v>
      </c>
      <c r="C410" s="7"/>
      <c r="D410" s="4" t="s">
        <v>3736</v>
      </c>
      <c r="E410" s="5"/>
      <c r="F410" s="6"/>
      <c r="G410" s="7"/>
      <c r="H410" s="8" t="s">
        <v>3737</v>
      </c>
      <c r="I410" s="9" t="s">
        <v>3738</v>
      </c>
      <c r="J410" s="355" t="str">
        <f>image("https://archives.bulbagarden.net/media/upload/4/4e/407MS6.png", 3)</f>
        <v/>
      </c>
      <c r="K410" s="11" t="s">
        <v>3736</v>
      </c>
      <c r="L410" s="12"/>
      <c r="M410" s="12"/>
      <c r="N410" s="12"/>
      <c r="O410" s="12"/>
      <c r="Q410" s="71">
        <v>60.0</v>
      </c>
      <c r="R410" s="72">
        <v>70.0</v>
      </c>
      <c r="S410" s="73">
        <v>55.0</v>
      </c>
      <c r="T410" s="74">
        <v>125.0</v>
      </c>
      <c r="U410" s="75">
        <v>105.0</v>
      </c>
      <c r="V410" s="76">
        <v>90.0</v>
      </c>
      <c r="W410" s="77">
        <v>505.0</v>
      </c>
      <c r="X410" s="21"/>
      <c r="Y410" s="71">
        <v>60.0</v>
      </c>
      <c r="Z410" s="72">
        <v>70.0</v>
      </c>
      <c r="AA410" s="109">
        <v>65.0</v>
      </c>
      <c r="AB410" s="74">
        <v>125.0</v>
      </c>
      <c r="AC410" s="75">
        <v>105.0</v>
      </c>
      <c r="AD410" s="76">
        <v>90.0</v>
      </c>
      <c r="AE410" s="110">
        <v>515.0</v>
      </c>
      <c r="AF410" s="21"/>
      <c r="AG410" s="71">
        <v>60.0</v>
      </c>
      <c r="AH410" s="72">
        <v>70.0</v>
      </c>
      <c r="AI410" s="109">
        <v>65.0</v>
      </c>
      <c r="AJ410" s="74">
        <v>125.0</v>
      </c>
      <c r="AK410" s="75">
        <v>105.0</v>
      </c>
      <c r="AL410" s="76">
        <v>90.0</v>
      </c>
      <c r="AM410" s="110">
        <v>515.0</v>
      </c>
      <c r="AN410" s="21"/>
      <c r="AO410" s="22">
        <v>60.0</v>
      </c>
      <c r="AP410" s="23">
        <v>70.0</v>
      </c>
      <c r="AQ410" s="23" t="s">
        <v>247</v>
      </c>
      <c r="AR410" s="23">
        <v>125.0</v>
      </c>
      <c r="AS410" s="23">
        <v>105.0</v>
      </c>
      <c r="AT410" s="23">
        <v>90.0</v>
      </c>
      <c r="AU410" s="24" t="s">
        <v>3739</v>
      </c>
      <c r="AV410" s="21"/>
      <c r="AW410" s="78">
        <v>60.0</v>
      </c>
      <c r="AX410" s="79">
        <v>70.0</v>
      </c>
      <c r="AY410" s="111">
        <v>65.0</v>
      </c>
      <c r="AZ410" s="79">
        <v>125.0</v>
      </c>
      <c r="BA410" s="79">
        <v>105.0</v>
      </c>
      <c r="BB410" s="79">
        <v>90.0</v>
      </c>
      <c r="BC410" s="111">
        <v>515.0</v>
      </c>
      <c r="BE410" s="112" t="s">
        <v>85</v>
      </c>
      <c r="BF410" s="138"/>
      <c r="BG410" s="128"/>
      <c r="BI410" s="31" t="s">
        <v>5</v>
      </c>
      <c r="BJ410" s="32" t="s">
        <v>5</v>
      </c>
      <c r="BK410" s="32" t="s">
        <v>5</v>
      </c>
      <c r="BL410" s="32">
        <v>3.0</v>
      </c>
      <c r="BM410" s="32" t="s">
        <v>5</v>
      </c>
      <c r="BN410" s="33" t="s">
        <v>5</v>
      </c>
      <c r="BP410" s="85" t="s">
        <v>6</v>
      </c>
      <c r="BQ410" s="86" t="s">
        <v>7</v>
      </c>
      <c r="BS410" s="87" t="s">
        <v>6</v>
      </c>
      <c r="BT410" s="88" t="s">
        <v>7</v>
      </c>
      <c r="BU410" s="37" t="str">
        <f t="shared" si="1"/>
        <v>#NAME?</v>
      </c>
      <c r="BV410" s="89" t="s">
        <v>6</v>
      </c>
      <c r="BW410" s="37" t="str">
        <f t="shared" si="2"/>
        <v>#NAME?</v>
      </c>
      <c r="BX410" s="89" t="s">
        <v>7</v>
      </c>
      <c r="BY410" s="39"/>
      <c r="BZ410" s="39"/>
      <c r="CA410" s="40" t="s">
        <v>8</v>
      </c>
      <c r="CB410" s="41"/>
      <c r="CC410" s="90" t="s">
        <v>6</v>
      </c>
      <c r="CD410" s="91" t="s">
        <v>7</v>
      </c>
      <c r="CE410" s="2"/>
      <c r="CF410" s="92" t="s">
        <v>1182</v>
      </c>
      <c r="CG410" s="93" t="s">
        <v>394</v>
      </c>
      <c r="CH410" s="2"/>
      <c r="CI410" s="152" t="s">
        <v>627</v>
      </c>
      <c r="CJ410" s="165" t="s">
        <v>1182</v>
      </c>
      <c r="CK410" s="2"/>
      <c r="CL410" s="22" t="s">
        <v>1278</v>
      </c>
      <c r="CM410" s="12"/>
      <c r="CN410" s="48"/>
      <c r="CO410" s="196" t="s">
        <v>1182</v>
      </c>
      <c r="CP410" s="2"/>
      <c r="CQ410" s="2" t="s">
        <v>3740</v>
      </c>
      <c r="CR410" s="97">
        <v>40.0</v>
      </c>
      <c r="CS410" s="2" t="s">
        <v>85</v>
      </c>
      <c r="CT410" s="98">
        <v>204.0</v>
      </c>
      <c r="CU410" s="2"/>
      <c r="CV410" s="52" t="s">
        <v>149</v>
      </c>
      <c r="CW410" s="52" t="s">
        <v>149</v>
      </c>
      <c r="CX410" s="2"/>
      <c r="CY410" s="443" t="s">
        <v>153</v>
      </c>
      <c r="CZ410" s="444" t="s">
        <v>6</v>
      </c>
      <c r="DA410" s="2"/>
      <c r="DB410" s="98">
        <v>75.0</v>
      </c>
      <c r="DC410" s="2"/>
      <c r="DD410" s="101" t="s">
        <v>15</v>
      </c>
      <c r="DE410" s="2"/>
      <c r="DF410" s="445" t="s">
        <v>3741</v>
      </c>
      <c r="DG410" s="443" t="s">
        <v>223</v>
      </c>
      <c r="DH410" s="444"/>
      <c r="DI410" s="2"/>
      <c r="DJ410" s="2"/>
      <c r="DK410" s="59" t="s">
        <v>3742</v>
      </c>
      <c r="DL410" s="37" t="s">
        <v>122</v>
      </c>
      <c r="DM410" s="37" t="str">
        <f t="shared" si="3"/>
        <v>#NAME?</v>
      </c>
      <c r="DN410" s="61"/>
      <c r="DO410" s="37" t="s">
        <v>19</v>
      </c>
      <c r="DP410" s="37" t="s">
        <v>19</v>
      </c>
      <c r="DQ410" s="62" t="s">
        <v>49</v>
      </c>
      <c r="DR410" s="63"/>
      <c r="DS410" s="198"/>
      <c r="DT410" s="108"/>
      <c r="DU410" s="108"/>
      <c r="DV410" s="182"/>
      <c r="DW410" s="182"/>
      <c r="DX410" s="182"/>
      <c r="DY410" s="182"/>
      <c r="DZ410" s="182"/>
      <c r="EA410" s="182"/>
      <c r="EB410" s="2"/>
      <c r="EC410" s="2"/>
      <c r="ED410" s="2"/>
      <c r="EE410" s="2"/>
      <c r="EF410" s="2"/>
      <c r="EG410" s="449"/>
      <c r="EH410" s="428"/>
      <c r="EI410" s="428"/>
    </row>
    <row r="411" ht="15.75" customHeight="1">
      <c r="A411" s="1">
        <v>408.0</v>
      </c>
      <c r="B411" s="2" t="s">
        <v>3743</v>
      </c>
      <c r="C411" s="7"/>
      <c r="D411" s="140" t="s">
        <v>3744</v>
      </c>
      <c r="E411" s="5"/>
      <c r="F411" s="141"/>
      <c r="G411" s="7"/>
      <c r="H411" s="8" t="s">
        <v>3745</v>
      </c>
      <c r="I411" s="9" t="s">
        <v>3746</v>
      </c>
      <c r="J411" s="355" t="str">
        <f>image("https://archives.bulbagarden.net/media/upload/a/a0/408MS6.png", 3)</f>
        <v/>
      </c>
      <c r="K411" s="11" t="s">
        <v>3744</v>
      </c>
      <c r="L411" s="12"/>
      <c r="M411" s="12"/>
      <c r="N411" s="12"/>
      <c r="O411" s="12"/>
      <c r="Q411" s="71">
        <v>67.0</v>
      </c>
      <c r="R411" s="72">
        <v>125.0</v>
      </c>
      <c r="S411" s="73">
        <v>40.0</v>
      </c>
      <c r="T411" s="74">
        <v>30.0</v>
      </c>
      <c r="U411" s="75">
        <v>30.0</v>
      </c>
      <c r="V411" s="76">
        <v>58.0</v>
      </c>
      <c r="W411" s="77">
        <v>350.0</v>
      </c>
      <c r="X411" s="21"/>
      <c r="Y411" s="71">
        <v>67.0</v>
      </c>
      <c r="Z411" s="72">
        <v>125.0</v>
      </c>
      <c r="AA411" s="73">
        <v>40.0</v>
      </c>
      <c r="AB411" s="74">
        <v>30.0</v>
      </c>
      <c r="AC411" s="75">
        <v>30.0</v>
      </c>
      <c r="AD411" s="76">
        <v>58.0</v>
      </c>
      <c r="AE411" s="77">
        <v>350.0</v>
      </c>
      <c r="AF411" s="21"/>
      <c r="AG411" s="71">
        <v>67.0</v>
      </c>
      <c r="AH411" s="72">
        <v>125.0</v>
      </c>
      <c r="AI411" s="73">
        <v>40.0</v>
      </c>
      <c r="AJ411" s="74">
        <v>30.0</v>
      </c>
      <c r="AK411" s="75">
        <v>30.0</v>
      </c>
      <c r="AL411" s="76">
        <v>58.0</v>
      </c>
      <c r="AM411" s="77">
        <v>350.0</v>
      </c>
      <c r="AN411" s="21"/>
      <c r="AO411" s="22">
        <v>67.0</v>
      </c>
      <c r="AP411" s="23">
        <v>125.0</v>
      </c>
      <c r="AQ411" s="23">
        <v>40.0</v>
      </c>
      <c r="AR411" s="23">
        <v>30.0</v>
      </c>
      <c r="AS411" s="23">
        <v>30.0</v>
      </c>
      <c r="AT411" s="23">
        <v>58.0</v>
      </c>
      <c r="AU411" s="24">
        <v>350.0</v>
      </c>
      <c r="AV411" s="21"/>
      <c r="AW411" s="78">
        <v>67.0</v>
      </c>
      <c r="AX411" s="79">
        <v>125.0</v>
      </c>
      <c r="AY411" s="124">
        <v>40.0</v>
      </c>
      <c r="AZ411" s="79">
        <v>30.0</v>
      </c>
      <c r="BA411" s="79">
        <v>30.0</v>
      </c>
      <c r="BB411" s="79">
        <v>58.0</v>
      </c>
      <c r="BC411" s="125">
        <v>350.0</v>
      </c>
      <c r="BE411" s="194" t="s">
        <v>325</v>
      </c>
      <c r="BF411" s="143"/>
      <c r="BG411" s="128"/>
      <c r="BI411" s="31" t="s">
        <v>5</v>
      </c>
      <c r="BJ411" s="32">
        <v>1.0</v>
      </c>
      <c r="BK411" s="32" t="s">
        <v>5</v>
      </c>
      <c r="BL411" s="32" t="s">
        <v>5</v>
      </c>
      <c r="BM411" s="32" t="s">
        <v>5</v>
      </c>
      <c r="BN411" s="33" t="s">
        <v>5</v>
      </c>
      <c r="BP411" s="115" t="s">
        <v>66</v>
      </c>
      <c r="BQ411" s="93"/>
      <c r="BS411" s="115" t="s">
        <v>66</v>
      </c>
      <c r="BT411" s="133"/>
      <c r="BU411" s="37" t="str">
        <f t="shared" si="1"/>
        <v>#NAME?</v>
      </c>
      <c r="BV411" s="89" t="s">
        <v>66</v>
      </c>
      <c r="BW411" s="37" t="str">
        <f t="shared" si="2"/>
        <v>#NAME?</v>
      </c>
      <c r="BX411" s="89"/>
      <c r="BY411" s="39"/>
      <c r="BZ411" s="39"/>
      <c r="CA411" s="40" t="s">
        <v>66</v>
      </c>
      <c r="CB411" s="41"/>
      <c r="CC411" s="90" t="s">
        <v>66</v>
      </c>
      <c r="CD411" s="91"/>
      <c r="CE411" s="21"/>
      <c r="CF411" s="92" t="s">
        <v>1324</v>
      </c>
      <c r="CG411" s="93"/>
      <c r="CH411" s="21"/>
      <c r="CI411" s="175" t="s">
        <v>1324</v>
      </c>
      <c r="CJ411" s="93"/>
      <c r="CK411" s="21"/>
      <c r="CL411" s="22" t="s">
        <v>3472</v>
      </c>
      <c r="CM411" s="12"/>
      <c r="CN411" s="48"/>
      <c r="CO411" s="96" t="s">
        <v>1324</v>
      </c>
      <c r="CP411" s="21"/>
      <c r="CQ411" s="2" t="s">
        <v>2852</v>
      </c>
      <c r="CR411" s="97">
        <v>60.0</v>
      </c>
      <c r="CS411" s="2" t="s">
        <v>325</v>
      </c>
      <c r="CT411" s="98">
        <v>99.0</v>
      </c>
      <c r="CU411" s="2"/>
      <c r="CV411" s="52" t="s">
        <v>13</v>
      </c>
      <c r="CW411" s="53">
        <v>0.125</v>
      </c>
      <c r="CX411" s="2"/>
      <c r="CY411" s="119" t="s">
        <v>14</v>
      </c>
      <c r="CZ411" s="160"/>
      <c r="DA411" s="2"/>
      <c r="DB411" s="98">
        <v>45.0</v>
      </c>
      <c r="DC411" s="2"/>
      <c r="DD411" s="101" t="s">
        <v>2698</v>
      </c>
      <c r="DE411" s="2"/>
      <c r="DF411" s="148" t="s">
        <v>3747</v>
      </c>
      <c r="DG411" s="119"/>
      <c r="DH411" s="160"/>
      <c r="DI411" s="21"/>
      <c r="DJ411" s="21"/>
      <c r="DK411" s="59" t="s">
        <v>3748</v>
      </c>
      <c r="DL411" s="37" t="s">
        <v>156</v>
      </c>
      <c r="DM411" s="37" t="str">
        <f t="shared" si="3"/>
        <v>#NAME?</v>
      </c>
      <c r="DN411" s="61"/>
      <c r="DO411" s="37" t="s">
        <v>19</v>
      </c>
      <c r="DP411" s="37" t="s">
        <v>19</v>
      </c>
      <c r="DQ411" s="62" t="s">
        <v>49</v>
      </c>
      <c r="DR411" s="63"/>
      <c r="DS411" s="198"/>
      <c r="DT411" s="108"/>
      <c r="DU411" s="108"/>
      <c r="DV411" s="182"/>
      <c r="DW411" s="182"/>
      <c r="DX411" s="182"/>
      <c r="DY411" s="182"/>
      <c r="DZ411" s="182"/>
      <c r="EA411" s="182"/>
      <c r="EB411" s="21"/>
      <c r="EC411" s="21"/>
      <c r="ED411" s="21"/>
      <c r="EE411" s="21"/>
      <c r="EF411" s="21"/>
      <c r="EG411" s="108"/>
      <c r="EH411" s="442"/>
      <c r="EI411" s="442"/>
    </row>
    <row r="412" ht="15.75" customHeight="1">
      <c r="A412" s="1">
        <v>409.0</v>
      </c>
      <c r="B412" s="2" t="s">
        <v>3749</v>
      </c>
      <c r="C412" s="7"/>
      <c r="D412" s="140" t="s">
        <v>3750</v>
      </c>
      <c r="E412" s="5"/>
      <c r="F412" s="141"/>
      <c r="G412" s="7"/>
      <c r="H412" s="8" t="s">
        <v>3751</v>
      </c>
      <c r="I412" s="9" t="s">
        <v>3752</v>
      </c>
      <c r="J412" s="355" t="str">
        <f>image("https://archives.bulbagarden.net/media/upload/1/14/409MS6.png", 3)</f>
        <v/>
      </c>
      <c r="K412" s="11" t="s">
        <v>3750</v>
      </c>
      <c r="L412" s="12"/>
      <c r="M412" s="12"/>
      <c r="N412" s="12"/>
      <c r="O412" s="12"/>
      <c r="Q412" s="71">
        <v>97.0</v>
      </c>
      <c r="R412" s="72">
        <v>165.0</v>
      </c>
      <c r="S412" s="73">
        <v>60.0</v>
      </c>
      <c r="T412" s="74">
        <v>65.0</v>
      </c>
      <c r="U412" s="75">
        <v>50.0</v>
      </c>
      <c r="V412" s="76">
        <v>58.0</v>
      </c>
      <c r="W412" s="77">
        <v>495.0</v>
      </c>
      <c r="X412" s="21"/>
      <c r="Y412" s="71">
        <v>97.0</v>
      </c>
      <c r="Z412" s="72">
        <v>165.0</v>
      </c>
      <c r="AA412" s="73">
        <v>60.0</v>
      </c>
      <c r="AB412" s="74">
        <v>65.0</v>
      </c>
      <c r="AC412" s="75">
        <v>50.0</v>
      </c>
      <c r="AD412" s="76">
        <v>58.0</v>
      </c>
      <c r="AE412" s="77">
        <v>495.0</v>
      </c>
      <c r="AF412" s="21"/>
      <c r="AG412" s="71">
        <v>97.0</v>
      </c>
      <c r="AH412" s="72">
        <v>165.0</v>
      </c>
      <c r="AI412" s="73">
        <v>60.0</v>
      </c>
      <c r="AJ412" s="74">
        <v>65.0</v>
      </c>
      <c r="AK412" s="75">
        <v>50.0</v>
      </c>
      <c r="AL412" s="76">
        <v>58.0</v>
      </c>
      <c r="AM412" s="77">
        <v>495.0</v>
      </c>
      <c r="AN412" s="21"/>
      <c r="AO412" s="22">
        <v>97.0</v>
      </c>
      <c r="AP412" s="23">
        <v>165.0</v>
      </c>
      <c r="AQ412" s="23">
        <v>60.0</v>
      </c>
      <c r="AR412" s="23">
        <v>65.0</v>
      </c>
      <c r="AS412" s="23">
        <v>50.0</v>
      </c>
      <c r="AT412" s="23">
        <v>58.0</v>
      </c>
      <c r="AU412" s="24">
        <v>495.0</v>
      </c>
      <c r="AV412" s="21"/>
      <c r="AW412" s="78">
        <v>97.0</v>
      </c>
      <c r="AX412" s="80">
        <v>165.0</v>
      </c>
      <c r="AY412" s="79">
        <v>60.0</v>
      </c>
      <c r="AZ412" s="80">
        <v>65.0</v>
      </c>
      <c r="BA412" s="79">
        <v>50.0</v>
      </c>
      <c r="BB412" s="79">
        <v>58.0</v>
      </c>
      <c r="BC412" s="201">
        <v>495.0</v>
      </c>
      <c r="BE412" s="172" t="s">
        <v>216</v>
      </c>
      <c r="BF412" s="113"/>
      <c r="BG412" s="446"/>
      <c r="BI412" s="31" t="s">
        <v>5</v>
      </c>
      <c r="BJ412" s="32">
        <v>2.0</v>
      </c>
      <c r="BK412" s="32" t="s">
        <v>5</v>
      </c>
      <c r="BL412" s="32" t="s">
        <v>5</v>
      </c>
      <c r="BM412" s="32" t="s">
        <v>5</v>
      </c>
      <c r="BN412" s="33" t="s">
        <v>5</v>
      </c>
      <c r="BP412" s="85" t="s">
        <v>66</v>
      </c>
      <c r="BQ412" s="129"/>
      <c r="BS412" s="87" t="s">
        <v>66</v>
      </c>
      <c r="BT412" s="130"/>
      <c r="BU412" s="37" t="str">
        <f t="shared" si="1"/>
        <v>#NAME?</v>
      </c>
      <c r="BV412" s="89" t="s">
        <v>66</v>
      </c>
      <c r="BW412" s="37" t="str">
        <f t="shared" si="2"/>
        <v>#NAME?</v>
      </c>
      <c r="BX412" s="89"/>
      <c r="BY412" s="39"/>
      <c r="BZ412" s="39"/>
      <c r="CA412" s="40" t="s">
        <v>66</v>
      </c>
      <c r="CB412" s="41"/>
      <c r="CC412" s="90" t="s">
        <v>66</v>
      </c>
      <c r="CD412" s="91"/>
      <c r="CE412" s="21"/>
      <c r="CF412" s="92" t="s">
        <v>1324</v>
      </c>
      <c r="CG412" s="93"/>
      <c r="CH412" s="21"/>
      <c r="CI412" s="177" t="s">
        <v>1324</v>
      </c>
      <c r="CJ412" s="93"/>
      <c r="CK412" s="21"/>
      <c r="CL412" s="22" t="s">
        <v>3472</v>
      </c>
      <c r="CM412" s="12"/>
      <c r="CN412" s="48"/>
      <c r="CO412" s="96" t="s">
        <v>1324</v>
      </c>
      <c r="CP412" s="21"/>
      <c r="CQ412" s="2" t="s">
        <v>3753</v>
      </c>
      <c r="CR412" s="97">
        <v>100.0</v>
      </c>
      <c r="CS412" s="2" t="s">
        <v>216</v>
      </c>
      <c r="CT412" s="98">
        <v>199.0</v>
      </c>
      <c r="CU412" s="2"/>
      <c r="CV412" s="52" t="s">
        <v>13</v>
      </c>
      <c r="CW412" s="53">
        <v>0.125</v>
      </c>
      <c r="CX412" s="2"/>
      <c r="CY412" s="444" t="s">
        <v>14</v>
      </c>
      <c r="CZ412" s="450"/>
      <c r="DA412" s="2"/>
      <c r="DB412" s="98">
        <v>45.0</v>
      </c>
      <c r="DC412" s="2"/>
      <c r="DD412" s="101" t="s">
        <v>2698</v>
      </c>
      <c r="DE412" s="2"/>
      <c r="DF412" s="445" t="s">
        <v>3754</v>
      </c>
      <c r="DG412" s="444"/>
      <c r="DH412" s="450"/>
      <c r="DI412" s="2"/>
      <c r="DJ412" s="2"/>
      <c r="DK412" s="59" t="s">
        <v>3755</v>
      </c>
      <c r="DL412" s="37" t="s">
        <v>156</v>
      </c>
      <c r="DM412" s="37" t="str">
        <f t="shared" si="3"/>
        <v>#NAME?</v>
      </c>
      <c r="DN412" s="61"/>
      <c r="DO412" s="37" t="s">
        <v>19</v>
      </c>
      <c r="DP412" s="37" t="s">
        <v>19</v>
      </c>
      <c r="DQ412" s="62" t="s">
        <v>49</v>
      </c>
      <c r="DR412" s="63"/>
      <c r="DS412" s="198"/>
      <c r="DT412" s="108"/>
      <c r="DU412" s="108"/>
      <c r="DV412" s="182"/>
      <c r="DW412" s="182"/>
      <c r="DX412" s="182"/>
      <c r="DY412" s="182"/>
      <c r="DZ412" s="182"/>
      <c r="EA412" s="182"/>
      <c r="EB412" s="2"/>
      <c r="EC412" s="2"/>
      <c r="ED412" s="2"/>
      <c r="EE412" s="2"/>
      <c r="EF412" s="2"/>
      <c r="EG412" s="449"/>
      <c r="EH412" s="428"/>
      <c r="EI412" s="428"/>
    </row>
    <row r="413" ht="15.75" customHeight="1">
      <c r="A413" s="1">
        <v>410.0</v>
      </c>
      <c r="B413" s="2" t="s">
        <v>3756</v>
      </c>
      <c r="C413" s="7"/>
      <c r="D413" s="247" t="s">
        <v>3757</v>
      </c>
      <c r="E413" s="5"/>
      <c r="F413" s="248"/>
      <c r="G413" s="7"/>
      <c r="H413" s="8" t="s">
        <v>3758</v>
      </c>
      <c r="I413" s="9" t="s">
        <v>3759</v>
      </c>
      <c r="J413" s="355" t="str">
        <f>image("https://archives.bulbagarden.net/media/upload/e/ec/410MS6.png", 3)</f>
        <v/>
      </c>
      <c r="K413" s="11" t="s">
        <v>3757</v>
      </c>
      <c r="L413" s="12"/>
      <c r="M413" s="12"/>
      <c r="N413" s="12"/>
      <c r="O413" s="12"/>
      <c r="Q413" s="71">
        <v>30.0</v>
      </c>
      <c r="R413" s="72">
        <v>42.0</v>
      </c>
      <c r="S413" s="73">
        <v>118.0</v>
      </c>
      <c r="T413" s="74">
        <v>42.0</v>
      </c>
      <c r="U413" s="75">
        <v>88.0</v>
      </c>
      <c r="V413" s="76">
        <v>30.0</v>
      </c>
      <c r="W413" s="77">
        <v>350.0</v>
      </c>
      <c r="X413" s="21"/>
      <c r="Y413" s="71">
        <v>30.0</v>
      </c>
      <c r="Z413" s="72">
        <v>42.0</v>
      </c>
      <c r="AA413" s="73">
        <v>118.0</v>
      </c>
      <c r="AB413" s="74">
        <v>42.0</v>
      </c>
      <c r="AC413" s="75">
        <v>88.0</v>
      </c>
      <c r="AD413" s="76">
        <v>30.0</v>
      </c>
      <c r="AE413" s="77">
        <v>350.0</v>
      </c>
      <c r="AF413" s="21"/>
      <c r="AG413" s="71">
        <v>30.0</v>
      </c>
      <c r="AH413" s="109">
        <v>62.0</v>
      </c>
      <c r="AI413" s="73">
        <v>118.0</v>
      </c>
      <c r="AJ413" s="162">
        <v>22.0</v>
      </c>
      <c r="AK413" s="75">
        <v>88.0</v>
      </c>
      <c r="AL413" s="76">
        <v>30.0</v>
      </c>
      <c r="AM413" s="77">
        <v>350.0</v>
      </c>
      <c r="AN413" s="21"/>
      <c r="AO413" s="22">
        <v>30.0</v>
      </c>
      <c r="AP413" s="23" t="s">
        <v>3760</v>
      </c>
      <c r="AQ413" s="23">
        <v>118.0</v>
      </c>
      <c r="AR413" s="23" t="s">
        <v>3761</v>
      </c>
      <c r="AS413" s="23">
        <v>88.0</v>
      </c>
      <c r="AT413" s="23">
        <v>30.0</v>
      </c>
      <c r="AU413" s="24">
        <v>350.0</v>
      </c>
      <c r="AV413" s="21"/>
      <c r="AW413" s="78">
        <v>30.0</v>
      </c>
      <c r="AX413" s="111">
        <v>62.0</v>
      </c>
      <c r="AY413" s="79">
        <v>118.0</v>
      </c>
      <c r="AZ413" s="163">
        <v>22.0</v>
      </c>
      <c r="BA413" s="79">
        <v>88.0</v>
      </c>
      <c r="BB413" s="79">
        <v>30.0</v>
      </c>
      <c r="BC413" s="201">
        <v>350.0</v>
      </c>
      <c r="BE413" s="142" t="s">
        <v>101</v>
      </c>
      <c r="BF413" s="143"/>
      <c r="BG413" s="128"/>
      <c r="BI413" s="31" t="s">
        <v>5</v>
      </c>
      <c r="BJ413" s="32" t="s">
        <v>5</v>
      </c>
      <c r="BK413" s="32">
        <v>1.0</v>
      </c>
      <c r="BL413" s="32" t="s">
        <v>5</v>
      </c>
      <c r="BM413" s="32" t="s">
        <v>5</v>
      </c>
      <c r="BN413" s="33" t="s">
        <v>5</v>
      </c>
      <c r="BP413" s="115" t="s">
        <v>66</v>
      </c>
      <c r="BQ413" s="116" t="s">
        <v>95</v>
      </c>
      <c r="BS413" s="115" t="s">
        <v>66</v>
      </c>
      <c r="BT413" s="117" t="s">
        <v>95</v>
      </c>
      <c r="BU413" s="37" t="str">
        <f t="shared" si="1"/>
        <v>#NAME?</v>
      </c>
      <c r="BV413" s="89" t="s">
        <v>66</v>
      </c>
      <c r="BW413" s="37" t="str">
        <f t="shared" si="2"/>
        <v>#NAME?</v>
      </c>
      <c r="BX413" s="89" t="s">
        <v>95</v>
      </c>
      <c r="BY413" s="39"/>
      <c r="BZ413" s="39"/>
      <c r="CA413" s="40" t="s">
        <v>3762</v>
      </c>
      <c r="CB413" s="41"/>
      <c r="CC413" s="90" t="s">
        <v>66</v>
      </c>
      <c r="CD413" s="91" t="s">
        <v>95</v>
      </c>
      <c r="CE413" s="2"/>
      <c r="CF413" s="92" t="s">
        <v>825</v>
      </c>
      <c r="CG413" s="93"/>
      <c r="CH413" s="2"/>
      <c r="CI413" s="46" t="s">
        <v>3763</v>
      </c>
      <c r="CJ413" s="95" t="s">
        <v>825</v>
      </c>
      <c r="CK413" s="2"/>
      <c r="CL413" s="22" t="s">
        <v>3764</v>
      </c>
      <c r="CM413" s="12"/>
      <c r="CN413" s="48"/>
      <c r="CO413" s="96" t="s">
        <v>825</v>
      </c>
      <c r="CP413" s="2"/>
      <c r="CQ413" s="2" t="s">
        <v>3765</v>
      </c>
      <c r="CR413" s="97">
        <v>80.0</v>
      </c>
      <c r="CS413" s="2" t="s">
        <v>101</v>
      </c>
      <c r="CT413" s="98">
        <v>99.0</v>
      </c>
      <c r="CU413" s="2"/>
      <c r="CV413" s="52" t="s">
        <v>13</v>
      </c>
      <c r="CW413" s="53">
        <v>0.125</v>
      </c>
      <c r="CX413" s="2"/>
      <c r="CY413" s="119" t="s">
        <v>14</v>
      </c>
      <c r="CZ413" s="160"/>
      <c r="DA413" s="2"/>
      <c r="DB413" s="98">
        <v>45.0</v>
      </c>
      <c r="DC413" s="2"/>
      <c r="DD413" s="101" t="s">
        <v>2698</v>
      </c>
      <c r="DE413" s="2"/>
      <c r="DF413" s="148" t="s">
        <v>3766</v>
      </c>
      <c r="DG413" s="119"/>
      <c r="DH413" s="160"/>
      <c r="DI413" s="21"/>
      <c r="DJ413" s="21"/>
      <c r="DK413" s="59" t="s">
        <v>3767</v>
      </c>
      <c r="DL413" s="37" t="s">
        <v>122</v>
      </c>
      <c r="DM413" s="37" t="str">
        <f t="shared" si="3"/>
        <v>#NAME?</v>
      </c>
      <c r="DN413" s="61"/>
      <c r="DO413" s="37" t="s">
        <v>19</v>
      </c>
      <c r="DP413" s="37" t="s">
        <v>225</v>
      </c>
      <c r="DQ413" s="62" t="s">
        <v>49</v>
      </c>
      <c r="DR413" s="63"/>
      <c r="DS413" s="198"/>
      <c r="DT413" s="108"/>
      <c r="DU413" s="108"/>
      <c r="DV413" s="182"/>
      <c r="DW413" s="182"/>
      <c r="DX413" s="182"/>
      <c r="DY413" s="182"/>
      <c r="DZ413" s="182"/>
      <c r="EA413" s="182"/>
      <c r="EB413" s="21"/>
      <c r="EC413" s="21"/>
      <c r="ED413" s="21"/>
      <c r="EE413" s="21"/>
      <c r="EF413" s="21"/>
      <c r="EG413" s="108"/>
      <c r="EH413" s="442"/>
      <c r="EI413" s="442"/>
    </row>
    <row r="414" ht="15.75" customHeight="1">
      <c r="A414" s="1">
        <v>411.0</v>
      </c>
      <c r="B414" s="2" t="s">
        <v>3768</v>
      </c>
      <c r="C414" s="7"/>
      <c r="D414" s="247" t="s">
        <v>3769</v>
      </c>
      <c r="E414" s="5"/>
      <c r="F414" s="248"/>
      <c r="G414" s="7"/>
      <c r="H414" s="8" t="s">
        <v>3770</v>
      </c>
      <c r="I414" s="9" t="s">
        <v>3771</v>
      </c>
      <c r="J414" s="355" t="str">
        <f>image("https://archives.bulbagarden.net/media/upload/d/d7/411MS6.png", 3)</f>
        <v/>
      </c>
      <c r="K414" s="11" t="s">
        <v>3769</v>
      </c>
      <c r="L414" s="12"/>
      <c r="M414" s="12"/>
      <c r="N414" s="12"/>
      <c r="O414" s="12"/>
      <c r="Q414" s="71">
        <v>60.0</v>
      </c>
      <c r="R414" s="72">
        <v>52.0</v>
      </c>
      <c r="S414" s="73">
        <v>168.0</v>
      </c>
      <c r="T414" s="74">
        <v>47.0</v>
      </c>
      <c r="U414" s="75">
        <v>138.0</v>
      </c>
      <c r="V414" s="76">
        <v>30.0</v>
      </c>
      <c r="W414" s="77">
        <v>495.0</v>
      </c>
      <c r="X414" s="21"/>
      <c r="Y414" s="71">
        <v>60.0</v>
      </c>
      <c r="Z414" s="72">
        <v>52.0</v>
      </c>
      <c r="AA414" s="73">
        <v>168.0</v>
      </c>
      <c r="AB414" s="74">
        <v>47.0</v>
      </c>
      <c r="AC414" s="75">
        <v>138.0</v>
      </c>
      <c r="AD414" s="76">
        <v>30.0</v>
      </c>
      <c r="AE414" s="77">
        <v>495.0</v>
      </c>
      <c r="AF414" s="21"/>
      <c r="AG414" s="71">
        <v>60.0</v>
      </c>
      <c r="AH414" s="109">
        <v>72.0</v>
      </c>
      <c r="AI414" s="73">
        <v>168.0</v>
      </c>
      <c r="AJ414" s="162">
        <v>27.0</v>
      </c>
      <c r="AK414" s="75">
        <v>138.0</v>
      </c>
      <c r="AL414" s="76">
        <v>30.0</v>
      </c>
      <c r="AM414" s="77">
        <v>495.0</v>
      </c>
      <c r="AN414" s="21"/>
      <c r="AO414" s="22">
        <v>60.0</v>
      </c>
      <c r="AP414" s="23" t="s">
        <v>3772</v>
      </c>
      <c r="AQ414" s="23">
        <v>168.0</v>
      </c>
      <c r="AR414" s="23" t="s">
        <v>3773</v>
      </c>
      <c r="AS414" s="23">
        <v>138.0</v>
      </c>
      <c r="AT414" s="23">
        <v>30.0</v>
      </c>
      <c r="AU414" s="24">
        <v>495.0</v>
      </c>
      <c r="AV414" s="21"/>
      <c r="AW414" s="78">
        <v>60.0</v>
      </c>
      <c r="AX414" s="171">
        <v>72.0</v>
      </c>
      <c r="AY414" s="79">
        <v>168.0</v>
      </c>
      <c r="AZ414" s="163">
        <v>27.0</v>
      </c>
      <c r="BA414" s="79">
        <v>138.0</v>
      </c>
      <c r="BB414" s="80">
        <v>30.0</v>
      </c>
      <c r="BC414" s="81">
        <v>495.0</v>
      </c>
      <c r="BE414" s="156" t="s">
        <v>162</v>
      </c>
      <c r="BF414" s="113"/>
      <c r="BG414" s="446"/>
      <c r="BI414" s="31" t="s">
        <v>5</v>
      </c>
      <c r="BJ414" s="32" t="s">
        <v>5</v>
      </c>
      <c r="BK414" s="32">
        <v>2.0</v>
      </c>
      <c r="BL414" s="32" t="s">
        <v>5</v>
      </c>
      <c r="BM414" s="32" t="s">
        <v>5</v>
      </c>
      <c r="BN414" s="33" t="s">
        <v>5</v>
      </c>
      <c r="BP414" s="85" t="s">
        <v>66</v>
      </c>
      <c r="BQ414" s="86" t="s">
        <v>95</v>
      </c>
      <c r="BS414" s="87" t="s">
        <v>66</v>
      </c>
      <c r="BT414" s="88" t="s">
        <v>95</v>
      </c>
      <c r="BU414" s="37" t="str">
        <f t="shared" si="1"/>
        <v>#NAME?</v>
      </c>
      <c r="BV414" s="89" t="s">
        <v>66</v>
      </c>
      <c r="BW414" s="37" t="str">
        <f t="shared" si="2"/>
        <v>#NAME?</v>
      </c>
      <c r="BX414" s="89" t="s">
        <v>95</v>
      </c>
      <c r="BY414" s="39"/>
      <c r="BZ414" s="39"/>
      <c r="CA414" s="40" t="s">
        <v>3762</v>
      </c>
      <c r="CB414" s="41"/>
      <c r="CC414" s="90" t="s">
        <v>66</v>
      </c>
      <c r="CD414" s="91" t="s">
        <v>95</v>
      </c>
      <c r="CE414" s="2"/>
      <c r="CF414" s="92" t="s">
        <v>825</v>
      </c>
      <c r="CG414" s="93"/>
      <c r="CH414" s="2"/>
      <c r="CI414" s="152" t="s">
        <v>3763</v>
      </c>
      <c r="CJ414" s="153" t="s">
        <v>825</v>
      </c>
      <c r="CK414" s="2"/>
      <c r="CL414" s="22" t="s">
        <v>3764</v>
      </c>
      <c r="CM414" s="12"/>
      <c r="CN414" s="48"/>
      <c r="CO414" s="96" t="s">
        <v>825</v>
      </c>
      <c r="CP414" s="2"/>
      <c r="CQ414" s="2" t="s">
        <v>3774</v>
      </c>
      <c r="CR414" s="97">
        <v>100.0</v>
      </c>
      <c r="CS414" s="2" t="s">
        <v>162</v>
      </c>
      <c r="CT414" s="98">
        <v>199.0</v>
      </c>
      <c r="CU414" s="2"/>
      <c r="CV414" s="52" t="s">
        <v>13</v>
      </c>
      <c r="CW414" s="53">
        <v>0.125</v>
      </c>
      <c r="CX414" s="2"/>
      <c r="CY414" s="444" t="s">
        <v>14</v>
      </c>
      <c r="CZ414" s="450"/>
      <c r="DA414" s="2"/>
      <c r="DB414" s="98">
        <v>45.0</v>
      </c>
      <c r="DC414" s="2"/>
      <c r="DD414" s="101" t="s">
        <v>2698</v>
      </c>
      <c r="DE414" s="2"/>
      <c r="DF414" s="445" t="s">
        <v>3775</v>
      </c>
      <c r="DG414" s="444"/>
      <c r="DH414" s="450"/>
      <c r="DI414" s="2"/>
      <c r="DJ414" s="2"/>
      <c r="DK414" s="59" t="s">
        <v>3776</v>
      </c>
      <c r="DL414" s="37" t="s">
        <v>32</v>
      </c>
      <c r="DM414" s="37" t="str">
        <f t="shared" si="3"/>
        <v>#NAME?</v>
      </c>
      <c r="DN414" s="61"/>
      <c r="DO414" s="37" t="s">
        <v>19</v>
      </c>
      <c r="DP414" s="37" t="s">
        <v>19</v>
      </c>
      <c r="DQ414" s="62" t="s">
        <v>293</v>
      </c>
      <c r="DR414" s="63"/>
      <c r="DS414" s="198"/>
      <c r="DT414" s="108"/>
      <c r="DU414" s="108"/>
      <c r="DV414" s="182"/>
      <c r="DW414" s="182"/>
      <c r="DX414" s="182"/>
      <c r="DY414" s="182"/>
      <c r="DZ414" s="182"/>
      <c r="EA414" s="182"/>
      <c r="EB414" s="2"/>
      <c r="EC414" s="2"/>
      <c r="ED414" s="2"/>
      <c r="EE414" s="2"/>
      <c r="EF414" s="2"/>
      <c r="EG414" s="449"/>
      <c r="EH414" s="428"/>
      <c r="EI414" s="428"/>
    </row>
    <row r="415" ht="15.75" customHeight="1">
      <c r="A415" s="1">
        <v>412.0</v>
      </c>
      <c r="B415" s="2" t="s">
        <v>3777</v>
      </c>
      <c r="C415" s="7"/>
      <c r="D415" s="247" t="s">
        <v>3778</v>
      </c>
      <c r="E415" s="5"/>
      <c r="F415" s="248"/>
      <c r="G415" s="7"/>
      <c r="H415" s="8" t="s">
        <v>3779</v>
      </c>
      <c r="I415" s="9" t="s">
        <v>3780</v>
      </c>
      <c r="J415" s="355" t="str">
        <f>image("https://archives.bulbagarden.net/media/upload/3/33/412MS6.png", 3)</f>
        <v/>
      </c>
      <c r="K415" s="11" t="s">
        <v>3778</v>
      </c>
      <c r="L415" s="12"/>
      <c r="M415" s="12"/>
      <c r="N415" s="12"/>
      <c r="O415" s="12"/>
      <c r="Q415" s="71">
        <v>40.0</v>
      </c>
      <c r="R415" s="72">
        <v>29.0</v>
      </c>
      <c r="S415" s="73">
        <v>45.0</v>
      </c>
      <c r="T415" s="74">
        <v>29.0</v>
      </c>
      <c r="U415" s="75">
        <v>45.0</v>
      </c>
      <c r="V415" s="76">
        <v>36.0</v>
      </c>
      <c r="W415" s="77">
        <v>224.0</v>
      </c>
      <c r="X415" s="21"/>
      <c r="Y415" s="71">
        <v>40.0</v>
      </c>
      <c r="Z415" s="72">
        <v>29.0</v>
      </c>
      <c r="AA415" s="73">
        <v>45.0</v>
      </c>
      <c r="AB415" s="74">
        <v>29.0</v>
      </c>
      <c r="AC415" s="75">
        <v>45.0</v>
      </c>
      <c r="AD415" s="76">
        <v>36.0</v>
      </c>
      <c r="AE415" s="77">
        <v>224.0</v>
      </c>
      <c r="AF415" s="21"/>
      <c r="AG415" s="71">
        <v>40.0</v>
      </c>
      <c r="AH415" s="162">
        <v>20.0</v>
      </c>
      <c r="AI415" s="73">
        <v>45.0</v>
      </c>
      <c r="AJ415" s="109">
        <v>45.0</v>
      </c>
      <c r="AK415" s="75">
        <v>45.0</v>
      </c>
      <c r="AL415" s="162">
        <v>30.0</v>
      </c>
      <c r="AM415" s="110">
        <v>225.0</v>
      </c>
      <c r="AN415" s="21"/>
      <c r="AO415" s="22">
        <v>40.0</v>
      </c>
      <c r="AP415" s="23" t="s">
        <v>1650</v>
      </c>
      <c r="AQ415" s="23">
        <v>45.0</v>
      </c>
      <c r="AR415" s="23" t="s">
        <v>1612</v>
      </c>
      <c r="AS415" s="23">
        <v>45.0</v>
      </c>
      <c r="AT415" s="23" t="s">
        <v>711</v>
      </c>
      <c r="AU415" s="24" t="s">
        <v>3781</v>
      </c>
      <c r="AV415" s="21"/>
      <c r="AW415" s="78">
        <v>40.0</v>
      </c>
      <c r="AX415" s="163">
        <v>20.0</v>
      </c>
      <c r="AY415" s="80">
        <v>45.0</v>
      </c>
      <c r="AZ415" s="341">
        <v>45.0</v>
      </c>
      <c r="BA415" s="80">
        <v>45.0</v>
      </c>
      <c r="BB415" s="163">
        <v>30.0</v>
      </c>
      <c r="BC415" s="164">
        <v>225.0</v>
      </c>
      <c r="BE415" s="225" t="s">
        <v>27</v>
      </c>
      <c r="BF415" s="143"/>
      <c r="BG415" s="128"/>
      <c r="BI415" s="31" t="s">
        <v>5</v>
      </c>
      <c r="BJ415" s="32" t="s">
        <v>5</v>
      </c>
      <c r="BK415" s="32" t="s">
        <v>5</v>
      </c>
      <c r="BL415" s="32" t="s">
        <v>5</v>
      </c>
      <c r="BM415" s="32">
        <v>1.0</v>
      </c>
      <c r="BN415" s="33" t="s">
        <v>5</v>
      </c>
      <c r="BP415" s="115" t="s">
        <v>109</v>
      </c>
      <c r="BQ415" s="93"/>
      <c r="BS415" s="115" t="s">
        <v>109</v>
      </c>
      <c r="BT415" s="133"/>
      <c r="BU415" s="37" t="str">
        <f t="shared" si="1"/>
        <v>#NAME?</v>
      </c>
      <c r="BV415" s="89" t="s">
        <v>109</v>
      </c>
      <c r="BW415" s="37" t="str">
        <f t="shared" si="2"/>
        <v>#NAME?</v>
      </c>
      <c r="BX415" s="89"/>
      <c r="BY415" s="39"/>
      <c r="BZ415" s="39"/>
      <c r="CA415" s="40" t="s">
        <v>109</v>
      </c>
      <c r="CB415" s="41"/>
      <c r="CC415" s="90" t="s">
        <v>109</v>
      </c>
      <c r="CD415" s="91"/>
      <c r="CE415" s="21"/>
      <c r="CF415" s="92" t="s">
        <v>163</v>
      </c>
      <c r="CG415" s="93"/>
      <c r="CH415" s="21"/>
      <c r="CI415" s="291" t="s">
        <v>163</v>
      </c>
      <c r="CJ415" s="325" t="s">
        <v>163</v>
      </c>
      <c r="CK415" s="21"/>
      <c r="CL415" s="22" t="s">
        <v>3400</v>
      </c>
      <c r="CM415" s="12"/>
      <c r="CN415" s="48"/>
      <c r="CO415" s="95" t="s">
        <v>163</v>
      </c>
      <c r="CP415" s="21"/>
      <c r="CQ415" s="2" t="s">
        <v>3782</v>
      </c>
      <c r="CR415" s="97">
        <v>20.0</v>
      </c>
      <c r="CS415" s="2" t="s">
        <v>27</v>
      </c>
      <c r="CT415" s="98">
        <v>61.0</v>
      </c>
      <c r="CU415" s="2"/>
      <c r="CV415" s="52" t="s">
        <v>149</v>
      </c>
      <c r="CW415" s="52" t="s">
        <v>149</v>
      </c>
      <c r="CX415" s="2"/>
      <c r="CY415" s="119" t="s">
        <v>109</v>
      </c>
      <c r="CZ415" s="160"/>
      <c r="DA415" s="2"/>
      <c r="DB415" s="98">
        <v>120.0</v>
      </c>
      <c r="DC415" s="2"/>
      <c r="DD415" s="101" t="s">
        <v>150</v>
      </c>
      <c r="DE415" s="2"/>
      <c r="DF415" s="148" t="s">
        <v>3783</v>
      </c>
      <c r="DG415" s="119"/>
      <c r="DH415" s="160"/>
      <c r="DI415" s="21"/>
      <c r="DJ415" s="21"/>
      <c r="DK415" s="59" t="s">
        <v>3784</v>
      </c>
      <c r="DL415" s="37" t="s">
        <v>156</v>
      </c>
      <c r="DM415" s="37" t="str">
        <f t="shared" si="3"/>
        <v>#NAME?</v>
      </c>
      <c r="DN415" s="61"/>
      <c r="DO415" s="37" t="s">
        <v>19</v>
      </c>
      <c r="DP415" s="37" t="s">
        <v>3785</v>
      </c>
      <c r="DQ415" s="62" t="s">
        <v>49</v>
      </c>
      <c r="DR415" s="63"/>
      <c r="DS415" s="198"/>
      <c r="DT415" s="108"/>
      <c r="DU415" s="108"/>
      <c r="DV415" s="182"/>
      <c r="DW415" s="182"/>
      <c r="DX415" s="182"/>
      <c r="DY415" s="182"/>
      <c r="DZ415" s="182"/>
      <c r="EA415" s="182"/>
      <c r="EB415" s="21"/>
      <c r="EC415" s="21"/>
      <c r="ED415" s="21"/>
      <c r="EE415" s="21"/>
      <c r="EF415" s="21"/>
      <c r="EG415" s="108"/>
      <c r="EH415" s="442"/>
      <c r="EI415" s="442"/>
    </row>
    <row r="416" ht="15.75" customHeight="1">
      <c r="A416" s="1">
        <v>413.0</v>
      </c>
      <c r="B416" s="2" t="s">
        <v>3786</v>
      </c>
      <c r="C416" s="108"/>
      <c r="D416" s="247" t="s">
        <v>3787</v>
      </c>
      <c r="E416" s="10"/>
      <c r="F416" s="248"/>
      <c r="G416" s="108"/>
      <c r="H416" s="8" t="s">
        <v>3788</v>
      </c>
      <c r="I416" s="9" t="s">
        <v>3789</v>
      </c>
      <c r="J416" s="355" t="str">
        <f>image("https://archives.bulbagarden.net/media/upload/e/ef/413MS6.png", 3)</f>
        <v/>
      </c>
      <c r="K416" s="11" t="s">
        <v>3787</v>
      </c>
      <c r="L416" s="12"/>
      <c r="M416" s="12"/>
      <c r="N416" s="12"/>
      <c r="O416" s="12"/>
      <c r="Q416" s="71">
        <v>60.0</v>
      </c>
      <c r="R416" s="72">
        <v>59.0</v>
      </c>
      <c r="S416" s="73">
        <v>85.0</v>
      </c>
      <c r="T416" s="74">
        <v>79.0</v>
      </c>
      <c r="U416" s="75">
        <v>105.0</v>
      </c>
      <c r="V416" s="76">
        <v>36.0</v>
      </c>
      <c r="W416" s="77">
        <v>424.0</v>
      </c>
      <c r="X416" s="21"/>
      <c r="Y416" s="71">
        <v>60.0</v>
      </c>
      <c r="Z416" s="72">
        <v>59.0</v>
      </c>
      <c r="AA416" s="73">
        <v>85.0</v>
      </c>
      <c r="AB416" s="74">
        <v>79.0</v>
      </c>
      <c r="AC416" s="75">
        <v>105.0</v>
      </c>
      <c r="AD416" s="76">
        <v>36.0</v>
      </c>
      <c r="AE416" s="77">
        <v>424.0</v>
      </c>
      <c r="AF416" s="21"/>
      <c r="AG416" s="71">
        <v>60.0</v>
      </c>
      <c r="AH416" s="162">
        <v>50.0</v>
      </c>
      <c r="AI416" s="109">
        <v>90.0</v>
      </c>
      <c r="AJ416" s="109">
        <v>110.0</v>
      </c>
      <c r="AK416" s="109">
        <v>110.0</v>
      </c>
      <c r="AL416" s="162">
        <v>30.0</v>
      </c>
      <c r="AM416" s="110">
        <v>450.0</v>
      </c>
      <c r="AN416" s="21"/>
      <c r="AO416" s="22">
        <v>60.0</v>
      </c>
      <c r="AP416" s="23" t="s">
        <v>246</v>
      </c>
      <c r="AQ416" s="23" t="s">
        <v>128</v>
      </c>
      <c r="AR416" s="23" t="s">
        <v>40</v>
      </c>
      <c r="AS416" s="23" t="s">
        <v>40</v>
      </c>
      <c r="AT416" s="23" t="s">
        <v>711</v>
      </c>
      <c r="AU416" s="24" t="s">
        <v>176</v>
      </c>
      <c r="AV416" s="21"/>
      <c r="AW416" s="78">
        <v>60.0</v>
      </c>
      <c r="AX416" s="163">
        <v>50.0</v>
      </c>
      <c r="AY416" s="164">
        <v>90.0</v>
      </c>
      <c r="AZ416" s="111">
        <v>110.0</v>
      </c>
      <c r="BA416" s="187">
        <v>110.0</v>
      </c>
      <c r="BB416" s="163">
        <v>30.0</v>
      </c>
      <c r="BC416" s="164">
        <v>450.0</v>
      </c>
      <c r="BE416" s="150" t="s">
        <v>815</v>
      </c>
      <c r="BF416" s="113"/>
      <c r="BG416" s="446"/>
      <c r="BI416" s="31" t="s">
        <v>5</v>
      </c>
      <c r="BJ416" s="32" t="s">
        <v>5</v>
      </c>
      <c r="BK416" s="32" t="s">
        <v>5</v>
      </c>
      <c r="BL416" s="32" t="s">
        <v>5</v>
      </c>
      <c r="BM416" s="32">
        <v>2.0</v>
      </c>
      <c r="BN416" s="33" t="s">
        <v>5</v>
      </c>
      <c r="BP416" s="85" t="s">
        <v>109</v>
      </c>
      <c r="BQ416" s="86" t="s">
        <v>6</v>
      </c>
      <c r="BS416" s="87" t="s">
        <v>109</v>
      </c>
      <c r="BT416" s="88" t="s">
        <v>6</v>
      </c>
      <c r="BU416" s="37" t="str">
        <f t="shared" si="1"/>
        <v>#NAME?</v>
      </c>
      <c r="BV416" s="89" t="s">
        <v>109</v>
      </c>
      <c r="BW416" s="37" t="str">
        <f t="shared" si="2"/>
        <v>#NAME?</v>
      </c>
      <c r="BX416" s="89" t="s">
        <v>6</v>
      </c>
      <c r="BY416" s="39"/>
      <c r="BZ416" s="39"/>
      <c r="CA416" s="40" t="s">
        <v>573</v>
      </c>
      <c r="CB416" s="41"/>
      <c r="CC416" s="90" t="s">
        <v>109</v>
      </c>
      <c r="CD416" s="91" t="s">
        <v>6</v>
      </c>
      <c r="CE416" s="2"/>
      <c r="CF416" s="92" t="s">
        <v>3151</v>
      </c>
      <c r="CG416" s="93"/>
      <c r="CH416" s="2"/>
      <c r="CI416" s="191" t="s">
        <v>3151</v>
      </c>
      <c r="CJ416" s="330" t="s">
        <v>3151</v>
      </c>
      <c r="CK416" s="2"/>
      <c r="CL416" s="22" t="s">
        <v>3400</v>
      </c>
      <c r="CM416" s="12"/>
      <c r="CN416" s="48"/>
      <c r="CO416" s="96" t="s">
        <v>3151</v>
      </c>
      <c r="CP416" s="2"/>
      <c r="CQ416" s="2" t="s">
        <v>1051</v>
      </c>
      <c r="CR416" s="97">
        <v>20.0</v>
      </c>
      <c r="CS416" s="2" t="s">
        <v>815</v>
      </c>
      <c r="CT416" s="98">
        <v>159.0</v>
      </c>
      <c r="CU416" s="2"/>
      <c r="CV416" s="52" t="s">
        <v>149</v>
      </c>
      <c r="CW416" s="52" t="s">
        <v>149</v>
      </c>
      <c r="CX416" s="2"/>
      <c r="CY416" s="444" t="s">
        <v>109</v>
      </c>
      <c r="CZ416" s="450"/>
      <c r="DA416" s="2"/>
      <c r="DB416" s="98">
        <v>45.0</v>
      </c>
      <c r="DC416" s="2"/>
      <c r="DD416" s="101" t="s">
        <v>150</v>
      </c>
      <c r="DE416" s="2"/>
      <c r="DF416" s="445" t="s">
        <v>3790</v>
      </c>
      <c r="DG416" s="443" t="s">
        <v>183</v>
      </c>
      <c r="DH416" s="450"/>
      <c r="DI416" s="2"/>
      <c r="DJ416" s="2"/>
      <c r="DK416" s="59" t="s">
        <v>3791</v>
      </c>
      <c r="DL416" s="37" t="s">
        <v>156</v>
      </c>
      <c r="DM416" s="37" t="str">
        <f t="shared" si="3"/>
        <v>#NAME?</v>
      </c>
      <c r="DN416" s="61"/>
      <c r="DO416" s="37" t="s">
        <v>19</v>
      </c>
      <c r="DP416" s="37" t="s">
        <v>19</v>
      </c>
      <c r="DQ416" s="62" t="s">
        <v>49</v>
      </c>
      <c r="DR416" s="63"/>
      <c r="DS416" s="198"/>
      <c r="DT416" s="108"/>
      <c r="DU416" s="108"/>
      <c r="DV416" s="182"/>
      <c r="DW416" s="182"/>
      <c r="DX416" s="182"/>
      <c r="DY416" s="182"/>
      <c r="DZ416" s="182"/>
      <c r="EA416" s="182"/>
      <c r="EB416" s="2"/>
      <c r="EC416" s="2"/>
      <c r="ED416" s="2"/>
      <c r="EE416" s="2"/>
      <c r="EF416" s="2"/>
      <c r="EG416" s="449"/>
      <c r="EH416" s="428"/>
      <c r="EI416" s="428"/>
    </row>
    <row r="417" ht="15.75" customHeight="1">
      <c r="A417" s="2" t="s">
        <v>3792</v>
      </c>
      <c r="B417" s="2" t="s">
        <v>3793</v>
      </c>
      <c r="C417" s="108"/>
      <c r="D417" s="247" t="s">
        <v>3794</v>
      </c>
      <c r="E417" s="10"/>
      <c r="F417" s="248"/>
      <c r="G417" s="108"/>
      <c r="H417" s="8" t="s">
        <v>3795</v>
      </c>
      <c r="I417" s="9" t="s">
        <v>3796</v>
      </c>
      <c r="J417" s="355" t="str">
        <f>image("https://archives.bulbagarden.net/media/upload/4/44/413GMS6.png", 3)</f>
        <v/>
      </c>
      <c r="K417" s="11" t="s">
        <v>3797</v>
      </c>
      <c r="L417" s="12"/>
      <c r="M417" s="12"/>
      <c r="N417" s="12"/>
      <c r="O417" s="12"/>
      <c r="Q417" s="71">
        <v>60.0</v>
      </c>
      <c r="R417" s="72">
        <v>79.0</v>
      </c>
      <c r="S417" s="73">
        <v>105.0</v>
      </c>
      <c r="T417" s="74">
        <v>59.0</v>
      </c>
      <c r="U417" s="75">
        <v>85.0</v>
      </c>
      <c r="V417" s="76">
        <v>36.0</v>
      </c>
      <c r="W417" s="77">
        <v>424.0</v>
      </c>
      <c r="X417" s="21"/>
      <c r="Y417" s="71">
        <v>60.0</v>
      </c>
      <c r="Z417" s="72">
        <v>79.0</v>
      </c>
      <c r="AA417" s="73">
        <v>105.0</v>
      </c>
      <c r="AB417" s="74">
        <v>59.0</v>
      </c>
      <c r="AC417" s="75">
        <v>85.0</v>
      </c>
      <c r="AD417" s="76">
        <v>36.0</v>
      </c>
      <c r="AE417" s="77">
        <v>424.0</v>
      </c>
      <c r="AF417" s="21"/>
      <c r="AG417" s="71">
        <v>60.0</v>
      </c>
      <c r="AH417" s="162">
        <v>50.0</v>
      </c>
      <c r="AI417" s="109">
        <v>110.0</v>
      </c>
      <c r="AJ417" s="109">
        <v>110.0</v>
      </c>
      <c r="AK417" s="109">
        <v>90.0</v>
      </c>
      <c r="AL417" s="162">
        <v>30.0</v>
      </c>
      <c r="AM417" s="110">
        <v>450.0</v>
      </c>
      <c r="AN417" s="21"/>
      <c r="AO417" s="22">
        <v>60.0</v>
      </c>
      <c r="AP417" s="23" t="s">
        <v>246</v>
      </c>
      <c r="AQ417" s="23" t="s">
        <v>40</v>
      </c>
      <c r="AR417" s="23" t="s">
        <v>40</v>
      </c>
      <c r="AS417" s="23" t="s">
        <v>128</v>
      </c>
      <c r="AT417" s="23" t="s">
        <v>711</v>
      </c>
      <c r="AU417" s="24" t="s">
        <v>176</v>
      </c>
      <c r="AV417" s="21"/>
      <c r="AW417" s="78">
        <v>60.0</v>
      </c>
      <c r="AX417" s="163">
        <v>50.0</v>
      </c>
      <c r="AY417" s="164">
        <v>110.0</v>
      </c>
      <c r="AZ417" s="111">
        <v>110.0</v>
      </c>
      <c r="BA417" s="187">
        <v>90.0</v>
      </c>
      <c r="BB417" s="163">
        <v>30.0</v>
      </c>
      <c r="BC417" s="164">
        <v>450.0</v>
      </c>
      <c r="BE417" s="150" t="s">
        <v>162</v>
      </c>
      <c r="BF417" s="113"/>
      <c r="BG417" s="210"/>
      <c r="BI417" s="31" t="s">
        <v>5</v>
      </c>
      <c r="BJ417" s="32" t="s">
        <v>5</v>
      </c>
      <c r="BK417" s="32">
        <v>2.0</v>
      </c>
      <c r="BL417" s="32" t="s">
        <v>5</v>
      </c>
      <c r="BM417" s="32" t="s">
        <v>5</v>
      </c>
      <c r="BN417" s="33" t="s">
        <v>5</v>
      </c>
      <c r="BP417" s="115" t="s">
        <v>109</v>
      </c>
      <c r="BQ417" s="116" t="s">
        <v>79</v>
      </c>
      <c r="BS417" s="115" t="s">
        <v>109</v>
      </c>
      <c r="BT417" s="117" t="s">
        <v>79</v>
      </c>
      <c r="BU417" s="37" t="str">
        <f t="shared" si="1"/>
        <v>#NAME?</v>
      </c>
      <c r="BV417" s="89" t="s">
        <v>109</v>
      </c>
      <c r="BW417" s="37" t="str">
        <f t="shared" si="2"/>
        <v>#NAME?</v>
      </c>
      <c r="BX417" s="89" t="s">
        <v>79</v>
      </c>
      <c r="BY417" s="39"/>
      <c r="BZ417" s="39"/>
      <c r="CA417" s="40" t="s">
        <v>2697</v>
      </c>
      <c r="CB417" s="41"/>
      <c r="CC417" s="90" t="s">
        <v>109</v>
      </c>
      <c r="CD417" s="91" t="s">
        <v>79</v>
      </c>
      <c r="CE417" s="2"/>
      <c r="CF417" s="92" t="s">
        <v>3151</v>
      </c>
      <c r="CG417" s="93"/>
      <c r="CH417" s="2"/>
      <c r="CI417" s="191" t="s">
        <v>3151</v>
      </c>
      <c r="CJ417" s="330" t="s">
        <v>3151</v>
      </c>
      <c r="CK417" s="2"/>
      <c r="CL417" s="22" t="s">
        <v>3400</v>
      </c>
      <c r="CM417" s="12"/>
      <c r="CN417" s="48"/>
      <c r="CO417" s="96" t="s">
        <v>3151</v>
      </c>
      <c r="CP417" s="2"/>
      <c r="CQ417" s="2" t="s">
        <v>1051</v>
      </c>
      <c r="CR417" s="97">
        <v>20.0</v>
      </c>
      <c r="CS417" s="2" t="s">
        <v>815</v>
      </c>
      <c r="CT417" s="98">
        <v>159.0</v>
      </c>
      <c r="CU417" s="2"/>
      <c r="CV417" s="52" t="s">
        <v>149</v>
      </c>
      <c r="CW417" s="52" t="s">
        <v>149</v>
      </c>
      <c r="CX417" s="2"/>
      <c r="CY417" s="119" t="s">
        <v>109</v>
      </c>
      <c r="CZ417" s="160"/>
      <c r="DA417" s="2"/>
      <c r="DB417" s="98">
        <v>45.0</v>
      </c>
      <c r="DC417" s="2"/>
      <c r="DD417" s="101" t="s">
        <v>150</v>
      </c>
      <c r="DE417" s="2"/>
      <c r="DF417" s="120" t="s">
        <v>3798</v>
      </c>
      <c r="DG417" s="118" t="s">
        <v>183</v>
      </c>
      <c r="DH417" s="160"/>
      <c r="DI417" s="2"/>
      <c r="DJ417" s="2"/>
      <c r="DK417" s="59" t="s">
        <v>3799</v>
      </c>
      <c r="DL417" s="37" t="s">
        <v>122</v>
      </c>
      <c r="DM417" s="37" t="str">
        <f t="shared" si="3"/>
        <v>#NAME?</v>
      </c>
      <c r="DN417" s="61"/>
      <c r="DO417" s="37" t="s">
        <v>19</v>
      </c>
      <c r="DP417" s="37" t="s">
        <v>19</v>
      </c>
      <c r="DQ417" s="62" t="s">
        <v>20</v>
      </c>
      <c r="DR417" s="63"/>
      <c r="DS417" s="198"/>
      <c r="DT417" s="108"/>
      <c r="DU417" s="108"/>
      <c r="DV417" s="182"/>
      <c r="DW417" s="182"/>
      <c r="DX417" s="182"/>
      <c r="DY417" s="182"/>
      <c r="DZ417" s="182"/>
      <c r="EA417" s="182"/>
      <c r="EB417" s="2"/>
      <c r="EC417" s="2"/>
      <c r="ED417" s="2"/>
      <c r="EE417" s="2"/>
      <c r="EF417" s="2"/>
      <c r="EG417" s="449"/>
      <c r="EH417" s="428"/>
      <c r="EI417" s="428"/>
    </row>
    <row r="418" ht="15.75" customHeight="1">
      <c r="A418" s="2" t="s">
        <v>3800</v>
      </c>
      <c r="B418" s="2" t="s">
        <v>3801</v>
      </c>
      <c r="C418" s="108"/>
      <c r="D418" s="247" t="s">
        <v>3802</v>
      </c>
      <c r="E418" s="10"/>
      <c r="F418" s="248"/>
      <c r="G418" s="108"/>
      <c r="H418" s="8" t="s">
        <v>3803</v>
      </c>
      <c r="I418" s="9" t="s">
        <v>3804</v>
      </c>
      <c r="J418" s="355" t="str">
        <f>image("https://archives.bulbagarden.net/media/upload/f/fa/413SMS6.png", 3)</f>
        <v/>
      </c>
      <c r="K418" s="11" t="s">
        <v>3805</v>
      </c>
      <c r="L418" s="12"/>
      <c r="M418" s="12"/>
      <c r="N418" s="12"/>
      <c r="O418" s="12"/>
      <c r="Q418" s="71">
        <v>60.0</v>
      </c>
      <c r="R418" s="72">
        <v>69.0</v>
      </c>
      <c r="S418" s="73">
        <v>95.0</v>
      </c>
      <c r="T418" s="74">
        <v>69.0</v>
      </c>
      <c r="U418" s="75">
        <v>95.0</v>
      </c>
      <c r="V418" s="76">
        <v>36.0</v>
      </c>
      <c r="W418" s="77">
        <v>424.0</v>
      </c>
      <c r="X418" s="21"/>
      <c r="Y418" s="71">
        <v>60.0</v>
      </c>
      <c r="Z418" s="72">
        <v>69.0</v>
      </c>
      <c r="AA418" s="73">
        <v>95.0</v>
      </c>
      <c r="AB418" s="74">
        <v>69.0</v>
      </c>
      <c r="AC418" s="75">
        <v>95.0</v>
      </c>
      <c r="AD418" s="76">
        <v>36.0</v>
      </c>
      <c r="AE418" s="77">
        <v>424.0</v>
      </c>
      <c r="AF418" s="21"/>
      <c r="AG418" s="71">
        <v>60.0</v>
      </c>
      <c r="AH418" s="162">
        <v>50.0</v>
      </c>
      <c r="AI418" s="109">
        <v>100.0</v>
      </c>
      <c r="AJ418" s="109">
        <v>110.0</v>
      </c>
      <c r="AK418" s="109">
        <v>100.0</v>
      </c>
      <c r="AL418" s="162">
        <v>30.0</v>
      </c>
      <c r="AM418" s="110">
        <v>450.0</v>
      </c>
      <c r="AN418" s="21"/>
      <c r="AO418" s="22">
        <v>60.0</v>
      </c>
      <c r="AP418" s="23" t="s">
        <v>246</v>
      </c>
      <c r="AQ418" s="23" t="s">
        <v>175</v>
      </c>
      <c r="AR418" s="23" t="s">
        <v>40</v>
      </c>
      <c r="AS418" s="23" t="s">
        <v>175</v>
      </c>
      <c r="AT418" s="23" t="s">
        <v>711</v>
      </c>
      <c r="AU418" s="24" t="s">
        <v>176</v>
      </c>
      <c r="AV418" s="21"/>
      <c r="AW418" s="78">
        <v>60.0</v>
      </c>
      <c r="AX418" s="163">
        <v>50.0</v>
      </c>
      <c r="AY418" s="164">
        <v>100.0</v>
      </c>
      <c r="AZ418" s="171">
        <v>110.0</v>
      </c>
      <c r="BA418" s="187">
        <v>100.0</v>
      </c>
      <c r="BB418" s="163">
        <v>30.0</v>
      </c>
      <c r="BC418" s="164">
        <v>450.0</v>
      </c>
      <c r="BE418" s="451" t="s">
        <v>101</v>
      </c>
      <c r="BF418" s="452" t="s">
        <v>3806</v>
      </c>
      <c r="BG418" s="446"/>
      <c r="BI418" s="31" t="s">
        <v>5</v>
      </c>
      <c r="BJ418" s="32" t="s">
        <v>5</v>
      </c>
      <c r="BK418" s="32">
        <v>1.0</v>
      </c>
      <c r="BL418" s="32" t="s">
        <v>5</v>
      </c>
      <c r="BM418" s="32">
        <v>1.0</v>
      </c>
      <c r="BN418" s="33" t="s">
        <v>5</v>
      </c>
      <c r="BP418" s="85" t="s">
        <v>109</v>
      </c>
      <c r="BQ418" s="86" t="s">
        <v>95</v>
      </c>
      <c r="BS418" s="87" t="s">
        <v>109</v>
      </c>
      <c r="BT418" s="88" t="s">
        <v>95</v>
      </c>
      <c r="BU418" s="37" t="str">
        <f t="shared" si="1"/>
        <v>#NAME?</v>
      </c>
      <c r="BV418" s="89" t="s">
        <v>109</v>
      </c>
      <c r="BW418" s="37" t="str">
        <f t="shared" si="2"/>
        <v>#NAME?</v>
      </c>
      <c r="BX418" s="89" t="s">
        <v>95</v>
      </c>
      <c r="BY418" s="39"/>
      <c r="BZ418" s="39"/>
      <c r="CA418" s="40" t="s">
        <v>1987</v>
      </c>
      <c r="CB418" s="41"/>
      <c r="CC418" s="90" t="s">
        <v>109</v>
      </c>
      <c r="CD418" s="91" t="s">
        <v>95</v>
      </c>
      <c r="CE418" s="2"/>
      <c r="CF418" s="92" t="s">
        <v>3151</v>
      </c>
      <c r="CG418" s="93"/>
      <c r="CH418" s="2"/>
      <c r="CI418" s="277" t="s">
        <v>3151</v>
      </c>
      <c r="CJ418" s="332" t="s">
        <v>3151</v>
      </c>
      <c r="CK418" s="2"/>
      <c r="CL418" s="22" t="s">
        <v>3400</v>
      </c>
      <c r="CM418" s="12"/>
      <c r="CN418" s="48"/>
      <c r="CO418" s="96" t="s">
        <v>3151</v>
      </c>
      <c r="CP418" s="2"/>
      <c r="CQ418" s="2" t="s">
        <v>1051</v>
      </c>
      <c r="CR418" s="97">
        <v>20.0</v>
      </c>
      <c r="CS418" s="2" t="s">
        <v>815</v>
      </c>
      <c r="CT418" s="98">
        <v>159.0</v>
      </c>
      <c r="CU418" s="2"/>
      <c r="CV418" s="52" t="s">
        <v>149</v>
      </c>
      <c r="CW418" s="52" t="s">
        <v>149</v>
      </c>
      <c r="CX418" s="2"/>
      <c r="CY418" s="444" t="s">
        <v>109</v>
      </c>
      <c r="CZ418" s="450"/>
      <c r="DA418" s="2"/>
      <c r="DB418" s="98">
        <v>45.0</v>
      </c>
      <c r="DC418" s="2"/>
      <c r="DD418" s="101" t="s">
        <v>150</v>
      </c>
      <c r="DE418" s="2"/>
      <c r="DF418" s="445" t="s">
        <v>3807</v>
      </c>
      <c r="DG418" s="443" t="s">
        <v>183</v>
      </c>
      <c r="DH418" s="450"/>
      <c r="DI418" s="2"/>
      <c r="DJ418" s="2"/>
      <c r="DK418" s="59" t="s">
        <v>3808</v>
      </c>
      <c r="DL418" s="37" t="s">
        <v>156</v>
      </c>
      <c r="DM418" s="37" t="str">
        <f t="shared" si="3"/>
        <v>#NAME?</v>
      </c>
      <c r="DN418" s="61"/>
      <c r="DO418" s="37" t="s">
        <v>19</v>
      </c>
      <c r="DP418" s="37" t="s">
        <v>19</v>
      </c>
      <c r="DQ418" s="62" t="s">
        <v>20</v>
      </c>
      <c r="DR418" s="63"/>
      <c r="DS418" s="198"/>
      <c r="DT418" s="108"/>
      <c r="DU418" s="108"/>
      <c r="DV418" s="182"/>
      <c r="DW418" s="182"/>
      <c r="DX418" s="182"/>
      <c r="DY418" s="182"/>
      <c r="DZ418" s="182"/>
      <c r="EA418" s="182"/>
      <c r="EB418" s="2"/>
      <c r="EC418" s="2"/>
      <c r="ED418" s="2"/>
      <c r="EE418" s="2"/>
      <c r="EF418" s="2"/>
      <c r="EG418" s="449"/>
      <c r="EH418" s="428"/>
      <c r="EI418" s="428"/>
    </row>
    <row r="419" ht="15.75" customHeight="1">
      <c r="A419" s="1">
        <v>414.0</v>
      </c>
      <c r="B419" s="2" t="s">
        <v>3809</v>
      </c>
      <c r="C419" s="7"/>
      <c r="D419" s="169" t="s">
        <v>3810</v>
      </c>
      <c r="E419" s="5"/>
      <c r="F419" s="170"/>
      <c r="G419" s="7"/>
      <c r="H419" s="8" t="s">
        <v>3811</v>
      </c>
      <c r="I419" s="9" t="s">
        <v>3812</v>
      </c>
      <c r="J419" s="355" t="str">
        <f>image("https://archives.bulbagarden.net/media/upload/0/03/414MS6.png", 3)</f>
        <v/>
      </c>
      <c r="K419" s="11" t="s">
        <v>3810</v>
      </c>
      <c r="L419" s="12"/>
      <c r="M419" s="12"/>
      <c r="N419" s="12"/>
      <c r="O419" s="12"/>
      <c r="Q419" s="71">
        <v>70.0</v>
      </c>
      <c r="R419" s="72">
        <v>94.0</v>
      </c>
      <c r="S419" s="73">
        <v>50.0</v>
      </c>
      <c r="T419" s="74">
        <v>94.0</v>
      </c>
      <c r="U419" s="75">
        <v>50.0</v>
      </c>
      <c r="V419" s="76">
        <v>66.0</v>
      </c>
      <c r="W419" s="77">
        <v>424.0</v>
      </c>
      <c r="X419" s="21"/>
      <c r="Y419" s="71">
        <v>70.0</v>
      </c>
      <c r="Z419" s="72">
        <v>94.0</v>
      </c>
      <c r="AA419" s="73">
        <v>50.0</v>
      </c>
      <c r="AB419" s="74">
        <v>94.0</v>
      </c>
      <c r="AC419" s="75">
        <v>50.0</v>
      </c>
      <c r="AD419" s="76">
        <v>66.0</v>
      </c>
      <c r="AE419" s="77">
        <v>424.0</v>
      </c>
      <c r="AF419" s="21"/>
      <c r="AG419" s="71">
        <v>70.0</v>
      </c>
      <c r="AH419" s="162">
        <v>70.0</v>
      </c>
      <c r="AI419" s="73">
        <v>50.0</v>
      </c>
      <c r="AJ419" s="109">
        <v>110.0</v>
      </c>
      <c r="AK419" s="75">
        <v>50.0</v>
      </c>
      <c r="AL419" s="109">
        <v>100.0</v>
      </c>
      <c r="AM419" s="110">
        <v>450.0</v>
      </c>
      <c r="AN419" s="21"/>
      <c r="AO419" s="22">
        <v>70.0</v>
      </c>
      <c r="AP419" s="23" t="s">
        <v>258</v>
      </c>
      <c r="AQ419" s="23">
        <v>50.0</v>
      </c>
      <c r="AR419" s="23" t="s">
        <v>40</v>
      </c>
      <c r="AS419" s="23">
        <v>50.0</v>
      </c>
      <c r="AT419" s="23" t="s">
        <v>175</v>
      </c>
      <c r="AU419" s="24" t="s">
        <v>176</v>
      </c>
      <c r="AV419" s="21"/>
      <c r="AW419" s="78">
        <v>70.0</v>
      </c>
      <c r="AX419" s="163">
        <v>70.0</v>
      </c>
      <c r="AY419" s="124">
        <v>50.0</v>
      </c>
      <c r="AZ419" s="111">
        <v>110.0</v>
      </c>
      <c r="BA419" s="124">
        <v>50.0</v>
      </c>
      <c r="BB419" s="227">
        <v>100.0</v>
      </c>
      <c r="BC419" s="111">
        <v>450.0</v>
      </c>
      <c r="BE419" s="194" t="s">
        <v>325</v>
      </c>
      <c r="BF419" s="285" t="s">
        <v>4</v>
      </c>
      <c r="BG419" s="210"/>
      <c r="BI419" s="31" t="s">
        <v>5</v>
      </c>
      <c r="BJ419" s="32">
        <v>1.0</v>
      </c>
      <c r="BK419" s="32" t="s">
        <v>5</v>
      </c>
      <c r="BL419" s="32">
        <v>1.0</v>
      </c>
      <c r="BM419" s="32" t="s">
        <v>5</v>
      </c>
      <c r="BN419" s="33" t="s">
        <v>5</v>
      </c>
      <c r="BP419" s="115" t="s">
        <v>109</v>
      </c>
      <c r="BQ419" s="116" t="s">
        <v>18</v>
      </c>
      <c r="BS419" s="115" t="s">
        <v>109</v>
      </c>
      <c r="BT419" s="117" t="s">
        <v>18</v>
      </c>
      <c r="BU419" s="37" t="str">
        <f t="shared" si="1"/>
        <v>#NAME?</v>
      </c>
      <c r="BV419" s="89" t="s">
        <v>109</v>
      </c>
      <c r="BW419" s="37" t="str">
        <f t="shared" si="2"/>
        <v>#NAME?</v>
      </c>
      <c r="BX419" s="89" t="s">
        <v>18</v>
      </c>
      <c r="BY419" s="39"/>
      <c r="BZ419" s="39"/>
      <c r="CA419" s="40" t="s">
        <v>177</v>
      </c>
      <c r="CB419" s="41"/>
      <c r="CC419" s="90" t="s">
        <v>109</v>
      </c>
      <c r="CD419" s="91" t="s">
        <v>18</v>
      </c>
      <c r="CE419" s="2"/>
      <c r="CF419" s="92" t="s">
        <v>217</v>
      </c>
      <c r="CG419" s="93"/>
      <c r="CH419" s="2"/>
      <c r="CI419" s="46" t="s">
        <v>179</v>
      </c>
      <c r="CJ419" s="165" t="s">
        <v>217</v>
      </c>
      <c r="CK419" s="2"/>
      <c r="CL419" s="22" t="s">
        <v>180</v>
      </c>
      <c r="CM419" s="12"/>
      <c r="CN419" s="48"/>
      <c r="CO419" s="96" t="s">
        <v>217</v>
      </c>
      <c r="CP419" s="2"/>
      <c r="CQ419" s="2" t="s">
        <v>3813</v>
      </c>
      <c r="CR419" s="97">
        <v>40.0</v>
      </c>
      <c r="CS419" s="2" t="s">
        <v>1956</v>
      </c>
      <c r="CT419" s="98">
        <v>159.0</v>
      </c>
      <c r="CU419" s="2"/>
      <c r="CV419" s="52" t="s">
        <v>397</v>
      </c>
      <c r="CW419" s="202">
        <v>0.0</v>
      </c>
      <c r="CX419" s="2"/>
      <c r="CY419" s="119" t="s">
        <v>109</v>
      </c>
      <c r="CZ419" s="160"/>
      <c r="DA419" s="2"/>
      <c r="DB419" s="98">
        <v>45.0</v>
      </c>
      <c r="DC419" s="2"/>
      <c r="DD419" s="101" t="s">
        <v>150</v>
      </c>
      <c r="DE419" s="2"/>
      <c r="DF419" s="120" t="s">
        <v>3814</v>
      </c>
      <c r="DG419" s="119"/>
      <c r="DH419" s="160"/>
      <c r="DI419" s="2"/>
      <c r="DJ419" s="2"/>
      <c r="DK419" s="59" t="s">
        <v>3815</v>
      </c>
      <c r="DL419" s="37" t="s">
        <v>122</v>
      </c>
      <c r="DM419" s="37" t="str">
        <f t="shared" si="3"/>
        <v>#NAME?</v>
      </c>
      <c r="DN419" s="61"/>
      <c r="DO419" s="37" t="s">
        <v>19</v>
      </c>
      <c r="DP419" s="37" t="s">
        <v>19</v>
      </c>
      <c r="DQ419" s="62" t="s">
        <v>49</v>
      </c>
      <c r="DR419" s="63"/>
      <c r="DS419" s="198"/>
      <c r="DT419" s="108"/>
      <c r="DU419" s="108"/>
      <c r="DV419" s="182"/>
      <c r="DW419" s="182"/>
      <c r="DX419" s="182"/>
      <c r="DY419" s="182"/>
      <c r="DZ419" s="182"/>
      <c r="EA419" s="182"/>
      <c r="EB419" s="2"/>
      <c r="EC419" s="2"/>
      <c r="ED419" s="2"/>
      <c r="EE419" s="2"/>
      <c r="EF419" s="2"/>
      <c r="EG419" s="449"/>
      <c r="EH419" s="428"/>
      <c r="EI419" s="428"/>
    </row>
    <row r="420" ht="15.75" customHeight="1">
      <c r="A420" s="1">
        <v>415.0</v>
      </c>
      <c r="B420" s="2" t="s">
        <v>3816</v>
      </c>
      <c r="C420" s="7"/>
      <c r="D420" s="169" t="s">
        <v>3817</v>
      </c>
      <c r="E420" s="5"/>
      <c r="F420" s="170"/>
      <c r="G420" s="7"/>
      <c r="H420" s="8" t="s">
        <v>3818</v>
      </c>
      <c r="I420" s="9" t="s">
        <v>3819</v>
      </c>
      <c r="J420" s="355" t="str">
        <f>image("https://archives.bulbagarden.net/media/upload/7/72/415MS6.png", 3)</f>
        <v/>
      </c>
      <c r="K420" s="11" t="s">
        <v>3817</v>
      </c>
      <c r="L420" s="12"/>
      <c r="M420" s="12"/>
      <c r="N420" s="12"/>
      <c r="O420" s="12"/>
      <c r="Q420" s="71">
        <v>30.0</v>
      </c>
      <c r="R420" s="72">
        <v>30.0</v>
      </c>
      <c r="S420" s="73">
        <v>42.0</v>
      </c>
      <c r="T420" s="74">
        <v>30.0</v>
      </c>
      <c r="U420" s="75">
        <v>42.0</v>
      </c>
      <c r="V420" s="76">
        <v>70.0</v>
      </c>
      <c r="W420" s="77">
        <v>244.0</v>
      </c>
      <c r="X420" s="21"/>
      <c r="Y420" s="71">
        <v>30.0</v>
      </c>
      <c r="Z420" s="72">
        <v>30.0</v>
      </c>
      <c r="AA420" s="73">
        <v>42.0</v>
      </c>
      <c r="AB420" s="74">
        <v>30.0</v>
      </c>
      <c r="AC420" s="75">
        <v>42.0</v>
      </c>
      <c r="AD420" s="76">
        <v>70.0</v>
      </c>
      <c r="AE420" s="77">
        <v>244.0</v>
      </c>
      <c r="AF420" s="21"/>
      <c r="AG420" s="71">
        <v>30.0</v>
      </c>
      <c r="AH420" s="72">
        <v>30.0</v>
      </c>
      <c r="AI420" s="73">
        <v>42.0</v>
      </c>
      <c r="AJ420" s="74">
        <v>30.0</v>
      </c>
      <c r="AK420" s="75">
        <v>42.0</v>
      </c>
      <c r="AL420" s="76">
        <v>70.0</v>
      </c>
      <c r="AM420" s="77">
        <v>244.0</v>
      </c>
      <c r="AN420" s="21"/>
      <c r="AO420" s="22">
        <v>30.0</v>
      </c>
      <c r="AP420" s="23">
        <v>30.0</v>
      </c>
      <c r="AQ420" s="23">
        <v>42.0</v>
      </c>
      <c r="AR420" s="23">
        <v>30.0</v>
      </c>
      <c r="AS420" s="23">
        <v>42.0</v>
      </c>
      <c r="AT420" s="23">
        <v>70.0</v>
      </c>
      <c r="AU420" s="24">
        <v>244.0</v>
      </c>
      <c r="AV420" s="21"/>
      <c r="AW420" s="78">
        <v>30.0</v>
      </c>
      <c r="AX420" s="124">
        <v>30.0</v>
      </c>
      <c r="AY420" s="79">
        <v>42.0</v>
      </c>
      <c r="AZ420" s="124">
        <v>30.0</v>
      </c>
      <c r="BA420" s="79">
        <v>42.0</v>
      </c>
      <c r="BB420" s="124">
        <v>70.0</v>
      </c>
      <c r="BC420" s="125">
        <v>244.0</v>
      </c>
      <c r="BE420" s="126" t="s">
        <v>56</v>
      </c>
      <c r="BF420" s="447"/>
      <c r="BG420" s="128"/>
      <c r="BI420" s="31" t="s">
        <v>5</v>
      </c>
      <c r="BJ420" s="32" t="s">
        <v>5</v>
      </c>
      <c r="BK420" s="32" t="s">
        <v>5</v>
      </c>
      <c r="BL420" s="32" t="s">
        <v>5</v>
      </c>
      <c r="BM420" s="32" t="s">
        <v>5</v>
      </c>
      <c r="BN420" s="33">
        <v>1.0</v>
      </c>
      <c r="BP420" s="85" t="s">
        <v>109</v>
      </c>
      <c r="BQ420" s="86" t="s">
        <v>18</v>
      </c>
      <c r="BS420" s="87" t="s">
        <v>109</v>
      </c>
      <c r="BT420" s="88" t="s">
        <v>18</v>
      </c>
      <c r="BU420" s="37" t="str">
        <f t="shared" si="1"/>
        <v>#NAME?</v>
      </c>
      <c r="BV420" s="89" t="s">
        <v>109</v>
      </c>
      <c r="BW420" s="37" t="str">
        <f t="shared" si="2"/>
        <v>#NAME?</v>
      </c>
      <c r="BX420" s="89" t="s">
        <v>18</v>
      </c>
      <c r="BY420" s="39"/>
      <c r="BZ420" s="39"/>
      <c r="CA420" s="40" t="s">
        <v>177</v>
      </c>
      <c r="CB420" s="41"/>
      <c r="CC420" s="90" t="s">
        <v>109</v>
      </c>
      <c r="CD420" s="91" t="s">
        <v>18</v>
      </c>
      <c r="CE420" s="2"/>
      <c r="CF420" s="92" t="s">
        <v>3820</v>
      </c>
      <c r="CG420" s="93"/>
      <c r="CH420" s="2"/>
      <c r="CI420" s="152" t="s">
        <v>274</v>
      </c>
      <c r="CJ420" s="95" t="s">
        <v>3820</v>
      </c>
      <c r="CK420" s="2"/>
      <c r="CL420" s="22" t="s">
        <v>275</v>
      </c>
      <c r="CM420" s="12"/>
      <c r="CN420" s="48"/>
      <c r="CO420" s="96" t="s">
        <v>3820</v>
      </c>
      <c r="CP420" s="2"/>
      <c r="CQ420" s="2" t="s">
        <v>512</v>
      </c>
      <c r="CR420" s="97">
        <v>20.0</v>
      </c>
      <c r="CS420" s="2" t="s">
        <v>56</v>
      </c>
      <c r="CT420" s="98">
        <v>63.0</v>
      </c>
      <c r="CU420" s="2"/>
      <c r="CV420" s="52" t="s">
        <v>13</v>
      </c>
      <c r="CW420" s="53">
        <v>0.125</v>
      </c>
      <c r="CX420" s="2"/>
      <c r="CY420" s="444" t="s">
        <v>109</v>
      </c>
      <c r="CZ420" s="450"/>
      <c r="DA420" s="2"/>
      <c r="DB420" s="98">
        <v>120.0</v>
      </c>
      <c r="DC420" s="2"/>
      <c r="DD420" s="101" t="s">
        <v>15</v>
      </c>
      <c r="DE420" s="2"/>
      <c r="DF420" s="448" t="s">
        <v>3821</v>
      </c>
      <c r="DG420" s="443" t="s">
        <v>3822</v>
      </c>
      <c r="DH420" s="450"/>
      <c r="DI420" s="21"/>
      <c r="DJ420" s="21"/>
      <c r="DK420" s="59" t="s">
        <v>3823</v>
      </c>
      <c r="DL420" s="37" t="s">
        <v>156</v>
      </c>
      <c r="DM420" s="37" t="str">
        <f t="shared" si="3"/>
        <v>#NAME?</v>
      </c>
      <c r="DN420" s="61"/>
      <c r="DO420" s="37" t="s">
        <v>19</v>
      </c>
      <c r="DP420" s="37" t="s">
        <v>19</v>
      </c>
      <c r="DQ420" s="62" t="s">
        <v>20</v>
      </c>
      <c r="DR420" s="63"/>
      <c r="DS420" s="198"/>
      <c r="DT420" s="108"/>
      <c r="DU420" s="108"/>
      <c r="DV420" s="182"/>
      <c r="DW420" s="182"/>
      <c r="DX420" s="182"/>
      <c r="DY420" s="182"/>
      <c r="DZ420" s="182"/>
      <c r="EA420" s="182"/>
      <c r="EB420" s="21"/>
      <c r="EC420" s="21"/>
      <c r="ED420" s="21"/>
      <c r="EE420" s="21"/>
      <c r="EF420" s="21"/>
      <c r="EG420" s="108"/>
      <c r="EH420" s="442"/>
      <c r="EI420" s="442"/>
    </row>
    <row r="421" ht="15.75" customHeight="1">
      <c r="A421" s="1">
        <v>416.0</v>
      </c>
      <c r="B421" s="2" t="s">
        <v>3824</v>
      </c>
      <c r="C421" s="7"/>
      <c r="D421" s="169" t="s">
        <v>3825</v>
      </c>
      <c r="E421" s="5"/>
      <c r="F421" s="170"/>
      <c r="G421" s="7"/>
      <c r="H421" s="8" t="s">
        <v>3826</v>
      </c>
      <c r="I421" s="9" t="s">
        <v>3827</v>
      </c>
      <c r="J421" s="355" t="str">
        <f>image("https://archives.bulbagarden.net/media/upload/6/69/416MS6.png", 3)</f>
        <v/>
      </c>
      <c r="K421" s="11" t="s">
        <v>3825</v>
      </c>
      <c r="L421" s="12"/>
      <c r="M421" s="12"/>
      <c r="N421" s="12"/>
      <c r="O421" s="12"/>
      <c r="Q421" s="71">
        <v>70.0</v>
      </c>
      <c r="R421" s="72">
        <v>80.0</v>
      </c>
      <c r="S421" s="73">
        <v>102.0</v>
      </c>
      <c r="T421" s="74">
        <v>80.0</v>
      </c>
      <c r="U421" s="75">
        <v>102.0</v>
      </c>
      <c r="V421" s="76">
        <v>40.0</v>
      </c>
      <c r="W421" s="77">
        <v>474.0</v>
      </c>
      <c r="X421" s="21"/>
      <c r="Y421" s="71">
        <v>70.0</v>
      </c>
      <c r="Z421" s="72">
        <v>80.0</v>
      </c>
      <c r="AA421" s="73">
        <v>102.0</v>
      </c>
      <c r="AB421" s="74">
        <v>80.0</v>
      </c>
      <c r="AC421" s="75">
        <v>102.0</v>
      </c>
      <c r="AD421" s="76">
        <v>40.0</v>
      </c>
      <c r="AE421" s="77">
        <v>474.0</v>
      </c>
      <c r="AF421" s="21"/>
      <c r="AG421" s="71">
        <v>70.0</v>
      </c>
      <c r="AH421" s="72">
        <v>80.0</v>
      </c>
      <c r="AI421" s="73">
        <v>102.0</v>
      </c>
      <c r="AJ421" s="74">
        <v>80.0</v>
      </c>
      <c r="AK421" s="75">
        <v>102.0</v>
      </c>
      <c r="AL421" s="76">
        <v>40.0</v>
      </c>
      <c r="AM421" s="77">
        <v>474.0</v>
      </c>
      <c r="AN421" s="21"/>
      <c r="AO421" s="22">
        <v>70.0</v>
      </c>
      <c r="AP421" s="23">
        <v>80.0</v>
      </c>
      <c r="AQ421" s="23">
        <v>102.0</v>
      </c>
      <c r="AR421" s="23">
        <v>80.0</v>
      </c>
      <c r="AS421" s="23">
        <v>102.0</v>
      </c>
      <c r="AT421" s="23">
        <v>40.0</v>
      </c>
      <c r="AU421" s="24">
        <v>474.0</v>
      </c>
      <c r="AV421" s="21"/>
      <c r="AW421" s="78">
        <v>70.0</v>
      </c>
      <c r="AX421" s="79">
        <v>80.0</v>
      </c>
      <c r="AY421" s="80">
        <v>102.0</v>
      </c>
      <c r="AZ421" s="80">
        <v>80.0</v>
      </c>
      <c r="BA421" s="79">
        <v>102.0</v>
      </c>
      <c r="BB421" s="79">
        <v>40.0</v>
      </c>
      <c r="BC421" s="81">
        <v>474.0</v>
      </c>
      <c r="BE421" s="142" t="s">
        <v>101</v>
      </c>
      <c r="BF421" s="83" t="s">
        <v>27</v>
      </c>
      <c r="BG421" s="210"/>
      <c r="BI421" s="31" t="s">
        <v>5</v>
      </c>
      <c r="BJ421" s="32" t="s">
        <v>5</v>
      </c>
      <c r="BK421" s="32">
        <v>1.0</v>
      </c>
      <c r="BL421" s="32" t="s">
        <v>5</v>
      </c>
      <c r="BM421" s="32">
        <v>1.0</v>
      </c>
      <c r="BN421" s="33" t="s">
        <v>5</v>
      </c>
      <c r="BP421" s="115" t="s">
        <v>109</v>
      </c>
      <c r="BQ421" s="116" t="s">
        <v>18</v>
      </c>
      <c r="BS421" s="115" t="s">
        <v>109</v>
      </c>
      <c r="BT421" s="117" t="s">
        <v>18</v>
      </c>
      <c r="BU421" s="37" t="str">
        <f t="shared" si="1"/>
        <v>#NAME?</v>
      </c>
      <c r="BV421" s="89" t="s">
        <v>109</v>
      </c>
      <c r="BW421" s="37" t="str">
        <f t="shared" si="2"/>
        <v>#NAME?</v>
      </c>
      <c r="BX421" s="89" t="s">
        <v>18</v>
      </c>
      <c r="BY421" s="39"/>
      <c r="BZ421" s="39"/>
      <c r="CA421" s="40" t="s">
        <v>177</v>
      </c>
      <c r="CB421" s="41"/>
      <c r="CC421" s="90" t="s">
        <v>109</v>
      </c>
      <c r="CD421" s="91" t="s">
        <v>18</v>
      </c>
      <c r="CE421" s="2"/>
      <c r="CF421" s="92" t="s">
        <v>1447</v>
      </c>
      <c r="CG421" s="93"/>
      <c r="CH421" s="2"/>
      <c r="CI421" s="280" t="s">
        <v>1447</v>
      </c>
      <c r="CJ421" s="93"/>
      <c r="CK421" s="2"/>
      <c r="CL421" s="22" t="s">
        <v>1587</v>
      </c>
      <c r="CM421" s="12"/>
      <c r="CN421" s="48"/>
      <c r="CO421" s="96" t="s">
        <v>1447</v>
      </c>
      <c r="CP421" s="2"/>
      <c r="CQ421" s="2" t="s">
        <v>3828</v>
      </c>
      <c r="CR421" s="97">
        <v>60.0</v>
      </c>
      <c r="CS421" s="2" t="s">
        <v>117</v>
      </c>
      <c r="CT421" s="98">
        <v>188.0</v>
      </c>
      <c r="CU421" s="2"/>
      <c r="CV421" s="202">
        <v>0.0</v>
      </c>
      <c r="CW421" s="52" t="s">
        <v>397</v>
      </c>
      <c r="CX421" s="2"/>
      <c r="CY421" s="119" t="s">
        <v>109</v>
      </c>
      <c r="CZ421" s="160"/>
      <c r="DA421" s="2"/>
      <c r="DB421" s="98">
        <v>45.0</v>
      </c>
      <c r="DC421" s="2"/>
      <c r="DD421" s="101" t="s">
        <v>15</v>
      </c>
      <c r="DE421" s="2"/>
      <c r="DF421" s="120" t="s">
        <v>3829</v>
      </c>
      <c r="DG421" s="118" t="s">
        <v>223</v>
      </c>
      <c r="DH421" s="160"/>
      <c r="DI421" s="2"/>
      <c r="DJ421" s="2"/>
      <c r="DK421" s="59" t="s">
        <v>3830</v>
      </c>
      <c r="DL421" s="37" t="s">
        <v>66</v>
      </c>
      <c r="DM421" s="37" t="str">
        <f t="shared" si="3"/>
        <v>#NAME?</v>
      </c>
      <c r="DN421" s="61"/>
      <c r="DO421" s="37" t="s">
        <v>19</v>
      </c>
      <c r="DP421" s="37" t="s">
        <v>19</v>
      </c>
      <c r="DQ421" s="62" t="s">
        <v>20</v>
      </c>
      <c r="DR421" s="63"/>
      <c r="DS421" s="198"/>
      <c r="DT421" s="108"/>
      <c r="DU421" s="108"/>
      <c r="DV421" s="182"/>
      <c r="DW421" s="182"/>
      <c r="DX421" s="182"/>
      <c r="DY421" s="182"/>
      <c r="DZ421" s="182"/>
      <c r="EA421" s="182"/>
      <c r="EB421" s="2"/>
      <c r="EC421" s="2"/>
      <c r="ED421" s="2"/>
      <c r="EE421" s="2"/>
      <c r="EF421" s="2"/>
      <c r="EG421" s="449"/>
      <c r="EH421" s="428"/>
      <c r="EI421" s="428"/>
    </row>
    <row r="422" ht="15.75" customHeight="1">
      <c r="A422" s="1">
        <v>417.0</v>
      </c>
      <c r="B422" s="2" t="s">
        <v>3831</v>
      </c>
      <c r="C422" s="7"/>
      <c r="D422" s="352" t="s">
        <v>3832</v>
      </c>
      <c r="E422" s="5"/>
      <c r="F422" s="7"/>
      <c r="G422" s="7"/>
      <c r="H422" s="8" t="s">
        <v>3833</v>
      </c>
      <c r="I422" s="9" t="s">
        <v>3834</v>
      </c>
      <c r="J422" s="355" t="str">
        <f>image("https://archives.bulbagarden.net/media/upload/4/46/417MS6.png", 3)</f>
        <v/>
      </c>
      <c r="K422" s="11" t="s">
        <v>3832</v>
      </c>
      <c r="L422" s="12"/>
      <c r="M422" s="12"/>
      <c r="N422" s="12"/>
      <c r="O422" s="12"/>
      <c r="Q422" s="71">
        <v>60.0</v>
      </c>
      <c r="R422" s="72">
        <v>45.0</v>
      </c>
      <c r="S422" s="73">
        <v>70.0</v>
      </c>
      <c r="T422" s="74">
        <v>45.0</v>
      </c>
      <c r="U422" s="75">
        <v>90.0</v>
      </c>
      <c r="V422" s="76">
        <v>95.0</v>
      </c>
      <c r="W422" s="77">
        <v>405.0</v>
      </c>
      <c r="X422" s="21"/>
      <c r="Y422" s="71">
        <v>60.0</v>
      </c>
      <c r="Z422" s="72">
        <v>45.0</v>
      </c>
      <c r="AA422" s="73">
        <v>70.0</v>
      </c>
      <c r="AB422" s="74">
        <v>45.0</v>
      </c>
      <c r="AC422" s="75">
        <v>90.0</v>
      </c>
      <c r="AD422" s="76">
        <v>95.0</v>
      </c>
      <c r="AE422" s="77">
        <v>405.0</v>
      </c>
      <c r="AF422" s="21"/>
      <c r="AG422" s="71">
        <v>60.0</v>
      </c>
      <c r="AH422" s="72">
        <v>45.0</v>
      </c>
      <c r="AI422" s="109">
        <v>80.0</v>
      </c>
      <c r="AJ422" s="109">
        <v>80.0</v>
      </c>
      <c r="AK422" s="75">
        <v>90.0</v>
      </c>
      <c r="AL422" s="76">
        <v>95.0</v>
      </c>
      <c r="AM422" s="110">
        <v>450.0</v>
      </c>
      <c r="AN422" s="21"/>
      <c r="AO422" s="22">
        <v>60.0</v>
      </c>
      <c r="AP422" s="23">
        <v>45.0</v>
      </c>
      <c r="AQ422" s="23" t="s">
        <v>337</v>
      </c>
      <c r="AR422" s="23" t="s">
        <v>337</v>
      </c>
      <c r="AS422" s="23">
        <v>90.0</v>
      </c>
      <c r="AT422" s="23">
        <v>95.0</v>
      </c>
      <c r="AU422" s="24" t="s">
        <v>176</v>
      </c>
      <c r="AV422" s="21"/>
      <c r="AW422" s="78">
        <v>60.0</v>
      </c>
      <c r="AX422" s="79">
        <v>45.0</v>
      </c>
      <c r="AY422" s="111">
        <v>80.0</v>
      </c>
      <c r="AZ422" s="111">
        <v>80.0</v>
      </c>
      <c r="BA422" s="79">
        <v>90.0</v>
      </c>
      <c r="BB422" s="79">
        <v>95.0</v>
      </c>
      <c r="BC422" s="111">
        <v>450.0</v>
      </c>
      <c r="BE422" s="126" t="s">
        <v>56</v>
      </c>
      <c r="BF422" s="447"/>
      <c r="BG422" s="128"/>
      <c r="BI422" s="31" t="s">
        <v>5</v>
      </c>
      <c r="BJ422" s="32" t="s">
        <v>5</v>
      </c>
      <c r="BK422" s="32" t="s">
        <v>5</v>
      </c>
      <c r="BL422" s="32" t="s">
        <v>5</v>
      </c>
      <c r="BM422" s="32" t="s">
        <v>5</v>
      </c>
      <c r="BN422" s="33">
        <v>1.0</v>
      </c>
      <c r="BP422" s="85" t="s">
        <v>197</v>
      </c>
      <c r="BQ422" s="129"/>
      <c r="BS422" s="87" t="s">
        <v>197</v>
      </c>
      <c r="BT422" s="130"/>
      <c r="BU422" s="37" t="str">
        <f t="shared" si="1"/>
        <v>#NAME?</v>
      </c>
      <c r="BV422" s="89" t="s">
        <v>197</v>
      </c>
      <c r="BW422" s="37" t="str">
        <f t="shared" si="2"/>
        <v>#NAME?</v>
      </c>
      <c r="BX422" s="89"/>
      <c r="BY422" s="39"/>
      <c r="BZ422" s="39"/>
      <c r="CA422" s="40" t="s">
        <v>197</v>
      </c>
      <c r="CB422" s="41"/>
      <c r="CC422" s="90" t="s">
        <v>197</v>
      </c>
      <c r="CD422" s="91"/>
      <c r="CE422" s="21"/>
      <c r="CF422" s="92" t="s">
        <v>146</v>
      </c>
      <c r="CG422" s="93" t="s">
        <v>626</v>
      </c>
      <c r="CH422" s="21"/>
      <c r="CI422" s="158" t="s">
        <v>1387</v>
      </c>
      <c r="CJ422" s="153" t="s">
        <v>626</v>
      </c>
      <c r="CK422" s="21"/>
      <c r="CL422" s="22" t="s">
        <v>2888</v>
      </c>
      <c r="CM422" s="12"/>
      <c r="CN422" s="48"/>
      <c r="CO422" s="189" t="s">
        <v>626</v>
      </c>
      <c r="CP422" s="21"/>
      <c r="CQ422" s="2" t="s">
        <v>2042</v>
      </c>
      <c r="CR422" s="97">
        <v>20.0</v>
      </c>
      <c r="CS422" s="2" t="s">
        <v>56</v>
      </c>
      <c r="CT422" s="98">
        <v>120.0</v>
      </c>
      <c r="CU422" s="2"/>
      <c r="CV422" s="52" t="s">
        <v>149</v>
      </c>
      <c r="CW422" s="52" t="s">
        <v>149</v>
      </c>
      <c r="CX422" s="2"/>
      <c r="CY422" s="443" t="s">
        <v>277</v>
      </c>
      <c r="CZ422" s="444" t="s">
        <v>153</v>
      </c>
      <c r="DA422" s="2"/>
      <c r="DB422" s="98">
        <v>200.0</v>
      </c>
      <c r="DC422" s="2"/>
      <c r="DD422" s="101" t="s">
        <v>150</v>
      </c>
      <c r="DE422" s="2"/>
      <c r="DF422" s="445" t="s">
        <v>914</v>
      </c>
      <c r="DG422" s="444"/>
      <c r="DH422" s="444"/>
      <c r="DI422" s="2"/>
      <c r="DJ422" s="2"/>
      <c r="DK422" s="59" t="s">
        <v>3835</v>
      </c>
      <c r="DL422" s="37" t="s">
        <v>122</v>
      </c>
      <c r="DM422" s="37" t="str">
        <f t="shared" si="3"/>
        <v>#NAME?</v>
      </c>
      <c r="DN422" s="61"/>
      <c r="DO422" s="37" t="s">
        <v>19</v>
      </c>
      <c r="DP422" s="37" t="s">
        <v>19</v>
      </c>
      <c r="DQ422" s="62" t="s">
        <v>49</v>
      </c>
      <c r="DR422" s="63"/>
      <c r="DS422" s="198"/>
      <c r="DT422" s="108"/>
      <c r="DU422" s="108"/>
      <c r="DV422" s="182"/>
      <c r="DW422" s="182"/>
      <c r="DX422" s="182"/>
      <c r="DY422" s="182"/>
      <c r="DZ422" s="182"/>
      <c r="EA422" s="182"/>
      <c r="EB422" s="2"/>
      <c r="EC422" s="2"/>
      <c r="ED422" s="2"/>
      <c r="EE422" s="2"/>
      <c r="EF422" s="2"/>
      <c r="EG422" s="449"/>
      <c r="EH422" s="428"/>
      <c r="EI422" s="428"/>
    </row>
    <row r="423" ht="15.75" customHeight="1">
      <c r="A423" s="1">
        <v>418.0</v>
      </c>
      <c r="B423" s="2" t="s">
        <v>3836</v>
      </c>
      <c r="C423" s="7"/>
      <c r="D423" s="167" t="s">
        <v>3837</v>
      </c>
      <c r="E423" s="5"/>
      <c r="F423" s="168"/>
      <c r="G423" s="7"/>
      <c r="H423" s="8" t="s">
        <v>3838</v>
      </c>
      <c r="I423" s="9" t="s">
        <v>3839</v>
      </c>
      <c r="J423" s="355" t="str">
        <f>image("https://archives.bulbagarden.net/media/upload/7/7a/418MS6.png", 3)</f>
        <v/>
      </c>
      <c r="K423" s="11" t="s">
        <v>3837</v>
      </c>
      <c r="L423" s="12"/>
      <c r="M423" s="12"/>
      <c r="N423" s="12"/>
      <c r="O423" s="12"/>
      <c r="Q423" s="71">
        <v>55.0</v>
      </c>
      <c r="R423" s="72">
        <v>65.0</v>
      </c>
      <c r="S423" s="73">
        <v>35.0</v>
      </c>
      <c r="T423" s="74">
        <v>60.0</v>
      </c>
      <c r="U423" s="75">
        <v>30.0</v>
      </c>
      <c r="V423" s="76">
        <v>85.0</v>
      </c>
      <c r="W423" s="77">
        <v>330.0</v>
      </c>
      <c r="X423" s="21"/>
      <c r="Y423" s="71">
        <v>55.0</v>
      </c>
      <c r="Z423" s="72">
        <v>65.0</v>
      </c>
      <c r="AA423" s="73">
        <v>35.0</v>
      </c>
      <c r="AB423" s="74">
        <v>60.0</v>
      </c>
      <c r="AC423" s="75">
        <v>30.0</v>
      </c>
      <c r="AD423" s="76">
        <v>85.0</v>
      </c>
      <c r="AE423" s="77">
        <v>330.0</v>
      </c>
      <c r="AF423" s="21"/>
      <c r="AG423" s="71">
        <v>55.0</v>
      </c>
      <c r="AH423" s="72">
        <v>65.0</v>
      </c>
      <c r="AI423" s="73">
        <v>35.0</v>
      </c>
      <c r="AJ423" s="74">
        <v>60.0</v>
      </c>
      <c r="AK423" s="75">
        <v>30.0</v>
      </c>
      <c r="AL423" s="76">
        <v>85.0</v>
      </c>
      <c r="AM423" s="77">
        <v>330.0</v>
      </c>
      <c r="AN423" s="21"/>
      <c r="AO423" s="22">
        <v>55.0</v>
      </c>
      <c r="AP423" s="23">
        <v>65.0</v>
      </c>
      <c r="AQ423" s="23">
        <v>35.0</v>
      </c>
      <c r="AR423" s="23">
        <v>60.0</v>
      </c>
      <c r="AS423" s="23">
        <v>30.0</v>
      </c>
      <c r="AT423" s="23">
        <v>85.0</v>
      </c>
      <c r="AU423" s="24">
        <v>330.0</v>
      </c>
      <c r="AV423" s="21"/>
      <c r="AW423" s="78">
        <v>55.0</v>
      </c>
      <c r="AX423" s="79">
        <v>65.0</v>
      </c>
      <c r="AY423" s="124">
        <v>35.0</v>
      </c>
      <c r="AZ423" s="124">
        <v>60.0</v>
      </c>
      <c r="BA423" s="79">
        <v>30.0</v>
      </c>
      <c r="BB423" s="79">
        <v>85.0</v>
      </c>
      <c r="BC423" s="125">
        <v>330.0</v>
      </c>
      <c r="BE423" s="126" t="s">
        <v>56</v>
      </c>
      <c r="BF423" s="143"/>
      <c r="BG423" s="128"/>
      <c r="BI423" s="31" t="s">
        <v>5</v>
      </c>
      <c r="BJ423" s="32" t="s">
        <v>5</v>
      </c>
      <c r="BK423" s="32" t="s">
        <v>5</v>
      </c>
      <c r="BL423" s="32" t="s">
        <v>5</v>
      </c>
      <c r="BM423" s="32" t="s">
        <v>5</v>
      </c>
      <c r="BN423" s="33">
        <v>1.0</v>
      </c>
      <c r="BP423" s="115" t="s">
        <v>32</v>
      </c>
      <c r="BQ423" s="93"/>
      <c r="BS423" s="115" t="s">
        <v>32</v>
      </c>
      <c r="BT423" s="133"/>
      <c r="BU423" s="37" t="str">
        <f t="shared" si="1"/>
        <v>#NAME?</v>
      </c>
      <c r="BV423" s="89" t="s">
        <v>32</v>
      </c>
      <c r="BW423" s="37" t="str">
        <f t="shared" si="2"/>
        <v>#NAME?</v>
      </c>
      <c r="BX423" s="89"/>
      <c r="BY423" s="39"/>
      <c r="BZ423" s="39"/>
      <c r="CA423" s="40" t="s">
        <v>32</v>
      </c>
      <c r="CB423" s="41"/>
      <c r="CC423" s="90" t="s">
        <v>32</v>
      </c>
      <c r="CD423" s="91"/>
      <c r="CE423" s="21"/>
      <c r="CF423" s="92" t="s">
        <v>1212</v>
      </c>
      <c r="CG423" s="93"/>
      <c r="CH423" s="21"/>
      <c r="CI423" s="291" t="s">
        <v>1212</v>
      </c>
      <c r="CJ423" s="46" t="s">
        <v>1235</v>
      </c>
      <c r="CK423" s="21"/>
      <c r="CL423" s="22" t="s">
        <v>1212</v>
      </c>
      <c r="CM423" s="12"/>
      <c r="CN423" s="48"/>
      <c r="CO423" s="192" t="s">
        <v>3409</v>
      </c>
      <c r="CP423" s="21"/>
      <c r="CQ423" s="2" t="s">
        <v>220</v>
      </c>
      <c r="CR423" s="97">
        <v>60.0</v>
      </c>
      <c r="CS423" s="2" t="s">
        <v>56</v>
      </c>
      <c r="CT423" s="98">
        <v>75.0</v>
      </c>
      <c r="CU423" s="2"/>
      <c r="CV423" s="52" t="s">
        <v>149</v>
      </c>
      <c r="CW423" s="52" t="s">
        <v>149</v>
      </c>
      <c r="CX423" s="2"/>
      <c r="CY423" s="118" t="s">
        <v>106</v>
      </c>
      <c r="CZ423" s="119" t="s">
        <v>277</v>
      </c>
      <c r="DA423" s="2"/>
      <c r="DB423" s="98">
        <v>190.0</v>
      </c>
      <c r="DC423" s="2"/>
      <c r="DD423" s="101" t="s">
        <v>150</v>
      </c>
      <c r="DE423" s="2"/>
      <c r="DF423" s="148" t="s">
        <v>3840</v>
      </c>
      <c r="DG423" s="119"/>
      <c r="DH423" s="119"/>
      <c r="DI423" s="21"/>
      <c r="DJ423" s="21"/>
      <c r="DK423" s="59" t="s">
        <v>3841</v>
      </c>
      <c r="DL423" s="37" t="s">
        <v>18</v>
      </c>
      <c r="DM423" s="37" t="str">
        <f t="shared" si="3"/>
        <v>#NAME?</v>
      </c>
      <c r="DN423" s="61"/>
      <c r="DO423" s="37" t="s">
        <v>19</v>
      </c>
      <c r="DP423" s="37" t="s">
        <v>19</v>
      </c>
      <c r="DQ423" s="62" t="s">
        <v>49</v>
      </c>
      <c r="DR423" s="63"/>
      <c r="DS423" s="198"/>
      <c r="DT423" s="108"/>
      <c r="DU423" s="108"/>
      <c r="DV423" s="182"/>
      <c r="DW423" s="182"/>
      <c r="DX423" s="182"/>
      <c r="DY423" s="182"/>
      <c r="DZ423" s="182"/>
      <c r="EA423" s="182"/>
      <c r="EB423" s="21"/>
      <c r="EC423" s="21"/>
      <c r="ED423" s="21"/>
      <c r="EE423" s="21"/>
      <c r="EF423" s="21"/>
      <c r="EG423" s="108"/>
      <c r="EH423" s="442"/>
      <c r="EI423" s="442"/>
    </row>
    <row r="424" ht="15.75" customHeight="1">
      <c r="A424" s="1">
        <v>419.0</v>
      </c>
      <c r="B424" s="2" t="s">
        <v>3842</v>
      </c>
      <c r="C424" s="7"/>
      <c r="D424" s="167" t="s">
        <v>3843</v>
      </c>
      <c r="E424" s="5"/>
      <c r="F424" s="168"/>
      <c r="G424" s="7"/>
      <c r="H424" s="8" t="s">
        <v>3844</v>
      </c>
      <c r="I424" s="9" t="s">
        <v>3845</v>
      </c>
      <c r="J424" s="355" t="str">
        <f>image("https://archives.bulbagarden.net/media/upload/b/bb/419MS6.png", 3)</f>
        <v/>
      </c>
      <c r="K424" s="11" t="s">
        <v>3843</v>
      </c>
      <c r="L424" s="12"/>
      <c r="M424" s="12"/>
      <c r="N424" s="12"/>
      <c r="O424" s="12"/>
      <c r="Q424" s="71">
        <v>85.0</v>
      </c>
      <c r="R424" s="72">
        <v>105.0</v>
      </c>
      <c r="S424" s="73">
        <v>55.0</v>
      </c>
      <c r="T424" s="74">
        <v>85.0</v>
      </c>
      <c r="U424" s="75">
        <v>50.0</v>
      </c>
      <c r="V424" s="76">
        <v>115.0</v>
      </c>
      <c r="W424" s="77">
        <v>495.0</v>
      </c>
      <c r="X424" s="21"/>
      <c r="Y424" s="71">
        <v>85.0</v>
      </c>
      <c r="Z424" s="72">
        <v>105.0</v>
      </c>
      <c r="AA424" s="73">
        <v>55.0</v>
      </c>
      <c r="AB424" s="74">
        <v>85.0</v>
      </c>
      <c r="AC424" s="75">
        <v>50.0</v>
      </c>
      <c r="AD424" s="76">
        <v>115.0</v>
      </c>
      <c r="AE424" s="77">
        <v>495.0</v>
      </c>
      <c r="AF424" s="21"/>
      <c r="AG424" s="71">
        <v>85.0</v>
      </c>
      <c r="AH424" s="72">
        <v>105.0</v>
      </c>
      <c r="AI424" s="73">
        <v>55.0</v>
      </c>
      <c r="AJ424" s="74">
        <v>85.0</v>
      </c>
      <c r="AK424" s="75">
        <v>50.0</v>
      </c>
      <c r="AL424" s="76">
        <v>115.0</v>
      </c>
      <c r="AM424" s="77">
        <v>495.0</v>
      </c>
      <c r="AN424" s="21"/>
      <c r="AO424" s="22">
        <v>85.0</v>
      </c>
      <c r="AP424" s="23">
        <v>105.0</v>
      </c>
      <c r="AQ424" s="23">
        <v>55.0</v>
      </c>
      <c r="AR424" s="23">
        <v>85.0</v>
      </c>
      <c r="AS424" s="23">
        <v>50.0</v>
      </c>
      <c r="AT424" s="23">
        <v>115.0</v>
      </c>
      <c r="AU424" s="24">
        <v>495.0</v>
      </c>
      <c r="AV424" s="21"/>
      <c r="AW424" s="78">
        <v>85.0</v>
      </c>
      <c r="AX424" s="79">
        <v>105.0</v>
      </c>
      <c r="AY424" s="79">
        <v>55.0</v>
      </c>
      <c r="AZ424" s="79">
        <v>85.0</v>
      </c>
      <c r="BA424" s="79">
        <v>50.0</v>
      </c>
      <c r="BB424" s="79">
        <v>115.0</v>
      </c>
      <c r="BC424" s="201">
        <v>495.0</v>
      </c>
      <c r="BE424" s="176" t="s">
        <v>248</v>
      </c>
      <c r="BF424" s="113"/>
      <c r="BG424" s="446"/>
      <c r="BI424" s="31" t="s">
        <v>5</v>
      </c>
      <c r="BJ424" s="32" t="s">
        <v>5</v>
      </c>
      <c r="BK424" s="32" t="s">
        <v>5</v>
      </c>
      <c r="BL424" s="32" t="s">
        <v>5</v>
      </c>
      <c r="BM424" s="32" t="s">
        <v>5</v>
      </c>
      <c r="BN424" s="33">
        <v>2.0</v>
      </c>
      <c r="BP424" s="85" t="s">
        <v>32</v>
      </c>
      <c r="BQ424" s="129"/>
      <c r="BS424" s="87" t="s">
        <v>32</v>
      </c>
      <c r="BT424" s="130"/>
      <c r="BU424" s="37" t="str">
        <f t="shared" si="1"/>
        <v>#NAME?</v>
      </c>
      <c r="BV424" s="89" t="s">
        <v>32</v>
      </c>
      <c r="BW424" s="37" t="str">
        <f t="shared" si="2"/>
        <v>#NAME?</v>
      </c>
      <c r="BX424" s="89"/>
      <c r="BY424" s="39"/>
      <c r="BZ424" s="39"/>
      <c r="CA424" s="40" t="s">
        <v>32</v>
      </c>
      <c r="CB424" s="41"/>
      <c r="CC424" s="90" t="s">
        <v>32</v>
      </c>
      <c r="CD424" s="91"/>
      <c r="CE424" s="21"/>
      <c r="CF424" s="92" t="s">
        <v>1212</v>
      </c>
      <c r="CG424" s="93"/>
      <c r="CH424" s="21"/>
      <c r="CI424" s="191" t="s">
        <v>1212</v>
      </c>
      <c r="CJ424" s="152" t="s">
        <v>1235</v>
      </c>
      <c r="CK424" s="21"/>
      <c r="CL424" s="22" t="s">
        <v>1212</v>
      </c>
      <c r="CM424" s="12"/>
      <c r="CN424" s="48"/>
      <c r="CO424" s="193" t="s">
        <v>3409</v>
      </c>
      <c r="CP424" s="21"/>
      <c r="CQ424" s="2" t="s">
        <v>1675</v>
      </c>
      <c r="CR424" s="97">
        <v>60.0</v>
      </c>
      <c r="CS424" s="2" t="s">
        <v>248</v>
      </c>
      <c r="CT424" s="98">
        <v>178.0</v>
      </c>
      <c r="CU424" s="2"/>
      <c r="CV424" s="52" t="s">
        <v>149</v>
      </c>
      <c r="CW424" s="52" t="s">
        <v>149</v>
      </c>
      <c r="CX424" s="2"/>
      <c r="CY424" s="443" t="s">
        <v>106</v>
      </c>
      <c r="CZ424" s="444" t="s">
        <v>277</v>
      </c>
      <c r="DA424" s="2"/>
      <c r="DB424" s="98">
        <v>75.0</v>
      </c>
      <c r="DC424" s="2"/>
      <c r="DD424" s="101" t="s">
        <v>150</v>
      </c>
      <c r="DE424" s="2"/>
      <c r="DF424" s="445" t="s">
        <v>3846</v>
      </c>
      <c r="DG424" s="444"/>
      <c r="DH424" s="444"/>
      <c r="DI424" s="2"/>
      <c r="DJ424" s="2"/>
      <c r="DK424" s="59" t="s">
        <v>3847</v>
      </c>
      <c r="DL424" s="37" t="s">
        <v>156</v>
      </c>
      <c r="DM424" s="37" t="str">
        <f t="shared" si="3"/>
        <v>#NAME?</v>
      </c>
      <c r="DN424" s="61"/>
      <c r="DO424" s="37" t="s">
        <v>19</v>
      </c>
      <c r="DP424" s="37" t="s">
        <v>19</v>
      </c>
      <c r="DQ424" s="62" t="s">
        <v>206</v>
      </c>
      <c r="DR424" s="63"/>
      <c r="DS424" s="198"/>
      <c r="DT424" s="108"/>
      <c r="DU424" s="108"/>
      <c r="DV424" s="182"/>
      <c r="DW424" s="182"/>
      <c r="DX424" s="182"/>
      <c r="DY424" s="182"/>
      <c r="DZ424" s="182"/>
      <c r="EA424" s="182"/>
      <c r="EB424" s="2"/>
      <c r="EC424" s="2"/>
      <c r="ED424" s="2"/>
      <c r="EE424" s="2"/>
      <c r="EF424" s="2"/>
      <c r="EG424" s="449"/>
      <c r="EH424" s="428"/>
      <c r="EI424" s="428"/>
    </row>
    <row r="425" ht="15.75" customHeight="1">
      <c r="A425" s="1">
        <v>420.0</v>
      </c>
      <c r="B425" s="2" t="s">
        <v>3848</v>
      </c>
      <c r="C425" s="7"/>
      <c r="D425" s="213" t="s">
        <v>3849</v>
      </c>
      <c r="E425" s="5"/>
      <c r="F425" s="214"/>
      <c r="G425" s="7"/>
      <c r="H425" s="8" t="s">
        <v>3850</v>
      </c>
      <c r="I425" s="9" t="s">
        <v>3851</v>
      </c>
      <c r="J425" s="355" t="str">
        <f>image("https://archives.bulbagarden.net/media/upload/9/98/420MS6.png", 3)</f>
        <v/>
      </c>
      <c r="K425" s="11" t="s">
        <v>3849</v>
      </c>
      <c r="L425" s="12"/>
      <c r="M425" s="12"/>
      <c r="N425" s="12"/>
      <c r="O425" s="12"/>
      <c r="Q425" s="71">
        <v>45.0</v>
      </c>
      <c r="R425" s="72">
        <v>35.0</v>
      </c>
      <c r="S425" s="73">
        <v>45.0</v>
      </c>
      <c r="T425" s="74">
        <v>62.0</v>
      </c>
      <c r="U425" s="75">
        <v>53.0</v>
      </c>
      <c r="V425" s="76">
        <v>35.0</v>
      </c>
      <c r="W425" s="77">
        <v>275.0</v>
      </c>
      <c r="X425" s="21"/>
      <c r="Y425" s="71">
        <v>45.0</v>
      </c>
      <c r="Z425" s="72">
        <v>35.0</v>
      </c>
      <c r="AA425" s="73">
        <v>45.0</v>
      </c>
      <c r="AB425" s="74">
        <v>62.0</v>
      </c>
      <c r="AC425" s="75">
        <v>53.0</v>
      </c>
      <c r="AD425" s="76">
        <v>35.0</v>
      </c>
      <c r="AE425" s="77">
        <v>275.0</v>
      </c>
      <c r="AF425" s="21"/>
      <c r="AG425" s="71">
        <v>45.0</v>
      </c>
      <c r="AH425" s="72">
        <v>35.0</v>
      </c>
      <c r="AI425" s="73">
        <v>45.0</v>
      </c>
      <c r="AJ425" s="74">
        <v>62.0</v>
      </c>
      <c r="AK425" s="75">
        <v>53.0</v>
      </c>
      <c r="AL425" s="76">
        <v>35.0</v>
      </c>
      <c r="AM425" s="77">
        <v>275.0</v>
      </c>
      <c r="AN425" s="21"/>
      <c r="AO425" s="22">
        <v>45.0</v>
      </c>
      <c r="AP425" s="23">
        <v>35.0</v>
      </c>
      <c r="AQ425" s="23">
        <v>45.0</v>
      </c>
      <c r="AR425" s="23">
        <v>62.0</v>
      </c>
      <c r="AS425" s="23">
        <v>53.0</v>
      </c>
      <c r="AT425" s="23">
        <v>35.0</v>
      </c>
      <c r="AU425" s="24">
        <v>275.0</v>
      </c>
      <c r="AV425" s="21"/>
      <c r="AW425" s="78">
        <v>45.0</v>
      </c>
      <c r="AX425" s="80">
        <v>35.0</v>
      </c>
      <c r="AY425" s="79">
        <v>45.0</v>
      </c>
      <c r="AZ425" s="80">
        <v>62.0</v>
      </c>
      <c r="BA425" s="80">
        <v>53.0</v>
      </c>
      <c r="BB425" s="80">
        <v>35.0</v>
      </c>
      <c r="BC425" s="81">
        <v>275.0</v>
      </c>
      <c r="BE425" s="82" t="s">
        <v>4</v>
      </c>
      <c r="BF425" s="143"/>
      <c r="BG425" s="128"/>
      <c r="BI425" s="31" t="s">
        <v>5</v>
      </c>
      <c r="BJ425" s="32" t="s">
        <v>5</v>
      </c>
      <c r="BK425" s="32" t="s">
        <v>5</v>
      </c>
      <c r="BL425" s="32">
        <v>1.0</v>
      </c>
      <c r="BM425" s="32" t="s">
        <v>5</v>
      </c>
      <c r="BN425" s="33" t="s">
        <v>5</v>
      </c>
      <c r="BP425" s="115" t="s">
        <v>6</v>
      </c>
      <c r="BQ425" s="93"/>
      <c r="BS425" s="115" t="s">
        <v>6</v>
      </c>
      <c r="BT425" s="133"/>
      <c r="BU425" s="37" t="str">
        <f t="shared" si="1"/>
        <v>#NAME?</v>
      </c>
      <c r="BV425" s="89" t="s">
        <v>6</v>
      </c>
      <c r="BW425" s="37" t="str">
        <f t="shared" si="2"/>
        <v>#NAME?</v>
      </c>
      <c r="BX425" s="89"/>
      <c r="BY425" s="39"/>
      <c r="BZ425" s="39"/>
      <c r="CA425" s="40" t="s">
        <v>6</v>
      </c>
      <c r="CB425" s="41"/>
      <c r="CC425" s="90" t="s">
        <v>6</v>
      </c>
      <c r="CD425" s="91"/>
      <c r="CE425" s="21"/>
      <c r="CF425" s="92" t="s">
        <v>43</v>
      </c>
      <c r="CG425" s="93"/>
      <c r="CH425" s="21"/>
      <c r="CI425" s="92" t="s">
        <v>43</v>
      </c>
      <c r="CJ425" s="195"/>
      <c r="CK425" s="21"/>
      <c r="CL425" s="22" t="s">
        <v>43</v>
      </c>
      <c r="CM425" s="12"/>
      <c r="CN425" s="48"/>
      <c r="CO425" s="165"/>
      <c r="CP425" s="21"/>
      <c r="CQ425" s="2" t="s">
        <v>1494</v>
      </c>
      <c r="CR425" s="97">
        <v>20.0</v>
      </c>
      <c r="CS425" s="2" t="s">
        <v>4</v>
      </c>
      <c r="CT425" s="98">
        <v>68.0</v>
      </c>
      <c r="CU425" s="2"/>
      <c r="CV425" s="52" t="s">
        <v>149</v>
      </c>
      <c r="CW425" s="52" t="s">
        <v>149</v>
      </c>
      <c r="CX425" s="2"/>
      <c r="CY425" s="118" t="s">
        <v>153</v>
      </c>
      <c r="CZ425" s="119" t="s">
        <v>6</v>
      </c>
      <c r="DA425" s="2"/>
      <c r="DB425" s="98">
        <v>190.0</v>
      </c>
      <c r="DC425" s="2"/>
      <c r="DD425" s="101" t="s">
        <v>150</v>
      </c>
      <c r="DE425" s="2"/>
      <c r="DF425" s="148" t="s">
        <v>3852</v>
      </c>
      <c r="DG425" s="118" t="s">
        <v>3853</v>
      </c>
      <c r="DH425" s="119"/>
      <c r="DI425" s="21"/>
      <c r="DJ425" s="21"/>
      <c r="DK425" s="59" t="s">
        <v>3854</v>
      </c>
      <c r="DL425" s="37" t="s">
        <v>79</v>
      </c>
      <c r="DM425" s="37" t="str">
        <f t="shared" si="3"/>
        <v>#NAME?</v>
      </c>
      <c r="DN425" s="61"/>
      <c r="DO425" s="37" t="s">
        <v>19</v>
      </c>
      <c r="DP425" s="105">
        <v>1.0</v>
      </c>
      <c r="DQ425" s="62" t="s">
        <v>93</v>
      </c>
      <c r="DR425" s="63"/>
      <c r="DS425" s="198"/>
      <c r="DT425" s="108"/>
      <c r="DU425" s="108"/>
      <c r="DV425" s="182"/>
      <c r="DW425" s="182"/>
      <c r="DX425" s="182"/>
      <c r="DY425" s="182"/>
      <c r="DZ425" s="182"/>
      <c r="EA425" s="182"/>
      <c r="EB425" s="21"/>
      <c r="EC425" s="21"/>
      <c r="ED425" s="21"/>
      <c r="EE425" s="21"/>
      <c r="EF425" s="21"/>
      <c r="EG425" s="108"/>
      <c r="EH425" s="442"/>
      <c r="EI425" s="442"/>
    </row>
    <row r="426" ht="15.75" customHeight="1">
      <c r="A426" s="1">
        <v>421.0</v>
      </c>
      <c r="B426" s="2" t="s">
        <v>3855</v>
      </c>
      <c r="C426" s="7"/>
      <c r="D426" s="213" t="s">
        <v>3856</v>
      </c>
      <c r="E426" s="5"/>
      <c r="F426" s="214"/>
      <c r="G426" s="7"/>
      <c r="H426" s="8" t="s">
        <v>3857</v>
      </c>
      <c r="I426" s="9" t="s">
        <v>3858</v>
      </c>
      <c r="J426" s="355" t="str">
        <f>image("https://archives.bulbagarden.net/media/upload/8/87/421MS6.png", 3)</f>
        <v/>
      </c>
      <c r="K426" s="11" t="s">
        <v>3856</v>
      </c>
      <c r="L426" s="12"/>
      <c r="M426" s="12"/>
      <c r="N426" s="12"/>
      <c r="O426" s="12"/>
      <c r="Q426" s="71">
        <v>70.0</v>
      </c>
      <c r="R426" s="72">
        <v>60.0</v>
      </c>
      <c r="S426" s="73">
        <v>70.0</v>
      </c>
      <c r="T426" s="74">
        <v>87.0</v>
      </c>
      <c r="U426" s="75">
        <v>78.0</v>
      </c>
      <c r="V426" s="76">
        <v>85.0</v>
      </c>
      <c r="W426" s="77">
        <v>450.0</v>
      </c>
      <c r="X426" s="21"/>
      <c r="Y426" s="71">
        <v>70.0</v>
      </c>
      <c r="Z426" s="72">
        <v>60.0</v>
      </c>
      <c r="AA426" s="73">
        <v>70.0</v>
      </c>
      <c r="AB426" s="74">
        <v>87.0</v>
      </c>
      <c r="AC426" s="75">
        <v>78.0</v>
      </c>
      <c r="AD426" s="76">
        <v>85.0</v>
      </c>
      <c r="AE426" s="77">
        <v>450.0</v>
      </c>
      <c r="AF426" s="21"/>
      <c r="AG426" s="71">
        <v>70.0</v>
      </c>
      <c r="AH426" s="162">
        <v>45.0</v>
      </c>
      <c r="AI426" s="73">
        <v>70.0</v>
      </c>
      <c r="AJ426" s="109">
        <v>107.0</v>
      </c>
      <c r="AK426" s="109">
        <v>83.0</v>
      </c>
      <c r="AL426" s="109">
        <v>90.0</v>
      </c>
      <c r="AM426" s="110">
        <v>465.0</v>
      </c>
      <c r="AN426" s="21"/>
      <c r="AO426" s="22">
        <v>70.0</v>
      </c>
      <c r="AP426" s="23" t="s">
        <v>174</v>
      </c>
      <c r="AQ426" s="23">
        <v>70.0</v>
      </c>
      <c r="AR426" s="23" t="s">
        <v>2897</v>
      </c>
      <c r="AS426" s="23" t="s">
        <v>3859</v>
      </c>
      <c r="AT426" s="23" t="s">
        <v>128</v>
      </c>
      <c r="AU426" s="24" t="s">
        <v>638</v>
      </c>
      <c r="AV426" s="21"/>
      <c r="AW426" s="78">
        <v>70.0</v>
      </c>
      <c r="AX426" s="163">
        <v>45.0</v>
      </c>
      <c r="AY426" s="79">
        <v>70.0</v>
      </c>
      <c r="AZ426" s="111">
        <v>107.0</v>
      </c>
      <c r="BA426" s="111">
        <v>83.0</v>
      </c>
      <c r="BB426" s="111">
        <v>90.0</v>
      </c>
      <c r="BC426" s="111">
        <v>465.0</v>
      </c>
      <c r="BE426" s="112" t="s">
        <v>42</v>
      </c>
      <c r="BF426" s="113"/>
      <c r="BG426" s="446"/>
      <c r="BI426" s="31" t="s">
        <v>5</v>
      </c>
      <c r="BJ426" s="32" t="s">
        <v>5</v>
      </c>
      <c r="BK426" s="32" t="s">
        <v>5</v>
      </c>
      <c r="BL426" s="32">
        <v>2.0</v>
      </c>
      <c r="BM426" s="32" t="s">
        <v>5</v>
      </c>
      <c r="BN426" s="33" t="s">
        <v>5</v>
      </c>
      <c r="BP426" s="85" t="s">
        <v>6</v>
      </c>
      <c r="BQ426" s="129"/>
      <c r="BS426" s="87" t="s">
        <v>6</v>
      </c>
      <c r="BT426" s="130"/>
      <c r="BU426" s="37" t="str">
        <f t="shared" si="1"/>
        <v>#NAME?</v>
      </c>
      <c r="BV426" s="89" t="s">
        <v>6</v>
      </c>
      <c r="BW426" s="37" t="str">
        <f t="shared" si="2"/>
        <v>#NAME?</v>
      </c>
      <c r="BX426" s="89"/>
      <c r="BY426" s="39"/>
      <c r="BZ426" s="39"/>
      <c r="CA426" s="40" t="s">
        <v>6</v>
      </c>
      <c r="CB426" s="41"/>
      <c r="CC426" s="90" t="s">
        <v>6</v>
      </c>
      <c r="CD426" s="91"/>
      <c r="CE426" s="21"/>
      <c r="CF426" s="92" t="s">
        <v>3860</v>
      </c>
      <c r="CG426" s="93"/>
      <c r="CH426" s="21"/>
      <c r="CI426" s="92" t="s">
        <v>3860</v>
      </c>
      <c r="CJ426" s="93"/>
      <c r="CK426" s="21"/>
      <c r="CL426" s="22" t="s">
        <v>3860</v>
      </c>
      <c r="CM426" s="12"/>
      <c r="CN426" s="48"/>
      <c r="CO426" s="95"/>
      <c r="CP426" s="21"/>
      <c r="CQ426" s="2" t="s">
        <v>3861</v>
      </c>
      <c r="CR426" s="97">
        <v>20.0</v>
      </c>
      <c r="CS426" s="2" t="s">
        <v>42</v>
      </c>
      <c r="CT426" s="98">
        <v>133.0</v>
      </c>
      <c r="CU426" s="2"/>
      <c r="CV426" s="52" t="s">
        <v>149</v>
      </c>
      <c r="CW426" s="52" t="s">
        <v>149</v>
      </c>
      <c r="CX426" s="2"/>
      <c r="CY426" s="443" t="s">
        <v>153</v>
      </c>
      <c r="CZ426" s="444" t="s">
        <v>6</v>
      </c>
      <c r="DA426" s="2"/>
      <c r="DB426" s="98">
        <v>75.0</v>
      </c>
      <c r="DC426" s="2"/>
      <c r="DD426" s="101" t="s">
        <v>150</v>
      </c>
      <c r="DE426" s="2"/>
      <c r="DF426" s="445" t="s">
        <v>3862</v>
      </c>
      <c r="DG426" s="443" t="s">
        <v>3853</v>
      </c>
      <c r="DH426" s="444"/>
      <c r="DI426" s="2"/>
      <c r="DJ426" s="2"/>
      <c r="DK426" s="59" t="s">
        <v>3863</v>
      </c>
      <c r="DL426" s="37" t="s">
        <v>66</v>
      </c>
      <c r="DM426" s="37" t="str">
        <f t="shared" si="3"/>
        <v>#NAME?</v>
      </c>
      <c r="DN426" s="61"/>
      <c r="DO426" s="37" t="s">
        <v>19</v>
      </c>
      <c r="DP426" s="37" t="s">
        <v>19</v>
      </c>
      <c r="DQ426" s="62" t="s">
        <v>49</v>
      </c>
      <c r="DR426" s="63"/>
      <c r="DS426" s="198"/>
      <c r="DT426" s="108"/>
      <c r="DU426" s="108"/>
      <c r="DV426" s="182"/>
      <c r="DW426" s="182"/>
      <c r="DX426" s="182"/>
      <c r="DY426" s="182"/>
      <c r="DZ426" s="182"/>
      <c r="EA426" s="182"/>
      <c r="EB426" s="2"/>
      <c r="EC426" s="2"/>
      <c r="ED426" s="2"/>
      <c r="EE426" s="2"/>
      <c r="EF426" s="2"/>
      <c r="EG426" s="449"/>
      <c r="EH426" s="428"/>
      <c r="EI426" s="428"/>
    </row>
    <row r="427" ht="15.75" customHeight="1">
      <c r="A427" s="1">
        <v>422.0</v>
      </c>
      <c r="B427" s="2" t="s">
        <v>3864</v>
      </c>
      <c r="C427" s="7"/>
      <c r="D427" s="180" t="s">
        <v>3865</v>
      </c>
      <c r="E427" s="5"/>
      <c r="F427" s="181"/>
      <c r="G427" s="7"/>
      <c r="H427" s="8" t="s">
        <v>3866</v>
      </c>
      <c r="I427" s="9" t="s">
        <v>3867</v>
      </c>
      <c r="J427" s="355" t="str">
        <f>image("https://archives.bulbagarden.net/media/upload/f/f2/422MS6.png", 3)</f>
        <v/>
      </c>
      <c r="K427" s="11" t="s">
        <v>3865</v>
      </c>
      <c r="L427" s="12"/>
      <c r="M427" s="12"/>
      <c r="N427" s="12"/>
      <c r="O427" s="12"/>
      <c r="Q427" s="71">
        <v>76.0</v>
      </c>
      <c r="R427" s="72">
        <v>48.0</v>
      </c>
      <c r="S427" s="73">
        <v>48.0</v>
      </c>
      <c r="T427" s="74">
        <v>57.0</v>
      </c>
      <c r="U427" s="75">
        <v>62.0</v>
      </c>
      <c r="V427" s="76">
        <v>34.0</v>
      </c>
      <c r="W427" s="77">
        <v>325.0</v>
      </c>
      <c r="X427" s="21"/>
      <c r="Y427" s="71">
        <v>76.0</v>
      </c>
      <c r="Z427" s="72">
        <v>48.0</v>
      </c>
      <c r="AA427" s="73">
        <v>48.0</v>
      </c>
      <c r="AB427" s="74">
        <v>57.0</v>
      </c>
      <c r="AC427" s="75">
        <v>62.0</v>
      </c>
      <c r="AD427" s="76">
        <v>34.0</v>
      </c>
      <c r="AE427" s="77">
        <v>325.0</v>
      </c>
      <c r="AF427" s="21"/>
      <c r="AG427" s="71">
        <v>76.0</v>
      </c>
      <c r="AH427" s="72">
        <v>48.0</v>
      </c>
      <c r="AI427" s="73">
        <v>48.0</v>
      </c>
      <c r="AJ427" s="74">
        <v>57.0</v>
      </c>
      <c r="AK427" s="75">
        <v>62.0</v>
      </c>
      <c r="AL427" s="76">
        <v>34.0</v>
      </c>
      <c r="AM427" s="77">
        <v>325.0</v>
      </c>
      <c r="AN427" s="21"/>
      <c r="AO427" s="22">
        <v>76.0</v>
      </c>
      <c r="AP427" s="23">
        <v>48.0</v>
      </c>
      <c r="AQ427" s="23">
        <v>48.0</v>
      </c>
      <c r="AR427" s="23">
        <v>57.0</v>
      </c>
      <c r="AS427" s="23">
        <v>62.0</v>
      </c>
      <c r="AT427" s="23">
        <v>34.0</v>
      </c>
      <c r="AU427" s="24">
        <v>325.0</v>
      </c>
      <c r="AV427" s="21"/>
      <c r="AW427" s="78">
        <v>76.0</v>
      </c>
      <c r="AX427" s="124">
        <v>48.0</v>
      </c>
      <c r="AY427" s="79">
        <v>48.0</v>
      </c>
      <c r="AZ427" s="124">
        <v>57.0</v>
      </c>
      <c r="BA427" s="124">
        <v>62.0</v>
      </c>
      <c r="BB427" s="124">
        <v>34.0</v>
      </c>
      <c r="BC427" s="125">
        <v>325.0</v>
      </c>
      <c r="BE427" s="151" t="s">
        <v>144</v>
      </c>
      <c r="BF427" s="143"/>
      <c r="BG427" s="128"/>
      <c r="BI427" s="31">
        <v>1.0</v>
      </c>
      <c r="BJ427" s="32" t="s">
        <v>5</v>
      </c>
      <c r="BK427" s="32" t="s">
        <v>5</v>
      </c>
      <c r="BL427" s="32" t="s">
        <v>5</v>
      </c>
      <c r="BM427" s="32" t="s">
        <v>5</v>
      </c>
      <c r="BN427" s="33" t="s">
        <v>5</v>
      </c>
      <c r="BP427" s="115" t="s">
        <v>32</v>
      </c>
      <c r="BQ427" s="93"/>
      <c r="BS427" s="115" t="s">
        <v>32</v>
      </c>
      <c r="BT427" s="133"/>
      <c r="BU427" s="37" t="str">
        <f t="shared" si="1"/>
        <v>#NAME?</v>
      </c>
      <c r="BV427" s="89" t="s">
        <v>32</v>
      </c>
      <c r="BW427" s="37" t="str">
        <f t="shared" si="2"/>
        <v>#NAME?</v>
      </c>
      <c r="BX427" s="89"/>
      <c r="BY427" s="39"/>
      <c r="BZ427" s="39"/>
      <c r="CA427" s="40" t="s">
        <v>32</v>
      </c>
      <c r="CB427" s="41"/>
      <c r="CC427" s="90" t="s">
        <v>32</v>
      </c>
      <c r="CD427" s="91"/>
      <c r="CE427" s="21"/>
      <c r="CF427" s="92" t="s">
        <v>963</v>
      </c>
      <c r="CG427" s="93" t="s">
        <v>3209</v>
      </c>
      <c r="CH427" s="21"/>
      <c r="CI427" s="92" t="s">
        <v>963</v>
      </c>
      <c r="CJ427" s="93" t="s">
        <v>3209</v>
      </c>
      <c r="CK427" s="21"/>
      <c r="CL427" s="22" t="s">
        <v>963</v>
      </c>
      <c r="CM427" s="12"/>
      <c r="CN427" s="48"/>
      <c r="CO427" s="96" t="s">
        <v>3209</v>
      </c>
      <c r="CP427" s="21"/>
      <c r="CQ427" s="2" t="s">
        <v>3868</v>
      </c>
      <c r="CR427" s="97">
        <v>20.0</v>
      </c>
      <c r="CS427" s="2" t="s">
        <v>144</v>
      </c>
      <c r="CT427" s="98">
        <v>73.0</v>
      </c>
      <c r="CU427" s="2"/>
      <c r="CV427" s="52" t="s">
        <v>149</v>
      </c>
      <c r="CW427" s="52" t="s">
        <v>149</v>
      </c>
      <c r="CX427" s="2"/>
      <c r="CY427" s="118" t="s">
        <v>106</v>
      </c>
      <c r="CZ427" s="119" t="s">
        <v>964</v>
      </c>
      <c r="DA427" s="2"/>
      <c r="DB427" s="98">
        <v>190.0</v>
      </c>
      <c r="DC427" s="2"/>
      <c r="DD427" s="101" t="s">
        <v>150</v>
      </c>
      <c r="DE427" s="2"/>
      <c r="DF427" s="148" t="s">
        <v>3869</v>
      </c>
      <c r="DG427" s="119"/>
      <c r="DH427" s="119"/>
      <c r="DI427" s="21"/>
      <c r="DJ427" s="21"/>
      <c r="DK427" s="59" t="s">
        <v>3870</v>
      </c>
      <c r="DL427" s="37" t="s">
        <v>156</v>
      </c>
      <c r="DM427" s="37" t="str">
        <f t="shared" si="3"/>
        <v>#NAME?</v>
      </c>
      <c r="DN427" s="61"/>
      <c r="DO427" s="37" t="s">
        <v>19</v>
      </c>
      <c r="DP427" s="37" t="s">
        <v>225</v>
      </c>
      <c r="DQ427" s="62" t="s">
        <v>49</v>
      </c>
      <c r="DR427" s="63"/>
      <c r="DS427" s="198"/>
      <c r="DT427" s="108"/>
      <c r="DU427" s="108"/>
      <c r="DV427" s="182"/>
      <c r="DW427" s="182"/>
      <c r="DX427" s="182"/>
      <c r="DY427" s="182"/>
      <c r="DZ427" s="182"/>
      <c r="EA427" s="182"/>
      <c r="EB427" s="21"/>
      <c r="EC427" s="21"/>
      <c r="ED427" s="21"/>
      <c r="EE427" s="21"/>
      <c r="EF427" s="21"/>
      <c r="EG427" s="108"/>
      <c r="EH427" s="442"/>
      <c r="EI427" s="442"/>
    </row>
    <row r="428" ht="15.75" customHeight="1">
      <c r="A428" s="1">
        <v>423.0</v>
      </c>
      <c r="B428" s="2" t="s">
        <v>3871</v>
      </c>
      <c r="C428" s="7"/>
      <c r="D428" s="180" t="s">
        <v>3872</v>
      </c>
      <c r="E428" s="5"/>
      <c r="F428" s="181"/>
      <c r="G428" s="7"/>
      <c r="H428" s="8" t="s">
        <v>3873</v>
      </c>
      <c r="I428" s="9" t="s">
        <v>3874</v>
      </c>
      <c r="J428" s="355" t="str">
        <f>image("https://archives.bulbagarden.net/media/upload/2/21/423MS6.png", 3)</f>
        <v/>
      </c>
      <c r="K428" s="11" t="s">
        <v>3872</v>
      </c>
      <c r="L428" s="12"/>
      <c r="M428" s="12"/>
      <c r="N428" s="12"/>
      <c r="O428" s="12"/>
      <c r="Q428" s="71">
        <v>111.0</v>
      </c>
      <c r="R428" s="72">
        <v>83.0</v>
      </c>
      <c r="S428" s="73">
        <v>68.0</v>
      </c>
      <c r="T428" s="74">
        <v>92.0</v>
      </c>
      <c r="U428" s="75">
        <v>82.0</v>
      </c>
      <c r="V428" s="76">
        <v>39.0</v>
      </c>
      <c r="W428" s="77">
        <v>475.0</v>
      </c>
      <c r="X428" s="21"/>
      <c r="Y428" s="71">
        <v>111.0</v>
      </c>
      <c r="Z428" s="72">
        <v>83.0</v>
      </c>
      <c r="AA428" s="73">
        <v>68.0</v>
      </c>
      <c r="AB428" s="74">
        <v>92.0</v>
      </c>
      <c r="AC428" s="75">
        <v>82.0</v>
      </c>
      <c r="AD428" s="76">
        <v>39.0</v>
      </c>
      <c r="AE428" s="77">
        <v>475.0</v>
      </c>
      <c r="AF428" s="21"/>
      <c r="AG428" s="71">
        <v>111.0</v>
      </c>
      <c r="AH428" s="72">
        <v>83.0</v>
      </c>
      <c r="AI428" s="73">
        <v>68.0</v>
      </c>
      <c r="AJ428" s="74">
        <v>92.0</v>
      </c>
      <c r="AK428" s="75">
        <v>82.0</v>
      </c>
      <c r="AL428" s="76">
        <v>39.0</v>
      </c>
      <c r="AM428" s="77">
        <v>475.0</v>
      </c>
      <c r="AN428" s="21"/>
      <c r="AO428" s="22">
        <v>111.0</v>
      </c>
      <c r="AP428" s="23">
        <v>83.0</v>
      </c>
      <c r="AQ428" s="23">
        <v>68.0</v>
      </c>
      <c r="AR428" s="23">
        <v>92.0</v>
      </c>
      <c r="AS428" s="23">
        <v>82.0</v>
      </c>
      <c r="AT428" s="23">
        <v>39.0</v>
      </c>
      <c r="AU428" s="24">
        <v>475.0</v>
      </c>
      <c r="AV428" s="21"/>
      <c r="AW428" s="78">
        <v>111.0</v>
      </c>
      <c r="AX428" s="79">
        <v>83.0</v>
      </c>
      <c r="AY428" s="79">
        <v>68.0</v>
      </c>
      <c r="AZ428" s="79">
        <v>92.0</v>
      </c>
      <c r="BA428" s="79">
        <v>82.0</v>
      </c>
      <c r="BB428" s="79">
        <v>39.0</v>
      </c>
      <c r="BC428" s="201">
        <v>475.0</v>
      </c>
      <c r="BE428" s="203" t="s">
        <v>409</v>
      </c>
      <c r="BF428" s="113"/>
      <c r="BG428" s="446"/>
      <c r="BI428" s="31">
        <v>2.0</v>
      </c>
      <c r="BJ428" s="32" t="s">
        <v>5</v>
      </c>
      <c r="BK428" s="32" t="s">
        <v>5</v>
      </c>
      <c r="BL428" s="32" t="s">
        <v>5</v>
      </c>
      <c r="BM428" s="32" t="s">
        <v>5</v>
      </c>
      <c r="BN428" s="33" t="s">
        <v>5</v>
      </c>
      <c r="BP428" s="85" t="s">
        <v>32</v>
      </c>
      <c r="BQ428" s="86" t="s">
        <v>79</v>
      </c>
      <c r="BS428" s="87" t="s">
        <v>32</v>
      </c>
      <c r="BT428" s="88" t="s">
        <v>79</v>
      </c>
      <c r="BU428" s="37" t="str">
        <f t="shared" si="1"/>
        <v>#NAME?</v>
      </c>
      <c r="BV428" s="89" t="s">
        <v>32</v>
      </c>
      <c r="BW428" s="37" t="str">
        <f t="shared" si="2"/>
        <v>#NAME?</v>
      </c>
      <c r="BX428" s="89" t="s">
        <v>79</v>
      </c>
      <c r="BY428" s="39"/>
      <c r="BZ428" s="39"/>
      <c r="CA428" s="40" t="s">
        <v>1893</v>
      </c>
      <c r="CB428" s="41"/>
      <c r="CC428" s="90" t="s">
        <v>32</v>
      </c>
      <c r="CD428" s="91" t="s">
        <v>79</v>
      </c>
      <c r="CE428" s="2"/>
      <c r="CF428" s="92" t="s">
        <v>963</v>
      </c>
      <c r="CG428" s="93" t="s">
        <v>3209</v>
      </c>
      <c r="CH428" s="2"/>
      <c r="CI428" s="92" t="s">
        <v>963</v>
      </c>
      <c r="CJ428" s="93" t="s">
        <v>3209</v>
      </c>
      <c r="CK428" s="2"/>
      <c r="CL428" s="22" t="s">
        <v>963</v>
      </c>
      <c r="CM428" s="12"/>
      <c r="CN428" s="48"/>
      <c r="CO428" s="96" t="s">
        <v>3209</v>
      </c>
      <c r="CP428" s="2"/>
      <c r="CQ428" s="2" t="s">
        <v>3875</v>
      </c>
      <c r="CR428" s="97">
        <v>60.0</v>
      </c>
      <c r="CS428" s="2" t="s">
        <v>409</v>
      </c>
      <c r="CT428" s="98">
        <v>176.0</v>
      </c>
      <c r="CU428" s="2"/>
      <c r="CV428" s="52" t="s">
        <v>149</v>
      </c>
      <c r="CW428" s="52" t="s">
        <v>149</v>
      </c>
      <c r="CX428" s="2"/>
      <c r="CY428" s="443" t="s">
        <v>106</v>
      </c>
      <c r="CZ428" s="444" t="s">
        <v>964</v>
      </c>
      <c r="DA428" s="2"/>
      <c r="DB428" s="98">
        <v>75.0</v>
      </c>
      <c r="DC428" s="2"/>
      <c r="DD428" s="101" t="s">
        <v>150</v>
      </c>
      <c r="DE428" s="2"/>
      <c r="DF428" s="445" t="s">
        <v>3876</v>
      </c>
      <c r="DG428" s="444"/>
      <c r="DH428" s="444"/>
      <c r="DI428" s="2"/>
      <c r="DJ428" s="2"/>
      <c r="DK428" s="59" t="s">
        <v>3877</v>
      </c>
      <c r="DL428" s="37" t="s">
        <v>156</v>
      </c>
      <c r="DM428" s="37" t="str">
        <f t="shared" si="3"/>
        <v>#NAME?</v>
      </c>
      <c r="DN428" s="61"/>
      <c r="DO428" s="37" t="s">
        <v>19</v>
      </c>
      <c r="DP428" s="105">
        <v>0.85</v>
      </c>
      <c r="DQ428" s="62" t="s">
        <v>702</v>
      </c>
      <c r="DR428" s="63"/>
      <c r="DS428" s="198"/>
      <c r="DT428" s="108"/>
      <c r="DU428" s="108"/>
      <c r="DV428" s="182"/>
      <c r="DW428" s="182"/>
      <c r="DX428" s="182"/>
      <c r="DY428" s="182"/>
      <c r="DZ428" s="182"/>
      <c r="EA428" s="182"/>
      <c r="EB428" s="2"/>
      <c r="EC428" s="2"/>
      <c r="ED428" s="2"/>
      <c r="EE428" s="2"/>
      <c r="EF428" s="2"/>
      <c r="EG428" s="449"/>
      <c r="EH428" s="428"/>
      <c r="EI428" s="428"/>
    </row>
    <row r="429" ht="15.75" customHeight="1">
      <c r="A429" s="1">
        <v>424.0</v>
      </c>
      <c r="B429" s="2" t="s">
        <v>3878</v>
      </c>
      <c r="C429" s="7"/>
      <c r="D429" s="180" t="s">
        <v>3879</v>
      </c>
      <c r="E429" s="5"/>
      <c r="F429" s="181"/>
      <c r="G429" s="7"/>
      <c r="H429" s="8" t="s">
        <v>3880</v>
      </c>
      <c r="I429" s="9" t="s">
        <v>3881</v>
      </c>
      <c r="J429" s="355" t="str">
        <f>image("https://archives.bulbagarden.net/media/upload/6/68/424MS6.png", 3)</f>
        <v/>
      </c>
      <c r="K429" s="11" t="s">
        <v>3879</v>
      </c>
      <c r="L429" s="12"/>
      <c r="M429" s="12"/>
      <c r="N429" s="12"/>
      <c r="O429" s="12"/>
      <c r="Q429" s="71">
        <v>75.0</v>
      </c>
      <c r="R429" s="72">
        <v>100.0</v>
      </c>
      <c r="S429" s="73">
        <v>66.0</v>
      </c>
      <c r="T429" s="74">
        <v>60.0</v>
      </c>
      <c r="U429" s="75">
        <v>66.0</v>
      </c>
      <c r="V429" s="76">
        <v>115.0</v>
      </c>
      <c r="W429" s="77">
        <v>482.0</v>
      </c>
      <c r="X429" s="21"/>
      <c r="Y429" s="71">
        <v>75.0</v>
      </c>
      <c r="Z429" s="72">
        <v>100.0</v>
      </c>
      <c r="AA429" s="73">
        <v>66.0</v>
      </c>
      <c r="AB429" s="74">
        <v>60.0</v>
      </c>
      <c r="AC429" s="75">
        <v>66.0</v>
      </c>
      <c r="AD429" s="76">
        <v>115.0</v>
      </c>
      <c r="AE429" s="77">
        <v>482.0</v>
      </c>
      <c r="AF429" s="21"/>
      <c r="AG429" s="71">
        <v>75.0</v>
      </c>
      <c r="AH429" s="72">
        <v>100.0</v>
      </c>
      <c r="AI429" s="73">
        <v>66.0</v>
      </c>
      <c r="AJ429" s="74">
        <v>60.0</v>
      </c>
      <c r="AK429" s="75">
        <v>66.0</v>
      </c>
      <c r="AL429" s="76">
        <v>115.0</v>
      </c>
      <c r="AM429" s="77">
        <v>482.0</v>
      </c>
      <c r="AN429" s="21"/>
      <c r="AO429" s="22">
        <v>75.0</v>
      </c>
      <c r="AP429" s="23">
        <v>100.0</v>
      </c>
      <c r="AQ429" s="23">
        <v>66.0</v>
      </c>
      <c r="AR429" s="23">
        <v>60.0</v>
      </c>
      <c r="AS429" s="23">
        <v>66.0</v>
      </c>
      <c r="AT429" s="23">
        <v>115.0</v>
      </c>
      <c r="AU429" s="24">
        <v>482.0</v>
      </c>
      <c r="AV429" s="21"/>
      <c r="AW429" s="78">
        <v>75.0</v>
      </c>
      <c r="AX429" s="79">
        <v>100.0</v>
      </c>
      <c r="AY429" s="79">
        <v>66.0</v>
      </c>
      <c r="AZ429" s="79">
        <v>60.0</v>
      </c>
      <c r="BA429" s="79">
        <v>66.0</v>
      </c>
      <c r="BB429" s="79">
        <v>115.0</v>
      </c>
      <c r="BC429" s="201">
        <v>482.0</v>
      </c>
      <c r="BE429" s="176" t="s">
        <v>248</v>
      </c>
      <c r="BF429" s="113"/>
      <c r="BG429" s="210"/>
      <c r="BI429" s="31" t="s">
        <v>5</v>
      </c>
      <c r="BJ429" s="32" t="s">
        <v>5</v>
      </c>
      <c r="BK429" s="32" t="s">
        <v>5</v>
      </c>
      <c r="BL429" s="32" t="s">
        <v>5</v>
      </c>
      <c r="BM429" s="32" t="s">
        <v>5</v>
      </c>
      <c r="BN429" s="33">
        <v>2.0</v>
      </c>
      <c r="BP429" s="115" t="s">
        <v>156</v>
      </c>
      <c r="BQ429" s="93"/>
      <c r="BS429" s="115" t="s">
        <v>156</v>
      </c>
      <c r="BT429" s="133"/>
      <c r="BU429" s="37" t="str">
        <f t="shared" si="1"/>
        <v>#NAME?</v>
      </c>
      <c r="BV429" s="89" t="s">
        <v>156</v>
      </c>
      <c r="BW429" s="37" t="str">
        <f t="shared" si="2"/>
        <v>#NAME?</v>
      </c>
      <c r="BX429" s="89"/>
      <c r="BY429" s="39"/>
      <c r="BZ429" s="39"/>
      <c r="CA429" s="40" t="s">
        <v>156</v>
      </c>
      <c r="CB429" s="41"/>
      <c r="CC429" s="90" t="s">
        <v>156</v>
      </c>
      <c r="CD429" s="91"/>
      <c r="CE429" s="21"/>
      <c r="CF429" s="92" t="s">
        <v>627</v>
      </c>
      <c r="CG429" s="93" t="s">
        <v>626</v>
      </c>
      <c r="CH429" s="21"/>
      <c r="CI429" s="177" t="s">
        <v>627</v>
      </c>
      <c r="CJ429" s="188" t="s">
        <v>626</v>
      </c>
      <c r="CK429" s="21"/>
      <c r="CL429" s="22" t="s">
        <v>627</v>
      </c>
      <c r="CM429" s="12"/>
      <c r="CN429" s="48"/>
      <c r="CO429" s="189" t="s">
        <v>626</v>
      </c>
      <c r="CP429" s="21"/>
      <c r="CQ429" s="2" t="s">
        <v>3882</v>
      </c>
      <c r="CR429" s="97">
        <v>40.0</v>
      </c>
      <c r="CS429" s="2" t="s">
        <v>248</v>
      </c>
      <c r="CT429" s="98">
        <v>186.0</v>
      </c>
      <c r="CU429" s="2"/>
      <c r="CV429" s="52" t="s">
        <v>149</v>
      </c>
      <c r="CW429" s="52" t="s">
        <v>149</v>
      </c>
      <c r="CX429" s="2"/>
      <c r="CY429" s="119" t="s">
        <v>277</v>
      </c>
      <c r="CZ429" s="160"/>
      <c r="DA429" s="2"/>
      <c r="DB429" s="98">
        <v>45.0</v>
      </c>
      <c r="DC429" s="2"/>
      <c r="DD429" s="101" t="s">
        <v>468</v>
      </c>
      <c r="DE429" s="2"/>
      <c r="DF429" s="120" t="s">
        <v>3883</v>
      </c>
      <c r="DG429" s="119"/>
      <c r="DH429" s="160"/>
      <c r="DI429" s="2"/>
      <c r="DJ429" s="2"/>
      <c r="DK429" s="59" t="s">
        <v>3884</v>
      </c>
      <c r="DL429" s="37" t="s">
        <v>156</v>
      </c>
      <c r="DM429" s="37" t="str">
        <f t="shared" si="3"/>
        <v>#NAME?</v>
      </c>
      <c r="DN429" s="61"/>
      <c r="DO429" s="37" t="s">
        <v>19</v>
      </c>
      <c r="DP429" s="37" t="s">
        <v>19</v>
      </c>
      <c r="DQ429" s="62" t="s">
        <v>342</v>
      </c>
      <c r="DR429" s="63"/>
      <c r="DS429" s="198"/>
      <c r="DT429" s="108"/>
      <c r="DU429" s="108"/>
      <c r="DV429" s="182"/>
      <c r="DW429" s="182"/>
      <c r="DX429" s="182"/>
      <c r="DY429" s="182"/>
      <c r="DZ429" s="182"/>
      <c r="EA429" s="182"/>
      <c r="EB429" s="2"/>
      <c r="EC429" s="2"/>
      <c r="ED429" s="2"/>
      <c r="EE429" s="2"/>
      <c r="EF429" s="2"/>
      <c r="EG429" s="449"/>
      <c r="EH429" s="428"/>
      <c r="EI429" s="428"/>
    </row>
    <row r="430" ht="15.75" customHeight="1">
      <c r="A430" s="1">
        <v>425.0</v>
      </c>
      <c r="B430" s="2" t="s">
        <v>3885</v>
      </c>
      <c r="C430" s="7"/>
      <c r="D430" s="180" t="s">
        <v>3886</v>
      </c>
      <c r="E430" s="5"/>
      <c r="F430" s="181"/>
      <c r="G430" s="7"/>
      <c r="H430" s="8" t="s">
        <v>3887</v>
      </c>
      <c r="I430" s="9" t="s">
        <v>3888</v>
      </c>
      <c r="J430" s="355" t="str">
        <f>image("https://archives.bulbagarden.net/media/upload/4/4c/425MS6.png", 3)</f>
        <v/>
      </c>
      <c r="K430" s="11" t="s">
        <v>3886</v>
      </c>
      <c r="L430" s="12"/>
      <c r="M430" s="12"/>
      <c r="N430" s="12"/>
      <c r="O430" s="12"/>
      <c r="Q430" s="71">
        <v>90.0</v>
      </c>
      <c r="R430" s="72">
        <v>50.0</v>
      </c>
      <c r="S430" s="73">
        <v>34.0</v>
      </c>
      <c r="T430" s="74">
        <v>60.0</v>
      </c>
      <c r="U430" s="75">
        <v>44.0</v>
      </c>
      <c r="V430" s="76">
        <v>70.0</v>
      </c>
      <c r="W430" s="77">
        <v>348.0</v>
      </c>
      <c r="X430" s="21"/>
      <c r="Y430" s="71">
        <v>90.0</v>
      </c>
      <c r="Z430" s="72">
        <v>50.0</v>
      </c>
      <c r="AA430" s="73">
        <v>34.0</v>
      </c>
      <c r="AB430" s="74">
        <v>60.0</v>
      </c>
      <c r="AC430" s="75">
        <v>44.0</v>
      </c>
      <c r="AD430" s="76">
        <v>70.0</v>
      </c>
      <c r="AE430" s="77">
        <v>348.0</v>
      </c>
      <c r="AF430" s="21"/>
      <c r="AG430" s="71">
        <v>90.0</v>
      </c>
      <c r="AH430" s="72">
        <v>50.0</v>
      </c>
      <c r="AI430" s="73">
        <v>34.0</v>
      </c>
      <c r="AJ430" s="74">
        <v>60.0</v>
      </c>
      <c r="AK430" s="75">
        <v>44.0</v>
      </c>
      <c r="AL430" s="76">
        <v>70.0</v>
      </c>
      <c r="AM430" s="77">
        <v>348.0</v>
      </c>
      <c r="AN430" s="21"/>
      <c r="AO430" s="22">
        <v>90.0</v>
      </c>
      <c r="AP430" s="23">
        <v>50.0</v>
      </c>
      <c r="AQ430" s="23">
        <v>34.0</v>
      </c>
      <c r="AR430" s="23">
        <v>60.0</v>
      </c>
      <c r="AS430" s="23">
        <v>44.0</v>
      </c>
      <c r="AT430" s="23">
        <v>70.0</v>
      </c>
      <c r="AU430" s="24">
        <v>348.0</v>
      </c>
      <c r="AV430" s="21"/>
      <c r="AW430" s="78">
        <v>90.0</v>
      </c>
      <c r="AX430" s="79">
        <v>50.0</v>
      </c>
      <c r="AY430" s="79">
        <v>34.0</v>
      </c>
      <c r="AZ430" s="79">
        <v>60.0</v>
      </c>
      <c r="BA430" s="79">
        <v>44.0</v>
      </c>
      <c r="BB430" s="79">
        <v>70.0</v>
      </c>
      <c r="BC430" s="201">
        <v>348.0</v>
      </c>
      <c r="BE430" s="151" t="s">
        <v>144</v>
      </c>
      <c r="BF430" s="447"/>
      <c r="BG430" s="128"/>
      <c r="BI430" s="31">
        <v>1.0</v>
      </c>
      <c r="BJ430" s="32" t="s">
        <v>5</v>
      </c>
      <c r="BK430" s="32" t="s">
        <v>5</v>
      </c>
      <c r="BL430" s="32" t="s">
        <v>5</v>
      </c>
      <c r="BM430" s="32" t="s">
        <v>5</v>
      </c>
      <c r="BN430" s="33" t="s">
        <v>5</v>
      </c>
      <c r="BP430" s="85" t="s">
        <v>92</v>
      </c>
      <c r="BQ430" s="86" t="s">
        <v>18</v>
      </c>
      <c r="BS430" s="87" t="s">
        <v>92</v>
      </c>
      <c r="BT430" s="88" t="s">
        <v>18</v>
      </c>
      <c r="BU430" s="37" t="str">
        <f t="shared" si="1"/>
        <v>#NAME?</v>
      </c>
      <c r="BV430" s="89" t="s">
        <v>92</v>
      </c>
      <c r="BW430" s="37" t="str">
        <f t="shared" si="2"/>
        <v>#NAME?</v>
      </c>
      <c r="BX430" s="89" t="s">
        <v>18</v>
      </c>
      <c r="BY430" s="39"/>
      <c r="BZ430" s="39"/>
      <c r="CA430" s="40" t="s">
        <v>3889</v>
      </c>
      <c r="CB430" s="41"/>
      <c r="CC430" s="90" t="s">
        <v>92</v>
      </c>
      <c r="CD430" s="91" t="s">
        <v>18</v>
      </c>
      <c r="CE430" s="2"/>
      <c r="CF430" s="92" t="s">
        <v>3890</v>
      </c>
      <c r="CG430" s="93" t="s">
        <v>3891</v>
      </c>
      <c r="CH430" s="2"/>
      <c r="CI430" s="272" t="s">
        <v>2377</v>
      </c>
      <c r="CJ430" s="273" t="s">
        <v>3890</v>
      </c>
      <c r="CK430" s="2"/>
      <c r="CL430" s="22" t="s">
        <v>3892</v>
      </c>
      <c r="CM430" s="12"/>
      <c r="CN430" s="48"/>
      <c r="CO430" s="239" t="s">
        <v>3890</v>
      </c>
      <c r="CP430" s="2"/>
      <c r="CQ430" s="2" t="s">
        <v>2715</v>
      </c>
      <c r="CR430" s="97">
        <v>20.0</v>
      </c>
      <c r="CS430" s="2" t="s">
        <v>144</v>
      </c>
      <c r="CT430" s="98">
        <v>127.0</v>
      </c>
      <c r="CU430" s="2"/>
      <c r="CV430" s="52" t="s">
        <v>149</v>
      </c>
      <c r="CW430" s="52" t="s">
        <v>149</v>
      </c>
      <c r="CX430" s="2"/>
      <c r="CY430" s="444" t="s">
        <v>964</v>
      </c>
      <c r="CZ430" s="450"/>
      <c r="DA430" s="2"/>
      <c r="DB430" s="98">
        <v>125.0</v>
      </c>
      <c r="DC430" s="2"/>
      <c r="DD430" s="101" t="s">
        <v>2656</v>
      </c>
      <c r="DE430" s="2"/>
      <c r="DF430" s="448" t="s">
        <v>3893</v>
      </c>
      <c r="DG430" s="444"/>
      <c r="DH430" s="450"/>
      <c r="DI430" s="21"/>
      <c r="DJ430" s="21"/>
      <c r="DK430" s="59" t="s">
        <v>3894</v>
      </c>
      <c r="DL430" s="37" t="s">
        <v>156</v>
      </c>
      <c r="DM430" s="37" t="str">
        <f t="shared" si="3"/>
        <v>#NAME?</v>
      </c>
      <c r="DN430" s="61"/>
      <c r="DO430" s="37" t="s">
        <v>19</v>
      </c>
      <c r="DP430" s="105">
        <v>0.55</v>
      </c>
      <c r="DQ430" s="62" t="s">
        <v>93</v>
      </c>
      <c r="DR430" s="63"/>
      <c r="DS430" s="198"/>
      <c r="DT430" s="108"/>
      <c r="DU430" s="108"/>
      <c r="DV430" s="182"/>
      <c r="DW430" s="182"/>
      <c r="DX430" s="182"/>
      <c r="DY430" s="182"/>
      <c r="DZ430" s="182"/>
      <c r="EA430" s="182"/>
      <c r="EB430" s="21"/>
      <c r="EC430" s="21"/>
      <c r="ED430" s="21"/>
      <c r="EE430" s="21"/>
      <c r="EF430" s="21"/>
      <c r="EG430" s="108"/>
      <c r="EH430" s="442"/>
      <c r="EI430" s="442"/>
    </row>
    <row r="431" ht="15.75" customHeight="1">
      <c r="A431" s="1">
        <v>426.0</v>
      </c>
      <c r="B431" s="2" t="s">
        <v>3895</v>
      </c>
      <c r="C431" s="7"/>
      <c r="D431" s="180" t="s">
        <v>3896</v>
      </c>
      <c r="E431" s="5"/>
      <c r="F431" s="181"/>
      <c r="G431" s="7"/>
      <c r="H431" s="8" t="s">
        <v>3897</v>
      </c>
      <c r="I431" s="9" t="s">
        <v>3898</v>
      </c>
      <c r="J431" s="355" t="str">
        <f>image("https://archives.bulbagarden.net/media/upload/b/b0/426MS6.png", 3)</f>
        <v/>
      </c>
      <c r="K431" s="11" t="s">
        <v>3896</v>
      </c>
      <c r="L431" s="12"/>
      <c r="M431" s="12"/>
      <c r="N431" s="12"/>
      <c r="O431" s="12"/>
      <c r="Q431" s="71">
        <v>150.0</v>
      </c>
      <c r="R431" s="72">
        <v>80.0</v>
      </c>
      <c r="S431" s="73">
        <v>44.0</v>
      </c>
      <c r="T431" s="74">
        <v>90.0</v>
      </c>
      <c r="U431" s="75">
        <v>54.0</v>
      </c>
      <c r="V431" s="76">
        <v>80.0</v>
      </c>
      <c r="W431" s="77">
        <v>498.0</v>
      </c>
      <c r="X431" s="21"/>
      <c r="Y431" s="71">
        <v>150.0</v>
      </c>
      <c r="Z431" s="72">
        <v>80.0</v>
      </c>
      <c r="AA431" s="73">
        <v>44.0</v>
      </c>
      <c r="AB431" s="74">
        <v>90.0</v>
      </c>
      <c r="AC431" s="75">
        <v>54.0</v>
      </c>
      <c r="AD431" s="76">
        <v>80.0</v>
      </c>
      <c r="AE431" s="77">
        <v>498.0</v>
      </c>
      <c r="AF431" s="21"/>
      <c r="AG431" s="71">
        <v>150.0</v>
      </c>
      <c r="AH431" s="72">
        <v>80.0</v>
      </c>
      <c r="AI431" s="73">
        <v>44.0</v>
      </c>
      <c r="AJ431" s="74">
        <v>90.0</v>
      </c>
      <c r="AK431" s="75">
        <v>54.0</v>
      </c>
      <c r="AL431" s="76">
        <v>80.0</v>
      </c>
      <c r="AM431" s="77">
        <v>498.0</v>
      </c>
      <c r="AN431" s="21"/>
      <c r="AO431" s="22">
        <v>150.0</v>
      </c>
      <c r="AP431" s="23">
        <v>80.0</v>
      </c>
      <c r="AQ431" s="23">
        <v>44.0</v>
      </c>
      <c r="AR431" s="23">
        <v>90.0</v>
      </c>
      <c r="AS431" s="23">
        <v>54.0</v>
      </c>
      <c r="AT431" s="23">
        <v>80.0</v>
      </c>
      <c r="AU431" s="24">
        <v>498.0</v>
      </c>
      <c r="AV431" s="21"/>
      <c r="AW431" s="78">
        <v>150.0</v>
      </c>
      <c r="AX431" s="79">
        <v>80.0</v>
      </c>
      <c r="AY431" s="79">
        <v>44.0</v>
      </c>
      <c r="AZ431" s="79">
        <v>90.0</v>
      </c>
      <c r="BA431" s="79">
        <v>54.0</v>
      </c>
      <c r="BB431" s="79">
        <v>80.0</v>
      </c>
      <c r="BC431" s="201">
        <v>498.0</v>
      </c>
      <c r="BE431" s="203" t="s">
        <v>409</v>
      </c>
      <c r="BF431" s="113"/>
      <c r="BG431" s="210"/>
      <c r="BI431" s="31">
        <v>2.0</v>
      </c>
      <c r="BJ431" s="32" t="s">
        <v>5</v>
      </c>
      <c r="BK431" s="32" t="s">
        <v>5</v>
      </c>
      <c r="BL431" s="32" t="s">
        <v>5</v>
      </c>
      <c r="BM431" s="32" t="s">
        <v>5</v>
      </c>
      <c r="BN431" s="33" t="s">
        <v>5</v>
      </c>
      <c r="BP431" s="115" t="s">
        <v>92</v>
      </c>
      <c r="BQ431" s="116" t="s">
        <v>18</v>
      </c>
      <c r="BS431" s="115" t="s">
        <v>92</v>
      </c>
      <c r="BT431" s="117" t="s">
        <v>18</v>
      </c>
      <c r="BU431" s="37" t="str">
        <f t="shared" si="1"/>
        <v>#NAME?</v>
      </c>
      <c r="BV431" s="89" t="s">
        <v>92</v>
      </c>
      <c r="BW431" s="37" t="str">
        <f t="shared" si="2"/>
        <v>#NAME?</v>
      </c>
      <c r="BX431" s="89" t="s">
        <v>18</v>
      </c>
      <c r="BY431" s="39"/>
      <c r="BZ431" s="39"/>
      <c r="CA431" s="40" t="s">
        <v>3889</v>
      </c>
      <c r="CB431" s="41"/>
      <c r="CC431" s="90" t="s">
        <v>92</v>
      </c>
      <c r="CD431" s="91" t="s">
        <v>18</v>
      </c>
      <c r="CE431" s="2"/>
      <c r="CF431" s="92" t="s">
        <v>3890</v>
      </c>
      <c r="CG431" s="93" t="s">
        <v>3891</v>
      </c>
      <c r="CH431" s="2"/>
      <c r="CI431" s="362" t="s">
        <v>2377</v>
      </c>
      <c r="CJ431" s="275" t="s">
        <v>3890</v>
      </c>
      <c r="CK431" s="2"/>
      <c r="CL431" s="22" t="s">
        <v>3892</v>
      </c>
      <c r="CM431" s="12"/>
      <c r="CN431" s="48"/>
      <c r="CO431" s="242" t="s">
        <v>3890</v>
      </c>
      <c r="CP431" s="2"/>
      <c r="CQ431" s="2" t="s">
        <v>913</v>
      </c>
      <c r="CR431" s="97">
        <v>40.0</v>
      </c>
      <c r="CS431" s="2" t="s">
        <v>409</v>
      </c>
      <c r="CT431" s="98">
        <v>204.0</v>
      </c>
      <c r="CU431" s="2"/>
      <c r="CV431" s="52" t="s">
        <v>149</v>
      </c>
      <c r="CW431" s="52" t="s">
        <v>149</v>
      </c>
      <c r="CX431" s="2"/>
      <c r="CY431" s="119" t="s">
        <v>964</v>
      </c>
      <c r="CZ431" s="160"/>
      <c r="DA431" s="2"/>
      <c r="DB431" s="98">
        <v>60.0</v>
      </c>
      <c r="DC431" s="2"/>
      <c r="DD431" s="101" t="s">
        <v>2656</v>
      </c>
      <c r="DE431" s="2"/>
      <c r="DF431" s="120" t="s">
        <v>3899</v>
      </c>
      <c r="DG431" s="119"/>
      <c r="DH431" s="160"/>
      <c r="DI431" s="2"/>
      <c r="DJ431" s="2"/>
      <c r="DK431" s="59" t="s">
        <v>3900</v>
      </c>
      <c r="DL431" s="37" t="s">
        <v>156</v>
      </c>
      <c r="DM431" s="37" t="str">
        <f t="shared" si="3"/>
        <v>#NAME?</v>
      </c>
      <c r="DN431" s="61"/>
      <c r="DO431" s="37" t="s">
        <v>19</v>
      </c>
      <c r="DP431" s="37" t="s">
        <v>19</v>
      </c>
      <c r="DQ431" s="62" t="s">
        <v>1702</v>
      </c>
      <c r="DR431" s="63"/>
      <c r="DS431" s="198"/>
      <c r="DT431" s="108"/>
      <c r="DU431" s="108"/>
      <c r="DV431" s="182"/>
      <c r="DW431" s="182"/>
      <c r="DX431" s="182"/>
      <c r="DY431" s="182"/>
      <c r="DZ431" s="182"/>
      <c r="EA431" s="182"/>
      <c r="EB431" s="2"/>
      <c r="EC431" s="2"/>
      <c r="ED431" s="2"/>
      <c r="EE431" s="2"/>
      <c r="EF431" s="2"/>
      <c r="EG431" s="449"/>
      <c r="EH431" s="428"/>
      <c r="EI431" s="428"/>
    </row>
    <row r="432" ht="15.75" customHeight="1">
      <c r="A432" s="1">
        <v>427.0</v>
      </c>
      <c r="B432" s="2" t="s">
        <v>3901</v>
      </c>
      <c r="C432" s="7"/>
      <c r="D432" s="167" t="s">
        <v>3902</v>
      </c>
      <c r="E432" s="5"/>
      <c r="F432" s="168"/>
      <c r="G432" s="7"/>
      <c r="H432" s="8" t="s">
        <v>3903</v>
      </c>
      <c r="I432" s="9" t="s">
        <v>3904</v>
      </c>
      <c r="J432" s="355" t="str">
        <f>image("https://archives.bulbagarden.net/media/upload/8/82/427MS6.png", 3)</f>
        <v/>
      </c>
      <c r="K432" s="11" t="s">
        <v>3902</v>
      </c>
      <c r="L432" s="12"/>
      <c r="M432" s="12"/>
      <c r="N432" s="12"/>
      <c r="O432" s="12"/>
      <c r="Q432" s="71">
        <v>55.0</v>
      </c>
      <c r="R432" s="72">
        <v>66.0</v>
      </c>
      <c r="S432" s="73">
        <v>44.0</v>
      </c>
      <c r="T432" s="74">
        <v>44.0</v>
      </c>
      <c r="U432" s="75">
        <v>56.0</v>
      </c>
      <c r="V432" s="76">
        <v>85.0</v>
      </c>
      <c r="W432" s="77">
        <v>350.0</v>
      </c>
      <c r="X432" s="21"/>
      <c r="Y432" s="71">
        <v>55.0</v>
      </c>
      <c r="Z432" s="72">
        <v>66.0</v>
      </c>
      <c r="AA432" s="73">
        <v>44.0</v>
      </c>
      <c r="AB432" s="74">
        <v>44.0</v>
      </c>
      <c r="AC432" s="75">
        <v>56.0</v>
      </c>
      <c r="AD432" s="76">
        <v>85.0</v>
      </c>
      <c r="AE432" s="77">
        <v>350.0</v>
      </c>
      <c r="AF432" s="21"/>
      <c r="AG432" s="71">
        <v>55.0</v>
      </c>
      <c r="AH432" s="72">
        <v>66.0</v>
      </c>
      <c r="AI432" s="73">
        <v>44.0</v>
      </c>
      <c r="AJ432" s="74">
        <v>44.0</v>
      </c>
      <c r="AK432" s="75">
        <v>56.0</v>
      </c>
      <c r="AL432" s="76">
        <v>85.0</v>
      </c>
      <c r="AM432" s="77">
        <v>350.0</v>
      </c>
      <c r="AN432" s="21"/>
      <c r="AO432" s="22">
        <v>55.0</v>
      </c>
      <c r="AP432" s="23">
        <v>66.0</v>
      </c>
      <c r="AQ432" s="23">
        <v>44.0</v>
      </c>
      <c r="AR432" s="23">
        <v>44.0</v>
      </c>
      <c r="AS432" s="23">
        <v>56.0</v>
      </c>
      <c r="AT432" s="23">
        <v>85.0</v>
      </c>
      <c r="AU432" s="24">
        <v>350.0</v>
      </c>
      <c r="AV432" s="21"/>
      <c r="AW432" s="78">
        <v>55.0</v>
      </c>
      <c r="AX432" s="80">
        <v>66.0</v>
      </c>
      <c r="AY432" s="79">
        <v>44.0</v>
      </c>
      <c r="AZ432" s="80">
        <v>44.0</v>
      </c>
      <c r="BA432" s="79">
        <v>56.0</v>
      </c>
      <c r="BB432" s="79">
        <v>85.0</v>
      </c>
      <c r="BC432" s="81">
        <v>350.0</v>
      </c>
      <c r="BE432" s="126" t="s">
        <v>56</v>
      </c>
      <c r="BF432" s="447"/>
      <c r="BG432" s="128"/>
      <c r="BI432" s="31" t="s">
        <v>5</v>
      </c>
      <c r="BJ432" s="32" t="s">
        <v>5</v>
      </c>
      <c r="BK432" s="32" t="s">
        <v>5</v>
      </c>
      <c r="BL432" s="32" t="s">
        <v>5</v>
      </c>
      <c r="BM432" s="32" t="s">
        <v>5</v>
      </c>
      <c r="BN432" s="33">
        <v>1.0</v>
      </c>
      <c r="BP432" s="85" t="s">
        <v>156</v>
      </c>
      <c r="BQ432" s="129"/>
      <c r="BS432" s="87" t="s">
        <v>156</v>
      </c>
      <c r="BT432" s="130"/>
      <c r="BU432" s="37" t="str">
        <f t="shared" si="1"/>
        <v>#NAME?</v>
      </c>
      <c r="BV432" s="89" t="s">
        <v>156</v>
      </c>
      <c r="BW432" s="37" t="str">
        <f t="shared" si="2"/>
        <v>#NAME?</v>
      </c>
      <c r="BX432" s="89"/>
      <c r="BY432" s="134"/>
      <c r="BZ432" s="134"/>
      <c r="CA432" s="135" t="s">
        <v>156</v>
      </c>
      <c r="CB432" s="136"/>
      <c r="CC432" s="90" t="s">
        <v>156</v>
      </c>
      <c r="CD432" s="137"/>
      <c r="CE432" s="21"/>
      <c r="CF432" s="92" t="s">
        <v>146</v>
      </c>
      <c r="CG432" s="93" t="s">
        <v>3905</v>
      </c>
      <c r="CH432" s="21"/>
      <c r="CI432" s="94" t="s">
        <v>3906</v>
      </c>
      <c r="CJ432" s="165" t="s">
        <v>146</v>
      </c>
      <c r="CK432" s="21"/>
      <c r="CL432" s="22" t="s">
        <v>3907</v>
      </c>
      <c r="CM432" s="12"/>
      <c r="CN432" s="48"/>
      <c r="CO432" s="196" t="s">
        <v>146</v>
      </c>
      <c r="CP432" s="21"/>
      <c r="CQ432" s="2" t="s">
        <v>512</v>
      </c>
      <c r="CR432" s="97">
        <v>20.0</v>
      </c>
      <c r="CS432" s="2" t="s">
        <v>56</v>
      </c>
      <c r="CT432" s="98">
        <v>84.0</v>
      </c>
      <c r="CU432" s="2"/>
      <c r="CV432" s="52" t="s">
        <v>149</v>
      </c>
      <c r="CW432" s="52" t="s">
        <v>149</v>
      </c>
      <c r="CX432" s="2"/>
      <c r="CY432" s="443" t="s">
        <v>277</v>
      </c>
      <c r="CZ432" s="444" t="s">
        <v>728</v>
      </c>
      <c r="DA432" s="2"/>
      <c r="DB432" s="98">
        <v>190.0</v>
      </c>
      <c r="DC432" s="2"/>
      <c r="DD432" s="101" t="s">
        <v>150</v>
      </c>
      <c r="DE432" s="2"/>
      <c r="DF432" s="448" t="s">
        <v>3908</v>
      </c>
      <c r="DG432" s="444"/>
      <c r="DH432" s="444"/>
      <c r="DI432" s="21"/>
      <c r="DJ432" s="21"/>
      <c r="DK432" s="59" t="s">
        <v>3909</v>
      </c>
      <c r="DL432" s="37" t="s">
        <v>122</v>
      </c>
      <c r="DM432" s="37" t="str">
        <f t="shared" si="3"/>
        <v>#NAME?</v>
      </c>
      <c r="DN432" s="61"/>
      <c r="DO432" s="37" t="s">
        <v>19</v>
      </c>
      <c r="DP432" s="37" t="s">
        <v>19</v>
      </c>
      <c r="DQ432" s="62" t="s">
        <v>49</v>
      </c>
      <c r="DR432" s="63"/>
      <c r="DS432" s="198"/>
      <c r="DT432" s="108"/>
      <c r="DU432" s="108"/>
      <c r="DV432" s="182"/>
      <c r="DW432" s="182"/>
      <c r="DX432" s="182"/>
      <c r="DY432" s="182"/>
      <c r="DZ432" s="182"/>
      <c r="EA432" s="182"/>
      <c r="EB432" s="21"/>
      <c r="EC432" s="21"/>
      <c r="ED432" s="21"/>
      <c r="EE432" s="21"/>
      <c r="EF432" s="21"/>
      <c r="EG432" s="108"/>
      <c r="EH432" s="442"/>
      <c r="EI432" s="442"/>
    </row>
    <row r="433" ht="15.75" customHeight="1">
      <c r="A433" s="1">
        <v>428.0</v>
      </c>
      <c r="B433" s="2" t="s">
        <v>3910</v>
      </c>
      <c r="C433" s="7"/>
      <c r="D433" s="167" t="s">
        <v>3911</v>
      </c>
      <c r="E433" s="5"/>
      <c r="F433" s="168"/>
      <c r="G433" s="7"/>
      <c r="H433" s="8" t="s">
        <v>3912</v>
      </c>
      <c r="I433" s="9" t="s">
        <v>3913</v>
      </c>
      <c r="J433" s="355" t="str">
        <f>image("https://archives.bulbagarden.net/media/upload/d/de/428MS6.png", 3)</f>
        <v/>
      </c>
      <c r="K433" s="11" t="s">
        <v>3911</v>
      </c>
      <c r="L433" s="12"/>
      <c r="M433" s="12"/>
      <c r="N433" s="12"/>
      <c r="O433" s="12"/>
      <c r="Q433" s="71">
        <v>65.0</v>
      </c>
      <c r="R433" s="72">
        <v>76.0</v>
      </c>
      <c r="S433" s="73">
        <v>84.0</v>
      </c>
      <c r="T433" s="74">
        <v>54.0</v>
      </c>
      <c r="U433" s="75">
        <v>96.0</v>
      </c>
      <c r="V433" s="76">
        <v>105.0</v>
      </c>
      <c r="W433" s="77">
        <v>480.0</v>
      </c>
      <c r="X433" s="21"/>
      <c r="Y433" s="71">
        <v>65.0</v>
      </c>
      <c r="Z433" s="72">
        <v>76.0</v>
      </c>
      <c r="AA433" s="73">
        <v>84.0</v>
      </c>
      <c r="AB433" s="74">
        <v>54.0</v>
      </c>
      <c r="AC433" s="75">
        <v>96.0</v>
      </c>
      <c r="AD433" s="76">
        <v>105.0</v>
      </c>
      <c r="AE433" s="77">
        <v>480.0</v>
      </c>
      <c r="AF433" s="21"/>
      <c r="AG433" s="71">
        <v>65.0</v>
      </c>
      <c r="AH433" s="109">
        <v>106.0</v>
      </c>
      <c r="AI433" s="73">
        <v>84.0</v>
      </c>
      <c r="AJ433" s="162">
        <v>44.0</v>
      </c>
      <c r="AK433" s="75">
        <v>96.0</v>
      </c>
      <c r="AL433" s="76">
        <v>105.0</v>
      </c>
      <c r="AM433" s="110">
        <v>500.0</v>
      </c>
      <c r="AN433" s="21"/>
      <c r="AO433" s="22">
        <v>65.0</v>
      </c>
      <c r="AP433" s="23" t="s">
        <v>1640</v>
      </c>
      <c r="AQ433" s="23">
        <v>84.0</v>
      </c>
      <c r="AR433" s="23" t="s">
        <v>3914</v>
      </c>
      <c r="AS433" s="23">
        <v>96.0</v>
      </c>
      <c r="AT433" s="23">
        <v>105.0</v>
      </c>
      <c r="AU433" s="24" t="s">
        <v>745</v>
      </c>
      <c r="AV433" s="21"/>
      <c r="AW433" s="78">
        <v>65.0</v>
      </c>
      <c r="AX433" s="111">
        <v>106.0</v>
      </c>
      <c r="AY433" s="79">
        <v>84.0</v>
      </c>
      <c r="AZ433" s="163">
        <v>44.0</v>
      </c>
      <c r="BA433" s="79">
        <v>96.0</v>
      </c>
      <c r="BB433" s="79">
        <v>105.0</v>
      </c>
      <c r="BC433" s="111">
        <v>500.0</v>
      </c>
      <c r="BE433" s="176" t="s">
        <v>248</v>
      </c>
      <c r="BF433" s="113"/>
      <c r="BG433" s="210"/>
      <c r="BI433" s="31" t="s">
        <v>5</v>
      </c>
      <c r="BJ433" s="32" t="s">
        <v>5</v>
      </c>
      <c r="BK433" s="32" t="s">
        <v>5</v>
      </c>
      <c r="BL433" s="32" t="s">
        <v>5</v>
      </c>
      <c r="BM433" s="32" t="s">
        <v>5</v>
      </c>
      <c r="BN433" s="33">
        <v>2.0</v>
      </c>
      <c r="BP433" s="115" t="s">
        <v>156</v>
      </c>
      <c r="BQ433" s="93"/>
      <c r="BS433" s="115" t="s">
        <v>156</v>
      </c>
      <c r="BT433" s="133"/>
      <c r="BU433" s="37" t="str">
        <f t="shared" si="1"/>
        <v>#NAME?</v>
      </c>
      <c r="BV433" s="89" t="s">
        <v>156</v>
      </c>
      <c r="BW433" s="37" t="str">
        <f t="shared" si="2"/>
        <v>#NAME?</v>
      </c>
      <c r="BX433" s="89" t="s">
        <v>403</v>
      </c>
      <c r="BY433" s="39"/>
      <c r="BZ433" s="39"/>
      <c r="CA433" s="40" t="s">
        <v>3915</v>
      </c>
      <c r="CB433" s="41"/>
      <c r="CC433" s="37" t="s">
        <v>156</v>
      </c>
      <c r="CD433" s="226" t="s">
        <v>64</v>
      </c>
      <c r="CE433" s="21"/>
      <c r="CF433" s="92" t="s">
        <v>463</v>
      </c>
      <c r="CG433" s="93" t="s">
        <v>3905</v>
      </c>
      <c r="CH433" s="21"/>
      <c r="CI433" s="152" t="s">
        <v>3906</v>
      </c>
      <c r="CJ433" s="95" t="s">
        <v>463</v>
      </c>
      <c r="CK433" s="21"/>
      <c r="CL433" s="22" t="s">
        <v>1623</v>
      </c>
      <c r="CM433" s="12"/>
      <c r="CN433" s="48"/>
      <c r="CO433" s="96" t="s">
        <v>463</v>
      </c>
      <c r="CP433" s="21"/>
      <c r="CQ433" s="2" t="s">
        <v>619</v>
      </c>
      <c r="CR433" s="97">
        <v>60.0</v>
      </c>
      <c r="CS433" s="2" t="s">
        <v>248</v>
      </c>
      <c r="CT433" s="98">
        <v>178.0</v>
      </c>
      <c r="CU433" s="2"/>
      <c r="CV433" s="52" t="s">
        <v>149</v>
      </c>
      <c r="CW433" s="52" t="s">
        <v>149</v>
      </c>
      <c r="CX433" s="2"/>
      <c r="CY433" s="118" t="s">
        <v>277</v>
      </c>
      <c r="CZ433" s="119" t="s">
        <v>728</v>
      </c>
      <c r="DA433" s="2"/>
      <c r="DB433" s="98">
        <v>60.0</v>
      </c>
      <c r="DC433" s="2"/>
      <c r="DD433" s="101" t="s">
        <v>150</v>
      </c>
      <c r="DE433" s="2"/>
      <c r="DF433" s="120" t="s">
        <v>3916</v>
      </c>
      <c r="DG433" s="119"/>
      <c r="DH433" s="119"/>
      <c r="DI433" s="2"/>
      <c r="DJ433" s="2"/>
      <c r="DK433" s="59" t="s">
        <v>3917</v>
      </c>
      <c r="DL433" s="37" t="s">
        <v>156</v>
      </c>
      <c r="DM433" s="37" t="str">
        <f t="shared" si="3"/>
        <v>#NAME?</v>
      </c>
      <c r="DN433" s="61"/>
      <c r="DO433" s="37" t="s">
        <v>19</v>
      </c>
      <c r="DP433" s="37" t="s">
        <v>19</v>
      </c>
      <c r="DQ433" s="62" t="s">
        <v>49</v>
      </c>
      <c r="DR433" s="63"/>
      <c r="DS433" s="198"/>
      <c r="DT433" s="108"/>
      <c r="DU433" s="108"/>
      <c r="DV433" s="182"/>
      <c r="DW433" s="182"/>
      <c r="DX433" s="182"/>
      <c r="DY433" s="182"/>
      <c r="DZ433" s="182"/>
      <c r="EA433" s="182"/>
      <c r="EB433" s="2"/>
      <c r="EC433" s="2"/>
      <c r="ED433" s="2"/>
      <c r="EE433" s="2"/>
      <c r="EF433" s="2"/>
      <c r="EG433" s="449"/>
      <c r="EH433" s="428"/>
      <c r="EI433" s="428"/>
    </row>
    <row r="434" ht="15.75" customHeight="1">
      <c r="A434" s="1">
        <v>429.0</v>
      </c>
      <c r="B434" s="2" t="s">
        <v>3918</v>
      </c>
      <c r="C434" s="7"/>
      <c r="D434" s="180" t="s">
        <v>3919</v>
      </c>
      <c r="E434" s="5"/>
      <c r="F434" s="181"/>
      <c r="G434" s="7"/>
      <c r="H434" s="8" t="s">
        <v>3920</v>
      </c>
      <c r="I434" s="9" t="s">
        <v>3921</v>
      </c>
      <c r="J434" s="355" t="str">
        <f>image("https://archives.bulbagarden.net/media/upload/d/d7/429MS6.png", 3)</f>
        <v/>
      </c>
      <c r="K434" s="11" t="s">
        <v>3919</v>
      </c>
      <c r="L434" s="12"/>
      <c r="M434" s="12"/>
      <c r="N434" s="12"/>
      <c r="O434" s="12"/>
      <c r="Q434" s="71">
        <v>60.0</v>
      </c>
      <c r="R434" s="72">
        <v>60.0</v>
      </c>
      <c r="S434" s="73">
        <v>60.0</v>
      </c>
      <c r="T434" s="74">
        <v>105.0</v>
      </c>
      <c r="U434" s="75">
        <v>105.0</v>
      </c>
      <c r="V434" s="76">
        <v>105.0</v>
      </c>
      <c r="W434" s="77">
        <v>495.0</v>
      </c>
      <c r="X434" s="21"/>
      <c r="Y434" s="71">
        <v>60.0</v>
      </c>
      <c r="Z434" s="72">
        <v>60.0</v>
      </c>
      <c r="AA434" s="73">
        <v>60.0</v>
      </c>
      <c r="AB434" s="74">
        <v>105.0</v>
      </c>
      <c r="AC434" s="75">
        <v>105.0</v>
      </c>
      <c r="AD434" s="76">
        <v>105.0</v>
      </c>
      <c r="AE434" s="77">
        <v>495.0</v>
      </c>
      <c r="AF434" s="21"/>
      <c r="AG434" s="71">
        <v>60.0</v>
      </c>
      <c r="AH434" s="72">
        <v>60.0</v>
      </c>
      <c r="AI434" s="73">
        <v>60.0</v>
      </c>
      <c r="AJ434" s="74">
        <v>105.0</v>
      </c>
      <c r="AK434" s="75">
        <v>105.0</v>
      </c>
      <c r="AL434" s="76">
        <v>105.0</v>
      </c>
      <c r="AM434" s="77">
        <v>495.0</v>
      </c>
      <c r="AN434" s="21"/>
      <c r="AO434" s="22">
        <v>60.0</v>
      </c>
      <c r="AP434" s="23">
        <v>60.0</v>
      </c>
      <c r="AQ434" s="23">
        <v>60.0</v>
      </c>
      <c r="AR434" s="23">
        <v>105.0</v>
      </c>
      <c r="AS434" s="23">
        <v>105.0</v>
      </c>
      <c r="AT434" s="23">
        <v>105.0</v>
      </c>
      <c r="AU434" s="24">
        <v>495.0</v>
      </c>
      <c r="AV434" s="21"/>
      <c r="AW434" s="78">
        <v>60.0</v>
      </c>
      <c r="AX434" s="124">
        <v>60.0</v>
      </c>
      <c r="AY434" s="79">
        <v>60.0</v>
      </c>
      <c r="AZ434" s="124">
        <v>105.0</v>
      </c>
      <c r="BA434" s="79">
        <v>105.0</v>
      </c>
      <c r="BB434" s="79">
        <v>105.0</v>
      </c>
      <c r="BC434" s="125">
        <v>495.0</v>
      </c>
      <c r="BE434" s="82" t="s">
        <v>4</v>
      </c>
      <c r="BF434" s="83" t="s">
        <v>27</v>
      </c>
      <c r="BG434" s="446"/>
      <c r="BI434" s="31" t="s">
        <v>5</v>
      </c>
      <c r="BJ434" s="32" t="s">
        <v>5</v>
      </c>
      <c r="BK434" s="32" t="s">
        <v>5</v>
      </c>
      <c r="BL434" s="32">
        <v>1.0</v>
      </c>
      <c r="BM434" s="32">
        <v>1.0</v>
      </c>
      <c r="BN434" s="33" t="s">
        <v>5</v>
      </c>
      <c r="BP434" s="85" t="s">
        <v>92</v>
      </c>
      <c r="BQ434" s="129"/>
      <c r="BS434" s="87" t="s">
        <v>92</v>
      </c>
      <c r="BT434" s="130"/>
      <c r="BU434" s="37" t="str">
        <f t="shared" si="1"/>
        <v>#NAME?</v>
      </c>
      <c r="BV434" s="89" t="s">
        <v>92</v>
      </c>
      <c r="BW434" s="37" t="str">
        <f t="shared" si="2"/>
        <v>#NAME?</v>
      </c>
      <c r="BX434" s="89" t="s">
        <v>461</v>
      </c>
      <c r="BY434" s="39"/>
      <c r="BZ434" s="39"/>
      <c r="CA434" s="40" t="s">
        <v>1944</v>
      </c>
      <c r="CB434" s="41"/>
      <c r="CC434" s="37" t="s">
        <v>92</v>
      </c>
      <c r="CD434" s="233" t="s">
        <v>153</v>
      </c>
      <c r="CE434" s="21"/>
      <c r="CF434" s="92" t="s">
        <v>1001</v>
      </c>
      <c r="CG434" s="93"/>
      <c r="CH434" s="21"/>
      <c r="CI434" s="175" t="s">
        <v>1001</v>
      </c>
      <c r="CJ434" s="93"/>
      <c r="CK434" s="21"/>
      <c r="CL434" s="22" t="s">
        <v>1001</v>
      </c>
      <c r="CM434" s="12"/>
      <c r="CN434" s="48"/>
      <c r="CO434" s="453"/>
      <c r="CP434" s="21"/>
      <c r="CQ434" s="2" t="s">
        <v>3922</v>
      </c>
      <c r="CR434" s="97">
        <v>20.0</v>
      </c>
      <c r="CS434" s="2" t="s">
        <v>29</v>
      </c>
      <c r="CT434" s="98">
        <v>187.0</v>
      </c>
      <c r="CU434" s="2"/>
      <c r="CV434" s="52" t="s">
        <v>149</v>
      </c>
      <c r="CW434" s="52" t="s">
        <v>149</v>
      </c>
      <c r="CX434" s="2"/>
      <c r="CY434" s="444" t="s">
        <v>964</v>
      </c>
      <c r="CZ434" s="450"/>
      <c r="DA434" s="2"/>
      <c r="DB434" s="98">
        <v>45.0</v>
      </c>
      <c r="DC434" s="2"/>
      <c r="DD434" s="101" t="s">
        <v>468</v>
      </c>
      <c r="DE434" s="2"/>
      <c r="DF434" s="445" t="s">
        <v>3923</v>
      </c>
      <c r="DG434" s="444"/>
      <c r="DH434" s="450"/>
      <c r="DI434" s="2"/>
      <c r="DJ434" s="2"/>
      <c r="DK434" s="59" t="s">
        <v>3924</v>
      </c>
      <c r="DL434" s="37" t="s">
        <v>6</v>
      </c>
      <c r="DM434" s="37" t="str">
        <f t="shared" si="3"/>
        <v>#NAME?</v>
      </c>
      <c r="DN434" s="61"/>
      <c r="DO434" s="37" t="s">
        <v>19</v>
      </c>
      <c r="DP434" s="105">
        <v>0.75</v>
      </c>
      <c r="DQ434" s="62" t="s">
        <v>93</v>
      </c>
      <c r="DR434" s="63"/>
      <c r="DS434" s="198"/>
      <c r="DT434" s="108"/>
      <c r="DU434" s="108"/>
      <c r="DV434" s="182"/>
      <c r="DW434" s="182"/>
      <c r="DX434" s="182"/>
      <c r="DY434" s="182"/>
      <c r="DZ434" s="182"/>
      <c r="EA434" s="182"/>
      <c r="EB434" s="2"/>
      <c r="EC434" s="2"/>
      <c r="ED434" s="2"/>
      <c r="EE434" s="2"/>
      <c r="EF434" s="2"/>
      <c r="EG434" s="449"/>
      <c r="EH434" s="428"/>
      <c r="EI434" s="428"/>
    </row>
    <row r="435" ht="15.75" customHeight="1">
      <c r="A435" s="1">
        <v>430.0</v>
      </c>
      <c r="B435" s="2" t="s">
        <v>3925</v>
      </c>
      <c r="C435" s="7"/>
      <c r="D435" s="295" t="s">
        <v>3926</v>
      </c>
      <c r="E435" s="5"/>
      <c r="F435" s="296"/>
      <c r="G435" s="7"/>
      <c r="H435" s="8" t="s">
        <v>3927</v>
      </c>
      <c r="I435" s="9" t="s">
        <v>3928</v>
      </c>
      <c r="J435" s="355" t="str">
        <f>image("https://archives.bulbagarden.net/media/upload/a/a7/430MS6.png", 3)</f>
        <v/>
      </c>
      <c r="K435" s="11" t="s">
        <v>3926</v>
      </c>
      <c r="L435" s="12"/>
      <c r="M435" s="12"/>
      <c r="N435" s="12"/>
      <c r="O435" s="12"/>
      <c r="Q435" s="71">
        <v>100.0</v>
      </c>
      <c r="R435" s="72">
        <v>125.0</v>
      </c>
      <c r="S435" s="73">
        <v>52.0</v>
      </c>
      <c r="T435" s="74">
        <v>105.0</v>
      </c>
      <c r="U435" s="75">
        <v>52.0</v>
      </c>
      <c r="V435" s="76">
        <v>71.0</v>
      </c>
      <c r="W435" s="77">
        <v>505.0</v>
      </c>
      <c r="X435" s="21"/>
      <c r="Y435" s="71">
        <v>100.0</v>
      </c>
      <c r="Z435" s="72">
        <v>125.0</v>
      </c>
      <c r="AA435" s="73">
        <v>52.0</v>
      </c>
      <c r="AB435" s="74">
        <v>105.0</v>
      </c>
      <c r="AC435" s="75">
        <v>52.0</v>
      </c>
      <c r="AD435" s="76">
        <v>71.0</v>
      </c>
      <c r="AE435" s="77">
        <v>505.0</v>
      </c>
      <c r="AF435" s="21"/>
      <c r="AG435" s="71">
        <v>100.0</v>
      </c>
      <c r="AH435" s="72">
        <v>125.0</v>
      </c>
      <c r="AI435" s="73">
        <v>52.0</v>
      </c>
      <c r="AJ435" s="74">
        <v>105.0</v>
      </c>
      <c r="AK435" s="75">
        <v>52.0</v>
      </c>
      <c r="AL435" s="76">
        <v>71.0</v>
      </c>
      <c r="AM435" s="77">
        <v>505.0</v>
      </c>
      <c r="AN435" s="21"/>
      <c r="AO435" s="22">
        <v>100.0</v>
      </c>
      <c r="AP435" s="23">
        <v>125.0</v>
      </c>
      <c r="AQ435" s="23">
        <v>52.0</v>
      </c>
      <c r="AR435" s="23">
        <v>105.0</v>
      </c>
      <c r="AS435" s="23">
        <v>52.0</v>
      </c>
      <c r="AT435" s="23">
        <v>71.0</v>
      </c>
      <c r="AU435" s="24">
        <v>505.0</v>
      </c>
      <c r="AV435" s="21"/>
      <c r="AW435" s="258">
        <v>100.0</v>
      </c>
      <c r="AX435" s="80">
        <v>125.0</v>
      </c>
      <c r="AY435" s="80">
        <v>52.0</v>
      </c>
      <c r="AZ435" s="80">
        <v>105.0</v>
      </c>
      <c r="BA435" s="80">
        <v>52.0</v>
      </c>
      <c r="BB435" s="80">
        <v>71.0</v>
      </c>
      <c r="BC435" s="81">
        <v>505.0</v>
      </c>
      <c r="BE435" s="172" t="s">
        <v>216</v>
      </c>
      <c r="BF435" s="113"/>
      <c r="BG435" s="210"/>
      <c r="BI435" s="31" t="s">
        <v>5</v>
      </c>
      <c r="BJ435" s="32">
        <v>2.0</v>
      </c>
      <c r="BK435" s="32" t="s">
        <v>5</v>
      </c>
      <c r="BL435" s="32" t="s">
        <v>5</v>
      </c>
      <c r="BM435" s="32" t="s">
        <v>5</v>
      </c>
      <c r="BN435" s="33" t="s">
        <v>5</v>
      </c>
      <c r="BP435" s="115" t="s">
        <v>76</v>
      </c>
      <c r="BQ435" s="116" t="s">
        <v>18</v>
      </c>
      <c r="BS435" s="115" t="s">
        <v>76</v>
      </c>
      <c r="BT435" s="117" t="s">
        <v>18</v>
      </c>
      <c r="BU435" s="37" t="str">
        <f t="shared" si="1"/>
        <v>#NAME?</v>
      </c>
      <c r="BV435" s="89" t="s">
        <v>76</v>
      </c>
      <c r="BW435" s="37" t="str">
        <f t="shared" si="2"/>
        <v>#NAME?</v>
      </c>
      <c r="BX435" s="89" t="s">
        <v>18</v>
      </c>
      <c r="BY435" s="144"/>
      <c r="BZ435" s="144"/>
      <c r="CA435" s="145" t="s">
        <v>1927</v>
      </c>
      <c r="CB435" s="146"/>
      <c r="CC435" s="90" t="s">
        <v>76</v>
      </c>
      <c r="CD435" s="147" t="s">
        <v>18</v>
      </c>
      <c r="CE435" s="2"/>
      <c r="CF435" s="92" t="s">
        <v>1032</v>
      </c>
      <c r="CG435" s="93" t="s">
        <v>1734</v>
      </c>
      <c r="CH435" s="2"/>
      <c r="CI435" s="454" t="s">
        <v>1734</v>
      </c>
      <c r="CJ435" s="455" t="s">
        <v>1032</v>
      </c>
      <c r="CK435" s="2"/>
      <c r="CL435" s="22" t="s">
        <v>3929</v>
      </c>
      <c r="CM435" s="12"/>
      <c r="CN435" s="48"/>
      <c r="CO435" s="456" t="s">
        <v>1032</v>
      </c>
      <c r="CP435" s="2"/>
      <c r="CQ435" s="2" t="s">
        <v>3930</v>
      </c>
      <c r="CR435" s="97">
        <v>60.0</v>
      </c>
      <c r="CS435" s="2" t="s">
        <v>216</v>
      </c>
      <c r="CT435" s="98">
        <v>187.0</v>
      </c>
      <c r="CU435" s="2"/>
      <c r="CV435" s="52" t="s">
        <v>149</v>
      </c>
      <c r="CW435" s="52" t="s">
        <v>149</v>
      </c>
      <c r="CX435" s="2"/>
      <c r="CY435" s="119" t="s">
        <v>18</v>
      </c>
      <c r="CZ435" s="160"/>
      <c r="DA435" s="2"/>
      <c r="DB435" s="98">
        <v>30.0</v>
      </c>
      <c r="DC435" s="2"/>
      <c r="DD435" s="101" t="s">
        <v>15</v>
      </c>
      <c r="DE435" s="2"/>
      <c r="DF435" s="120" t="s">
        <v>3931</v>
      </c>
      <c r="DG435" s="119"/>
      <c r="DH435" s="160"/>
      <c r="DI435" s="2"/>
      <c r="DJ435" s="2"/>
      <c r="DK435" s="59" t="s">
        <v>3932</v>
      </c>
      <c r="DL435" s="37" t="s">
        <v>156</v>
      </c>
      <c r="DM435" s="37" t="str">
        <f t="shared" si="3"/>
        <v>#NAME?</v>
      </c>
      <c r="DN435" s="61"/>
      <c r="DO435" s="37" t="s">
        <v>19</v>
      </c>
      <c r="DP435" s="37" t="s">
        <v>19</v>
      </c>
      <c r="DQ435" s="62" t="s">
        <v>49</v>
      </c>
      <c r="DR435" s="63"/>
      <c r="DS435" s="198"/>
      <c r="DT435" s="108"/>
      <c r="DU435" s="108"/>
      <c r="DV435" s="182"/>
      <c r="DW435" s="182"/>
      <c r="DX435" s="182"/>
      <c r="DY435" s="182"/>
      <c r="DZ435" s="182"/>
      <c r="EA435" s="182"/>
      <c r="EB435" s="2"/>
      <c r="EC435" s="2"/>
      <c r="ED435" s="2"/>
      <c r="EE435" s="2"/>
      <c r="EF435" s="2"/>
      <c r="EG435" s="449"/>
      <c r="EH435" s="428"/>
      <c r="EI435" s="428"/>
    </row>
    <row r="436" ht="15.75" customHeight="1">
      <c r="A436" s="1">
        <v>431.0</v>
      </c>
      <c r="B436" s="2" t="s">
        <v>3933</v>
      </c>
      <c r="C436" s="7"/>
      <c r="D436" s="247" t="s">
        <v>3934</v>
      </c>
      <c r="E436" s="5"/>
      <c r="F436" s="248"/>
      <c r="G436" s="7"/>
      <c r="H436" s="8" t="s">
        <v>3935</v>
      </c>
      <c r="I436" s="9" t="s">
        <v>3936</v>
      </c>
      <c r="J436" s="355" t="str">
        <f>image("https://archives.bulbagarden.net/media/upload/0/06/431MS6.png", 3)</f>
        <v/>
      </c>
      <c r="K436" s="11" t="s">
        <v>3934</v>
      </c>
      <c r="L436" s="12"/>
      <c r="M436" s="12"/>
      <c r="N436" s="12"/>
      <c r="O436" s="12"/>
      <c r="Q436" s="71">
        <v>49.0</v>
      </c>
      <c r="R436" s="72">
        <v>55.0</v>
      </c>
      <c r="S436" s="73">
        <v>42.0</v>
      </c>
      <c r="T436" s="74">
        <v>42.0</v>
      </c>
      <c r="U436" s="75">
        <v>37.0</v>
      </c>
      <c r="V436" s="76">
        <v>85.0</v>
      </c>
      <c r="W436" s="77">
        <v>310.0</v>
      </c>
      <c r="X436" s="21"/>
      <c r="Y436" s="71">
        <v>49.0</v>
      </c>
      <c r="Z436" s="72">
        <v>55.0</v>
      </c>
      <c r="AA436" s="73">
        <v>42.0</v>
      </c>
      <c r="AB436" s="74">
        <v>42.0</v>
      </c>
      <c r="AC436" s="75">
        <v>37.0</v>
      </c>
      <c r="AD436" s="76">
        <v>85.0</v>
      </c>
      <c r="AE436" s="77">
        <v>310.0</v>
      </c>
      <c r="AF436" s="21"/>
      <c r="AG436" s="261">
        <v>50.0</v>
      </c>
      <c r="AH436" s="109">
        <v>65.0</v>
      </c>
      <c r="AI436" s="109">
        <v>45.0</v>
      </c>
      <c r="AJ436" s="109">
        <v>45.0</v>
      </c>
      <c r="AK436" s="109">
        <v>40.0</v>
      </c>
      <c r="AL436" s="109">
        <v>90.0</v>
      </c>
      <c r="AM436" s="110">
        <v>335.0</v>
      </c>
      <c r="AN436" s="21"/>
      <c r="AO436" s="22" t="s">
        <v>233</v>
      </c>
      <c r="AP436" s="23" t="s">
        <v>247</v>
      </c>
      <c r="AQ436" s="23" t="s">
        <v>1612</v>
      </c>
      <c r="AR436" s="23" t="s">
        <v>1612</v>
      </c>
      <c r="AS436" s="23" t="s">
        <v>350</v>
      </c>
      <c r="AT436" s="23" t="s">
        <v>128</v>
      </c>
      <c r="AU436" s="24" t="s">
        <v>3937</v>
      </c>
      <c r="AV436" s="21"/>
      <c r="AW436" s="111">
        <v>50.0</v>
      </c>
      <c r="AX436" s="111">
        <v>65.0</v>
      </c>
      <c r="AY436" s="111">
        <v>45.0</v>
      </c>
      <c r="AZ436" s="111">
        <v>45.0</v>
      </c>
      <c r="BA436" s="111">
        <v>40.0</v>
      </c>
      <c r="BB436" s="111">
        <v>90.0</v>
      </c>
      <c r="BC436" s="111">
        <v>335.0</v>
      </c>
      <c r="BE436" s="126" t="s">
        <v>56</v>
      </c>
      <c r="BF436" s="447"/>
      <c r="BG436" s="128"/>
      <c r="BI436" s="31" t="s">
        <v>5</v>
      </c>
      <c r="BJ436" s="32" t="s">
        <v>5</v>
      </c>
      <c r="BK436" s="32" t="s">
        <v>5</v>
      </c>
      <c r="BL436" s="32" t="s">
        <v>5</v>
      </c>
      <c r="BM436" s="32" t="s">
        <v>5</v>
      </c>
      <c r="BN436" s="33">
        <v>1.0</v>
      </c>
      <c r="BP436" s="85" t="s">
        <v>156</v>
      </c>
      <c r="BQ436" s="129"/>
      <c r="BS436" s="87" t="s">
        <v>156</v>
      </c>
      <c r="BT436" s="130"/>
      <c r="BU436" s="37" t="str">
        <f t="shared" si="1"/>
        <v>#NAME?</v>
      </c>
      <c r="BV436" s="89" t="s">
        <v>156</v>
      </c>
      <c r="BW436" s="37" t="str">
        <f t="shared" si="2"/>
        <v>#NAME?</v>
      </c>
      <c r="BX436" s="89"/>
      <c r="BY436" s="39"/>
      <c r="BZ436" s="39"/>
      <c r="CA436" s="40" t="s">
        <v>156</v>
      </c>
      <c r="CB436" s="41"/>
      <c r="CC436" s="90" t="s">
        <v>156</v>
      </c>
      <c r="CD436" s="91"/>
      <c r="CE436" s="21"/>
      <c r="CF436" s="92" t="s">
        <v>639</v>
      </c>
      <c r="CG436" s="93" t="s">
        <v>871</v>
      </c>
      <c r="CH436" s="21"/>
      <c r="CI436" s="175" t="s">
        <v>639</v>
      </c>
      <c r="CJ436" s="195" t="s">
        <v>871</v>
      </c>
      <c r="CK436" s="21"/>
      <c r="CL436" s="22" t="s">
        <v>639</v>
      </c>
      <c r="CM436" s="12"/>
      <c r="CN436" s="48"/>
      <c r="CO436" s="196" t="s">
        <v>871</v>
      </c>
      <c r="CP436" s="21"/>
      <c r="CQ436" s="2" t="s">
        <v>2042</v>
      </c>
      <c r="CR436" s="97">
        <v>20.0</v>
      </c>
      <c r="CS436" s="2" t="s">
        <v>56</v>
      </c>
      <c r="CT436" s="98">
        <v>71.0</v>
      </c>
      <c r="CU436" s="2"/>
      <c r="CV436" s="52" t="s">
        <v>466</v>
      </c>
      <c r="CW436" s="347">
        <v>0.75</v>
      </c>
      <c r="CX436" s="2"/>
      <c r="CY436" s="444" t="s">
        <v>277</v>
      </c>
      <c r="CZ436" s="450"/>
      <c r="DA436" s="2"/>
      <c r="DB436" s="98">
        <v>190.0</v>
      </c>
      <c r="DC436" s="2"/>
      <c r="DD436" s="101" t="s">
        <v>468</v>
      </c>
      <c r="DE436" s="2"/>
      <c r="DF436" s="457" t="s">
        <v>3938</v>
      </c>
      <c r="DG436" s="450"/>
      <c r="DH436" s="450"/>
      <c r="DI436" s="21"/>
      <c r="DJ436" s="21"/>
      <c r="DK436" s="59" t="s">
        <v>3939</v>
      </c>
      <c r="DL436" s="37" t="s">
        <v>156</v>
      </c>
      <c r="DM436" s="37" t="str">
        <f t="shared" si="3"/>
        <v>#NAME?</v>
      </c>
      <c r="DN436" s="61"/>
      <c r="DO436" s="37" t="s">
        <v>19</v>
      </c>
      <c r="DP436" s="105">
        <v>1.0</v>
      </c>
      <c r="DQ436" s="62" t="s">
        <v>20</v>
      </c>
      <c r="DR436" s="63"/>
      <c r="DS436" s="198"/>
      <c r="DT436" s="108"/>
      <c r="DU436" s="108"/>
      <c r="DV436" s="182"/>
      <c r="DW436" s="182"/>
      <c r="DX436" s="182"/>
      <c r="DY436" s="182"/>
      <c r="DZ436" s="182"/>
      <c r="EA436" s="182"/>
      <c r="EB436" s="21"/>
      <c r="EC436" s="21"/>
      <c r="ED436" s="21"/>
      <c r="EE436" s="21"/>
      <c r="EF436" s="21"/>
      <c r="EG436" s="108"/>
      <c r="EH436" s="442"/>
      <c r="EI436" s="442"/>
    </row>
    <row r="437" ht="15.75" customHeight="1">
      <c r="A437" s="1">
        <v>432.0</v>
      </c>
      <c r="B437" s="2" t="s">
        <v>3940</v>
      </c>
      <c r="C437" s="7"/>
      <c r="D437" s="247" t="s">
        <v>3941</v>
      </c>
      <c r="E437" s="5"/>
      <c r="F437" s="248"/>
      <c r="G437" s="7"/>
      <c r="H437" s="8" t="s">
        <v>3942</v>
      </c>
      <c r="I437" s="9" t="s">
        <v>3943</v>
      </c>
      <c r="J437" s="355" t="str">
        <f>image("https://archives.bulbagarden.net/media/upload/5/5a/432MS6.png", 3)</f>
        <v/>
      </c>
      <c r="K437" s="11" t="s">
        <v>3941</v>
      </c>
      <c r="L437" s="12"/>
      <c r="M437" s="12"/>
      <c r="N437" s="12"/>
      <c r="O437" s="12"/>
      <c r="Q437" s="71">
        <v>71.0</v>
      </c>
      <c r="R437" s="72">
        <v>82.0</v>
      </c>
      <c r="S437" s="73">
        <v>64.0</v>
      </c>
      <c r="T437" s="74">
        <v>64.0</v>
      </c>
      <c r="U437" s="75">
        <v>59.0</v>
      </c>
      <c r="V437" s="76">
        <v>112.0</v>
      </c>
      <c r="W437" s="77">
        <v>452.0</v>
      </c>
      <c r="X437" s="21"/>
      <c r="Y437" s="71">
        <v>71.0</v>
      </c>
      <c r="Z437" s="72">
        <v>82.0</v>
      </c>
      <c r="AA437" s="73">
        <v>64.0</v>
      </c>
      <c r="AB437" s="74">
        <v>64.0</v>
      </c>
      <c r="AC437" s="75">
        <v>59.0</v>
      </c>
      <c r="AD437" s="76">
        <v>112.0</v>
      </c>
      <c r="AE437" s="77">
        <v>452.0</v>
      </c>
      <c r="AF437" s="21"/>
      <c r="AG437" s="261">
        <v>90.0</v>
      </c>
      <c r="AH437" s="109">
        <v>95.0</v>
      </c>
      <c r="AI437" s="109">
        <v>70.0</v>
      </c>
      <c r="AJ437" s="109">
        <v>65.0</v>
      </c>
      <c r="AK437" s="109">
        <v>60.0</v>
      </c>
      <c r="AL437" s="109">
        <v>115.0</v>
      </c>
      <c r="AM437" s="110">
        <v>495.0</v>
      </c>
      <c r="AN437" s="21"/>
      <c r="AO437" s="22" t="s">
        <v>128</v>
      </c>
      <c r="AP437" s="23" t="s">
        <v>215</v>
      </c>
      <c r="AQ437" s="23" t="s">
        <v>288</v>
      </c>
      <c r="AR437" s="23" t="s">
        <v>247</v>
      </c>
      <c r="AS437" s="23" t="s">
        <v>77</v>
      </c>
      <c r="AT437" s="23" t="s">
        <v>213</v>
      </c>
      <c r="AU437" s="24" t="s">
        <v>367</v>
      </c>
      <c r="AV437" s="21"/>
      <c r="AW437" s="111">
        <v>90.0</v>
      </c>
      <c r="AX437" s="111">
        <v>95.0</v>
      </c>
      <c r="AY437" s="111">
        <v>70.0</v>
      </c>
      <c r="AZ437" s="111">
        <v>65.0</v>
      </c>
      <c r="BA437" s="111">
        <v>60.0</v>
      </c>
      <c r="BB437" s="111">
        <v>115.0</v>
      </c>
      <c r="BC437" s="111">
        <v>495.0</v>
      </c>
      <c r="BE437" s="176" t="s">
        <v>248</v>
      </c>
      <c r="BF437" s="113"/>
      <c r="BG437" s="210"/>
      <c r="BI437" s="31" t="s">
        <v>5</v>
      </c>
      <c r="BJ437" s="32" t="s">
        <v>5</v>
      </c>
      <c r="BK437" s="32" t="s">
        <v>5</v>
      </c>
      <c r="BL437" s="32" t="s">
        <v>5</v>
      </c>
      <c r="BM437" s="32" t="s">
        <v>5</v>
      </c>
      <c r="BN437" s="33">
        <v>2.0</v>
      </c>
      <c r="BP437" s="115" t="s">
        <v>156</v>
      </c>
      <c r="BQ437" s="93"/>
      <c r="BS437" s="115" t="s">
        <v>156</v>
      </c>
      <c r="BT437" s="133"/>
      <c r="BU437" s="37" t="str">
        <f t="shared" si="1"/>
        <v>#NAME?</v>
      </c>
      <c r="BV437" s="89" t="s">
        <v>156</v>
      </c>
      <c r="BW437" s="37" t="str">
        <f t="shared" si="2"/>
        <v>#NAME?</v>
      </c>
      <c r="BX437" s="89"/>
      <c r="BY437" s="39"/>
      <c r="BZ437" s="39"/>
      <c r="CA437" s="40" t="s">
        <v>156</v>
      </c>
      <c r="CB437" s="41"/>
      <c r="CC437" s="90" t="s">
        <v>156</v>
      </c>
      <c r="CD437" s="91"/>
      <c r="CE437" s="21"/>
      <c r="CF437" s="92" t="s">
        <v>944</v>
      </c>
      <c r="CG437" s="93" t="s">
        <v>871</v>
      </c>
      <c r="CH437" s="21"/>
      <c r="CI437" s="92" t="s">
        <v>944</v>
      </c>
      <c r="CJ437" s="93" t="s">
        <v>871</v>
      </c>
      <c r="CK437" s="21"/>
      <c r="CL437" s="22" t="s">
        <v>944</v>
      </c>
      <c r="CM437" s="12"/>
      <c r="CN437" s="48"/>
      <c r="CO437" s="96" t="s">
        <v>871</v>
      </c>
      <c r="CP437" s="21"/>
      <c r="CQ437" s="2" t="s">
        <v>3944</v>
      </c>
      <c r="CR437" s="97">
        <v>60.0</v>
      </c>
      <c r="CS437" s="2" t="s">
        <v>248</v>
      </c>
      <c r="CT437" s="98">
        <v>183.0</v>
      </c>
      <c r="CU437" s="2"/>
      <c r="CV437" s="52" t="s">
        <v>466</v>
      </c>
      <c r="CW437" s="347">
        <v>0.75</v>
      </c>
      <c r="CX437" s="2"/>
      <c r="CY437" s="119" t="s">
        <v>277</v>
      </c>
      <c r="CZ437" s="160"/>
      <c r="DA437" s="2"/>
      <c r="DB437" s="98">
        <v>75.0</v>
      </c>
      <c r="DC437" s="2"/>
      <c r="DD437" s="101" t="s">
        <v>468</v>
      </c>
      <c r="DE437" s="2"/>
      <c r="DF437" s="159" t="s">
        <v>3945</v>
      </c>
      <c r="DG437" s="160"/>
      <c r="DH437" s="160"/>
      <c r="DI437" s="2"/>
      <c r="DJ437" s="2"/>
      <c r="DK437" s="59" t="s">
        <v>3946</v>
      </c>
      <c r="DL437" s="37" t="s">
        <v>76</v>
      </c>
      <c r="DM437" s="37" t="str">
        <f t="shared" si="3"/>
        <v>#NAME?</v>
      </c>
      <c r="DN437" s="61"/>
      <c r="DO437" s="37" t="s">
        <v>19</v>
      </c>
      <c r="DP437" s="37" t="s">
        <v>19</v>
      </c>
      <c r="DQ437" s="62" t="s">
        <v>49</v>
      </c>
      <c r="DR437" s="63"/>
      <c r="DS437" s="198"/>
      <c r="DT437" s="108"/>
      <c r="DU437" s="108"/>
      <c r="DV437" s="182"/>
      <c r="DW437" s="182"/>
      <c r="DX437" s="182"/>
      <c r="DY437" s="182"/>
      <c r="DZ437" s="182"/>
      <c r="EA437" s="182"/>
      <c r="EB437" s="2"/>
      <c r="EC437" s="2"/>
      <c r="ED437" s="2"/>
      <c r="EE437" s="2"/>
      <c r="EF437" s="2"/>
      <c r="EG437" s="449"/>
      <c r="EH437" s="428"/>
      <c r="EI437" s="428"/>
    </row>
    <row r="438" ht="15.75" customHeight="1">
      <c r="A438" s="1">
        <v>433.0</v>
      </c>
      <c r="B438" s="2" t="s">
        <v>3947</v>
      </c>
      <c r="C438" s="7"/>
      <c r="D438" s="169" t="s">
        <v>3948</v>
      </c>
      <c r="E438" s="5"/>
      <c r="F438" s="170"/>
      <c r="G438" s="7"/>
      <c r="H438" s="8" t="s">
        <v>3949</v>
      </c>
      <c r="I438" s="9" t="s">
        <v>3950</v>
      </c>
      <c r="J438" s="355" t="str">
        <f>image("https://archives.bulbagarden.net/media/upload/7/7b/433MS6.png", 3)</f>
        <v/>
      </c>
      <c r="K438" s="11" t="s">
        <v>3948</v>
      </c>
      <c r="L438" s="12"/>
      <c r="M438" s="12"/>
      <c r="N438" s="12"/>
      <c r="O438" s="12"/>
      <c r="Q438" s="71">
        <v>45.0</v>
      </c>
      <c r="R438" s="72">
        <v>30.0</v>
      </c>
      <c r="S438" s="73">
        <v>50.0</v>
      </c>
      <c r="T438" s="74">
        <v>65.0</v>
      </c>
      <c r="U438" s="75">
        <v>50.0</v>
      </c>
      <c r="V438" s="76">
        <v>45.0</v>
      </c>
      <c r="W438" s="77">
        <v>285.0</v>
      </c>
      <c r="X438" s="21"/>
      <c r="Y438" s="71">
        <v>45.0</v>
      </c>
      <c r="Z438" s="72">
        <v>30.0</v>
      </c>
      <c r="AA438" s="73">
        <v>50.0</v>
      </c>
      <c r="AB438" s="74">
        <v>65.0</v>
      </c>
      <c r="AC438" s="75">
        <v>50.0</v>
      </c>
      <c r="AD438" s="76">
        <v>45.0</v>
      </c>
      <c r="AE438" s="77">
        <v>285.0</v>
      </c>
      <c r="AF438" s="21"/>
      <c r="AG438" s="71">
        <v>45.0</v>
      </c>
      <c r="AH438" s="72">
        <v>30.0</v>
      </c>
      <c r="AI438" s="73">
        <v>50.0</v>
      </c>
      <c r="AJ438" s="74">
        <v>65.0</v>
      </c>
      <c r="AK438" s="75">
        <v>50.0</v>
      </c>
      <c r="AL438" s="76">
        <v>45.0</v>
      </c>
      <c r="AM438" s="77">
        <v>285.0</v>
      </c>
      <c r="AN438" s="21"/>
      <c r="AO438" s="22">
        <v>45.0</v>
      </c>
      <c r="AP438" s="23">
        <v>30.0</v>
      </c>
      <c r="AQ438" s="23">
        <v>50.0</v>
      </c>
      <c r="AR438" s="23" t="s">
        <v>337</v>
      </c>
      <c r="AS438" s="23" t="s">
        <v>77</v>
      </c>
      <c r="AT438" s="23">
        <v>45.0</v>
      </c>
      <c r="AU438" s="24" t="s">
        <v>2101</v>
      </c>
      <c r="AV438" s="21"/>
      <c r="AW438" s="63">
        <v>45.0</v>
      </c>
      <c r="AX438" s="182">
        <v>30.0</v>
      </c>
      <c r="AY438" s="182">
        <v>50.0</v>
      </c>
      <c r="AZ438" s="182">
        <v>65.0</v>
      </c>
      <c r="BA438" s="182">
        <v>50.0</v>
      </c>
      <c r="BB438" s="182">
        <v>45.0</v>
      </c>
      <c r="BC438" s="183">
        <v>285.0</v>
      </c>
      <c r="BE438" s="82" t="s">
        <v>4</v>
      </c>
      <c r="BF438" s="447"/>
      <c r="BG438" s="128"/>
      <c r="BI438" s="31" t="s">
        <v>5</v>
      </c>
      <c r="BJ438" s="32" t="s">
        <v>5</v>
      </c>
      <c r="BK438" s="32" t="s">
        <v>5</v>
      </c>
      <c r="BL438" s="32">
        <v>1.0</v>
      </c>
      <c r="BM438" s="32" t="s">
        <v>5</v>
      </c>
      <c r="BN438" s="33" t="s">
        <v>5</v>
      </c>
      <c r="BP438" s="85" t="s">
        <v>122</v>
      </c>
      <c r="BQ438" s="129"/>
      <c r="BS438" s="87" t="s">
        <v>122</v>
      </c>
      <c r="BT438" s="130"/>
      <c r="BU438" s="37" t="str">
        <f t="shared" si="1"/>
        <v>#NAME?</v>
      </c>
      <c r="BV438" s="89" t="s">
        <v>122</v>
      </c>
      <c r="BW438" s="37" t="str">
        <f t="shared" si="2"/>
        <v>#NAME?</v>
      </c>
      <c r="BX438" s="89"/>
      <c r="BY438" s="39"/>
      <c r="BZ438" s="39"/>
      <c r="CA438" s="40" t="s">
        <v>122</v>
      </c>
      <c r="CB438" s="41"/>
      <c r="CC438" s="90" t="s">
        <v>122</v>
      </c>
      <c r="CD438" s="91"/>
      <c r="CE438" s="21"/>
      <c r="CF438" s="92" t="s">
        <v>1001</v>
      </c>
      <c r="CG438" s="93"/>
      <c r="CH438" s="21"/>
      <c r="CI438" s="177" t="s">
        <v>1001</v>
      </c>
      <c r="CJ438" s="188"/>
      <c r="CK438" s="21"/>
      <c r="CL438" s="22" t="s">
        <v>1001</v>
      </c>
      <c r="CM438" s="12"/>
      <c r="CN438" s="48"/>
      <c r="CO438" s="153"/>
      <c r="CP438" s="21"/>
      <c r="CQ438" s="2" t="s">
        <v>3951</v>
      </c>
      <c r="CR438" s="97">
        <v>20.0</v>
      </c>
      <c r="CS438" s="2" t="s">
        <v>4</v>
      </c>
      <c r="CT438" s="98">
        <v>74.0</v>
      </c>
      <c r="CU438" s="2"/>
      <c r="CV438" s="52" t="s">
        <v>149</v>
      </c>
      <c r="CW438" s="52" t="s">
        <v>149</v>
      </c>
      <c r="CX438" s="2"/>
      <c r="CY438" s="444" t="s">
        <v>411</v>
      </c>
      <c r="CZ438" s="450"/>
      <c r="DA438" s="2"/>
      <c r="DB438" s="98">
        <v>120.0</v>
      </c>
      <c r="DC438" s="2"/>
      <c r="DD438" s="101" t="s">
        <v>468</v>
      </c>
      <c r="DE438" s="2"/>
      <c r="DF438" s="458" t="s">
        <v>3952</v>
      </c>
      <c r="DG438" s="459" t="s">
        <v>3328</v>
      </c>
      <c r="DH438" s="450"/>
      <c r="DI438" s="21"/>
      <c r="DJ438" s="21"/>
      <c r="DK438" s="59" t="s">
        <v>3953</v>
      </c>
      <c r="DL438" s="37" t="s">
        <v>156</v>
      </c>
      <c r="DM438" s="37" t="str">
        <f t="shared" si="3"/>
        <v>#NAME?</v>
      </c>
      <c r="DN438" s="61"/>
      <c r="DO438" s="37" t="s">
        <v>19</v>
      </c>
      <c r="DP438" s="37" t="s">
        <v>19</v>
      </c>
      <c r="DQ438" s="62" t="s">
        <v>49</v>
      </c>
      <c r="DR438" s="63"/>
      <c r="DS438" s="198"/>
      <c r="DT438" s="108"/>
      <c r="DU438" s="108"/>
      <c r="DV438" s="182"/>
      <c r="DW438" s="182"/>
      <c r="DX438" s="182"/>
      <c r="DY438" s="182"/>
      <c r="DZ438" s="182"/>
      <c r="EA438" s="182"/>
      <c r="EB438" s="21"/>
      <c r="EC438" s="21"/>
      <c r="ED438" s="21"/>
      <c r="EE438" s="21"/>
      <c r="EF438" s="21"/>
      <c r="EG438" s="108"/>
      <c r="EH438" s="442"/>
      <c r="EI438" s="442"/>
    </row>
    <row r="439" ht="15.75" customHeight="1">
      <c r="A439" s="1">
        <v>434.0</v>
      </c>
      <c r="B439" s="2" t="s">
        <v>3954</v>
      </c>
      <c r="C439" s="7"/>
      <c r="D439" s="180" t="s">
        <v>3955</v>
      </c>
      <c r="E439" s="5"/>
      <c r="F439" s="181"/>
      <c r="G439" s="7"/>
      <c r="H439" s="8" t="s">
        <v>3956</v>
      </c>
      <c r="I439" s="9" t="s">
        <v>3957</v>
      </c>
      <c r="J439" s="355" t="str">
        <f>image("https://archives.bulbagarden.net/media/upload/4/48/434MS6.png", 3)</f>
        <v/>
      </c>
      <c r="K439" s="11" t="s">
        <v>3955</v>
      </c>
      <c r="L439" s="12"/>
      <c r="M439" s="12"/>
      <c r="N439" s="12"/>
      <c r="O439" s="12"/>
      <c r="Q439" s="71">
        <v>63.0</v>
      </c>
      <c r="R439" s="72">
        <v>63.0</v>
      </c>
      <c r="S439" s="73">
        <v>47.0</v>
      </c>
      <c r="T439" s="74">
        <v>41.0</v>
      </c>
      <c r="U439" s="75">
        <v>41.0</v>
      </c>
      <c r="V439" s="76">
        <v>74.0</v>
      </c>
      <c r="W439" s="77">
        <v>329.0</v>
      </c>
      <c r="X439" s="21"/>
      <c r="Y439" s="71">
        <v>63.0</v>
      </c>
      <c r="Z439" s="72">
        <v>63.0</v>
      </c>
      <c r="AA439" s="73">
        <v>47.0</v>
      </c>
      <c r="AB439" s="74">
        <v>41.0</v>
      </c>
      <c r="AC439" s="75">
        <v>41.0</v>
      </c>
      <c r="AD439" s="76">
        <v>74.0</v>
      </c>
      <c r="AE439" s="77">
        <v>329.0</v>
      </c>
      <c r="AF439" s="21"/>
      <c r="AG439" s="261">
        <v>65.0</v>
      </c>
      <c r="AH439" s="109">
        <v>65.0</v>
      </c>
      <c r="AI439" s="109">
        <v>50.0</v>
      </c>
      <c r="AJ439" s="162">
        <v>40.0</v>
      </c>
      <c r="AK439" s="162">
        <v>40.0</v>
      </c>
      <c r="AL439" s="109">
        <v>75.0</v>
      </c>
      <c r="AM439" s="110">
        <v>335.0</v>
      </c>
      <c r="AN439" s="21"/>
      <c r="AO439" s="22" t="s">
        <v>247</v>
      </c>
      <c r="AP439" s="23" t="s">
        <v>247</v>
      </c>
      <c r="AQ439" s="23" t="s">
        <v>233</v>
      </c>
      <c r="AR439" s="23" t="s">
        <v>214</v>
      </c>
      <c r="AS439" s="23" t="s">
        <v>214</v>
      </c>
      <c r="AT439" s="23" t="s">
        <v>154</v>
      </c>
      <c r="AU439" s="24" t="s">
        <v>3937</v>
      </c>
      <c r="AV439" s="21"/>
      <c r="AW439" s="111">
        <v>65.0</v>
      </c>
      <c r="AX439" s="111">
        <v>65.0</v>
      </c>
      <c r="AY439" s="187">
        <v>50.0</v>
      </c>
      <c r="AZ439" s="163">
        <v>40.0</v>
      </c>
      <c r="BA439" s="163">
        <v>40.0</v>
      </c>
      <c r="BB439" s="164">
        <v>75.0</v>
      </c>
      <c r="BC439" s="111">
        <v>335.0</v>
      </c>
      <c r="BE439" s="126" t="s">
        <v>56</v>
      </c>
      <c r="BF439" s="143"/>
      <c r="BG439" s="128"/>
      <c r="BI439" s="31" t="s">
        <v>5</v>
      </c>
      <c r="BJ439" s="32" t="s">
        <v>5</v>
      </c>
      <c r="BK439" s="32" t="s">
        <v>5</v>
      </c>
      <c r="BL439" s="32" t="s">
        <v>5</v>
      </c>
      <c r="BM439" s="32" t="s">
        <v>5</v>
      </c>
      <c r="BN439" s="33">
        <v>1.0</v>
      </c>
      <c r="BP439" s="115" t="s">
        <v>7</v>
      </c>
      <c r="BQ439" s="116" t="s">
        <v>76</v>
      </c>
      <c r="BS439" s="115" t="s">
        <v>7</v>
      </c>
      <c r="BT439" s="117" t="s">
        <v>76</v>
      </c>
      <c r="BU439" s="37" t="str">
        <f t="shared" si="1"/>
        <v>#NAME?</v>
      </c>
      <c r="BV439" s="89" t="s">
        <v>7</v>
      </c>
      <c r="BW439" s="37" t="str">
        <f t="shared" si="2"/>
        <v>#NAME?</v>
      </c>
      <c r="BX439" s="89" t="s">
        <v>76</v>
      </c>
      <c r="BY439" s="39"/>
      <c r="BZ439" s="39"/>
      <c r="CA439" s="40" t="s">
        <v>3958</v>
      </c>
      <c r="CB439" s="41"/>
      <c r="CC439" s="90" t="s">
        <v>7</v>
      </c>
      <c r="CD439" s="91" t="s">
        <v>76</v>
      </c>
      <c r="CE439" s="2"/>
      <c r="CF439" s="92" t="s">
        <v>553</v>
      </c>
      <c r="CG439" s="93" t="s">
        <v>3890</v>
      </c>
      <c r="CH439" s="2"/>
      <c r="CI439" s="237" t="s">
        <v>3890</v>
      </c>
      <c r="CJ439" s="238" t="s">
        <v>553</v>
      </c>
      <c r="CK439" s="2"/>
      <c r="CL439" s="22" t="s">
        <v>3959</v>
      </c>
      <c r="CM439" s="12"/>
      <c r="CN439" s="48"/>
      <c r="CO439" s="239" t="s">
        <v>553</v>
      </c>
      <c r="CP439" s="2"/>
      <c r="CQ439" s="2" t="s">
        <v>3960</v>
      </c>
      <c r="CR439" s="97">
        <v>40.0</v>
      </c>
      <c r="CS439" s="2" t="s">
        <v>56</v>
      </c>
      <c r="CT439" s="98">
        <v>79.0</v>
      </c>
      <c r="CU439" s="2"/>
      <c r="CV439" s="256" t="s">
        <v>149</v>
      </c>
      <c r="CW439" s="256" t="s">
        <v>149</v>
      </c>
      <c r="CX439" s="2"/>
      <c r="CY439" s="119" t="s">
        <v>277</v>
      </c>
      <c r="CZ439" s="160"/>
      <c r="DA439" s="2"/>
      <c r="DB439" s="98">
        <v>225.0</v>
      </c>
      <c r="DC439" s="2"/>
      <c r="DD439" s="101" t="s">
        <v>150</v>
      </c>
      <c r="DE439" s="2"/>
      <c r="DF439" s="276" t="s">
        <v>3961</v>
      </c>
      <c r="DG439" s="160"/>
      <c r="DH439" s="160"/>
      <c r="DI439" s="21"/>
      <c r="DJ439" s="21"/>
      <c r="DK439" s="59" t="s">
        <v>3962</v>
      </c>
      <c r="DL439" s="37" t="s">
        <v>109</v>
      </c>
      <c r="DM439" s="37" t="str">
        <f t="shared" si="3"/>
        <v>#NAME?</v>
      </c>
      <c r="DN439" s="61"/>
      <c r="DO439" s="37" t="s">
        <v>19</v>
      </c>
      <c r="DP439" s="37" t="s">
        <v>19</v>
      </c>
      <c r="DQ439" s="62" t="s">
        <v>49</v>
      </c>
      <c r="DR439" s="63"/>
      <c r="DS439" s="198"/>
      <c r="DT439" s="108"/>
      <c r="DU439" s="108"/>
      <c r="DV439" s="182"/>
      <c r="DW439" s="182"/>
      <c r="DX439" s="182"/>
      <c r="DY439" s="182"/>
      <c r="DZ439" s="182"/>
      <c r="EA439" s="182"/>
      <c r="EB439" s="21"/>
      <c r="EC439" s="21"/>
      <c r="ED439" s="21"/>
      <c r="EE439" s="21"/>
      <c r="EF439" s="21"/>
      <c r="EG439" s="108"/>
      <c r="EH439" s="442"/>
      <c r="EI439" s="442"/>
    </row>
    <row r="440" ht="15.75" customHeight="1">
      <c r="A440" s="1">
        <v>435.0</v>
      </c>
      <c r="B440" s="2" t="s">
        <v>3963</v>
      </c>
      <c r="C440" s="7"/>
      <c r="D440" s="180" t="s">
        <v>3964</v>
      </c>
      <c r="E440" s="5"/>
      <c r="F440" s="181"/>
      <c r="G440" s="7"/>
      <c r="H440" s="8" t="s">
        <v>3965</v>
      </c>
      <c r="I440" s="9" t="s">
        <v>3966</v>
      </c>
      <c r="J440" s="355" t="str">
        <f>image("https://archives.bulbagarden.net/media/upload/3/30/435MS6.png", 3)</f>
        <v/>
      </c>
      <c r="K440" s="11" t="s">
        <v>3964</v>
      </c>
      <c r="L440" s="12"/>
      <c r="M440" s="12"/>
      <c r="N440" s="12"/>
      <c r="O440" s="12"/>
      <c r="Q440" s="71">
        <v>103.0</v>
      </c>
      <c r="R440" s="72">
        <v>93.0</v>
      </c>
      <c r="S440" s="73">
        <v>67.0</v>
      </c>
      <c r="T440" s="74">
        <v>71.0</v>
      </c>
      <c r="U440" s="75">
        <v>61.0</v>
      </c>
      <c r="V440" s="76">
        <v>84.0</v>
      </c>
      <c r="W440" s="77">
        <v>479.0</v>
      </c>
      <c r="X440" s="21"/>
      <c r="Y440" s="71">
        <v>103.0</v>
      </c>
      <c r="Z440" s="72">
        <v>93.0</v>
      </c>
      <c r="AA440" s="73">
        <v>67.0</v>
      </c>
      <c r="AB440" s="74">
        <v>71.0</v>
      </c>
      <c r="AC440" s="75">
        <v>61.0</v>
      </c>
      <c r="AD440" s="76">
        <v>84.0</v>
      </c>
      <c r="AE440" s="77">
        <v>479.0</v>
      </c>
      <c r="AF440" s="21"/>
      <c r="AG440" s="261">
        <v>115.0</v>
      </c>
      <c r="AH440" s="109">
        <v>95.0</v>
      </c>
      <c r="AI440" s="109">
        <v>70.0</v>
      </c>
      <c r="AJ440" s="162">
        <v>70.0</v>
      </c>
      <c r="AK440" s="162">
        <v>60.0</v>
      </c>
      <c r="AL440" s="109">
        <v>85.0</v>
      </c>
      <c r="AM440" s="110">
        <v>495.0</v>
      </c>
      <c r="AN440" s="21"/>
      <c r="AO440" s="22" t="s">
        <v>213</v>
      </c>
      <c r="AP440" s="23" t="s">
        <v>215</v>
      </c>
      <c r="AQ440" s="23" t="s">
        <v>288</v>
      </c>
      <c r="AR440" s="23" t="s">
        <v>258</v>
      </c>
      <c r="AS440" s="23" t="s">
        <v>257</v>
      </c>
      <c r="AT440" s="23" t="s">
        <v>1621</v>
      </c>
      <c r="AU440" s="24" t="s">
        <v>367</v>
      </c>
      <c r="AV440" s="21"/>
      <c r="AW440" s="111">
        <v>115.0</v>
      </c>
      <c r="AX440" s="111">
        <v>95.0</v>
      </c>
      <c r="AY440" s="187">
        <v>70.0</v>
      </c>
      <c r="AZ440" s="163">
        <v>70.0</v>
      </c>
      <c r="BA440" s="163">
        <v>60.0</v>
      </c>
      <c r="BB440" s="164">
        <v>85.0</v>
      </c>
      <c r="BC440" s="111">
        <v>495.0</v>
      </c>
      <c r="BE440" s="203" t="s">
        <v>409</v>
      </c>
      <c r="BF440" s="113"/>
      <c r="BG440" s="446"/>
      <c r="BI440" s="31">
        <v>2.0</v>
      </c>
      <c r="BJ440" s="32" t="s">
        <v>5</v>
      </c>
      <c r="BK440" s="32" t="s">
        <v>5</v>
      </c>
      <c r="BL440" s="32" t="s">
        <v>5</v>
      </c>
      <c r="BM440" s="32" t="s">
        <v>5</v>
      </c>
      <c r="BN440" s="33" t="s">
        <v>5</v>
      </c>
      <c r="BP440" s="85" t="s">
        <v>7</v>
      </c>
      <c r="BQ440" s="86" t="s">
        <v>76</v>
      </c>
      <c r="BS440" s="87" t="s">
        <v>7</v>
      </c>
      <c r="BT440" s="88" t="s">
        <v>76</v>
      </c>
      <c r="BU440" s="37" t="str">
        <f t="shared" si="1"/>
        <v>#NAME?</v>
      </c>
      <c r="BV440" s="89" t="s">
        <v>7</v>
      </c>
      <c r="BW440" s="37" t="str">
        <f t="shared" si="2"/>
        <v>#NAME?</v>
      </c>
      <c r="BX440" s="89" t="s">
        <v>76</v>
      </c>
      <c r="BY440" s="39"/>
      <c r="BZ440" s="39"/>
      <c r="CA440" s="40" t="s">
        <v>3958</v>
      </c>
      <c r="CB440" s="41"/>
      <c r="CC440" s="90" t="s">
        <v>7</v>
      </c>
      <c r="CD440" s="91" t="s">
        <v>76</v>
      </c>
      <c r="CE440" s="2"/>
      <c r="CF440" s="92" t="s">
        <v>553</v>
      </c>
      <c r="CG440" s="93" t="s">
        <v>3890</v>
      </c>
      <c r="CH440" s="2"/>
      <c r="CI440" s="240" t="s">
        <v>3890</v>
      </c>
      <c r="CJ440" s="241" t="s">
        <v>553</v>
      </c>
      <c r="CK440" s="2"/>
      <c r="CL440" s="22" t="s">
        <v>3959</v>
      </c>
      <c r="CM440" s="12"/>
      <c r="CN440" s="48"/>
      <c r="CO440" s="242" t="s">
        <v>553</v>
      </c>
      <c r="CP440" s="2"/>
      <c r="CQ440" s="2" t="s">
        <v>315</v>
      </c>
      <c r="CR440" s="97">
        <v>60.0</v>
      </c>
      <c r="CS440" s="2" t="s">
        <v>409</v>
      </c>
      <c r="CT440" s="98">
        <v>209.0</v>
      </c>
      <c r="CU440" s="2"/>
      <c r="CV440" s="256" t="s">
        <v>149</v>
      </c>
      <c r="CW440" s="256" t="s">
        <v>149</v>
      </c>
      <c r="CX440" s="2"/>
      <c r="CY440" s="444" t="s">
        <v>277</v>
      </c>
      <c r="CZ440" s="450"/>
      <c r="DA440" s="2"/>
      <c r="DB440" s="98">
        <v>60.0</v>
      </c>
      <c r="DC440" s="2"/>
      <c r="DD440" s="101" t="s">
        <v>150</v>
      </c>
      <c r="DE440" s="2"/>
      <c r="DF440" s="159" t="s">
        <v>3967</v>
      </c>
      <c r="DG440" s="450"/>
      <c r="DH440" s="450"/>
      <c r="DI440" s="2"/>
      <c r="DJ440" s="2"/>
      <c r="DK440" s="59" t="s">
        <v>3968</v>
      </c>
      <c r="DL440" s="37" t="s">
        <v>79</v>
      </c>
      <c r="DM440" s="37" t="str">
        <f t="shared" si="3"/>
        <v>#NAME?</v>
      </c>
      <c r="DN440" s="61"/>
      <c r="DO440" s="37" t="s">
        <v>19</v>
      </c>
      <c r="DP440" s="37" t="s">
        <v>19</v>
      </c>
      <c r="DQ440" s="62" t="s">
        <v>20</v>
      </c>
      <c r="DR440" s="63"/>
      <c r="DS440" s="198"/>
      <c r="DT440" s="108"/>
      <c r="DU440" s="108"/>
      <c r="DV440" s="182"/>
      <c r="DW440" s="182"/>
      <c r="DX440" s="182"/>
      <c r="DY440" s="182"/>
      <c r="DZ440" s="182"/>
      <c r="EA440" s="182"/>
      <c r="EB440" s="2"/>
      <c r="EC440" s="2"/>
      <c r="ED440" s="2"/>
      <c r="EE440" s="2"/>
      <c r="EF440" s="2"/>
      <c r="EG440" s="449"/>
      <c r="EH440" s="428"/>
      <c r="EI440" s="428"/>
    </row>
    <row r="441" ht="15.75" customHeight="1">
      <c r="A441" s="1">
        <v>436.0</v>
      </c>
      <c r="B441" s="2" t="s">
        <v>3969</v>
      </c>
      <c r="C441" s="7"/>
      <c r="D441" s="4" t="s">
        <v>3970</v>
      </c>
      <c r="E441" s="5"/>
      <c r="F441" s="6"/>
      <c r="G441" s="7"/>
      <c r="H441" s="8" t="s">
        <v>3971</v>
      </c>
      <c r="I441" s="9" t="s">
        <v>3972</v>
      </c>
      <c r="J441" s="355" t="str">
        <f>image("https://archives.bulbagarden.net/media/upload/4/47/436MS6.png", 3)</f>
        <v/>
      </c>
      <c r="K441" s="11" t="s">
        <v>3970</v>
      </c>
      <c r="L441" s="12"/>
      <c r="M441" s="12"/>
      <c r="N441" s="12"/>
      <c r="O441" s="12"/>
      <c r="Q441" s="71">
        <v>57.0</v>
      </c>
      <c r="R441" s="72">
        <v>24.0</v>
      </c>
      <c r="S441" s="73">
        <v>86.0</v>
      </c>
      <c r="T441" s="74">
        <v>24.0</v>
      </c>
      <c r="U441" s="75">
        <v>86.0</v>
      </c>
      <c r="V441" s="76">
        <v>23.0</v>
      </c>
      <c r="W441" s="77">
        <v>300.0</v>
      </c>
      <c r="X441" s="21"/>
      <c r="Y441" s="71">
        <v>57.0</v>
      </c>
      <c r="Z441" s="72">
        <v>24.0</v>
      </c>
      <c r="AA441" s="73">
        <v>86.0</v>
      </c>
      <c r="AB441" s="74">
        <v>24.0</v>
      </c>
      <c r="AC441" s="75">
        <v>86.0</v>
      </c>
      <c r="AD441" s="76">
        <v>23.0</v>
      </c>
      <c r="AE441" s="77">
        <v>300.0</v>
      </c>
      <c r="AF441" s="21"/>
      <c r="AG441" s="71">
        <v>57.0</v>
      </c>
      <c r="AH441" s="72">
        <v>24.0</v>
      </c>
      <c r="AI441" s="73">
        <v>86.0</v>
      </c>
      <c r="AJ441" s="74">
        <v>24.0</v>
      </c>
      <c r="AK441" s="75">
        <v>86.0</v>
      </c>
      <c r="AL441" s="76">
        <v>23.0</v>
      </c>
      <c r="AM441" s="77">
        <v>300.0</v>
      </c>
      <c r="AN441" s="21"/>
      <c r="AO441" s="22">
        <v>57.0</v>
      </c>
      <c r="AP441" s="23">
        <v>24.0</v>
      </c>
      <c r="AQ441" s="23">
        <v>86.0</v>
      </c>
      <c r="AR441" s="23">
        <v>24.0</v>
      </c>
      <c r="AS441" s="23">
        <v>86.0</v>
      </c>
      <c r="AT441" s="23">
        <v>23.0</v>
      </c>
      <c r="AU441" s="24">
        <v>300.0</v>
      </c>
      <c r="AV441" s="21"/>
      <c r="AW441" s="265">
        <v>57.0</v>
      </c>
      <c r="AX441" s="124">
        <v>24.0</v>
      </c>
      <c r="AY441" s="124">
        <v>86.0</v>
      </c>
      <c r="AZ441" s="124">
        <v>24.0</v>
      </c>
      <c r="BA441" s="124">
        <v>86.0</v>
      </c>
      <c r="BB441" s="124">
        <v>23.0</v>
      </c>
      <c r="BC441" s="125">
        <v>300.0</v>
      </c>
      <c r="BE441" s="142" t="s">
        <v>101</v>
      </c>
      <c r="BF441" s="143"/>
      <c r="BG441" s="128"/>
      <c r="BI441" s="31" t="s">
        <v>5</v>
      </c>
      <c r="BJ441" s="32" t="s">
        <v>5</v>
      </c>
      <c r="BK441" s="32">
        <v>1.0</v>
      </c>
      <c r="BL441" s="32" t="s">
        <v>5</v>
      </c>
      <c r="BM441" s="32" t="s">
        <v>5</v>
      </c>
      <c r="BN441" s="33" t="s">
        <v>5</v>
      </c>
      <c r="BP441" s="115" t="s">
        <v>95</v>
      </c>
      <c r="BQ441" s="116" t="s">
        <v>122</v>
      </c>
      <c r="BS441" s="115" t="s">
        <v>95</v>
      </c>
      <c r="BT441" s="117" t="s">
        <v>122</v>
      </c>
      <c r="BU441" s="37" t="str">
        <f t="shared" si="1"/>
        <v>#NAME?</v>
      </c>
      <c r="BV441" s="89" t="s">
        <v>95</v>
      </c>
      <c r="BW441" s="37" t="str">
        <f t="shared" si="2"/>
        <v>#NAME?</v>
      </c>
      <c r="BX441" s="89" t="s">
        <v>122</v>
      </c>
      <c r="BY441" s="39"/>
      <c r="BZ441" s="39"/>
      <c r="CA441" s="40" t="s">
        <v>3471</v>
      </c>
      <c r="CB441" s="41"/>
      <c r="CC441" s="90" t="s">
        <v>95</v>
      </c>
      <c r="CD441" s="91" t="s">
        <v>122</v>
      </c>
      <c r="CE441" s="2"/>
      <c r="CF441" s="92" t="s">
        <v>1001</v>
      </c>
      <c r="CG441" s="93" t="s">
        <v>3973</v>
      </c>
      <c r="CH441" s="2"/>
      <c r="CI441" s="175" t="s">
        <v>1001</v>
      </c>
      <c r="CJ441" s="195" t="s">
        <v>3973</v>
      </c>
      <c r="CK441" s="2"/>
      <c r="CL441" s="22" t="s">
        <v>1001</v>
      </c>
      <c r="CM441" s="12"/>
      <c r="CN441" s="48"/>
      <c r="CO441" s="196" t="s">
        <v>3973</v>
      </c>
      <c r="CP441" s="2"/>
      <c r="CQ441" s="2" t="s">
        <v>3974</v>
      </c>
      <c r="CR441" s="97">
        <v>80.0</v>
      </c>
      <c r="CS441" s="2" t="s">
        <v>101</v>
      </c>
      <c r="CT441" s="98">
        <v>72.0</v>
      </c>
      <c r="CU441" s="2"/>
      <c r="CV441" s="52" t="s">
        <v>890</v>
      </c>
      <c r="CW441" s="52" t="s">
        <v>890</v>
      </c>
      <c r="CX441" s="2"/>
      <c r="CY441" s="257" t="s">
        <v>826</v>
      </c>
      <c r="CZ441" s="160"/>
      <c r="DA441" s="2"/>
      <c r="DB441" s="98">
        <v>255.0</v>
      </c>
      <c r="DC441" s="2"/>
      <c r="DD441" s="101" t="s">
        <v>150</v>
      </c>
      <c r="DE441" s="2"/>
      <c r="DF441" s="253" t="s">
        <v>3975</v>
      </c>
      <c r="DG441" s="409" t="s">
        <v>892</v>
      </c>
      <c r="DH441" s="160"/>
      <c r="DI441" s="21"/>
      <c r="DJ441" s="21"/>
      <c r="DK441" s="59" t="s">
        <v>3976</v>
      </c>
      <c r="DL441" s="37" t="s">
        <v>92</v>
      </c>
      <c r="DM441" s="37" t="str">
        <f t="shared" si="3"/>
        <v>#NAME?</v>
      </c>
      <c r="DN441" s="61"/>
      <c r="DO441" s="37" t="s">
        <v>19</v>
      </c>
      <c r="DP441" s="105">
        <v>1.0</v>
      </c>
      <c r="DQ441" s="62" t="s">
        <v>49</v>
      </c>
      <c r="DR441" s="63"/>
      <c r="DS441" s="198"/>
      <c r="DT441" s="108"/>
      <c r="DU441" s="108"/>
      <c r="DV441" s="182"/>
      <c r="DW441" s="182"/>
      <c r="DX441" s="182"/>
      <c r="DY441" s="182"/>
      <c r="DZ441" s="182"/>
      <c r="EA441" s="182"/>
      <c r="EB441" s="21"/>
      <c r="EC441" s="21"/>
      <c r="ED441" s="21"/>
      <c r="EE441" s="21"/>
      <c r="EF441" s="21"/>
      <c r="EG441" s="108"/>
      <c r="EH441" s="442"/>
      <c r="EI441" s="442"/>
    </row>
    <row r="442" ht="15.75" customHeight="1">
      <c r="A442" s="1">
        <v>437.0</v>
      </c>
      <c r="B442" s="2" t="s">
        <v>3977</v>
      </c>
      <c r="C442" s="7"/>
      <c r="D442" s="4" t="s">
        <v>3978</v>
      </c>
      <c r="E442" s="5"/>
      <c r="F442" s="6"/>
      <c r="G442" s="7"/>
      <c r="H442" s="8" t="s">
        <v>3979</v>
      </c>
      <c r="I442" s="9" t="s">
        <v>3980</v>
      </c>
      <c r="J442" s="355" t="str">
        <f>image("https://archives.bulbagarden.net/media/upload/f/fc/437MS6.png", 3)</f>
        <v/>
      </c>
      <c r="K442" s="11" t="s">
        <v>3978</v>
      </c>
      <c r="L442" s="12"/>
      <c r="M442" s="12"/>
      <c r="N442" s="12"/>
      <c r="O442" s="12"/>
      <c r="Q442" s="71">
        <v>67.0</v>
      </c>
      <c r="R442" s="72">
        <v>89.0</v>
      </c>
      <c r="S442" s="73">
        <v>116.0</v>
      </c>
      <c r="T442" s="74">
        <v>79.0</v>
      </c>
      <c r="U442" s="75">
        <v>116.0</v>
      </c>
      <c r="V442" s="76">
        <v>33.0</v>
      </c>
      <c r="W442" s="77">
        <v>500.0</v>
      </c>
      <c r="X442" s="21"/>
      <c r="Y442" s="71">
        <v>67.0</v>
      </c>
      <c r="Z442" s="72">
        <v>89.0</v>
      </c>
      <c r="AA442" s="73">
        <v>116.0</v>
      </c>
      <c r="AB442" s="74">
        <v>79.0</v>
      </c>
      <c r="AC442" s="75">
        <v>116.0</v>
      </c>
      <c r="AD442" s="76">
        <v>33.0</v>
      </c>
      <c r="AE442" s="77">
        <v>500.0</v>
      </c>
      <c r="AF442" s="21"/>
      <c r="AG442" s="71">
        <v>67.0</v>
      </c>
      <c r="AH442" s="72">
        <v>89.0</v>
      </c>
      <c r="AI442" s="73">
        <v>116.0</v>
      </c>
      <c r="AJ442" s="74">
        <v>79.0</v>
      </c>
      <c r="AK442" s="75">
        <v>116.0</v>
      </c>
      <c r="AL442" s="76">
        <v>33.0</v>
      </c>
      <c r="AM442" s="77">
        <v>500.0</v>
      </c>
      <c r="AN442" s="21"/>
      <c r="AO442" s="22">
        <v>67.0</v>
      </c>
      <c r="AP442" s="23">
        <v>89.0</v>
      </c>
      <c r="AQ442" s="23">
        <v>116.0</v>
      </c>
      <c r="AR442" s="23">
        <v>79.0</v>
      </c>
      <c r="AS442" s="23">
        <v>116.0</v>
      </c>
      <c r="AT442" s="23">
        <v>33.0</v>
      </c>
      <c r="AU442" s="24">
        <v>500.0</v>
      </c>
      <c r="AV442" s="21"/>
      <c r="AW442" s="258">
        <v>67.0</v>
      </c>
      <c r="AX442" s="80">
        <v>89.0</v>
      </c>
      <c r="AY442" s="79">
        <v>116.0</v>
      </c>
      <c r="AZ442" s="79">
        <v>79.0</v>
      </c>
      <c r="BA442" s="80">
        <v>116.0</v>
      </c>
      <c r="BB442" s="79">
        <v>33.0</v>
      </c>
      <c r="BC442" s="81">
        <v>500.0</v>
      </c>
      <c r="BE442" s="142" t="s">
        <v>101</v>
      </c>
      <c r="BF442" s="83" t="s">
        <v>27</v>
      </c>
      <c r="BG442" s="446"/>
      <c r="BI442" s="31" t="s">
        <v>5</v>
      </c>
      <c r="BJ442" s="32" t="s">
        <v>5</v>
      </c>
      <c r="BK442" s="32">
        <v>1.0</v>
      </c>
      <c r="BL442" s="32" t="s">
        <v>5</v>
      </c>
      <c r="BM442" s="32">
        <v>1.0</v>
      </c>
      <c r="BN442" s="33" t="s">
        <v>5</v>
      </c>
      <c r="BP442" s="85" t="s">
        <v>95</v>
      </c>
      <c r="BQ442" s="86" t="s">
        <v>122</v>
      </c>
      <c r="BS442" s="87" t="s">
        <v>95</v>
      </c>
      <c r="BT442" s="88" t="s">
        <v>122</v>
      </c>
      <c r="BU442" s="37" t="str">
        <f t="shared" si="1"/>
        <v>#NAME?</v>
      </c>
      <c r="BV442" s="89" t="s">
        <v>95</v>
      </c>
      <c r="BW442" s="37" t="str">
        <f t="shared" si="2"/>
        <v>#NAME?</v>
      </c>
      <c r="BX442" s="89" t="s">
        <v>122</v>
      </c>
      <c r="BY442" s="39"/>
      <c r="BZ442" s="39"/>
      <c r="CA442" s="40" t="s">
        <v>3471</v>
      </c>
      <c r="CB442" s="41"/>
      <c r="CC442" s="90" t="s">
        <v>95</v>
      </c>
      <c r="CD442" s="91" t="s">
        <v>122</v>
      </c>
      <c r="CE442" s="2"/>
      <c r="CF442" s="92" t="s">
        <v>1001</v>
      </c>
      <c r="CG442" s="93" t="s">
        <v>3973</v>
      </c>
      <c r="CH442" s="2"/>
      <c r="CI442" s="177" t="s">
        <v>1001</v>
      </c>
      <c r="CJ442" s="188" t="s">
        <v>3973</v>
      </c>
      <c r="CK442" s="2"/>
      <c r="CL442" s="22" t="s">
        <v>1001</v>
      </c>
      <c r="CM442" s="12"/>
      <c r="CN442" s="48"/>
      <c r="CO442" s="189" t="s">
        <v>3973</v>
      </c>
      <c r="CP442" s="2"/>
      <c r="CQ442" s="2" t="s">
        <v>2322</v>
      </c>
      <c r="CR442" s="97">
        <v>100.0</v>
      </c>
      <c r="CS442" s="2" t="s">
        <v>117</v>
      </c>
      <c r="CT442" s="98">
        <v>188.0</v>
      </c>
      <c r="CU442" s="2"/>
      <c r="CV442" s="52" t="s">
        <v>890</v>
      </c>
      <c r="CW442" s="52" t="s">
        <v>890</v>
      </c>
      <c r="CX442" s="2"/>
      <c r="CY442" s="460" t="s">
        <v>826</v>
      </c>
      <c r="CZ442" s="450"/>
      <c r="DA442" s="2"/>
      <c r="DB442" s="98">
        <v>90.0</v>
      </c>
      <c r="DC442" s="2"/>
      <c r="DD442" s="101" t="s">
        <v>150</v>
      </c>
      <c r="DE442" s="2"/>
      <c r="DF442" s="445" t="s">
        <v>3981</v>
      </c>
      <c r="DG442" s="459" t="s">
        <v>892</v>
      </c>
      <c r="DH442" s="450"/>
      <c r="DI442" s="2"/>
      <c r="DJ442" s="2"/>
      <c r="DK442" s="59" t="s">
        <v>3982</v>
      </c>
      <c r="DL442" s="37" t="s">
        <v>156</v>
      </c>
      <c r="DM442" s="37" t="str">
        <f t="shared" si="3"/>
        <v>#NAME?</v>
      </c>
      <c r="DN442" s="61"/>
      <c r="DO442" s="37" t="s">
        <v>19</v>
      </c>
      <c r="DP442" s="37" t="s">
        <v>19</v>
      </c>
      <c r="DQ442" s="62" t="s">
        <v>702</v>
      </c>
      <c r="DR442" s="63"/>
      <c r="DS442" s="198"/>
      <c r="DT442" s="108"/>
      <c r="DU442" s="108"/>
      <c r="DV442" s="182"/>
      <c r="DW442" s="182"/>
      <c r="DX442" s="182"/>
      <c r="DY442" s="182"/>
      <c r="DZ442" s="182"/>
      <c r="EA442" s="182"/>
      <c r="EB442" s="2"/>
      <c r="EC442" s="2"/>
      <c r="ED442" s="2"/>
      <c r="EE442" s="2"/>
      <c r="EF442" s="2"/>
      <c r="EG442" s="449"/>
      <c r="EH442" s="428"/>
      <c r="EI442" s="428"/>
    </row>
    <row r="443" ht="15.75" customHeight="1">
      <c r="A443" s="1">
        <v>438.0</v>
      </c>
      <c r="B443" s="2" t="s">
        <v>3983</v>
      </c>
      <c r="C443" s="7"/>
      <c r="D443" s="167" t="s">
        <v>3984</v>
      </c>
      <c r="E443" s="5"/>
      <c r="F443" s="168"/>
      <c r="G443" s="7"/>
      <c r="H443" s="8" t="s">
        <v>3985</v>
      </c>
      <c r="I443" s="9" t="s">
        <v>3986</v>
      </c>
      <c r="J443" s="355" t="str">
        <f>image("https://archives.bulbagarden.net/media/upload/c/cc/438MS6.png", 3)</f>
        <v/>
      </c>
      <c r="K443" s="11" t="s">
        <v>3984</v>
      </c>
      <c r="L443" s="12"/>
      <c r="M443" s="12"/>
      <c r="N443" s="12"/>
      <c r="O443" s="12"/>
      <c r="Q443" s="71">
        <v>50.0</v>
      </c>
      <c r="R443" s="72">
        <v>80.0</v>
      </c>
      <c r="S443" s="73">
        <v>95.0</v>
      </c>
      <c r="T443" s="74">
        <v>10.0</v>
      </c>
      <c r="U443" s="75">
        <v>45.0</v>
      </c>
      <c r="V443" s="76">
        <v>10.0</v>
      </c>
      <c r="W443" s="77">
        <v>290.0</v>
      </c>
      <c r="X443" s="21"/>
      <c r="Y443" s="71">
        <v>50.0</v>
      </c>
      <c r="Z443" s="72">
        <v>80.0</v>
      </c>
      <c r="AA443" s="73">
        <v>95.0</v>
      </c>
      <c r="AB443" s="74">
        <v>10.0</v>
      </c>
      <c r="AC443" s="75">
        <v>45.0</v>
      </c>
      <c r="AD443" s="76">
        <v>10.0</v>
      </c>
      <c r="AE443" s="77">
        <v>290.0</v>
      </c>
      <c r="AF443" s="21"/>
      <c r="AG443" s="261">
        <v>60.0</v>
      </c>
      <c r="AH443" s="109">
        <v>85.0</v>
      </c>
      <c r="AI443" s="73">
        <v>95.0</v>
      </c>
      <c r="AJ443" s="74">
        <v>10.0</v>
      </c>
      <c r="AK443" s="109">
        <v>55.0</v>
      </c>
      <c r="AL443" s="76">
        <v>10.0</v>
      </c>
      <c r="AM443" s="110">
        <v>315.0</v>
      </c>
      <c r="AN443" s="21"/>
      <c r="AO443" s="22" t="s">
        <v>77</v>
      </c>
      <c r="AP443" s="23" t="s">
        <v>1621</v>
      </c>
      <c r="AQ443" s="23">
        <v>95.0</v>
      </c>
      <c r="AR443" s="23">
        <v>10.0</v>
      </c>
      <c r="AS443" s="23" t="s">
        <v>507</v>
      </c>
      <c r="AT443" s="23">
        <v>10.0</v>
      </c>
      <c r="AU443" s="24" t="s">
        <v>2261</v>
      </c>
      <c r="AV443" s="21"/>
      <c r="AW443" s="111">
        <v>60.0</v>
      </c>
      <c r="AX443" s="171">
        <v>85.0</v>
      </c>
      <c r="AY443" s="79">
        <v>95.0</v>
      </c>
      <c r="AZ443" s="80">
        <v>10.0</v>
      </c>
      <c r="BA443" s="111">
        <v>55.0</v>
      </c>
      <c r="BB443" s="80">
        <v>10.0</v>
      </c>
      <c r="BC443" s="111">
        <v>315.0</v>
      </c>
      <c r="BE443" s="142" t="s">
        <v>101</v>
      </c>
      <c r="BF443" s="143"/>
      <c r="BG443" s="128"/>
      <c r="BI443" s="31" t="s">
        <v>5</v>
      </c>
      <c r="BJ443" s="32" t="s">
        <v>5</v>
      </c>
      <c r="BK443" s="32">
        <v>1.0</v>
      </c>
      <c r="BL443" s="32" t="s">
        <v>5</v>
      </c>
      <c r="BM443" s="32" t="s">
        <v>5</v>
      </c>
      <c r="BN443" s="33" t="s">
        <v>5</v>
      </c>
      <c r="BP443" s="115" t="s">
        <v>66</v>
      </c>
      <c r="BQ443" s="93"/>
      <c r="BS443" s="115" t="s">
        <v>66</v>
      </c>
      <c r="BT443" s="309"/>
      <c r="BU443" s="37" t="str">
        <f t="shared" si="1"/>
        <v>#NAME?</v>
      </c>
      <c r="BV443" s="89" t="s">
        <v>66</v>
      </c>
      <c r="BW443" s="37" t="str">
        <f t="shared" si="2"/>
        <v>#NAME?</v>
      </c>
      <c r="BX443" s="89"/>
      <c r="BY443" s="134"/>
      <c r="BZ443" s="134"/>
      <c r="CA443" s="135" t="s">
        <v>66</v>
      </c>
      <c r="CB443" s="136"/>
      <c r="CC443" s="90" t="s">
        <v>66</v>
      </c>
      <c r="CD443" s="137"/>
      <c r="CE443" s="21"/>
      <c r="CF443" s="92" t="s">
        <v>825</v>
      </c>
      <c r="CG443" s="93" t="s">
        <v>824</v>
      </c>
      <c r="CH443" s="21"/>
      <c r="CI443" s="461" t="s">
        <v>824</v>
      </c>
      <c r="CJ443" s="238" t="s">
        <v>825</v>
      </c>
      <c r="CK443" s="21"/>
      <c r="CL443" s="22" t="s">
        <v>1165</v>
      </c>
      <c r="CM443" s="12"/>
      <c r="CN443" s="48"/>
      <c r="CO443" s="239" t="s">
        <v>825</v>
      </c>
      <c r="CP443" s="21"/>
      <c r="CQ443" s="2" t="s">
        <v>913</v>
      </c>
      <c r="CR443" s="97">
        <v>40.0</v>
      </c>
      <c r="CS443" s="2" t="s">
        <v>101</v>
      </c>
      <c r="CT443" s="98">
        <v>68.0</v>
      </c>
      <c r="CU443" s="2"/>
      <c r="CV443" s="52" t="s">
        <v>149</v>
      </c>
      <c r="CW443" s="52" t="s">
        <v>149</v>
      </c>
      <c r="CX443" s="2"/>
      <c r="CY443" s="119" t="s">
        <v>411</v>
      </c>
      <c r="CZ443" s="160"/>
      <c r="DA443" s="2"/>
      <c r="DB443" s="98">
        <v>255.0</v>
      </c>
      <c r="DC443" s="2"/>
      <c r="DD443" s="101" t="s">
        <v>150</v>
      </c>
      <c r="DE443" s="2"/>
      <c r="DF443" s="148" t="s">
        <v>3987</v>
      </c>
      <c r="DG443" s="160"/>
      <c r="DH443" s="160"/>
      <c r="DI443" s="21"/>
      <c r="DJ443" s="21"/>
      <c r="DK443" s="59" t="s">
        <v>3988</v>
      </c>
      <c r="DL443" s="37" t="s">
        <v>6</v>
      </c>
      <c r="DM443" s="37" t="str">
        <f t="shared" si="3"/>
        <v>#NAME?</v>
      </c>
      <c r="DN443" s="61"/>
      <c r="DO443" s="37" t="s">
        <v>19</v>
      </c>
      <c r="DP443" s="105">
        <v>1.0</v>
      </c>
      <c r="DQ443" s="62" t="s">
        <v>93</v>
      </c>
      <c r="DR443" s="63"/>
      <c r="DS443" s="198"/>
      <c r="DT443" s="108"/>
      <c r="DU443" s="108"/>
      <c r="DV443" s="182"/>
      <c r="DW443" s="182"/>
      <c r="DX443" s="182"/>
      <c r="DY443" s="182"/>
      <c r="DZ443" s="182"/>
      <c r="EA443" s="182"/>
      <c r="EB443" s="21"/>
      <c r="EC443" s="21"/>
      <c r="ED443" s="21"/>
      <c r="EE443" s="21"/>
      <c r="EF443" s="21"/>
      <c r="EG443" s="108"/>
      <c r="EH443" s="442"/>
      <c r="EI443" s="442"/>
    </row>
    <row r="444" ht="15.75" customHeight="1">
      <c r="A444" s="1">
        <v>439.0</v>
      </c>
      <c r="B444" s="2" t="s">
        <v>3989</v>
      </c>
      <c r="C444" s="7"/>
      <c r="D444" s="213" t="s">
        <v>3990</v>
      </c>
      <c r="E444" s="5"/>
      <c r="F444" s="214"/>
      <c r="G444" s="7"/>
      <c r="H444" s="8" t="s">
        <v>3991</v>
      </c>
      <c r="I444" s="9" t="s">
        <v>3992</v>
      </c>
      <c r="J444" s="355" t="str">
        <f>image("https://archives.bulbagarden.net/media/upload/2/29/439MS6.png", 3)</f>
        <v/>
      </c>
      <c r="K444" s="11" t="s">
        <v>3990</v>
      </c>
      <c r="L444" s="12"/>
      <c r="M444" s="12"/>
      <c r="N444" s="12"/>
      <c r="O444" s="12"/>
      <c r="Q444" s="71">
        <v>20.0</v>
      </c>
      <c r="R444" s="72">
        <v>25.0</v>
      </c>
      <c r="S444" s="73">
        <v>45.0</v>
      </c>
      <c r="T444" s="74">
        <v>70.0</v>
      </c>
      <c r="U444" s="75">
        <v>90.0</v>
      </c>
      <c r="V444" s="76">
        <v>60.0</v>
      </c>
      <c r="W444" s="77">
        <v>310.0</v>
      </c>
      <c r="X444" s="21"/>
      <c r="Y444" s="71">
        <v>20.0</v>
      </c>
      <c r="Z444" s="72">
        <v>25.0</v>
      </c>
      <c r="AA444" s="73">
        <v>45.0</v>
      </c>
      <c r="AB444" s="74">
        <v>70.0</v>
      </c>
      <c r="AC444" s="75">
        <v>90.0</v>
      </c>
      <c r="AD444" s="76">
        <v>60.0</v>
      </c>
      <c r="AE444" s="77">
        <v>310.0</v>
      </c>
      <c r="AF444" s="21"/>
      <c r="AG444" s="71">
        <v>20.0</v>
      </c>
      <c r="AH444" s="162">
        <v>15.0</v>
      </c>
      <c r="AI444" s="73">
        <v>45.0</v>
      </c>
      <c r="AJ444" s="109">
        <v>80.0</v>
      </c>
      <c r="AK444" s="75">
        <v>90.0</v>
      </c>
      <c r="AL444" s="109">
        <v>65.0</v>
      </c>
      <c r="AM444" s="110">
        <v>315.0</v>
      </c>
      <c r="AN444" s="21"/>
      <c r="AO444" s="22">
        <v>20.0</v>
      </c>
      <c r="AP444" s="23" t="s">
        <v>135</v>
      </c>
      <c r="AQ444" s="23">
        <v>45.0</v>
      </c>
      <c r="AR444" s="23" t="s">
        <v>337</v>
      </c>
      <c r="AS444" s="23">
        <v>90.0</v>
      </c>
      <c r="AT444" s="23" t="s">
        <v>247</v>
      </c>
      <c r="AU444" s="24" t="s">
        <v>2261</v>
      </c>
      <c r="AV444" s="21"/>
      <c r="AW444" s="265">
        <v>20.0</v>
      </c>
      <c r="AX444" s="163">
        <v>15.0</v>
      </c>
      <c r="AY444" s="79">
        <v>45.0</v>
      </c>
      <c r="AZ444" s="111">
        <v>80.0</v>
      </c>
      <c r="BA444" s="124">
        <v>90.0</v>
      </c>
      <c r="BB444" s="111">
        <v>65.0</v>
      </c>
      <c r="BC444" s="227">
        <v>315.0</v>
      </c>
      <c r="BE444" s="225" t="s">
        <v>27</v>
      </c>
      <c r="BF444" s="447"/>
      <c r="BG444" s="128"/>
      <c r="BI444" s="31" t="s">
        <v>5</v>
      </c>
      <c r="BJ444" s="32" t="s">
        <v>5</v>
      </c>
      <c r="BK444" s="32" t="s">
        <v>5</v>
      </c>
      <c r="BL444" s="32" t="s">
        <v>5</v>
      </c>
      <c r="BM444" s="32">
        <v>1.0</v>
      </c>
      <c r="BN444" s="33" t="s">
        <v>5</v>
      </c>
      <c r="BP444" s="85" t="s">
        <v>122</v>
      </c>
      <c r="BQ444" s="129"/>
      <c r="BS444" s="287" t="s">
        <v>122</v>
      </c>
      <c r="BT444" s="288" t="s">
        <v>153</v>
      </c>
      <c r="BU444" s="37" t="str">
        <f t="shared" si="1"/>
        <v>#NAME?</v>
      </c>
      <c r="BV444" s="89" t="s">
        <v>122</v>
      </c>
      <c r="BW444" s="37" t="str">
        <f t="shared" si="2"/>
        <v>#NAME?</v>
      </c>
      <c r="BX444" s="89" t="s">
        <v>461</v>
      </c>
      <c r="BY444" s="39"/>
      <c r="BZ444" s="39"/>
      <c r="CA444" s="40" t="s">
        <v>1275</v>
      </c>
      <c r="CB444" s="41"/>
      <c r="CC444" s="37" t="s">
        <v>122</v>
      </c>
      <c r="CD444" s="139" t="s">
        <v>153</v>
      </c>
      <c r="CE444" s="21"/>
      <c r="CF444" s="92" t="s">
        <v>1067</v>
      </c>
      <c r="CG444" s="93" t="s">
        <v>1276</v>
      </c>
      <c r="CH444" s="21"/>
      <c r="CI444" s="462" t="s">
        <v>1276</v>
      </c>
      <c r="CJ444" s="463" t="s">
        <v>627</v>
      </c>
      <c r="CK444" s="21"/>
      <c r="CL444" s="22" t="s">
        <v>1277</v>
      </c>
      <c r="CM444" s="12"/>
      <c r="CN444" s="48"/>
      <c r="CO444" s="360" t="s">
        <v>1278</v>
      </c>
      <c r="CP444" s="21"/>
      <c r="CQ444" s="2" t="s">
        <v>28</v>
      </c>
      <c r="CR444" s="97">
        <v>40.0</v>
      </c>
      <c r="CS444" s="2" t="s">
        <v>27</v>
      </c>
      <c r="CT444" s="98">
        <v>78.0</v>
      </c>
      <c r="CU444" s="2"/>
      <c r="CV444" s="52" t="s">
        <v>149</v>
      </c>
      <c r="CW444" s="52" t="s">
        <v>149</v>
      </c>
      <c r="CX444" s="2"/>
      <c r="CY444" s="444" t="s">
        <v>411</v>
      </c>
      <c r="CZ444" s="450"/>
      <c r="DA444" s="2"/>
      <c r="DB444" s="98">
        <v>145.0</v>
      </c>
      <c r="DC444" s="2"/>
      <c r="DD444" s="101" t="s">
        <v>150</v>
      </c>
      <c r="DE444" s="2"/>
      <c r="DF444" s="448" t="s">
        <v>3993</v>
      </c>
      <c r="DG444" s="450"/>
      <c r="DH444" s="450"/>
      <c r="DI444" s="21"/>
      <c r="DJ444" s="21"/>
      <c r="DK444" s="59" t="s">
        <v>3994</v>
      </c>
      <c r="DL444" s="37" t="s">
        <v>66</v>
      </c>
      <c r="DM444" s="37" t="str">
        <f t="shared" si="3"/>
        <v>#NAME?</v>
      </c>
      <c r="DN444" s="61"/>
      <c r="DO444" s="37" t="s">
        <v>19</v>
      </c>
      <c r="DP444" s="37" t="s">
        <v>19</v>
      </c>
      <c r="DQ444" s="62" t="s">
        <v>20</v>
      </c>
      <c r="DR444" s="63"/>
      <c r="DS444" s="198"/>
      <c r="DT444" s="108"/>
      <c r="DU444" s="108"/>
      <c r="DV444" s="182"/>
      <c r="DW444" s="182"/>
      <c r="DX444" s="182"/>
      <c r="DY444" s="182"/>
      <c r="DZ444" s="182"/>
      <c r="EA444" s="182"/>
      <c r="EB444" s="21"/>
      <c r="EC444" s="21"/>
      <c r="ED444" s="21"/>
      <c r="EE444" s="21"/>
      <c r="EF444" s="21"/>
      <c r="EG444" s="108"/>
      <c r="EH444" s="442"/>
      <c r="EI444" s="442"/>
    </row>
    <row r="445" ht="15.75" customHeight="1">
      <c r="A445" s="1">
        <v>440.0</v>
      </c>
      <c r="B445" s="2" t="s">
        <v>3995</v>
      </c>
      <c r="C445" s="7"/>
      <c r="D445" s="213" t="s">
        <v>3996</v>
      </c>
      <c r="E445" s="5"/>
      <c r="F445" s="214"/>
      <c r="G445" s="7"/>
      <c r="H445" s="8" t="s">
        <v>3997</v>
      </c>
      <c r="I445" s="9" t="s">
        <v>3998</v>
      </c>
      <c r="J445" s="355" t="str">
        <f>image("https://archives.bulbagarden.net/media/upload/9/92/440MS6.png", 3)</f>
        <v/>
      </c>
      <c r="K445" s="11" t="s">
        <v>3996</v>
      </c>
      <c r="L445" s="12"/>
      <c r="M445" s="12"/>
      <c r="N445" s="12"/>
      <c r="O445" s="12"/>
      <c r="Q445" s="71">
        <v>100.0</v>
      </c>
      <c r="R445" s="72">
        <v>5.0</v>
      </c>
      <c r="S445" s="73">
        <v>5.0</v>
      </c>
      <c r="T445" s="74">
        <v>15.0</v>
      </c>
      <c r="U445" s="75">
        <v>65.0</v>
      </c>
      <c r="V445" s="76">
        <v>30.0</v>
      </c>
      <c r="W445" s="77">
        <v>220.0</v>
      </c>
      <c r="X445" s="21"/>
      <c r="Y445" s="71">
        <v>100.0</v>
      </c>
      <c r="Z445" s="72">
        <v>5.0</v>
      </c>
      <c r="AA445" s="73">
        <v>5.0</v>
      </c>
      <c r="AB445" s="74">
        <v>15.0</v>
      </c>
      <c r="AC445" s="75">
        <v>65.0</v>
      </c>
      <c r="AD445" s="76">
        <v>30.0</v>
      </c>
      <c r="AE445" s="77">
        <v>220.0</v>
      </c>
      <c r="AF445" s="21"/>
      <c r="AG445" s="71">
        <v>100.0</v>
      </c>
      <c r="AH445" s="72">
        <v>5.0</v>
      </c>
      <c r="AI445" s="73">
        <v>5.0</v>
      </c>
      <c r="AJ445" s="74">
        <v>15.0</v>
      </c>
      <c r="AK445" s="75">
        <v>65.0</v>
      </c>
      <c r="AL445" s="76">
        <v>30.0</v>
      </c>
      <c r="AM445" s="77">
        <v>220.0</v>
      </c>
      <c r="AN445" s="21"/>
      <c r="AO445" s="22">
        <v>100.0</v>
      </c>
      <c r="AP445" s="23">
        <v>5.0</v>
      </c>
      <c r="AQ445" s="23">
        <v>5.0</v>
      </c>
      <c r="AR445" s="23">
        <v>15.0</v>
      </c>
      <c r="AS445" s="23">
        <v>65.0</v>
      </c>
      <c r="AT445" s="23">
        <v>30.0</v>
      </c>
      <c r="AU445" s="24">
        <v>220.0</v>
      </c>
      <c r="AV445" s="21"/>
      <c r="AW445" s="258">
        <v>100.0</v>
      </c>
      <c r="AX445" s="182">
        <v>5.0</v>
      </c>
      <c r="AY445" s="80">
        <v>5.0</v>
      </c>
      <c r="AZ445" s="182">
        <v>15.0</v>
      </c>
      <c r="BA445" s="80">
        <v>65.0</v>
      </c>
      <c r="BB445" s="182">
        <v>30.0</v>
      </c>
      <c r="BC445" s="183">
        <v>220.0</v>
      </c>
      <c r="BE445" s="151" t="s">
        <v>144</v>
      </c>
      <c r="BF445" s="143"/>
      <c r="BG445" s="128"/>
      <c r="BI445" s="31">
        <v>1.0</v>
      </c>
      <c r="BJ445" s="32" t="s">
        <v>5</v>
      </c>
      <c r="BK445" s="32" t="s">
        <v>5</v>
      </c>
      <c r="BL445" s="32" t="s">
        <v>5</v>
      </c>
      <c r="BM445" s="32" t="s">
        <v>5</v>
      </c>
      <c r="BN445" s="33" t="s">
        <v>5</v>
      </c>
      <c r="BP445" s="115" t="s">
        <v>156</v>
      </c>
      <c r="BQ445" s="93"/>
      <c r="BS445" s="115" t="s">
        <v>156</v>
      </c>
      <c r="BT445" s="363"/>
      <c r="BU445" s="37" t="str">
        <f t="shared" si="1"/>
        <v>#NAME?</v>
      </c>
      <c r="BV445" s="89" t="s">
        <v>156</v>
      </c>
      <c r="BW445" s="37" t="str">
        <f t="shared" si="2"/>
        <v>#NAME?</v>
      </c>
      <c r="BX445" s="89"/>
      <c r="BY445" s="144"/>
      <c r="BZ445" s="144"/>
      <c r="CA445" s="145" t="s">
        <v>156</v>
      </c>
      <c r="CB445" s="146"/>
      <c r="CC445" s="90" t="s">
        <v>156</v>
      </c>
      <c r="CD445" s="147"/>
      <c r="CE445" s="21"/>
      <c r="CF445" s="92" t="s">
        <v>1182</v>
      </c>
      <c r="CG445" s="93" t="s">
        <v>1183</v>
      </c>
      <c r="CH445" s="21"/>
      <c r="CI445" s="274" t="s">
        <v>1183</v>
      </c>
      <c r="CJ445" s="241" t="s">
        <v>1182</v>
      </c>
      <c r="CK445" s="21"/>
      <c r="CL445" s="22" t="s">
        <v>1184</v>
      </c>
      <c r="CM445" s="12"/>
      <c r="CN445" s="48"/>
      <c r="CO445" s="242" t="s">
        <v>1182</v>
      </c>
      <c r="CP445" s="21"/>
      <c r="CQ445" s="2" t="s">
        <v>3999</v>
      </c>
      <c r="CR445" s="97">
        <v>40.0</v>
      </c>
      <c r="CS445" s="2" t="s">
        <v>144</v>
      </c>
      <c r="CT445" s="98">
        <v>255.0</v>
      </c>
      <c r="CU445" s="2"/>
      <c r="CV445" s="202">
        <v>0.0</v>
      </c>
      <c r="CW445" s="52" t="s">
        <v>397</v>
      </c>
      <c r="CX445" s="2"/>
      <c r="CY445" s="119" t="s">
        <v>411</v>
      </c>
      <c r="CZ445" s="160"/>
      <c r="DA445" s="2"/>
      <c r="DB445" s="98">
        <v>130.0</v>
      </c>
      <c r="DC445" s="2"/>
      <c r="DD445" s="101" t="s">
        <v>468</v>
      </c>
      <c r="DE445" s="2"/>
      <c r="DF445" s="148" t="s">
        <v>4000</v>
      </c>
      <c r="DG445" s="409" t="s">
        <v>4001</v>
      </c>
      <c r="DH445" s="160"/>
      <c r="DI445" s="21"/>
      <c r="DJ445" s="21"/>
      <c r="DK445" s="59" t="s">
        <v>4002</v>
      </c>
      <c r="DL445" s="37" t="s">
        <v>156</v>
      </c>
      <c r="DM445" s="37" t="str">
        <f t="shared" si="3"/>
        <v>#NAME?</v>
      </c>
      <c r="DN445" s="61"/>
      <c r="DO445" s="37" t="s">
        <v>19</v>
      </c>
      <c r="DP445" s="37" t="s">
        <v>19</v>
      </c>
      <c r="DQ445" s="62" t="s">
        <v>20</v>
      </c>
      <c r="DR445" s="63"/>
      <c r="DS445" s="198"/>
      <c r="DT445" s="108"/>
      <c r="DU445" s="108"/>
      <c r="DV445" s="182"/>
      <c r="DW445" s="182"/>
      <c r="DX445" s="182"/>
      <c r="DY445" s="182"/>
      <c r="DZ445" s="182"/>
      <c r="EA445" s="182"/>
      <c r="EB445" s="21"/>
      <c r="EC445" s="21"/>
      <c r="ED445" s="21"/>
      <c r="EE445" s="21"/>
      <c r="EF445" s="21"/>
      <c r="EG445" s="108"/>
      <c r="EH445" s="442"/>
      <c r="EI445" s="442"/>
    </row>
    <row r="446" ht="15.75" customHeight="1">
      <c r="A446" s="1">
        <v>441.0</v>
      </c>
      <c r="B446" s="2" t="s">
        <v>4003</v>
      </c>
      <c r="C446" s="7"/>
      <c r="D446" s="295" t="s">
        <v>4004</v>
      </c>
      <c r="E446" s="5"/>
      <c r="F446" s="296"/>
      <c r="G446" s="7"/>
      <c r="H446" s="8" t="s">
        <v>4005</v>
      </c>
      <c r="I446" s="9" t="s">
        <v>4006</v>
      </c>
      <c r="J446" s="355" t="str">
        <f>image("https://archives.bulbagarden.net/media/upload/f/f6/441MS6.png", 3)</f>
        <v/>
      </c>
      <c r="K446" s="11" t="s">
        <v>4004</v>
      </c>
      <c r="L446" s="12"/>
      <c r="M446" s="12"/>
      <c r="N446" s="12"/>
      <c r="O446" s="12"/>
      <c r="Q446" s="71">
        <v>76.0</v>
      </c>
      <c r="R446" s="72">
        <v>65.0</v>
      </c>
      <c r="S446" s="73">
        <v>45.0</v>
      </c>
      <c r="T446" s="74">
        <v>92.0</v>
      </c>
      <c r="U446" s="75">
        <v>42.0</v>
      </c>
      <c r="V446" s="76">
        <v>91.0</v>
      </c>
      <c r="W446" s="77">
        <v>411.0</v>
      </c>
      <c r="X446" s="21"/>
      <c r="Y446" s="71">
        <v>76.0</v>
      </c>
      <c r="Z446" s="72">
        <v>65.0</v>
      </c>
      <c r="AA446" s="73">
        <v>45.0</v>
      </c>
      <c r="AB446" s="74">
        <v>92.0</v>
      </c>
      <c r="AC446" s="75">
        <v>42.0</v>
      </c>
      <c r="AD446" s="76">
        <v>91.0</v>
      </c>
      <c r="AE446" s="77">
        <v>411.0</v>
      </c>
      <c r="AF446" s="21"/>
      <c r="AG446" s="411">
        <v>75.0</v>
      </c>
      <c r="AH446" s="162">
        <v>45.0</v>
      </c>
      <c r="AI446" s="109">
        <v>55.0</v>
      </c>
      <c r="AJ446" s="109">
        <v>110.0</v>
      </c>
      <c r="AK446" s="109">
        <v>55.0</v>
      </c>
      <c r="AL446" s="109">
        <v>110.0</v>
      </c>
      <c r="AM446" s="110">
        <v>450.0</v>
      </c>
      <c r="AN446" s="21"/>
      <c r="AO446" s="22" t="s">
        <v>4007</v>
      </c>
      <c r="AP446" s="23" t="s">
        <v>174</v>
      </c>
      <c r="AQ446" s="23" t="s">
        <v>507</v>
      </c>
      <c r="AR446" s="23" t="s">
        <v>40</v>
      </c>
      <c r="AS446" s="23" t="s">
        <v>507</v>
      </c>
      <c r="AT446" s="23" t="s">
        <v>40</v>
      </c>
      <c r="AU446" s="24" t="s">
        <v>176</v>
      </c>
      <c r="AV446" s="21"/>
      <c r="AW446" s="163">
        <v>75.0</v>
      </c>
      <c r="AX446" s="163">
        <v>45.0</v>
      </c>
      <c r="AY446" s="164">
        <v>55.0</v>
      </c>
      <c r="AZ446" s="111">
        <v>110.0</v>
      </c>
      <c r="BA446" s="111">
        <v>55.0</v>
      </c>
      <c r="BB446" s="111">
        <v>110.0</v>
      </c>
      <c r="BC446" s="111">
        <v>450.0</v>
      </c>
      <c r="BE446" s="194" t="s">
        <v>325</v>
      </c>
      <c r="BF446" s="447"/>
      <c r="BG446" s="128"/>
      <c r="BI446" s="31" t="s">
        <v>5</v>
      </c>
      <c r="BJ446" s="32">
        <v>1.0</v>
      </c>
      <c r="BK446" s="32" t="s">
        <v>5</v>
      </c>
      <c r="BL446" s="32" t="s">
        <v>5</v>
      </c>
      <c r="BM446" s="32" t="s">
        <v>5</v>
      </c>
      <c r="BN446" s="33" t="s">
        <v>5</v>
      </c>
      <c r="BP446" s="85" t="s">
        <v>156</v>
      </c>
      <c r="BQ446" s="86" t="s">
        <v>18</v>
      </c>
      <c r="BS446" s="87" t="s">
        <v>156</v>
      </c>
      <c r="BT446" s="88" t="s">
        <v>18</v>
      </c>
      <c r="BU446" s="37" t="str">
        <f t="shared" si="1"/>
        <v>#NAME?</v>
      </c>
      <c r="BV446" s="89" t="s">
        <v>156</v>
      </c>
      <c r="BW446" s="37" t="str">
        <f t="shared" si="2"/>
        <v>#NAME?</v>
      </c>
      <c r="BX446" s="89" t="s">
        <v>18</v>
      </c>
      <c r="BY446" s="39"/>
      <c r="BZ446" s="39"/>
      <c r="CA446" s="40" t="s">
        <v>234</v>
      </c>
      <c r="CB446" s="41"/>
      <c r="CC446" s="90" t="s">
        <v>156</v>
      </c>
      <c r="CD446" s="91" t="s">
        <v>18</v>
      </c>
      <c r="CE446" s="2"/>
      <c r="CF446" s="92" t="s">
        <v>235</v>
      </c>
      <c r="CG446" s="93" t="s">
        <v>236</v>
      </c>
      <c r="CH446" s="2"/>
      <c r="CI446" s="175" t="s">
        <v>235</v>
      </c>
      <c r="CJ446" s="195" t="s">
        <v>236</v>
      </c>
      <c r="CK446" s="2"/>
      <c r="CL446" s="22" t="s">
        <v>3764</v>
      </c>
      <c r="CM446" s="12"/>
      <c r="CN446" s="48"/>
      <c r="CO446" s="196" t="s">
        <v>236</v>
      </c>
      <c r="CP446" s="2"/>
      <c r="CQ446" s="2" t="s">
        <v>3152</v>
      </c>
      <c r="CR446" s="97">
        <v>20.0</v>
      </c>
      <c r="CS446" s="2" t="s">
        <v>325</v>
      </c>
      <c r="CT446" s="98">
        <v>107.0</v>
      </c>
      <c r="CU446" s="2"/>
      <c r="CV446" s="52" t="s">
        <v>149</v>
      </c>
      <c r="CW446" s="52" t="s">
        <v>149</v>
      </c>
      <c r="CX446" s="2"/>
      <c r="CY446" s="444" t="s">
        <v>18</v>
      </c>
      <c r="CZ446" s="450"/>
      <c r="DA446" s="2"/>
      <c r="DB446" s="98">
        <v>30.0</v>
      </c>
      <c r="DC446" s="2"/>
      <c r="DD446" s="101" t="s">
        <v>15</v>
      </c>
      <c r="DE446" s="2"/>
      <c r="DF446" s="445" t="s">
        <v>914</v>
      </c>
      <c r="DG446" s="459" t="s">
        <v>3697</v>
      </c>
      <c r="DH446" s="450"/>
      <c r="DI446" s="2"/>
      <c r="DJ446" s="2"/>
      <c r="DK446" s="59" t="s">
        <v>4008</v>
      </c>
      <c r="DL446" s="37" t="s">
        <v>109</v>
      </c>
      <c r="DM446" s="37" t="str">
        <f t="shared" si="3"/>
        <v>#NAME?</v>
      </c>
      <c r="DN446" s="61"/>
      <c r="DO446" s="37" t="s">
        <v>19</v>
      </c>
      <c r="DP446" s="105">
        <v>0.95</v>
      </c>
      <c r="DQ446" s="62" t="s">
        <v>702</v>
      </c>
      <c r="DR446" s="63"/>
      <c r="DS446" s="198"/>
      <c r="DT446" s="108"/>
      <c r="DU446" s="108"/>
      <c r="DV446" s="182"/>
      <c r="DW446" s="182"/>
      <c r="DX446" s="182"/>
      <c r="DY446" s="182"/>
      <c r="DZ446" s="182"/>
      <c r="EA446" s="182"/>
      <c r="EB446" s="2"/>
      <c r="EC446" s="2"/>
      <c r="ED446" s="2"/>
      <c r="EE446" s="2"/>
      <c r="EF446" s="2"/>
      <c r="EG446" s="449"/>
      <c r="EH446" s="428"/>
      <c r="EI446" s="428"/>
    </row>
    <row r="447" ht="15.75" customHeight="1">
      <c r="A447" s="1">
        <v>442.0</v>
      </c>
      <c r="B447" s="2" t="s">
        <v>4009</v>
      </c>
      <c r="C447" s="7"/>
      <c r="D447" s="180" t="s">
        <v>4010</v>
      </c>
      <c r="E447" s="5"/>
      <c r="F447" s="181"/>
      <c r="G447" s="7"/>
      <c r="H447" s="8" t="s">
        <v>4011</v>
      </c>
      <c r="I447" s="9" t="s">
        <v>4012</v>
      </c>
      <c r="J447" s="355" t="str">
        <f>image("https://archives.bulbagarden.net/media/upload/6/61/442MS6.png", 3)</f>
        <v/>
      </c>
      <c r="K447" s="11" t="s">
        <v>4010</v>
      </c>
      <c r="L447" s="12"/>
      <c r="M447" s="12"/>
      <c r="N447" s="12"/>
      <c r="O447" s="12"/>
      <c r="Q447" s="71">
        <v>50.0</v>
      </c>
      <c r="R447" s="72">
        <v>92.0</v>
      </c>
      <c r="S447" s="73">
        <v>108.0</v>
      </c>
      <c r="T447" s="74">
        <v>92.0</v>
      </c>
      <c r="U447" s="75">
        <v>108.0</v>
      </c>
      <c r="V447" s="76">
        <v>35.0</v>
      </c>
      <c r="W447" s="77">
        <v>485.0</v>
      </c>
      <c r="X447" s="21"/>
      <c r="Y447" s="71">
        <v>50.0</v>
      </c>
      <c r="Z447" s="72">
        <v>92.0</v>
      </c>
      <c r="AA447" s="73">
        <v>108.0</v>
      </c>
      <c r="AB447" s="74">
        <v>92.0</v>
      </c>
      <c r="AC447" s="75">
        <v>108.0</v>
      </c>
      <c r="AD447" s="76">
        <v>35.0</v>
      </c>
      <c r="AE447" s="77">
        <v>485.0</v>
      </c>
      <c r="AF447" s="21"/>
      <c r="AG447" s="71">
        <v>50.0</v>
      </c>
      <c r="AH447" s="72">
        <v>92.0</v>
      </c>
      <c r="AI447" s="73">
        <v>108.0</v>
      </c>
      <c r="AJ447" s="74">
        <v>92.0</v>
      </c>
      <c r="AK447" s="75">
        <v>108.0</v>
      </c>
      <c r="AL447" s="76">
        <v>35.0</v>
      </c>
      <c r="AM447" s="77">
        <v>485.0</v>
      </c>
      <c r="AN447" s="21"/>
      <c r="AO447" s="22">
        <v>50.0</v>
      </c>
      <c r="AP447" s="23">
        <v>92.0</v>
      </c>
      <c r="AQ447" s="23">
        <v>108.0</v>
      </c>
      <c r="AR447" s="23">
        <v>92.0</v>
      </c>
      <c r="AS447" s="23">
        <v>108.0</v>
      </c>
      <c r="AT447" s="23">
        <v>35.0</v>
      </c>
      <c r="AU447" s="24">
        <v>485.0</v>
      </c>
      <c r="AV447" s="21"/>
      <c r="AW447" s="265">
        <v>50.0</v>
      </c>
      <c r="AX447" s="124">
        <v>92.0</v>
      </c>
      <c r="AY447" s="124">
        <v>108.0</v>
      </c>
      <c r="AZ447" s="124">
        <v>92.0</v>
      </c>
      <c r="BA447" s="124">
        <v>108.0</v>
      </c>
      <c r="BB447" s="124">
        <v>35.0</v>
      </c>
      <c r="BC447" s="125">
        <v>485.0</v>
      </c>
      <c r="BE447" s="142" t="s">
        <v>101</v>
      </c>
      <c r="BF447" s="83" t="s">
        <v>27</v>
      </c>
      <c r="BG447" s="210"/>
      <c r="BI447" s="31" t="s">
        <v>5</v>
      </c>
      <c r="BJ447" s="32" t="s">
        <v>5</v>
      </c>
      <c r="BK447" s="32">
        <v>1.0</v>
      </c>
      <c r="BL447" s="32" t="s">
        <v>5</v>
      </c>
      <c r="BM447" s="32">
        <v>1.0</v>
      </c>
      <c r="BN447" s="33" t="s">
        <v>5</v>
      </c>
      <c r="BP447" s="115" t="s">
        <v>92</v>
      </c>
      <c r="BQ447" s="116" t="s">
        <v>76</v>
      </c>
      <c r="BS447" s="115" t="s">
        <v>92</v>
      </c>
      <c r="BT447" s="117" t="s">
        <v>76</v>
      </c>
      <c r="BU447" s="37" t="str">
        <f t="shared" si="1"/>
        <v>#NAME?</v>
      </c>
      <c r="BV447" s="89" t="s">
        <v>92</v>
      </c>
      <c r="BW447" s="37" t="str">
        <f t="shared" si="2"/>
        <v>#NAME?</v>
      </c>
      <c r="BX447" s="89" t="s">
        <v>76</v>
      </c>
      <c r="BY447" s="39"/>
      <c r="BZ447" s="39"/>
      <c r="CA447" s="40" t="s">
        <v>4013</v>
      </c>
      <c r="CB447" s="41"/>
      <c r="CC447" s="90" t="s">
        <v>92</v>
      </c>
      <c r="CD447" s="91" t="s">
        <v>76</v>
      </c>
      <c r="CE447" s="2"/>
      <c r="CF447" s="92" t="s">
        <v>1447</v>
      </c>
      <c r="CG447" s="93"/>
      <c r="CH447" s="2"/>
      <c r="CI447" s="177" t="s">
        <v>1447</v>
      </c>
      <c r="CJ447" s="93"/>
      <c r="CK447" s="2"/>
      <c r="CL447" s="22" t="s">
        <v>1447</v>
      </c>
      <c r="CM447" s="12"/>
      <c r="CN447" s="48"/>
      <c r="CO447" s="95"/>
      <c r="CP447" s="2"/>
      <c r="CQ447" s="2" t="s">
        <v>3199</v>
      </c>
      <c r="CR447" s="97">
        <v>100.0</v>
      </c>
      <c r="CS447" s="2" t="s">
        <v>117</v>
      </c>
      <c r="CT447" s="98">
        <v>168.0</v>
      </c>
      <c r="CU447" s="2"/>
      <c r="CV447" s="52" t="s">
        <v>149</v>
      </c>
      <c r="CW447" s="52" t="s">
        <v>149</v>
      </c>
      <c r="CX447" s="2"/>
      <c r="CY447" s="119" t="s">
        <v>964</v>
      </c>
      <c r="CZ447" s="160"/>
      <c r="DA447" s="2"/>
      <c r="DB447" s="98">
        <v>100.0</v>
      </c>
      <c r="DC447" s="2"/>
      <c r="DD447" s="101" t="s">
        <v>150</v>
      </c>
      <c r="DE447" s="2"/>
      <c r="DF447" s="120" t="s">
        <v>914</v>
      </c>
      <c r="DG447" s="409" t="s">
        <v>4014</v>
      </c>
      <c r="DH447" s="160"/>
      <c r="DI447" s="2"/>
      <c r="DJ447" s="2"/>
      <c r="DK447" s="59" t="s">
        <v>4015</v>
      </c>
      <c r="DL447" s="37" t="s">
        <v>6</v>
      </c>
      <c r="DM447" s="37" t="str">
        <f t="shared" si="3"/>
        <v>#NAME?</v>
      </c>
      <c r="DN447" s="61"/>
      <c r="DO447" s="37" t="s">
        <v>19</v>
      </c>
      <c r="DP447" s="105">
        <v>0.75</v>
      </c>
      <c r="DQ447" s="62" t="s">
        <v>342</v>
      </c>
      <c r="DR447" s="63"/>
      <c r="DS447" s="198"/>
      <c r="DT447" s="108"/>
      <c r="DU447" s="108"/>
      <c r="DV447" s="182"/>
      <c r="DW447" s="182"/>
      <c r="DX447" s="182"/>
      <c r="DY447" s="182"/>
      <c r="DZ447" s="182"/>
      <c r="EA447" s="182"/>
      <c r="EB447" s="2"/>
      <c r="EC447" s="2"/>
      <c r="ED447" s="2"/>
      <c r="EE447" s="2"/>
      <c r="EF447" s="2"/>
      <c r="EG447" s="449"/>
      <c r="EH447" s="428"/>
      <c r="EI447" s="428"/>
    </row>
    <row r="448" ht="15.75" customHeight="1">
      <c r="A448" s="1">
        <v>443.0</v>
      </c>
      <c r="B448" s="2" t="s">
        <v>4016</v>
      </c>
      <c r="C448" s="7"/>
      <c r="D448" s="140" t="s">
        <v>4017</v>
      </c>
      <c r="E448" s="5"/>
      <c r="F448" s="141"/>
      <c r="G448" s="7"/>
      <c r="H448" s="8" t="s">
        <v>4018</v>
      </c>
      <c r="I448" s="9" t="s">
        <v>4019</v>
      </c>
      <c r="J448" s="355" t="str">
        <f>image("https://archives.bulbagarden.net/media/upload/f/f7/443MS6.png", 3)</f>
        <v/>
      </c>
      <c r="K448" s="11" t="s">
        <v>4017</v>
      </c>
      <c r="L448" s="12"/>
      <c r="M448" s="12"/>
      <c r="N448" s="12"/>
      <c r="O448" s="12"/>
      <c r="Q448" s="71">
        <v>58.0</v>
      </c>
      <c r="R448" s="72">
        <v>70.0</v>
      </c>
      <c r="S448" s="73">
        <v>45.0</v>
      </c>
      <c r="T448" s="74">
        <v>40.0</v>
      </c>
      <c r="U448" s="75">
        <v>45.0</v>
      </c>
      <c r="V448" s="76">
        <v>42.0</v>
      </c>
      <c r="W448" s="77">
        <v>300.0</v>
      </c>
      <c r="X448" s="21"/>
      <c r="Y448" s="71">
        <v>58.0</v>
      </c>
      <c r="Z448" s="72">
        <v>70.0</v>
      </c>
      <c r="AA448" s="73">
        <v>45.0</v>
      </c>
      <c r="AB448" s="74">
        <v>40.0</v>
      </c>
      <c r="AC448" s="75">
        <v>45.0</v>
      </c>
      <c r="AD448" s="76">
        <v>42.0</v>
      </c>
      <c r="AE448" s="77">
        <v>300.0</v>
      </c>
      <c r="AF448" s="21"/>
      <c r="AG448" s="71">
        <v>58.0</v>
      </c>
      <c r="AH448" s="72">
        <v>70.0</v>
      </c>
      <c r="AI448" s="73">
        <v>45.0</v>
      </c>
      <c r="AJ448" s="74">
        <v>40.0</v>
      </c>
      <c r="AK448" s="75">
        <v>45.0</v>
      </c>
      <c r="AL448" s="76">
        <v>42.0</v>
      </c>
      <c r="AM448" s="77">
        <v>300.0</v>
      </c>
      <c r="AN448" s="21"/>
      <c r="AO448" s="22">
        <v>58.0</v>
      </c>
      <c r="AP448" s="23">
        <v>70.0</v>
      </c>
      <c r="AQ448" s="23">
        <v>45.0</v>
      </c>
      <c r="AR448" s="23">
        <v>40.0</v>
      </c>
      <c r="AS448" s="23">
        <v>45.0</v>
      </c>
      <c r="AT448" s="23">
        <v>42.0</v>
      </c>
      <c r="AU448" s="24">
        <v>300.0</v>
      </c>
      <c r="AV448" s="21"/>
      <c r="AW448" s="78">
        <v>58.0</v>
      </c>
      <c r="AX448" s="79">
        <v>70.0</v>
      </c>
      <c r="AY448" s="79">
        <v>45.0</v>
      </c>
      <c r="AZ448" s="79">
        <v>40.0</v>
      </c>
      <c r="BA448" s="79">
        <v>45.0</v>
      </c>
      <c r="BB448" s="79">
        <v>42.0</v>
      </c>
      <c r="BC448" s="201">
        <v>300.0</v>
      </c>
      <c r="BE448" s="194" t="s">
        <v>325</v>
      </c>
      <c r="BF448" s="447"/>
      <c r="BG448" s="128"/>
      <c r="BI448" s="31" t="s">
        <v>5</v>
      </c>
      <c r="BJ448" s="32">
        <v>1.0</v>
      </c>
      <c r="BK448" s="32" t="s">
        <v>5</v>
      </c>
      <c r="BL448" s="32" t="s">
        <v>5</v>
      </c>
      <c r="BM448" s="32" t="s">
        <v>5</v>
      </c>
      <c r="BN448" s="33" t="s">
        <v>5</v>
      </c>
      <c r="BP448" s="85" t="s">
        <v>61</v>
      </c>
      <c r="BQ448" s="86" t="s">
        <v>79</v>
      </c>
      <c r="BS448" s="87" t="s">
        <v>61</v>
      </c>
      <c r="BT448" s="88" t="s">
        <v>79</v>
      </c>
      <c r="BU448" s="37" t="str">
        <f t="shared" si="1"/>
        <v>#NAME?</v>
      </c>
      <c r="BV448" s="89" t="s">
        <v>61</v>
      </c>
      <c r="BW448" s="37" t="str">
        <f t="shared" si="2"/>
        <v>#NAME?</v>
      </c>
      <c r="BX448" s="89" t="s">
        <v>79</v>
      </c>
      <c r="BY448" s="39"/>
      <c r="BZ448" s="39"/>
      <c r="CA448" s="40" t="s">
        <v>4020</v>
      </c>
      <c r="CB448" s="41"/>
      <c r="CC448" s="90" t="s">
        <v>61</v>
      </c>
      <c r="CD448" s="91" t="s">
        <v>79</v>
      </c>
      <c r="CE448" s="2"/>
      <c r="CF448" s="92" t="s">
        <v>376</v>
      </c>
      <c r="CG448" s="93"/>
      <c r="CH448" s="2"/>
      <c r="CI448" s="46" t="s">
        <v>2946</v>
      </c>
      <c r="CJ448" s="95" t="s">
        <v>376</v>
      </c>
      <c r="CK448" s="2"/>
      <c r="CL448" s="22" t="s">
        <v>4021</v>
      </c>
      <c r="CM448" s="12"/>
      <c r="CN448" s="48"/>
      <c r="CO448" s="96" t="s">
        <v>376</v>
      </c>
      <c r="CP448" s="2"/>
      <c r="CQ448" s="2" t="s">
        <v>2060</v>
      </c>
      <c r="CR448" s="97">
        <v>40.0</v>
      </c>
      <c r="CS448" s="2" t="s">
        <v>325</v>
      </c>
      <c r="CT448" s="98">
        <v>67.0</v>
      </c>
      <c r="CU448" s="2"/>
      <c r="CV448" s="52" t="s">
        <v>149</v>
      </c>
      <c r="CW448" s="52" t="s">
        <v>149</v>
      </c>
      <c r="CX448" s="2"/>
      <c r="CY448" s="443" t="s">
        <v>14</v>
      </c>
      <c r="CZ448" s="444" t="s">
        <v>61</v>
      </c>
      <c r="DA448" s="2"/>
      <c r="DB448" s="98">
        <v>45.0</v>
      </c>
      <c r="DC448" s="2"/>
      <c r="DD448" s="101" t="s">
        <v>683</v>
      </c>
      <c r="DE448" s="2"/>
      <c r="DF448" s="448" t="s">
        <v>4022</v>
      </c>
      <c r="DG448" s="450"/>
      <c r="DH448" s="444"/>
      <c r="DI448" s="21"/>
      <c r="DJ448" s="21"/>
      <c r="DK448" s="59" t="s">
        <v>4023</v>
      </c>
      <c r="DL448" s="37" t="s">
        <v>156</v>
      </c>
      <c r="DM448" s="37" t="str">
        <f t="shared" si="3"/>
        <v>#NAME?</v>
      </c>
      <c r="DN448" s="61"/>
      <c r="DO448" s="37" t="s">
        <v>19</v>
      </c>
      <c r="DP448" s="37" t="s">
        <v>19</v>
      </c>
      <c r="DQ448" s="62" t="s">
        <v>49</v>
      </c>
      <c r="DR448" s="63"/>
      <c r="DS448" s="198"/>
      <c r="DT448" s="108"/>
      <c r="DU448" s="108"/>
      <c r="DV448" s="182"/>
      <c r="DW448" s="182"/>
      <c r="DX448" s="182"/>
      <c r="DY448" s="182"/>
      <c r="DZ448" s="182"/>
      <c r="EA448" s="182"/>
      <c r="EB448" s="21"/>
      <c r="EC448" s="21"/>
      <c r="ED448" s="21"/>
      <c r="EE448" s="21"/>
      <c r="EF448" s="21"/>
      <c r="EG448" s="108"/>
      <c r="EH448" s="442"/>
      <c r="EI448" s="442"/>
    </row>
    <row r="449" ht="15.75" customHeight="1">
      <c r="A449" s="1">
        <v>444.0</v>
      </c>
      <c r="B449" s="2" t="s">
        <v>4024</v>
      </c>
      <c r="C449" s="7"/>
      <c r="D449" s="140" t="s">
        <v>4025</v>
      </c>
      <c r="E449" s="5"/>
      <c r="F449" s="141"/>
      <c r="G449" s="7"/>
      <c r="H449" s="8" t="s">
        <v>4026</v>
      </c>
      <c r="I449" s="9" t="s">
        <v>4027</v>
      </c>
      <c r="J449" s="355" t="str">
        <f>image("https://archives.bulbagarden.net/media/upload/5/58/444MS6.png", 3)</f>
        <v/>
      </c>
      <c r="K449" s="11" t="s">
        <v>4025</v>
      </c>
      <c r="L449" s="12"/>
      <c r="M449" s="12"/>
      <c r="N449" s="12"/>
      <c r="O449" s="12"/>
      <c r="Q449" s="71">
        <v>68.0</v>
      </c>
      <c r="R449" s="72">
        <v>90.0</v>
      </c>
      <c r="S449" s="73">
        <v>65.0</v>
      </c>
      <c r="T449" s="74">
        <v>50.0</v>
      </c>
      <c r="U449" s="75">
        <v>55.0</v>
      </c>
      <c r="V449" s="76">
        <v>82.0</v>
      </c>
      <c r="W449" s="77">
        <v>410.0</v>
      </c>
      <c r="X449" s="21"/>
      <c r="Y449" s="71">
        <v>68.0</v>
      </c>
      <c r="Z449" s="72">
        <v>90.0</v>
      </c>
      <c r="AA449" s="73">
        <v>65.0</v>
      </c>
      <c r="AB449" s="74">
        <v>50.0</v>
      </c>
      <c r="AC449" s="75">
        <v>55.0</v>
      </c>
      <c r="AD449" s="76">
        <v>82.0</v>
      </c>
      <c r="AE449" s="77">
        <v>410.0</v>
      </c>
      <c r="AF449" s="21"/>
      <c r="AG449" s="71">
        <v>68.0</v>
      </c>
      <c r="AH449" s="72">
        <v>90.0</v>
      </c>
      <c r="AI449" s="73">
        <v>65.0</v>
      </c>
      <c r="AJ449" s="74">
        <v>50.0</v>
      </c>
      <c r="AK449" s="75">
        <v>55.0</v>
      </c>
      <c r="AL449" s="76">
        <v>82.0</v>
      </c>
      <c r="AM449" s="77">
        <v>410.0</v>
      </c>
      <c r="AN449" s="21"/>
      <c r="AO449" s="22">
        <v>68.0</v>
      </c>
      <c r="AP449" s="23">
        <v>90.0</v>
      </c>
      <c r="AQ449" s="23">
        <v>65.0</v>
      </c>
      <c r="AR449" s="23">
        <v>50.0</v>
      </c>
      <c r="AS449" s="23">
        <v>55.0</v>
      </c>
      <c r="AT449" s="23">
        <v>82.0</v>
      </c>
      <c r="AU449" s="24">
        <v>410.0</v>
      </c>
      <c r="AV449" s="21"/>
      <c r="AW449" s="78">
        <v>68.0</v>
      </c>
      <c r="AX449" s="79">
        <v>90.0</v>
      </c>
      <c r="AY449" s="79">
        <v>65.0</v>
      </c>
      <c r="AZ449" s="79">
        <v>50.0</v>
      </c>
      <c r="BA449" s="79">
        <v>55.0</v>
      </c>
      <c r="BB449" s="79">
        <v>82.0</v>
      </c>
      <c r="BC449" s="201">
        <v>410.0</v>
      </c>
      <c r="BE449" s="172" t="s">
        <v>216</v>
      </c>
      <c r="BF449" s="113"/>
      <c r="BG449" s="210"/>
      <c r="BI449" s="31" t="s">
        <v>5</v>
      </c>
      <c r="BJ449" s="32">
        <v>2.0</v>
      </c>
      <c r="BK449" s="32" t="s">
        <v>5</v>
      </c>
      <c r="BL449" s="32" t="s">
        <v>5</v>
      </c>
      <c r="BM449" s="32" t="s">
        <v>5</v>
      </c>
      <c r="BN449" s="33" t="s">
        <v>5</v>
      </c>
      <c r="BP449" s="115" t="s">
        <v>61</v>
      </c>
      <c r="BQ449" s="116" t="s">
        <v>79</v>
      </c>
      <c r="BS449" s="115" t="s">
        <v>61</v>
      </c>
      <c r="BT449" s="117" t="s">
        <v>79</v>
      </c>
      <c r="BU449" s="37" t="str">
        <f t="shared" si="1"/>
        <v>#NAME?</v>
      </c>
      <c r="BV449" s="89" t="s">
        <v>61</v>
      </c>
      <c r="BW449" s="37" t="str">
        <f t="shared" si="2"/>
        <v>#NAME?</v>
      </c>
      <c r="BX449" s="89" t="s">
        <v>79</v>
      </c>
      <c r="BY449" s="39"/>
      <c r="BZ449" s="39"/>
      <c r="CA449" s="40" t="s">
        <v>4020</v>
      </c>
      <c r="CB449" s="41"/>
      <c r="CC449" s="90" t="s">
        <v>61</v>
      </c>
      <c r="CD449" s="91" t="s">
        <v>79</v>
      </c>
      <c r="CE449" s="2"/>
      <c r="CF449" s="92" t="s">
        <v>376</v>
      </c>
      <c r="CG449" s="93"/>
      <c r="CH449" s="2"/>
      <c r="CI449" s="94" t="s">
        <v>2946</v>
      </c>
      <c r="CJ449" s="95" t="s">
        <v>376</v>
      </c>
      <c r="CK449" s="2"/>
      <c r="CL449" s="22" t="s">
        <v>4021</v>
      </c>
      <c r="CM449" s="12"/>
      <c r="CN449" s="48"/>
      <c r="CO449" s="96" t="s">
        <v>376</v>
      </c>
      <c r="CP449" s="2"/>
      <c r="CQ449" s="2" t="s">
        <v>1287</v>
      </c>
      <c r="CR449" s="97">
        <v>80.0</v>
      </c>
      <c r="CS449" s="2" t="s">
        <v>216</v>
      </c>
      <c r="CT449" s="98">
        <v>144.0</v>
      </c>
      <c r="CU449" s="2"/>
      <c r="CV449" s="52" t="s">
        <v>149</v>
      </c>
      <c r="CW449" s="52" t="s">
        <v>149</v>
      </c>
      <c r="CX449" s="2"/>
      <c r="CY449" s="118" t="s">
        <v>14</v>
      </c>
      <c r="CZ449" s="119" t="s">
        <v>61</v>
      </c>
      <c r="DA449" s="2"/>
      <c r="DB449" s="98">
        <v>45.0</v>
      </c>
      <c r="DC449" s="2"/>
      <c r="DD449" s="101" t="s">
        <v>683</v>
      </c>
      <c r="DE449" s="2"/>
      <c r="DF449" s="120" t="s">
        <v>4028</v>
      </c>
      <c r="DG449" s="119"/>
      <c r="DH449" s="119"/>
      <c r="DI449" s="2"/>
      <c r="DJ449" s="2"/>
      <c r="DK449" s="59" t="s">
        <v>4029</v>
      </c>
      <c r="DL449" s="37" t="s">
        <v>34</v>
      </c>
      <c r="DM449" s="37" t="str">
        <f t="shared" si="3"/>
        <v>#NAME?</v>
      </c>
      <c r="DN449" s="61"/>
      <c r="DO449" s="37" t="s">
        <v>19</v>
      </c>
      <c r="DP449" s="37" t="s">
        <v>19</v>
      </c>
      <c r="DQ449" s="62" t="s">
        <v>293</v>
      </c>
      <c r="DR449" s="63"/>
      <c r="DS449" s="198"/>
      <c r="DT449" s="108"/>
      <c r="DU449" s="108"/>
      <c r="DV449" s="182"/>
      <c r="DW449" s="182"/>
      <c r="DX449" s="182"/>
      <c r="DY449" s="182"/>
      <c r="DZ449" s="182"/>
      <c r="EA449" s="182"/>
      <c r="EB449" s="2"/>
      <c r="EC449" s="2"/>
      <c r="ED449" s="2"/>
      <c r="EE449" s="2"/>
      <c r="EF449" s="2"/>
      <c r="EG449" s="449"/>
      <c r="EH449" s="428"/>
      <c r="EI449" s="428"/>
    </row>
    <row r="450" ht="15.75" customHeight="1">
      <c r="A450" s="1">
        <v>445.0</v>
      </c>
      <c r="B450" s="2" t="s">
        <v>4030</v>
      </c>
      <c r="C450" s="7"/>
      <c r="D450" s="140" t="s">
        <v>4031</v>
      </c>
      <c r="E450" s="5"/>
      <c r="F450" s="141"/>
      <c r="G450" s="7"/>
      <c r="H450" s="8" t="s">
        <v>4032</v>
      </c>
      <c r="I450" s="9" t="s">
        <v>4033</v>
      </c>
      <c r="J450" s="355" t="str">
        <f>image("https://archives.bulbagarden.net/media/upload/5/55/445MS6.png", 3)</f>
        <v/>
      </c>
      <c r="K450" s="11" t="s">
        <v>4031</v>
      </c>
      <c r="L450" s="12"/>
      <c r="M450" s="12"/>
      <c r="N450" s="12"/>
      <c r="O450" s="12"/>
      <c r="Q450" s="71">
        <v>108.0</v>
      </c>
      <c r="R450" s="72">
        <v>130.0</v>
      </c>
      <c r="S450" s="73">
        <v>95.0</v>
      </c>
      <c r="T450" s="74">
        <v>80.0</v>
      </c>
      <c r="U450" s="75">
        <v>85.0</v>
      </c>
      <c r="V450" s="76">
        <v>102.0</v>
      </c>
      <c r="W450" s="77">
        <v>600.0</v>
      </c>
      <c r="X450" s="21"/>
      <c r="Y450" s="71">
        <v>108.0</v>
      </c>
      <c r="Z450" s="72">
        <v>130.0</v>
      </c>
      <c r="AA450" s="73">
        <v>95.0</v>
      </c>
      <c r="AB450" s="74">
        <v>80.0</v>
      </c>
      <c r="AC450" s="75">
        <v>85.0</v>
      </c>
      <c r="AD450" s="76">
        <v>102.0</v>
      </c>
      <c r="AE450" s="77">
        <v>600.0</v>
      </c>
      <c r="AF450" s="21"/>
      <c r="AG450" s="71">
        <v>108.0</v>
      </c>
      <c r="AH450" s="72">
        <v>130.0</v>
      </c>
      <c r="AI450" s="73">
        <v>95.0</v>
      </c>
      <c r="AJ450" s="74">
        <v>80.0</v>
      </c>
      <c r="AK450" s="75">
        <v>85.0</v>
      </c>
      <c r="AL450" s="76">
        <v>102.0</v>
      </c>
      <c r="AM450" s="77">
        <v>600.0</v>
      </c>
      <c r="AN450" s="21"/>
      <c r="AO450" s="22">
        <v>108.0</v>
      </c>
      <c r="AP450" s="23">
        <v>130.0</v>
      </c>
      <c r="AQ450" s="23">
        <v>95.0</v>
      </c>
      <c r="AR450" s="23">
        <v>80.0</v>
      </c>
      <c r="AS450" s="23">
        <v>85.0</v>
      </c>
      <c r="AT450" s="23">
        <v>102.0</v>
      </c>
      <c r="AU450" s="24">
        <v>600.0</v>
      </c>
      <c r="AV450" s="21"/>
      <c r="AW450" s="78">
        <v>108.0</v>
      </c>
      <c r="AX450" s="79">
        <v>130.0</v>
      </c>
      <c r="AY450" s="79">
        <v>95.0</v>
      </c>
      <c r="AZ450" s="79">
        <v>80.0</v>
      </c>
      <c r="BA450" s="79">
        <v>85.0</v>
      </c>
      <c r="BB450" s="79">
        <v>102.0</v>
      </c>
      <c r="BC450" s="201">
        <v>600.0</v>
      </c>
      <c r="BE450" s="172" t="s">
        <v>451</v>
      </c>
      <c r="BF450" s="138"/>
      <c r="BG450" s="128"/>
      <c r="BI450" s="31" t="s">
        <v>5</v>
      </c>
      <c r="BJ450" s="32">
        <v>3.0</v>
      </c>
      <c r="BK450" s="32" t="s">
        <v>5</v>
      </c>
      <c r="BL450" s="32" t="s">
        <v>5</v>
      </c>
      <c r="BM450" s="32" t="s">
        <v>5</v>
      </c>
      <c r="BN450" s="33" t="s">
        <v>5</v>
      </c>
      <c r="BP450" s="85" t="s">
        <v>61</v>
      </c>
      <c r="BQ450" s="86" t="s">
        <v>79</v>
      </c>
      <c r="BS450" s="87" t="s">
        <v>61</v>
      </c>
      <c r="BT450" s="88" t="s">
        <v>79</v>
      </c>
      <c r="BU450" s="37" t="str">
        <f t="shared" si="1"/>
        <v>#NAME?</v>
      </c>
      <c r="BV450" s="89" t="s">
        <v>61</v>
      </c>
      <c r="BW450" s="37" t="str">
        <f t="shared" si="2"/>
        <v>#NAME?</v>
      </c>
      <c r="BX450" s="89" t="s">
        <v>79</v>
      </c>
      <c r="BY450" s="39"/>
      <c r="BZ450" s="39"/>
      <c r="CA450" s="40" t="s">
        <v>4020</v>
      </c>
      <c r="CB450" s="41"/>
      <c r="CC450" s="90" t="s">
        <v>61</v>
      </c>
      <c r="CD450" s="91" t="s">
        <v>79</v>
      </c>
      <c r="CE450" s="2"/>
      <c r="CF450" s="92" t="s">
        <v>376</v>
      </c>
      <c r="CG450" s="93"/>
      <c r="CH450" s="2"/>
      <c r="CI450" s="94" t="s">
        <v>2946</v>
      </c>
      <c r="CJ450" s="95" t="s">
        <v>376</v>
      </c>
      <c r="CK450" s="2"/>
      <c r="CL450" s="22" t="s">
        <v>4021</v>
      </c>
      <c r="CM450" s="12"/>
      <c r="CN450" s="48"/>
      <c r="CO450" s="96" t="s">
        <v>376</v>
      </c>
      <c r="CP450" s="2"/>
      <c r="CQ450" s="2" t="s">
        <v>860</v>
      </c>
      <c r="CR450" s="97">
        <v>80.0</v>
      </c>
      <c r="CS450" s="2" t="s">
        <v>451</v>
      </c>
      <c r="CT450" s="98">
        <v>218.0</v>
      </c>
      <c r="CU450" s="2"/>
      <c r="CV450" s="52" t="s">
        <v>149</v>
      </c>
      <c r="CW450" s="52" t="s">
        <v>149</v>
      </c>
      <c r="CX450" s="2"/>
      <c r="CY450" s="443" t="s">
        <v>14</v>
      </c>
      <c r="CZ450" s="444" t="s">
        <v>61</v>
      </c>
      <c r="DA450" s="2"/>
      <c r="DB450" s="98">
        <v>45.0</v>
      </c>
      <c r="DC450" s="2"/>
      <c r="DD450" s="101" t="s">
        <v>683</v>
      </c>
      <c r="DE450" s="2"/>
      <c r="DF450" s="445" t="s">
        <v>4034</v>
      </c>
      <c r="DG450" s="444"/>
      <c r="DH450" s="444"/>
      <c r="DI450" s="2"/>
      <c r="DJ450" s="2"/>
      <c r="DK450" s="59" t="s">
        <v>4035</v>
      </c>
      <c r="DL450" s="37" t="s">
        <v>156</v>
      </c>
      <c r="DM450" s="37" t="str">
        <f t="shared" si="3"/>
        <v>#NAME?</v>
      </c>
      <c r="DN450" s="61"/>
      <c r="DO450" s="37" t="s">
        <v>19</v>
      </c>
      <c r="DP450" s="105">
        <v>0.55</v>
      </c>
      <c r="DQ450" s="62" t="s">
        <v>20</v>
      </c>
      <c r="DR450" s="63"/>
      <c r="DS450" s="198"/>
      <c r="DT450" s="108"/>
      <c r="DU450" s="108"/>
      <c r="DV450" s="182"/>
      <c r="DW450" s="182"/>
      <c r="DX450" s="182"/>
      <c r="DY450" s="182"/>
      <c r="DZ450" s="182"/>
      <c r="EA450" s="182"/>
      <c r="EB450" s="2"/>
      <c r="EC450" s="2"/>
      <c r="ED450" s="2"/>
      <c r="EE450" s="2"/>
      <c r="EF450" s="2"/>
      <c r="EG450" s="449"/>
      <c r="EH450" s="428"/>
      <c r="EI450" s="428"/>
    </row>
    <row r="451" ht="15.75" customHeight="1">
      <c r="A451" s="1">
        <v>446.0</v>
      </c>
      <c r="B451" s="2" t="s">
        <v>4036</v>
      </c>
      <c r="C451" s="7"/>
      <c r="D451" s="295" t="s">
        <v>4037</v>
      </c>
      <c r="E451" s="5"/>
      <c r="F451" s="296"/>
      <c r="G451" s="7"/>
      <c r="H451" s="8" t="s">
        <v>4038</v>
      </c>
      <c r="I451" s="9" t="s">
        <v>4039</v>
      </c>
      <c r="J451" s="355" t="str">
        <f>image("https://archives.bulbagarden.net/media/upload/d/d7/446MS6.png", 3)</f>
        <v/>
      </c>
      <c r="K451" s="11" t="s">
        <v>4037</v>
      </c>
      <c r="L451" s="12"/>
      <c r="M451" s="12"/>
      <c r="N451" s="12"/>
      <c r="O451" s="12"/>
      <c r="Q451" s="71">
        <v>135.0</v>
      </c>
      <c r="R451" s="72">
        <v>85.0</v>
      </c>
      <c r="S451" s="73">
        <v>40.0</v>
      </c>
      <c r="T451" s="74">
        <v>40.0</v>
      </c>
      <c r="U451" s="75">
        <v>85.0</v>
      </c>
      <c r="V451" s="76">
        <v>5.0</v>
      </c>
      <c r="W451" s="77">
        <v>390.0</v>
      </c>
      <c r="X451" s="21"/>
      <c r="Y451" s="71">
        <v>135.0</v>
      </c>
      <c r="Z451" s="72">
        <v>85.0</v>
      </c>
      <c r="AA451" s="73">
        <v>40.0</v>
      </c>
      <c r="AB451" s="74">
        <v>40.0</v>
      </c>
      <c r="AC451" s="75">
        <v>85.0</v>
      </c>
      <c r="AD451" s="76">
        <v>5.0</v>
      </c>
      <c r="AE451" s="77">
        <v>390.0</v>
      </c>
      <c r="AF451" s="21"/>
      <c r="AG451" s="71">
        <v>135.0</v>
      </c>
      <c r="AH451" s="72">
        <v>85.0</v>
      </c>
      <c r="AI451" s="73">
        <v>40.0</v>
      </c>
      <c r="AJ451" s="74">
        <v>40.0</v>
      </c>
      <c r="AK451" s="75">
        <v>85.0</v>
      </c>
      <c r="AL451" s="76">
        <v>5.0</v>
      </c>
      <c r="AM451" s="77">
        <v>390.0</v>
      </c>
      <c r="AN451" s="21"/>
      <c r="AO451" s="22">
        <v>135.0</v>
      </c>
      <c r="AP451" s="23">
        <v>85.0</v>
      </c>
      <c r="AQ451" s="23">
        <v>40.0</v>
      </c>
      <c r="AR451" s="23">
        <v>40.0</v>
      </c>
      <c r="AS451" s="23">
        <v>85.0</v>
      </c>
      <c r="AT451" s="23">
        <v>5.0</v>
      </c>
      <c r="AU451" s="24">
        <v>390.0</v>
      </c>
      <c r="AV451" s="21"/>
      <c r="AW451" s="78">
        <v>135.0</v>
      </c>
      <c r="AX451" s="79">
        <v>85.0</v>
      </c>
      <c r="AY451" s="79">
        <v>40.0</v>
      </c>
      <c r="AZ451" s="79">
        <v>40.0</v>
      </c>
      <c r="BA451" s="79">
        <v>85.0</v>
      </c>
      <c r="BB451" s="79">
        <v>5.0</v>
      </c>
      <c r="BC451" s="201">
        <v>390.0</v>
      </c>
      <c r="BE451" s="151" t="s">
        <v>144</v>
      </c>
      <c r="BF451" s="143"/>
      <c r="BG451" s="128"/>
      <c r="BI451" s="31">
        <v>1.0</v>
      </c>
      <c r="BJ451" s="32" t="s">
        <v>5</v>
      </c>
      <c r="BK451" s="32" t="s">
        <v>5</v>
      </c>
      <c r="BL451" s="32" t="s">
        <v>5</v>
      </c>
      <c r="BM451" s="32" t="s">
        <v>5</v>
      </c>
      <c r="BN451" s="33" t="s">
        <v>5</v>
      </c>
      <c r="BP451" s="115" t="s">
        <v>156</v>
      </c>
      <c r="BQ451" s="93"/>
      <c r="BS451" s="115" t="s">
        <v>156</v>
      </c>
      <c r="BT451" s="133"/>
      <c r="BU451" s="37" t="str">
        <f t="shared" si="1"/>
        <v>#NAME?</v>
      </c>
      <c r="BV451" s="89" t="s">
        <v>156</v>
      </c>
      <c r="BW451" s="37" t="str">
        <f t="shared" si="2"/>
        <v>#NAME?</v>
      </c>
      <c r="BX451" s="89"/>
      <c r="BY451" s="39"/>
      <c r="BZ451" s="39"/>
      <c r="CA451" s="40" t="s">
        <v>156</v>
      </c>
      <c r="CB451" s="41"/>
      <c r="CC451" s="90" t="s">
        <v>156</v>
      </c>
      <c r="CD451" s="91"/>
      <c r="CE451" s="21"/>
      <c r="CF451" s="92" t="s">
        <v>626</v>
      </c>
      <c r="CG451" s="93" t="s">
        <v>944</v>
      </c>
      <c r="CH451" s="21"/>
      <c r="CI451" s="274" t="s">
        <v>944</v>
      </c>
      <c r="CJ451" s="455" t="s">
        <v>626</v>
      </c>
      <c r="CK451" s="21"/>
      <c r="CL451" s="22" t="s">
        <v>1456</v>
      </c>
      <c r="CM451" s="12"/>
      <c r="CN451" s="48"/>
      <c r="CO451" s="456" t="s">
        <v>626</v>
      </c>
      <c r="CP451" s="21"/>
      <c r="CQ451" s="2" t="s">
        <v>834</v>
      </c>
      <c r="CR451" s="97">
        <v>100.0</v>
      </c>
      <c r="CS451" s="2" t="s">
        <v>144</v>
      </c>
      <c r="CT451" s="98">
        <v>94.0</v>
      </c>
      <c r="CU451" s="2"/>
      <c r="CV451" s="52" t="s">
        <v>13</v>
      </c>
      <c r="CW451" s="53">
        <v>0.125</v>
      </c>
      <c r="CX451" s="2"/>
      <c r="CY451" s="119" t="s">
        <v>411</v>
      </c>
      <c r="CZ451" s="160"/>
      <c r="DA451" s="2"/>
      <c r="DB451" s="98">
        <v>50.0</v>
      </c>
      <c r="DC451" s="2"/>
      <c r="DD451" s="101" t="s">
        <v>683</v>
      </c>
      <c r="DE451" s="2"/>
      <c r="DF451" s="148" t="s">
        <v>4040</v>
      </c>
      <c r="DG451" s="118" t="s">
        <v>1459</v>
      </c>
      <c r="DH451" s="160"/>
      <c r="DI451" s="21"/>
      <c r="DJ451" s="21"/>
      <c r="DK451" s="59" t="s">
        <v>4041</v>
      </c>
      <c r="DL451" s="37" t="s">
        <v>156</v>
      </c>
      <c r="DM451" s="37" t="str">
        <f t="shared" si="3"/>
        <v>#NAME?</v>
      </c>
      <c r="DN451" s="61"/>
      <c r="DO451" s="37" t="s">
        <v>19</v>
      </c>
      <c r="DP451" s="37" t="s">
        <v>136</v>
      </c>
      <c r="DQ451" s="62" t="s">
        <v>93</v>
      </c>
      <c r="DR451" s="63"/>
      <c r="DS451" s="198"/>
      <c r="DT451" s="108"/>
      <c r="DU451" s="108"/>
      <c r="DV451" s="182"/>
      <c r="DW451" s="182"/>
      <c r="DX451" s="182"/>
      <c r="DY451" s="182"/>
      <c r="DZ451" s="182"/>
      <c r="EA451" s="182"/>
      <c r="EB451" s="21"/>
      <c r="EC451" s="21"/>
      <c r="ED451" s="21"/>
      <c r="EE451" s="21"/>
      <c r="EF451" s="21"/>
      <c r="EG451" s="108"/>
      <c r="EH451" s="442"/>
      <c r="EI451" s="442"/>
    </row>
    <row r="452" ht="15.75" customHeight="1">
      <c r="A452" s="1">
        <v>447.0</v>
      </c>
      <c r="B452" s="2" t="s">
        <v>4042</v>
      </c>
      <c r="C452" s="7"/>
      <c r="D452" s="140" t="s">
        <v>4043</v>
      </c>
      <c r="E452" s="5"/>
      <c r="F452" s="141"/>
      <c r="G452" s="7"/>
      <c r="H452" s="8" t="s">
        <v>4044</v>
      </c>
      <c r="I452" s="9" t="s">
        <v>4045</v>
      </c>
      <c r="J452" s="355" t="str">
        <f>image("https://archives.bulbagarden.net/media/upload/d/d6/447MS6.png", 3)</f>
        <v/>
      </c>
      <c r="K452" s="11" t="s">
        <v>4043</v>
      </c>
      <c r="L452" s="12"/>
      <c r="M452" s="12"/>
      <c r="N452" s="12"/>
      <c r="O452" s="12"/>
      <c r="Q452" s="71">
        <v>40.0</v>
      </c>
      <c r="R452" s="72">
        <v>70.0</v>
      </c>
      <c r="S452" s="73">
        <v>40.0</v>
      </c>
      <c r="T452" s="74">
        <v>35.0</v>
      </c>
      <c r="U452" s="75">
        <v>40.0</v>
      </c>
      <c r="V452" s="76">
        <v>60.0</v>
      </c>
      <c r="W452" s="77">
        <v>285.0</v>
      </c>
      <c r="X452" s="21"/>
      <c r="Y452" s="71">
        <v>40.0</v>
      </c>
      <c r="Z452" s="72">
        <v>70.0</v>
      </c>
      <c r="AA452" s="73">
        <v>40.0</v>
      </c>
      <c r="AB452" s="74">
        <v>35.0</v>
      </c>
      <c r="AC452" s="75">
        <v>40.0</v>
      </c>
      <c r="AD452" s="76">
        <v>60.0</v>
      </c>
      <c r="AE452" s="77">
        <v>285.0</v>
      </c>
      <c r="AF452" s="21"/>
      <c r="AG452" s="71">
        <v>40.0</v>
      </c>
      <c r="AH452" s="72">
        <v>70.0</v>
      </c>
      <c r="AI452" s="73">
        <v>40.0</v>
      </c>
      <c r="AJ452" s="74">
        <v>35.0</v>
      </c>
      <c r="AK452" s="75">
        <v>40.0</v>
      </c>
      <c r="AL452" s="76">
        <v>60.0</v>
      </c>
      <c r="AM452" s="77">
        <v>285.0</v>
      </c>
      <c r="AN452" s="21"/>
      <c r="AO452" s="22">
        <v>40.0</v>
      </c>
      <c r="AP452" s="23">
        <v>70.0</v>
      </c>
      <c r="AQ452" s="23">
        <v>40.0</v>
      </c>
      <c r="AR452" s="23">
        <v>35.0</v>
      </c>
      <c r="AS452" s="23">
        <v>40.0</v>
      </c>
      <c r="AT452" s="23">
        <v>60.0</v>
      </c>
      <c r="AU452" s="24">
        <v>285.0</v>
      </c>
      <c r="AV452" s="21"/>
      <c r="AW452" s="78">
        <v>40.0</v>
      </c>
      <c r="AX452" s="79">
        <v>70.0</v>
      </c>
      <c r="AY452" s="79">
        <v>40.0</v>
      </c>
      <c r="AZ452" s="79">
        <v>35.0</v>
      </c>
      <c r="BA452" s="79">
        <v>40.0</v>
      </c>
      <c r="BB452" s="79">
        <v>60.0</v>
      </c>
      <c r="BC452" s="201">
        <v>285.0</v>
      </c>
      <c r="BE452" s="194" t="s">
        <v>325</v>
      </c>
      <c r="BF452" s="447"/>
      <c r="BG452" s="128"/>
      <c r="BI452" s="31" t="s">
        <v>5</v>
      </c>
      <c r="BJ452" s="32">
        <v>1.0</v>
      </c>
      <c r="BK452" s="32" t="s">
        <v>5</v>
      </c>
      <c r="BL452" s="32" t="s">
        <v>5</v>
      </c>
      <c r="BM452" s="32" t="s">
        <v>5</v>
      </c>
      <c r="BN452" s="33" t="s">
        <v>5</v>
      </c>
      <c r="BP452" s="85" t="s">
        <v>64</v>
      </c>
      <c r="BQ452" s="129"/>
      <c r="BS452" s="87" t="s">
        <v>64</v>
      </c>
      <c r="BT452" s="130"/>
      <c r="BU452" s="37" t="str">
        <f t="shared" si="1"/>
        <v>#NAME?</v>
      </c>
      <c r="BV452" s="89" t="s">
        <v>64</v>
      </c>
      <c r="BW452" s="37" t="str">
        <f t="shared" si="2"/>
        <v>#NAME?</v>
      </c>
      <c r="BX452" s="89"/>
      <c r="BY452" s="39"/>
      <c r="BZ452" s="39"/>
      <c r="CA452" s="40" t="s">
        <v>64</v>
      </c>
      <c r="CB452" s="41"/>
      <c r="CC452" s="90" t="s">
        <v>64</v>
      </c>
      <c r="CD452" s="91"/>
      <c r="CE452" s="21"/>
      <c r="CF452" s="92" t="s">
        <v>2243</v>
      </c>
      <c r="CG452" s="93" t="s">
        <v>530</v>
      </c>
      <c r="CH452" s="21"/>
      <c r="CI452" s="175" t="s">
        <v>2243</v>
      </c>
      <c r="CJ452" s="195" t="s">
        <v>530</v>
      </c>
      <c r="CK452" s="21"/>
      <c r="CL452" s="22" t="s">
        <v>2243</v>
      </c>
      <c r="CM452" s="12"/>
      <c r="CN452" s="48"/>
      <c r="CO452" s="196" t="s">
        <v>530</v>
      </c>
      <c r="CP452" s="21"/>
      <c r="CQ452" s="2" t="s">
        <v>2620</v>
      </c>
      <c r="CR452" s="97">
        <v>40.0</v>
      </c>
      <c r="CS452" s="2" t="s">
        <v>325</v>
      </c>
      <c r="CT452" s="98">
        <v>72.0</v>
      </c>
      <c r="CU452" s="2"/>
      <c r="CV452" s="52" t="s">
        <v>13</v>
      </c>
      <c r="CW452" s="53">
        <v>0.125</v>
      </c>
      <c r="CX452" s="2"/>
      <c r="CY452" s="444" t="s">
        <v>411</v>
      </c>
      <c r="CZ452" s="450"/>
      <c r="DA452" s="2"/>
      <c r="DB452" s="98">
        <v>75.0</v>
      </c>
      <c r="DC452" s="2"/>
      <c r="DD452" s="101" t="s">
        <v>15</v>
      </c>
      <c r="DE452" s="2"/>
      <c r="DF452" s="457" t="s">
        <v>4046</v>
      </c>
      <c r="DG452" s="444"/>
      <c r="DH452" s="450"/>
      <c r="DI452" s="21"/>
      <c r="DJ452" s="21"/>
      <c r="DK452" s="59" t="s">
        <v>4047</v>
      </c>
      <c r="DL452" s="37" t="s">
        <v>156</v>
      </c>
      <c r="DM452" s="37" t="str">
        <f t="shared" si="3"/>
        <v>#NAME?</v>
      </c>
      <c r="DN452" s="61"/>
      <c r="DO452" s="37" t="s">
        <v>19</v>
      </c>
      <c r="DP452" s="37" t="s">
        <v>19</v>
      </c>
      <c r="DQ452" s="62" t="s">
        <v>49</v>
      </c>
      <c r="DR452" s="63"/>
      <c r="DS452" s="198"/>
      <c r="DT452" s="108"/>
      <c r="DU452" s="108"/>
      <c r="DV452" s="182"/>
      <c r="DW452" s="182"/>
      <c r="DX452" s="182"/>
      <c r="DY452" s="182"/>
      <c r="DZ452" s="182"/>
      <c r="EA452" s="182"/>
      <c r="EB452" s="21"/>
      <c r="EC452" s="21"/>
      <c r="ED452" s="21"/>
      <c r="EE452" s="21"/>
      <c r="EF452" s="21"/>
      <c r="EG452" s="108"/>
      <c r="EH452" s="442"/>
      <c r="EI452" s="442"/>
    </row>
    <row r="453" ht="15.75" customHeight="1">
      <c r="A453" s="1">
        <v>448.0</v>
      </c>
      <c r="B453" s="2" t="s">
        <v>4048</v>
      </c>
      <c r="C453" s="7"/>
      <c r="D453" s="140" t="s">
        <v>4049</v>
      </c>
      <c r="E453" s="5"/>
      <c r="F453" s="141"/>
      <c r="G453" s="7"/>
      <c r="H453" s="8" t="s">
        <v>4050</v>
      </c>
      <c r="I453" s="9" t="s">
        <v>4051</v>
      </c>
      <c r="J453" s="355" t="str">
        <f>image("https://archives.bulbagarden.net/media/upload/1/14/448MS6.png", 3)</f>
        <v/>
      </c>
      <c r="K453" s="11" t="s">
        <v>4049</v>
      </c>
      <c r="L453" s="12"/>
      <c r="M453" s="12"/>
      <c r="N453" s="12"/>
      <c r="O453" s="12"/>
      <c r="Q453" s="71">
        <v>70.0</v>
      </c>
      <c r="R453" s="72">
        <v>110.0</v>
      </c>
      <c r="S453" s="73">
        <v>70.0</v>
      </c>
      <c r="T453" s="74">
        <v>115.0</v>
      </c>
      <c r="U453" s="75">
        <v>70.0</v>
      </c>
      <c r="V453" s="76">
        <v>90.0</v>
      </c>
      <c r="W453" s="77">
        <v>525.0</v>
      </c>
      <c r="X453" s="21"/>
      <c r="Y453" s="71">
        <v>70.0</v>
      </c>
      <c r="Z453" s="72">
        <v>110.0</v>
      </c>
      <c r="AA453" s="73">
        <v>70.0</v>
      </c>
      <c r="AB453" s="74">
        <v>115.0</v>
      </c>
      <c r="AC453" s="75">
        <v>70.0</v>
      </c>
      <c r="AD453" s="76">
        <v>90.0</v>
      </c>
      <c r="AE453" s="77">
        <v>525.0</v>
      </c>
      <c r="AF453" s="21"/>
      <c r="AG453" s="71">
        <v>70.0</v>
      </c>
      <c r="AH453" s="72">
        <v>110.0</v>
      </c>
      <c r="AI453" s="73">
        <v>70.0</v>
      </c>
      <c r="AJ453" s="74">
        <v>115.0</v>
      </c>
      <c r="AK453" s="75">
        <v>70.0</v>
      </c>
      <c r="AL453" s="76">
        <v>90.0</v>
      </c>
      <c r="AM453" s="77">
        <v>525.0</v>
      </c>
      <c r="AN453" s="21"/>
      <c r="AO453" s="22">
        <v>70.0</v>
      </c>
      <c r="AP453" s="23">
        <v>110.0</v>
      </c>
      <c r="AQ453" s="23">
        <v>70.0</v>
      </c>
      <c r="AR453" s="23">
        <v>115.0</v>
      </c>
      <c r="AS453" s="23">
        <v>70.0</v>
      </c>
      <c r="AT453" s="23">
        <v>90.0</v>
      </c>
      <c r="AU453" s="24">
        <v>525.0</v>
      </c>
      <c r="AV453" s="21"/>
      <c r="AW453" s="78">
        <v>70.0</v>
      </c>
      <c r="AX453" s="79">
        <v>110.0</v>
      </c>
      <c r="AY453" s="79">
        <v>70.0</v>
      </c>
      <c r="AZ453" s="79">
        <v>115.0</v>
      </c>
      <c r="BA453" s="79">
        <v>70.0</v>
      </c>
      <c r="BB453" s="79">
        <v>90.0</v>
      </c>
      <c r="BC453" s="201">
        <v>525.0</v>
      </c>
      <c r="BE453" s="194" t="s">
        <v>325</v>
      </c>
      <c r="BF453" s="285" t="s">
        <v>4</v>
      </c>
      <c r="BG453" s="210"/>
      <c r="BI453" s="31" t="s">
        <v>5</v>
      </c>
      <c r="BJ453" s="32">
        <v>1.0</v>
      </c>
      <c r="BK453" s="32" t="s">
        <v>5</v>
      </c>
      <c r="BL453" s="32">
        <v>1.0</v>
      </c>
      <c r="BM453" s="32" t="s">
        <v>5</v>
      </c>
      <c r="BN453" s="33" t="s">
        <v>5</v>
      </c>
      <c r="BP453" s="115" t="s">
        <v>64</v>
      </c>
      <c r="BQ453" s="116" t="s">
        <v>95</v>
      </c>
      <c r="BS453" s="115" t="s">
        <v>64</v>
      </c>
      <c r="BT453" s="117" t="s">
        <v>95</v>
      </c>
      <c r="BU453" s="37" t="str">
        <f t="shared" si="1"/>
        <v>#NAME?</v>
      </c>
      <c r="BV453" s="89" t="s">
        <v>64</v>
      </c>
      <c r="BW453" s="37" t="str">
        <f t="shared" si="2"/>
        <v>#NAME?</v>
      </c>
      <c r="BX453" s="89" t="s">
        <v>95</v>
      </c>
      <c r="BY453" s="39"/>
      <c r="BZ453" s="39"/>
      <c r="CA453" s="40" t="s">
        <v>4052</v>
      </c>
      <c r="CB453" s="41"/>
      <c r="CC453" s="90" t="s">
        <v>64</v>
      </c>
      <c r="CD453" s="91" t="s">
        <v>95</v>
      </c>
      <c r="CE453" s="2"/>
      <c r="CF453" s="92" t="s">
        <v>2243</v>
      </c>
      <c r="CG453" s="93" t="s">
        <v>530</v>
      </c>
      <c r="CH453" s="2"/>
      <c r="CI453" s="92" t="s">
        <v>2243</v>
      </c>
      <c r="CJ453" s="93" t="s">
        <v>530</v>
      </c>
      <c r="CK453" s="2"/>
      <c r="CL453" s="22" t="s">
        <v>219</v>
      </c>
      <c r="CM453" s="12"/>
      <c r="CN453" s="48"/>
      <c r="CO453" s="96" t="s">
        <v>530</v>
      </c>
      <c r="CP453" s="2"/>
      <c r="CQ453" s="2" t="s">
        <v>719</v>
      </c>
      <c r="CR453" s="97">
        <v>80.0</v>
      </c>
      <c r="CS453" s="2" t="s">
        <v>1956</v>
      </c>
      <c r="CT453" s="98">
        <v>204.0</v>
      </c>
      <c r="CU453" s="2"/>
      <c r="CV453" s="52" t="s">
        <v>13</v>
      </c>
      <c r="CW453" s="53">
        <v>0.125</v>
      </c>
      <c r="CX453" s="2"/>
      <c r="CY453" s="118" t="s">
        <v>277</v>
      </c>
      <c r="CZ453" s="119" t="s">
        <v>728</v>
      </c>
      <c r="DA453" s="2"/>
      <c r="DB453" s="98">
        <v>45.0</v>
      </c>
      <c r="DC453" s="2"/>
      <c r="DD453" s="101" t="s">
        <v>15</v>
      </c>
      <c r="DE453" s="2"/>
      <c r="DF453" s="159" t="s">
        <v>4053</v>
      </c>
      <c r="DG453" s="119"/>
      <c r="DH453" s="119"/>
      <c r="DI453" s="2"/>
      <c r="DJ453" s="2"/>
      <c r="DK453" s="59" t="s">
        <v>4054</v>
      </c>
      <c r="DL453" s="37" t="s">
        <v>156</v>
      </c>
      <c r="DM453" s="37" t="str">
        <f t="shared" si="3"/>
        <v>#NAME?</v>
      </c>
      <c r="DN453" s="61"/>
      <c r="DO453" s="37" t="s">
        <v>19</v>
      </c>
      <c r="DP453" s="105">
        <v>0.75</v>
      </c>
      <c r="DQ453" s="62" t="s">
        <v>49</v>
      </c>
      <c r="DR453" s="63"/>
      <c r="DS453" s="198"/>
      <c r="DT453" s="108"/>
      <c r="DU453" s="108"/>
      <c r="DV453" s="182"/>
      <c r="DW453" s="182"/>
      <c r="DX453" s="182"/>
      <c r="DY453" s="182"/>
      <c r="DZ453" s="182"/>
      <c r="EA453" s="182"/>
      <c r="EB453" s="2"/>
      <c r="EC453" s="2"/>
      <c r="ED453" s="2"/>
      <c r="EE453" s="2"/>
      <c r="EF453" s="2"/>
      <c r="EG453" s="449"/>
      <c r="EH453" s="428"/>
      <c r="EI453" s="428"/>
    </row>
    <row r="454" ht="15.75" customHeight="1">
      <c r="A454" s="1">
        <v>449.0</v>
      </c>
      <c r="B454" s="2" t="s">
        <v>4055</v>
      </c>
      <c r="C454" s="7"/>
      <c r="D454" s="167" t="s">
        <v>4056</v>
      </c>
      <c r="E454" s="5"/>
      <c r="F454" s="168"/>
      <c r="G454" s="7"/>
      <c r="H454" s="8" t="s">
        <v>4057</v>
      </c>
      <c r="I454" s="9" t="s">
        <v>4058</v>
      </c>
      <c r="J454" s="355" t="str">
        <f>image("https://archives.bulbagarden.net/media/upload/8/81/449MS6.png", 3)</f>
        <v/>
      </c>
      <c r="K454" s="11" t="s">
        <v>4056</v>
      </c>
      <c r="L454" s="12"/>
      <c r="M454" s="12"/>
      <c r="N454" s="12"/>
      <c r="O454" s="12"/>
      <c r="Q454" s="71">
        <v>68.0</v>
      </c>
      <c r="R454" s="72">
        <v>72.0</v>
      </c>
      <c r="S454" s="73">
        <v>78.0</v>
      </c>
      <c r="T454" s="74">
        <v>38.0</v>
      </c>
      <c r="U454" s="75">
        <v>42.0</v>
      </c>
      <c r="V454" s="76">
        <v>32.0</v>
      </c>
      <c r="W454" s="77">
        <v>330.0</v>
      </c>
      <c r="X454" s="21"/>
      <c r="Y454" s="71">
        <v>68.0</v>
      </c>
      <c r="Z454" s="72">
        <v>72.0</v>
      </c>
      <c r="AA454" s="73">
        <v>78.0</v>
      </c>
      <c r="AB454" s="74">
        <v>38.0</v>
      </c>
      <c r="AC454" s="75">
        <v>42.0</v>
      </c>
      <c r="AD454" s="76">
        <v>32.0</v>
      </c>
      <c r="AE454" s="77">
        <v>330.0</v>
      </c>
      <c r="AF454" s="21"/>
      <c r="AG454" s="71">
        <v>68.0</v>
      </c>
      <c r="AH454" s="72">
        <v>72.0</v>
      </c>
      <c r="AI454" s="73">
        <v>78.0</v>
      </c>
      <c r="AJ454" s="74">
        <v>38.0</v>
      </c>
      <c r="AK454" s="75">
        <v>42.0</v>
      </c>
      <c r="AL454" s="76">
        <v>32.0</v>
      </c>
      <c r="AM454" s="77">
        <v>330.0</v>
      </c>
      <c r="AN454" s="21"/>
      <c r="AO454" s="22">
        <v>68.0</v>
      </c>
      <c r="AP454" s="23">
        <v>72.0</v>
      </c>
      <c r="AQ454" s="23">
        <v>78.0</v>
      </c>
      <c r="AR454" s="23">
        <v>38.0</v>
      </c>
      <c r="AS454" s="23">
        <v>42.0</v>
      </c>
      <c r="AT454" s="23">
        <v>32.0</v>
      </c>
      <c r="AU454" s="24">
        <v>330.0</v>
      </c>
      <c r="AV454" s="21"/>
      <c r="AW454" s="78">
        <v>68.0</v>
      </c>
      <c r="AX454" s="79">
        <v>72.0</v>
      </c>
      <c r="AY454" s="79">
        <v>78.0</v>
      </c>
      <c r="AZ454" s="79">
        <v>38.0</v>
      </c>
      <c r="BA454" s="79">
        <v>42.0</v>
      </c>
      <c r="BB454" s="79">
        <v>32.0</v>
      </c>
      <c r="BC454" s="201">
        <v>330.0</v>
      </c>
      <c r="BE454" s="142" t="s">
        <v>101</v>
      </c>
      <c r="BF454" s="447"/>
      <c r="BG454" s="128"/>
      <c r="BI454" s="31" t="s">
        <v>5</v>
      </c>
      <c r="BJ454" s="32" t="s">
        <v>5</v>
      </c>
      <c r="BK454" s="32">
        <v>1.0</v>
      </c>
      <c r="BL454" s="32" t="s">
        <v>5</v>
      </c>
      <c r="BM454" s="32" t="s">
        <v>5</v>
      </c>
      <c r="BN454" s="33" t="s">
        <v>5</v>
      </c>
      <c r="BP454" s="85" t="s">
        <v>79</v>
      </c>
      <c r="BQ454" s="129"/>
      <c r="BS454" s="87" t="s">
        <v>79</v>
      </c>
      <c r="BT454" s="130"/>
      <c r="BU454" s="37" t="str">
        <f t="shared" si="1"/>
        <v>#NAME?</v>
      </c>
      <c r="BV454" s="89" t="s">
        <v>79</v>
      </c>
      <c r="BW454" s="37" t="str">
        <f t="shared" si="2"/>
        <v>#NAME?</v>
      </c>
      <c r="BX454" s="89"/>
      <c r="BY454" s="39"/>
      <c r="BZ454" s="39"/>
      <c r="CA454" s="40" t="s">
        <v>79</v>
      </c>
      <c r="CB454" s="41"/>
      <c r="CC454" s="90" t="s">
        <v>79</v>
      </c>
      <c r="CD454" s="91"/>
      <c r="CE454" s="21"/>
      <c r="CF454" s="92" t="s">
        <v>2345</v>
      </c>
      <c r="CG454" s="93"/>
      <c r="CH454" s="21"/>
      <c r="CI454" s="92" t="s">
        <v>2345</v>
      </c>
      <c r="CJ454" s="93"/>
      <c r="CK454" s="21"/>
      <c r="CL454" s="22" t="s">
        <v>2345</v>
      </c>
      <c r="CM454" s="12"/>
      <c r="CN454" s="48"/>
      <c r="CO454" s="95"/>
      <c r="CP454" s="21"/>
      <c r="CQ454" s="2" t="s">
        <v>4059</v>
      </c>
      <c r="CR454" s="97">
        <v>60.0</v>
      </c>
      <c r="CS454" s="2" t="s">
        <v>101</v>
      </c>
      <c r="CT454" s="98">
        <v>95.0</v>
      </c>
      <c r="CU454" s="2"/>
      <c r="CV454" s="52" t="s">
        <v>149</v>
      </c>
      <c r="CW454" s="52" t="s">
        <v>149</v>
      </c>
      <c r="CX454" s="2"/>
      <c r="CY454" s="444" t="s">
        <v>277</v>
      </c>
      <c r="CZ454" s="450"/>
      <c r="DA454" s="2"/>
      <c r="DB454" s="98">
        <v>140.0</v>
      </c>
      <c r="DC454" s="2"/>
      <c r="DD454" s="101" t="s">
        <v>683</v>
      </c>
      <c r="DE454" s="2"/>
      <c r="DF454" s="458" t="s">
        <v>4060</v>
      </c>
      <c r="DG454" s="444"/>
      <c r="DH454" s="450"/>
      <c r="DI454" s="21"/>
      <c r="DJ454" s="21"/>
      <c r="DK454" s="59" t="s">
        <v>4061</v>
      </c>
      <c r="DL454" s="37" t="s">
        <v>156</v>
      </c>
      <c r="DM454" s="37" t="str">
        <f t="shared" si="3"/>
        <v>#NAME?</v>
      </c>
      <c r="DN454" s="61"/>
      <c r="DO454" s="37" t="s">
        <v>19</v>
      </c>
      <c r="DP454" s="105">
        <v>1.0</v>
      </c>
      <c r="DQ454" s="62" t="s">
        <v>20</v>
      </c>
      <c r="DR454" s="63"/>
      <c r="DS454" s="198"/>
      <c r="DT454" s="108"/>
      <c r="DU454" s="108"/>
      <c r="DV454" s="182"/>
      <c r="DW454" s="182"/>
      <c r="DX454" s="182"/>
      <c r="DY454" s="182"/>
      <c r="DZ454" s="182"/>
      <c r="EA454" s="182"/>
      <c r="EB454" s="21"/>
      <c r="EC454" s="21"/>
      <c r="ED454" s="21"/>
      <c r="EE454" s="21"/>
      <c r="EF454" s="21"/>
      <c r="EG454" s="108"/>
      <c r="EH454" s="442"/>
      <c r="EI454" s="442"/>
    </row>
    <row r="455" ht="15.75" customHeight="1">
      <c r="A455" s="1">
        <v>450.0</v>
      </c>
      <c r="B455" s="2" t="s">
        <v>4062</v>
      </c>
      <c r="C455" s="7"/>
      <c r="D455" s="167" t="s">
        <v>4063</v>
      </c>
      <c r="E455" s="5"/>
      <c r="F455" s="168"/>
      <c r="G455" s="7"/>
      <c r="H455" s="8" t="s">
        <v>4064</v>
      </c>
      <c r="I455" s="9" t="s">
        <v>4065</v>
      </c>
      <c r="J455" s="355" t="str">
        <f>image("https://archives.bulbagarden.net/media/upload/0/0b/450MS6.png", 3)</f>
        <v/>
      </c>
      <c r="K455" s="11" t="s">
        <v>4063</v>
      </c>
      <c r="L455" s="12"/>
      <c r="M455" s="12"/>
      <c r="N455" s="12"/>
      <c r="O455" s="12"/>
      <c r="Q455" s="71">
        <v>108.0</v>
      </c>
      <c r="R455" s="72">
        <v>112.0</v>
      </c>
      <c r="S455" s="73">
        <v>118.0</v>
      </c>
      <c r="T455" s="74">
        <v>68.0</v>
      </c>
      <c r="U455" s="75">
        <v>72.0</v>
      </c>
      <c r="V455" s="76">
        <v>47.0</v>
      </c>
      <c r="W455" s="77">
        <v>525.0</v>
      </c>
      <c r="X455" s="21"/>
      <c r="Y455" s="71">
        <v>108.0</v>
      </c>
      <c r="Z455" s="72">
        <v>112.0</v>
      </c>
      <c r="AA455" s="73">
        <v>118.0</v>
      </c>
      <c r="AB455" s="74">
        <v>68.0</v>
      </c>
      <c r="AC455" s="75">
        <v>72.0</v>
      </c>
      <c r="AD455" s="76">
        <v>47.0</v>
      </c>
      <c r="AE455" s="77">
        <v>525.0</v>
      </c>
      <c r="AF455" s="21"/>
      <c r="AG455" s="71">
        <v>108.0</v>
      </c>
      <c r="AH455" s="72">
        <v>112.0</v>
      </c>
      <c r="AI455" s="73">
        <v>118.0</v>
      </c>
      <c r="AJ455" s="74">
        <v>68.0</v>
      </c>
      <c r="AK455" s="75">
        <v>72.0</v>
      </c>
      <c r="AL455" s="76">
        <v>47.0</v>
      </c>
      <c r="AM455" s="77">
        <v>525.0</v>
      </c>
      <c r="AN455" s="21"/>
      <c r="AO455" s="22">
        <v>108.0</v>
      </c>
      <c r="AP455" s="23">
        <v>112.0</v>
      </c>
      <c r="AQ455" s="23">
        <v>118.0</v>
      </c>
      <c r="AR455" s="23">
        <v>68.0</v>
      </c>
      <c r="AS455" s="23">
        <v>72.0</v>
      </c>
      <c r="AT455" s="23">
        <v>47.0</v>
      </c>
      <c r="AU455" s="24">
        <v>525.0</v>
      </c>
      <c r="AV455" s="21"/>
      <c r="AW455" s="78">
        <v>108.0</v>
      </c>
      <c r="AX455" s="79">
        <v>112.0</v>
      </c>
      <c r="AY455" s="79">
        <v>118.0</v>
      </c>
      <c r="AZ455" s="79">
        <v>68.0</v>
      </c>
      <c r="BA455" s="79">
        <v>72.0</v>
      </c>
      <c r="BB455" s="79">
        <v>47.0</v>
      </c>
      <c r="BC455" s="201">
        <v>525.0</v>
      </c>
      <c r="BE455" s="156" t="s">
        <v>162</v>
      </c>
      <c r="BF455" s="113"/>
      <c r="BG455" s="210"/>
      <c r="BI455" s="31" t="s">
        <v>5</v>
      </c>
      <c r="BJ455" s="32" t="s">
        <v>5</v>
      </c>
      <c r="BK455" s="32">
        <v>2.0</v>
      </c>
      <c r="BL455" s="32" t="s">
        <v>5</v>
      </c>
      <c r="BM455" s="32" t="s">
        <v>5</v>
      </c>
      <c r="BN455" s="33" t="s">
        <v>5</v>
      </c>
      <c r="BP455" s="115" t="s">
        <v>79</v>
      </c>
      <c r="BQ455" s="93"/>
      <c r="BS455" s="115" t="s">
        <v>79</v>
      </c>
      <c r="BT455" s="133"/>
      <c r="BU455" s="37" t="str">
        <f t="shared" si="1"/>
        <v>#NAME?</v>
      </c>
      <c r="BV455" s="89" t="s">
        <v>79</v>
      </c>
      <c r="BW455" s="37" t="str">
        <f t="shared" si="2"/>
        <v>#NAME?</v>
      </c>
      <c r="BX455" s="89"/>
      <c r="BY455" s="39"/>
      <c r="BZ455" s="39"/>
      <c r="CA455" s="40" t="s">
        <v>79</v>
      </c>
      <c r="CB455" s="41"/>
      <c r="CC455" s="90" t="s">
        <v>79</v>
      </c>
      <c r="CD455" s="91"/>
      <c r="CE455" s="21"/>
      <c r="CF455" s="92" t="s">
        <v>2345</v>
      </c>
      <c r="CG455" s="93"/>
      <c r="CH455" s="21"/>
      <c r="CI455" s="177" t="s">
        <v>2345</v>
      </c>
      <c r="CJ455" s="188"/>
      <c r="CK455" s="21"/>
      <c r="CL455" s="22" t="s">
        <v>2345</v>
      </c>
      <c r="CM455" s="12"/>
      <c r="CN455" s="48"/>
      <c r="CO455" s="153"/>
      <c r="CP455" s="21"/>
      <c r="CQ455" s="2" t="s">
        <v>843</v>
      </c>
      <c r="CR455" s="97">
        <v>120.0</v>
      </c>
      <c r="CS455" s="2" t="s">
        <v>162</v>
      </c>
      <c r="CT455" s="98">
        <v>198.0</v>
      </c>
      <c r="CU455" s="2"/>
      <c r="CV455" s="52" t="s">
        <v>149</v>
      </c>
      <c r="CW455" s="52" t="s">
        <v>149</v>
      </c>
      <c r="CX455" s="2"/>
      <c r="CY455" s="119" t="s">
        <v>277</v>
      </c>
      <c r="CZ455" s="160"/>
      <c r="DA455" s="2"/>
      <c r="DB455" s="98">
        <v>60.0</v>
      </c>
      <c r="DC455" s="2"/>
      <c r="DD455" s="101" t="s">
        <v>683</v>
      </c>
      <c r="DE455" s="2"/>
      <c r="DF455" s="120" t="s">
        <v>4066</v>
      </c>
      <c r="DG455" s="119"/>
      <c r="DH455" s="160"/>
      <c r="DI455" s="2"/>
      <c r="DJ455" s="2"/>
      <c r="DK455" s="59" t="s">
        <v>4067</v>
      </c>
      <c r="DL455" s="37" t="s">
        <v>76</v>
      </c>
      <c r="DM455" s="37" t="str">
        <f t="shared" si="3"/>
        <v>#NAME?</v>
      </c>
      <c r="DN455" s="61"/>
      <c r="DO455" s="37" t="s">
        <v>19</v>
      </c>
      <c r="DP455" s="105">
        <v>1.0</v>
      </c>
      <c r="DQ455" s="62" t="s">
        <v>49</v>
      </c>
      <c r="DR455" s="63"/>
      <c r="DS455" s="198"/>
      <c r="DT455" s="108"/>
      <c r="DU455" s="108"/>
      <c r="DV455" s="182"/>
      <c r="DW455" s="182"/>
      <c r="DX455" s="182"/>
      <c r="DY455" s="182"/>
      <c r="DZ455" s="182"/>
      <c r="EA455" s="182"/>
      <c r="EB455" s="2"/>
      <c r="EC455" s="2"/>
      <c r="ED455" s="2"/>
      <c r="EE455" s="2"/>
      <c r="EF455" s="2"/>
      <c r="EG455" s="449"/>
      <c r="EH455" s="428"/>
      <c r="EI455" s="428"/>
    </row>
    <row r="456" ht="15.75" customHeight="1">
      <c r="A456" s="1">
        <v>451.0</v>
      </c>
      <c r="B456" s="2" t="s">
        <v>4068</v>
      </c>
      <c r="C456" s="7"/>
      <c r="D456" s="180" t="s">
        <v>4069</v>
      </c>
      <c r="E456" s="5"/>
      <c r="F456" s="181"/>
      <c r="G456" s="7"/>
      <c r="H456" s="8" t="s">
        <v>4070</v>
      </c>
      <c r="I456" s="9" t="s">
        <v>4071</v>
      </c>
      <c r="J456" s="355" t="str">
        <f>image("https://archives.bulbagarden.net/media/upload/4/49/451MS6.png", 3)</f>
        <v/>
      </c>
      <c r="K456" s="11" t="s">
        <v>4069</v>
      </c>
      <c r="L456" s="12"/>
      <c r="M456" s="12"/>
      <c r="N456" s="12"/>
      <c r="O456" s="12"/>
      <c r="Q456" s="71">
        <v>40.0</v>
      </c>
      <c r="R456" s="72">
        <v>50.0</v>
      </c>
      <c r="S456" s="73">
        <v>90.0</v>
      </c>
      <c r="T456" s="74">
        <v>30.0</v>
      </c>
      <c r="U456" s="75">
        <v>55.0</v>
      </c>
      <c r="V456" s="76">
        <v>65.0</v>
      </c>
      <c r="W456" s="77">
        <v>330.0</v>
      </c>
      <c r="X456" s="21"/>
      <c r="Y456" s="71">
        <v>40.0</v>
      </c>
      <c r="Z456" s="72">
        <v>50.0</v>
      </c>
      <c r="AA456" s="73">
        <v>90.0</v>
      </c>
      <c r="AB456" s="74">
        <v>30.0</v>
      </c>
      <c r="AC456" s="75">
        <v>55.0</v>
      </c>
      <c r="AD456" s="76">
        <v>65.0</v>
      </c>
      <c r="AE456" s="77">
        <v>330.0</v>
      </c>
      <c r="AF456" s="21"/>
      <c r="AG456" s="71">
        <v>40.0</v>
      </c>
      <c r="AH456" s="72">
        <v>50.0</v>
      </c>
      <c r="AI456" s="73">
        <v>90.0</v>
      </c>
      <c r="AJ456" s="74">
        <v>30.0</v>
      </c>
      <c r="AK456" s="75">
        <v>55.0</v>
      </c>
      <c r="AL456" s="76">
        <v>65.0</v>
      </c>
      <c r="AM456" s="77">
        <v>330.0</v>
      </c>
      <c r="AN456" s="21"/>
      <c r="AO456" s="22">
        <v>40.0</v>
      </c>
      <c r="AP456" s="23">
        <v>50.0</v>
      </c>
      <c r="AQ456" s="23">
        <v>90.0</v>
      </c>
      <c r="AR456" s="23">
        <v>30.0</v>
      </c>
      <c r="AS456" s="23">
        <v>55.0</v>
      </c>
      <c r="AT456" s="23">
        <v>65.0</v>
      </c>
      <c r="AU456" s="24">
        <v>330.0</v>
      </c>
      <c r="AV456" s="21"/>
      <c r="AW456" s="78">
        <v>40.0</v>
      </c>
      <c r="AX456" s="79">
        <v>50.0</v>
      </c>
      <c r="AY456" s="79">
        <v>90.0</v>
      </c>
      <c r="AZ456" s="79">
        <v>30.0</v>
      </c>
      <c r="BA456" s="79">
        <v>55.0</v>
      </c>
      <c r="BB456" s="79">
        <v>65.0</v>
      </c>
      <c r="BC456" s="201">
        <v>330.0</v>
      </c>
      <c r="BE456" s="142" t="s">
        <v>101</v>
      </c>
      <c r="BF456" s="447"/>
      <c r="BG456" s="128"/>
      <c r="BI456" s="31" t="s">
        <v>5</v>
      </c>
      <c r="BJ456" s="32" t="s">
        <v>5</v>
      </c>
      <c r="BK456" s="32">
        <v>1.0</v>
      </c>
      <c r="BL456" s="32" t="s">
        <v>5</v>
      </c>
      <c r="BM456" s="32" t="s">
        <v>5</v>
      </c>
      <c r="BN456" s="33" t="s">
        <v>5</v>
      </c>
      <c r="BP456" s="85" t="s">
        <v>7</v>
      </c>
      <c r="BQ456" s="86" t="s">
        <v>109</v>
      </c>
      <c r="BS456" s="87" t="s">
        <v>7</v>
      </c>
      <c r="BT456" s="88" t="s">
        <v>109</v>
      </c>
      <c r="BU456" s="37" t="str">
        <f t="shared" si="1"/>
        <v>#NAME?</v>
      </c>
      <c r="BV456" s="89" t="s">
        <v>7</v>
      </c>
      <c r="BW456" s="37" t="str">
        <f t="shared" si="2"/>
        <v>#NAME?</v>
      </c>
      <c r="BX456" s="89" t="s">
        <v>109</v>
      </c>
      <c r="BY456" s="39"/>
      <c r="BZ456" s="39"/>
      <c r="CA456" s="40" t="s">
        <v>4072</v>
      </c>
      <c r="CB456" s="41"/>
      <c r="CC456" s="90" t="s">
        <v>7</v>
      </c>
      <c r="CD456" s="91" t="s">
        <v>109</v>
      </c>
      <c r="CE456" s="2"/>
      <c r="CF456" s="92" t="s">
        <v>1430</v>
      </c>
      <c r="CG456" s="93" t="s">
        <v>301</v>
      </c>
      <c r="CH456" s="2"/>
      <c r="CI456" s="272" t="s">
        <v>301</v>
      </c>
      <c r="CJ456" s="273" t="s">
        <v>1430</v>
      </c>
      <c r="CK456" s="2"/>
      <c r="CL456" s="22" t="s">
        <v>4073</v>
      </c>
      <c r="CM456" s="12"/>
      <c r="CN456" s="48"/>
      <c r="CO456" s="239" t="s">
        <v>1430</v>
      </c>
      <c r="CP456" s="2"/>
      <c r="CQ456" s="2" t="s">
        <v>377</v>
      </c>
      <c r="CR456" s="97">
        <v>40.0</v>
      </c>
      <c r="CS456" s="2" t="s">
        <v>101</v>
      </c>
      <c r="CT456" s="98">
        <v>114.0</v>
      </c>
      <c r="CU456" s="2"/>
      <c r="CV456" s="52" t="s">
        <v>149</v>
      </c>
      <c r="CW456" s="52" t="s">
        <v>149</v>
      </c>
      <c r="CX456" s="2"/>
      <c r="CY456" s="443" t="s">
        <v>109</v>
      </c>
      <c r="CZ456" s="444" t="s">
        <v>807</v>
      </c>
      <c r="DA456" s="2"/>
      <c r="DB456" s="98">
        <v>120.0</v>
      </c>
      <c r="DC456" s="2"/>
      <c r="DD456" s="101" t="s">
        <v>683</v>
      </c>
      <c r="DE456" s="2"/>
      <c r="DF456" s="457" t="s">
        <v>4074</v>
      </c>
      <c r="DG456" s="443" t="s">
        <v>223</v>
      </c>
      <c r="DH456" s="444"/>
      <c r="DI456" s="21"/>
      <c r="DJ456" s="21"/>
      <c r="DK456" s="59" t="s">
        <v>4075</v>
      </c>
      <c r="DL456" s="37" t="s">
        <v>156</v>
      </c>
      <c r="DM456" s="37" t="str">
        <f t="shared" si="3"/>
        <v>#NAME?</v>
      </c>
      <c r="DN456" s="61"/>
      <c r="DO456" s="37" t="s">
        <v>19</v>
      </c>
      <c r="DP456" s="37" t="s">
        <v>19</v>
      </c>
      <c r="DQ456" s="62" t="s">
        <v>20</v>
      </c>
      <c r="DR456" s="63"/>
      <c r="DS456" s="198"/>
      <c r="DT456" s="108"/>
      <c r="DU456" s="108"/>
      <c r="DV456" s="182"/>
      <c r="DW456" s="182"/>
      <c r="DX456" s="182"/>
      <c r="DY456" s="182"/>
      <c r="DZ456" s="182"/>
      <c r="EA456" s="182"/>
      <c r="EB456" s="21"/>
      <c r="EC456" s="21"/>
      <c r="ED456" s="21"/>
      <c r="EE456" s="21"/>
      <c r="EF456" s="21"/>
      <c r="EG456" s="108"/>
      <c r="EH456" s="442"/>
      <c r="EI456" s="442"/>
    </row>
    <row r="457" ht="15.75" customHeight="1">
      <c r="A457" s="1">
        <v>452.0</v>
      </c>
      <c r="B457" s="2" t="s">
        <v>4076</v>
      </c>
      <c r="C457" s="7"/>
      <c r="D457" s="180" t="s">
        <v>4077</v>
      </c>
      <c r="E457" s="5"/>
      <c r="F457" s="181"/>
      <c r="G457" s="7"/>
      <c r="H457" s="8" t="s">
        <v>4078</v>
      </c>
      <c r="I457" s="9" t="s">
        <v>4079</v>
      </c>
      <c r="J457" s="355" t="str">
        <f>image("https://archives.bulbagarden.net/media/upload/7/78/452MS6.png", 3)</f>
        <v/>
      </c>
      <c r="K457" s="11" t="s">
        <v>4077</v>
      </c>
      <c r="L457" s="12"/>
      <c r="M457" s="12"/>
      <c r="N457" s="12"/>
      <c r="O457" s="12"/>
      <c r="Q457" s="71">
        <v>70.0</v>
      </c>
      <c r="R457" s="72">
        <v>90.0</v>
      </c>
      <c r="S457" s="73">
        <v>110.0</v>
      </c>
      <c r="T457" s="74">
        <v>60.0</v>
      </c>
      <c r="U457" s="75">
        <v>75.0</v>
      </c>
      <c r="V457" s="76">
        <v>95.0</v>
      </c>
      <c r="W457" s="77">
        <v>500.0</v>
      </c>
      <c r="X457" s="21"/>
      <c r="Y457" s="71">
        <v>70.0</v>
      </c>
      <c r="Z457" s="72">
        <v>90.0</v>
      </c>
      <c r="AA457" s="73">
        <v>110.0</v>
      </c>
      <c r="AB457" s="74">
        <v>60.0</v>
      </c>
      <c r="AC457" s="75">
        <v>75.0</v>
      </c>
      <c r="AD457" s="76">
        <v>95.0</v>
      </c>
      <c r="AE457" s="77">
        <v>500.0</v>
      </c>
      <c r="AF457" s="21"/>
      <c r="AG457" s="71">
        <v>70.0</v>
      </c>
      <c r="AH457" s="72">
        <v>90.0</v>
      </c>
      <c r="AI457" s="73">
        <v>110.0</v>
      </c>
      <c r="AJ457" s="74">
        <v>60.0</v>
      </c>
      <c r="AK457" s="75">
        <v>75.0</v>
      </c>
      <c r="AL457" s="76">
        <v>95.0</v>
      </c>
      <c r="AM457" s="77">
        <v>500.0</v>
      </c>
      <c r="AN457" s="21"/>
      <c r="AO457" s="22">
        <v>70.0</v>
      </c>
      <c r="AP457" s="23">
        <v>90.0</v>
      </c>
      <c r="AQ457" s="23">
        <v>110.0</v>
      </c>
      <c r="AR457" s="23">
        <v>60.0</v>
      </c>
      <c r="AS457" s="23">
        <v>75.0</v>
      </c>
      <c r="AT457" s="23">
        <v>95.0</v>
      </c>
      <c r="AU457" s="24">
        <v>500.0</v>
      </c>
      <c r="AV457" s="21"/>
      <c r="AW457" s="78">
        <v>70.0</v>
      </c>
      <c r="AX457" s="79">
        <v>90.0</v>
      </c>
      <c r="AY457" s="79">
        <v>110.0</v>
      </c>
      <c r="AZ457" s="79">
        <v>60.0</v>
      </c>
      <c r="BA457" s="79">
        <v>75.0</v>
      </c>
      <c r="BB457" s="79">
        <v>95.0</v>
      </c>
      <c r="BC457" s="201">
        <v>500.0</v>
      </c>
      <c r="BE457" s="156" t="s">
        <v>162</v>
      </c>
      <c r="BF457" s="113"/>
      <c r="BG457" s="210"/>
      <c r="BI457" s="31" t="s">
        <v>5</v>
      </c>
      <c r="BJ457" s="32" t="s">
        <v>5</v>
      </c>
      <c r="BK457" s="32">
        <v>2.0</v>
      </c>
      <c r="BL457" s="32" t="s">
        <v>5</v>
      </c>
      <c r="BM457" s="32" t="s">
        <v>5</v>
      </c>
      <c r="BN457" s="33" t="s">
        <v>5</v>
      </c>
      <c r="BP457" s="115" t="s">
        <v>7</v>
      </c>
      <c r="BQ457" s="116" t="s">
        <v>76</v>
      </c>
      <c r="BS457" s="115" t="s">
        <v>7</v>
      </c>
      <c r="BT457" s="117" t="s">
        <v>76</v>
      </c>
      <c r="BU457" s="37" t="str">
        <f t="shared" si="1"/>
        <v>#NAME?</v>
      </c>
      <c r="BV457" s="89" t="s">
        <v>7</v>
      </c>
      <c r="BW457" s="37" t="str">
        <f t="shared" si="2"/>
        <v>#NAME?</v>
      </c>
      <c r="BX457" s="89" t="s">
        <v>76</v>
      </c>
      <c r="BY457" s="39"/>
      <c r="BZ457" s="39"/>
      <c r="CA457" s="40" t="s">
        <v>3958</v>
      </c>
      <c r="CB457" s="41"/>
      <c r="CC457" s="90" t="s">
        <v>7</v>
      </c>
      <c r="CD457" s="91" t="s">
        <v>76</v>
      </c>
      <c r="CE457" s="2"/>
      <c r="CF457" s="92" t="s">
        <v>1430</v>
      </c>
      <c r="CG457" s="93" t="s">
        <v>301</v>
      </c>
      <c r="CH457" s="2"/>
      <c r="CI457" s="362" t="s">
        <v>301</v>
      </c>
      <c r="CJ457" s="359" t="s">
        <v>1430</v>
      </c>
      <c r="CK457" s="2"/>
      <c r="CL457" s="22" t="s">
        <v>4073</v>
      </c>
      <c r="CM457" s="12"/>
      <c r="CN457" s="48"/>
      <c r="CO457" s="360" t="s">
        <v>1430</v>
      </c>
      <c r="CP457" s="2"/>
      <c r="CQ457" s="2" t="s">
        <v>1783</v>
      </c>
      <c r="CR457" s="97">
        <v>80.0</v>
      </c>
      <c r="CS457" s="2" t="s">
        <v>162</v>
      </c>
      <c r="CT457" s="98">
        <v>204.0</v>
      </c>
      <c r="CU457" s="2"/>
      <c r="CV457" s="52" t="s">
        <v>149</v>
      </c>
      <c r="CW457" s="52" t="s">
        <v>149</v>
      </c>
      <c r="CX457" s="2"/>
      <c r="CY457" s="118" t="s">
        <v>109</v>
      </c>
      <c r="CZ457" s="119" t="s">
        <v>807</v>
      </c>
      <c r="DA457" s="2"/>
      <c r="DB457" s="98">
        <v>45.0</v>
      </c>
      <c r="DC457" s="2"/>
      <c r="DD457" s="101" t="s">
        <v>683</v>
      </c>
      <c r="DE457" s="2"/>
      <c r="DF457" s="159" t="s">
        <v>4080</v>
      </c>
      <c r="DG457" s="118" t="s">
        <v>223</v>
      </c>
      <c r="DH457" s="119"/>
      <c r="DI457" s="2"/>
      <c r="DJ457" s="2"/>
      <c r="DK457" s="59" t="s">
        <v>4081</v>
      </c>
      <c r="DL457" s="37" t="s">
        <v>6</v>
      </c>
      <c r="DM457" s="37" t="str">
        <f t="shared" si="3"/>
        <v>#NAME?</v>
      </c>
      <c r="DN457" s="61"/>
      <c r="DO457" s="37" t="s">
        <v>19</v>
      </c>
      <c r="DP457" s="37" t="s">
        <v>19</v>
      </c>
      <c r="DQ457" s="62" t="s">
        <v>293</v>
      </c>
      <c r="DR457" s="63"/>
      <c r="DS457" s="198"/>
      <c r="DT457" s="108"/>
      <c r="DU457" s="108"/>
      <c r="DV457" s="182"/>
      <c r="DW457" s="182"/>
      <c r="DX457" s="182"/>
      <c r="DY457" s="182"/>
      <c r="DZ457" s="182"/>
      <c r="EA457" s="182"/>
      <c r="EB457" s="2"/>
      <c r="EC457" s="2"/>
      <c r="ED457" s="2"/>
      <c r="EE457" s="2"/>
      <c r="EF457" s="2"/>
      <c r="EG457" s="449"/>
      <c r="EH457" s="428"/>
      <c r="EI457" s="428"/>
    </row>
    <row r="458" ht="15.75" customHeight="1">
      <c r="A458" s="1">
        <v>453.0</v>
      </c>
      <c r="B458" s="2" t="s">
        <v>4082</v>
      </c>
      <c r="C458" s="7"/>
      <c r="D458" s="140" t="s">
        <v>4083</v>
      </c>
      <c r="E458" s="5"/>
      <c r="F458" s="141"/>
      <c r="G458" s="7"/>
      <c r="H458" s="8" t="s">
        <v>4084</v>
      </c>
      <c r="I458" s="9" t="s">
        <v>4085</v>
      </c>
      <c r="J458" s="355" t="str">
        <f>image("https://archives.bulbagarden.net/media/upload/8/8a/453MS6.png", 3)</f>
        <v/>
      </c>
      <c r="K458" s="11" t="s">
        <v>4083</v>
      </c>
      <c r="L458" s="12"/>
      <c r="M458" s="12"/>
      <c r="N458" s="12"/>
      <c r="O458" s="12"/>
      <c r="Q458" s="71">
        <v>48.0</v>
      </c>
      <c r="R458" s="72">
        <v>61.0</v>
      </c>
      <c r="S458" s="73">
        <v>40.0</v>
      </c>
      <c r="T458" s="74">
        <v>61.0</v>
      </c>
      <c r="U458" s="75">
        <v>40.0</v>
      </c>
      <c r="V458" s="76">
        <v>50.0</v>
      </c>
      <c r="W458" s="77">
        <v>300.0</v>
      </c>
      <c r="X458" s="21"/>
      <c r="Y458" s="71">
        <v>48.0</v>
      </c>
      <c r="Z458" s="72">
        <v>61.0</v>
      </c>
      <c r="AA458" s="73">
        <v>40.0</v>
      </c>
      <c r="AB458" s="74">
        <v>61.0</v>
      </c>
      <c r="AC458" s="75">
        <v>40.0</v>
      </c>
      <c r="AD458" s="76">
        <v>50.0</v>
      </c>
      <c r="AE458" s="77">
        <v>300.0</v>
      </c>
      <c r="AF458" s="21"/>
      <c r="AG458" s="71">
        <v>48.0</v>
      </c>
      <c r="AH458" s="72">
        <v>61.0</v>
      </c>
      <c r="AI458" s="73">
        <v>40.0</v>
      </c>
      <c r="AJ458" s="74">
        <v>61.0</v>
      </c>
      <c r="AK458" s="75">
        <v>40.0</v>
      </c>
      <c r="AL458" s="76">
        <v>50.0</v>
      </c>
      <c r="AM458" s="77">
        <v>300.0</v>
      </c>
      <c r="AN458" s="21"/>
      <c r="AO458" s="22">
        <v>48.0</v>
      </c>
      <c r="AP458" s="23">
        <v>61.0</v>
      </c>
      <c r="AQ458" s="23">
        <v>40.0</v>
      </c>
      <c r="AR458" s="23">
        <v>61.0</v>
      </c>
      <c r="AS458" s="23">
        <v>40.0</v>
      </c>
      <c r="AT458" s="23">
        <v>50.0</v>
      </c>
      <c r="AU458" s="24">
        <v>300.0</v>
      </c>
      <c r="AV458" s="21"/>
      <c r="AW458" s="78">
        <v>48.0</v>
      </c>
      <c r="AX458" s="79">
        <v>61.0</v>
      </c>
      <c r="AY458" s="79">
        <v>40.0</v>
      </c>
      <c r="AZ458" s="79">
        <v>61.0</v>
      </c>
      <c r="BA458" s="79">
        <v>40.0</v>
      </c>
      <c r="BB458" s="79">
        <v>50.0</v>
      </c>
      <c r="BC458" s="201">
        <v>300.0</v>
      </c>
      <c r="BE458" s="194" t="s">
        <v>325</v>
      </c>
      <c r="BF458" s="447"/>
      <c r="BG458" s="128"/>
      <c r="BI458" s="31" t="s">
        <v>5</v>
      </c>
      <c r="BJ458" s="32">
        <v>1.0</v>
      </c>
      <c r="BK458" s="32" t="s">
        <v>5</v>
      </c>
      <c r="BL458" s="32" t="s">
        <v>5</v>
      </c>
      <c r="BM458" s="32" t="s">
        <v>5</v>
      </c>
      <c r="BN458" s="33" t="s">
        <v>5</v>
      </c>
      <c r="BP458" s="85" t="s">
        <v>7</v>
      </c>
      <c r="BQ458" s="86" t="s">
        <v>64</v>
      </c>
      <c r="BS458" s="87" t="s">
        <v>7</v>
      </c>
      <c r="BT458" s="88" t="s">
        <v>64</v>
      </c>
      <c r="BU458" s="37" t="str">
        <f t="shared" si="1"/>
        <v>#NAME?</v>
      </c>
      <c r="BV458" s="89" t="s">
        <v>7</v>
      </c>
      <c r="BW458" s="37" t="str">
        <f t="shared" si="2"/>
        <v>#NAME?</v>
      </c>
      <c r="BX458" s="89" t="s">
        <v>64</v>
      </c>
      <c r="BY458" s="39"/>
      <c r="BZ458" s="39"/>
      <c r="CA458" s="40" t="s">
        <v>4086</v>
      </c>
      <c r="CB458" s="41"/>
      <c r="CC458" s="90" t="s">
        <v>7</v>
      </c>
      <c r="CD458" s="91" t="s">
        <v>64</v>
      </c>
      <c r="CE458" s="2"/>
      <c r="CF458" s="92" t="s">
        <v>3151</v>
      </c>
      <c r="CG458" s="93" t="s">
        <v>574</v>
      </c>
      <c r="CH458" s="2"/>
      <c r="CI458" s="362" t="s">
        <v>574</v>
      </c>
      <c r="CJ458" s="359" t="s">
        <v>3151</v>
      </c>
      <c r="CK458" s="2"/>
      <c r="CL458" s="22" t="s">
        <v>4087</v>
      </c>
      <c r="CM458" s="12"/>
      <c r="CN458" s="48"/>
      <c r="CO458" s="360" t="s">
        <v>3151</v>
      </c>
      <c r="CP458" s="2"/>
      <c r="CQ458" s="2" t="s">
        <v>3645</v>
      </c>
      <c r="CR458" s="97">
        <v>40.0</v>
      </c>
      <c r="CS458" s="2" t="s">
        <v>325</v>
      </c>
      <c r="CT458" s="98">
        <v>83.0</v>
      </c>
      <c r="CU458" s="2"/>
      <c r="CV458" s="52" t="s">
        <v>149</v>
      </c>
      <c r="CW458" s="52" t="s">
        <v>149</v>
      </c>
      <c r="CX458" s="2"/>
      <c r="CY458" s="444" t="s">
        <v>728</v>
      </c>
      <c r="CZ458" s="450"/>
      <c r="DA458" s="2"/>
      <c r="DB458" s="98">
        <v>140.0</v>
      </c>
      <c r="DC458" s="2"/>
      <c r="DD458" s="101" t="s">
        <v>150</v>
      </c>
      <c r="DE458" s="2"/>
      <c r="DF458" s="464" t="s">
        <v>4088</v>
      </c>
      <c r="DG458" s="443" t="s">
        <v>966</v>
      </c>
      <c r="DH458" s="450"/>
      <c r="DI458" s="21"/>
      <c r="DJ458" s="21"/>
      <c r="DK458" s="59" t="s">
        <v>4089</v>
      </c>
      <c r="DL458" s="37" t="s">
        <v>109</v>
      </c>
      <c r="DM458" s="37" t="str">
        <f t="shared" si="3"/>
        <v>#NAME?</v>
      </c>
      <c r="DN458" s="61"/>
      <c r="DO458" s="37" t="s">
        <v>19</v>
      </c>
      <c r="DP458" s="37" t="s">
        <v>19</v>
      </c>
      <c r="DQ458" s="62" t="s">
        <v>20</v>
      </c>
      <c r="DR458" s="63"/>
      <c r="DS458" s="198"/>
      <c r="DT458" s="108"/>
      <c r="DU458" s="108"/>
      <c r="DV458" s="182"/>
      <c r="DW458" s="182"/>
      <c r="DX458" s="182"/>
      <c r="DY458" s="182"/>
      <c r="DZ458" s="182"/>
      <c r="EA458" s="182"/>
      <c r="EB458" s="21"/>
      <c r="EC458" s="21"/>
      <c r="ED458" s="21"/>
      <c r="EE458" s="21"/>
      <c r="EF458" s="21"/>
      <c r="EG458" s="108"/>
      <c r="EH458" s="442"/>
      <c r="EI458" s="442"/>
    </row>
    <row r="459" ht="15.75" customHeight="1">
      <c r="A459" s="1">
        <v>454.0</v>
      </c>
      <c r="B459" s="2" t="s">
        <v>4090</v>
      </c>
      <c r="C459" s="7"/>
      <c r="D459" s="140" t="s">
        <v>4091</v>
      </c>
      <c r="E459" s="5"/>
      <c r="F459" s="141"/>
      <c r="G459" s="7"/>
      <c r="H459" s="8" t="s">
        <v>4092</v>
      </c>
      <c r="I459" s="9" t="s">
        <v>4093</v>
      </c>
      <c r="J459" s="355" t="str">
        <f>image("https://archives.bulbagarden.net/media/upload/1/1a/454MS6.png", 3)</f>
        <v/>
      </c>
      <c r="K459" s="11" t="s">
        <v>4091</v>
      </c>
      <c r="L459" s="12"/>
      <c r="M459" s="12"/>
      <c r="N459" s="12"/>
      <c r="O459" s="12"/>
      <c r="Q459" s="71">
        <v>83.0</v>
      </c>
      <c r="R459" s="72">
        <v>106.0</v>
      </c>
      <c r="S459" s="73">
        <v>65.0</v>
      </c>
      <c r="T459" s="74">
        <v>86.0</v>
      </c>
      <c r="U459" s="75">
        <v>65.0</v>
      </c>
      <c r="V459" s="76">
        <v>85.0</v>
      </c>
      <c r="W459" s="77">
        <v>490.0</v>
      </c>
      <c r="X459" s="21"/>
      <c r="Y459" s="71">
        <v>83.0</v>
      </c>
      <c r="Z459" s="72">
        <v>106.0</v>
      </c>
      <c r="AA459" s="73">
        <v>65.0</v>
      </c>
      <c r="AB459" s="74">
        <v>86.0</v>
      </c>
      <c r="AC459" s="75">
        <v>65.0</v>
      </c>
      <c r="AD459" s="76">
        <v>85.0</v>
      </c>
      <c r="AE459" s="77">
        <v>490.0</v>
      </c>
      <c r="AF459" s="21"/>
      <c r="AG459" s="71">
        <v>83.0</v>
      </c>
      <c r="AH459" s="72">
        <v>106.0</v>
      </c>
      <c r="AI459" s="73">
        <v>65.0</v>
      </c>
      <c r="AJ459" s="74">
        <v>86.0</v>
      </c>
      <c r="AK459" s="75">
        <v>65.0</v>
      </c>
      <c r="AL459" s="76">
        <v>85.0</v>
      </c>
      <c r="AM459" s="77">
        <v>490.0</v>
      </c>
      <c r="AN459" s="21"/>
      <c r="AO459" s="22">
        <v>83.0</v>
      </c>
      <c r="AP459" s="23">
        <v>106.0</v>
      </c>
      <c r="AQ459" s="23">
        <v>65.0</v>
      </c>
      <c r="AR459" s="23">
        <v>86.0</v>
      </c>
      <c r="AS459" s="23">
        <v>65.0</v>
      </c>
      <c r="AT459" s="23">
        <v>85.0</v>
      </c>
      <c r="AU459" s="24">
        <v>490.0</v>
      </c>
      <c r="AV459" s="21"/>
      <c r="AW459" s="78">
        <v>83.0</v>
      </c>
      <c r="AX459" s="80">
        <v>106.0</v>
      </c>
      <c r="AY459" s="79">
        <v>65.0</v>
      </c>
      <c r="AZ459" s="80">
        <v>86.0</v>
      </c>
      <c r="BA459" s="79">
        <v>65.0</v>
      </c>
      <c r="BB459" s="80">
        <v>85.0</v>
      </c>
      <c r="BC459" s="81">
        <v>490.0</v>
      </c>
      <c r="BE459" s="172" t="s">
        <v>216</v>
      </c>
      <c r="BF459" s="113"/>
      <c r="BG459" s="210"/>
      <c r="BI459" s="31" t="s">
        <v>5</v>
      </c>
      <c r="BJ459" s="32">
        <v>2.0</v>
      </c>
      <c r="BK459" s="32" t="s">
        <v>5</v>
      </c>
      <c r="BL459" s="32" t="s">
        <v>5</v>
      </c>
      <c r="BM459" s="32" t="s">
        <v>5</v>
      </c>
      <c r="BN459" s="33" t="s">
        <v>5</v>
      </c>
      <c r="BP459" s="115" t="s">
        <v>7</v>
      </c>
      <c r="BQ459" s="116" t="s">
        <v>64</v>
      </c>
      <c r="BS459" s="115" t="s">
        <v>7</v>
      </c>
      <c r="BT459" s="117" t="s">
        <v>64</v>
      </c>
      <c r="BU459" s="37" t="str">
        <f t="shared" si="1"/>
        <v>#NAME?</v>
      </c>
      <c r="BV459" s="89" t="s">
        <v>7</v>
      </c>
      <c r="BW459" s="37" t="str">
        <f t="shared" si="2"/>
        <v>#NAME?</v>
      </c>
      <c r="BX459" s="89" t="s">
        <v>64</v>
      </c>
      <c r="BY459" s="39"/>
      <c r="BZ459" s="39"/>
      <c r="CA459" s="40" t="s">
        <v>4086</v>
      </c>
      <c r="CB459" s="41"/>
      <c r="CC459" s="90" t="s">
        <v>7</v>
      </c>
      <c r="CD459" s="91" t="s">
        <v>64</v>
      </c>
      <c r="CE459" s="2"/>
      <c r="CF459" s="92" t="s">
        <v>3151</v>
      </c>
      <c r="CG459" s="93" t="s">
        <v>574</v>
      </c>
      <c r="CH459" s="2"/>
      <c r="CI459" s="274" t="s">
        <v>574</v>
      </c>
      <c r="CJ459" s="275" t="s">
        <v>3151</v>
      </c>
      <c r="CK459" s="2"/>
      <c r="CL459" s="22" t="s">
        <v>4087</v>
      </c>
      <c r="CM459" s="12"/>
      <c r="CN459" s="48"/>
      <c r="CO459" s="242" t="s">
        <v>3151</v>
      </c>
      <c r="CP459" s="2"/>
      <c r="CQ459" s="2" t="s">
        <v>4094</v>
      </c>
      <c r="CR459" s="97">
        <v>60.0</v>
      </c>
      <c r="CS459" s="2" t="s">
        <v>216</v>
      </c>
      <c r="CT459" s="98">
        <v>181.0</v>
      </c>
      <c r="CU459" s="2"/>
      <c r="CV459" s="52" t="s">
        <v>149</v>
      </c>
      <c r="CW459" s="52" t="s">
        <v>149</v>
      </c>
      <c r="CX459" s="2"/>
      <c r="CY459" s="119" t="s">
        <v>728</v>
      </c>
      <c r="CZ459" s="160"/>
      <c r="DA459" s="2"/>
      <c r="DB459" s="98">
        <v>75.0</v>
      </c>
      <c r="DC459" s="2"/>
      <c r="DD459" s="101" t="s">
        <v>150</v>
      </c>
      <c r="DE459" s="2"/>
      <c r="DF459" s="159" t="s">
        <v>4095</v>
      </c>
      <c r="DG459" s="118" t="s">
        <v>966</v>
      </c>
      <c r="DH459" s="160"/>
      <c r="DI459" s="2"/>
      <c r="DJ459" s="2"/>
      <c r="DK459" s="59" t="s">
        <v>4096</v>
      </c>
      <c r="DL459" s="37" t="s">
        <v>156</v>
      </c>
      <c r="DM459" s="37" t="str">
        <f t="shared" si="3"/>
        <v>#NAME?</v>
      </c>
      <c r="DN459" s="61"/>
      <c r="DO459" s="37" t="s">
        <v>19</v>
      </c>
      <c r="DP459" s="105">
        <v>1.0</v>
      </c>
      <c r="DQ459" s="62" t="s">
        <v>342</v>
      </c>
      <c r="DR459" s="199"/>
      <c r="DS459" s="244"/>
      <c r="DT459" s="108"/>
      <c r="DU459" s="108"/>
      <c r="DV459" s="200"/>
      <c r="DW459" s="200"/>
      <c r="DX459" s="200"/>
      <c r="DY459" s="200"/>
      <c r="DZ459" s="200"/>
      <c r="EA459" s="200"/>
      <c r="EB459" s="2"/>
      <c r="EC459" s="2"/>
      <c r="ED459" s="2"/>
      <c r="EE459" s="2"/>
      <c r="EF459" s="2"/>
      <c r="EG459" s="449"/>
      <c r="EH459" s="428"/>
      <c r="EI459" s="428"/>
    </row>
    <row r="460" ht="15.75" customHeight="1">
      <c r="A460" s="1">
        <v>455.0</v>
      </c>
      <c r="B460" s="2" t="s">
        <v>4097</v>
      </c>
      <c r="C460" s="7"/>
      <c r="D460" s="4" t="s">
        <v>4098</v>
      </c>
      <c r="E460" s="5"/>
      <c r="F460" s="6"/>
      <c r="G460" s="7"/>
      <c r="H460" s="8" t="s">
        <v>4099</v>
      </c>
      <c r="I460" s="9" t="s">
        <v>4100</v>
      </c>
      <c r="J460" s="355" t="str">
        <f>image("https://archives.bulbagarden.net/media/upload/8/85/455MS6.png", 3)</f>
        <v/>
      </c>
      <c r="K460" s="11" t="s">
        <v>4098</v>
      </c>
      <c r="L460" s="12"/>
      <c r="M460" s="12"/>
      <c r="N460" s="12"/>
      <c r="O460" s="12"/>
      <c r="Q460" s="71">
        <v>74.0</v>
      </c>
      <c r="R460" s="72">
        <v>100.0</v>
      </c>
      <c r="S460" s="73">
        <v>72.0</v>
      </c>
      <c r="T460" s="74">
        <v>90.0</v>
      </c>
      <c r="U460" s="75">
        <v>72.0</v>
      </c>
      <c r="V460" s="76">
        <v>46.0</v>
      </c>
      <c r="W460" s="77">
        <v>454.0</v>
      </c>
      <c r="X460" s="21"/>
      <c r="Y460" s="71">
        <v>74.0</v>
      </c>
      <c r="Z460" s="72">
        <v>100.0</v>
      </c>
      <c r="AA460" s="73">
        <v>72.0</v>
      </c>
      <c r="AB460" s="74">
        <v>90.0</v>
      </c>
      <c r="AC460" s="75">
        <v>72.0</v>
      </c>
      <c r="AD460" s="76">
        <v>46.0</v>
      </c>
      <c r="AE460" s="77">
        <v>454.0</v>
      </c>
      <c r="AF460" s="21"/>
      <c r="AG460" s="71">
        <v>74.0</v>
      </c>
      <c r="AH460" s="109">
        <v>110.0</v>
      </c>
      <c r="AI460" s="73">
        <v>72.0</v>
      </c>
      <c r="AJ460" s="109">
        <v>100.0</v>
      </c>
      <c r="AK460" s="75">
        <v>72.0</v>
      </c>
      <c r="AL460" s="162">
        <v>36.0</v>
      </c>
      <c r="AM460" s="110">
        <v>464.0</v>
      </c>
      <c r="AN460" s="21"/>
      <c r="AO460" s="22">
        <v>74.0</v>
      </c>
      <c r="AP460" s="23" t="s">
        <v>40</v>
      </c>
      <c r="AQ460" s="23">
        <v>72.0</v>
      </c>
      <c r="AR460" s="23" t="s">
        <v>175</v>
      </c>
      <c r="AS460" s="23">
        <v>72.0</v>
      </c>
      <c r="AT460" s="23" t="s">
        <v>4101</v>
      </c>
      <c r="AU460" s="24" t="s">
        <v>4102</v>
      </c>
      <c r="AV460" s="21"/>
      <c r="AW460" s="258">
        <v>74.0</v>
      </c>
      <c r="AX460" s="171">
        <v>110.0</v>
      </c>
      <c r="AY460" s="80">
        <v>72.0</v>
      </c>
      <c r="AZ460" s="111">
        <v>100.0</v>
      </c>
      <c r="BA460" s="80">
        <v>72.0</v>
      </c>
      <c r="BB460" s="163">
        <v>36.0</v>
      </c>
      <c r="BC460" s="164">
        <v>464.0</v>
      </c>
      <c r="BE460" s="172" t="s">
        <v>216</v>
      </c>
      <c r="BF460" s="113"/>
      <c r="BG460" s="446"/>
      <c r="BI460" s="31" t="s">
        <v>5</v>
      </c>
      <c r="BJ460" s="32">
        <v>2.0</v>
      </c>
      <c r="BK460" s="32" t="s">
        <v>5</v>
      </c>
      <c r="BL460" s="32" t="s">
        <v>5</v>
      </c>
      <c r="BM460" s="32" t="s">
        <v>5</v>
      </c>
      <c r="BN460" s="33" t="s">
        <v>5</v>
      </c>
      <c r="BP460" s="85" t="s">
        <v>6</v>
      </c>
      <c r="BQ460" s="129"/>
      <c r="BS460" s="87" t="s">
        <v>6</v>
      </c>
      <c r="BT460" s="130"/>
      <c r="BU460" s="37" t="str">
        <f t="shared" si="1"/>
        <v>#NAME?</v>
      </c>
      <c r="BV460" s="89" t="s">
        <v>6</v>
      </c>
      <c r="BW460" s="37" t="str">
        <f t="shared" si="2"/>
        <v>#NAME?</v>
      </c>
      <c r="BX460" s="89"/>
      <c r="BY460" s="39"/>
      <c r="BZ460" s="39"/>
      <c r="CA460" s="40" t="s">
        <v>6</v>
      </c>
      <c r="CB460" s="41"/>
      <c r="CC460" s="90" t="s">
        <v>6</v>
      </c>
      <c r="CD460" s="91"/>
      <c r="CE460" s="21"/>
      <c r="CF460" s="92" t="s">
        <v>1001</v>
      </c>
      <c r="CG460" s="93"/>
      <c r="CH460" s="21"/>
      <c r="CI460" s="175" t="s">
        <v>1001</v>
      </c>
      <c r="CJ460" s="195"/>
      <c r="CK460" s="21"/>
      <c r="CL460" s="22" t="s">
        <v>1001</v>
      </c>
      <c r="CM460" s="12"/>
      <c r="CN460" s="48"/>
      <c r="CO460" s="165"/>
      <c r="CP460" s="21"/>
      <c r="CQ460" s="2" t="s">
        <v>1919</v>
      </c>
      <c r="CR460" s="97">
        <v>60.0</v>
      </c>
      <c r="CS460" s="2" t="s">
        <v>216</v>
      </c>
      <c r="CT460" s="98">
        <v>164.0</v>
      </c>
      <c r="CU460" s="2"/>
      <c r="CV460" s="52" t="s">
        <v>149</v>
      </c>
      <c r="CW460" s="52" t="s">
        <v>149</v>
      </c>
      <c r="CX460" s="2"/>
      <c r="CY460" s="444" t="s">
        <v>6</v>
      </c>
      <c r="CZ460" s="450"/>
      <c r="DA460" s="2"/>
      <c r="DB460" s="98">
        <v>200.0</v>
      </c>
      <c r="DC460" s="2"/>
      <c r="DD460" s="101" t="s">
        <v>683</v>
      </c>
      <c r="DE460" s="2"/>
      <c r="DF460" s="465" t="s">
        <v>914</v>
      </c>
      <c r="DG460" s="444"/>
      <c r="DH460" s="450"/>
      <c r="DI460" s="2"/>
      <c r="DJ460" s="2"/>
      <c r="DK460" s="59" t="s">
        <v>4103</v>
      </c>
      <c r="DL460" s="37" t="s">
        <v>18</v>
      </c>
      <c r="DM460" s="37" t="str">
        <f t="shared" si="3"/>
        <v>#NAME?</v>
      </c>
      <c r="DN460" s="61"/>
      <c r="DO460" s="37" t="s">
        <v>19</v>
      </c>
      <c r="DP460" s="37" t="s">
        <v>19</v>
      </c>
      <c r="DQ460" s="62" t="s">
        <v>472</v>
      </c>
      <c r="DR460" s="63"/>
      <c r="DS460" s="198"/>
      <c r="DT460" s="108"/>
      <c r="DU460" s="108"/>
      <c r="DV460" s="182"/>
      <c r="DW460" s="182"/>
      <c r="DX460" s="182"/>
      <c r="DY460" s="182"/>
      <c r="DZ460" s="182"/>
      <c r="EA460" s="182"/>
      <c r="EB460" s="2"/>
      <c r="EC460" s="2"/>
      <c r="ED460" s="2"/>
      <c r="EE460" s="2"/>
      <c r="EF460" s="2"/>
      <c r="EG460" s="449"/>
      <c r="EH460" s="428"/>
      <c r="EI460" s="428"/>
    </row>
    <row r="461" ht="15.75" customHeight="1">
      <c r="A461" s="1">
        <v>456.0</v>
      </c>
      <c r="B461" s="2" t="s">
        <v>4104</v>
      </c>
      <c r="C461" s="7"/>
      <c r="D461" s="140" t="s">
        <v>4105</v>
      </c>
      <c r="E461" s="5"/>
      <c r="F461" s="141"/>
      <c r="G461" s="7"/>
      <c r="H461" s="8" t="s">
        <v>4106</v>
      </c>
      <c r="I461" s="9" t="s">
        <v>4107</v>
      </c>
      <c r="J461" s="355" t="str">
        <f>image("https://archives.bulbagarden.net/media/upload/6/60/456MS6.png", 3)</f>
        <v/>
      </c>
      <c r="K461" s="11" t="s">
        <v>4105</v>
      </c>
      <c r="L461" s="12"/>
      <c r="M461" s="12"/>
      <c r="N461" s="12"/>
      <c r="O461" s="12"/>
      <c r="Q461" s="71">
        <v>49.0</v>
      </c>
      <c r="R461" s="72">
        <v>49.0</v>
      </c>
      <c r="S461" s="73">
        <v>56.0</v>
      </c>
      <c r="T461" s="74">
        <v>49.0</v>
      </c>
      <c r="U461" s="75">
        <v>61.0</v>
      </c>
      <c r="V461" s="76">
        <v>66.0</v>
      </c>
      <c r="W461" s="77">
        <v>330.0</v>
      </c>
      <c r="X461" s="21"/>
      <c r="Y461" s="71">
        <v>49.0</v>
      </c>
      <c r="Z461" s="72">
        <v>49.0</v>
      </c>
      <c r="AA461" s="73">
        <v>56.0</v>
      </c>
      <c r="AB461" s="74">
        <v>49.0</v>
      </c>
      <c r="AC461" s="75">
        <v>61.0</v>
      </c>
      <c r="AD461" s="76">
        <v>66.0</v>
      </c>
      <c r="AE461" s="77">
        <v>330.0</v>
      </c>
      <c r="AF461" s="21"/>
      <c r="AG461" s="261">
        <v>50.0</v>
      </c>
      <c r="AH461" s="162">
        <v>30.0</v>
      </c>
      <c r="AI461" s="109">
        <v>60.0</v>
      </c>
      <c r="AJ461" s="109">
        <v>60.0</v>
      </c>
      <c r="AK461" s="162">
        <v>60.0</v>
      </c>
      <c r="AL461" s="109">
        <v>70.0</v>
      </c>
      <c r="AM461" s="77">
        <v>330.0</v>
      </c>
      <c r="AN461" s="21"/>
      <c r="AO461" s="22" t="s">
        <v>233</v>
      </c>
      <c r="AP461" s="23" t="s">
        <v>711</v>
      </c>
      <c r="AQ461" s="23" t="s">
        <v>77</v>
      </c>
      <c r="AR461" s="23" t="s">
        <v>77</v>
      </c>
      <c r="AS461" s="23" t="s">
        <v>257</v>
      </c>
      <c r="AT461" s="23" t="s">
        <v>288</v>
      </c>
      <c r="AU461" s="24">
        <v>330.0</v>
      </c>
      <c r="AV461" s="21"/>
      <c r="AW461" s="187">
        <v>50.0</v>
      </c>
      <c r="AX461" s="163">
        <v>30.0</v>
      </c>
      <c r="AY461" s="342">
        <v>60.0</v>
      </c>
      <c r="AZ461" s="466">
        <v>60.0</v>
      </c>
      <c r="BA461" s="163">
        <v>60.0</v>
      </c>
      <c r="BB461" s="174">
        <v>70.0</v>
      </c>
      <c r="BC461" s="183">
        <v>330.0</v>
      </c>
      <c r="BE461" s="126" t="s">
        <v>56</v>
      </c>
      <c r="BF461" s="143"/>
      <c r="BG461" s="128"/>
      <c r="BI461" s="31" t="s">
        <v>5</v>
      </c>
      <c r="BJ461" s="32" t="s">
        <v>5</v>
      </c>
      <c r="BK461" s="32" t="s">
        <v>5</v>
      </c>
      <c r="BL461" s="32" t="s">
        <v>5</v>
      </c>
      <c r="BM461" s="32" t="s">
        <v>5</v>
      </c>
      <c r="BN461" s="33">
        <v>1.0</v>
      </c>
      <c r="BP461" s="115" t="s">
        <v>32</v>
      </c>
      <c r="BQ461" s="93"/>
      <c r="BS461" s="115" t="s">
        <v>32</v>
      </c>
      <c r="BT461" s="133"/>
      <c r="BU461" s="37" t="str">
        <f t="shared" si="1"/>
        <v>#NAME?</v>
      </c>
      <c r="BV461" s="89" t="s">
        <v>32</v>
      </c>
      <c r="BW461" s="37" t="str">
        <f t="shared" si="2"/>
        <v>#NAME?</v>
      </c>
      <c r="BX461" s="89"/>
      <c r="BY461" s="39"/>
      <c r="BZ461" s="39"/>
      <c r="CA461" s="40" t="s">
        <v>32</v>
      </c>
      <c r="CB461" s="41"/>
      <c r="CC461" s="90" t="s">
        <v>32</v>
      </c>
      <c r="CD461" s="91"/>
      <c r="CE461" s="21"/>
      <c r="CF461" s="92" t="s">
        <v>1212</v>
      </c>
      <c r="CG461" s="93" t="s">
        <v>3209</v>
      </c>
      <c r="CH461" s="21"/>
      <c r="CI461" s="92" t="s">
        <v>1212</v>
      </c>
      <c r="CJ461" s="93" t="s">
        <v>3209</v>
      </c>
      <c r="CK461" s="21"/>
      <c r="CL461" s="22" t="s">
        <v>1212</v>
      </c>
      <c r="CM461" s="12"/>
      <c r="CN461" s="48"/>
      <c r="CO461" s="96" t="s">
        <v>3209</v>
      </c>
      <c r="CP461" s="21"/>
      <c r="CQ461" s="2" t="s">
        <v>396</v>
      </c>
      <c r="CR461" s="97">
        <v>20.0</v>
      </c>
      <c r="CS461" s="2" t="s">
        <v>56</v>
      </c>
      <c r="CT461" s="98">
        <v>90.0</v>
      </c>
      <c r="CU461" s="2"/>
      <c r="CV461" s="52" t="s">
        <v>149</v>
      </c>
      <c r="CW461" s="52" t="s">
        <v>149</v>
      </c>
      <c r="CX461" s="2"/>
      <c r="CY461" s="119" t="s">
        <v>1236</v>
      </c>
      <c r="CZ461" s="160"/>
      <c r="DA461" s="2"/>
      <c r="DB461" s="98">
        <v>190.0</v>
      </c>
      <c r="DC461" s="2"/>
      <c r="DD461" s="101" t="s">
        <v>2698</v>
      </c>
      <c r="DE461" s="2"/>
      <c r="DF461" s="148" t="s">
        <v>4108</v>
      </c>
      <c r="DG461" s="119"/>
      <c r="DH461" s="160"/>
      <c r="DI461" s="21"/>
      <c r="DJ461" s="21"/>
      <c r="DK461" s="59" t="s">
        <v>4109</v>
      </c>
      <c r="DL461" s="37" t="s">
        <v>76</v>
      </c>
      <c r="DM461" s="37" t="str">
        <f t="shared" si="3"/>
        <v>#NAME?</v>
      </c>
      <c r="DN461" s="61"/>
      <c r="DO461" s="37" t="s">
        <v>19</v>
      </c>
      <c r="DP461" s="105">
        <v>1.0</v>
      </c>
      <c r="DQ461" s="62" t="s">
        <v>20</v>
      </c>
      <c r="DR461" s="63"/>
      <c r="DS461" s="198"/>
      <c r="DT461" s="108"/>
      <c r="DU461" s="108"/>
      <c r="DV461" s="182"/>
      <c r="DW461" s="182"/>
      <c r="DX461" s="182"/>
      <c r="DY461" s="182"/>
      <c r="DZ461" s="182"/>
      <c r="EA461" s="182"/>
      <c r="EB461" s="21"/>
      <c r="EC461" s="21"/>
      <c r="ED461" s="21"/>
      <c r="EE461" s="21"/>
      <c r="EF461" s="21"/>
      <c r="EG461" s="108"/>
      <c r="EH461" s="442"/>
      <c r="EI461" s="442"/>
    </row>
    <row r="462" ht="15.75" customHeight="1">
      <c r="A462" s="1">
        <v>457.0</v>
      </c>
      <c r="B462" s="2" t="s">
        <v>4110</v>
      </c>
      <c r="C462" s="7"/>
      <c r="D462" s="140" t="s">
        <v>4111</v>
      </c>
      <c r="E462" s="5"/>
      <c r="F462" s="141"/>
      <c r="G462" s="7"/>
      <c r="H462" s="8" t="s">
        <v>4112</v>
      </c>
      <c r="I462" s="9" t="s">
        <v>4113</v>
      </c>
      <c r="J462" s="355" t="str">
        <f>image("https://archives.bulbagarden.net/media/upload/5/54/457MS6.png", 3)</f>
        <v/>
      </c>
      <c r="K462" s="11" t="s">
        <v>4111</v>
      </c>
      <c r="L462" s="12"/>
      <c r="M462" s="12"/>
      <c r="N462" s="12"/>
      <c r="O462" s="12"/>
      <c r="Q462" s="71">
        <v>69.0</v>
      </c>
      <c r="R462" s="72">
        <v>69.0</v>
      </c>
      <c r="S462" s="73">
        <v>76.0</v>
      </c>
      <c r="T462" s="74">
        <v>69.0</v>
      </c>
      <c r="U462" s="75">
        <v>86.0</v>
      </c>
      <c r="V462" s="76">
        <v>91.0</v>
      </c>
      <c r="W462" s="77">
        <v>460.0</v>
      </c>
      <c r="X462" s="21"/>
      <c r="Y462" s="71">
        <v>69.0</v>
      </c>
      <c r="Z462" s="72">
        <v>69.0</v>
      </c>
      <c r="AA462" s="73">
        <v>76.0</v>
      </c>
      <c r="AB462" s="74">
        <v>69.0</v>
      </c>
      <c r="AC462" s="75">
        <v>86.0</v>
      </c>
      <c r="AD462" s="76">
        <v>91.0</v>
      </c>
      <c r="AE462" s="77">
        <v>460.0</v>
      </c>
      <c r="AF462" s="21"/>
      <c r="AG462" s="261">
        <v>70.0</v>
      </c>
      <c r="AH462" s="162">
        <v>40.0</v>
      </c>
      <c r="AI462" s="162">
        <v>75.0</v>
      </c>
      <c r="AJ462" s="109">
        <v>105.0</v>
      </c>
      <c r="AK462" s="109">
        <v>90.0</v>
      </c>
      <c r="AL462" s="109">
        <v>105.0</v>
      </c>
      <c r="AM462" s="110">
        <v>485.0</v>
      </c>
      <c r="AN462" s="21"/>
      <c r="AO462" s="22" t="s">
        <v>288</v>
      </c>
      <c r="AP462" s="23" t="s">
        <v>214</v>
      </c>
      <c r="AQ462" s="23" t="s">
        <v>4007</v>
      </c>
      <c r="AR462" s="23" t="s">
        <v>1622</v>
      </c>
      <c r="AS462" s="23" t="s">
        <v>128</v>
      </c>
      <c r="AT462" s="23" t="s">
        <v>1622</v>
      </c>
      <c r="AU462" s="24" t="s">
        <v>521</v>
      </c>
      <c r="AV462" s="21"/>
      <c r="AW462" s="187">
        <v>70.0</v>
      </c>
      <c r="AX462" s="163">
        <v>40.0</v>
      </c>
      <c r="AY462" s="163">
        <v>75.0</v>
      </c>
      <c r="AZ462" s="164">
        <v>105.0</v>
      </c>
      <c r="BA462" s="227">
        <v>90.0</v>
      </c>
      <c r="BB462" s="227">
        <v>105.0</v>
      </c>
      <c r="BC462" s="111">
        <v>485.0</v>
      </c>
      <c r="BE462" s="176" t="s">
        <v>248</v>
      </c>
      <c r="BF462" s="113"/>
      <c r="BG462" s="446"/>
      <c r="BI462" s="31" t="s">
        <v>5</v>
      </c>
      <c r="BJ462" s="32" t="s">
        <v>5</v>
      </c>
      <c r="BK462" s="32" t="s">
        <v>5</v>
      </c>
      <c r="BL462" s="32" t="s">
        <v>5</v>
      </c>
      <c r="BM462" s="32" t="s">
        <v>5</v>
      </c>
      <c r="BN462" s="33">
        <v>2.0</v>
      </c>
      <c r="BP462" s="85" t="s">
        <v>32</v>
      </c>
      <c r="BQ462" s="129"/>
      <c r="BS462" s="87" t="s">
        <v>32</v>
      </c>
      <c r="BT462" s="130"/>
      <c r="BU462" s="37" t="str">
        <f t="shared" si="1"/>
        <v>#NAME?</v>
      </c>
      <c r="BV462" s="89" t="s">
        <v>32</v>
      </c>
      <c r="BW462" s="37" t="str">
        <f t="shared" si="2"/>
        <v>#NAME?</v>
      </c>
      <c r="BX462" s="89"/>
      <c r="BY462" s="39"/>
      <c r="BZ462" s="39"/>
      <c r="CA462" s="40" t="s">
        <v>32</v>
      </c>
      <c r="CB462" s="41"/>
      <c r="CC462" s="90" t="s">
        <v>32</v>
      </c>
      <c r="CD462" s="91"/>
      <c r="CE462" s="21"/>
      <c r="CF462" s="92" t="s">
        <v>1212</v>
      </c>
      <c r="CG462" s="93" t="s">
        <v>3209</v>
      </c>
      <c r="CH462" s="21"/>
      <c r="CI462" s="92" t="s">
        <v>1212</v>
      </c>
      <c r="CJ462" s="93" t="s">
        <v>3209</v>
      </c>
      <c r="CK462" s="21"/>
      <c r="CL462" s="22" t="s">
        <v>1212</v>
      </c>
      <c r="CM462" s="12"/>
      <c r="CN462" s="48"/>
      <c r="CO462" s="96" t="s">
        <v>3209</v>
      </c>
      <c r="CP462" s="21"/>
      <c r="CQ462" s="2" t="s">
        <v>2673</v>
      </c>
      <c r="CR462" s="97">
        <v>40.0</v>
      </c>
      <c r="CS462" s="2" t="s">
        <v>248</v>
      </c>
      <c r="CT462" s="98">
        <v>156.0</v>
      </c>
      <c r="CU462" s="2"/>
      <c r="CV462" s="52" t="s">
        <v>149</v>
      </c>
      <c r="CW462" s="52" t="s">
        <v>149</v>
      </c>
      <c r="CX462" s="2"/>
      <c r="CY462" s="444" t="s">
        <v>1236</v>
      </c>
      <c r="CZ462" s="450"/>
      <c r="DA462" s="2"/>
      <c r="DB462" s="98">
        <v>75.0</v>
      </c>
      <c r="DC462" s="2"/>
      <c r="DD462" s="101" t="s">
        <v>2698</v>
      </c>
      <c r="DE462" s="2"/>
      <c r="DF462" s="445" t="s">
        <v>4114</v>
      </c>
      <c r="DG462" s="444"/>
      <c r="DH462" s="450"/>
      <c r="DI462" s="2"/>
      <c r="DJ462" s="2"/>
      <c r="DK462" s="59" t="s">
        <v>4115</v>
      </c>
      <c r="DL462" s="37" t="s">
        <v>156</v>
      </c>
      <c r="DM462" s="37" t="str">
        <f t="shared" si="3"/>
        <v>#NAME?</v>
      </c>
      <c r="DN462" s="61"/>
      <c r="DO462" s="37" t="s">
        <v>19</v>
      </c>
      <c r="DP462" s="105">
        <v>1.0</v>
      </c>
      <c r="DQ462" s="62" t="s">
        <v>20</v>
      </c>
      <c r="DR462" s="63"/>
      <c r="DS462" s="198"/>
      <c r="DT462" s="108"/>
      <c r="DU462" s="108"/>
      <c r="DV462" s="182"/>
      <c r="DW462" s="182"/>
      <c r="DX462" s="182"/>
      <c r="DY462" s="182"/>
      <c r="DZ462" s="182"/>
      <c r="EA462" s="182"/>
      <c r="EB462" s="2"/>
      <c r="EC462" s="2"/>
      <c r="ED462" s="2"/>
      <c r="EE462" s="2"/>
      <c r="EF462" s="2"/>
      <c r="EG462" s="449"/>
      <c r="EH462" s="428"/>
      <c r="EI462" s="428"/>
    </row>
    <row r="463" ht="15.75" customHeight="1">
      <c r="A463" s="1">
        <v>458.0</v>
      </c>
      <c r="B463" s="2" t="s">
        <v>4116</v>
      </c>
      <c r="C463" s="7"/>
      <c r="D463" s="140" t="s">
        <v>4117</v>
      </c>
      <c r="E463" s="5"/>
      <c r="F463" s="141"/>
      <c r="G463" s="7"/>
      <c r="H463" s="8" t="s">
        <v>4118</v>
      </c>
      <c r="I463" s="9" t="s">
        <v>4119</v>
      </c>
      <c r="J463" s="355" t="str">
        <f>image("https://archives.bulbagarden.net/media/upload/3/31/458MS6.png", 3)</f>
        <v/>
      </c>
      <c r="K463" s="11" t="s">
        <v>4117</v>
      </c>
      <c r="L463" s="12"/>
      <c r="M463" s="12"/>
      <c r="N463" s="12"/>
      <c r="O463" s="12"/>
      <c r="Q463" s="71">
        <v>45.0</v>
      </c>
      <c r="R463" s="72">
        <v>20.0</v>
      </c>
      <c r="S463" s="73">
        <v>50.0</v>
      </c>
      <c r="T463" s="74">
        <v>60.0</v>
      </c>
      <c r="U463" s="75">
        <v>120.0</v>
      </c>
      <c r="V463" s="76">
        <v>50.0</v>
      </c>
      <c r="W463" s="77">
        <v>345.0</v>
      </c>
      <c r="X463" s="21"/>
      <c r="Y463" s="71">
        <v>45.0</v>
      </c>
      <c r="Z463" s="72">
        <v>20.0</v>
      </c>
      <c r="AA463" s="73">
        <v>50.0</v>
      </c>
      <c r="AB463" s="74">
        <v>60.0</v>
      </c>
      <c r="AC463" s="75">
        <v>120.0</v>
      </c>
      <c r="AD463" s="76">
        <v>50.0</v>
      </c>
      <c r="AE463" s="77">
        <v>345.0</v>
      </c>
      <c r="AF463" s="21"/>
      <c r="AG463" s="71">
        <v>45.0</v>
      </c>
      <c r="AH463" s="72">
        <v>20.0</v>
      </c>
      <c r="AI463" s="73">
        <v>50.0</v>
      </c>
      <c r="AJ463" s="74">
        <v>60.0</v>
      </c>
      <c r="AK463" s="75">
        <v>120.0</v>
      </c>
      <c r="AL463" s="76">
        <v>50.0</v>
      </c>
      <c r="AM463" s="77">
        <v>345.0</v>
      </c>
      <c r="AN463" s="21"/>
      <c r="AO463" s="22">
        <v>45.0</v>
      </c>
      <c r="AP463" s="23">
        <v>20.0</v>
      </c>
      <c r="AQ463" s="23">
        <v>50.0</v>
      </c>
      <c r="AR463" s="23">
        <v>60.0</v>
      </c>
      <c r="AS463" s="23">
        <v>120.0</v>
      </c>
      <c r="AT463" s="23">
        <v>50.0</v>
      </c>
      <c r="AU463" s="24">
        <v>345.0</v>
      </c>
      <c r="AV463" s="21"/>
      <c r="AW463" s="265">
        <v>45.0</v>
      </c>
      <c r="AX463" s="124">
        <v>20.0</v>
      </c>
      <c r="AY463" s="124">
        <v>50.0</v>
      </c>
      <c r="AZ463" s="124">
        <v>60.0</v>
      </c>
      <c r="BA463" s="124">
        <v>120.0</v>
      </c>
      <c r="BB463" s="124">
        <v>50.0</v>
      </c>
      <c r="BC463" s="125">
        <v>345.0</v>
      </c>
      <c r="BE463" s="225" t="s">
        <v>27</v>
      </c>
      <c r="BF463" s="143"/>
      <c r="BG463" s="128"/>
      <c r="BI463" s="31" t="s">
        <v>5</v>
      </c>
      <c r="BJ463" s="32" t="s">
        <v>5</v>
      </c>
      <c r="BK463" s="32" t="s">
        <v>5</v>
      </c>
      <c r="BL463" s="32" t="s">
        <v>5</v>
      </c>
      <c r="BM463" s="32">
        <v>1.0</v>
      </c>
      <c r="BN463" s="33" t="s">
        <v>5</v>
      </c>
      <c r="BP463" s="115" t="s">
        <v>32</v>
      </c>
      <c r="BQ463" s="116" t="s">
        <v>18</v>
      </c>
      <c r="BS463" s="115" t="s">
        <v>32</v>
      </c>
      <c r="BT463" s="117" t="s">
        <v>18</v>
      </c>
      <c r="BU463" s="37" t="str">
        <f t="shared" si="1"/>
        <v>#NAME?</v>
      </c>
      <c r="BV463" s="89" t="s">
        <v>32</v>
      </c>
      <c r="BW463" s="37" t="str">
        <f t="shared" si="2"/>
        <v>#NAME?</v>
      </c>
      <c r="BX463" s="89" t="s">
        <v>18</v>
      </c>
      <c r="BY463" s="39"/>
      <c r="BZ463" s="39"/>
      <c r="CA463" s="40" t="s">
        <v>1346</v>
      </c>
      <c r="CB463" s="41"/>
      <c r="CC463" s="90" t="s">
        <v>32</v>
      </c>
      <c r="CD463" s="91" t="s">
        <v>18</v>
      </c>
      <c r="CE463" s="2"/>
      <c r="CF463" s="92" t="s">
        <v>1212</v>
      </c>
      <c r="CG463" s="93" t="s">
        <v>698</v>
      </c>
      <c r="CH463" s="2"/>
      <c r="CI463" s="92" t="s">
        <v>1212</v>
      </c>
      <c r="CJ463" s="188" t="s">
        <v>698</v>
      </c>
      <c r="CK463" s="2"/>
      <c r="CL463" s="22" t="s">
        <v>1212</v>
      </c>
      <c r="CM463" s="12"/>
      <c r="CN463" s="48"/>
      <c r="CO463" s="189" t="s">
        <v>698</v>
      </c>
      <c r="CP463" s="2"/>
      <c r="CQ463" s="2" t="s">
        <v>339</v>
      </c>
      <c r="CR463" s="97">
        <v>80.0</v>
      </c>
      <c r="CS463" s="2" t="s">
        <v>27</v>
      </c>
      <c r="CT463" s="98">
        <v>108.0</v>
      </c>
      <c r="CU463" s="2"/>
      <c r="CV463" s="52" t="s">
        <v>149</v>
      </c>
      <c r="CW463" s="52" t="s">
        <v>149</v>
      </c>
      <c r="CX463" s="2"/>
      <c r="CY463" s="119" t="s">
        <v>411</v>
      </c>
      <c r="CZ463" s="160"/>
      <c r="DA463" s="2"/>
      <c r="DB463" s="98">
        <v>25.0</v>
      </c>
      <c r="DC463" s="2"/>
      <c r="DD463" s="101" t="s">
        <v>683</v>
      </c>
      <c r="DE463" s="2"/>
      <c r="DF463" s="148" t="s">
        <v>4120</v>
      </c>
      <c r="DG463" s="119"/>
      <c r="DH463" s="160"/>
      <c r="DI463" s="21"/>
      <c r="DJ463" s="21"/>
      <c r="DK463" s="59" t="s">
        <v>4121</v>
      </c>
      <c r="DL463" s="37" t="s">
        <v>122</v>
      </c>
      <c r="DM463" s="37" t="str">
        <f t="shared" si="3"/>
        <v>#NAME?</v>
      </c>
      <c r="DN463" s="61"/>
      <c r="DO463" s="37" t="s">
        <v>19</v>
      </c>
      <c r="DP463" s="37" t="s">
        <v>19</v>
      </c>
      <c r="DQ463" s="62" t="s">
        <v>20</v>
      </c>
      <c r="DR463" s="155"/>
      <c r="DS463" s="251"/>
      <c r="DT463" s="108"/>
      <c r="DU463" s="108"/>
      <c r="DV463" s="252"/>
      <c r="DW463" s="252"/>
      <c r="DX463" s="252"/>
      <c r="DY463" s="252"/>
      <c r="DZ463" s="252"/>
      <c r="EA463" s="252"/>
      <c r="EB463" s="21"/>
      <c r="EC463" s="21"/>
      <c r="ED463" s="21"/>
      <c r="EE463" s="21"/>
      <c r="EF463" s="21"/>
      <c r="EG463" s="108"/>
      <c r="EH463" s="442"/>
      <c r="EI463" s="442"/>
    </row>
    <row r="464" ht="15.75" customHeight="1">
      <c r="A464" s="1">
        <v>459.0</v>
      </c>
      <c r="B464" s="2" t="s">
        <v>4122</v>
      </c>
      <c r="C464" s="7"/>
      <c r="D464" s="352" t="s">
        <v>4123</v>
      </c>
      <c r="E464" s="5"/>
      <c r="F464" s="7"/>
      <c r="G464" s="7"/>
      <c r="H464" s="8" t="s">
        <v>4124</v>
      </c>
      <c r="I464" s="9" t="s">
        <v>4125</v>
      </c>
      <c r="J464" s="355" t="str">
        <f>image("https://archives.bulbagarden.net/media/upload/5/5d/459MS6.png", 3)</f>
        <v/>
      </c>
      <c r="K464" s="11" t="s">
        <v>4123</v>
      </c>
      <c r="L464" s="12"/>
      <c r="M464" s="12"/>
      <c r="N464" s="12"/>
      <c r="O464" s="12"/>
      <c r="Q464" s="71">
        <v>60.0</v>
      </c>
      <c r="R464" s="72">
        <v>62.0</v>
      </c>
      <c r="S464" s="73">
        <v>50.0</v>
      </c>
      <c r="T464" s="74">
        <v>62.0</v>
      </c>
      <c r="U464" s="75">
        <v>60.0</v>
      </c>
      <c r="V464" s="76">
        <v>40.0</v>
      </c>
      <c r="W464" s="77">
        <v>334.0</v>
      </c>
      <c r="X464" s="21"/>
      <c r="Y464" s="71">
        <v>60.0</v>
      </c>
      <c r="Z464" s="72">
        <v>62.0</v>
      </c>
      <c r="AA464" s="73">
        <v>50.0</v>
      </c>
      <c r="AB464" s="74">
        <v>62.0</v>
      </c>
      <c r="AC464" s="75">
        <v>60.0</v>
      </c>
      <c r="AD464" s="76">
        <v>40.0</v>
      </c>
      <c r="AE464" s="77">
        <v>334.0</v>
      </c>
      <c r="AF464" s="21"/>
      <c r="AG464" s="71">
        <v>60.0</v>
      </c>
      <c r="AH464" s="72">
        <v>62.0</v>
      </c>
      <c r="AI464" s="73">
        <v>50.0</v>
      </c>
      <c r="AJ464" s="74">
        <v>62.0</v>
      </c>
      <c r="AK464" s="75">
        <v>60.0</v>
      </c>
      <c r="AL464" s="76">
        <v>40.0</v>
      </c>
      <c r="AM464" s="77">
        <v>334.0</v>
      </c>
      <c r="AN464" s="21"/>
      <c r="AO464" s="22">
        <v>60.0</v>
      </c>
      <c r="AP464" s="23">
        <v>62.0</v>
      </c>
      <c r="AQ464" s="23">
        <v>50.0</v>
      </c>
      <c r="AR464" s="23">
        <v>62.0</v>
      </c>
      <c r="AS464" s="23">
        <v>60.0</v>
      </c>
      <c r="AT464" s="23">
        <v>40.0</v>
      </c>
      <c r="AU464" s="24">
        <v>334.0</v>
      </c>
      <c r="AV464" s="21"/>
      <c r="AW464" s="78">
        <v>60.0</v>
      </c>
      <c r="AX464" s="79">
        <v>62.0</v>
      </c>
      <c r="AY464" s="79">
        <v>50.0</v>
      </c>
      <c r="AZ464" s="79">
        <v>62.0</v>
      </c>
      <c r="BA464" s="79">
        <v>60.0</v>
      </c>
      <c r="BB464" s="79">
        <v>40.0</v>
      </c>
      <c r="BC464" s="201">
        <v>334.0</v>
      </c>
      <c r="BE464" s="194" t="s">
        <v>325</v>
      </c>
      <c r="BF464" s="447"/>
      <c r="BG464" s="128"/>
      <c r="BI464" s="31" t="s">
        <v>5</v>
      </c>
      <c r="BJ464" s="32">
        <v>1.0</v>
      </c>
      <c r="BK464" s="32" t="s">
        <v>5</v>
      </c>
      <c r="BL464" s="32" t="s">
        <v>5</v>
      </c>
      <c r="BM464" s="32" t="s">
        <v>5</v>
      </c>
      <c r="BN464" s="33" t="s">
        <v>5</v>
      </c>
      <c r="BP464" s="85" t="s">
        <v>120</v>
      </c>
      <c r="BQ464" s="86" t="s">
        <v>6</v>
      </c>
      <c r="BS464" s="87" t="s">
        <v>120</v>
      </c>
      <c r="BT464" s="88" t="s">
        <v>6</v>
      </c>
      <c r="BU464" s="37" t="str">
        <f t="shared" si="1"/>
        <v>#NAME?</v>
      </c>
      <c r="BV464" s="89" t="s">
        <v>120</v>
      </c>
      <c r="BW464" s="37" t="str">
        <f t="shared" si="2"/>
        <v>#NAME?</v>
      </c>
      <c r="BX464" s="89" t="s">
        <v>6</v>
      </c>
      <c r="BY464" s="39"/>
      <c r="BZ464" s="39"/>
      <c r="CA464" s="40" t="s">
        <v>4126</v>
      </c>
      <c r="CB464" s="41"/>
      <c r="CC464" s="90" t="s">
        <v>120</v>
      </c>
      <c r="CD464" s="91" t="s">
        <v>6</v>
      </c>
      <c r="CE464" s="2"/>
      <c r="CF464" s="92" t="s">
        <v>4127</v>
      </c>
      <c r="CG464" s="93"/>
      <c r="CH464" s="2"/>
      <c r="CI464" s="191" t="s">
        <v>4127</v>
      </c>
      <c r="CJ464" s="46" t="s">
        <v>1067</v>
      </c>
      <c r="CK464" s="2"/>
      <c r="CL464" s="22" t="s">
        <v>4127</v>
      </c>
      <c r="CM464" s="12"/>
      <c r="CN464" s="48"/>
      <c r="CO464" s="192" t="s">
        <v>3764</v>
      </c>
      <c r="CP464" s="2"/>
      <c r="CQ464" s="2" t="s">
        <v>2174</v>
      </c>
      <c r="CR464" s="97">
        <v>80.0</v>
      </c>
      <c r="CS464" s="2" t="s">
        <v>325</v>
      </c>
      <c r="CT464" s="98">
        <v>131.0</v>
      </c>
      <c r="CU464" s="2"/>
      <c r="CV464" s="52" t="s">
        <v>149</v>
      </c>
      <c r="CW464" s="52" t="s">
        <v>149</v>
      </c>
      <c r="CX464" s="2"/>
      <c r="CY464" s="443" t="s">
        <v>14</v>
      </c>
      <c r="CZ464" s="444" t="s">
        <v>6</v>
      </c>
      <c r="DA464" s="2"/>
      <c r="DB464" s="98">
        <v>120.0</v>
      </c>
      <c r="DC464" s="2"/>
      <c r="DD464" s="101" t="s">
        <v>683</v>
      </c>
      <c r="DE464" s="2"/>
      <c r="DF464" s="448" t="s">
        <v>4128</v>
      </c>
      <c r="DG464" s="443" t="s">
        <v>4129</v>
      </c>
      <c r="DH464" s="444"/>
      <c r="DI464" s="21"/>
      <c r="DJ464" s="21"/>
      <c r="DK464" s="59" t="s">
        <v>4130</v>
      </c>
      <c r="DL464" s="37" t="s">
        <v>197</v>
      </c>
      <c r="DM464" s="37" t="str">
        <f t="shared" si="3"/>
        <v>#NAME?</v>
      </c>
      <c r="DN464" s="61"/>
      <c r="DO464" s="37" t="s">
        <v>19</v>
      </c>
      <c r="DP464" s="37" t="s">
        <v>266</v>
      </c>
      <c r="DQ464" s="62" t="s">
        <v>20</v>
      </c>
      <c r="DR464" s="63"/>
      <c r="DS464" s="198"/>
      <c r="DT464" s="108"/>
      <c r="DU464" s="108"/>
      <c r="DV464" s="182"/>
      <c r="DW464" s="182"/>
      <c r="DX464" s="182"/>
      <c r="DY464" s="182"/>
      <c r="DZ464" s="182"/>
      <c r="EA464" s="182"/>
      <c r="EB464" s="21"/>
      <c r="EC464" s="21"/>
      <c r="ED464" s="21"/>
      <c r="EE464" s="21"/>
      <c r="EF464" s="21"/>
      <c r="EG464" s="108"/>
      <c r="EH464" s="442"/>
      <c r="EI464" s="442"/>
    </row>
    <row r="465" ht="15.75" customHeight="1">
      <c r="A465" s="1">
        <v>460.0</v>
      </c>
      <c r="B465" s="2" t="s">
        <v>4131</v>
      </c>
      <c r="C465" s="7"/>
      <c r="D465" s="352" t="s">
        <v>4132</v>
      </c>
      <c r="E465" s="5"/>
      <c r="F465" s="7"/>
      <c r="G465" s="7"/>
      <c r="H465" s="8" t="s">
        <v>4133</v>
      </c>
      <c r="I465" s="9" t="s">
        <v>4134</v>
      </c>
      <c r="J465" s="355" t="str">
        <f>image("https://archives.bulbagarden.net/media/upload/6/68/460MS6.png", 3)</f>
        <v/>
      </c>
      <c r="K465" s="11" t="s">
        <v>4132</v>
      </c>
      <c r="L465" s="12"/>
      <c r="M465" s="12"/>
      <c r="N465" s="12"/>
      <c r="O465" s="12"/>
      <c r="Q465" s="71">
        <v>90.0</v>
      </c>
      <c r="R465" s="72">
        <v>92.0</v>
      </c>
      <c r="S465" s="73">
        <v>75.0</v>
      </c>
      <c r="T465" s="74">
        <v>92.0</v>
      </c>
      <c r="U465" s="75">
        <v>85.0</v>
      </c>
      <c r="V465" s="76">
        <v>60.0</v>
      </c>
      <c r="W465" s="77">
        <v>494.0</v>
      </c>
      <c r="X465" s="21"/>
      <c r="Y465" s="71">
        <v>90.0</v>
      </c>
      <c r="Z465" s="72">
        <v>92.0</v>
      </c>
      <c r="AA465" s="73">
        <v>75.0</v>
      </c>
      <c r="AB465" s="74">
        <v>92.0</v>
      </c>
      <c r="AC465" s="75">
        <v>85.0</v>
      </c>
      <c r="AD465" s="76">
        <v>60.0</v>
      </c>
      <c r="AE465" s="77">
        <v>494.0</v>
      </c>
      <c r="AF465" s="21"/>
      <c r="AG465" s="71">
        <v>90.0</v>
      </c>
      <c r="AH465" s="72">
        <v>92.0</v>
      </c>
      <c r="AI465" s="73">
        <v>75.0</v>
      </c>
      <c r="AJ465" s="74">
        <v>92.0</v>
      </c>
      <c r="AK465" s="75">
        <v>85.0</v>
      </c>
      <c r="AL465" s="76">
        <v>60.0</v>
      </c>
      <c r="AM465" s="77">
        <v>494.0</v>
      </c>
      <c r="AN465" s="21"/>
      <c r="AO465" s="22">
        <v>90.0</v>
      </c>
      <c r="AP465" s="23">
        <v>92.0</v>
      </c>
      <c r="AQ465" s="23">
        <v>75.0</v>
      </c>
      <c r="AR465" s="23">
        <v>92.0</v>
      </c>
      <c r="AS465" s="23">
        <v>85.0</v>
      </c>
      <c r="AT465" s="23">
        <v>60.0</v>
      </c>
      <c r="AU465" s="24">
        <v>494.0</v>
      </c>
      <c r="AV465" s="21"/>
      <c r="AW465" s="78">
        <v>90.0</v>
      </c>
      <c r="AX465" s="79">
        <v>92.0</v>
      </c>
      <c r="AY465" s="79">
        <v>75.0</v>
      </c>
      <c r="AZ465" s="79">
        <v>92.0</v>
      </c>
      <c r="BA465" s="79">
        <v>85.0</v>
      </c>
      <c r="BB465" s="79">
        <v>60.0</v>
      </c>
      <c r="BC465" s="201">
        <v>494.0</v>
      </c>
      <c r="BE465" s="194" t="s">
        <v>325</v>
      </c>
      <c r="BF465" s="285" t="s">
        <v>4</v>
      </c>
      <c r="BG465" s="210"/>
      <c r="BI465" s="31" t="s">
        <v>5</v>
      </c>
      <c r="BJ465" s="32">
        <v>1.0</v>
      </c>
      <c r="BK465" s="32" t="s">
        <v>5</v>
      </c>
      <c r="BL465" s="32">
        <v>1.0</v>
      </c>
      <c r="BM465" s="32" t="s">
        <v>5</v>
      </c>
      <c r="BN465" s="33" t="s">
        <v>5</v>
      </c>
      <c r="BP465" s="115" t="s">
        <v>120</v>
      </c>
      <c r="BQ465" s="116" t="s">
        <v>6</v>
      </c>
      <c r="BS465" s="115" t="s">
        <v>120</v>
      </c>
      <c r="BT465" s="117" t="s">
        <v>6</v>
      </c>
      <c r="BU465" s="37" t="str">
        <f t="shared" si="1"/>
        <v>#NAME?</v>
      </c>
      <c r="BV465" s="89" t="s">
        <v>120</v>
      </c>
      <c r="BW465" s="37" t="str">
        <f t="shared" si="2"/>
        <v>#NAME?</v>
      </c>
      <c r="BX465" s="89" t="s">
        <v>6</v>
      </c>
      <c r="BY465" s="39"/>
      <c r="BZ465" s="39"/>
      <c r="CA465" s="40" t="s">
        <v>4126</v>
      </c>
      <c r="CB465" s="41"/>
      <c r="CC465" s="90" t="s">
        <v>120</v>
      </c>
      <c r="CD465" s="91" t="s">
        <v>6</v>
      </c>
      <c r="CE465" s="2"/>
      <c r="CF465" s="92" t="s">
        <v>4127</v>
      </c>
      <c r="CG465" s="93"/>
      <c r="CH465" s="2"/>
      <c r="CI465" s="191" t="s">
        <v>4127</v>
      </c>
      <c r="CJ465" s="152" t="s">
        <v>1067</v>
      </c>
      <c r="CK465" s="2"/>
      <c r="CL465" s="22" t="s">
        <v>4127</v>
      </c>
      <c r="CM465" s="12"/>
      <c r="CN465" s="48"/>
      <c r="CO465" s="193" t="s">
        <v>3764</v>
      </c>
      <c r="CP465" s="2"/>
      <c r="CQ465" s="2" t="s">
        <v>4135</v>
      </c>
      <c r="CR465" s="97">
        <v>100.0</v>
      </c>
      <c r="CS465" s="2" t="s">
        <v>1956</v>
      </c>
      <c r="CT465" s="98">
        <v>214.0</v>
      </c>
      <c r="CU465" s="2"/>
      <c r="CV465" s="52" t="s">
        <v>149</v>
      </c>
      <c r="CW465" s="52" t="s">
        <v>149</v>
      </c>
      <c r="CX465" s="2"/>
      <c r="CY465" s="118" t="s">
        <v>14</v>
      </c>
      <c r="CZ465" s="119" t="s">
        <v>6</v>
      </c>
      <c r="DA465" s="2"/>
      <c r="DB465" s="98">
        <v>60.0</v>
      </c>
      <c r="DC465" s="2"/>
      <c r="DD465" s="101" t="s">
        <v>683</v>
      </c>
      <c r="DE465" s="2"/>
      <c r="DF465" s="120" t="s">
        <v>4136</v>
      </c>
      <c r="DG465" s="118" t="s">
        <v>4129</v>
      </c>
      <c r="DH465" s="119"/>
      <c r="DI465" s="2"/>
      <c r="DJ465" s="2"/>
      <c r="DK465" s="59" t="s">
        <v>4137</v>
      </c>
      <c r="DL465" s="37" t="s">
        <v>156</v>
      </c>
      <c r="DM465" s="37" t="str">
        <f t="shared" si="3"/>
        <v>#NAME?</v>
      </c>
      <c r="DN465" s="61"/>
      <c r="DO465" s="37" t="s">
        <v>19</v>
      </c>
      <c r="DP465" s="105">
        <v>1.0</v>
      </c>
      <c r="DQ465" s="62" t="s">
        <v>20</v>
      </c>
      <c r="DR465" s="63"/>
      <c r="DS465" s="198"/>
      <c r="DT465" s="108"/>
      <c r="DU465" s="108"/>
      <c r="DV465" s="182"/>
      <c r="DW465" s="182"/>
      <c r="DX465" s="182"/>
      <c r="DY465" s="182"/>
      <c r="DZ465" s="182"/>
      <c r="EA465" s="182"/>
      <c r="EB465" s="2"/>
      <c r="EC465" s="2"/>
      <c r="ED465" s="2"/>
      <c r="EE465" s="2"/>
      <c r="EF465" s="2"/>
      <c r="EG465" s="449"/>
      <c r="EH465" s="428"/>
      <c r="EI465" s="428"/>
    </row>
    <row r="466" ht="15.75" customHeight="1">
      <c r="A466" s="1">
        <v>461.0</v>
      </c>
      <c r="B466" s="2" t="s">
        <v>4138</v>
      </c>
      <c r="C466" s="7"/>
      <c r="D466" s="295" t="s">
        <v>4139</v>
      </c>
      <c r="E466" s="5"/>
      <c r="F466" s="296"/>
      <c r="G466" s="7"/>
      <c r="H466" s="8" t="s">
        <v>4140</v>
      </c>
      <c r="I466" s="9" t="s">
        <v>4141</v>
      </c>
      <c r="J466" s="355" t="str">
        <f>image("https://archives.bulbagarden.net/media/upload/b/b4/461MS6.png", 3)</f>
        <v/>
      </c>
      <c r="K466" s="11" t="s">
        <v>4139</v>
      </c>
      <c r="L466" s="12"/>
      <c r="M466" s="12"/>
      <c r="N466" s="12"/>
      <c r="O466" s="12"/>
      <c r="Q466" s="71">
        <v>70.0</v>
      </c>
      <c r="R466" s="72">
        <v>120.0</v>
      </c>
      <c r="S466" s="73">
        <v>65.0</v>
      </c>
      <c r="T466" s="74">
        <v>45.0</v>
      </c>
      <c r="U466" s="75">
        <v>85.0</v>
      </c>
      <c r="V466" s="76">
        <v>125.0</v>
      </c>
      <c r="W466" s="77">
        <v>510.0</v>
      </c>
      <c r="X466" s="21"/>
      <c r="Y466" s="71">
        <v>70.0</v>
      </c>
      <c r="Z466" s="72">
        <v>120.0</v>
      </c>
      <c r="AA466" s="73">
        <v>65.0</v>
      </c>
      <c r="AB466" s="74">
        <v>45.0</v>
      </c>
      <c r="AC466" s="75">
        <v>85.0</v>
      </c>
      <c r="AD466" s="76">
        <v>125.0</v>
      </c>
      <c r="AE466" s="77">
        <v>510.0</v>
      </c>
      <c r="AF466" s="21"/>
      <c r="AG466" s="71">
        <v>70.0</v>
      </c>
      <c r="AH466" s="72">
        <v>120.0</v>
      </c>
      <c r="AI466" s="73">
        <v>65.0</v>
      </c>
      <c r="AJ466" s="74">
        <v>45.0</v>
      </c>
      <c r="AK466" s="75">
        <v>85.0</v>
      </c>
      <c r="AL466" s="76">
        <v>125.0</v>
      </c>
      <c r="AM466" s="77">
        <v>510.0</v>
      </c>
      <c r="AN466" s="21"/>
      <c r="AO466" s="22">
        <v>70.0</v>
      </c>
      <c r="AP466" s="23">
        <v>120.0</v>
      </c>
      <c r="AQ466" s="23">
        <v>65.0</v>
      </c>
      <c r="AR466" s="23">
        <v>45.0</v>
      </c>
      <c r="AS466" s="23">
        <v>85.0</v>
      </c>
      <c r="AT466" s="23">
        <v>125.0</v>
      </c>
      <c r="AU466" s="24">
        <v>510.0</v>
      </c>
      <c r="AV466" s="21"/>
      <c r="AW466" s="78">
        <v>70.0</v>
      </c>
      <c r="AX466" s="79">
        <v>120.0</v>
      </c>
      <c r="AY466" s="79">
        <v>65.0</v>
      </c>
      <c r="AZ466" s="79">
        <v>45.0</v>
      </c>
      <c r="BA466" s="79">
        <v>85.0</v>
      </c>
      <c r="BB466" s="79">
        <v>125.0</v>
      </c>
      <c r="BC466" s="201">
        <v>510.0</v>
      </c>
      <c r="BE466" s="194" t="s">
        <v>325</v>
      </c>
      <c r="BF466" s="132" t="s">
        <v>56</v>
      </c>
      <c r="BG466" s="446"/>
      <c r="BI466" s="31" t="s">
        <v>5</v>
      </c>
      <c r="BJ466" s="32">
        <v>1.0</v>
      </c>
      <c r="BK466" s="32" t="s">
        <v>5</v>
      </c>
      <c r="BL466" s="32" t="s">
        <v>5</v>
      </c>
      <c r="BM466" s="32" t="s">
        <v>5</v>
      </c>
      <c r="BN466" s="33">
        <v>1.0</v>
      </c>
      <c r="BP466" s="85" t="s">
        <v>76</v>
      </c>
      <c r="BQ466" s="86" t="s">
        <v>120</v>
      </c>
      <c r="BS466" s="87" t="s">
        <v>76</v>
      </c>
      <c r="BT466" s="88" t="s">
        <v>120</v>
      </c>
      <c r="BU466" s="37" t="str">
        <f t="shared" si="1"/>
        <v>#NAME?</v>
      </c>
      <c r="BV466" s="89" t="s">
        <v>76</v>
      </c>
      <c r="BW466" s="37" t="str">
        <f t="shared" si="2"/>
        <v>#NAME?</v>
      </c>
      <c r="BX466" s="89" t="s">
        <v>120</v>
      </c>
      <c r="BY466" s="39"/>
      <c r="BZ466" s="39"/>
      <c r="CA466" s="40" t="s">
        <v>2078</v>
      </c>
      <c r="CB466" s="41"/>
      <c r="CC466" s="90" t="s">
        <v>76</v>
      </c>
      <c r="CD466" s="91" t="s">
        <v>120</v>
      </c>
      <c r="CE466" s="2"/>
      <c r="CF466" s="92" t="s">
        <v>1447</v>
      </c>
      <c r="CG466" s="93"/>
      <c r="CH466" s="2"/>
      <c r="CI466" s="92" t="s">
        <v>1447</v>
      </c>
      <c r="CJ466" s="195"/>
      <c r="CK466" s="2"/>
      <c r="CL466" s="22" t="s">
        <v>1278</v>
      </c>
      <c r="CM466" s="12"/>
      <c r="CN466" s="48"/>
      <c r="CO466" s="196" t="s">
        <v>1447</v>
      </c>
      <c r="CP466" s="2"/>
      <c r="CQ466" s="2" t="s">
        <v>4142</v>
      </c>
      <c r="CR466" s="97">
        <v>60.0</v>
      </c>
      <c r="CS466" s="2" t="s">
        <v>1332</v>
      </c>
      <c r="CT466" s="98">
        <v>199.0</v>
      </c>
      <c r="CU466" s="2"/>
      <c r="CV466" s="52" t="s">
        <v>149</v>
      </c>
      <c r="CW466" s="52" t="s">
        <v>149</v>
      </c>
      <c r="CX466" s="2"/>
      <c r="CY466" s="444" t="s">
        <v>277</v>
      </c>
      <c r="CZ466" s="450"/>
      <c r="DA466" s="2"/>
      <c r="DB466" s="98">
        <v>45.0</v>
      </c>
      <c r="DC466" s="2"/>
      <c r="DD466" s="101" t="s">
        <v>15</v>
      </c>
      <c r="DE466" s="2"/>
      <c r="DF466" s="445" t="s">
        <v>4143</v>
      </c>
      <c r="DG466" s="443" t="s">
        <v>631</v>
      </c>
      <c r="DH466" s="450"/>
      <c r="DI466" s="2"/>
      <c r="DJ466" s="2"/>
      <c r="DK466" s="59" t="s">
        <v>4144</v>
      </c>
      <c r="DL466" s="37" t="s">
        <v>76</v>
      </c>
      <c r="DM466" s="37" t="str">
        <f t="shared" si="3"/>
        <v>#NAME?</v>
      </c>
      <c r="DN466" s="61"/>
      <c r="DO466" s="37" t="s">
        <v>19</v>
      </c>
      <c r="DP466" s="105">
        <v>1.0</v>
      </c>
      <c r="DQ466" s="62" t="s">
        <v>93</v>
      </c>
      <c r="DR466" s="63"/>
      <c r="DS466" s="198"/>
      <c r="DT466" s="108"/>
      <c r="DU466" s="108"/>
      <c r="DV466" s="182"/>
      <c r="DW466" s="182"/>
      <c r="DX466" s="182"/>
      <c r="DY466" s="182"/>
      <c r="DZ466" s="182"/>
      <c r="EA466" s="182"/>
      <c r="EB466" s="2"/>
      <c r="EC466" s="2"/>
      <c r="ED466" s="2"/>
      <c r="EE466" s="2"/>
      <c r="EF466" s="2"/>
      <c r="EG466" s="449"/>
      <c r="EH466" s="428"/>
      <c r="EI466" s="428"/>
    </row>
    <row r="467" ht="15.75" customHeight="1">
      <c r="A467" s="1">
        <v>462.0</v>
      </c>
      <c r="B467" s="2" t="s">
        <v>4145</v>
      </c>
      <c r="C467" s="7"/>
      <c r="D467" s="247" t="s">
        <v>4146</v>
      </c>
      <c r="E467" s="5"/>
      <c r="F467" s="248"/>
      <c r="G467" s="7"/>
      <c r="H467" s="8" t="s">
        <v>4147</v>
      </c>
      <c r="I467" s="9" t="s">
        <v>4148</v>
      </c>
      <c r="J467" s="355" t="str">
        <f>image("https://archives.bulbagarden.net/media/upload/9/9c/462MS6.png", 3)</f>
        <v/>
      </c>
      <c r="K467" s="11" t="s">
        <v>4146</v>
      </c>
      <c r="L467" s="12"/>
      <c r="M467" s="12"/>
      <c r="N467" s="12"/>
      <c r="O467" s="12"/>
      <c r="Q467" s="71">
        <v>70.0</v>
      </c>
      <c r="R467" s="72">
        <v>70.0</v>
      </c>
      <c r="S467" s="73">
        <v>115.0</v>
      </c>
      <c r="T467" s="74">
        <v>130.0</v>
      </c>
      <c r="U467" s="75">
        <v>90.0</v>
      </c>
      <c r="V467" s="76">
        <v>60.0</v>
      </c>
      <c r="W467" s="77">
        <v>535.0</v>
      </c>
      <c r="X467" s="21"/>
      <c r="Y467" s="71">
        <v>70.0</v>
      </c>
      <c r="Z467" s="72">
        <v>70.0</v>
      </c>
      <c r="AA467" s="73">
        <v>115.0</v>
      </c>
      <c r="AB467" s="74">
        <v>130.0</v>
      </c>
      <c r="AC467" s="75">
        <v>90.0</v>
      </c>
      <c r="AD467" s="76">
        <v>60.0</v>
      </c>
      <c r="AE467" s="77">
        <v>535.0</v>
      </c>
      <c r="AF467" s="21"/>
      <c r="AG467" s="71">
        <v>70.0</v>
      </c>
      <c r="AH467" s="72">
        <v>70.0</v>
      </c>
      <c r="AI467" s="73">
        <v>115.0</v>
      </c>
      <c r="AJ467" s="74">
        <v>130.0</v>
      </c>
      <c r="AK467" s="75">
        <v>90.0</v>
      </c>
      <c r="AL467" s="76">
        <v>60.0</v>
      </c>
      <c r="AM467" s="77">
        <v>535.0</v>
      </c>
      <c r="AN467" s="21"/>
      <c r="AO467" s="22">
        <v>70.0</v>
      </c>
      <c r="AP467" s="23">
        <v>70.0</v>
      </c>
      <c r="AQ467" s="23">
        <v>115.0</v>
      </c>
      <c r="AR467" s="23">
        <v>130.0</v>
      </c>
      <c r="AS467" s="23">
        <v>90.0</v>
      </c>
      <c r="AT467" s="23">
        <v>60.0</v>
      </c>
      <c r="AU467" s="24">
        <v>535.0</v>
      </c>
      <c r="AV467" s="21"/>
      <c r="AW467" s="78">
        <v>70.0</v>
      </c>
      <c r="AX467" s="79">
        <v>70.0</v>
      </c>
      <c r="AY467" s="79">
        <v>115.0</v>
      </c>
      <c r="AZ467" s="79">
        <v>130.0</v>
      </c>
      <c r="BA467" s="79">
        <v>90.0</v>
      </c>
      <c r="BB467" s="79">
        <v>60.0</v>
      </c>
      <c r="BC467" s="201">
        <v>535.0</v>
      </c>
      <c r="BE467" s="112" t="s">
        <v>85</v>
      </c>
      <c r="BF467" s="138"/>
      <c r="BG467" s="128"/>
      <c r="BI467" s="31" t="s">
        <v>5</v>
      </c>
      <c r="BJ467" s="32" t="s">
        <v>5</v>
      </c>
      <c r="BK467" s="32" t="s">
        <v>5</v>
      </c>
      <c r="BL467" s="32">
        <v>3.0</v>
      </c>
      <c r="BM467" s="32" t="s">
        <v>5</v>
      </c>
      <c r="BN467" s="33" t="s">
        <v>5</v>
      </c>
      <c r="BP467" s="115" t="s">
        <v>197</v>
      </c>
      <c r="BQ467" s="116" t="s">
        <v>95</v>
      </c>
      <c r="BS467" s="115" t="s">
        <v>197</v>
      </c>
      <c r="BT467" s="117" t="s">
        <v>95</v>
      </c>
      <c r="BU467" s="37" t="str">
        <f t="shared" si="1"/>
        <v>#NAME?</v>
      </c>
      <c r="BV467" s="89" t="s">
        <v>197</v>
      </c>
      <c r="BW467" s="37" t="str">
        <f t="shared" si="2"/>
        <v>#NAME?</v>
      </c>
      <c r="BX467" s="89" t="s">
        <v>95</v>
      </c>
      <c r="BY467" s="39"/>
      <c r="BZ467" s="39"/>
      <c r="CA467" s="40" t="s">
        <v>888</v>
      </c>
      <c r="CB467" s="41"/>
      <c r="CC467" s="90" t="s">
        <v>197</v>
      </c>
      <c r="CD467" s="91" t="s">
        <v>95</v>
      </c>
      <c r="CE467" s="2"/>
      <c r="CF467" s="92" t="s">
        <v>889</v>
      </c>
      <c r="CG467" s="93" t="s">
        <v>825</v>
      </c>
      <c r="CH467" s="2"/>
      <c r="CI467" s="92" t="s">
        <v>889</v>
      </c>
      <c r="CJ467" s="93" t="s">
        <v>825</v>
      </c>
      <c r="CK467" s="2"/>
      <c r="CL467" s="22" t="s">
        <v>889</v>
      </c>
      <c r="CM467" s="12"/>
      <c r="CN467" s="48"/>
      <c r="CO467" s="96" t="s">
        <v>825</v>
      </c>
      <c r="CP467" s="2"/>
      <c r="CQ467" s="2" t="s">
        <v>4149</v>
      </c>
      <c r="CR467" s="97">
        <v>100.0</v>
      </c>
      <c r="CS467" s="2" t="s">
        <v>85</v>
      </c>
      <c r="CT467" s="98">
        <v>211.0</v>
      </c>
      <c r="CU467" s="2"/>
      <c r="CV467" s="256" t="s">
        <v>890</v>
      </c>
      <c r="CW467" s="256" t="s">
        <v>890</v>
      </c>
      <c r="CX467" s="2"/>
      <c r="CY467" s="257" t="s">
        <v>826</v>
      </c>
      <c r="CZ467" s="160"/>
      <c r="DA467" s="2"/>
      <c r="DB467" s="98">
        <v>30.0</v>
      </c>
      <c r="DC467" s="2"/>
      <c r="DD467" s="101" t="s">
        <v>150</v>
      </c>
      <c r="DE467" s="2"/>
      <c r="DF467" s="120" t="s">
        <v>4150</v>
      </c>
      <c r="DG467" s="118" t="s">
        <v>892</v>
      </c>
      <c r="DH467" s="119"/>
      <c r="DI467" s="2"/>
      <c r="DJ467" s="2"/>
      <c r="DK467" s="59" t="s">
        <v>4151</v>
      </c>
      <c r="DL467" s="37" t="s">
        <v>7</v>
      </c>
      <c r="DM467" s="37" t="str">
        <f t="shared" si="3"/>
        <v>#NAME?</v>
      </c>
      <c r="DN467" s="61"/>
      <c r="DO467" s="37" t="s">
        <v>19</v>
      </c>
      <c r="DP467" s="37" t="s">
        <v>266</v>
      </c>
      <c r="DQ467" s="62" t="s">
        <v>49</v>
      </c>
      <c r="DR467" s="63"/>
      <c r="DS467" s="198"/>
      <c r="DT467" s="108"/>
      <c r="DU467" s="108"/>
      <c r="DV467" s="182"/>
      <c r="DW467" s="182"/>
      <c r="DX467" s="182"/>
      <c r="DY467" s="182"/>
      <c r="DZ467" s="182"/>
      <c r="EA467" s="182"/>
      <c r="EB467" s="2"/>
      <c r="EC467" s="2"/>
      <c r="ED467" s="2"/>
      <c r="EE467" s="2"/>
      <c r="EF467" s="2"/>
      <c r="EG467" s="449"/>
      <c r="EH467" s="428"/>
      <c r="EI467" s="428"/>
    </row>
    <row r="468" ht="15.75" customHeight="1">
      <c r="A468" s="1">
        <v>463.0</v>
      </c>
      <c r="B468" s="2" t="s">
        <v>4152</v>
      </c>
      <c r="C468" s="7"/>
      <c r="D468" s="213" t="s">
        <v>4153</v>
      </c>
      <c r="E468" s="5"/>
      <c r="F468" s="214"/>
      <c r="G468" s="7"/>
      <c r="H468" s="8" t="s">
        <v>4154</v>
      </c>
      <c r="I468" s="9" t="s">
        <v>4155</v>
      </c>
      <c r="J468" s="355" t="str">
        <f>image("https://archives.bulbagarden.net/media/upload/7/76/463MS6.png", 3)</f>
        <v/>
      </c>
      <c r="K468" s="11" t="s">
        <v>4153</v>
      </c>
      <c r="L468" s="12"/>
      <c r="M468" s="12"/>
      <c r="N468" s="12"/>
      <c r="O468" s="12"/>
      <c r="Q468" s="71">
        <v>110.0</v>
      </c>
      <c r="R468" s="72">
        <v>85.0</v>
      </c>
      <c r="S468" s="73">
        <v>95.0</v>
      </c>
      <c r="T468" s="74">
        <v>80.0</v>
      </c>
      <c r="U468" s="75">
        <v>95.0</v>
      </c>
      <c r="V468" s="76">
        <v>50.0</v>
      </c>
      <c r="W468" s="77">
        <v>515.0</v>
      </c>
      <c r="X468" s="21"/>
      <c r="Y468" s="71">
        <v>110.0</v>
      </c>
      <c r="Z468" s="72">
        <v>85.0</v>
      </c>
      <c r="AA468" s="73">
        <v>95.0</v>
      </c>
      <c r="AB468" s="74">
        <v>80.0</v>
      </c>
      <c r="AC468" s="75">
        <v>95.0</v>
      </c>
      <c r="AD468" s="76">
        <v>50.0</v>
      </c>
      <c r="AE468" s="77">
        <v>515.0</v>
      </c>
      <c r="AF468" s="21"/>
      <c r="AG468" s="71">
        <v>110.0</v>
      </c>
      <c r="AH468" s="72">
        <v>85.0</v>
      </c>
      <c r="AI468" s="73">
        <v>95.0</v>
      </c>
      <c r="AJ468" s="74">
        <v>80.0</v>
      </c>
      <c r="AK468" s="75">
        <v>95.0</v>
      </c>
      <c r="AL468" s="76">
        <v>50.0</v>
      </c>
      <c r="AM468" s="77">
        <v>515.0</v>
      </c>
      <c r="AN468" s="21"/>
      <c r="AO468" s="22">
        <v>110.0</v>
      </c>
      <c r="AP468" s="23">
        <v>85.0</v>
      </c>
      <c r="AQ468" s="23">
        <v>95.0</v>
      </c>
      <c r="AR468" s="23">
        <v>80.0</v>
      </c>
      <c r="AS468" s="23">
        <v>95.0</v>
      </c>
      <c r="AT468" s="23">
        <v>50.0</v>
      </c>
      <c r="AU468" s="24">
        <v>515.0</v>
      </c>
      <c r="AV468" s="21"/>
      <c r="AW468" s="78">
        <v>110.0</v>
      </c>
      <c r="AX468" s="79">
        <v>85.0</v>
      </c>
      <c r="AY468" s="79">
        <v>95.0</v>
      </c>
      <c r="AZ468" s="79">
        <v>80.0</v>
      </c>
      <c r="BA468" s="79">
        <v>95.0</v>
      </c>
      <c r="BB468" s="79">
        <v>50.0</v>
      </c>
      <c r="BC468" s="201">
        <v>515.0</v>
      </c>
      <c r="BE468" s="203" t="s">
        <v>422</v>
      </c>
      <c r="BF468" s="138"/>
      <c r="BG468" s="128"/>
      <c r="BI468" s="31">
        <v>3.0</v>
      </c>
      <c r="BJ468" s="32" t="s">
        <v>5</v>
      </c>
      <c r="BK468" s="32" t="s">
        <v>5</v>
      </c>
      <c r="BL468" s="32" t="s">
        <v>5</v>
      </c>
      <c r="BM468" s="32" t="s">
        <v>5</v>
      </c>
      <c r="BN468" s="33" t="s">
        <v>5</v>
      </c>
      <c r="BP468" s="85" t="s">
        <v>156</v>
      </c>
      <c r="BQ468" s="129"/>
      <c r="BS468" s="87" t="s">
        <v>156</v>
      </c>
      <c r="BT468" s="130"/>
      <c r="BU468" s="37" t="str">
        <f t="shared" si="1"/>
        <v>#NAME?</v>
      </c>
      <c r="BV468" s="89" t="s">
        <v>156</v>
      </c>
      <c r="BW468" s="37" t="str">
        <f t="shared" si="2"/>
        <v>#NAME?</v>
      </c>
      <c r="BX468" s="89"/>
      <c r="BY468" s="39"/>
      <c r="BZ468" s="39"/>
      <c r="CA468" s="40" t="s">
        <v>156</v>
      </c>
      <c r="CB468" s="41"/>
      <c r="CC468" s="90" t="s">
        <v>156</v>
      </c>
      <c r="CD468" s="91"/>
      <c r="CE468" s="21"/>
      <c r="CF468" s="92" t="s">
        <v>871</v>
      </c>
      <c r="CG468" s="93" t="s">
        <v>870</v>
      </c>
      <c r="CH468" s="21"/>
      <c r="CI468" s="92" t="s">
        <v>871</v>
      </c>
      <c r="CJ468" s="188" t="s">
        <v>870</v>
      </c>
      <c r="CK468" s="21"/>
      <c r="CL468" s="22" t="s">
        <v>871</v>
      </c>
      <c r="CM468" s="12"/>
      <c r="CN468" s="48"/>
      <c r="CO468" s="189" t="s">
        <v>870</v>
      </c>
      <c r="CP468" s="21"/>
      <c r="CQ468" s="2" t="s">
        <v>4156</v>
      </c>
      <c r="CR468" s="97">
        <v>100.0</v>
      </c>
      <c r="CS468" s="2" t="s">
        <v>422</v>
      </c>
      <c r="CT468" s="98">
        <v>193.0</v>
      </c>
      <c r="CU468" s="2"/>
      <c r="CV468" s="52" t="s">
        <v>149</v>
      </c>
      <c r="CW468" s="52" t="s">
        <v>149</v>
      </c>
      <c r="CX468" s="2"/>
      <c r="CY468" s="444" t="s">
        <v>14</v>
      </c>
      <c r="CZ468" s="450"/>
      <c r="DA468" s="2"/>
      <c r="DB468" s="98">
        <v>30.0</v>
      </c>
      <c r="DC468" s="2"/>
      <c r="DD468" s="101" t="s">
        <v>150</v>
      </c>
      <c r="DE468" s="2"/>
      <c r="DF468" s="467" t="s">
        <v>4157</v>
      </c>
      <c r="DG468" s="443" t="s">
        <v>874</v>
      </c>
      <c r="DH468" s="450"/>
      <c r="DI468" s="2"/>
      <c r="DJ468" s="2"/>
      <c r="DK468" s="59" t="s">
        <v>4158</v>
      </c>
      <c r="DL468" s="37" t="s">
        <v>7</v>
      </c>
      <c r="DM468" s="37" t="str">
        <f t="shared" si="3"/>
        <v>#NAME?</v>
      </c>
      <c r="DN468" s="61"/>
      <c r="DO468" s="37" t="s">
        <v>19</v>
      </c>
      <c r="DP468" s="37" t="s">
        <v>19</v>
      </c>
      <c r="DQ468" s="62" t="s">
        <v>20</v>
      </c>
      <c r="DR468" s="63"/>
      <c r="DS468" s="198"/>
      <c r="DT468" s="108"/>
      <c r="DU468" s="108"/>
      <c r="DV468" s="182"/>
      <c r="DW468" s="182"/>
      <c r="DX468" s="182"/>
      <c r="DY468" s="182"/>
      <c r="DZ468" s="182"/>
      <c r="EA468" s="182"/>
      <c r="EB468" s="2"/>
      <c r="EC468" s="2"/>
      <c r="ED468" s="2"/>
      <c r="EE468" s="2"/>
      <c r="EF468" s="2"/>
      <c r="EG468" s="449"/>
      <c r="EH468" s="428"/>
      <c r="EI468" s="428"/>
    </row>
    <row r="469" ht="15.75" customHeight="1">
      <c r="A469" s="1">
        <v>464.0</v>
      </c>
      <c r="B469" s="2" t="s">
        <v>4159</v>
      </c>
      <c r="C469" s="7"/>
      <c r="D469" s="247" t="s">
        <v>4160</v>
      </c>
      <c r="E469" s="5"/>
      <c r="F469" s="248"/>
      <c r="G469" s="7"/>
      <c r="H469" s="8" t="s">
        <v>4161</v>
      </c>
      <c r="I469" s="9" t="s">
        <v>4162</v>
      </c>
      <c r="J469" s="355" t="str">
        <f>image("https://archives.bulbagarden.net/media/upload/7/79/464MS6.png", 3)</f>
        <v/>
      </c>
      <c r="K469" s="11" t="s">
        <v>4160</v>
      </c>
      <c r="L469" s="12"/>
      <c r="M469" s="12"/>
      <c r="N469" s="12"/>
      <c r="O469" s="12"/>
      <c r="Q469" s="71">
        <v>115.0</v>
      </c>
      <c r="R469" s="72">
        <v>140.0</v>
      </c>
      <c r="S469" s="73">
        <v>130.0</v>
      </c>
      <c r="T469" s="74">
        <v>55.0</v>
      </c>
      <c r="U469" s="75">
        <v>55.0</v>
      </c>
      <c r="V469" s="76">
        <v>40.0</v>
      </c>
      <c r="W469" s="77">
        <v>535.0</v>
      </c>
      <c r="X469" s="21"/>
      <c r="Y469" s="71">
        <v>115.0</v>
      </c>
      <c r="Z469" s="72">
        <v>140.0</v>
      </c>
      <c r="AA469" s="73">
        <v>130.0</v>
      </c>
      <c r="AB469" s="74">
        <v>55.0</v>
      </c>
      <c r="AC469" s="75">
        <v>55.0</v>
      </c>
      <c r="AD469" s="76">
        <v>40.0</v>
      </c>
      <c r="AE469" s="77">
        <v>535.0</v>
      </c>
      <c r="AF469" s="21"/>
      <c r="AG469" s="71">
        <v>115.0</v>
      </c>
      <c r="AH469" s="72">
        <v>140.0</v>
      </c>
      <c r="AI469" s="73">
        <v>130.0</v>
      </c>
      <c r="AJ469" s="74">
        <v>55.0</v>
      </c>
      <c r="AK469" s="75">
        <v>55.0</v>
      </c>
      <c r="AL469" s="76">
        <v>40.0</v>
      </c>
      <c r="AM469" s="77">
        <v>535.0</v>
      </c>
      <c r="AN469" s="21"/>
      <c r="AO469" s="22">
        <v>115.0</v>
      </c>
      <c r="AP469" s="23">
        <v>140.0</v>
      </c>
      <c r="AQ469" s="23">
        <v>130.0</v>
      </c>
      <c r="AR469" s="23">
        <v>55.0</v>
      </c>
      <c r="AS469" s="23">
        <v>55.0</v>
      </c>
      <c r="AT469" s="23">
        <v>40.0</v>
      </c>
      <c r="AU469" s="24">
        <v>535.0</v>
      </c>
      <c r="AV469" s="21"/>
      <c r="AW469" s="78">
        <v>115.0</v>
      </c>
      <c r="AX469" s="79">
        <v>140.0</v>
      </c>
      <c r="AY469" s="79">
        <v>130.0</v>
      </c>
      <c r="AZ469" s="79">
        <v>55.0</v>
      </c>
      <c r="BA469" s="79">
        <v>55.0</v>
      </c>
      <c r="BB469" s="79">
        <v>40.0</v>
      </c>
      <c r="BC469" s="201">
        <v>535.0</v>
      </c>
      <c r="BE469" s="172" t="s">
        <v>451</v>
      </c>
      <c r="BF469" s="138"/>
      <c r="BG469" s="128"/>
      <c r="BI469" s="31" t="s">
        <v>5</v>
      </c>
      <c r="BJ469" s="32">
        <v>3.0</v>
      </c>
      <c r="BK469" s="32" t="s">
        <v>5</v>
      </c>
      <c r="BL469" s="32" t="s">
        <v>5</v>
      </c>
      <c r="BM469" s="32" t="s">
        <v>5</v>
      </c>
      <c r="BN469" s="33" t="s">
        <v>5</v>
      </c>
      <c r="BP469" s="115" t="s">
        <v>79</v>
      </c>
      <c r="BQ469" s="116" t="s">
        <v>66</v>
      </c>
      <c r="BS469" s="115" t="s">
        <v>79</v>
      </c>
      <c r="BT469" s="117" t="s">
        <v>66</v>
      </c>
      <c r="BU469" s="37" t="str">
        <f t="shared" si="1"/>
        <v>#NAME?</v>
      </c>
      <c r="BV469" s="89" t="s">
        <v>79</v>
      </c>
      <c r="BW469" s="37" t="str">
        <f t="shared" si="2"/>
        <v>#NAME?</v>
      </c>
      <c r="BX469" s="89" t="s">
        <v>66</v>
      </c>
      <c r="BY469" s="39"/>
      <c r="BZ469" s="39"/>
      <c r="CA469" s="40" t="s">
        <v>1164</v>
      </c>
      <c r="CB469" s="41"/>
      <c r="CC469" s="90" t="s">
        <v>79</v>
      </c>
      <c r="CD469" s="91" t="s">
        <v>66</v>
      </c>
      <c r="CE469" s="2"/>
      <c r="CF469" s="92" t="s">
        <v>353</v>
      </c>
      <c r="CG469" s="93" t="s">
        <v>2993</v>
      </c>
      <c r="CH469" s="2"/>
      <c r="CI469" s="191" t="s">
        <v>2993</v>
      </c>
      <c r="CJ469" s="158" t="s">
        <v>1118</v>
      </c>
      <c r="CK469" s="2"/>
      <c r="CL469" s="22" t="s">
        <v>2994</v>
      </c>
      <c r="CM469" s="12"/>
      <c r="CN469" s="48"/>
      <c r="CO469" s="159" t="s">
        <v>1166</v>
      </c>
      <c r="CP469" s="2"/>
      <c r="CQ469" s="2" t="s">
        <v>4163</v>
      </c>
      <c r="CR469" s="97">
        <v>120.0</v>
      </c>
      <c r="CS469" s="2" t="s">
        <v>451</v>
      </c>
      <c r="CT469" s="98">
        <v>217.0</v>
      </c>
      <c r="CU469" s="2"/>
      <c r="CV469" s="52" t="s">
        <v>149</v>
      </c>
      <c r="CW469" s="52" t="s">
        <v>149</v>
      </c>
      <c r="CX469" s="2"/>
      <c r="CY469" s="118" t="s">
        <v>14</v>
      </c>
      <c r="CZ469" s="119" t="s">
        <v>277</v>
      </c>
      <c r="DA469" s="2"/>
      <c r="DB469" s="98">
        <v>30.0</v>
      </c>
      <c r="DC469" s="2"/>
      <c r="DD469" s="101" t="s">
        <v>683</v>
      </c>
      <c r="DE469" s="2"/>
      <c r="DF469" s="159" t="s">
        <v>4164</v>
      </c>
      <c r="DG469" s="119"/>
      <c r="DH469" s="119"/>
      <c r="DI469" s="2"/>
      <c r="DJ469" s="2"/>
      <c r="DK469" s="59" t="s">
        <v>4165</v>
      </c>
      <c r="DL469" s="37" t="s">
        <v>156</v>
      </c>
      <c r="DM469" s="37" t="str">
        <f t="shared" si="3"/>
        <v>#NAME?</v>
      </c>
      <c r="DN469" s="61"/>
      <c r="DO469" s="37" t="s">
        <v>19</v>
      </c>
      <c r="DP469" s="37" t="s">
        <v>19</v>
      </c>
      <c r="DQ469" s="62" t="s">
        <v>49</v>
      </c>
      <c r="DR469" s="63"/>
      <c r="DS469" s="198"/>
      <c r="DT469" s="108"/>
      <c r="DU469" s="108"/>
      <c r="DV469" s="182"/>
      <c r="DW469" s="182"/>
      <c r="DX469" s="182"/>
      <c r="DY469" s="182"/>
      <c r="DZ469" s="182"/>
      <c r="EA469" s="182"/>
      <c r="EB469" s="2"/>
      <c r="EC469" s="2"/>
      <c r="ED469" s="2"/>
      <c r="EE469" s="2"/>
      <c r="EF469" s="2"/>
      <c r="EG469" s="449"/>
      <c r="EH469" s="428"/>
      <c r="EI469" s="428"/>
    </row>
    <row r="470" ht="15.75" customHeight="1">
      <c r="A470" s="1">
        <v>465.0</v>
      </c>
      <c r="B470" s="2" t="s">
        <v>4166</v>
      </c>
      <c r="C470" s="7"/>
      <c r="D470" s="140" t="s">
        <v>4167</v>
      </c>
      <c r="E470" s="5"/>
      <c r="F470" s="141"/>
      <c r="G470" s="7"/>
      <c r="H470" s="8" t="s">
        <v>4168</v>
      </c>
      <c r="I470" s="9" t="s">
        <v>4169</v>
      </c>
      <c r="J470" s="355" t="str">
        <f>image("https://archives.bulbagarden.net/media/upload/c/c1/465MS6.png", 3)</f>
        <v/>
      </c>
      <c r="K470" s="11" t="s">
        <v>4167</v>
      </c>
      <c r="L470" s="12"/>
      <c r="M470" s="12"/>
      <c r="N470" s="12"/>
      <c r="O470" s="12"/>
      <c r="Q470" s="71">
        <v>100.0</v>
      </c>
      <c r="R470" s="72">
        <v>100.0</v>
      </c>
      <c r="S470" s="73">
        <v>125.0</v>
      </c>
      <c r="T470" s="74">
        <v>110.0</v>
      </c>
      <c r="U470" s="75">
        <v>50.0</v>
      </c>
      <c r="V470" s="76">
        <v>50.0</v>
      </c>
      <c r="W470" s="77">
        <v>535.0</v>
      </c>
      <c r="X470" s="21"/>
      <c r="Y470" s="71">
        <v>100.0</v>
      </c>
      <c r="Z470" s="72">
        <v>100.0</v>
      </c>
      <c r="AA470" s="73">
        <v>125.0</v>
      </c>
      <c r="AB470" s="74">
        <v>110.0</v>
      </c>
      <c r="AC470" s="75">
        <v>50.0</v>
      </c>
      <c r="AD470" s="76">
        <v>50.0</v>
      </c>
      <c r="AE470" s="77">
        <v>535.0</v>
      </c>
      <c r="AF470" s="21"/>
      <c r="AG470" s="71">
        <v>100.0</v>
      </c>
      <c r="AH470" s="72">
        <v>100.0</v>
      </c>
      <c r="AI470" s="73">
        <v>125.0</v>
      </c>
      <c r="AJ470" s="74">
        <v>110.0</v>
      </c>
      <c r="AK470" s="75">
        <v>50.0</v>
      </c>
      <c r="AL470" s="76">
        <v>50.0</v>
      </c>
      <c r="AM470" s="77">
        <v>535.0</v>
      </c>
      <c r="AN470" s="21"/>
      <c r="AO470" s="22">
        <v>100.0</v>
      </c>
      <c r="AP470" s="23">
        <v>100.0</v>
      </c>
      <c r="AQ470" s="23">
        <v>125.0</v>
      </c>
      <c r="AR470" s="23">
        <v>110.0</v>
      </c>
      <c r="AS470" s="23">
        <v>50.0</v>
      </c>
      <c r="AT470" s="23">
        <v>50.0</v>
      </c>
      <c r="AU470" s="24">
        <v>535.0</v>
      </c>
      <c r="AV470" s="21"/>
      <c r="AW470" s="78">
        <v>100.0</v>
      </c>
      <c r="AX470" s="79">
        <v>100.0</v>
      </c>
      <c r="AY470" s="79">
        <v>125.0</v>
      </c>
      <c r="AZ470" s="79">
        <v>110.0</v>
      </c>
      <c r="BA470" s="79">
        <v>50.0</v>
      </c>
      <c r="BB470" s="79">
        <v>50.0</v>
      </c>
      <c r="BC470" s="201">
        <v>535.0</v>
      </c>
      <c r="BE470" s="156" t="s">
        <v>162</v>
      </c>
      <c r="BF470" s="113"/>
      <c r="BG470" s="446"/>
      <c r="BI470" s="31" t="s">
        <v>5</v>
      </c>
      <c r="BJ470" s="32" t="s">
        <v>5</v>
      </c>
      <c r="BK470" s="32">
        <v>2.0</v>
      </c>
      <c r="BL470" s="32" t="s">
        <v>5</v>
      </c>
      <c r="BM470" s="32" t="s">
        <v>5</v>
      </c>
      <c r="BN470" s="33" t="s">
        <v>5</v>
      </c>
      <c r="BP470" s="85" t="s">
        <v>6</v>
      </c>
      <c r="BQ470" s="129"/>
      <c r="BS470" s="87" t="s">
        <v>6</v>
      </c>
      <c r="BT470" s="130"/>
      <c r="BU470" s="37" t="str">
        <f t="shared" si="1"/>
        <v>#NAME?</v>
      </c>
      <c r="BV470" s="89" t="s">
        <v>6</v>
      </c>
      <c r="BW470" s="37" t="str">
        <f t="shared" si="2"/>
        <v>#NAME?</v>
      </c>
      <c r="BX470" s="89"/>
      <c r="BY470" s="134"/>
      <c r="BZ470" s="134"/>
      <c r="CA470" s="135" t="s">
        <v>6</v>
      </c>
      <c r="CB470" s="136"/>
      <c r="CC470" s="90" t="s">
        <v>6</v>
      </c>
      <c r="CD470" s="137"/>
      <c r="CE470" s="21"/>
      <c r="CF470" s="92" t="s">
        <v>43</v>
      </c>
      <c r="CG470" s="93" t="s">
        <v>1194</v>
      </c>
      <c r="CH470" s="21"/>
      <c r="CI470" s="92" t="s">
        <v>43</v>
      </c>
      <c r="CJ470" s="281" t="s">
        <v>1194</v>
      </c>
      <c r="CK470" s="21"/>
      <c r="CL470" s="22" t="s">
        <v>43</v>
      </c>
      <c r="CM470" s="12"/>
      <c r="CN470" s="48"/>
      <c r="CO470" s="282" t="s">
        <v>1194</v>
      </c>
      <c r="CP470" s="21"/>
      <c r="CQ470" s="2" t="s">
        <v>4170</v>
      </c>
      <c r="CR470" s="97">
        <v>100.0</v>
      </c>
      <c r="CS470" s="2" t="s">
        <v>162</v>
      </c>
      <c r="CT470" s="98">
        <v>211.0</v>
      </c>
      <c r="CU470" s="2"/>
      <c r="CV470" s="52" t="s">
        <v>149</v>
      </c>
      <c r="CW470" s="52" t="s">
        <v>149</v>
      </c>
      <c r="CX470" s="2"/>
      <c r="CY470" s="444" t="s">
        <v>6</v>
      </c>
      <c r="CZ470" s="450"/>
      <c r="DA470" s="2"/>
      <c r="DB470" s="98">
        <v>30.0</v>
      </c>
      <c r="DC470" s="2"/>
      <c r="DD470" s="101" t="s">
        <v>150</v>
      </c>
      <c r="DE470" s="2"/>
      <c r="DF470" s="468" t="s">
        <v>4171</v>
      </c>
      <c r="DG470" s="444"/>
      <c r="DH470" s="450"/>
      <c r="DI470" s="2"/>
      <c r="DJ470" s="2"/>
      <c r="DK470" s="59" t="s">
        <v>4172</v>
      </c>
      <c r="DL470" s="37" t="s">
        <v>122</v>
      </c>
      <c r="DM470" s="37" t="str">
        <f t="shared" si="3"/>
        <v>#NAME?</v>
      </c>
      <c r="DN470" s="61"/>
      <c r="DO470" s="37" t="s">
        <v>19</v>
      </c>
      <c r="DP470" s="105">
        <v>1.0</v>
      </c>
      <c r="DQ470" s="62" t="s">
        <v>49</v>
      </c>
      <c r="DR470" s="63"/>
      <c r="DS470" s="198"/>
      <c r="DT470" s="108"/>
      <c r="DU470" s="108"/>
      <c r="DV470" s="182"/>
      <c r="DW470" s="182"/>
      <c r="DX470" s="182"/>
      <c r="DY470" s="182"/>
      <c r="DZ470" s="182"/>
      <c r="EA470" s="182"/>
      <c r="EB470" s="2"/>
      <c r="EC470" s="2"/>
      <c r="ED470" s="2"/>
      <c r="EE470" s="2"/>
      <c r="EF470" s="2"/>
      <c r="EG470" s="449"/>
      <c r="EH470" s="428"/>
      <c r="EI470" s="428"/>
    </row>
    <row r="471" ht="15.75" customHeight="1">
      <c r="A471" s="1">
        <v>466.0</v>
      </c>
      <c r="B471" s="2" t="s">
        <v>4173</v>
      </c>
      <c r="C471" s="7"/>
      <c r="D471" s="169" t="s">
        <v>4174</v>
      </c>
      <c r="E471" s="5"/>
      <c r="F471" s="170"/>
      <c r="G471" s="7"/>
      <c r="H471" s="8" t="s">
        <v>4175</v>
      </c>
      <c r="I471" s="9" t="s">
        <v>4176</v>
      </c>
      <c r="J471" s="355" t="str">
        <f>image("https://archives.bulbagarden.net/media/upload/2/2a/466MS6.png", 3)</f>
        <v/>
      </c>
      <c r="K471" s="11" t="s">
        <v>4174</v>
      </c>
      <c r="L471" s="12"/>
      <c r="M471" s="12"/>
      <c r="N471" s="12"/>
      <c r="O471" s="12"/>
      <c r="Q471" s="71">
        <v>75.0</v>
      </c>
      <c r="R471" s="72">
        <v>123.0</v>
      </c>
      <c r="S471" s="73">
        <v>67.0</v>
      </c>
      <c r="T471" s="74">
        <v>95.0</v>
      </c>
      <c r="U471" s="75">
        <v>85.0</v>
      </c>
      <c r="V471" s="76">
        <v>95.0</v>
      </c>
      <c r="W471" s="77">
        <v>540.0</v>
      </c>
      <c r="X471" s="21"/>
      <c r="Y471" s="71">
        <v>75.0</v>
      </c>
      <c r="Z471" s="72">
        <v>123.0</v>
      </c>
      <c r="AA471" s="73">
        <v>67.0</v>
      </c>
      <c r="AB471" s="74">
        <v>95.0</v>
      </c>
      <c r="AC471" s="75">
        <v>85.0</v>
      </c>
      <c r="AD471" s="76">
        <v>95.0</v>
      </c>
      <c r="AE471" s="77">
        <v>540.0</v>
      </c>
      <c r="AF471" s="21"/>
      <c r="AG471" s="71">
        <v>75.0</v>
      </c>
      <c r="AH471" s="72">
        <v>123.0</v>
      </c>
      <c r="AI471" s="73">
        <v>67.0</v>
      </c>
      <c r="AJ471" s="74">
        <v>95.0</v>
      </c>
      <c r="AK471" s="75">
        <v>85.0</v>
      </c>
      <c r="AL471" s="76">
        <v>95.0</v>
      </c>
      <c r="AM471" s="77">
        <v>540.0</v>
      </c>
      <c r="AN471" s="21"/>
      <c r="AO471" s="22">
        <v>75.0</v>
      </c>
      <c r="AP471" s="23">
        <v>123.0</v>
      </c>
      <c r="AQ471" s="23">
        <v>67.0</v>
      </c>
      <c r="AR471" s="23">
        <v>95.0</v>
      </c>
      <c r="AS471" s="23">
        <v>85.0</v>
      </c>
      <c r="AT471" s="23">
        <v>95.0</v>
      </c>
      <c r="AU471" s="24">
        <v>540.0</v>
      </c>
      <c r="AV471" s="21"/>
      <c r="AW471" s="78">
        <v>75.0</v>
      </c>
      <c r="AX471" s="79">
        <v>123.0</v>
      </c>
      <c r="AY471" s="79">
        <v>67.0</v>
      </c>
      <c r="AZ471" s="79">
        <v>95.0</v>
      </c>
      <c r="BA471" s="79">
        <v>85.0</v>
      </c>
      <c r="BB471" s="79">
        <v>95.0</v>
      </c>
      <c r="BC471" s="201">
        <v>540.0</v>
      </c>
      <c r="BE471" s="172" t="s">
        <v>451</v>
      </c>
      <c r="BF471" s="138"/>
      <c r="BG471" s="128"/>
      <c r="BI471" s="31" t="s">
        <v>5</v>
      </c>
      <c r="BJ471" s="32">
        <v>3.0</v>
      </c>
      <c r="BK471" s="32" t="s">
        <v>5</v>
      </c>
      <c r="BL471" s="32" t="s">
        <v>5</v>
      </c>
      <c r="BM471" s="32" t="s">
        <v>5</v>
      </c>
      <c r="BN471" s="33" t="s">
        <v>5</v>
      </c>
      <c r="BP471" s="115" t="s">
        <v>197</v>
      </c>
      <c r="BQ471" s="93"/>
      <c r="BS471" s="115" t="s">
        <v>197</v>
      </c>
      <c r="BT471" s="133"/>
      <c r="BU471" s="37" t="str">
        <f t="shared" si="1"/>
        <v>#NAME?</v>
      </c>
      <c r="BV471" s="89" t="s">
        <v>197</v>
      </c>
      <c r="BW471" s="37" t="str">
        <f t="shared" si="2"/>
        <v>#NAME?</v>
      </c>
      <c r="BX471" s="89" t="s">
        <v>403</v>
      </c>
      <c r="BY471" s="39"/>
      <c r="BZ471" s="39"/>
      <c r="CA471" s="40" t="s">
        <v>4177</v>
      </c>
      <c r="CB471" s="41"/>
      <c r="CC471" s="37" t="s">
        <v>197</v>
      </c>
      <c r="CD471" s="139" t="s">
        <v>64</v>
      </c>
      <c r="CE471" s="21"/>
      <c r="CF471" s="92" t="s">
        <v>4178</v>
      </c>
      <c r="CG471" s="93"/>
      <c r="CH471" s="21"/>
      <c r="CI471" s="191" t="s">
        <v>4178</v>
      </c>
      <c r="CJ471" s="46" t="s">
        <v>666</v>
      </c>
      <c r="CK471" s="21"/>
      <c r="CL471" s="22" t="s">
        <v>4178</v>
      </c>
      <c r="CM471" s="12"/>
      <c r="CN471" s="48"/>
      <c r="CO471" s="192" t="s">
        <v>1306</v>
      </c>
      <c r="CP471" s="21"/>
      <c r="CQ471" s="2" t="s">
        <v>4179</v>
      </c>
      <c r="CR471" s="97">
        <v>100.0</v>
      </c>
      <c r="CS471" s="2" t="s">
        <v>451</v>
      </c>
      <c r="CT471" s="98">
        <v>199.0</v>
      </c>
      <c r="CU471" s="2"/>
      <c r="CV471" s="52" t="s">
        <v>467</v>
      </c>
      <c r="CW471" s="347">
        <v>0.25</v>
      </c>
      <c r="CX471" s="2"/>
      <c r="CY471" s="119" t="s">
        <v>728</v>
      </c>
      <c r="CZ471" s="160"/>
      <c r="DA471" s="2"/>
      <c r="DB471" s="98">
        <v>30.0</v>
      </c>
      <c r="DC471" s="2"/>
      <c r="DD471" s="101" t="s">
        <v>150</v>
      </c>
      <c r="DE471" s="2"/>
      <c r="DF471" s="192" t="s">
        <v>4180</v>
      </c>
      <c r="DG471" s="118" t="s">
        <v>1308</v>
      </c>
      <c r="DH471" s="160"/>
      <c r="DI471" s="2"/>
      <c r="DJ471" s="2"/>
      <c r="DK471" s="59" t="s">
        <v>4181</v>
      </c>
      <c r="DL471" s="37" t="s">
        <v>122</v>
      </c>
      <c r="DM471" s="37" t="str">
        <f t="shared" si="3"/>
        <v>#NAME?</v>
      </c>
      <c r="DN471" s="61"/>
      <c r="DO471" s="37" t="s">
        <v>19</v>
      </c>
      <c r="DP471" s="37" t="s">
        <v>19</v>
      </c>
      <c r="DQ471" s="62" t="s">
        <v>293</v>
      </c>
      <c r="DR471" s="63"/>
      <c r="DS471" s="198"/>
      <c r="DT471" s="108"/>
      <c r="DU471" s="108"/>
      <c r="DV471" s="182"/>
      <c r="DW471" s="182"/>
      <c r="DX471" s="182"/>
      <c r="DY471" s="182"/>
      <c r="DZ471" s="182"/>
      <c r="EA471" s="182"/>
      <c r="EB471" s="2"/>
      <c r="EC471" s="2"/>
      <c r="ED471" s="2"/>
      <c r="EE471" s="2"/>
      <c r="EF471" s="2"/>
      <c r="EG471" s="449"/>
      <c r="EH471" s="428"/>
      <c r="EI471" s="428"/>
    </row>
    <row r="472" ht="15.75" customHeight="1">
      <c r="A472" s="1">
        <v>467.0</v>
      </c>
      <c r="B472" s="2" t="s">
        <v>4182</v>
      </c>
      <c r="C472" s="7"/>
      <c r="D472" s="122" t="s">
        <v>4183</v>
      </c>
      <c r="E472" s="5"/>
      <c r="F472" s="123"/>
      <c r="G472" s="7"/>
      <c r="H472" s="8" t="s">
        <v>4184</v>
      </c>
      <c r="I472" s="9" t="s">
        <v>4185</v>
      </c>
      <c r="J472" s="355" t="str">
        <f>image("https://archives.bulbagarden.net/media/upload/f/f2/467MS6.png", 3)</f>
        <v/>
      </c>
      <c r="K472" s="11" t="s">
        <v>4183</v>
      </c>
      <c r="L472" s="12"/>
      <c r="M472" s="12"/>
      <c r="N472" s="12"/>
      <c r="O472" s="12"/>
      <c r="Q472" s="71">
        <v>75.0</v>
      </c>
      <c r="R472" s="72">
        <v>95.0</v>
      </c>
      <c r="S472" s="73">
        <v>67.0</v>
      </c>
      <c r="T472" s="74">
        <v>125.0</v>
      </c>
      <c r="U472" s="75">
        <v>95.0</v>
      </c>
      <c r="V472" s="76">
        <v>83.0</v>
      </c>
      <c r="W472" s="77">
        <v>540.0</v>
      </c>
      <c r="X472" s="21"/>
      <c r="Y472" s="71">
        <v>75.0</v>
      </c>
      <c r="Z472" s="72">
        <v>95.0</v>
      </c>
      <c r="AA472" s="73">
        <v>67.0</v>
      </c>
      <c r="AB472" s="74">
        <v>125.0</v>
      </c>
      <c r="AC472" s="75">
        <v>95.0</v>
      </c>
      <c r="AD472" s="76">
        <v>83.0</v>
      </c>
      <c r="AE472" s="77">
        <v>540.0</v>
      </c>
      <c r="AF472" s="21"/>
      <c r="AG472" s="71">
        <v>75.0</v>
      </c>
      <c r="AH472" s="72">
        <v>95.0</v>
      </c>
      <c r="AI472" s="73">
        <v>67.0</v>
      </c>
      <c r="AJ472" s="74">
        <v>125.0</v>
      </c>
      <c r="AK472" s="75">
        <v>95.0</v>
      </c>
      <c r="AL472" s="76">
        <v>83.0</v>
      </c>
      <c r="AM472" s="77">
        <v>540.0</v>
      </c>
      <c r="AN472" s="21"/>
      <c r="AO472" s="22">
        <v>75.0</v>
      </c>
      <c r="AP472" s="23">
        <v>95.0</v>
      </c>
      <c r="AQ472" s="23">
        <v>67.0</v>
      </c>
      <c r="AR472" s="23">
        <v>125.0</v>
      </c>
      <c r="AS472" s="23">
        <v>95.0</v>
      </c>
      <c r="AT472" s="23">
        <v>83.0</v>
      </c>
      <c r="AU472" s="24">
        <v>540.0</v>
      </c>
      <c r="AV472" s="21"/>
      <c r="AW472" s="78">
        <v>75.0</v>
      </c>
      <c r="AX472" s="79">
        <v>95.0</v>
      </c>
      <c r="AY472" s="79">
        <v>67.0</v>
      </c>
      <c r="AZ472" s="79">
        <v>125.0</v>
      </c>
      <c r="BA472" s="79">
        <v>95.0</v>
      </c>
      <c r="BB472" s="79">
        <v>83.0</v>
      </c>
      <c r="BC472" s="201">
        <v>540.0</v>
      </c>
      <c r="BE472" s="112" t="s">
        <v>85</v>
      </c>
      <c r="BF472" s="138"/>
      <c r="BG472" s="128"/>
      <c r="BI472" s="31" t="s">
        <v>5</v>
      </c>
      <c r="BJ472" s="32" t="s">
        <v>5</v>
      </c>
      <c r="BK472" s="32" t="s">
        <v>5</v>
      </c>
      <c r="BL472" s="32">
        <v>3.0</v>
      </c>
      <c r="BM472" s="32" t="s">
        <v>5</v>
      </c>
      <c r="BN472" s="33" t="s">
        <v>5</v>
      </c>
      <c r="BP472" s="85" t="s">
        <v>34</v>
      </c>
      <c r="BQ472" s="129"/>
      <c r="BS472" s="211" t="s">
        <v>34</v>
      </c>
      <c r="BT472" s="130"/>
      <c r="BU472" s="37" t="str">
        <f t="shared" si="1"/>
        <v>#NAME?</v>
      </c>
      <c r="BV472" s="89" t="s">
        <v>34</v>
      </c>
      <c r="BW472" s="37" t="str">
        <f t="shared" si="2"/>
        <v>#NAME?</v>
      </c>
      <c r="BX472" s="89"/>
      <c r="BY472" s="65"/>
      <c r="BZ472" s="65"/>
      <c r="CA472" s="222" t="s">
        <v>34</v>
      </c>
      <c r="CB472" s="223"/>
      <c r="CC472" s="212" t="s">
        <v>34</v>
      </c>
      <c r="CD472" s="147"/>
      <c r="CE472" s="21"/>
      <c r="CF472" s="92" t="s">
        <v>1315</v>
      </c>
      <c r="CG472" s="93"/>
      <c r="CH472" s="21"/>
      <c r="CI472" s="191" t="s">
        <v>1315</v>
      </c>
      <c r="CJ472" s="94" t="s">
        <v>666</v>
      </c>
      <c r="CK472" s="21"/>
      <c r="CL472" s="22" t="s">
        <v>1315</v>
      </c>
      <c r="CM472" s="12"/>
      <c r="CN472" s="48"/>
      <c r="CO472" s="235" t="s">
        <v>1306</v>
      </c>
      <c r="CP472" s="21"/>
      <c r="CQ472" s="2" t="s">
        <v>4186</v>
      </c>
      <c r="CR472" s="97">
        <v>80.0</v>
      </c>
      <c r="CS472" s="2" t="s">
        <v>85</v>
      </c>
      <c r="CT472" s="98">
        <v>199.0</v>
      </c>
      <c r="CU472" s="2"/>
      <c r="CV472" s="52" t="s">
        <v>467</v>
      </c>
      <c r="CW472" s="347">
        <v>0.25</v>
      </c>
      <c r="CX472" s="2"/>
      <c r="CY472" s="444" t="s">
        <v>728</v>
      </c>
      <c r="CZ472" s="450"/>
      <c r="DA472" s="2"/>
      <c r="DB472" s="98">
        <v>30.0</v>
      </c>
      <c r="DC472" s="2"/>
      <c r="DD472" s="101" t="s">
        <v>150</v>
      </c>
      <c r="DE472" s="2"/>
      <c r="DF472" s="193" t="s">
        <v>4187</v>
      </c>
      <c r="DG472" s="443" t="s">
        <v>1318</v>
      </c>
      <c r="DH472" s="450"/>
      <c r="DI472" s="2"/>
      <c r="DJ472" s="2"/>
      <c r="DK472" s="59" t="s">
        <v>4188</v>
      </c>
      <c r="DL472" s="37" t="s">
        <v>32</v>
      </c>
      <c r="DM472" s="37" t="str">
        <f t="shared" si="3"/>
        <v>#NAME?</v>
      </c>
      <c r="DN472" s="61"/>
      <c r="DO472" s="37" t="s">
        <v>19</v>
      </c>
      <c r="DP472" s="37" t="s">
        <v>19</v>
      </c>
      <c r="DQ472" s="62" t="s">
        <v>93</v>
      </c>
      <c r="DR472" s="63"/>
      <c r="DS472" s="198"/>
      <c r="DT472" s="108"/>
      <c r="DU472" s="108"/>
      <c r="DV472" s="182"/>
      <c r="DW472" s="182"/>
      <c r="DX472" s="182"/>
      <c r="DY472" s="182"/>
      <c r="DZ472" s="182"/>
      <c r="EA472" s="182"/>
      <c r="EB472" s="2"/>
      <c r="EC472" s="2"/>
      <c r="ED472" s="2"/>
      <c r="EE472" s="2"/>
      <c r="EF472" s="2"/>
      <c r="EG472" s="449"/>
      <c r="EH472" s="428"/>
      <c r="EI472" s="428"/>
    </row>
    <row r="473" ht="15.75" customHeight="1">
      <c r="A473" s="1">
        <v>468.0</v>
      </c>
      <c r="B473" s="2" t="s">
        <v>4189</v>
      </c>
      <c r="C473" s="7"/>
      <c r="D473" s="352" t="s">
        <v>4190</v>
      </c>
      <c r="E473" s="5"/>
      <c r="F473" s="7"/>
      <c r="G473" s="7"/>
      <c r="H473" s="8" t="s">
        <v>4191</v>
      </c>
      <c r="I473" s="9" t="s">
        <v>4192</v>
      </c>
      <c r="J473" s="355" t="str">
        <f>image("https://archives.bulbagarden.net/media/upload/b/b0/468MS6.png", 3)</f>
        <v/>
      </c>
      <c r="K473" s="11" t="s">
        <v>4190</v>
      </c>
      <c r="L473" s="12"/>
      <c r="M473" s="12"/>
      <c r="N473" s="12"/>
      <c r="O473" s="12"/>
      <c r="Q473" s="71">
        <v>85.0</v>
      </c>
      <c r="R473" s="72">
        <v>50.0</v>
      </c>
      <c r="S473" s="73">
        <v>95.0</v>
      </c>
      <c r="T473" s="74">
        <v>120.0</v>
      </c>
      <c r="U473" s="75">
        <v>115.0</v>
      </c>
      <c r="V473" s="76">
        <v>80.0</v>
      </c>
      <c r="W473" s="77">
        <v>545.0</v>
      </c>
      <c r="X473" s="21"/>
      <c r="Y473" s="71">
        <v>85.0</v>
      </c>
      <c r="Z473" s="72">
        <v>50.0</v>
      </c>
      <c r="AA473" s="73">
        <v>95.0</v>
      </c>
      <c r="AB473" s="74">
        <v>120.0</v>
      </c>
      <c r="AC473" s="75">
        <v>115.0</v>
      </c>
      <c r="AD473" s="76">
        <v>80.0</v>
      </c>
      <c r="AE473" s="77">
        <v>545.0</v>
      </c>
      <c r="AF473" s="21"/>
      <c r="AG473" s="71">
        <v>85.0</v>
      </c>
      <c r="AH473" s="72">
        <v>50.0</v>
      </c>
      <c r="AI473" s="73">
        <v>95.0</v>
      </c>
      <c r="AJ473" s="74">
        <v>120.0</v>
      </c>
      <c r="AK473" s="75">
        <v>115.0</v>
      </c>
      <c r="AL473" s="76">
        <v>80.0</v>
      </c>
      <c r="AM473" s="77">
        <v>545.0</v>
      </c>
      <c r="AN473" s="21"/>
      <c r="AO473" s="22">
        <v>85.0</v>
      </c>
      <c r="AP473" s="23">
        <v>50.0</v>
      </c>
      <c r="AQ473" s="23">
        <v>95.0</v>
      </c>
      <c r="AR473" s="23">
        <v>120.0</v>
      </c>
      <c r="AS473" s="23">
        <v>115.0</v>
      </c>
      <c r="AT473" s="23">
        <v>80.0</v>
      </c>
      <c r="AU473" s="24">
        <v>545.0</v>
      </c>
      <c r="AV473" s="21"/>
      <c r="AW473" s="78">
        <v>85.0</v>
      </c>
      <c r="AX473" s="79">
        <v>50.0</v>
      </c>
      <c r="AY473" s="79">
        <v>95.0</v>
      </c>
      <c r="AZ473" s="79">
        <v>120.0</v>
      </c>
      <c r="BA473" s="79">
        <v>115.0</v>
      </c>
      <c r="BB473" s="79">
        <v>80.0</v>
      </c>
      <c r="BC473" s="201">
        <v>545.0</v>
      </c>
      <c r="BE473" s="112" t="s">
        <v>42</v>
      </c>
      <c r="BF473" s="113"/>
      <c r="BG473" s="114" t="s">
        <v>27</v>
      </c>
      <c r="BI473" s="31" t="s">
        <v>5</v>
      </c>
      <c r="BJ473" s="32" t="s">
        <v>5</v>
      </c>
      <c r="BK473" s="32" t="s">
        <v>5</v>
      </c>
      <c r="BL473" s="32">
        <v>2.0</v>
      </c>
      <c r="BM473" s="32">
        <v>1.0</v>
      </c>
      <c r="BN473" s="33" t="s">
        <v>5</v>
      </c>
      <c r="BP473" s="115" t="s">
        <v>156</v>
      </c>
      <c r="BQ473" s="116" t="s">
        <v>18</v>
      </c>
      <c r="BS473" s="344" t="s">
        <v>153</v>
      </c>
      <c r="BT473" s="469" t="s">
        <v>18</v>
      </c>
      <c r="BU473" s="37" t="str">
        <f t="shared" si="1"/>
        <v>#NAME?</v>
      </c>
      <c r="BV473" s="89" t="s">
        <v>461</v>
      </c>
      <c r="BW473" s="37" t="str">
        <f t="shared" si="2"/>
        <v>#NAME?</v>
      </c>
      <c r="BX473" s="89" t="s">
        <v>18</v>
      </c>
      <c r="BY473" s="39"/>
      <c r="BZ473" s="39"/>
      <c r="CA473" s="40" t="s">
        <v>4193</v>
      </c>
      <c r="CB473" s="41"/>
      <c r="CC473" s="24" t="s">
        <v>153</v>
      </c>
      <c r="CD473" s="62" t="s">
        <v>18</v>
      </c>
      <c r="CE473" s="2"/>
      <c r="CF473" s="92" t="s">
        <v>1733</v>
      </c>
      <c r="CG473" s="93" t="s">
        <v>1183</v>
      </c>
      <c r="CH473" s="2"/>
      <c r="CI473" s="191" t="s">
        <v>1183</v>
      </c>
      <c r="CJ473" s="152" t="s">
        <v>1734</v>
      </c>
      <c r="CK473" s="2"/>
      <c r="CL473" s="22" t="s">
        <v>1184</v>
      </c>
      <c r="CM473" s="12"/>
      <c r="CN473" s="48"/>
      <c r="CO473" s="193" t="s">
        <v>912</v>
      </c>
      <c r="CP473" s="2"/>
      <c r="CQ473" s="2" t="s">
        <v>315</v>
      </c>
      <c r="CR473" s="97">
        <v>60.0</v>
      </c>
      <c r="CS473" s="2" t="s">
        <v>46</v>
      </c>
      <c r="CT473" s="98">
        <v>220.0</v>
      </c>
      <c r="CU473" s="2"/>
      <c r="CV473" s="52" t="s">
        <v>13</v>
      </c>
      <c r="CW473" s="53">
        <v>0.125</v>
      </c>
      <c r="CX473" s="2"/>
      <c r="CY473" s="118" t="s">
        <v>18</v>
      </c>
      <c r="CZ473" s="119" t="s">
        <v>153</v>
      </c>
      <c r="DA473" s="2"/>
      <c r="DB473" s="98">
        <v>30.0</v>
      </c>
      <c r="DC473" s="2"/>
      <c r="DD473" s="101" t="s">
        <v>468</v>
      </c>
      <c r="DE473" s="2"/>
      <c r="DF473" s="279" t="s">
        <v>4194</v>
      </c>
      <c r="DG473" s="119"/>
      <c r="DH473" s="119"/>
      <c r="DI473" s="2"/>
      <c r="DJ473" s="2"/>
      <c r="DK473" s="59" t="s">
        <v>4195</v>
      </c>
      <c r="DL473" s="37" t="s">
        <v>156</v>
      </c>
      <c r="DM473" s="37" t="str">
        <f t="shared" si="3"/>
        <v>#NAME?</v>
      </c>
      <c r="DN473" s="61"/>
      <c r="DO473" s="37" t="s">
        <v>19</v>
      </c>
      <c r="DP473" s="105">
        <v>1.0</v>
      </c>
      <c r="DQ473" s="62" t="s">
        <v>20</v>
      </c>
      <c r="DR473" s="63"/>
      <c r="DS473" s="198"/>
      <c r="DT473" s="108"/>
      <c r="DU473" s="108"/>
      <c r="DV473" s="182"/>
      <c r="DW473" s="182"/>
      <c r="DX473" s="182"/>
      <c r="DY473" s="182"/>
      <c r="DZ473" s="182"/>
      <c r="EA473" s="182"/>
      <c r="EB473" s="2"/>
      <c r="EC473" s="2"/>
      <c r="ED473" s="2"/>
      <c r="EE473" s="2"/>
      <c r="EF473" s="2"/>
      <c r="EG473" s="449"/>
      <c r="EH473" s="428"/>
      <c r="EI473" s="428"/>
    </row>
    <row r="474" ht="15.75" customHeight="1">
      <c r="A474" s="1">
        <v>469.0</v>
      </c>
      <c r="B474" s="2" t="s">
        <v>4196</v>
      </c>
      <c r="C474" s="7"/>
      <c r="D474" s="4" t="s">
        <v>4197</v>
      </c>
      <c r="E474" s="5"/>
      <c r="F474" s="6"/>
      <c r="G474" s="7"/>
      <c r="H474" s="8" t="s">
        <v>4198</v>
      </c>
      <c r="I474" s="9" t="s">
        <v>4199</v>
      </c>
      <c r="J474" s="355" t="str">
        <f>image("https://archives.bulbagarden.net/media/upload/8/8c/469MS6.png", 3)</f>
        <v/>
      </c>
      <c r="K474" s="11" t="s">
        <v>4197</v>
      </c>
      <c r="L474" s="12"/>
      <c r="M474" s="12"/>
      <c r="N474" s="12"/>
      <c r="O474" s="12"/>
      <c r="Q474" s="71">
        <v>86.0</v>
      </c>
      <c r="R474" s="72">
        <v>76.0</v>
      </c>
      <c r="S474" s="73">
        <v>86.0</v>
      </c>
      <c r="T474" s="74">
        <v>116.0</v>
      </c>
      <c r="U474" s="75">
        <v>56.0</v>
      </c>
      <c r="V474" s="76">
        <v>95.0</v>
      </c>
      <c r="W474" s="77">
        <v>515.0</v>
      </c>
      <c r="X474" s="21"/>
      <c r="Y474" s="71">
        <v>86.0</v>
      </c>
      <c r="Z474" s="72">
        <v>76.0</v>
      </c>
      <c r="AA474" s="73">
        <v>86.0</v>
      </c>
      <c r="AB474" s="74">
        <v>116.0</v>
      </c>
      <c r="AC474" s="75">
        <v>56.0</v>
      </c>
      <c r="AD474" s="76">
        <v>95.0</v>
      </c>
      <c r="AE474" s="77">
        <v>515.0</v>
      </c>
      <c r="AF474" s="21"/>
      <c r="AG474" s="71">
        <v>86.0</v>
      </c>
      <c r="AH474" s="72">
        <v>76.0</v>
      </c>
      <c r="AI474" s="73">
        <v>86.0</v>
      </c>
      <c r="AJ474" s="74">
        <v>116.0</v>
      </c>
      <c r="AK474" s="75">
        <v>56.0</v>
      </c>
      <c r="AL474" s="76">
        <v>95.0</v>
      </c>
      <c r="AM474" s="77">
        <v>515.0</v>
      </c>
      <c r="AN474" s="21"/>
      <c r="AO474" s="22">
        <v>86.0</v>
      </c>
      <c r="AP474" s="23">
        <v>76.0</v>
      </c>
      <c r="AQ474" s="23">
        <v>86.0</v>
      </c>
      <c r="AR474" s="23">
        <v>116.0</v>
      </c>
      <c r="AS474" s="23">
        <v>56.0</v>
      </c>
      <c r="AT474" s="23">
        <v>95.0</v>
      </c>
      <c r="AU474" s="24">
        <v>515.0</v>
      </c>
      <c r="AV474" s="21"/>
      <c r="AW474" s="78">
        <v>86.0</v>
      </c>
      <c r="AX474" s="79">
        <v>76.0</v>
      </c>
      <c r="AY474" s="79">
        <v>86.0</v>
      </c>
      <c r="AZ474" s="79">
        <v>116.0</v>
      </c>
      <c r="BA474" s="79">
        <v>56.0</v>
      </c>
      <c r="BB474" s="79">
        <v>95.0</v>
      </c>
      <c r="BC474" s="201">
        <v>515.0</v>
      </c>
      <c r="BE474" s="172" t="s">
        <v>216</v>
      </c>
      <c r="BF474" s="113"/>
      <c r="BG474" s="446"/>
      <c r="BI474" s="31" t="s">
        <v>5</v>
      </c>
      <c r="BJ474" s="32">
        <v>2.0</v>
      </c>
      <c r="BK474" s="32" t="s">
        <v>5</v>
      </c>
      <c r="BL474" s="32" t="s">
        <v>5</v>
      </c>
      <c r="BM474" s="32" t="s">
        <v>5</v>
      </c>
      <c r="BN474" s="33" t="s">
        <v>5</v>
      </c>
      <c r="BP474" s="85" t="s">
        <v>109</v>
      </c>
      <c r="BQ474" s="86" t="s">
        <v>18</v>
      </c>
      <c r="BS474" s="470" t="s">
        <v>109</v>
      </c>
      <c r="BT474" s="88" t="s">
        <v>18</v>
      </c>
      <c r="BU474" s="37" t="str">
        <f t="shared" si="1"/>
        <v>#NAME?</v>
      </c>
      <c r="BV474" s="89" t="s">
        <v>109</v>
      </c>
      <c r="BW474" s="37" t="str">
        <f t="shared" si="2"/>
        <v>#NAME?</v>
      </c>
      <c r="BX474" s="89" t="s">
        <v>18</v>
      </c>
      <c r="BY474" s="144"/>
      <c r="BZ474" s="144"/>
      <c r="CA474" s="145" t="s">
        <v>177</v>
      </c>
      <c r="CB474" s="146"/>
      <c r="CC474" s="224" t="s">
        <v>109</v>
      </c>
      <c r="CD474" s="91" t="s">
        <v>18</v>
      </c>
      <c r="CE474" s="2"/>
      <c r="CF474" s="92" t="s">
        <v>1883</v>
      </c>
      <c r="CG474" s="93" t="s">
        <v>179</v>
      </c>
      <c r="CH474" s="2"/>
      <c r="CI474" s="92" t="s">
        <v>1883</v>
      </c>
      <c r="CJ474" s="195" t="s">
        <v>179</v>
      </c>
      <c r="CK474" s="2"/>
      <c r="CL474" s="22" t="s">
        <v>1883</v>
      </c>
      <c r="CM474" s="12"/>
      <c r="CN474" s="48"/>
      <c r="CO474" s="196" t="s">
        <v>179</v>
      </c>
      <c r="CP474" s="2"/>
      <c r="CQ474" s="2" t="s">
        <v>4200</v>
      </c>
      <c r="CR474" s="97">
        <v>80.0</v>
      </c>
      <c r="CS474" s="2" t="s">
        <v>216</v>
      </c>
      <c r="CT474" s="98">
        <v>198.0</v>
      </c>
      <c r="CU474" s="2"/>
      <c r="CV474" s="52" t="s">
        <v>149</v>
      </c>
      <c r="CW474" s="52" t="s">
        <v>149</v>
      </c>
      <c r="CX474" s="2"/>
      <c r="CY474" s="444" t="s">
        <v>109</v>
      </c>
      <c r="CZ474" s="450"/>
      <c r="DA474" s="2"/>
      <c r="DB474" s="98">
        <v>30.0</v>
      </c>
      <c r="DC474" s="2"/>
      <c r="DD474" s="101" t="s">
        <v>150</v>
      </c>
      <c r="DE474" s="2"/>
      <c r="DF474" s="467" t="s">
        <v>4201</v>
      </c>
      <c r="DG474" s="443" t="s">
        <v>1885</v>
      </c>
      <c r="DH474" s="450"/>
      <c r="DI474" s="2"/>
      <c r="DJ474" s="2"/>
      <c r="DK474" s="59" t="s">
        <v>4202</v>
      </c>
      <c r="DL474" s="37" t="s">
        <v>34</v>
      </c>
      <c r="DM474" s="37" t="str">
        <f t="shared" si="3"/>
        <v>#NAME?</v>
      </c>
      <c r="DN474" s="61"/>
      <c r="DO474" s="37" t="s">
        <v>19</v>
      </c>
      <c r="DP474" s="37" t="s">
        <v>195</v>
      </c>
      <c r="DQ474" s="62" t="s">
        <v>93</v>
      </c>
      <c r="DR474" s="63"/>
      <c r="DS474" s="198"/>
      <c r="DT474" s="108"/>
      <c r="DU474" s="108"/>
      <c r="DV474" s="182"/>
      <c r="DW474" s="182"/>
      <c r="DX474" s="182"/>
      <c r="DY474" s="182"/>
      <c r="DZ474" s="182"/>
      <c r="EA474" s="182"/>
      <c r="EB474" s="2"/>
      <c r="EC474" s="2"/>
      <c r="ED474" s="2"/>
      <c r="EE474" s="2"/>
      <c r="EF474" s="2"/>
      <c r="EG474" s="449"/>
      <c r="EH474" s="428"/>
      <c r="EI474" s="428"/>
    </row>
    <row r="475" ht="15.75" customHeight="1">
      <c r="A475" s="1">
        <v>470.0</v>
      </c>
      <c r="B475" s="2" t="s">
        <v>4203</v>
      </c>
      <c r="C475" s="7"/>
      <c r="D475" s="4" t="s">
        <v>4204</v>
      </c>
      <c r="E475" s="5"/>
      <c r="F475" s="6"/>
      <c r="G475" s="7"/>
      <c r="H475" s="8" t="s">
        <v>4205</v>
      </c>
      <c r="I475" s="9" t="s">
        <v>4206</v>
      </c>
      <c r="J475" s="355" t="str">
        <f>image("https://archives.bulbagarden.net/media/upload/7/77/470MS6.png", 3)</f>
        <v/>
      </c>
      <c r="K475" s="11" t="s">
        <v>4204</v>
      </c>
      <c r="L475" s="12"/>
      <c r="M475" s="12"/>
      <c r="N475" s="12"/>
      <c r="O475" s="12"/>
      <c r="Q475" s="71">
        <v>65.0</v>
      </c>
      <c r="R475" s="72">
        <v>110.0</v>
      </c>
      <c r="S475" s="73">
        <v>130.0</v>
      </c>
      <c r="T475" s="74">
        <v>60.0</v>
      </c>
      <c r="U475" s="75">
        <v>65.0</v>
      </c>
      <c r="V475" s="76">
        <v>95.0</v>
      </c>
      <c r="W475" s="77">
        <v>525.0</v>
      </c>
      <c r="X475" s="21"/>
      <c r="Y475" s="71">
        <v>65.0</v>
      </c>
      <c r="Z475" s="72">
        <v>110.0</v>
      </c>
      <c r="AA475" s="73">
        <v>130.0</v>
      </c>
      <c r="AB475" s="74">
        <v>60.0</v>
      </c>
      <c r="AC475" s="75">
        <v>65.0</v>
      </c>
      <c r="AD475" s="76">
        <v>95.0</v>
      </c>
      <c r="AE475" s="77">
        <v>525.0</v>
      </c>
      <c r="AF475" s="21"/>
      <c r="AG475" s="71">
        <v>65.0</v>
      </c>
      <c r="AH475" s="72">
        <v>110.0</v>
      </c>
      <c r="AI475" s="73">
        <v>130.0</v>
      </c>
      <c r="AJ475" s="74">
        <v>60.0</v>
      </c>
      <c r="AK475" s="75">
        <v>65.0</v>
      </c>
      <c r="AL475" s="76">
        <v>95.0</v>
      </c>
      <c r="AM475" s="77">
        <v>525.0</v>
      </c>
      <c r="AN475" s="21"/>
      <c r="AO475" s="22">
        <v>65.0</v>
      </c>
      <c r="AP475" s="23">
        <v>110.0</v>
      </c>
      <c r="AQ475" s="23">
        <v>130.0</v>
      </c>
      <c r="AR475" s="23">
        <v>60.0</v>
      </c>
      <c r="AS475" s="23">
        <v>65.0</v>
      </c>
      <c r="AT475" s="23">
        <v>95.0</v>
      </c>
      <c r="AU475" s="24">
        <v>525.0</v>
      </c>
      <c r="AV475" s="21"/>
      <c r="AW475" s="78">
        <v>65.0</v>
      </c>
      <c r="AX475" s="79">
        <v>110.0</v>
      </c>
      <c r="AY475" s="79">
        <v>130.0</v>
      </c>
      <c r="AZ475" s="79">
        <v>60.0</v>
      </c>
      <c r="BA475" s="80">
        <v>65.0</v>
      </c>
      <c r="BB475" s="80">
        <v>95.0</v>
      </c>
      <c r="BC475" s="201">
        <v>525.0</v>
      </c>
      <c r="BE475" s="156" t="s">
        <v>162</v>
      </c>
      <c r="BF475" s="113"/>
      <c r="BG475" s="210"/>
      <c r="BI475" s="31" t="s">
        <v>5</v>
      </c>
      <c r="BJ475" s="32" t="s">
        <v>5</v>
      </c>
      <c r="BK475" s="32">
        <v>2.0</v>
      </c>
      <c r="BL475" s="32" t="s">
        <v>5</v>
      </c>
      <c r="BM475" s="32" t="s">
        <v>5</v>
      </c>
      <c r="BN475" s="33" t="s">
        <v>5</v>
      </c>
      <c r="BP475" s="115" t="s">
        <v>6</v>
      </c>
      <c r="BQ475" s="93"/>
      <c r="BS475" s="115" t="s">
        <v>6</v>
      </c>
      <c r="BT475" s="133"/>
      <c r="BU475" s="37" t="str">
        <f t="shared" si="1"/>
        <v>#NAME?</v>
      </c>
      <c r="BV475" s="89" t="s">
        <v>6</v>
      </c>
      <c r="BW475" s="37" t="str">
        <f t="shared" si="2"/>
        <v>#NAME?</v>
      </c>
      <c r="BX475" s="89"/>
      <c r="BY475" s="39"/>
      <c r="BZ475" s="39"/>
      <c r="CA475" s="40" t="s">
        <v>6</v>
      </c>
      <c r="CB475" s="41"/>
      <c r="CC475" s="90" t="s">
        <v>6</v>
      </c>
      <c r="CD475" s="91"/>
      <c r="CE475" s="21"/>
      <c r="CF475" s="92" t="s">
        <v>1194</v>
      </c>
      <c r="CG475" s="93"/>
      <c r="CH475" s="21"/>
      <c r="CI475" s="92" t="s">
        <v>1194</v>
      </c>
      <c r="CJ475" s="93"/>
      <c r="CK475" s="21"/>
      <c r="CL475" s="22" t="s">
        <v>1194</v>
      </c>
      <c r="CM475" s="12"/>
      <c r="CN475" s="48"/>
      <c r="CO475" s="95"/>
      <c r="CP475" s="21"/>
      <c r="CQ475" s="2" t="s">
        <v>3703</v>
      </c>
      <c r="CR475" s="97">
        <v>60.0</v>
      </c>
      <c r="CS475" s="2" t="s">
        <v>162</v>
      </c>
      <c r="CT475" s="98">
        <v>196.0</v>
      </c>
      <c r="CU475" s="2"/>
      <c r="CV475" s="52" t="s">
        <v>13</v>
      </c>
      <c r="CW475" s="53">
        <v>0.125</v>
      </c>
      <c r="CX475" s="2"/>
      <c r="CY475" s="119" t="s">
        <v>277</v>
      </c>
      <c r="CZ475" s="160"/>
      <c r="DA475" s="2"/>
      <c r="DB475" s="98">
        <v>45.0</v>
      </c>
      <c r="DC475" s="2"/>
      <c r="DD475" s="101" t="s">
        <v>150</v>
      </c>
      <c r="DE475" s="2"/>
      <c r="DF475" s="192" t="s">
        <v>4207</v>
      </c>
      <c r="DG475" s="119"/>
      <c r="DH475" s="160"/>
      <c r="DI475" s="2"/>
      <c r="DJ475" s="2"/>
      <c r="DK475" s="59" t="s">
        <v>4208</v>
      </c>
      <c r="DL475" s="37" t="s">
        <v>156</v>
      </c>
      <c r="DM475" s="37" t="str">
        <f t="shared" si="3"/>
        <v>#NAME?</v>
      </c>
      <c r="DN475" s="61"/>
      <c r="DO475" s="37" t="s">
        <v>19</v>
      </c>
      <c r="DP475" s="37" t="s">
        <v>19</v>
      </c>
      <c r="DQ475" s="62" t="s">
        <v>49</v>
      </c>
      <c r="DR475" s="63"/>
      <c r="DS475" s="198"/>
      <c r="DT475" s="108"/>
      <c r="DU475" s="108"/>
      <c r="DV475" s="182"/>
      <c r="DW475" s="182"/>
      <c r="DX475" s="182"/>
      <c r="DY475" s="182"/>
      <c r="DZ475" s="182"/>
      <c r="EA475" s="182"/>
      <c r="EB475" s="2"/>
      <c r="EC475" s="2"/>
      <c r="ED475" s="2"/>
      <c r="EE475" s="2"/>
      <c r="EF475" s="2"/>
      <c r="EG475" s="449"/>
      <c r="EH475" s="428"/>
      <c r="EI475" s="428"/>
    </row>
    <row r="476" ht="15.75" customHeight="1">
      <c r="A476" s="1">
        <v>471.0</v>
      </c>
      <c r="B476" s="2" t="s">
        <v>4209</v>
      </c>
      <c r="C476" s="7"/>
      <c r="D476" s="140" t="s">
        <v>4210</v>
      </c>
      <c r="E476" s="5"/>
      <c r="F476" s="141"/>
      <c r="G476" s="7"/>
      <c r="H476" s="8" t="s">
        <v>4211</v>
      </c>
      <c r="I476" s="9" t="s">
        <v>4212</v>
      </c>
      <c r="J476" s="355" t="str">
        <f>image("https://archives.bulbagarden.net/media/upload/3/30/471MS6.png", 3)</f>
        <v/>
      </c>
      <c r="K476" s="11" t="s">
        <v>4210</v>
      </c>
      <c r="L476" s="12"/>
      <c r="M476" s="12"/>
      <c r="N476" s="12"/>
      <c r="O476" s="12"/>
      <c r="Q476" s="71">
        <v>65.0</v>
      </c>
      <c r="R476" s="72">
        <v>60.0</v>
      </c>
      <c r="S476" s="73">
        <v>110.0</v>
      </c>
      <c r="T476" s="74">
        <v>130.0</v>
      </c>
      <c r="U476" s="75">
        <v>95.0</v>
      </c>
      <c r="V476" s="76">
        <v>65.0</v>
      </c>
      <c r="W476" s="77">
        <v>525.0</v>
      </c>
      <c r="X476" s="21"/>
      <c r="Y476" s="71">
        <v>65.0</v>
      </c>
      <c r="Z476" s="72">
        <v>60.0</v>
      </c>
      <c r="AA476" s="73">
        <v>110.0</v>
      </c>
      <c r="AB476" s="74">
        <v>130.0</v>
      </c>
      <c r="AC476" s="75">
        <v>95.0</v>
      </c>
      <c r="AD476" s="76">
        <v>65.0</v>
      </c>
      <c r="AE476" s="77">
        <v>525.0</v>
      </c>
      <c r="AF476" s="21"/>
      <c r="AG476" s="71">
        <v>65.0</v>
      </c>
      <c r="AH476" s="72">
        <v>60.0</v>
      </c>
      <c r="AI476" s="73">
        <v>110.0</v>
      </c>
      <c r="AJ476" s="74">
        <v>130.0</v>
      </c>
      <c r="AK476" s="162">
        <v>65.0</v>
      </c>
      <c r="AL476" s="109">
        <v>95.0</v>
      </c>
      <c r="AM476" s="77">
        <v>525.0</v>
      </c>
      <c r="AN476" s="21"/>
      <c r="AO476" s="22">
        <v>65.0</v>
      </c>
      <c r="AP476" s="23">
        <v>60.0</v>
      </c>
      <c r="AQ476" s="23">
        <v>110.0</v>
      </c>
      <c r="AR476" s="23">
        <v>130.0</v>
      </c>
      <c r="AS476" s="23" t="s">
        <v>1396</v>
      </c>
      <c r="AT476" s="23" t="s">
        <v>215</v>
      </c>
      <c r="AU476" s="24">
        <v>525.0</v>
      </c>
      <c r="AV476" s="21"/>
      <c r="AW476" s="78">
        <v>65.0</v>
      </c>
      <c r="AX476" s="79">
        <v>60.0</v>
      </c>
      <c r="AY476" s="79">
        <v>110.0</v>
      </c>
      <c r="AZ476" s="79">
        <v>130.0</v>
      </c>
      <c r="BA476" s="163">
        <v>65.0</v>
      </c>
      <c r="BB476" s="164">
        <v>95.0</v>
      </c>
      <c r="BC476" s="201">
        <v>525.0</v>
      </c>
      <c r="BE476" s="112" t="s">
        <v>42</v>
      </c>
      <c r="BF476" s="113"/>
      <c r="BG476" s="446"/>
      <c r="BI476" s="31" t="s">
        <v>5</v>
      </c>
      <c r="BJ476" s="32" t="s">
        <v>5</v>
      </c>
      <c r="BK476" s="32" t="s">
        <v>5</v>
      </c>
      <c r="BL476" s="32">
        <v>2.0</v>
      </c>
      <c r="BM476" s="32" t="s">
        <v>5</v>
      </c>
      <c r="BN476" s="33" t="s">
        <v>5</v>
      </c>
      <c r="BP476" s="85" t="s">
        <v>120</v>
      </c>
      <c r="BQ476" s="129"/>
      <c r="BS476" s="87" t="s">
        <v>120</v>
      </c>
      <c r="BT476" s="130"/>
      <c r="BU476" s="37" t="str">
        <f t="shared" si="1"/>
        <v>#NAME?</v>
      </c>
      <c r="BV476" s="89" t="s">
        <v>120</v>
      </c>
      <c r="BW476" s="37" t="str">
        <f t="shared" si="2"/>
        <v>#NAME?</v>
      </c>
      <c r="BX476" s="89"/>
      <c r="BY476" s="39"/>
      <c r="BZ476" s="39"/>
      <c r="CA476" s="40" t="s">
        <v>120</v>
      </c>
      <c r="CB476" s="41"/>
      <c r="CC476" s="90" t="s">
        <v>120</v>
      </c>
      <c r="CD476" s="91"/>
      <c r="CE476" s="21"/>
      <c r="CF476" s="92" t="s">
        <v>1467</v>
      </c>
      <c r="CG476" s="93"/>
      <c r="CH476" s="21"/>
      <c r="CI476" s="177" t="s">
        <v>1467</v>
      </c>
      <c r="CJ476" s="93"/>
      <c r="CK476" s="21"/>
      <c r="CL476" s="22" t="s">
        <v>1467</v>
      </c>
      <c r="CM476" s="12"/>
      <c r="CN476" s="48"/>
      <c r="CO476" s="95"/>
      <c r="CP476" s="21"/>
      <c r="CQ476" s="2" t="s">
        <v>4213</v>
      </c>
      <c r="CR476" s="97">
        <v>60.0</v>
      </c>
      <c r="CS476" s="2" t="s">
        <v>42</v>
      </c>
      <c r="CT476" s="98">
        <v>196.0</v>
      </c>
      <c r="CU476" s="2"/>
      <c r="CV476" s="52" t="s">
        <v>13</v>
      </c>
      <c r="CW476" s="53">
        <v>0.125</v>
      </c>
      <c r="CX476" s="2"/>
      <c r="CY476" s="444" t="s">
        <v>277</v>
      </c>
      <c r="CZ476" s="450"/>
      <c r="DA476" s="2"/>
      <c r="DB476" s="98">
        <v>45.0</v>
      </c>
      <c r="DC476" s="2"/>
      <c r="DD476" s="101" t="s">
        <v>150</v>
      </c>
      <c r="DE476" s="2"/>
      <c r="DF476" s="193" t="s">
        <v>4214</v>
      </c>
      <c r="DG476" s="444"/>
      <c r="DH476" s="450"/>
      <c r="DI476" s="2"/>
      <c r="DJ476" s="2"/>
      <c r="DK476" s="59" t="s">
        <v>4215</v>
      </c>
      <c r="DL476" s="37" t="s">
        <v>32</v>
      </c>
      <c r="DM476" s="37" t="str">
        <f t="shared" si="3"/>
        <v>#NAME?</v>
      </c>
      <c r="DN476" s="61"/>
      <c r="DO476" s="37" t="s">
        <v>19</v>
      </c>
      <c r="DP476" s="37" t="s">
        <v>19</v>
      </c>
      <c r="DQ476" s="62" t="s">
        <v>702</v>
      </c>
      <c r="DR476" s="63"/>
      <c r="DS476" s="198"/>
      <c r="DT476" s="108"/>
      <c r="DU476" s="108"/>
      <c r="DV476" s="182"/>
      <c r="DW476" s="182"/>
      <c r="DX476" s="182"/>
      <c r="DY476" s="182"/>
      <c r="DZ476" s="182"/>
      <c r="EA476" s="182"/>
      <c r="EB476" s="2"/>
      <c r="EC476" s="2"/>
      <c r="ED476" s="2"/>
      <c r="EE476" s="2"/>
      <c r="EF476" s="2"/>
      <c r="EG476" s="449"/>
      <c r="EH476" s="428"/>
      <c r="EI476" s="428"/>
    </row>
    <row r="477" ht="15.75" customHeight="1">
      <c r="A477" s="1">
        <v>472.0</v>
      </c>
      <c r="B477" s="2" t="s">
        <v>4216</v>
      </c>
      <c r="C477" s="7"/>
      <c r="D477" s="180" t="s">
        <v>4217</v>
      </c>
      <c r="E477" s="5"/>
      <c r="F477" s="181"/>
      <c r="G477" s="7"/>
      <c r="H477" s="8" t="s">
        <v>4218</v>
      </c>
      <c r="I477" s="9" t="s">
        <v>4219</v>
      </c>
      <c r="J477" s="355" t="str">
        <f>image("https://archives.bulbagarden.net/media/upload/6/63/472MS6.png", 3)</f>
        <v/>
      </c>
      <c r="K477" s="11" t="s">
        <v>4217</v>
      </c>
      <c r="L477" s="12"/>
      <c r="M477" s="12"/>
      <c r="N477" s="12"/>
      <c r="O477" s="12"/>
      <c r="Q477" s="71">
        <v>75.0</v>
      </c>
      <c r="R477" s="72">
        <v>95.0</v>
      </c>
      <c r="S477" s="73">
        <v>125.0</v>
      </c>
      <c r="T477" s="74">
        <v>45.0</v>
      </c>
      <c r="U477" s="75">
        <v>75.0</v>
      </c>
      <c r="V477" s="76">
        <v>95.0</v>
      </c>
      <c r="W477" s="77">
        <v>510.0</v>
      </c>
      <c r="X477" s="21"/>
      <c r="Y477" s="71">
        <v>75.0</v>
      </c>
      <c r="Z477" s="72">
        <v>95.0</v>
      </c>
      <c r="AA477" s="73">
        <v>125.0</v>
      </c>
      <c r="AB477" s="74">
        <v>45.0</v>
      </c>
      <c r="AC477" s="75">
        <v>75.0</v>
      </c>
      <c r="AD477" s="76">
        <v>95.0</v>
      </c>
      <c r="AE477" s="77">
        <v>510.0</v>
      </c>
      <c r="AF477" s="21"/>
      <c r="AG477" s="71">
        <v>75.0</v>
      </c>
      <c r="AH477" s="72">
        <v>95.0</v>
      </c>
      <c r="AI477" s="73">
        <v>125.0</v>
      </c>
      <c r="AJ477" s="74">
        <v>45.0</v>
      </c>
      <c r="AK477" s="75">
        <v>75.0</v>
      </c>
      <c r="AL477" s="76">
        <v>95.0</v>
      </c>
      <c r="AM477" s="77">
        <v>510.0</v>
      </c>
      <c r="AN477" s="21"/>
      <c r="AO477" s="22">
        <v>75.0</v>
      </c>
      <c r="AP477" s="23">
        <v>95.0</v>
      </c>
      <c r="AQ477" s="23">
        <v>125.0</v>
      </c>
      <c r="AR477" s="23">
        <v>45.0</v>
      </c>
      <c r="AS477" s="23">
        <v>75.0</v>
      </c>
      <c r="AT477" s="23">
        <v>95.0</v>
      </c>
      <c r="AU477" s="24">
        <v>510.0</v>
      </c>
      <c r="AV477" s="21"/>
      <c r="AW477" s="78">
        <v>75.0</v>
      </c>
      <c r="AX477" s="79">
        <v>95.0</v>
      </c>
      <c r="AY477" s="79">
        <v>125.0</v>
      </c>
      <c r="AZ477" s="79">
        <v>45.0</v>
      </c>
      <c r="BA477" s="124">
        <v>75.0</v>
      </c>
      <c r="BB477" s="124">
        <v>95.0</v>
      </c>
      <c r="BC477" s="201">
        <v>510.0</v>
      </c>
      <c r="BE477" s="156" t="s">
        <v>162</v>
      </c>
      <c r="BF477" s="113"/>
      <c r="BG477" s="210"/>
      <c r="BI477" s="31" t="s">
        <v>5</v>
      </c>
      <c r="BJ477" s="32" t="s">
        <v>5</v>
      </c>
      <c r="BK477" s="32">
        <v>2.0</v>
      </c>
      <c r="BL477" s="32" t="s">
        <v>5</v>
      </c>
      <c r="BM477" s="32" t="s">
        <v>5</v>
      </c>
      <c r="BN477" s="33" t="s">
        <v>5</v>
      </c>
      <c r="BP477" s="115" t="s">
        <v>79</v>
      </c>
      <c r="BQ477" s="116" t="s">
        <v>18</v>
      </c>
      <c r="BS477" s="115" t="s">
        <v>79</v>
      </c>
      <c r="BT477" s="117" t="s">
        <v>18</v>
      </c>
      <c r="BU477" s="37" t="str">
        <f t="shared" si="1"/>
        <v>#NAME?</v>
      </c>
      <c r="BV477" s="89" t="s">
        <v>79</v>
      </c>
      <c r="BW477" s="37" t="str">
        <f t="shared" si="2"/>
        <v>#NAME?</v>
      </c>
      <c r="BX477" s="89" t="s">
        <v>18</v>
      </c>
      <c r="BY477" s="39"/>
      <c r="BZ477" s="39"/>
      <c r="CA477" s="40" t="s">
        <v>2003</v>
      </c>
      <c r="CB477" s="41"/>
      <c r="CC477" s="90" t="s">
        <v>79</v>
      </c>
      <c r="CD477" s="91" t="s">
        <v>18</v>
      </c>
      <c r="CE477" s="2"/>
      <c r="CF477" s="92" t="s">
        <v>1050</v>
      </c>
      <c r="CG477" s="93" t="s">
        <v>376</v>
      </c>
      <c r="CH477" s="2"/>
      <c r="CI477" s="46" t="s">
        <v>2654</v>
      </c>
      <c r="CJ477" s="95" t="s">
        <v>1050</v>
      </c>
      <c r="CK477" s="2"/>
      <c r="CL477" s="22" t="s">
        <v>4220</v>
      </c>
      <c r="CM477" s="12"/>
      <c r="CN477" s="48"/>
      <c r="CO477" s="471" t="s">
        <v>1050</v>
      </c>
      <c r="CP477" s="2"/>
      <c r="CQ477" s="2" t="s">
        <v>4221</v>
      </c>
      <c r="CR477" s="97">
        <v>60.0</v>
      </c>
      <c r="CS477" s="2" t="s">
        <v>162</v>
      </c>
      <c r="CT477" s="98">
        <v>192.0</v>
      </c>
      <c r="CU477" s="2"/>
      <c r="CV477" s="52" t="s">
        <v>149</v>
      </c>
      <c r="CW477" s="52" t="s">
        <v>149</v>
      </c>
      <c r="CX477" s="2"/>
      <c r="CY477" s="119" t="s">
        <v>109</v>
      </c>
      <c r="CZ477" s="160"/>
      <c r="DA477" s="2"/>
      <c r="DB477" s="98">
        <v>30.0</v>
      </c>
      <c r="DC477" s="2"/>
      <c r="DD477" s="101" t="s">
        <v>15</v>
      </c>
      <c r="DE477" s="2"/>
      <c r="DF477" s="279" t="s">
        <v>4222</v>
      </c>
      <c r="DG477" s="119"/>
      <c r="DH477" s="160"/>
      <c r="DI477" s="2"/>
      <c r="DJ477" s="2"/>
      <c r="DK477" s="59" t="s">
        <v>4223</v>
      </c>
      <c r="DL477" s="37" t="s">
        <v>6</v>
      </c>
      <c r="DM477" s="37" t="str">
        <f t="shared" si="3"/>
        <v>#NAME?</v>
      </c>
      <c r="DN477" s="61"/>
      <c r="DO477" s="37" t="s">
        <v>19</v>
      </c>
      <c r="DP477" s="105">
        <v>1.0</v>
      </c>
      <c r="DQ477" s="62" t="s">
        <v>49</v>
      </c>
      <c r="DR477" s="63"/>
      <c r="DS477" s="198"/>
      <c r="DT477" s="108"/>
      <c r="DU477" s="108"/>
      <c r="DV477" s="182"/>
      <c r="DW477" s="182"/>
      <c r="DX477" s="182"/>
      <c r="DY477" s="182"/>
      <c r="DZ477" s="182"/>
      <c r="EA477" s="182"/>
      <c r="EB477" s="2"/>
      <c r="EC477" s="2"/>
      <c r="ED477" s="2"/>
      <c r="EE477" s="2"/>
      <c r="EF477" s="2"/>
      <c r="EG477" s="449"/>
      <c r="EH477" s="428"/>
      <c r="EI477" s="428"/>
    </row>
    <row r="478" ht="15.75" customHeight="1">
      <c r="A478" s="1">
        <v>473.0</v>
      </c>
      <c r="B478" s="2" t="s">
        <v>4224</v>
      </c>
      <c r="C478" s="7"/>
      <c r="D478" s="167" t="s">
        <v>4225</v>
      </c>
      <c r="E478" s="5"/>
      <c r="F478" s="168"/>
      <c r="G478" s="7"/>
      <c r="H478" s="8" t="s">
        <v>4226</v>
      </c>
      <c r="I478" s="9" t="s">
        <v>4227</v>
      </c>
      <c r="J478" s="355" t="str">
        <f>image("https://archives.bulbagarden.net/media/upload/9/92/473MS6.png", 3)</f>
        <v/>
      </c>
      <c r="K478" s="11" t="s">
        <v>4225</v>
      </c>
      <c r="L478" s="12"/>
      <c r="M478" s="12"/>
      <c r="N478" s="12"/>
      <c r="O478" s="12"/>
      <c r="Q478" s="71">
        <v>110.0</v>
      </c>
      <c r="R478" s="72">
        <v>130.0</v>
      </c>
      <c r="S478" s="73">
        <v>80.0</v>
      </c>
      <c r="T478" s="74">
        <v>70.0</v>
      </c>
      <c r="U478" s="75">
        <v>60.0</v>
      </c>
      <c r="V478" s="76">
        <v>80.0</v>
      </c>
      <c r="W478" s="77">
        <v>530.0</v>
      </c>
      <c r="X478" s="21"/>
      <c r="Y478" s="71">
        <v>110.0</v>
      </c>
      <c r="Z478" s="72">
        <v>130.0</v>
      </c>
      <c r="AA478" s="73">
        <v>80.0</v>
      </c>
      <c r="AB478" s="74">
        <v>70.0</v>
      </c>
      <c r="AC478" s="75">
        <v>60.0</v>
      </c>
      <c r="AD478" s="76">
        <v>80.0</v>
      </c>
      <c r="AE478" s="77">
        <v>530.0</v>
      </c>
      <c r="AF478" s="21"/>
      <c r="AG478" s="71">
        <v>110.0</v>
      </c>
      <c r="AH478" s="72">
        <v>130.0</v>
      </c>
      <c r="AI478" s="73">
        <v>80.0</v>
      </c>
      <c r="AJ478" s="74">
        <v>70.0</v>
      </c>
      <c r="AK478" s="75">
        <v>60.0</v>
      </c>
      <c r="AL478" s="76">
        <v>80.0</v>
      </c>
      <c r="AM478" s="77">
        <v>530.0</v>
      </c>
      <c r="AN478" s="21"/>
      <c r="AO478" s="22">
        <v>110.0</v>
      </c>
      <c r="AP478" s="23">
        <v>130.0</v>
      </c>
      <c r="AQ478" s="23">
        <v>80.0</v>
      </c>
      <c r="AR478" s="23">
        <v>70.0</v>
      </c>
      <c r="AS478" s="23">
        <v>60.0</v>
      </c>
      <c r="AT478" s="23">
        <v>80.0</v>
      </c>
      <c r="AU478" s="24">
        <v>530.0</v>
      </c>
      <c r="AV478" s="21"/>
      <c r="AW478" s="78">
        <v>110.0</v>
      </c>
      <c r="AX478" s="79">
        <v>130.0</v>
      </c>
      <c r="AY478" s="79">
        <v>80.0</v>
      </c>
      <c r="AZ478" s="79">
        <v>70.0</v>
      </c>
      <c r="BA478" s="79">
        <v>60.0</v>
      </c>
      <c r="BB478" s="79">
        <v>80.0</v>
      </c>
      <c r="BC478" s="201">
        <v>530.0</v>
      </c>
      <c r="BE478" s="172" t="s">
        <v>451</v>
      </c>
      <c r="BF478" s="138"/>
      <c r="BG478" s="128"/>
      <c r="BI478" s="31" t="s">
        <v>5</v>
      </c>
      <c r="BJ478" s="32">
        <v>3.0</v>
      </c>
      <c r="BK478" s="32" t="s">
        <v>5</v>
      </c>
      <c r="BL478" s="32" t="s">
        <v>5</v>
      </c>
      <c r="BM478" s="32" t="s">
        <v>5</v>
      </c>
      <c r="BN478" s="33" t="s">
        <v>5</v>
      </c>
      <c r="BP478" s="85" t="s">
        <v>120</v>
      </c>
      <c r="BQ478" s="86" t="s">
        <v>79</v>
      </c>
      <c r="BS478" s="87" t="s">
        <v>120</v>
      </c>
      <c r="BT478" s="88" t="s">
        <v>79</v>
      </c>
      <c r="BU478" s="37" t="str">
        <f t="shared" si="1"/>
        <v>#NAME?</v>
      </c>
      <c r="BV478" s="89" t="s">
        <v>120</v>
      </c>
      <c r="BW478" s="37" t="str">
        <f t="shared" si="2"/>
        <v>#NAME?</v>
      </c>
      <c r="BX478" s="89" t="s">
        <v>79</v>
      </c>
      <c r="BY478" s="39"/>
      <c r="BZ478" s="39"/>
      <c r="CA478" s="40" t="s">
        <v>2119</v>
      </c>
      <c r="CB478" s="41"/>
      <c r="CC478" s="90" t="s">
        <v>120</v>
      </c>
      <c r="CD478" s="91" t="s">
        <v>79</v>
      </c>
      <c r="CE478" s="2"/>
      <c r="CF478" s="92" t="s">
        <v>870</v>
      </c>
      <c r="CG478" s="93" t="s">
        <v>1467</v>
      </c>
      <c r="CH478" s="2"/>
      <c r="CI478" s="152" t="s">
        <v>944</v>
      </c>
      <c r="CJ478" s="95" t="s">
        <v>1467</v>
      </c>
      <c r="CK478" s="2"/>
      <c r="CL478" s="22" t="s">
        <v>4228</v>
      </c>
      <c r="CM478" s="12"/>
      <c r="CN478" s="48"/>
      <c r="CO478" s="96" t="s">
        <v>1467</v>
      </c>
      <c r="CP478" s="2"/>
      <c r="CQ478" s="2" t="s">
        <v>4229</v>
      </c>
      <c r="CR478" s="97">
        <v>120.0</v>
      </c>
      <c r="CS478" s="2" t="s">
        <v>451</v>
      </c>
      <c r="CT478" s="98">
        <v>207.0</v>
      </c>
      <c r="CU478" s="2"/>
      <c r="CV478" s="52" t="s">
        <v>149</v>
      </c>
      <c r="CW478" s="52" t="s">
        <v>149</v>
      </c>
      <c r="CX478" s="2"/>
      <c r="CY478" s="444" t="s">
        <v>277</v>
      </c>
      <c r="CZ478" s="450"/>
      <c r="DA478" s="2"/>
      <c r="DB478" s="98">
        <v>50.0</v>
      </c>
      <c r="DC478" s="2"/>
      <c r="DD478" s="101" t="s">
        <v>683</v>
      </c>
      <c r="DE478" s="2"/>
      <c r="DF478" s="467" t="s">
        <v>4230</v>
      </c>
      <c r="DG478" s="444"/>
      <c r="DH478" s="450"/>
      <c r="DI478" s="2"/>
      <c r="DJ478" s="2"/>
      <c r="DK478" s="472" t="s">
        <v>4231</v>
      </c>
      <c r="DL478" s="473" t="s">
        <v>156</v>
      </c>
      <c r="DM478" s="37" t="str">
        <f t="shared" si="3"/>
        <v>#NAME?</v>
      </c>
      <c r="DN478" s="474"/>
      <c r="DO478" s="473" t="s">
        <v>19</v>
      </c>
      <c r="DP478" s="473" t="s">
        <v>19</v>
      </c>
      <c r="DQ478" s="475" t="s">
        <v>49</v>
      </c>
      <c r="DR478" s="63"/>
      <c r="DS478" s="198"/>
      <c r="DT478" s="108"/>
      <c r="DU478" s="108"/>
      <c r="DV478" s="182"/>
      <c r="DW478" s="182"/>
      <c r="DX478" s="182"/>
      <c r="DY478" s="182"/>
      <c r="DZ478" s="182"/>
      <c r="EA478" s="182"/>
      <c r="EB478" s="2"/>
      <c r="EC478" s="2"/>
      <c r="ED478" s="2"/>
      <c r="EE478" s="2"/>
      <c r="EF478" s="2"/>
      <c r="EG478" s="449"/>
      <c r="EH478" s="428"/>
      <c r="EI478" s="428"/>
    </row>
    <row r="479" ht="15.75" customHeight="1">
      <c r="A479" s="1">
        <v>474.0</v>
      </c>
      <c r="B479" s="2" t="s">
        <v>4232</v>
      </c>
      <c r="C479" s="7"/>
      <c r="D479" s="122" t="s">
        <v>4233</v>
      </c>
      <c r="E479" s="5"/>
      <c r="F479" s="123"/>
      <c r="G479" s="7"/>
      <c r="H479" s="8" t="s">
        <v>4234</v>
      </c>
      <c r="I479" s="9" t="s">
        <v>4235</v>
      </c>
      <c r="J479" s="355" t="str">
        <f>image("https://archives.bulbagarden.net/media/upload/2/28/474MS6.png", 3)</f>
        <v/>
      </c>
      <c r="K479" s="11" t="s">
        <v>4233</v>
      </c>
      <c r="L479" s="12"/>
      <c r="M479" s="12"/>
      <c r="N479" s="12"/>
      <c r="O479" s="12"/>
      <c r="Q479" s="71">
        <v>85.0</v>
      </c>
      <c r="R479" s="72">
        <v>80.0</v>
      </c>
      <c r="S479" s="73">
        <v>70.0</v>
      </c>
      <c r="T479" s="74">
        <v>135.0</v>
      </c>
      <c r="U479" s="75">
        <v>75.0</v>
      </c>
      <c r="V479" s="76">
        <v>90.0</v>
      </c>
      <c r="W479" s="77">
        <v>535.0</v>
      </c>
      <c r="X479" s="21"/>
      <c r="Y479" s="71">
        <v>85.0</v>
      </c>
      <c r="Z479" s="72">
        <v>80.0</v>
      </c>
      <c r="AA479" s="73">
        <v>70.0</v>
      </c>
      <c r="AB479" s="74">
        <v>135.0</v>
      </c>
      <c r="AC479" s="75">
        <v>75.0</v>
      </c>
      <c r="AD479" s="76">
        <v>90.0</v>
      </c>
      <c r="AE479" s="77">
        <v>535.0</v>
      </c>
      <c r="AF479" s="21"/>
      <c r="AG479" s="71">
        <v>85.0</v>
      </c>
      <c r="AH479" s="72">
        <v>80.0</v>
      </c>
      <c r="AI479" s="73">
        <v>70.0</v>
      </c>
      <c r="AJ479" s="74">
        <v>135.0</v>
      </c>
      <c r="AK479" s="75">
        <v>75.0</v>
      </c>
      <c r="AL479" s="76">
        <v>90.0</v>
      </c>
      <c r="AM479" s="77">
        <v>535.0</v>
      </c>
      <c r="AN479" s="21"/>
      <c r="AO479" s="22">
        <v>85.0</v>
      </c>
      <c r="AP479" s="23">
        <v>80.0</v>
      </c>
      <c r="AQ479" s="23">
        <v>70.0</v>
      </c>
      <c r="AR479" s="23">
        <v>135.0</v>
      </c>
      <c r="AS479" s="23">
        <v>75.0</v>
      </c>
      <c r="AT479" s="23">
        <v>90.0</v>
      </c>
      <c r="AU479" s="24">
        <v>535.0</v>
      </c>
      <c r="AV479" s="21"/>
      <c r="AW479" s="78">
        <v>85.0</v>
      </c>
      <c r="AX479" s="79">
        <v>80.0</v>
      </c>
      <c r="AY479" s="79">
        <v>70.0</v>
      </c>
      <c r="AZ479" s="79">
        <v>135.0</v>
      </c>
      <c r="BA479" s="79">
        <v>75.0</v>
      </c>
      <c r="BB479" s="79">
        <v>90.0</v>
      </c>
      <c r="BC479" s="201">
        <v>535.0</v>
      </c>
      <c r="BE479" s="112" t="s">
        <v>85</v>
      </c>
      <c r="BF479" s="138"/>
      <c r="BG479" s="128"/>
      <c r="BI479" s="31" t="s">
        <v>5</v>
      </c>
      <c r="BJ479" s="32" t="s">
        <v>5</v>
      </c>
      <c r="BK479" s="32" t="s">
        <v>5</v>
      </c>
      <c r="BL479" s="32">
        <v>3.0</v>
      </c>
      <c r="BM479" s="32" t="s">
        <v>5</v>
      </c>
      <c r="BN479" s="33" t="s">
        <v>5</v>
      </c>
      <c r="BP479" s="115" t="s">
        <v>156</v>
      </c>
      <c r="BQ479" s="93"/>
      <c r="BS479" s="115" t="s">
        <v>156</v>
      </c>
      <c r="BT479" s="133"/>
      <c r="BU479" s="37" t="str">
        <f t="shared" si="1"/>
        <v>#NAME?</v>
      </c>
      <c r="BV479" s="89" t="s">
        <v>156</v>
      </c>
      <c r="BW479" s="37" t="str">
        <f t="shared" si="2"/>
        <v>#NAME?</v>
      </c>
      <c r="BX479" s="89"/>
      <c r="BY479" s="39"/>
      <c r="BZ479" s="39"/>
      <c r="CA479" s="40" t="s">
        <v>156</v>
      </c>
      <c r="CB479" s="41"/>
      <c r="CC479" s="90" t="s">
        <v>156</v>
      </c>
      <c r="CD479" s="91"/>
      <c r="CE479" s="21"/>
      <c r="CF479" s="92" t="s">
        <v>1371</v>
      </c>
      <c r="CG479" s="93" t="s">
        <v>1405</v>
      </c>
      <c r="CH479" s="21"/>
      <c r="CI479" s="175" t="s">
        <v>1371</v>
      </c>
      <c r="CJ479" s="93" t="s">
        <v>1405</v>
      </c>
      <c r="CK479" s="21"/>
      <c r="CL479" s="22" t="s">
        <v>1371</v>
      </c>
      <c r="CM479" s="12"/>
      <c r="CN479" s="48"/>
      <c r="CO479" s="96" t="s">
        <v>1405</v>
      </c>
      <c r="CP479" s="21"/>
      <c r="CQ479" s="2" t="s">
        <v>4142</v>
      </c>
      <c r="CR479" s="97">
        <v>60.0</v>
      </c>
      <c r="CS479" s="2" t="s">
        <v>85</v>
      </c>
      <c r="CT479" s="98">
        <v>185.0</v>
      </c>
      <c r="CU479" s="2"/>
      <c r="CV479" s="256" t="s">
        <v>890</v>
      </c>
      <c r="CW479" s="256" t="s">
        <v>890</v>
      </c>
      <c r="CX479" s="2"/>
      <c r="CY479" s="257" t="s">
        <v>826</v>
      </c>
      <c r="CZ479" s="160"/>
      <c r="DA479" s="2"/>
      <c r="DB479" s="98">
        <v>30.0</v>
      </c>
      <c r="DC479" s="2"/>
      <c r="DD479" s="101" t="s">
        <v>150</v>
      </c>
      <c r="DE479" s="2"/>
      <c r="DF479" s="159" t="s">
        <v>4236</v>
      </c>
      <c r="DG479" s="257"/>
      <c r="DH479" s="160"/>
      <c r="DI479" s="2"/>
      <c r="DJ479" s="2"/>
      <c r="DP479" s="198"/>
      <c r="DQ479" s="198"/>
      <c r="DR479" s="198"/>
      <c r="DS479" s="198"/>
      <c r="DT479" s="108"/>
      <c r="DU479" s="108"/>
      <c r="DV479" s="182"/>
      <c r="DW479" s="182"/>
      <c r="DX479" s="182"/>
      <c r="DY479" s="182"/>
      <c r="DZ479" s="182"/>
      <c r="EA479" s="182"/>
      <c r="EB479" s="2"/>
      <c r="EC479" s="2"/>
      <c r="ED479" s="2"/>
      <c r="EE479" s="2"/>
      <c r="EF479" s="2"/>
      <c r="EG479" s="449"/>
      <c r="EH479" s="428"/>
      <c r="EI479" s="428"/>
    </row>
    <row r="480" ht="15.75" customHeight="1">
      <c r="A480" s="1">
        <v>475.0</v>
      </c>
      <c r="B480" s="2" t="s">
        <v>4237</v>
      </c>
      <c r="C480" s="7"/>
      <c r="D480" s="352" t="s">
        <v>4238</v>
      </c>
      <c r="E480" s="5"/>
      <c r="F480" s="7"/>
      <c r="G480" s="7"/>
      <c r="H480" s="8" t="s">
        <v>4239</v>
      </c>
      <c r="I480" s="9" t="s">
        <v>4240</v>
      </c>
      <c r="J480" s="355" t="str">
        <f>image("https://archives.bulbagarden.net/media/upload/a/a8/475MS6.png", 3)</f>
        <v/>
      </c>
      <c r="K480" s="11" t="s">
        <v>4238</v>
      </c>
      <c r="L480" s="12"/>
      <c r="M480" s="12"/>
      <c r="N480" s="12"/>
      <c r="O480" s="12"/>
      <c r="Q480" s="71">
        <v>68.0</v>
      </c>
      <c r="R480" s="72">
        <v>125.0</v>
      </c>
      <c r="S480" s="73">
        <v>65.0</v>
      </c>
      <c r="T480" s="74">
        <v>65.0</v>
      </c>
      <c r="U480" s="75">
        <v>115.0</v>
      </c>
      <c r="V480" s="76">
        <v>80.0</v>
      </c>
      <c r="W480" s="77">
        <v>518.0</v>
      </c>
      <c r="X480" s="21"/>
      <c r="Y480" s="71">
        <v>68.0</v>
      </c>
      <c r="Z480" s="72">
        <v>125.0</v>
      </c>
      <c r="AA480" s="73">
        <v>65.0</v>
      </c>
      <c r="AB480" s="74">
        <v>65.0</v>
      </c>
      <c r="AC480" s="75">
        <v>115.0</v>
      </c>
      <c r="AD480" s="76">
        <v>80.0</v>
      </c>
      <c r="AE480" s="77">
        <v>518.0</v>
      </c>
      <c r="AF480" s="21"/>
      <c r="AG480" s="71">
        <v>68.0</v>
      </c>
      <c r="AH480" s="72">
        <v>125.0</v>
      </c>
      <c r="AI480" s="73">
        <v>65.0</v>
      </c>
      <c r="AJ480" s="74">
        <v>65.0</v>
      </c>
      <c r="AK480" s="75">
        <v>115.0</v>
      </c>
      <c r="AL480" s="76">
        <v>80.0</v>
      </c>
      <c r="AM480" s="77">
        <v>518.0</v>
      </c>
      <c r="AN480" s="21"/>
      <c r="AO480" s="22">
        <v>68.0</v>
      </c>
      <c r="AP480" s="23">
        <v>125.0</v>
      </c>
      <c r="AQ480" s="23">
        <v>65.0</v>
      </c>
      <c r="AR480" s="23">
        <v>65.0</v>
      </c>
      <c r="AS480" s="23">
        <v>115.0</v>
      </c>
      <c r="AT480" s="23">
        <v>80.0</v>
      </c>
      <c r="AU480" s="24">
        <v>518.0</v>
      </c>
      <c r="AV480" s="21"/>
      <c r="AW480" s="78">
        <v>68.0</v>
      </c>
      <c r="AX480" s="80">
        <v>125.0</v>
      </c>
      <c r="AY480" s="79">
        <v>65.0</v>
      </c>
      <c r="AZ480" s="80">
        <v>65.0</v>
      </c>
      <c r="BA480" s="79">
        <v>115.0</v>
      </c>
      <c r="BB480" s="79">
        <v>80.0</v>
      </c>
      <c r="BC480" s="201">
        <v>518.0</v>
      </c>
      <c r="BE480" s="172" t="s">
        <v>451</v>
      </c>
      <c r="BF480" s="138"/>
      <c r="BG480" s="128"/>
      <c r="BI480" s="31" t="s">
        <v>5</v>
      </c>
      <c r="BJ480" s="32">
        <v>3.0</v>
      </c>
      <c r="BK480" s="32" t="s">
        <v>5</v>
      </c>
      <c r="BL480" s="32" t="s">
        <v>5</v>
      </c>
      <c r="BM480" s="32" t="s">
        <v>5</v>
      </c>
      <c r="BN480" s="33" t="s">
        <v>5</v>
      </c>
      <c r="BP480" s="85" t="s">
        <v>122</v>
      </c>
      <c r="BQ480" s="86" t="s">
        <v>64</v>
      </c>
      <c r="BS480" s="87" t="s">
        <v>122</v>
      </c>
      <c r="BT480" s="88" t="s">
        <v>64</v>
      </c>
      <c r="BU480" s="37" t="str">
        <f t="shared" si="1"/>
        <v>#NAME?</v>
      </c>
      <c r="BV480" s="89" t="s">
        <v>122</v>
      </c>
      <c r="BW480" s="37" t="str">
        <f t="shared" si="2"/>
        <v>#NAME?</v>
      </c>
      <c r="BX480" s="89" t="s">
        <v>64</v>
      </c>
      <c r="BY480" s="39"/>
      <c r="BZ480" s="39"/>
      <c r="CA480" s="40" t="s">
        <v>4241</v>
      </c>
      <c r="CB480" s="41"/>
      <c r="CC480" s="90" t="s">
        <v>122</v>
      </c>
      <c r="CD480" s="91" t="s">
        <v>64</v>
      </c>
      <c r="CE480" s="2"/>
      <c r="CF480" s="92" t="s">
        <v>2243</v>
      </c>
      <c r="CG480" s="93"/>
      <c r="CH480" s="2"/>
      <c r="CI480" s="92" t="s">
        <v>2243</v>
      </c>
      <c r="CJ480" s="93"/>
      <c r="CK480" s="2"/>
      <c r="CL480" s="22" t="s">
        <v>2243</v>
      </c>
      <c r="CM480" s="12"/>
      <c r="CN480" s="48"/>
      <c r="CO480" s="95"/>
      <c r="CP480" s="2"/>
      <c r="CQ480" s="2" t="s">
        <v>2421</v>
      </c>
      <c r="CR480" s="97">
        <v>80.0</v>
      </c>
      <c r="CS480" s="2" t="s">
        <v>451</v>
      </c>
      <c r="CT480" s="98">
        <v>208.0</v>
      </c>
      <c r="CU480" s="2"/>
      <c r="CV480" s="52" t="s">
        <v>397</v>
      </c>
      <c r="CW480" s="202">
        <v>0.0</v>
      </c>
      <c r="CX480" s="2"/>
      <c r="CY480" s="444" t="s">
        <v>964</v>
      </c>
      <c r="CZ480" s="450"/>
      <c r="DA480" s="2"/>
      <c r="DB480" s="98">
        <v>45.0</v>
      </c>
      <c r="DC480" s="2"/>
      <c r="DD480" s="101" t="s">
        <v>683</v>
      </c>
      <c r="DE480" s="2"/>
      <c r="DF480" s="465" t="s">
        <v>4242</v>
      </c>
      <c r="DG480" s="444"/>
      <c r="DH480" s="450"/>
      <c r="DI480" s="2"/>
      <c r="DJ480" s="2"/>
      <c r="DP480" s="198"/>
      <c r="DQ480" s="198"/>
      <c r="DR480" s="198"/>
      <c r="DS480" s="198"/>
      <c r="DT480" s="108"/>
      <c r="DU480" s="108"/>
      <c r="DV480" s="182"/>
      <c r="DW480" s="182"/>
      <c r="DX480" s="182"/>
      <c r="DY480" s="182"/>
      <c r="DZ480" s="182"/>
      <c r="EA480" s="182"/>
      <c r="EB480" s="2"/>
      <c r="EC480" s="2"/>
      <c r="ED480" s="2"/>
      <c r="EE480" s="2"/>
      <c r="EF480" s="2"/>
      <c r="EG480" s="449"/>
      <c r="EH480" s="428"/>
      <c r="EI480" s="428"/>
    </row>
    <row r="481" ht="15.75" customHeight="1">
      <c r="A481" s="1">
        <v>476.0</v>
      </c>
      <c r="B481" s="2" t="s">
        <v>4243</v>
      </c>
      <c r="C481" s="7"/>
      <c r="D481" s="247" t="s">
        <v>4244</v>
      </c>
      <c r="E481" s="5"/>
      <c r="F481" s="248"/>
      <c r="G481" s="7"/>
      <c r="H481" s="8" t="s">
        <v>4245</v>
      </c>
      <c r="I481" s="9" t="s">
        <v>4246</v>
      </c>
      <c r="J481" s="355" t="str">
        <f>image("https://archives.bulbagarden.net/media/upload/1/17/476MS6.png", 3)</f>
        <v/>
      </c>
      <c r="K481" s="11" t="s">
        <v>4244</v>
      </c>
      <c r="L481" s="12"/>
      <c r="M481" s="12"/>
      <c r="N481" s="12"/>
      <c r="O481" s="12"/>
      <c r="Q481" s="71">
        <v>60.0</v>
      </c>
      <c r="R481" s="72">
        <v>55.0</v>
      </c>
      <c r="S481" s="73">
        <v>145.0</v>
      </c>
      <c r="T481" s="74">
        <v>75.0</v>
      </c>
      <c r="U481" s="75">
        <v>150.0</v>
      </c>
      <c r="V481" s="76">
        <v>40.0</v>
      </c>
      <c r="W481" s="77">
        <v>525.0</v>
      </c>
      <c r="X481" s="21"/>
      <c r="Y481" s="71">
        <v>60.0</v>
      </c>
      <c r="Z481" s="72">
        <v>55.0</v>
      </c>
      <c r="AA481" s="73">
        <v>145.0</v>
      </c>
      <c r="AB481" s="74">
        <v>75.0</v>
      </c>
      <c r="AC481" s="75">
        <v>150.0</v>
      </c>
      <c r="AD481" s="76">
        <v>40.0</v>
      </c>
      <c r="AE481" s="77">
        <v>525.0</v>
      </c>
      <c r="AF481" s="21"/>
      <c r="AG481" s="71">
        <v>60.0</v>
      </c>
      <c r="AH481" s="162">
        <v>45.0</v>
      </c>
      <c r="AI481" s="73">
        <v>145.0</v>
      </c>
      <c r="AJ481" s="109">
        <v>85.0</v>
      </c>
      <c r="AK481" s="75">
        <v>150.0</v>
      </c>
      <c r="AL481" s="76">
        <v>40.0</v>
      </c>
      <c r="AM481" s="77">
        <v>525.0</v>
      </c>
      <c r="AN481" s="21"/>
      <c r="AO481" s="22">
        <v>60.0</v>
      </c>
      <c r="AP481" s="23" t="s">
        <v>174</v>
      </c>
      <c r="AQ481" s="23">
        <v>145.0</v>
      </c>
      <c r="AR481" s="23" t="s">
        <v>1621</v>
      </c>
      <c r="AS481" s="23">
        <v>150.0</v>
      </c>
      <c r="AT481" s="23">
        <v>40.0</v>
      </c>
      <c r="AU481" s="24">
        <v>525.0</v>
      </c>
      <c r="AV481" s="21"/>
      <c r="AW481" s="78">
        <v>60.0</v>
      </c>
      <c r="AX481" s="163">
        <v>45.0</v>
      </c>
      <c r="AY481" s="79">
        <v>145.0</v>
      </c>
      <c r="AZ481" s="111">
        <v>85.0</v>
      </c>
      <c r="BA481" s="79">
        <v>150.0</v>
      </c>
      <c r="BB481" s="79">
        <v>40.0</v>
      </c>
      <c r="BC481" s="201">
        <v>525.0</v>
      </c>
      <c r="BE481" s="142" t="s">
        <v>101</v>
      </c>
      <c r="BF481" s="331" t="s">
        <v>815</v>
      </c>
      <c r="BG481" s="128"/>
      <c r="BI481" s="31" t="s">
        <v>5</v>
      </c>
      <c r="BJ481" s="32" t="s">
        <v>5</v>
      </c>
      <c r="BK481" s="32">
        <v>1.0</v>
      </c>
      <c r="BL481" s="32" t="s">
        <v>5</v>
      </c>
      <c r="BM481" s="32">
        <v>2.0</v>
      </c>
      <c r="BN481" s="33" t="s">
        <v>5</v>
      </c>
      <c r="BP481" s="115" t="s">
        <v>66</v>
      </c>
      <c r="BQ481" s="116" t="s">
        <v>95</v>
      </c>
      <c r="BS481" s="115" t="s">
        <v>66</v>
      </c>
      <c r="BT481" s="117" t="s">
        <v>95</v>
      </c>
      <c r="BU481" s="37" t="str">
        <f t="shared" si="1"/>
        <v>#NAME?</v>
      </c>
      <c r="BV481" s="89" t="s">
        <v>66</v>
      </c>
      <c r="BW481" s="37" t="str">
        <f t="shared" si="2"/>
        <v>#NAME?</v>
      </c>
      <c r="BX481" s="89" t="s">
        <v>95</v>
      </c>
      <c r="BY481" s="39"/>
      <c r="BZ481" s="39"/>
      <c r="CA481" s="40" t="s">
        <v>3762</v>
      </c>
      <c r="CB481" s="41"/>
      <c r="CC481" s="90" t="s">
        <v>66</v>
      </c>
      <c r="CD481" s="91" t="s">
        <v>95</v>
      </c>
      <c r="CE481" s="2"/>
      <c r="CF481" s="92" t="s">
        <v>825</v>
      </c>
      <c r="CG481" s="93" t="s">
        <v>889</v>
      </c>
      <c r="CH481" s="2"/>
      <c r="CI481" s="92" t="s">
        <v>825</v>
      </c>
      <c r="CJ481" s="188" t="s">
        <v>889</v>
      </c>
      <c r="CK481" s="2"/>
      <c r="CL481" s="22" t="s">
        <v>825</v>
      </c>
      <c r="CM481" s="12"/>
      <c r="CN481" s="48"/>
      <c r="CO481" s="96" t="s">
        <v>889</v>
      </c>
      <c r="CP481" s="2"/>
      <c r="CQ481" s="2" t="s">
        <v>4247</v>
      </c>
      <c r="CR481" s="97">
        <v>120.0</v>
      </c>
      <c r="CS481" s="2" t="s">
        <v>1552</v>
      </c>
      <c r="CT481" s="98">
        <v>198.0</v>
      </c>
      <c r="CU481" s="2"/>
      <c r="CV481" s="52" t="s">
        <v>149</v>
      </c>
      <c r="CW481" s="52" t="s">
        <v>149</v>
      </c>
      <c r="CX481" s="2"/>
      <c r="CY481" s="119" t="s">
        <v>826</v>
      </c>
      <c r="CZ481" s="160"/>
      <c r="DA481" s="2"/>
      <c r="DB481" s="98">
        <v>60.0</v>
      </c>
      <c r="DC481" s="2"/>
      <c r="DD481" s="101" t="s">
        <v>150</v>
      </c>
      <c r="DE481" s="2"/>
      <c r="DF481" s="250" t="s">
        <v>4248</v>
      </c>
      <c r="DG481" s="118" t="s">
        <v>2775</v>
      </c>
      <c r="DH481" s="160"/>
      <c r="DI481" s="2"/>
      <c r="DJ481" s="2"/>
      <c r="DP481" s="198"/>
      <c r="DQ481" s="198"/>
      <c r="DR481" s="198"/>
      <c r="DS481" s="198"/>
      <c r="DT481" s="108"/>
      <c r="DU481" s="108"/>
      <c r="DV481" s="182"/>
      <c r="DW481" s="182"/>
      <c r="DX481" s="182"/>
      <c r="DY481" s="182"/>
      <c r="DZ481" s="182"/>
      <c r="EA481" s="182"/>
      <c r="EB481" s="2"/>
      <c r="EC481" s="2"/>
      <c r="ED481" s="2"/>
      <c r="EE481" s="2"/>
      <c r="EF481" s="2"/>
      <c r="EG481" s="449"/>
      <c r="EH481" s="428"/>
      <c r="EI481" s="428"/>
    </row>
    <row r="482" ht="15.75" customHeight="1">
      <c r="A482" s="1">
        <v>477.0</v>
      </c>
      <c r="B482" s="2" t="s">
        <v>4249</v>
      </c>
      <c r="C482" s="7"/>
      <c r="D482" s="295" t="s">
        <v>4250</v>
      </c>
      <c r="E482" s="5"/>
      <c r="F482" s="296"/>
      <c r="G482" s="7"/>
      <c r="H482" s="8" t="s">
        <v>4251</v>
      </c>
      <c r="I482" s="9" t="s">
        <v>4252</v>
      </c>
      <c r="J482" s="355" t="str">
        <f>image("https://archives.bulbagarden.net/media/upload/e/ef/477MS6.png", 3)</f>
        <v/>
      </c>
      <c r="K482" s="11" t="s">
        <v>4250</v>
      </c>
      <c r="L482" s="12"/>
      <c r="M482" s="12"/>
      <c r="N482" s="12"/>
      <c r="O482" s="12"/>
      <c r="Q482" s="71">
        <v>45.0</v>
      </c>
      <c r="R482" s="72">
        <v>100.0</v>
      </c>
      <c r="S482" s="73">
        <v>135.0</v>
      </c>
      <c r="T482" s="74">
        <v>65.0</v>
      </c>
      <c r="U482" s="75">
        <v>135.0</v>
      </c>
      <c r="V482" s="76">
        <v>45.0</v>
      </c>
      <c r="W482" s="77">
        <v>525.0</v>
      </c>
      <c r="X482" s="21"/>
      <c r="Y482" s="71">
        <v>45.0</v>
      </c>
      <c r="Z482" s="72">
        <v>100.0</v>
      </c>
      <c r="AA482" s="73">
        <v>135.0</v>
      </c>
      <c r="AB482" s="74">
        <v>65.0</v>
      </c>
      <c r="AC482" s="75">
        <v>135.0</v>
      </c>
      <c r="AD482" s="76">
        <v>45.0</v>
      </c>
      <c r="AE482" s="77">
        <v>525.0</v>
      </c>
      <c r="AF482" s="21"/>
      <c r="AG482" s="71">
        <v>45.0</v>
      </c>
      <c r="AH482" s="72">
        <v>100.0</v>
      </c>
      <c r="AI482" s="73">
        <v>135.0</v>
      </c>
      <c r="AJ482" s="74">
        <v>65.0</v>
      </c>
      <c r="AK482" s="75">
        <v>135.0</v>
      </c>
      <c r="AL482" s="76">
        <v>45.0</v>
      </c>
      <c r="AM482" s="77">
        <v>525.0</v>
      </c>
      <c r="AN482" s="21"/>
      <c r="AO482" s="22">
        <v>45.0</v>
      </c>
      <c r="AP482" s="23">
        <v>100.0</v>
      </c>
      <c r="AQ482" s="23">
        <v>135.0</v>
      </c>
      <c r="AR482" s="23">
        <v>65.0</v>
      </c>
      <c r="AS482" s="23">
        <v>135.0</v>
      </c>
      <c r="AT482" s="23">
        <v>45.0</v>
      </c>
      <c r="AU482" s="24">
        <v>525.0</v>
      </c>
      <c r="AV482" s="21"/>
      <c r="AW482" s="78">
        <v>45.0</v>
      </c>
      <c r="AX482" s="182">
        <v>100.0</v>
      </c>
      <c r="AY482" s="79">
        <v>135.0</v>
      </c>
      <c r="AZ482" s="182">
        <v>65.0</v>
      </c>
      <c r="BA482" s="79">
        <v>135.0</v>
      </c>
      <c r="BB482" s="79">
        <v>45.0</v>
      </c>
      <c r="BC482" s="81">
        <v>525.0</v>
      </c>
      <c r="BE482" s="142" t="s">
        <v>101</v>
      </c>
      <c r="BF482" s="331" t="s">
        <v>815</v>
      </c>
      <c r="BG482" s="128"/>
      <c r="BI482" s="31" t="s">
        <v>5</v>
      </c>
      <c r="BJ482" s="32" t="s">
        <v>5</v>
      </c>
      <c r="BK482" s="32">
        <v>1.0</v>
      </c>
      <c r="BL482" s="32" t="s">
        <v>5</v>
      </c>
      <c r="BM482" s="32">
        <v>2.0</v>
      </c>
      <c r="BN482" s="33" t="s">
        <v>5</v>
      </c>
      <c r="BP482" s="85" t="s">
        <v>92</v>
      </c>
      <c r="BQ482" s="129"/>
      <c r="BS482" s="87" t="s">
        <v>92</v>
      </c>
      <c r="BT482" s="130"/>
      <c r="BU482" s="37" t="str">
        <f t="shared" si="1"/>
        <v>#NAME?</v>
      </c>
      <c r="BV482" s="89" t="s">
        <v>92</v>
      </c>
      <c r="BW482" s="37" t="str">
        <f t="shared" si="2"/>
        <v>#NAME?</v>
      </c>
      <c r="BX482" s="89"/>
      <c r="BY482" s="39"/>
      <c r="BZ482" s="39"/>
      <c r="CA482" s="40" t="s">
        <v>92</v>
      </c>
      <c r="CB482" s="41"/>
      <c r="CC482" s="90" t="s">
        <v>92</v>
      </c>
      <c r="CD482" s="91"/>
      <c r="CE482" s="21"/>
      <c r="CF482" s="92" t="s">
        <v>1447</v>
      </c>
      <c r="CG482" s="93"/>
      <c r="CH482" s="21"/>
      <c r="CI482" s="191" t="s">
        <v>1447</v>
      </c>
      <c r="CJ482" s="158" t="s">
        <v>2227</v>
      </c>
      <c r="CK482" s="21"/>
      <c r="CL482" s="22" t="s">
        <v>4253</v>
      </c>
      <c r="CM482" s="12"/>
      <c r="CN482" s="48"/>
      <c r="CO482" s="476" t="s">
        <v>1447</v>
      </c>
      <c r="CP482" s="21"/>
      <c r="CQ482" s="2" t="s">
        <v>4254</v>
      </c>
      <c r="CR482" s="97">
        <v>100.0</v>
      </c>
      <c r="CS482" s="2" t="s">
        <v>1552</v>
      </c>
      <c r="CT482" s="98">
        <v>210.0</v>
      </c>
      <c r="CU482" s="2"/>
      <c r="CV482" s="52" t="s">
        <v>149</v>
      </c>
      <c r="CW482" s="52" t="s">
        <v>149</v>
      </c>
      <c r="CX482" s="2"/>
      <c r="CY482" s="444" t="s">
        <v>964</v>
      </c>
      <c r="CZ482" s="450"/>
      <c r="DA482" s="2"/>
      <c r="DB482" s="98">
        <v>45.0</v>
      </c>
      <c r="DC482" s="2"/>
      <c r="DD482" s="101" t="s">
        <v>468</v>
      </c>
      <c r="DE482" s="2"/>
      <c r="DF482" s="159" t="s">
        <v>4255</v>
      </c>
      <c r="DG482" s="443" t="s">
        <v>3286</v>
      </c>
      <c r="DH482" s="450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449"/>
      <c r="EH482" s="428"/>
      <c r="EI482" s="428"/>
    </row>
    <row r="483" ht="15.75" customHeight="1">
      <c r="A483" s="1">
        <v>478.0</v>
      </c>
      <c r="B483" s="2" t="s">
        <v>4256</v>
      </c>
      <c r="C483" s="7"/>
      <c r="D483" s="161" t="s">
        <v>4257</v>
      </c>
      <c r="E483" s="5"/>
      <c r="F483" s="7"/>
      <c r="G483" s="7"/>
      <c r="H483" s="8" t="s">
        <v>4258</v>
      </c>
      <c r="I483" s="9" t="s">
        <v>4259</v>
      </c>
      <c r="J483" s="355" t="str">
        <f>image("https://archives.bulbagarden.net/media/upload/e/ec/478MS6.png", 3)</f>
        <v/>
      </c>
      <c r="K483" s="11" t="s">
        <v>4257</v>
      </c>
      <c r="L483" s="12"/>
      <c r="M483" s="12"/>
      <c r="N483" s="12"/>
      <c r="O483" s="12"/>
      <c r="Q483" s="71">
        <v>70.0</v>
      </c>
      <c r="R483" s="72">
        <v>80.0</v>
      </c>
      <c r="S483" s="73">
        <v>70.0</v>
      </c>
      <c r="T483" s="74">
        <v>80.0</v>
      </c>
      <c r="U483" s="75">
        <v>70.0</v>
      </c>
      <c r="V483" s="76">
        <v>110.0</v>
      </c>
      <c r="W483" s="77">
        <v>480.0</v>
      </c>
      <c r="X483" s="21"/>
      <c r="Y483" s="71">
        <v>70.0</v>
      </c>
      <c r="Z483" s="72">
        <v>80.0</v>
      </c>
      <c r="AA483" s="73">
        <v>70.0</v>
      </c>
      <c r="AB483" s="74">
        <v>80.0</v>
      </c>
      <c r="AC483" s="75">
        <v>70.0</v>
      </c>
      <c r="AD483" s="76">
        <v>110.0</v>
      </c>
      <c r="AE483" s="77">
        <v>480.0</v>
      </c>
      <c r="AF483" s="21"/>
      <c r="AG483" s="71">
        <v>70.0</v>
      </c>
      <c r="AH483" s="162">
        <v>70.0</v>
      </c>
      <c r="AI483" s="73">
        <v>70.0</v>
      </c>
      <c r="AJ483" s="109">
        <v>110.0</v>
      </c>
      <c r="AK483" s="75">
        <v>70.0</v>
      </c>
      <c r="AL483" s="76">
        <v>110.0</v>
      </c>
      <c r="AM483" s="110">
        <v>500.0</v>
      </c>
      <c r="AN483" s="21"/>
      <c r="AO483" s="22">
        <v>70.0</v>
      </c>
      <c r="AP483" s="23" t="s">
        <v>258</v>
      </c>
      <c r="AQ483" s="23">
        <v>70.0</v>
      </c>
      <c r="AR483" s="23" t="s">
        <v>40</v>
      </c>
      <c r="AS483" s="23">
        <v>70.0</v>
      </c>
      <c r="AT483" s="23">
        <v>110.0</v>
      </c>
      <c r="AU483" s="24" t="s">
        <v>745</v>
      </c>
      <c r="AV483" s="21"/>
      <c r="AW483" s="78">
        <v>70.0</v>
      </c>
      <c r="AX483" s="163">
        <v>70.0</v>
      </c>
      <c r="AY483" s="79">
        <v>70.0</v>
      </c>
      <c r="AZ483" s="111">
        <v>110.0</v>
      </c>
      <c r="BA483" s="79">
        <v>70.0</v>
      </c>
      <c r="BB483" s="80">
        <v>110.0</v>
      </c>
      <c r="BC483" s="111">
        <v>500.0</v>
      </c>
      <c r="BE483" s="176" t="s">
        <v>248</v>
      </c>
      <c r="BF483" s="113"/>
      <c r="BG483" s="210"/>
      <c r="BI483" s="31" t="s">
        <v>5</v>
      </c>
      <c r="BJ483" s="32" t="s">
        <v>5</v>
      </c>
      <c r="BK483" s="32" t="s">
        <v>5</v>
      </c>
      <c r="BL483" s="32" t="s">
        <v>5</v>
      </c>
      <c r="BM483" s="32" t="s">
        <v>5</v>
      </c>
      <c r="BN483" s="33">
        <v>2.0</v>
      </c>
      <c r="BP483" s="115" t="s">
        <v>120</v>
      </c>
      <c r="BQ483" s="116" t="s">
        <v>92</v>
      </c>
      <c r="BS483" s="115" t="s">
        <v>120</v>
      </c>
      <c r="BT483" s="117" t="s">
        <v>92</v>
      </c>
      <c r="BU483" s="37" t="str">
        <f t="shared" si="1"/>
        <v>#NAME?</v>
      </c>
      <c r="BV483" s="89" t="s">
        <v>120</v>
      </c>
      <c r="BW483" s="37" t="str">
        <f t="shared" si="2"/>
        <v>#NAME?</v>
      </c>
      <c r="BX483" s="89" t="s">
        <v>92</v>
      </c>
      <c r="BY483" s="39"/>
      <c r="BZ483" s="39"/>
      <c r="CA483" s="40" t="s">
        <v>4260</v>
      </c>
      <c r="CB483" s="41"/>
      <c r="CC483" s="90" t="s">
        <v>120</v>
      </c>
      <c r="CD483" s="91" t="s">
        <v>92</v>
      </c>
      <c r="CE483" s="2"/>
      <c r="CF483" s="92" t="s">
        <v>1467</v>
      </c>
      <c r="CG483" s="93"/>
      <c r="CH483" s="2"/>
      <c r="CI483" s="92" t="s">
        <v>1467</v>
      </c>
      <c r="CJ483" s="195"/>
      <c r="CK483" s="2"/>
      <c r="CL483" s="22" t="s">
        <v>4261</v>
      </c>
      <c r="CM483" s="12"/>
      <c r="CN483" s="48"/>
      <c r="CO483" s="477" t="s">
        <v>1467</v>
      </c>
      <c r="CP483" s="2"/>
      <c r="CQ483" s="2" t="s">
        <v>4262</v>
      </c>
      <c r="CR483" s="97">
        <v>60.0</v>
      </c>
      <c r="CS483" s="2" t="s">
        <v>248</v>
      </c>
      <c r="CT483" s="98">
        <v>187.0</v>
      </c>
      <c r="CU483" s="2"/>
      <c r="CV483" s="202">
        <v>0.0</v>
      </c>
      <c r="CW483" s="52" t="s">
        <v>397</v>
      </c>
      <c r="CX483" s="2"/>
      <c r="CY483" s="118" t="s">
        <v>153</v>
      </c>
      <c r="CZ483" s="119" t="s">
        <v>826</v>
      </c>
      <c r="DA483" s="2"/>
      <c r="DB483" s="98">
        <v>75.0</v>
      </c>
      <c r="DC483" s="2"/>
      <c r="DD483" s="101" t="s">
        <v>150</v>
      </c>
      <c r="DE483" s="2"/>
      <c r="DF483" s="279" t="s">
        <v>4263</v>
      </c>
      <c r="DG483" s="119"/>
      <c r="DH483" s="119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449"/>
      <c r="EH483" s="428"/>
      <c r="EI483" s="428"/>
    </row>
    <row r="484" ht="15.75" customHeight="1">
      <c r="A484" s="1">
        <v>479.0</v>
      </c>
      <c r="B484" s="2" t="s">
        <v>4264</v>
      </c>
      <c r="C484" s="7"/>
      <c r="D484" s="122" t="s">
        <v>4265</v>
      </c>
      <c r="E484" s="5"/>
      <c r="F484" s="7"/>
      <c r="G484" s="7"/>
      <c r="H484" s="8" t="s">
        <v>4266</v>
      </c>
      <c r="I484" s="9" t="s">
        <v>4267</v>
      </c>
      <c r="J484" s="355" t="str">
        <f>image("https://archives.bulbagarden.net/media/upload/6/62/479MS6.png", 3)</f>
        <v/>
      </c>
      <c r="K484" s="11" t="s">
        <v>4265</v>
      </c>
      <c r="L484" s="12"/>
      <c r="M484" s="12"/>
      <c r="N484" s="12"/>
      <c r="O484" s="12"/>
      <c r="Q484" s="71">
        <v>50.0</v>
      </c>
      <c r="R484" s="72">
        <v>50.0</v>
      </c>
      <c r="S484" s="73">
        <v>77.0</v>
      </c>
      <c r="T484" s="74">
        <v>95.0</v>
      </c>
      <c r="U484" s="75">
        <v>77.0</v>
      </c>
      <c r="V484" s="76">
        <v>91.0</v>
      </c>
      <c r="W484" s="77">
        <v>440.0</v>
      </c>
      <c r="X484" s="21"/>
      <c r="Y484" s="71">
        <v>50.0</v>
      </c>
      <c r="Z484" s="72">
        <v>50.0</v>
      </c>
      <c r="AA484" s="73">
        <v>77.0</v>
      </c>
      <c r="AB484" s="74">
        <v>95.0</v>
      </c>
      <c r="AC484" s="75">
        <v>77.0</v>
      </c>
      <c r="AD484" s="76">
        <v>91.0</v>
      </c>
      <c r="AE484" s="77">
        <v>440.0</v>
      </c>
      <c r="AF484" s="21"/>
      <c r="AG484" s="71">
        <v>50.0</v>
      </c>
      <c r="AH484" s="72">
        <v>50.0</v>
      </c>
      <c r="AI484" s="73">
        <v>77.0</v>
      </c>
      <c r="AJ484" s="74">
        <v>95.0</v>
      </c>
      <c r="AK484" s="75">
        <v>77.0</v>
      </c>
      <c r="AL484" s="109">
        <v>101.0</v>
      </c>
      <c r="AM484" s="110">
        <v>450.0</v>
      </c>
      <c r="AN484" s="21"/>
      <c r="AO484" s="22">
        <v>50.0</v>
      </c>
      <c r="AP484" s="23">
        <v>50.0</v>
      </c>
      <c r="AQ484" s="23">
        <v>77.0</v>
      </c>
      <c r="AR484" s="23">
        <v>95.0</v>
      </c>
      <c r="AS484" s="23">
        <v>77.0</v>
      </c>
      <c r="AT484" s="23" t="s">
        <v>259</v>
      </c>
      <c r="AU484" s="24" t="s">
        <v>176</v>
      </c>
      <c r="AV484" s="21"/>
      <c r="AW484" s="78">
        <v>50.0</v>
      </c>
      <c r="AX484" s="124">
        <v>50.0</v>
      </c>
      <c r="AY484" s="79">
        <v>77.0</v>
      </c>
      <c r="AZ484" s="124">
        <v>95.0</v>
      </c>
      <c r="BA484" s="79">
        <v>77.0</v>
      </c>
      <c r="BB484" s="111">
        <v>101.0</v>
      </c>
      <c r="BC484" s="227">
        <v>450.0</v>
      </c>
      <c r="BE484" s="82" t="s">
        <v>4</v>
      </c>
      <c r="BF484" s="132" t="s">
        <v>56</v>
      </c>
      <c r="BG484" s="446"/>
      <c r="BI484" s="31" t="s">
        <v>5</v>
      </c>
      <c r="BJ484" s="32" t="s">
        <v>5</v>
      </c>
      <c r="BK484" s="32" t="s">
        <v>5</v>
      </c>
      <c r="BL484" s="32">
        <v>1.0</v>
      </c>
      <c r="BM484" s="32" t="s">
        <v>5</v>
      </c>
      <c r="BN484" s="33">
        <v>1.0</v>
      </c>
      <c r="BP484" s="85" t="s">
        <v>197</v>
      </c>
      <c r="BQ484" s="86" t="s">
        <v>92</v>
      </c>
      <c r="BS484" s="87" t="s">
        <v>197</v>
      </c>
      <c r="BT484" s="88" t="s">
        <v>92</v>
      </c>
      <c r="BU484" s="37" t="str">
        <f t="shared" si="1"/>
        <v>#NAME?</v>
      </c>
      <c r="BV484" s="89" t="s">
        <v>197</v>
      </c>
      <c r="BW484" s="37" t="str">
        <f t="shared" si="2"/>
        <v>#NAME?</v>
      </c>
      <c r="BX484" s="89" t="s">
        <v>92</v>
      </c>
      <c r="BY484" s="134"/>
      <c r="BZ484" s="134"/>
      <c r="CA484" s="135" t="s">
        <v>4268</v>
      </c>
      <c r="CB484" s="136"/>
      <c r="CC484" s="90" t="s">
        <v>197</v>
      </c>
      <c r="CD484" s="91" t="s">
        <v>92</v>
      </c>
      <c r="CE484" s="2"/>
      <c r="CF484" s="92" t="s">
        <v>1001</v>
      </c>
      <c r="CG484" s="93"/>
      <c r="CH484" s="2"/>
      <c r="CI484" s="92" t="s">
        <v>1001</v>
      </c>
      <c r="CJ484" s="93"/>
      <c r="CK484" s="2"/>
      <c r="CL484" s="22" t="s">
        <v>1001</v>
      </c>
      <c r="CM484" s="12"/>
      <c r="CN484" s="48"/>
      <c r="CO484" s="95"/>
      <c r="CP484" s="2"/>
      <c r="CQ484" s="2" t="s">
        <v>4269</v>
      </c>
      <c r="CR484" s="97">
        <v>20.0</v>
      </c>
      <c r="CS484" s="2" t="s">
        <v>73</v>
      </c>
      <c r="CT484" s="98">
        <v>132.0</v>
      </c>
      <c r="CU484" s="2"/>
      <c r="CV484" s="256" t="s">
        <v>890</v>
      </c>
      <c r="CW484" s="256" t="s">
        <v>890</v>
      </c>
      <c r="CX484" s="2"/>
      <c r="CY484" s="460" t="s">
        <v>964</v>
      </c>
      <c r="CZ484" s="450"/>
      <c r="DA484" s="2"/>
      <c r="DB484" s="98">
        <v>45.0</v>
      </c>
      <c r="DC484" s="2"/>
      <c r="DD484" s="101" t="s">
        <v>150</v>
      </c>
      <c r="DE484" s="2"/>
      <c r="DF484" s="445" t="s">
        <v>914</v>
      </c>
      <c r="DG484" s="460"/>
      <c r="DH484" s="450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449"/>
      <c r="EH484" s="428"/>
      <c r="EI484" s="428"/>
    </row>
    <row r="485" ht="15.75" customHeight="1">
      <c r="A485" s="2" t="s">
        <v>4270</v>
      </c>
      <c r="B485" s="2" t="s">
        <v>4271</v>
      </c>
      <c r="C485" s="7"/>
      <c r="D485" s="122" t="s">
        <v>4272</v>
      </c>
      <c r="E485" s="5"/>
      <c r="F485" s="7"/>
      <c r="G485" s="7"/>
      <c r="H485" s="8" t="s">
        <v>4273</v>
      </c>
      <c r="I485" s="9" t="s">
        <v>4274</v>
      </c>
      <c r="J485" s="355" t="str">
        <f>image("https://archives.bulbagarden.net/media/upload/7/75/479OMS6.png", 3)</f>
        <v/>
      </c>
      <c r="K485" s="11" t="s">
        <v>4275</v>
      </c>
      <c r="L485" s="12"/>
      <c r="M485" s="12"/>
      <c r="N485" s="12"/>
      <c r="O485" s="12"/>
      <c r="Q485" s="71">
        <v>50.0</v>
      </c>
      <c r="R485" s="72">
        <v>65.0</v>
      </c>
      <c r="S485" s="73">
        <v>107.0</v>
      </c>
      <c r="T485" s="74">
        <v>105.0</v>
      </c>
      <c r="U485" s="75">
        <v>107.0</v>
      </c>
      <c r="V485" s="76">
        <v>86.0</v>
      </c>
      <c r="W485" s="77">
        <v>520.0</v>
      </c>
      <c r="X485" s="21"/>
      <c r="Y485" s="71">
        <v>50.0</v>
      </c>
      <c r="Z485" s="72">
        <v>65.0</v>
      </c>
      <c r="AA485" s="73">
        <v>107.0</v>
      </c>
      <c r="AB485" s="74">
        <v>105.0</v>
      </c>
      <c r="AC485" s="75">
        <v>107.0</v>
      </c>
      <c r="AD485" s="76">
        <v>86.0</v>
      </c>
      <c r="AE485" s="77">
        <v>520.0</v>
      </c>
      <c r="AF485" s="21"/>
      <c r="AG485" s="71">
        <v>50.0</v>
      </c>
      <c r="AH485" s="72">
        <v>65.0</v>
      </c>
      <c r="AI485" s="73">
        <v>107.0</v>
      </c>
      <c r="AJ485" s="74">
        <v>105.0</v>
      </c>
      <c r="AK485" s="75">
        <v>107.0</v>
      </c>
      <c r="AL485" s="76">
        <v>86.0</v>
      </c>
      <c r="AM485" s="77">
        <v>520.0</v>
      </c>
      <c r="AN485" s="21"/>
      <c r="AO485" s="22">
        <v>50.0</v>
      </c>
      <c r="AP485" s="23">
        <v>65.0</v>
      </c>
      <c r="AQ485" s="23">
        <v>107.0</v>
      </c>
      <c r="AR485" s="23">
        <v>105.0</v>
      </c>
      <c r="AS485" s="23">
        <v>107.0</v>
      </c>
      <c r="AT485" s="23">
        <v>86.0</v>
      </c>
      <c r="AU485" s="24">
        <v>520.0</v>
      </c>
      <c r="AV485" s="21"/>
      <c r="AW485" s="78">
        <v>50.0</v>
      </c>
      <c r="AX485" s="79">
        <v>65.0</v>
      </c>
      <c r="AY485" s="79">
        <v>107.0</v>
      </c>
      <c r="AZ485" s="79">
        <v>105.0</v>
      </c>
      <c r="BA485" s="79">
        <v>107.0</v>
      </c>
      <c r="BB485" s="124">
        <v>86.0</v>
      </c>
      <c r="BC485" s="125">
        <v>520.0</v>
      </c>
      <c r="BE485" s="82" t="s">
        <v>4</v>
      </c>
      <c r="BF485" s="132" t="s">
        <v>56</v>
      </c>
      <c r="BG485" s="210"/>
      <c r="BI485" s="31" t="s">
        <v>5</v>
      </c>
      <c r="BJ485" s="32" t="s">
        <v>5</v>
      </c>
      <c r="BK485" s="32" t="s">
        <v>5</v>
      </c>
      <c r="BL485" s="32">
        <v>1.0</v>
      </c>
      <c r="BM485" s="32" t="s">
        <v>5</v>
      </c>
      <c r="BN485" s="33">
        <v>1.0</v>
      </c>
      <c r="BP485" s="115" t="s">
        <v>197</v>
      </c>
      <c r="BQ485" s="116" t="s">
        <v>34</v>
      </c>
      <c r="BS485" s="115" t="s">
        <v>197</v>
      </c>
      <c r="BT485" s="117" t="s">
        <v>34</v>
      </c>
      <c r="BU485" s="37" t="str">
        <f t="shared" si="1"/>
        <v>#NAME?</v>
      </c>
      <c r="BV485" s="89" t="s">
        <v>197</v>
      </c>
      <c r="BW485" s="37" t="str">
        <f t="shared" si="2"/>
        <v>#NAME?</v>
      </c>
      <c r="BX485" s="89" t="s">
        <v>295</v>
      </c>
      <c r="BY485" s="39"/>
      <c r="BZ485" s="39"/>
      <c r="CA485" s="40" t="s">
        <v>4276</v>
      </c>
      <c r="CB485" s="41"/>
      <c r="CC485" s="90" t="s">
        <v>197</v>
      </c>
      <c r="CD485" s="91" t="s">
        <v>34</v>
      </c>
      <c r="CE485" s="2"/>
      <c r="CF485" s="92" t="s">
        <v>1001</v>
      </c>
      <c r="CG485" s="93"/>
      <c r="CH485" s="2"/>
      <c r="CI485" s="92" t="s">
        <v>1001</v>
      </c>
      <c r="CJ485" s="93"/>
      <c r="CK485" s="2"/>
      <c r="CL485" s="22" t="s">
        <v>1001</v>
      </c>
      <c r="CM485" s="12"/>
      <c r="CN485" s="48"/>
      <c r="CO485" s="95"/>
      <c r="CP485" s="2"/>
      <c r="CQ485" s="2" t="s">
        <v>4269</v>
      </c>
      <c r="CR485" s="97">
        <v>20.0</v>
      </c>
      <c r="CS485" s="2" t="s">
        <v>73</v>
      </c>
      <c r="CT485" s="98">
        <v>132.0</v>
      </c>
      <c r="CU485" s="2"/>
      <c r="CV485" s="256" t="s">
        <v>890</v>
      </c>
      <c r="CW485" s="256" t="s">
        <v>890</v>
      </c>
      <c r="CX485" s="2"/>
      <c r="CY485" s="257" t="s">
        <v>964</v>
      </c>
      <c r="CZ485" s="160"/>
      <c r="DA485" s="2"/>
      <c r="DB485" s="98">
        <v>45.0</v>
      </c>
      <c r="DC485" s="2"/>
      <c r="DD485" s="101" t="s">
        <v>150</v>
      </c>
      <c r="DE485" s="2"/>
      <c r="DF485" s="120" t="s">
        <v>914</v>
      </c>
      <c r="DG485" s="257"/>
      <c r="DH485" s="160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449"/>
      <c r="EH485" s="428"/>
      <c r="EI485" s="428"/>
    </row>
    <row r="486" ht="15.75" customHeight="1">
      <c r="A486" s="2" t="s">
        <v>4277</v>
      </c>
      <c r="B486" s="2" t="s">
        <v>4278</v>
      </c>
      <c r="C486" s="7"/>
      <c r="D486" s="122" t="s">
        <v>4279</v>
      </c>
      <c r="E486" s="5"/>
      <c r="F486" s="7"/>
      <c r="G486" s="7"/>
      <c r="H486" s="8" t="s">
        <v>4280</v>
      </c>
      <c r="I486" s="9" t="s">
        <v>4281</v>
      </c>
      <c r="J486" s="355" t="str">
        <f>image("https://archives.bulbagarden.net/media/upload/b/b6/479WMS6.png", 3)</f>
        <v/>
      </c>
      <c r="K486" s="11" t="s">
        <v>4282</v>
      </c>
      <c r="L486" s="12"/>
      <c r="M486" s="12"/>
      <c r="N486" s="12"/>
      <c r="O486" s="12"/>
      <c r="Q486" s="71">
        <v>50.0</v>
      </c>
      <c r="R486" s="72">
        <v>65.0</v>
      </c>
      <c r="S486" s="73">
        <v>107.0</v>
      </c>
      <c r="T486" s="74">
        <v>105.0</v>
      </c>
      <c r="U486" s="75">
        <v>107.0</v>
      </c>
      <c r="V486" s="76">
        <v>86.0</v>
      </c>
      <c r="W486" s="77">
        <v>520.0</v>
      </c>
      <c r="X486" s="21"/>
      <c r="Y486" s="71">
        <v>50.0</v>
      </c>
      <c r="Z486" s="72">
        <v>65.0</v>
      </c>
      <c r="AA486" s="73">
        <v>107.0</v>
      </c>
      <c r="AB486" s="74">
        <v>105.0</v>
      </c>
      <c r="AC486" s="75">
        <v>107.0</v>
      </c>
      <c r="AD486" s="76">
        <v>86.0</v>
      </c>
      <c r="AE486" s="77">
        <v>520.0</v>
      </c>
      <c r="AF486" s="21"/>
      <c r="AG486" s="71">
        <v>50.0</v>
      </c>
      <c r="AH486" s="72">
        <v>65.0</v>
      </c>
      <c r="AI486" s="73">
        <v>107.0</v>
      </c>
      <c r="AJ486" s="74">
        <v>105.0</v>
      </c>
      <c r="AK486" s="75">
        <v>107.0</v>
      </c>
      <c r="AL486" s="76">
        <v>86.0</v>
      </c>
      <c r="AM486" s="77">
        <v>520.0</v>
      </c>
      <c r="AN486" s="21"/>
      <c r="AO486" s="22">
        <v>50.0</v>
      </c>
      <c r="AP486" s="23">
        <v>65.0</v>
      </c>
      <c r="AQ486" s="23">
        <v>107.0</v>
      </c>
      <c r="AR486" s="23">
        <v>105.0</v>
      </c>
      <c r="AS486" s="23">
        <v>107.0</v>
      </c>
      <c r="AT486" s="23">
        <v>86.0</v>
      </c>
      <c r="AU486" s="24">
        <v>520.0</v>
      </c>
      <c r="AV486" s="21"/>
      <c r="AW486" s="78">
        <v>50.0</v>
      </c>
      <c r="AX486" s="79">
        <v>65.0</v>
      </c>
      <c r="AY486" s="79">
        <v>107.0</v>
      </c>
      <c r="AZ486" s="79">
        <v>105.0</v>
      </c>
      <c r="BA486" s="79">
        <v>107.0</v>
      </c>
      <c r="BB486" s="79">
        <v>86.0</v>
      </c>
      <c r="BC486" s="201">
        <v>520.0</v>
      </c>
      <c r="BE486" s="82" t="s">
        <v>4</v>
      </c>
      <c r="BF486" s="132" t="s">
        <v>56</v>
      </c>
      <c r="BG486" s="446"/>
      <c r="BI486" s="31" t="s">
        <v>5</v>
      </c>
      <c r="BJ486" s="32" t="s">
        <v>5</v>
      </c>
      <c r="BK486" s="32" t="s">
        <v>5</v>
      </c>
      <c r="BL486" s="32">
        <v>1.0</v>
      </c>
      <c r="BM486" s="32" t="s">
        <v>5</v>
      </c>
      <c r="BN486" s="33">
        <v>1.0</v>
      </c>
      <c r="BP486" s="85" t="s">
        <v>197</v>
      </c>
      <c r="BQ486" s="86" t="s">
        <v>32</v>
      </c>
      <c r="BS486" s="87" t="s">
        <v>197</v>
      </c>
      <c r="BT486" s="88" t="s">
        <v>32</v>
      </c>
      <c r="BU486" s="37" t="str">
        <f t="shared" si="1"/>
        <v>#NAME?</v>
      </c>
      <c r="BV486" s="89" t="s">
        <v>197</v>
      </c>
      <c r="BW486" s="37" t="str">
        <f t="shared" si="2"/>
        <v>#NAME?</v>
      </c>
      <c r="BX486" s="89" t="s">
        <v>308</v>
      </c>
      <c r="BY486" s="39"/>
      <c r="BZ486" s="39"/>
      <c r="CA486" s="40" t="s">
        <v>4283</v>
      </c>
      <c r="CB486" s="41"/>
      <c r="CC486" s="90" t="s">
        <v>197</v>
      </c>
      <c r="CD486" s="91" t="s">
        <v>32</v>
      </c>
      <c r="CE486" s="2"/>
      <c r="CF486" s="92" t="s">
        <v>1001</v>
      </c>
      <c r="CG486" s="93"/>
      <c r="CH486" s="2"/>
      <c r="CI486" s="92" t="s">
        <v>1001</v>
      </c>
      <c r="CJ486" s="93"/>
      <c r="CK486" s="2"/>
      <c r="CL486" s="22" t="s">
        <v>1001</v>
      </c>
      <c r="CM486" s="12"/>
      <c r="CN486" s="48"/>
      <c r="CO486" s="95"/>
      <c r="CP486" s="2"/>
      <c r="CQ486" s="2" t="s">
        <v>4269</v>
      </c>
      <c r="CR486" s="97">
        <v>20.0</v>
      </c>
      <c r="CS486" s="2" t="s">
        <v>73</v>
      </c>
      <c r="CT486" s="98">
        <v>132.0</v>
      </c>
      <c r="CU486" s="2"/>
      <c r="CV486" s="256" t="s">
        <v>890</v>
      </c>
      <c r="CW486" s="256" t="s">
        <v>890</v>
      </c>
      <c r="CX486" s="2"/>
      <c r="CY486" s="460" t="s">
        <v>964</v>
      </c>
      <c r="CZ486" s="450"/>
      <c r="DA486" s="2"/>
      <c r="DB486" s="98">
        <v>45.0</v>
      </c>
      <c r="DC486" s="2"/>
      <c r="DD486" s="101" t="s">
        <v>150</v>
      </c>
      <c r="DE486" s="2"/>
      <c r="DF486" s="445" t="s">
        <v>914</v>
      </c>
      <c r="DG486" s="460"/>
      <c r="DH486" s="450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449"/>
      <c r="EH486" s="428"/>
      <c r="EI486" s="428"/>
    </row>
    <row r="487" ht="15.75" customHeight="1">
      <c r="A487" s="2" t="s">
        <v>4284</v>
      </c>
      <c r="B487" s="2" t="s">
        <v>4285</v>
      </c>
      <c r="C487" s="7"/>
      <c r="D487" s="122" t="s">
        <v>4286</v>
      </c>
      <c r="E487" s="5"/>
      <c r="F487" s="7"/>
      <c r="G487" s="7"/>
      <c r="H487" s="8" t="s">
        <v>4287</v>
      </c>
      <c r="I487" s="9" t="s">
        <v>4288</v>
      </c>
      <c r="J487" s="355" t="str">
        <f>image("https://archives.bulbagarden.net/media/upload/7/7a/479RMS6.png", 3)</f>
        <v/>
      </c>
      <c r="K487" s="11" t="s">
        <v>4289</v>
      </c>
      <c r="L487" s="12"/>
      <c r="M487" s="12"/>
      <c r="N487" s="12"/>
      <c r="O487" s="12"/>
      <c r="Q487" s="71">
        <v>50.0</v>
      </c>
      <c r="R487" s="72">
        <v>65.0</v>
      </c>
      <c r="S487" s="73">
        <v>107.0</v>
      </c>
      <c r="T487" s="74">
        <v>105.0</v>
      </c>
      <c r="U487" s="75">
        <v>107.0</v>
      </c>
      <c r="V487" s="76">
        <v>86.0</v>
      </c>
      <c r="W487" s="77">
        <v>520.0</v>
      </c>
      <c r="X487" s="21"/>
      <c r="Y487" s="71">
        <v>50.0</v>
      </c>
      <c r="Z487" s="72">
        <v>65.0</v>
      </c>
      <c r="AA487" s="73">
        <v>107.0</v>
      </c>
      <c r="AB487" s="74">
        <v>105.0</v>
      </c>
      <c r="AC487" s="75">
        <v>107.0</v>
      </c>
      <c r="AD487" s="76">
        <v>86.0</v>
      </c>
      <c r="AE487" s="77">
        <v>520.0</v>
      </c>
      <c r="AF487" s="21"/>
      <c r="AG487" s="71">
        <v>50.0</v>
      </c>
      <c r="AH487" s="72">
        <v>65.0</v>
      </c>
      <c r="AI487" s="73">
        <v>107.0</v>
      </c>
      <c r="AJ487" s="74">
        <v>105.0</v>
      </c>
      <c r="AK487" s="75">
        <v>107.0</v>
      </c>
      <c r="AL487" s="76">
        <v>86.0</v>
      </c>
      <c r="AM487" s="77">
        <v>520.0</v>
      </c>
      <c r="AN487" s="21"/>
      <c r="AO487" s="22">
        <v>50.0</v>
      </c>
      <c r="AP487" s="23">
        <v>65.0</v>
      </c>
      <c r="AQ487" s="23">
        <v>107.0</v>
      </c>
      <c r="AR487" s="23">
        <v>105.0</v>
      </c>
      <c r="AS487" s="23">
        <v>107.0</v>
      </c>
      <c r="AT487" s="23">
        <v>86.0</v>
      </c>
      <c r="AU487" s="24">
        <v>520.0</v>
      </c>
      <c r="AV487" s="21"/>
      <c r="AW487" s="78">
        <v>50.0</v>
      </c>
      <c r="AX487" s="79">
        <v>65.0</v>
      </c>
      <c r="AY487" s="79">
        <v>107.0</v>
      </c>
      <c r="AZ487" s="79">
        <v>105.0</v>
      </c>
      <c r="BA487" s="79">
        <v>107.0</v>
      </c>
      <c r="BB487" s="79">
        <v>86.0</v>
      </c>
      <c r="BC487" s="201">
        <v>520.0</v>
      </c>
      <c r="BE487" s="82" t="s">
        <v>4</v>
      </c>
      <c r="BF487" s="132" t="s">
        <v>56</v>
      </c>
      <c r="BG487" s="210"/>
      <c r="BI487" s="31" t="s">
        <v>5</v>
      </c>
      <c r="BJ487" s="32" t="s">
        <v>5</v>
      </c>
      <c r="BK487" s="32" t="s">
        <v>5</v>
      </c>
      <c r="BL487" s="32">
        <v>1.0</v>
      </c>
      <c r="BM487" s="32" t="s">
        <v>5</v>
      </c>
      <c r="BN487" s="33">
        <v>1.0</v>
      </c>
      <c r="BP487" s="115" t="s">
        <v>197</v>
      </c>
      <c r="BQ487" s="116" t="s">
        <v>120</v>
      </c>
      <c r="BS487" s="115" t="s">
        <v>197</v>
      </c>
      <c r="BT487" s="117" t="s">
        <v>120</v>
      </c>
      <c r="BU487" s="37" t="str">
        <f t="shared" si="1"/>
        <v>#NAME?</v>
      </c>
      <c r="BV487" s="89" t="s">
        <v>197</v>
      </c>
      <c r="BW487" s="37" t="str">
        <f t="shared" si="2"/>
        <v>#NAME?</v>
      </c>
      <c r="BX487" s="89" t="s">
        <v>444</v>
      </c>
      <c r="BY487" s="39"/>
      <c r="BZ487" s="39"/>
      <c r="CA487" s="40" t="s">
        <v>4290</v>
      </c>
      <c r="CB487" s="41"/>
      <c r="CC487" s="90" t="s">
        <v>197</v>
      </c>
      <c r="CD487" s="91" t="s">
        <v>120</v>
      </c>
      <c r="CE487" s="2"/>
      <c r="CF487" s="92" t="s">
        <v>1001</v>
      </c>
      <c r="CG487" s="93"/>
      <c r="CH487" s="2"/>
      <c r="CI487" s="92" t="s">
        <v>1001</v>
      </c>
      <c r="CJ487" s="93"/>
      <c r="CK487" s="2"/>
      <c r="CL487" s="22" t="s">
        <v>1001</v>
      </c>
      <c r="CM487" s="12"/>
      <c r="CN487" s="48"/>
      <c r="CO487" s="95"/>
      <c r="CP487" s="2"/>
      <c r="CQ487" s="2" t="s">
        <v>4269</v>
      </c>
      <c r="CR487" s="97">
        <v>20.0</v>
      </c>
      <c r="CS487" s="2" t="s">
        <v>73</v>
      </c>
      <c r="CT487" s="98">
        <v>132.0</v>
      </c>
      <c r="CU487" s="2"/>
      <c r="CV487" s="256" t="s">
        <v>890</v>
      </c>
      <c r="CW487" s="256" t="s">
        <v>890</v>
      </c>
      <c r="CX487" s="2"/>
      <c r="CY487" s="257" t="s">
        <v>964</v>
      </c>
      <c r="CZ487" s="160"/>
      <c r="DA487" s="2"/>
      <c r="DB487" s="98">
        <v>45.0</v>
      </c>
      <c r="DC487" s="2"/>
      <c r="DD487" s="101" t="s">
        <v>150</v>
      </c>
      <c r="DE487" s="2"/>
      <c r="DF487" s="120" t="s">
        <v>914</v>
      </c>
      <c r="DG487" s="257"/>
      <c r="DH487" s="160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449"/>
      <c r="EH487" s="428"/>
      <c r="EI487" s="428"/>
    </row>
    <row r="488" ht="15.75" customHeight="1">
      <c r="A488" s="2" t="s">
        <v>4291</v>
      </c>
      <c r="B488" s="2" t="s">
        <v>4292</v>
      </c>
      <c r="C488" s="7"/>
      <c r="D488" s="122" t="s">
        <v>4293</v>
      </c>
      <c r="E488" s="5"/>
      <c r="F488" s="7"/>
      <c r="G488" s="7"/>
      <c r="H488" s="8" t="s">
        <v>4294</v>
      </c>
      <c r="I488" s="9" t="s">
        <v>4295</v>
      </c>
      <c r="J488" s="355" t="str">
        <f>image("https://archives.bulbagarden.net/media/upload/2/2c/479FMS6.png", 3)</f>
        <v/>
      </c>
      <c r="K488" s="11" t="s">
        <v>4296</v>
      </c>
      <c r="L488" s="12"/>
      <c r="M488" s="12"/>
      <c r="N488" s="12"/>
      <c r="O488" s="12"/>
      <c r="Q488" s="71">
        <v>50.0</v>
      </c>
      <c r="R488" s="72">
        <v>65.0</v>
      </c>
      <c r="S488" s="73">
        <v>107.0</v>
      </c>
      <c r="T488" s="74">
        <v>105.0</v>
      </c>
      <c r="U488" s="75">
        <v>107.0</v>
      </c>
      <c r="V488" s="76">
        <v>86.0</v>
      </c>
      <c r="W488" s="77">
        <v>520.0</v>
      </c>
      <c r="X488" s="21"/>
      <c r="Y488" s="71">
        <v>50.0</v>
      </c>
      <c r="Z488" s="72">
        <v>65.0</v>
      </c>
      <c r="AA488" s="73">
        <v>107.0</v>
      </c>
      <c r="AB488" s="74">
        <v>105.0</v>
      </c>
      <c r="AC488" s="75">
        <v>107.0</v>
      </c>
      <c r="AD488" s="76">
        <v>86.0</v>
      </c>
      <c r="AE488" s="77">
        <v>520.0</v>
      </c>
      <c r="AF488" s="21"/>
      <c r="AG488" s="71">
        <v>50.0</v>
      </c>
      <c r="AH488" s="72">
        <v>65.0</v>
      </c>
      <c r="AI488" s="73">
        <v>107.0</v>
      </c>
      <c r="AJ488" s="74">
        <v>105.0</v>
      </c>
      <c r="AK488" s="75">
        <v>107.0</v>
      </c>
      <c r="AL488" s="76">
        <v>86.0</v>
      </c>
      <c r="AM488" s="77">
        <v>520.0</v>
      </c>
      <c r="AN488" s="21"/>
      <c r="AO488" s="22">
        <v>50.0</v>
      </c>
      <c r="AP488" s="23">
        <v>65.0</v>
      </c>
      <c r="AQ488" s="23">
        <v>107.0</v>
      </c>
      <c r="AR488" s="23">
        <v>105.0</v>
      </c>
      <c r="AS488" s="23">
        <v>107.0</v>
      </c>
      <c r="AT488" s="23">
        <v>86.0</v>
      </c>
      <c r="AU488" s="24">
        <v>520.0</v>
      </c>
      <c r="AV488" s="21"/>
      <c r="AW488" s="78">
        <v>50.0</v>
      </c>
      <c r="AX488" s="79">
        <v>65.0</v>
      </c>
      <c r="AY488" s="79">
        <v>107.0</v>
      </c>
      <c r="AZ488" s="79">
        <v>105.0</v>
      </c>
      <c r="BA488" s="79">
        <v>107.0</v>
      </c>
      <c r="BB488" s="79">
        <v>86.0</v>
      </c>
      <c r="BC488" s="201">
        <v>520.0</v>
      </c>
      <c r="BE488" s="82" t="s">
        <v>4</v>
      </c>
      <c r="BF488" s="132" t="s">
        <v>56</v>
      </c>
      <c r="BG488" s="446"/>
      <c r="BI488" s="31" t="s">
        <v>5</v>
      </c>
      <c r="BJ488" s="32" t="s">
        <v>5</v>
      </c>
      <c r="BK488" s="32" t="s">
        <v>5</v>
      </c>
      <c r="BL488" s="32">
        <v>1.0</v>
      </c>
      <c r="BM488" s="32" t="s">
        <v>5</v>
      </c>
      <c r="BN488" s="33">
        <v>1.0</v>
      </c>
      <c r="BP488" s="85" t="s">
        <v>197</v>
      </c>
      <c r="BQ488" s="86" t="s">
        <v>18</v>
      </c>
      <c r="BS488" s="87" t="s">
        <v>197</v>
      </c>
      <c r="BT488" s="88" t="s">
        <v>18</v>
      </c>
      <c r="BU488" s="37" t="str">
        <f t="shared" si="1"/>
        <v>#NAME?</v>
      </c>
      <c r="BV488" s="89" t="s">
        <v>197</v>
      </c>
      <c r="BW488" s="37" t="str">
        <f t="shared" si="2"/>
        <v>#NAME?</v>
      </c>
      <c r="BX488" s="89" t="s">
        <v>414</v>
      </c>
      <c r="BY488" s="39"/>
      <c r="BZ488" s="39"/>
      <c r="CA488" s="40" t="s">
        <v>4297</v>
      </c>
      <c r="CB488" s="41"/>
      <c r="CC488" s="90" t="s">
        <v>197</v>
      </c>
      <c r="CD488" s="91" t="s">
        <v>18</v>
      </c>
      <c r="CE488" s="2"/>
      <c r="CF488" s="92" t="s">
        <v>1001</v>
      </c>
      <c r="CG488" s="93"/>
      <c r="CH488" s="2"/>
      <c r="CI488" s="92" t="s">
        <v>1001</v>
      </c>
      <c r="CJ488" s="93"/>
      <c r="CK488" s="2"/>
      <c r="CL488" s="22" t="s">
        <v>4298</v>
      </c>
      <c r="CM488" s="12"/>
      <c r="CN488" s="48"/>
      <c r="CO488" s="95"/>
      <c r="CP488" s="2"/>
      <c r="CQ488" s="2" t="s">
        <v>4269</v>
      </c>
      <c r="CR488" s="97">
        <v>20.0</v>
      </c>
      <c r="CS488" s="2" t="s">
        <v>73</v>
      </c>
      <c r="CT488" s="98">
        <v>132.0</v>
      </c>
      <c r="CU488" s="2"/>
      <c r="CV488" s="256" t="s">
        <v>890</v>
      </c>
      <c r="CW488" s="256" t="s">
        <v>890</v>
      </c>
      <c r="CX488" s="2"/>
      <c r="CY488" s="460" t="s">
        <v>964</v>
      </c>
      <c r="CZ488" s="450"/>
      <c r="DA488" s="2"/>
      <c r="DB488" s="98">
        <v>45.0</v>
      </c>
      <c r="DC488" s="2"/>
      <c r="DD488" s="101" t="s">
        <v>150</v>
      </c>
      <c r="DE488" s="2"/>
      <c r="DF488" s="445" t="s">
        <v>914</v>
      </c>
      <c r="DG488" s="460"/>
      <c r="DH488" s="450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449"/>
      <c r="EH488" s="428"/>
      <c r="EI488" s="428"/>
    </row>
    <row r="489" ht="15.75" customHeight="1">
      <c r="A489" s="2" t="s">
        <v>4299</v>
      </c>
      <c r="B489" s="2" t="s">
        <v>4300</v>
      </c>
      <c r="C489" s="7"/>
      <c r="D489" s="122" t="s">
        <v>4301</v>
      </c>
      <c r="E489" s="5"/>
      <c r="F489" s="7"/>
      <c r="G489" s="7"/>
      <c r="H489" s="8" t="s">
        <v>4302</v>
      </c>
      <c r="I489" s="9" t="s">
        <v>4303</v>
      </c>
      <c r="J489" s="355" t="str">
        <f>image("https://archives.bulbagarden.net/media/upload/e/e2/479LMS6.png", 3)</f>
        <v/>
      </c>
      <c r="K489" s="11" t="s">
        <v>4304</v>
      </c>
      <c r="L489" s="12"/>
      <c r="M489" s="12"/>
      <c r="N489" s="12"/>
      <c r="O489" s="12"/>
      <c r="Q489" s="71">
        <v>50.0</v>
      </c>
      <c r="R489" s="72">
        <v>65.0</v>
      </c>
      <c r="S489" s="73">
        <v>107.0</v>
      </c>
      <c r="T489" s="74">
        <v>105.0</v>
      </c>
      <c r="U489" s="75">
        <v>107.0</v>
      </c>
      <c r="V489" s="76">
        <v>86.0</v>
      </c>
      <c r="W489" s="77">
        <v>520.0</v>
      </c>
      <c r="X489" s="21"/>
      <c r="Y489" s="71">
        <v>50.0</v>
      </c>
      <c r="Z489" s="72">
        <v>65.0</v>
      </c>
      <c r="AA489" s="73">
        <v>107.0</v>
      </c>
      <c r="AB489" s="74">
        <v>105.0</v>
      </c>
      <c r="AC489" s="75">
        <v>107.0</v>
      </c>
      <c r="AD489" s="76">
        <v>86.0</v>
      </c>
      <c r="AE489" s="77">
        <v>520.0</v>
      </c>
      <c r="AF489" s="21"/>
      <c r="AG489" s="71">
        <v>50.0</v>
      </c>
      <c r="AH489" s="72">
        <v>65.0</v>
      </c>
      <c r="AI489" s="73">
        <v>107.0</v>
      </c>
      <c r="AJ489" s="74">
        <v>105.0</v>
      </c>
      <c r="AK489" s="75">
        <v>107.0</v>
      </c>
      <c r="AL489" s="76">
        <v>86.0</v>
      </c>
      <c r="AM489" s="77">
        <v>520.0</v>
      </c>
      <c r="AN489" s="21"/>
      <c r="AO489" s="22">
        <v>50.0</v>
      </c>
      <c r="AP489" s="23">
        <v>65.0</v>
      </c>
      <c r="AQ489" s="23">
        <v>107.0</v>
      </c>
      <c r="AR489" s="23">
        <v>105.0</v>
      </c>
      <c r="AS489" s="23">
        <v>107.0</v>
      </c>
      <c r="AT489" s="23">
        <v>86.0</v>
      </c>
      <c r="AU489" s="24">
        <v>520.0</v>
      </c>
      <c r="AV489" s="21"/>
      <c r="AW489" s="78">
        <v>50.0</v>
      </c>
      <c r="AX489" s="79">
        <v>65.0</v>
      </c>
      <c r="AY489" s="79">
        <v>107.0</v>
      </c>
      <c r="AZ489" s="79">
        <v>105.0</v>
      </c>
      <c r="BA489" s="79">
        <v>107.0</v>
      </c>
      <c r="BB489" s="79">
        <v>86.0</v>
      </c>
      <c r="BC489" s="201">
        <v>520.0</v>
      </c>
      <c r="BE489" s="82" t="s">
        <v>4</v>
      </c>
      <c r="BF489" s="132" t="s">
        <v>56</v>
      </c>
      <c r="BG489" s="210"/>
      <c r="BI489" s="31" t="s">
        <v>5</v>
      </c>
      <c r="BJ489" s="32" t="s">
        <v>5</v>
      </c>
      <c r="BK489" s="32" t="s">
        <v>5</v>
      </c>
      <c r="BL489" s="32">
        <v>1.0</v>
      </c>
      <c r="BM489" s="32" t="s">
        <v>5</v>
      </c>
      <c r="BN489" s="33">
        <v>1.0</v>
      </c>
      <c r="BP489" s="115" t="s">
        <v>197</v>
      </c>
      <c r="BQ489" s="116" t="s">
        <v>6</v>
      </c>
      <c r="BS489" s="115" t="s">
        <v>197</v>
      </c>
      <c r="BT489" s="117" t="s">
        <v>6</v>
      </c>
      <c r="BU489" s="37" t="str">
        <f t="shared" si="1"/>
        <v>#NAME?</v>
      </c>
      <c r="BV489" s="89" t="s">
        <v>197</v>
      </c>
      <c r="BW489" s="37" t="str">
        <f t="shared" si="2"/>
        <v>#NAME?</v>
      </c>
      <c r="BX489" s="89" t="s">
        <v>282</v>
      </c>
      <c r="BY489" s="39"/>
      <c r="BZ489" s="39"/>
      <c r="CA489" s="40" t="s">
        <v>4305</v>
      </c>
      <c r="CB489" s="41"/>
      <c r="CC489" s="90" t="s">
        <v>197</v>
      </c>
      <c r="CD489" s="137" t="s">
        <v>6</v>
      </c>
      <c r="CE489" s="2"/>
      <c r="CF489" s="92" t="s">
        <v>1001</v>
      </c>
      <c r="CG489" s="93"/>
      <c r="CH489" s="2"/>
      <c r="CI489" s="92" t="s">
        <v>1001</v>
      </c>
      <c r="CJ489" s="93"/>
      <c r="CK489" s="2"/>
      <c r="CL489" s="22" t="s">
        <v>1001</v>
      </c>
      <c r="CM489" s="12"/>
      <c r="CN489" s="48"/>
      <c r="CO489" s="95"/>
      <c r="CP489" s="2"/>
      <c r="CQ489" s="2" t="s">
        <v>4269</v>
      </c>
      <c r="CR489" s="97">
        <v>20.0</v>
      </c>
      <c r="CS489" s="2" t="s">
        <v>73</v>
      </c>
      <c r="CT489" s="98">
        <v>132.0</v>
      </c>
      <c r="CU489" s="2"/>
      <c r="CV489" s="256" t="s">
        <v>890</v>
      </c>
      <c r="CW489" s="256" t="s">
        <v>890</v>
      </c>
      <c r="CX489" s="2"/>
      <c r="CY489" s="257" t="s">
        <v>964</v>
      </c>
      <c r="CZ489" s="160"/>
      <c r="DA489" s="2"/>
      <c r="DB489" s="98">
        <v>45.0</v>
      </c>
      <c r="DC489" s="2"/>
      <c r="DD489" s="101" t="s">
        <v>150</v>
      </c>
      <c r="DE489" s="2"/>
      <c r="DF489" s="120" t="s">
        <v>914</v>
      </c>
      <c r="DG489" s="257"/>
      <c r="DH489" s="160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449"/>
      <c r="EH489" s="428"/>
      <c r="EI489" s="428"/>
    </row>
    <row r="490" ht="15.75" customHeight="1">
      <c r="A490" s="1">
        <v>480.0</v>
      </c>
      <c r="B490" s="2" t="s">
        <v>4306</v>
      </c>
      <c r="C490" s="7"/>
      <c r="D490" s="169" t="s">
        <v>4307</v>
      </c>
      <c r="E490" s="5"/>
      <c r="F490" s="170"/>
      <c r="G490" s="7"/>
      <c r="H490" s="8" t="s">
        <v>4308</v>
      </c>
      <c r="I490" s="9" t="s">
        <v>4309</v>
      </c>
      <c r="J490" s="355" t="str">
        <f>image("https://archives.bulbagarden.net/media/upload/5/5c/480MS6.png", 3)</f>
        <v/>
      </c>
      <c r="K490" s="11" t="s">
        <v>4307</v>
      </c>
      <c r="L490" s="12"/>
      <c r="M490" s="12"/>
      <c r="N490" s="12"/>
      <c r="O490" s="12"/>
      <c r="Q490" s="71">
        <v>75.0</v>
      </c>
      <c r="R490" s="72">
        <v>75.0</v>
      </c>
      <c r="S490" s="73">
        <v>130.0</v>
      </c>
      <c r="T490" s="74">
        <v>75.0</v>
      </c>
      <c r="U490" s="75">
        <v>130.0</v>
      </c>
      <c r="V490" s="76">
        <v>95.0</v>
      </c>
      <c r="W490" s="77">
        <v>580.0</v>
      </c>
      <c r="X490" s="21"/>
      <c r="Y490" s="71">
        <v>75.0</v>
      </c>
      <c r="Z490" s="72">
        <v>75.0</v>
      </c>
      <c r="AA490" s="73">
        <v>130.0</v>
      </c>
      <c r="AB490" s="74">
        <v>75.0</v>
      </c>
      <c r="AC490" s="75">
        <v>130.0</v>
      </c>
      <c r="AD490" s="76">
        <v>95.0</v>
      </c>
      <c r="AE490" s="77">
        <v>580.0</v>
      </c>
      <c r="AF490" s="21"/>
      <c r="AG490" s="71">
        <v>75.0</v>
      </c>
      <c r="AH490" s="72">
        <v>75.0</v>
      </c>
      <c r="AI490" s="73">
        <v>130.0</v>
      </c>
      <c r="AJ490" s="74">
        <v>75.0</v>
      </c>
      <c r="AK490" s="75">
        <v>130.0</v>
      </c>
      <c r="AL490" s="76">
        <v>95.0</v>
      </c>
      <c r="AM490" s="77">
        <v>580.0</v>
      </c>
      <c r="AN490" s="21"/>
      <c r="AO490" s="22">
        <v>75.0</v>
      </c>
      <c r="AP490" s="23">
        <v>75.0</v>
      </c>
      <c r="AQ490" s="23">
        <v>130.0</v>
      </c>
      <c r="AR490" s="23">
        <v>75.0</v>
      </c>
      <c r="AS490" s="23">
        <v>130.0</v>
      </c>
      <c r="AT490" s="23">
        <v>95.0</v>
      </c>
      <c r="AU490" s="24">
        <v>580.0</v>
      </c>
      <c r="AV490" s="21"/>
      <c r="AW490" s="78">
        <v>75.0</v>
      </c>
      <c r="AX490" s="79">
        <v>75.0</v>
      </c>
      <c r="AY490" s="79">
        <v>130.0</v>
      </c>
      <c r="AZ490" s="79">
        <v>75.0</v>
      </c>
      <c r="BA490" s="79">
        <v>130.0</v>
      </c>
      <c r="BB490" s="79">
        <v>95.0</v>
      </c>
      <c r="BC490" s="201">
        <v>580.0</v>
      </c>
      <c r="BE490" s="156" t="s">
        <v>162</v>
      </c>
      <c r="BF490" s="113"/>
      <c r="BG490" s="114" t="s">
        <v>27</v>
      </c>
      <c r="BI490" s="31" t="s">
        <v>5</v>
      </c>
      <c r="BJ490" s="32" t="s">
        <v>5</v>
      </c>
      <c r="BK490" s="32">
        <v>2.0</v>
      </c>
      <c r="BL490" s="32" t="s">
        <v>5</v>
      </c>
      <c r="BM490" s="32">
        <v>1.0</v>
      </c>
      <c r="BN490" s="33" t="s">
        <v>5</v>
      </c>
      <c r="BP490" s="85" t="s">
        <v>122</v>
      </c>
      <c r="BQ490" s="129"/>
      <c r="BS490" s="87" t="s">
        <v>122</v>
      </c>
      <c r="BT490" s="130"/>
      <c r="BU490" s="37" t="str">
        <f t="shared" si="1"/>
        <v>#NAME?</v>
      </c>
      <c r="BV490" s="89" t="s">
        <v>122</v>
      </c>
      <c r="BW490" s="37" t="str">
        <f t="shared" si="2"/>
        <v>#NAME?</v>
      </c>
      <c r="BX490" s="89" t="s">
        <v>461</v>
      </c>
      <c r="BY490" s="39"/>
      <c r="BZ490" s="39"/>
      <c r="CA490" s="40" t="s">
        <v>1275</v>
      </c>
      <c r="CB490" s="41"/>
      <c r="CC490" s="37" t="s">
        <v>122</v>
      </c>
      <c r="CD490" s="226" t="s">
        <v>153</v>
      </c>
      <c r="CE490" s="21"/>
      <c r="CF490" s="92" t="s">
        <v>1001</v>
      </c>
      <c r="CG490" s="93"/>
      <c r="CH490" s="21"/>
      <c r="CI490" s="92" t="s">
        <v>1001</v>
      </c>
      <c r="CJ490" s="93"/>
      <c r="CK490" s="21"/>
      <c r="CL490" s="22" t="s">
        <v>1001</v>
      </c>
      <c r="CM490" s="12"/>
      <c r="CN490" s="48"/>
      <c r="CO490" s="95"/>
      <c r="CP490" s="21"/>
      <c r="CQ490" s="2" t="s">
        <v>4269</v>
      </c>
      <c r="CR490" s="97">
        <v>20.0</v>
      </c>
      <c r="CS490" s="2" t="s">
        <v>3509</v>
      </c>
      <c r="CT490" s="98">
        <v>210.0</v>
      </c>
      <c r="CU490" s="2"/>
      <c r="CV490" s="256" t="s">
        <v>890</v>
      </c>
      <c r="CW490" s="256" t="s">
        <v>890</v>
      </c>
      <c r="CX490" s="2"/>
      <c r="CY490" s="444" t="s">
        <v>411</v>
      </c>
      <c r="CZ490" s="450"/>
      <c r="DA490" s="2"/>
      <c r="DB490" s="98">
        <v>3.0</v>
      </c>
      <c r="DC490" s="2"/>
      <c r="DD490" s="101" t="s">
        <v>683</v>
      </c>
      <c r="DE490" s="2"/>
      <c r="DF490" s="445" t="s">
        <v>914</v>
      </c>
      <c r="DG490" s="444"/>
      <c r="DH490" s="450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449"/>
      <c r="EH490" s="428"/>
      <c r="EI490" s="428"/>
    </row>
    <row r="491" ht="15.75" customHeight="1">
      <c r="A491" s="1">
        <v>481.0</v>
      </c>
      <c r="B491" s="2" t="s">
        <v>4310</v>
      </c>
      <c r="C491" s="7"/>
      <c r="D491" s="213" t="s">
        <v>4311</v>
      </c>
      <c r="E491" s="5"/>
      <c r="F491" s="214"/>
      <c r="G491" s="7"/>
      <c r="H491" s="8" t="s">
        <v>4312</v>
      </c>
      <c r="I491" s="9" t="s">
        <v>4313</v>
      </c>
      <c r="J491" s="355" t="str">
        <f>image("https://archives.bulbagarden.net/media/upload/4/45/481MS6.png", 3)</f>
        <v/>
      </c>
      <c r="K491" s="11" t="s">
        <v>4311</v>
      </c>
      <c r="L491" s="12"/>
      <c r="M491" s="12"/>
      <c r="N491" s="12"/>
      <c r="O491" s="12"/>
      <c r="Q491" s="71">
        <v>80.0</v>
      </c>
      <c r="R491" s="72">
        <v>105.0</v>
      </c>
      <c r="S491" s="73">
        <v>105.0</v>
      </c>
      <c r="T491" s="74">
        <v>105.0</v>
      </c>
      <c r="U491" s="75">
        <v>105.0</v>
      </c>
      <c r="V491" s="76">
        <v>80.0</v>
      </c>
      <c r="W491" s="77">
        <v>580.0</v>
      </c>
      <c r="X491" s="21"/>
      <c r="Y491" s="71">
        <v>80.0</v>
      </c>
      <c r="Z491" s="72">
        <v>105.0</v>
      </c>
      <c r="AA491" s="73">
        <v>105.0</v>
      </c>
      <c r="AB491" s="74">
        <v>105.0</v>
      </c>
      <c r="AC491" s="75">
        <v>105.0</v>
      </c>
      <c r="AD491" s="76">
        <v>80.0</v>
      </c>
      <c r="AE491" s="77">
        <v>580.0</v>
      </c>
      <c r="AF491" s="21"/>
      <c r="AG491" s="71">
        <v>80.0</v>
      </c>
      <c r="AH491" s="72">
        <v>105.0</v>
      </c>
      <c r="AI491" s="73">
        <v>105.0</v>
      </c>
      <c r="AJ491" s="74">
        <v>105.0</v>
      </c>
      <c r="AK491" s="75">
        <v>105.0</v>
      </c>
      <c r="AL491" s="76">
        <v>80.0</v>
      </c>
      <c r="AM491" s="77">
        <v>580.0</v>
      </c>
      <c r="AN491" s="21"/>
      <c r="AO491" s="22">
        <v>80.0</v>
      </c>
      <c r="AP491" s="23">
        <v>105.0</v>
      </c>
      <c r="AQ491" s="23">
        <v>105.0</v>
      </c>
      <c r="AR491" s="23">
        <v>105.0</v>
      </c>
      <c r="AS491" s="23">
        <v>105.0</v>
      </c>
      <c r="AT491" s="23">
        <v>80.0</v>
      </c>
      <c r="AU491" s="24">
        <v>580.0</v>
      </c>
      <c r="AV491" s="21"/>
      <c r="AW491" s="78">
        <v>80.0</v>
      </c>
      <c r="AX491" s="79">
        <v>105.0</v>
      </c>
      <c r="AY491" s="79">
        <v>105.0</v>
      </c>
      <c r="AZ491" s="79">
        <v>105.0</v>
      </c>
      <c r="BA491" s="79">
        <v>105.0</v>
      </c>
      <c r="BB491" s="79">
        <v>80.0</v>
      </c>
      <c r="BC491" s="201">
        <v>580.0</v>
      </c>
      <c r="BE491" s="194" t="s">
        <v>325</v>
      </c>
      <c r="BF491" s="285" t="s">
        <v>4</v>
      </c>
      <c r="BG491" s="114" t="s">
        <v>27</v>
      </c>
      <c r="BI491" s="31" t="s">
        <v>5</v>
      </c>
      <c r="BJ491" s="32">
        <v>1.0</v>
      </c>
      <c r="BK491" s="32" t="s">
        <v>5</v>
      </c>
      <c r="BL491" s="32">
        <v>1.0</v>
      </c>
      <c r="BM491" s="32">
        <v>1.0</v>
      </c>
      <c r="BN491" s="33" t="s">
        <v>5</v>
      </c>
      <c r="BP491" s="115" t="s">
        <v>122</v>
      </c>
      <c r="BQ491" s="93"/>
      <c r="BS491" s="115" t="s">
        <v>122</v>
      </c>
      <c r="BT491" s="133"/>
      <c r="BU491" s="37" t="str">
        <f t="shared" si="1"/>
        <v>#NAME?</v>
      </c>
      <c r="BV491" s="89" t="s">
        <v>122</v>
      </c>
      <c r="BW491" s="37" t="str">
        <f t="shared" si="2"/>
        <v>#NAME?</v>
      </c>
      <c r="BX491" s="89" t="s">
        <v>461</v>
      </c>
      <c r="BY491" s="39"/>
      <c r="BZ491" s="39"/>
      <c r="CA491" s="40" t="s">
        <v>1275</v>
      </c>
      <c r="CB491" s="41"/>
      <c r="CC491" s="37" t="s">
        <v>122</v>
      </c>
      <c r="CD491" s="229" t="s">
        <v>153</v>
      </c>
      <c r="CE491" s="21"/>
      <c r="CF491" s="92" t="s">
        <v>1001</v>
      </c>
      <c r="CG491" s="93"/>
      <c r="CH491" s="21"/>
      <c r="CI491" s="92" t="s">
        <v>1001</v>
      </c>
      <c r="CJ491" s="93"/>
      <c r="CK491" s="21"/>
      <c r="CL491" s="22" t="s">
        <v>1001</v>
      </c>
      <c r="CM491" s="12"/>
      <c r="CN491" s="48"/>
      <c r="CO491" s="95"/>
      <c r="CP491" s="21"/>
      <c r="CQ491" s="2" t="s">
        <v>4269</v>
      </c>
      <c r="CR491" s="97">
        <v>20.0</v>
      </c>
      <c r="CS491" s="2" t="s">
        <v>2197</v>
      </c>
      <c r="CT491" s="98">
        <v>210.0</v>
      </c>
      <c r="CU491" s="2"/>
      <c r="CV491" s="256" t="s">
        <v>890</v>
      </c>
      <c r="CW491" s="256" t="s">
        <v>890</v>
      </c>
      <c r="CX491" s="2"/>
      <c r="CY491" s="119" t="s">
        <v>411</v>
      </c>
      <c r="CZ491" s="160"/>
      <c r="DA491" s="2"/>
      <c r="DB491" s="98">
        <v>3.0</v>
      </c>
      <c r="DC491" s="2"/>
      <c r="DD491" s="101" t="s">
        <v>683</v>
      </c>
      <c r="DE491" s="2"/>
      <c r="DF491" s="120" t="s">
        <v>914</v>
      </c>
      <c r="DG491" s="119"/>
      <c r="DH491" s="160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449"/>
      <c r="EH491" s="428"/>
      <c r="EI491" s="428"/>
    </row>
    <row r="492" ht="15.75" customHeight="1">
      <c r="A492" s="1">
        <v>482.0</v>
      </c>
      <c r="B492" s="2" t="s">
        <v>4314</v>
      </c>
      <c r="C492" s="7"/>
      <c r="D492" s="140" t="s">
        <v>4315</v>
      </c>
      <c r="E492" s="5"/>
      <c r="F492" s="141"/>
      <c r="G492" s="7"/>
      <c r="H492" s="8" t="s">
        <v>4316</v>
      </c>
      <c r="I492" s="9" t="s">
        <v>4317</v>
      </c>
      <c r="J492" s="355" t="str">
        <f>image("https://archives.bulbagarden.net/media/upload/2/22/482MS6.png", 3)</f>
        <v/>
      </c>
      <c r="K492" s="11" t="s">
        <v>4315</v>
      </c>
      <c r="L492" s="12"/>
      <c r="M492" s="12"/>
      <c r="N492" s="12"/>
      <c r="O492" s="12"/>
      <c r="Q492" s="71">
        <v>75.0</v>
      </c>
      <c r="R492" s="72">
        <v>125.0</v>
      </c>
      <c r="S492" s="73">
        <v>70.0</v>
      </c>
      <c r="T492" s="74">
        <v>125.0</v>
      </c>
      <c r="U492" s="75">
        <v>70.0</v>
      </c>
      <c r="V492" s="76">
        <v>115.0</v>
      </c>
      <c r="W492" s="77">
        <v>580.0</v>
      </c>
      <c r="X492" s="21"/>
      <c r="Y492" s="71">
        <v>75.0</v>
      </c>
      <c r="Z492" s="72">
        <v>125.0</v>
      </c>
      <c r="AA492" s="73">
        <v>70.0</v>
      </c>
      <c r="AB492" s="74">
        <v>125.0</v>
      </c>
      <c r="AC492" s="75">
        <v>70.0</v>
      </c>
      <c r="AD492" s="76">
        <v>115.0</v>
      </c>
      <c r="AE492" s="77">
        <v>580.0</v>
      </c>
      <c r="AF492" s="21"/>
      <c r="AG492" s="71">
        <v>75.0</v>
      </c>
      <c r="AH492" s="72">
        <v>125.0</v>
      </c>
      <c r="AI492" s="73">
        <v>70.0</v>
      </c>
      <c r="AJ492" s="74">
        <v>125.0</v>
      </c>
      <c r="AK492" s="75">
        <v>70.0</v>
      </c>
      <c r="AL492" s="76">
        <v>115.0</v>
      </c>
      <c r="AM492" s="77">
        <v>580.0</v>
      </c>
      <c r="AN492" s="21"/>
      <c r="AO492" s="22">
        <v>75.0</v>
      </c>
      <c r="AP492" s="23">
        <v>125.0</v>
      </c>
      <c r="AQ492" s="23">
        <v>70.0</v>
      </c>
      <c r="AR492" s="23">
        <v>125.0</v>
      </c>
      <c r="AS492" s="23">
        <v>70.0</v>
      </c>
      <c r="AT492" s="23">
        <v>115.0</v>
      </c>
      <c r="AU492" s="24">
        <v>580.0</v>
      </c>
      <c r="AV492" s="21"/>
      <c r="AW492" s="78">
        <v>75.0</v>
      </c>
      <c r="AX492" s="79">
        <v>125.0</v>
      </c>
      <c r="AY492" s="79">
        <v>70.0</v>
      </c>
      <c r="AZ492" s="79">
        <v>125.0</v>
      </c>
      <c r="BA492" s="79">
        <v>70.0</v>
      </c>
      <c r="BB492" s="79">
        <v>115.0</v>
      </c>
      <c r="BC492" s="201">
        <v>580.0</v>
      </c>
      <c r="BE492" s="172" t="s">
        <v>216</v>
      </c>
      <c r="BF492" s="113"/>
      <c r="BG492" s="429" t="s">
        <v>4</v>
      </c>
      <c r="BI492" s="31" t="s">
        <v>5</v>
      </c>
      <c r="BJ492" s="32">
        <v>2.0</v>
      </c>
      <c r="BK492" s="32" t="s">
        <v>5</v>
      </c>
      <c r="BL492" s="32">
        <v>1.0</v>
      </c>
      <c r="BM492" s="32" t="s">
        <v>5</v>
      </c>
      <c r="BN492" s="33" t="s">
        <v>5</v>
      </c>
      <c r="BP492" s="85" t="s">
        <v>122</v>
      </c>
      <c r="BQ492" s="129"/>
      <c r="BS492" s="87" t="s">
        <v>122</v>
      </c>
      <c r="BT492" s="130"/>
      <c r="BU492" s="37" t="str">
        <f t="shared" si="1"/>
        <v>#NAME?</v>
      </c>
      <c r="BV492" s="89" t="s">
        <v>122</v>
      </c>
      <c r="BW492" s="37" t="str">
        <f t="shared" si="2"/>
        <v>#NAME?</v>
      </c>
      <c r="BX492" s="89" t="s">
        <v>461</v>
      </c>
      <c r="BY492" s="39"/>
      <c r="BZ492" s="39"/>
      <c r="CA492" s="40" t="s">
        <v>1275</v>
      </c>
      <c r="CB492" s="41"/>
      <c r="CC492" s="37" t="s">
        <v>122</v>
      </c>
      <c r="CD492" s="233" t="s">
        <v>153</v>
      </c>
      <c r="CE492" s="21"/>
      <c r="CF492" s="92" t="s">
        <v>1001</v>
      </c>
      <c r="CG492" s="93"/>
      <c r="CH492" s="21"/>
      <c r="CI492" s="92" t="s">
        <v>1001</v>
      </c>
      <c r="CJ492" s="93"/>
      <c r="CK492" s="21"/>
      <c r="CL492" s="22" t="s">
        <v>1001</v>
      </c>
      <c r="CM492" s="12"/>
      <c r="CN492" s="48"/>
      <c r="CO492" s="95"/>
      <c r="CP492" s="21"/>
      <c r="CQ492" s="2" t="s">
        <v>4269</v>
      </c>
      <c r="CR492" s="97">
        <v>20.0</v>
      </c>
      <c r="CS492" s="2" t="s">
        <v>3544</v>
      </c>
      <c r="CT492" s="98">
        <v>210.0</v>
      </c>
      <c r="CU492" s="2"/>
      <c r="CV492" s="256" t="s">
        <v>890</v>
      </c>
      <c r="CW492" s="256" t="s">
        <v>890</v>
      </c>
      <c r="CX492" s="2"/>
      <c r="CY492" s="444" t="s">
        <v>411</v>
      </c>
      <c r="CZ492" s="450"/>
      <c r="DA492" s="2"/>
      <c r="DB492" s="98">
        <v>3.0</v>
      </c>
      <c r="DC492" s="2"/>
      <c r="DD492" s="101" t="s">
        <v>683</v>
      </c>
      <c r="DE492" s="2"/>
      <c r="DF492" s="445" t="s">
        <v>914</v>
      </c>
      <c r="DG492" s="444"/>
      <c r="DH492" s="450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449"/>
      <c r="EH492" s="428"/>
      <c r="EI492" s="428"/>
    </row>
    <row r="493" ht="15.75" customHeight="1">
      <c r="A493" s="1">
        <v>483.0</v>
      </c>
      <c r="B493" s="2" t="s">
        <v>4318</v>
      </c>
      <c r="C493" s="7"/>
      <c r="D493" s="352" t="s">
        <v>4319</v>
      </c>
      <c r="E493" s="5"/>
      <c r="F493" s="7"/>
      <c r="G493" s="7"/>
      <c r="H493" s="8" t="s">
        <v>4320</v>
      </c>
      <c r="I493" s="9" t="s">
        <v>4321</v>
      </c>
      <c r="J493" s="355" t="str">
        <f>image("https://archives.bulbagarden.net/media/upload/3/37/483MS6.png", 3)</f>
        <v/>
      </c>
      <c r="K493" s="11" t="s">
        <v>4319</v>
      </c>
      <c r="L493" s="12"/>
      <c r="M493" s="12"/>
      <c r="N493" s="12"/>
      <c r="O493" s="12"/>
      <c r="Q493" s="71">
        <v>100.0</v>
      </c>
      <c r="R493" s="72">
        <v>120.0</v>
      </c>
      <c r="S493" s="73">
        <v>120.0</v>
      </c>
      <c r="T493" s="74">
        <v>150.0</v>
      </c>
      <c r="U493" s="75">
        <v>100.0</v>
      </c>
      <c r="V493" s="76">
        <v>90.0</v>
      </c>
      <c r="W493" s="77">
        <v>680.0</v>
      </c>
      <c r="X493" s="21"/>
      <c r="Y493" s="71">
        <v>100.0</v>
      </c>
      <c r="Z493" s="72">
        <v>120.0</v>
      </c>
      <c r="AA493" s="73">
        <v>120.0</v>
      </c>
      <c r="AB493" s="74">
        <v>150.0</v>
      </c>
      <c r="AC493" s="75">
        <v>100.0</v>
      </c>
      <c r="AD493" s="76">
        <v>90.0</v>
      </c>
      <c r="AE493" s="77">
        <v>680.0</v>
      </c>
      <c r="AF493" s="21"/>
      <c r="AG493" s="71">
        <v>100.0</v>
      </c>
      <c r="AH493" s="72">
        <v>120.0</v>
      </c>
      <c r="AI493" s="73">
        <v>120.0</v>
      </c>
      <c r="AJ493" s="74">
        <v>150.0</v>
      </c>
      <c r="AK493" s="75">
        <v>100.0</v>
      </c>
      <c r="AL493" s="76">
        <v>90.0</v>
      </c>
      <c r="AM493" s="77">
        <v>680.0</v>
      </c>
      <c r="AN493" s="21"/>
      <c r="AO493" s="22">
        <v>100.0</v>
      </c>
      <c r="AP493" s="23">
        <v>120.0</v>
      </c>
      <c r="AQ493" s="23">
        <v>120.0</v>
      </c>
      <c r="AR493" s="23">
        <v>150.0</v>
      </c>
      <c r="AS493" s="23">
        <v>100.0</v>
      </c>
      <c r="AT493" s="23">
        <v>90.0</v>
      </c>
      <c r="AU493" s="24">
        <v>680.0</v>
      </c>
      <c r="AV493" s="21"/>
      <c r="AW493" s="78">
        <v>100.0</v>
      </c>
      <c r="AX493" s="79">
        <v>120.0</v>
      </c>
      <c r="AY493" s="79">
        <v>120.0</v>
      </c>
      <c r="AZ493" s="79">
        <v>150.0</v>
      </c>
      <c r="BA493" s="79">
        <v>100.0</v>
      </c>
      <c r="BB493" s="79">
        <v>90.0</v>
      </c>
      <c r="BC493" s="201">
        <v>680.0</v>
      </c>
      <c r="BE493" s="112" t="s">
        <v>85</v>
      </c>
      <c r="BF493" s="138"/>
      <c r="BG493" s="128"/>
      <c r="BI493" s="31" t="s">
        <v>5</v>
      </c>
      <c r="BJ493" s="32" t="s">
        <v>5</v>
      </c>
      <c r="BK493" s="32" t="s">
        <v>5</v>
      </c>
      <c r="BL493" s="32">
        <v>3.0</v>
      </c>
      <c r="BM493" s="32" t="s">
        <v>5</v>
      </c>
      <c r="BN493" s="33" t="s">
        <v>5</v>
      </c>
      <c r="BP493" s="115" t="s">
        <v>95</v>
      </c>
      <c r="BQ493" s="116" t="s">
        <v>61</v>
      </c>
      <c r="BS493" s="115" t="s">
        <v>95</v>
      </c>
      <c r="BT493" s="117" t="s">
        <v>61</v>
      </c>
      <c r="BU493" s="37" t="str">
        <f t="shared" si="1"/>
        <v>#NAME?</v>
      </c>
      <c r="BV493" s="89" t="s">
        <v>95</v>
      </c>
      <c r="BW493" s="37" t="str">
        <f t="shared" si="2"/>
        <v>#NAME?</v>
      </c>
      <c r="BX493" s="89" t="s">
        <v>61</v>
      </c>
      <c r="BY493" s="144"/>
      <c r="BZ493" s="144"/>
      <c r="CA493" s="145" t="s">
        <v>4322</v>
      </c>
      <c r="CB493" s="146"/>
      <c r="CC493" s="90" t="s">
        <v>95</v>
      </c>
      <c r="CD493" s="147" t="s">
        <v>61</v>
      </c>
      <c r="CE493" s="2"/>
      <c r="CF493" s="92" t="s">
        <v>1447</v>
      </c>
      <c r="CG493" s="93"/>
      <c r="CH493" s="2"/>
      <c r="CI493" s="92" t="s">
        <v>1447</v>
      </c>
      <c r="CJ493" s="93"/>
      <c r="CK493" s="2"/>
      <c r="CL493" s="22" t="s">
        <v>1447</v>
      </c>
      <c r="CM493" s="12"/>
      <c r="CN493" s="48"/>
      <c r="CO493" s="95"/>
      <c r="CP493" s="2"/>
      <c r="CQ493" s="2" t="s">
        <v>4323</v>
      </c>
      <c r="CR493" s="97">
        <v>120.0</v>
      </c>
      <c r="CS493" s="2" t="s">
        <v>85</v>
      </c>
      <c r="CT493" s="98">
        <v>220.0</v>
      </c>
      <c r="CU493" s="2"/>
      <c r="CV493" s="256" t="s">
        <v>890</v>
      </c>
      <c r="CW493" s="256" t="s">
        <v>890</v>
      </c>
      <c r="CX493" s="2"/>
      <c r="CY493" s="119" t="s">
        <v>411</v>
      </c>
      <c r="CZ493" s="160"/>
      <c r="DA493" s="2"/>
      <c r="DB493" s="98">
        <v>30.0</v>
      </c>
      <c r="DC493" s="2"/>
      <c r="DD493" s="101" t="s">
        <v>683</v>
      </c>
      <c r="DE493" s="2"/>
      <c r="DF493" s="120" t="s">
        <v>914</v>
      </c>
      <c r="DG493" s="119"/>
      <c r="DH493" s="160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449"/>
      <c r="EH493" s="428"/>
      <c r="EI493" s="428"/>
    </row>
    <row r="494" ht="15.75" customHeight="1">
      <c r="A494" s="1">
        <v>484.0</v>
      </c>
      <c r="B494" s="2" t="s">
        <v>4324</v>
      </c>
      <c r="C494" s="7"/>
      <c r="D494" s="180" t="s">
        <v>4325</v>
      </c>
      <c r="E494" s="5"/>
      <c r="F494" s="181"/>
      <c r="G494" s="7"/>
      <c r="H494" s="8" t="s">
        <v>4326</v>
      </c>
      <c r="I494" s="9" t="s">
        <v>4327</v>
      </c>
      <c r="J494" s="355" t="str">
        <f>image("https://archives.bulbagarden.net/media/upload/2/27/484MS6.png", 3)</f>
        <v/>
      </c>
      <c r="K494" s="11" t="s">
        <v>4325</v>
      </c>
      <c r="L494" s="12"/>
      <c r="M494" s="12"/>
      <c r="N494" s="12"/>
      <c r="O494" s="12"/>
      <c r="Q494" s="71">
        <v>90.0</v>
      </c>
      <c r="R494" s="72">
        <v>120.0</v>
      </c>
      <c r="S494" s="73">
        <v>100.0</v>
      </c>
      <c r="T494" s="74">
        <v>150.0</v>
      </c>
      <c r="U494" s="75">
        <v>120.0</v>
      </c>
      <c r="V494" s="76">
        <v>100.0</v>
      </c>
      <c r="W494" s="77">
        <v>680.0</v>
      </c>
      <c r="X494" s="21"/>
      <c r="Y494" s="71">
        <v>90.0</v>
      </c>
      <c r="Z494" s="72">
        <v>120.0</v>
      </c>
      <c r="AA494" s="73">
        <v>100.0</v>
      </c>
      <c r="AB494" s="74">
        <v>150.0</v>
      </c>
      <c r="AC494" s="75">
        <v>120.0</v>
      </c>
      <c r="AD494" s="76">
        <v>100.0</v>
      </c>
      <c r="AE494" s="77">
        <v>680.0</v>
      </c>
      <c r="AF494" s="21"/>
      <c r="AG494" s="71">
        <v>90.0</v>
      </c>
      <c r="AH494" s="72">
        <v>120.0</v>
      </c>
      <c r="AI494" s="73">
        <v>100.0</v>
      </c>
      <c r="AJ494" s="74">
        <v>150.0</v>
      </c>
      <c r="AK494" s="75">
        <v>120.0</v>
      </c>
      <c r="AL494" s="76">
        <v>100.0</v>
      </c>
      <c r="AM494" s="77">
        <v>680.0</v>
      </c>
      <c r="AN494" s="21"/>
      <c r="AO494" s="22">
        <v>90.0</v>
      </c>
      <c r="AP494" s="23">
        <v>120.0</v>
      </c>
      <c r="AQ494" s="23">
        <v>100.0</v>
      </c>
      <c r="AR494" s="23">
        <v>150.0</v>
      </c>
      <c r="AS494" s="23">
        <v>120.0</v>
      </c>
      <c r="AT494" s="23">
        <v>100.0</v>
      </c>
      <c r="AU494" s="24">
        <v>680.0</v>
      </c>
      <c r="AV494" s="21"/>
      <c r="AW494" s="78">
        <v>90.0</v>
      </c>
      <c r="AX494" s="79">
        <v>120.0</v>
      </c>
      <c r="AY494" s="79">
        <v>100.0</v>
      </c>
      <c r="AZ494" s="79">
        <v>150.0</v>
      </c>
      <c r="BA494" s="79">
        <v>120.0</v>
      </c>
      <c r="BB494" s="79">
        <v>100.0</v>
      </c>
      <c r="BC494" s="201">
        <v>680.0</v>
      </c>
      <c r="BE494" s="112" t="s">
        <v>85</v>
      </c>
      <c r="BF494" s="138"/>
      <c r="BG494" s="128"/>
      <c r="BI494" s="31" t="s">
        <v>5</v>
      </c>
      <c r="BJ494" s="32" t="s">
        <v>5</v>
      </c>
      <c r="BK494" s="32" t="s">
        <v>5</v>
      </c>
      <c r="BL494" s="32">
        <v>3.0</v>
      </c>
      <c r="BM494" s="32" t="s">
        <v>5</v>
      </c>
      <c r="BN494" s="33" t="s">
        <v>5</v>
      </c>
      <c r="BP494" s="85" t="s">
        <v>32</v>
      </c>
      <c r="BQ494" s="86" t="s">
        <v>61</v>
      </c>
      <c r="BS494" s="87" t="s">
        <v>32</v>
      </c>
      <c r="BT494" s="88" t="s">
        <v>61</v>
      </c>
      <c r="BU494" s="37" t="str">
        <f t="shared" si="1"/>
        <v>#NAME?</v>
      </c>
      <c r="BV494" s="89" t="s">
        <v>32</v>
      </c>
      <c r="BW494" s="37" t="str">
        <f t="shared" si="2"/>
        <v>#NAME?</v>
      </c>
      <c r="BX494" s="89" t="s">
        <v>61</v>
      </c>
      <c r="BY494" s="39"/>
      <c r="BZ494" s="39"/>
      <c r="CA494" s="40" t="s">
        <v>2195</v>
      </c>
      <c r="CB494" s="41"/>
      <c r="CC494" s="90" t="s">
        <v>32</v>
      </c>
      <c r="CD494" s="91" t="s">
        <v>61</v>
      </c>
      <c r="CE494" s="2"/>
      <c r="CF494" s="92" t="s">
        <v>1447</v>
      </c>
      <c r="CG494" s="93"/>
      <c r="CH494" s="2"/>
      <c r="CI494" s="92" t="s">
        <v>1447</v>
      </c>
      <c r="CJ494" s="188"/>
      <c r="CK494" s="2"/>
      <c r="CL494" s="22" t="s">
        <v>1447</v>
      </c>
      <c r="CM494" s="12"/>
      <c r="CN494" s="48"/>
      <c r="CO494" s="153"/>
      <c r="CP494" s="2"/>
      <c r="CQ494" s="2" t="s">
        <v>4328</v>
      </c>
      <c r="CR494" s="97">
        <v>120.0</v>
      </c>
      <c r="CS494" s="2" t="s">
        <v>85</v>
      </c>
      <c r="CT494" s="98">
        <v>220.0</v>
      </c>
      <c r="CU494" s="2"/>
      <c r="CV494" s="256" t="s">
        <v>890</v>
      </c>
      <c r="CW494" s="256" t="s">
        <v>890</v>
      </c>
      <c r="CX494" s="2"/>
      <c r="CY494" s="444" t="s">
        <v>411</v>
      </c>
      <c r="CZ494" s="450"/>
      <c r="DA494" s="2"/>
      <c r="DB494" s="98">
        <v>30.0</v>
      </c>
      <c r="DC494" s="2"/>
      <c r="DD494" s="101" t="s">
        <v>683</v>
      </c>
      <c r="DE494" s="2"/>
      <c r="DF494" s="445" t="s">
        <v>914</v>
      </c>
      <c r="DG494" s="444"/>
      <c r="DH494" s="450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449"/>
      <c r="EH494" s="428"/>
      <c r="EI494" s="428"/>
    </row>
    <row r="495" ht="15.75" customHeight="1">
      <c r="A495" s="1">
        <v>485.0</v>
      </c>
      <c r="B495" s="2" t="s">
        <v>4329</v>
      </c>
      <c r="C495" s="7"/>
      <c r="D495" s="167" t="s">
        <v>4330</v>
      </c>
      <c r="E495" s="5"/>
      <c r="F495" s="168"/>
      <c r="G495" s="7"/>
      <c r="H495" s="8" t="s">
        <v>4331</v>
      </c>
      <c r="I495" s="9" t="s">
        <v>4332</v>
      </c>
      <c r="J495" s="355" t="str">
        <f>image("https://archives.bulbagarden.net/media/upload/9/9e/485MS6.png", 3)</f>
        <v/>
      </c>
      <c r="K495" s="11" t="s">
        <v>4330</v>
      </c>
      <c r="L495" s="12"/>
      <c r="M495" s="12"/>
      <c r="N495" s="12"/>
      <c r="O495" s="12"/>
      <c r="Q495" s="71">
        <v>91.0</v>
      </c>
      <c r="R495" s="72">
        <v>90.0</v>
      </c>
      <c r="S495" s="73">
        <v>106.0</v>
      </c>
      <c r="T495" s="74">
        <v>130.0</v>
      </c>
      <c r="U495" s="75">
        <v>106.0</v>
      </c>
      <c r="V495" s="76">
        <v>77.0</v>
      </c>
      <c r="W495" s="77">
        <v>600.0</v>
      </c>
      <c r="X495" s="21"/>
      <c r="Y495" s="71">
        <v>91.0</v>
      </c>
      <c r="Z495" s="72">
        <v>90.0</v>
      </c>
      <c r="AA495" s="73">
        <v>106.0</v>
      </c>
      <c r="AB495" s="74">
        <v>130.0</v>
      </c>
      <c r="AC495" s="75">
        <v>106.0</v>
      </c>
      <c r="AD495" s="76">
        <v>77.0</v>
      </c>
      <c r="AE495" s="77">
        <v>600.0</v>
      </c>
      <c r="AF495" s="21"/>
      <c r="AG495" s="71">
        <v>91.0</v>
      </c>
      <c r="AH495" s="72">
        <v>90.0</v>
      </c>
      <c r="AI495" s="73">
        <v>106.0</v>
      </c>
      <c r="AJ495" s="74">
        <v>130.0</v>
      </c>
      <c r="AK495" s="75">
        <v>106.0</v>
      </c>
      <c r="AL495" s="76">
        <v>77.0</v>
      </c>
      <c r="AM495" s="77">
        <v>600.0</v>
      </c>
      <c r="AN495" s="21"/>
      <c r="AO495" s="22">
        <v>91.0</v>
      </c>
      <c r="AP495" s="23">
        <v>90.0</v>
      </c>
      <c r="AQ495" s="23">
        <v>106.0</v>
      </c>
      <c r="AR495" s="23">
        <v>130.0</v>
      </c>
      <c r="AS495" s="23">
        <v>106.0</v>
      </c>
      <c r="AT495" s="23">
        <v>77.0</v>
      </c>
      <c r="AU495" s="24">
        <v>600.0</v>
      </c>
      <c r="AV495" s="21"/>
      <c r="AW495" s="78">
        <v>91.0</v>
      </c>
      <c r="AX495" s="79">
        <v>90.0</v>
      </c>
      <c r="AY495" s="79">
        <v>106.0</v>
      </c>
      <c r="AZ495" s="79">
        <v>130.0</v>
      </c>
      <c r="BA495" s="79">
        <v>106.0</v>
      </c>
      <c r="BB495" s="79">
        <v>77.0</v>
      </c>
      <c r="BC495" s="201">
        <v>600.0</v>
      </c>
      <c r="BE495" s="112" t="s">
        <v>85</v>
      </c>
      <c r="BF495" s="138"/>
      <c r="BG495" s="128"/>
      <c r="BI495" s="31" t="s">
        <v>5</v>
      </c>
      <c r="BJ495" s="32" t="s">
        <v>5</v>
      </c>
      <c r="BK495" s="32" t="s">
        <v>5</v>
      </c>
      <c r="BL495" s="32">
        <v>3.0</v>
      </c>
      <c r="BM495" s="32" t="s">
        <v>5</v>
      </c>
      <c r="BN495" s="33" t="s">
        <v>5</v>
      </c>
      <c r="BP495" s="115" t="s">
        <v>34</v>
      </c>
      <c r="BQ495" s="116" t="s">
        <v>95</v>
      </c>
      <c r="BS495" s="115" t="s">
        <v>34</v>
      </c>
      <c r="BT495" s="117" t="s">
        <v>95</v>
      </c>
      <c r="BU495" s="37" t="str">
        <f t="shared" si="1"/>
        <v>#NAME?</v>
      </c>
      <c r="BV495" s="89" t="s">
        <v>34</v>
      </c>
      <c r="BW495" s="37" t="str">
        <f t="shared" si="2"/>
        <v>#NAME?</v>
      </c>
      <c r="BX495" s="89" t="s">
        <v>95</v>
      </c>
      <c r="BY495" s="39"/>
      <c r="BZ495" s="39"/>
      <c r="CA495" s="40" t="s">
        <v>4333</v>
      </c>
      <c r="CB495" s="41"/>
      <c r="CC495" s="90" t="s">
        <v>34</v>
      </c>
      <c r="CD495" s="91" t="s">
        <v>95</v>
      </c>
      <c r="CE495" s="2"/>
      <c r="CF495" s="92" t="s">
        <v>486</v>
      </c>
      <c r="CG495" s="93"/>
      <c r="CH495" s="2"/>
      <c r="CI495" s="191" t="s">
        <v>486</v>
      </c>
      <c r="CJ495" s="158" t="s">
        <v>1315</v>
      </c>
      <c r="CK495" s="2"/>
      <c r="CL495" s="22" t="s">
        <v>486</v>
      </c>
      <c r="CM495" s="12"/>
      <c r="CN495" s="48"/>
      <c r="CO495" s="159" t="s">
        <v>1315</v>
      </c>
      <c r="CP495" s="2"/>
      <c r="CQ495" s="2" t="s">
        <v>4334</v>
      </c>
      <c r="CR495" s="97">
        <v>120.0</v>
      </c>
      <c r="CS495" s="2" t="s">
        <v>85</v>
      </c>
      <c r="CT495" s="98">
        <v>215.0</v>
      </c>
      <c r="CU495" s="2"/>
      <c r="CV495" s="256" t="s">
        <v>890</v>
      </c>
      <c r="CW495" s="256" t="s">
        <v>890</v>
      </c>
      <c r="CX495" s="2"/>
      <c r="CY495" s="119" t="s">
        <v>411</v>
      </c>
      <c r="CZ495" s="160"/>
      <c r="DA495" s="2"/>
      <c r="DB495" s="98">
        <v>3.0</v>
      </c>
      <c r="DC495" s="2"/>
      <c r="DD495" s="101" t="s">
        <v>683</v>
      </c>
      <c r="DE495" s="2"/>
      <c r="DF495" s="120" t="s">
        <v>914</v>
      </c>
      <c r="DG495" s="119"/>
      <c r="DH495" s="160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449"/>
      <c r="EH495" s="428"/>
      <c r="EI495" s="428"/>
    </row>
    <row r="496" ht="15.75" customHeight="1">
      <c r="A496" s="1">
        <v>486.0</v>
      </c>
      <c r="B496" s="2" t="s">
        <v>4335</v>
      </c>
      <c r="C496" s="7"/>
      <c r="D496" s="352" t="s">
        <v>4336</v>
      </c>
      <c r="E496" s="5"/>
      <c r="F496" s="7"/>
      <c r="G496" s="7"/>
      <c r="H496" s="8" t="s">
        <v>4337</v>
      </c>
      <c r="I496" s="9" t="s">
        <v>4338</v>
      </c>
      <c r="J496" s="355" t="str">
        <f>image("https://archives.bulbagarden.net/media/upload/3/3d/486MS6.png", 3)</f>
        <v/>
      </c>
      <c r="K496" s="11" t="s">
        <v>4336</v>
      </c>
      <c r="L496" s="12"/>
      <c r="M496" s="12"/>
      <c r="N496" s="12"/>
      <c r="O496" s="12"/>
      <c r="Q496" s="71">
        <v>110.0</v>
      </c>
      <c r="R496" s="72">
        <v>160.0</v>
      </c>
      <c r="S496" s="73">
        <v>110.0</v>
      </c>
      <c r="T496" s="74">
        <v>80.0</v>
      </c>
      <c r="U496" s="75">
        <v>110.0</v>
      </c>
      <c r="V496" s="76">
        <v>100.0</v>
      </c>
      <c r="W496" s="77">
        <v>670.0</v>
      </c>
      <c r="X496" s="21"/>
      <c r="Y496" s="71">
        <v>110.0</v>
      </c>
      <c r="Z496" s="72">
        <v>160.0</v>
      </c>
      <c r="AA496" s="73">
        <v>110.0</v>
      </c>
      <c r="AB496" s="74">
        <v>80.0</v>
      </c>
      <c r="AC496" s="75">
        <v>110.0</v>
      </c>
      <c r="AD496" s="76">
        <v>100.0</v>
      </c>
      <c r="AE496" s="77">
        <v>670.0</v>
      </c>
      <c r="AF496" s="21"/>
      <c r="AG496" s="71">
        <v>110.0</v>
      </c>
      <c r="AH496" s="72">
        <v>160.0</v>
      </c>
      <c r="AI496" s="73">
        <v>110.0</v>
      </c>
      <c r="AJ496" s="74">
        <v>80.0</v>
      </c>
      <c r="AK496" s="75">
        <v>110.0</v>
      </c>
      <c r="AL496" s="76">
        <v>100.0</v>
      </c>
      <c r="AM496" s="77">
        <v>670.0</v>
      </c>
      <c r="AN496" s="21"/>
      <c r="AO496" s="22">
        <v>110.0</v>
      </c>
      <c r="AP496" s="23">
        <v>160.0</v>
      </c>
      <c r="AQ496" s="23">
        <v>110.0</v>
      </c>
      <c r="AR496" s="23">
        <v>80.0</v>
      </c>
      <c r="AS496" s="23">
        <v>110.0</v>
      </c>
      <c r="AT496" s="23">
        <v>100.0</v>
      </c>
      <c r="AU496" s="24">
        <v>670.0</v>
      </c>
      <c r="AV496" s="21"/>
      <c r="AW496" s="78">
        <v>110.0</v>
      </c>
      <c r="AX496" s="79">
        <v>160.0</v>
      </c>
      <c r="AY496" s="79">
        <v>110.0</v>
      </c>
      <c r="AZ496" s="79">
        <v>80.0</v>
      </c>
      <c r="BA496" s="79">
        <v>110.0</v>
      </c>
      <c r="BB496" s="79">
        <v>100.0</v>
      </c>
      <c r="BC496" s="201">
        <v>670.0</v>
      </c>
      <c r="BE496" s="172" t="s">
        <v>451</v>
      </c>
      <c r="BF496" s="138"/>
      <c r="BG496" s="128"/>
      <c r="BI496" s="31" t="s">
        <v>5</v>
      </c>
      <c r="BJ496" s="32">
        <v>3.0</v>
      </c>
      <c r="BK496" s="32" t="s">
        <v>5</v>
      </c>
      <c r="BL496" s="32" t="s">
        <v>5</v>
      </c>
      <c r="BM496" s="32" t="s">
        <v>5</v>
      </c>
      <c r="BN496" s="33" t="s">
        <v>5</v>
      </c>
      <c r="BP496" s="85" t="s">
        <v>156</v>
      </c>
      <c r="BQ496" s="129"/>
      <c r="BS496" s="87" t="s">
        <v>156</v>
      </c>
      <c r="BT496" s="130"/>
      <c r="BU496" s="37" t="str">
        <f t="shared" si="1"/>
        <v>#NAME?</v>
      </c>
      <c r="BV496" s="89" t="s">
        <v>156</v>
      </c>
      <c r="BW496" s="37" t="str">
        <f t="shared" si="2"/>
        <v>#NAME?</v>
      </c>
      <c r="BX496" s="89"/>
      <c r="BY496" s="39"/>
      <c r="BZ496" s="39"/>
      <c r="CA496" s="40" t="s">
        <v>156</v>
      </c>
      <c r="CB496" s="41"/>
      <c r="CC496" s="90" t="s">
        <v>156</v>
      </c>
      <c r="CD496" s="91"/>
      <c r="CE496" s="21"/>
      <c r="CF496" s="92" t="s">
        <v>4339</v>
      </c>
      <c r="CG496" s="93"/>
      <c r="CH496" s="21"/>
      <c r="CI496" s="92" t="s">
        <v>4339</v>
      </c>
      <c r="CJ496" s="195"/>
      <c r="CK496" s="21"/>
      <c r="CL496" s="22" t="s">
        <v>4339</v>
      </c>
      <c r="CM496" s="12"/>
      <c r="CN496" s="48"/>
      <c r="CO496" s="165"/>
      <c r="CP496" s="21"/>
      <c r="CQ496" s="2" t="s">
        <v>4340</v>
      </c>
      <c r="CR496" s="97">
        <v>120.0</v>
      </c>
      <c r="CS496" s="2" t="s">
        <v>451</v>
      </c>
      <c r="CT496" s="98">
        <v>220.0</v>
      </c>
      <c r="CU496" s="2"/>
      <c r="CV496" s="256" t="s">
        <v>890</v>
      </c>
      <c r="CW496" s="256" t="s">
        <v>890</v>
      </c>
      <c r="CX496" s="2"/>
      <c r="CY496" s="444" t="s">
        <v>411</v>
      </c>
      <c r="CZ496" s="450"/>
      <c r="DA496" s="2"/>
      <c r="DB496" s="98">
        <v>3.0</v>
      </c>
      <c r="DC496" s="2"/>
      <c r="DD496" s="101" t="s">
        <v>683</v>
      </c>
      <c r="DE496" s="2"/>
      <c r="DF496" s="445" t="s">
        <v>914</v>
      </c>
      <c r="DG496" s="478"/>
      <c r="DH496" s="450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449"/>
      <c r="EH496" s="428"/>
      <c r="EI496" s="428"/>
    </row>
    <row r="497" ht="15.75" customHeight="1">
      <c r="A497" s="1">
        <v>487.0</v>
      </c>
      <c r="B497" s="2" t="s">
        <v>4341</v>
      </c>
      <c r="C497" s="7"/>
      <c r="D497" s="295" t="s">
        <v>4342</v>
      </c>
      <c r="E497" s="5"/>
      <c r="F497" s="296"/>
      <c r="G497" s="7"/>
      <c r="H497" s="8" t="s">
        <v>4343</v>
      </c>
      <c r="I497" s="9" t="s">
        <v>4344</v>
      </c>
      <c r="J497" s="355" t="str">
        <f>image("https://archives.bulbagarden.net/media/upload/1/18/487MS6.png", 3)</f>
        <v/>
      </c>
      <c r="K497" s="11" t="s">
        <v>4342</v>
      </c>
      <c r="L497" s="12"/>
      <c r="M497" s="12"/>
      <c r="N497" s="12"/>
      <c r="O497" s="12"/>
      <c r="Q497" s="71">
        <v>150.0</v>
      </c>
      <c r="R497" s="72">
        <v>100.0</v>
      </c>
      <c r="S497" s="73">
        <v>120.0</v>
      </c>
      <c r="T497" s="74">
        <v>100.0</v>
      </c>
      <c r="U497" s="75">
        <v>120.0</v>
      </c>
      <c r="V497" s="76">
        <v>90.0</v>
      </c>
      <c r="W497" s="77">
        <v>680.0</v>
      </c>
      <c r="X497" s="21"/>
      <c r="Y497" s="71">
        <v>150.0</v>
      </c>
      <c r="Z497" s="72">
        <v>100.0</v>
      </c>
      <c r="AA497" s="73">
        <v>120.0</v>
      </c>
      <c r="AB497" s="74">
        <v>100.0</v>
      </c>
      <c r="AC497" s="75">
        <v>120.0</v>
      </c>
      <c r="AD497" s="76">
        <v>90.0</v>
      </c>
      <c r="AE497" s="77">
        <v>680.0</v>
      </c>
      <c r="AF497" s="21"/>
      <c r="AG497" s="71">
        <v>150.0</v>
      </c>
      <c r="AH497" s="72">
        <v>100.0</v>
      </c>
      <c r="AI497" s="73">
        <v>120.0</v>
      </c>
      <c r="AJ497" s="74">
        <v>100.0</v>
      </c>
      <c r="AK497" s="75">
        <v>120.0</v>
      </c>
      <c r="AL497" s="76">
        <v>90.0</v>
      </c>
      <c r="AM497" s="77">
        <v>680.0</v>
      </c>
      <c r="AN497" s="21"/>
      <c r="AO497" s="22">
        <v>150.0</v>
      </c>
      <c r="AP497" s="23">
        <v>100.0</v>
      </c>
      <c r="AQ497" s="23">
        <v>120.0</v>
      </c>
      <c r="AR497" s="23">
        <v>100.0</v>
      </c>
      <c r="AS497" s="23">
        <v>120.0</v>
      </c>
      <c r="AT497" s="23">
        <v>90.0</v>
      </c>
      <c r="AU497" s="24">
        <v>680.0</v>
      </c>
      <c r="AV497" s="21"/>
      <c r="AW497" s="78">
        <v>150.0</v>
      </c>
      <c r="AX497" s="79">
        <v>100.0</v>
      </c>
      <c r="AY497" s="79">
        <v>120.0</v>
      </c>
      <c r="AZ497" s="79">
        <v>100.0</v>
      </c>
      <c r="BA497" s="79">
        <v>120.0</v>
      </c>
      <c r="BB497" s="79">
        <v>90.0</v>
      </c>
      <c r="BC497" s="201">
        <v>680.0</v>
      </c>
      <c r="BE497" s="203" t="s">
        <v>422</v>
      </c>
      <c r="BF497" s="138"/>
      <c r="BG497" s="128"/>
      <c r="BI497" s="31">
        <v>3.0</v>
      </c>
      <c r="BJ497" s="32" t="s">
        <v>5</v>
      </c>
      <c r="BK497" s="32" t="s">
        <v>5</v>
      </c>
      <c r="BL497" s="32" t="s">
        <v>5</v>
      </c>
      <c r="BM497" s="32" t="s">
        <v>5</v>
      </c>
      <c r="BN497" s="33" t="s">
        <v>5</v>
      </c>
      <c r="BP497" s="115" t="s">
        <v>92</v>
      </c>
      <c r="BQ497" s="116" t="s">
        <v>61</v>
      </c>
      <c r="BS497" s="115" t="s">
        <v>92</v>
      </c>
      <c r="BT497" s="117" t="s">
        <v>61</v>
      </c>
      <c r="BU497" s="37" t="str">
        <f t="shared" si="1"/>
        <v>#NAME?</v>
      </c>
      <c r="BV497" s="89" t="s">
        <v>92</v>
      </c>
      <c r="BW497" s="37" t="str">
        <f t="shared" si="2"/>
        <v>#NAME?</v>
      </c>
      <c r="BX497" s="89" t="s">
        <v>61</v>
      </c>
      <c r="BY497" s="39"/>
      <c r="BZ497" s="39"/>
      <c r="CA497" s="40" t="s">
        <v>4345</v>
      </c>
      <c r="CB497" s="41"/>
      <c r="CC497" s="90" t="s">
        <v>92</v>
      </c>
      <c r="CD497" s="91" t="s">
        <v>61</v>
      </c>
      <c r="CE497" s="2"/>
      <c r="CF497" s="92" t="s">
        <v>1447</v>
      </c>
      <c r="CG497" s="93"/>
      <c r="CH497" s="2"/>
      <c r="CI497" s="92" t="s">
        <v>1447</v>
      </c>
      <c r="CJ497" s="93"/>
      <c r="CK497" s="2"/>
      <c r="CL497" s="22" t="s">
        <v>1447</v>
      </c>
      <c r="CM497" s="12"/>
      <c r="CN497" s="48"/>
      <c r="CO497" s="95"/>
      <c r="CP497" s="2"/>
      <c r="CQ497" s="2" t="s">
        <v>4346</v>
      </c>
      <c r="CR497" s="97">
        <v>120.0</v>
      </c>
      <c r="CS497" s="2" t="s">
        <v>422</v>
      </c>
      <c r="CT497" s="98">
        <v>220.0</v>
      </c>
      <c r="CU497" s="2"/>
      <c r="CV497" s="256" t="s">
        <v>890</v>
      </c>
      <c r="CW497" s="256" t="s">
        <v>890</v>
      </c>
      <c r="CX497" s="2"/>
      <c r="CY497" s="119" t="s">
        <v>411</v>
      </c>
      <c r="CZ497" s="160"/>
      <c r="DA497" s="2"/>
      <c r="DB497" s="98">
        <v>3.0</v>
      </c>
      <c r="DC497" s="2"/>
      <c r="DD497" s="101" t="s">
        <v>683</v>
      </c>
      <c r="DE497" s="2"/>
      <c r="DF497" s="120" t="s">
        <v>914</v>
      </c>
      <c r="DG497" s="479" t="s">
        <v>4347</v>
      </c>
      <c r="DH497" s="160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449"/>
      <c r="EH497" s="428"/>
      <c r="EI497" s="428"/>
    </row>
    <row r="498" ht="15.75" customHeight="1">
      <c r="A498" s="2" t="s">
        <v>4348</v>
      </c>
      <c r="B498" s="2" t="s">
        <v>4349</v>
      </c>
      <c r="C498" s="7"/>
      <c r="D498" s="295" t="s">
        <v>4350</v>
      </c>
      <c r="E498" s="5"/>
      <c r="F498" s="296"/>
      <c r="G498" s="7"/>
      <c r="H498" s="8" t="s">
        <v>4351</v>
      </c>
      <c r="I498" s="9" t="s">
        <v>4352</v>
      </c>
      <c r="J498" s="355" t="str">
        <f>image("https://archives.bulbagarden.net/media/upload/a/ab/487OMS6.png", 3)</f>
        <v/>
      </c>
      <c r="K498" s="11" t="s">
        <v>4353</v>
      </c>
      <c r="L498" s="12"/>
      <c r="M498" s="12"/>
      <c r="N498" s="12"/>
      <c r="O498" s="12"/>
      <c r="Q498" s="71">
        <v>150.0</v>
      </c>
      <c r="R498" s="72">
        <v>120.0</v>
      </c>
      <c r="S498" s="73">
        <v>100.0</v>
      </c>
      <c r="T498" s="74">
        <v>120.0</v>
      </c>
      <c r="U498" s="75">
        <v>100.0</v>
      </c>
      <c r="V498" s="76">
        <v>90.0</v>
      </c>
      <c r="W498" s="77">
        <v>680.0</v>
      </c>
      <c r="X498" s="21"/>
      <c r="Y498" s="71">
        <v>150.0</v>
      </c>
      <c r="Z498" s="72">
        <v>120.0</v>
      </c>
      <c r="AA498" s="73">
        <v>100.0</v>
      </c>
      <c r="AB498" s="74">
        <v>120.0</v>
      </c>
      <c r="AC498" s="75">
        <v>100.0</v>
      </c>
      <c r="AD498" s="76">
        <v>90.0</v>
      </c>
      <c r="AE498" s="77">
        <v>680.0</v>
      </c>
      <c r="AF498" s="21"/>
      <c r="AG498" s="71">
        <v>150.0</v>
      </c>
      <c r="AH498" s="72">
        <v>120.0</v>
      </c>
      <c r="AI498" s="73">
        <v>100.0</v>
      </c>
      <c r="AJ498" s="74">
        <v>120.0</v>
      </c>
      <c r="AK498" s="75">
        <v>100.0</v>
      </c>
      <c r="AL498" s="76">
        <v>90.0</v>
      </c>
      <c r="AM498" s="77">
        <v>680.0</v>
      </c>
      <c r="AN498" s="21"/>
      <c r="AO498" s="22">
        <v>150.0</v>
      </c>
      <c r="AP498" s="23">
        <v>120.0</v>
      </c>
      <c r="AQ498" s="23">
        <v>100.0</v>
      </c>
      <c r="AR498" s="23">
        <v>120.0</v>
      </c>
      <c r="AS498" s="23">
        <v>100.0</v>
      </c>
      <c r="AT498" s="23">
        <v>90.0</v>
      </c>
      <c r="AU498" s="24">
        <v>680.0</v>
      </c>
      <c r="AV498" s="21"/>
      <c r="AW498" s="78">
        <v>150.0</v>
      </c>
      <c r="AX498" s="79">
        <v>120.0</v>
      </c>
      <c r="AY498" s="79">
        <v>100.0</v>
      </c>
      <c r="AZ498" s="79">
        <v>120.0</v>
      </c>
      <c r="BA498" s="79">
        <v>100.0</v>
      </c>
      <c r="BB498" s="79">
        <v>90.0</v>
      </c>
      <c r="BC498" s="201">
        <v>680.0</v>
      </c>
      <c r="BE498" s="203" t="s">
        <v>422</v>
      </c>
      <c r="BF498" s="138"/>
      <c r="BG498" s="128"/>
      <c r="BI498" s="31">
        <v>3.0</v>
      </c>
      <c r="BJ498" s="32" t="s">
        <v>5</v>
      </c>
      <c r="BK498" s="32" t="s">
        <v>5</v>
      </c>
      <c r="BL498" s="32" t="s">
        <v>5</v>
      </c>
      <c r="BM498" s="32" t="s">
        <v>5</v>
      </c>
      <c r="BN498" s="33" t="s">
        <v>5</v>
      </c>
      <c r="BP498" s="85" t="s">
        <v>92</v>
      </c>
      <c r="BQ498" s="86" t="s">
        <v>61</v>
      </c>
      <c r="BS498" s="87" t="s">
        <v>92</v>
      </c>
      <c r="BT498" s="88" t="s">
        <v>61</v>
      </c>
      <c r="BU498" s="37" t="str">
        <f t="shared" si="1"/>
        <v>#NAME?</v>
      </c>
      <c r="BV498" s="89" t="s">
        <v>92</v>
      </c>
      <c r="BW498" s="37" t="str">
        <f t="shared" si="2"/>
        <v>#NAME?</v>
      </c>
      <c r="BX498" s="89" t="s">
        <v>61</v>
      </c>
      <c r="BY498" s="39"/>
      <c r="BZ498" s="39"/>
      <c r="CA498" s="40" t="s">
        <v>4345</v>
      </c>
      <c r="CB498" s="41"/>
      <c r="CC498" s="90" t="s">
        <v>92</v>
      </c>
      <c r="CD498" s="91" t="s">
        <v>61</v>
      </c>
      <c r="CE498" s="2"/>
      <c r="CF498" s="92" t="s">
        <v>1001</v>
      </c>
      <c r="CG498" s="93"/>
      <c r="CH498" s="2"/>
      <c r="CI498" s="92" t="s">
        <v>1001</v>
      </c>
      <c r="CJ498" s="93"/>
      <c r="CK498" s="2"/>
      <c r="CL498" s="22" t="s">
        <v>1001</v>
      </c>
      <c r="CM498" s="12"/>
      <c r="CN498" s="48"/>
      <c r="CO498" s="95"/>
      <c r="CP498" s="2"/>
      <c r="CQ498" s="2" t="s">
        <v>4354</v>
      </c>
      <c r="CR498" s="97">
        <v>120.0</v>
      </c>
      <c r="CS498" s="2" t="s">
        <v>422</v>
      </c>
      <c r="CT498" s="98">
        <v>220.0</v>
      </c>
      <c r="CU498" s="2"/>
      <c r="CV498" s="52" t="s">
        <v>890</v>
      </c>
      <c r="CW498" s="52" t="s">
        <v>890</v>
      </c>
      <c r="CX498" s="2"/>
      <c r="CY498" s="444" t="s">
        <v>411</v>
      </c>
      <c r="CZ498" s="450"/>
      <c r="DA498" s="2"/>
      <c r="DB498" s="98">
        <v>3.0</v>
      </c>
      <c r="DC498" s="2"/>
      <c r="DD498" s="101" t="s">
        <v>683</v>
      </c>
      <c r="DE498" s="2"/>
      <c r="DF498" s="445" t="s">
        <v>914</v>
      </c>
      <c r="DG498" s="480" t="s">
        <v>4347</v>
      </c>
      <c r="DH498" s="450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449"/>
      <c r="EH498" s="428"/>
      <c r="EI498" s="428"/>
    </row>
    <row r="499" ht="15.75" customHeight="1">
      <c r="A499" s="1">
        <v>488.0</v>
      </c>
      <c r="B499" s="2" t="s">
        <v>4355</v>
      </c>
      <c r="C499" s="7"/>
      <c r="D499" s="169" t="s">
        <v>4356</v>
      </c>
      <c r="E499" s="5"/>
      <c r="F499" s="170"/>
      <c r="G499" s="7"/>
      <c r="H499" s="8" t="s">
        <v>4357</v>
      </c>
      <c r="I499" s="9" t="s">
        <v>4358</v>
      </c>
      <c r="J499" s="355" t="str">
        <f>image("https://archives.bulbagarden.net/media/upload/c/c3/488MS6.png", 3)</f>
        <v/>
      </c>
      <c r="K499" s="11" t="s">
        <v>4356</v>
      </c>
      <c r="L499" s="12"/>
      <c r="M499" s="12"/>
      <c r="N499" s="12"/>
      <c r="O499" s="12"/>
      <c r="Q499" s="71">
        <v>120.0</v>
      </c>
      <c r="R499" s="72">
        <v>70.0</v>
      </c>
      <c r="S499" s="73">
        <v>120.0</v>
      </c>
      <c r="T499" s="74">
        <v>75.0</v>
      </c>
      <c r="U499" s="75">
        <v>130.0</v>
      </c>
      <c r="V499" s="76">
        <v>85.0</v>
      </c>
      <c r="W499" s="77">
        <v>600.0</v>
      </c>
      <c r="X499" s="21"/>
      <c r="Y499" s="71">
        <v>120.0</v>
      </c>
      <c r="Z499" s="72">
        <v>70.0</v>
      </c>
      <c r="AA499" s="73">
        <v>120.0</v>
      </c>
      <c r="AB499" s="74">
        <v>75.0</v>
      </c>
      <c r="AC499" s="75">
        <v>130.0</v>
      </c>
      <c r="AD499" s="76">
        <v>85.0</v>
      </c>
      <c r="AE499" s="77">
        <v>600.0</v>
      </c>
      <c r="AF499" s="21"/>
      <c r="AG499" s="71">
        <v>120.0</v>
      </c>
      <c r="AH499" s="72">
        <v>70.0</v>
      </c>
      <c r="AI499" s="73">
        <v>120.0</v>
      </c>
      <c r="AJ499" s="74">
        <v>75.0</v>
      </c>
      <c r="AK499" s="75">
        <v>130.0</v>
      </c>
      <c r="AL499" s="76">
        <v>85.0</v>
      </c>
      <c r="AM499" s="77">
        <v>600.0</v>
      </c>
      <c r="AN499" s="21"/>
      <c r="AO499" s="22">
        <v>120.0</v>
      </c>
      <c r="AP499" s="23">
        <v>70.0</v>
      </c>
      <c r="AQ499" s="23">
        <v>120.0</v>
      </c>
      <c r="AR499" s="23">
        <v>75.0</v>
      </c>
      <c r="AS499" s="23">
        <v>130.0</v>
      </c>
      <c r="AT499" s="23">
        <v>85.0</v>
      </c>
      <c r="AU499" s="24">
        <v>600.0</v>
      </c>
      <c r="AV499" s="21"/>
      <c r="AW499" s="78">
        <v>120.0</v>
      </c>
      <c r="AX499" s="79">
        <v>70.0</v>
      </c>
      <c r="AY499" s="79">
        <v>120.0</v>
      </c>
      <c r="AZ499" s="79">
        <v>75.0</v>
      </c>
      <c r="BA499" s="79">
        <v>130.0</v>
      </c>
      <c r="BB499" s="79">
        <v>85.0</v>
      </c>
      <c r="BC499" s="201">
        <v>600.0</v>
      </c>
      <c r="BE499" s="150" t="s">
        <v>129</v>
      </c>
      <c r="BF499" s="138"/>
      <c r="BG499" s="128"/>
      <c r="BI499" s="31" t="s">
        <v>5</v>
      </c>
      <c r="BJ499" s="32" t="s">
        <v>5</v>
      </c>
      <c r="BK499" s="32" t="s">
        <v>5</v>
      </c>
      <c r="BL499" s="32" t="s">
        <v>5</v>
      </c>
      <c r="BM499" s="32">
        <v>3.0</v>
      </c>
      <c r="BN499" s="33" t="s">
        <v>5</v>
      </c>
      <c r="BP499" s="115" t="s">
        <v>122</v>
      </c>
      <c r="BQ499" s="93"/>
      <c r="BS499" s="115" t="s">
        <v>122</v>
      </c>
      <c r="BT499" s="133"/>
      <c r="BU499" s="37" t="str">
        <f t="shared" si="1"/>
        <v>#NAME?</v>
      </c>
      <c r="BV499" s="89" t="s">
        <v>122</v>
      </c>
      <c r="BW499" s="37" t="str">
        <f t="shared" si="2"/>
        <v>#NAME?</v>
      </c>
      <c r="BX499" s="89"/>
      <c r="BY499" s="39"/>
      <c r="BZ499" s="39"/>
      <c r="CA499" s="40" t="s">
        <v>122</v>
      </c>
      <c r="CB499" s="41"/>
      <c r="CC499" s="90" t="s">
        <v>122</v>
      </c>
      <c r="CD499" s="91"/>
      <c r="CE499" s="21"/>
      <c r="CF499" s="92" t="s">
        <v>1001</v>
      </c>
      <c r="CG499" s="93"/>
      <c r="CH499" s="21"/>
      <c r="CI499" s="92" t="s">
        <v>1001</v>
      </c>
      <c r="CJ499" s="93"/>
      <c r="CK499" s="21"/>
      <c r="CL499" s="22" t="s">
        <v>1001</v>
      </c>
      <c r="CM499" s="12"/>
      <c r="CN499" s="48"/>
      <c r="CO499" s="95"/>
      <c r="CP499" s="21"/>
      <c r="CQ499" s="2" t="s">
        <v>4359</v>
      </c>
      <c r="CR499" s="97">
        <v>80.0</v>
      </c>
      <c r="CS499" s="2" t="s">
        <v>129</v>
      </c>
      <c r="CT499" s="98">
        <v>210.0</v>
      </c>
      <c r="CU499" s="2"/>
      <c r="CV499" s="202">
        <v>0.0</v>
      </c>
      <c r="CW499" s="52" t="s">
        <v>397</v>
      </c>
      <c r="CX499" s="2"/>
      <c r="CY499" s="119" t="s">
        <v>411</v>
      </c>
      <c r="CZ499" s="160"/>
      <c r="DA499" s="2"/>
      <c r="DB499" s="98">
        <v>3.0</v>
      </c>
      <c r="DC499" s="2"/>
      <c r="DD499" s="101" t="s">
        <v>683</v>
      </c>
      <c r="DE499" s="2"/>
      <c r="DF499" s="120" t="s">
        <v>914</v>
      </c>
      <c r="DG499" s="433"/>
      <c r="DH499" s="160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449"/>
      <c r="EH499" s="428"/>
      <c r="EI499" s="428"/>
    </row>
    <row r="500" ht="15.75" customHeight="1">
      <c r="A500" s="1">
        <v>489.0</v>
      </c>
      <c r="B500" s="2" t="s">
        <v>4360</v>
      </c>
      <c r="C500" s="7"/>
      <c r="D500" s="140" t="s">
        <v>4361</v>
      </c>
      <c r="E500" s="5"/>
      <c r="F500" s="141"/>
      <c r="G500" s="7"/>
      <c r="H500" s="8" t="s">
        <v>4362</v>
      </c>
      <c r="I500" s="9" t="s">
        <v>4363</v>
      </c>
      <c r="J500" s="355" t="str">
        <f>image("https://archives.bulbagarden.net/media/upload/6/6e/489MS6.png", 3)</f>
        <v/>
      </c>
      <c r="K500" s="11" t="s">
        <v>4361</v>
      </c>
      <c r="L500" s="12"/>
      <c r="M500" s="12"/>
      <c r="N500" s="12"/>
      <c r="O500" s="12"/>
      <c r="Q500" s="71">
        <v>80.0</v>
      </c>
      <c r="R500" s="72">
        <v>80.0</v>
      </c>
      <c r="S500" s="73">
        <v>80.0</v>
      </c>
      <c r="T500" s="74">
        <v>80.0</v>
      </c>
      <c r="U500" s="75">
        <v>80.0</v>
      </c>
      <c r="V500" s="76">
        <v>80.0</v>
      </c>
      <c r="W500" s="77">
        <v>480.0</v>
      </c>
      <c r="X500" s="21"/>
      <c r="Y500" s="71">
        <v>80.0</v>
      </c>
      <c r="Z500" s="72">
        <v>80.0</v>
      </c>
      <c r="AA500" s="73">
        <v>80.0</v>
      </c>
      <c r="AB500" s="74">
        <v>80.0</v>
      </c>
      <c r="AC500" s="75">
        <v>80.0</v>
      </c>
      <c r="AD500" s="76">
        <v>80.0</v>
      </c>
      <c r="AE500" s="77">
        <v>480.0</v>
      </c>
      <c r="AF500" s="21"/>
      <c r="AG500" s="71">
        <v>80.0</v>
      </c>
      <c r="AH500" s="72">
        <v>80.0</v>
      </c>
      <c r="AI500" s="73">
        <v>80.0</v>
      </c>
      <c r="AJ500" s="74">
        <v>80.0</v>
      </c>
      <c r="AK500" s="75">
        <v>80.0</v>
      </c>
      <c r="AL500" s="76">
        <v>80.0</v>
      </c>
      <c r="AM500" s="77">
        <v>480.0</v>
      </c>
      <c r="AN500" s="21"/>
      <c r="AO500" s="22">
        <v>80.0</v>
      </c>
      <c r="AP500" s="23">
        <v>80.0</v>
      </c>
      <c r="AQ500" s="23">
        <v>80.0</v>
      </c>
      <c r="AR500" s="23">
        <v>80.0</v>
      </c>
      <c r="AS500" s="23">
        <v>80.0</v>
      </c>
      <c r="AT500" s="23">
        <v>80.0</v>
      </c>
      <c r="AU500" s="24">
        <v>480.0</v>
      </c>
      <c r="AV500" s="21"/>
      <c r="AW500" s="78">
        <v>80.0</v>
      </c>
      <c r="AX500" s="79">
        <v>80.0</v>
      </c>
      <c r="AY500" s="79">
        <v>80.0</v>
      </c>
      <c r="AZ500" s="79">
        <v>80.0</v>
      </c>
      <c r="BA500" s="79">
        <v>80.0</v>
      </c>
      <c r="BB500" s="79">
        <v>80.0</v>
      </c>
      <c r="BC500" s="201">
        <v>480.0</v>
      </c>
      <c r="BE500" s="151" t="s">
        <v>144</v>
      </c>
      <c r="BF500" s="447"/>
      <c r="BG500" s="128"/>
      <c r="BI500" s="31">
        <v>1.0</v>
      </c>
      <c r="BJ500" s="32" t="s">
        <v>5</v>
      </c>
      <c r="BK500" s="32" t="s">
        <v>5</v>
      </c>
      <c r="BL500" s="32" t="s">
        <v>5</v>
      </c>
      <c r="BM500" s="32" t="s">
        <v>5</v>
      </c>
      <c r="BN500" s="33" t="s">
        <v>5</v>
      </c>
      <c r="BP500" s="85" t="s">
        <v>32</v>
      </c>
      <c r="BQ500" s="129"/>
      <c r="BS500" s="87" t="s">
        <v>32</v>
      </c>
      <c r="BT500" s="130"/>
      <c r="BU500" s="37" t="str">
        <f t="shared" si="1"/>
        <v>#NAME?</v>
      </c>
      <c r="BV500" s="89" t="s">
        <v>32</v>
      </c>
      <c r="BW500" s="37" t="str">
        <f t="shared" si="2"/>
        <v>#NAME?</v>
      </c>
      <c r="BX500" s="89"/>
      <c r="BY500" s="39"/>
      <c r="BZ500" s="39"/>
      <c r="CA500" s="40" t="s">
        <v>32</v>
      </c>
      <c r="CB500" s="41"/>
      <c r="CC500" s="90" t="s">
        <v>32</v>
      </c>
      <c r="CD500" s="91"/>
      <c r="CE500" s="21"/>
      <c r="CF500" s="92" t="s">
        <v>945</v>
      </c>
      <c r="CG500" s="93"/>
      <c r="CH500" s="21"/>
      <c r="CI500" s="92" t="s">
        <v>945</v>
      </c>
      <c r="CJ500" s="93"/>
      <c r="CK500" s="21"/>
      <c r="CL500" s="22" t="s">
        <v>945</v>
      </c>
      <c r="CM500" s="12"/>
      <c r="CN500" s="48"/>
      <c r="CO500" s="95"/>
      <c r="CP500" s="21"/>
      <c r="CQ500" s="2" t="s">
        <v>4364</v>
      </c>
      <c r="CR500" s="97">
        <v>20.0</v>
      </c>
      <c r="CS500" s="2" t="s">
        <v>144</v>
      </c>
      <c r="CT500" s="98">
        <v>165.0</v>
      </c>
      <c r="CU500" s="2"/>
      <c r="CV500" s="256" t="s">
        <v>890</v>
      </c>
      <c r="CW500" s="256" t="s">
        <v>890</v>
      </c>
      <c r="CX500" s="2"/>
      <c r="CY500" s="444" t="s">
        <v>411</v>
      </c>
      <c r="CZ500" s="450"/>
      <c r="DA500" s="2"/>
      <c r="DB500" s="98">
        <v>30.0</v>
      </c>
      <c r="DC500" s="2"/>
      <c r="DD500" s="101" t="s">
        <v>683</v>
      </c>
      <c r="DE500" s="2"/>
      <c r="DF500" s="445" t="s">
        <v>914</v>
      </c>
      <c r="DG500" s="444"/>
      <c r="DH500" s="450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449"/>
      <c r="EH500" s="428"/>
      <c r="EI500" s="428"/>
    </row>
    <row r="501" ht="15.75" customHeight="1">
      <c r="A501" s="1">
        <v>490.0</v>
      </c>
      <c r="B501" s="2" t="s">
        <v>4365</v>
      </c>
      <c r="C501" s="7"/>
      <c r="D501" s="140" t="s">
        <v>4366</v>
      </c>
      <c r="E501" s="5"/>
      <c r="F501" s="141"/>
      <c r="G501" s="7"/>
      <c r="H501" s="8" t="s">
        <v>4367</v>
      </c>
      <c r="I501" s="9" t="s">
        <v>4368</v>
      </c>
      <c r="J501" s="355" t="str">
        <f>image("https://archives.bulbagarden.net/media/upload/c/c2/490MS6.png", 3)</f>
        <v/>
      </c>
      <c r="K501" s="11" t="s">
        <v>4366</v>
      </c>
      <c r="L501" s="12"/>
      <c r="M501" s="12"/>
      <c r="N501" s="12"/>
      <c r="O501" s="12"/>
      <c r="Q501" s="71">
        <v>100.0</v>
      </c>
      <c r="R501" s="72">
        <v>100.0</v>
      </c>
      <c r="S501" s="73">
        <v>100.0</v>
      </c>
      <c r="T501" s="74">
        <v>100.0</v>
      </c>
      <c r="U501" s="75">
        <v>100.0</v>
      </c>
      <c r="V501" s="76">
        <v>100.0</v>
      </c>
      <c r="W501" s="77">
        <v>600.0</v>
      </c>
      <c r="X501" s="21"/>
      <c r="Y501" s="71">
        <v>100.0</v>
      </c>
      <c r="Z501" s="72">
        <v>100.0</v>
      </c>
      <c r="AA501" s="73">
        <v>100.0</v>
      </c>
      <c r="AB501" s="74">
        <v>100.0</v>
      </c>
      <c r="AC501" s="75">
        <v>100.0</v>
      </c>
      <c r="AD501" s="76">
        <v>100.0</v>
      </c>
      <c r="AE501" s="77">
        <v>600.0</v>
      </c>
      <c r="AF501" s="21"/>
      <c r="AG501" s="71">
        <v>100.0</v>
      </c>
      <c r="AH501" s="72">
        <v>100.0</v>
      </c>
      <c r="AI501" s="73">
        <v>100.0</v>
      </c>
      <c r="AJ501" s="74">
        <v>100.0</v>
      </c>
      <c r="AK501" s="75">
        <v>100.0</v>
      </c>
      <c r="AL501" s="76">
        <v>100.0</v>
      </c>
      <c r="AM501" s="77">
        <v>600.0</v>
      </c>
      <c r="AN501" s="21"/>
      <c r="AO501" s="22">
        <v>100.0</v>
      </c>
      <c r="AP501" s="23">
        <v>100.0</v>
      </c>
      <c r="AQ501" s="23">
        <v>100.0</v>
      </c>
      <c r="AR501" s="23">
        <v>100.0</v>
      </c>
      <c r="AS501" s="23">
        <v>100.0</v>
      </c>
      <c r="AT501" s="23">
        <v>100.0</v>
      </c>
      <c r="AU501" s="24">
        <v>600.0</v>
      </c>
      <c r="AV501" s="21"/>
      <c r="AW501" s="78">
        <v>100.0</v>
      </c>
      <c r="AX501" s="79">
        <v>100.0</v>
      </c>
      <c r="AY501" s="79">
        <v>100.0</v>
      </c>
      <c r="AZ501" s="79">
        <v>100.0</v>
      </c>
      <c r="BA501" s="79">
        <v>100.0</v>
      </c>
      <c r="BB501" s="79">
        <v>100.0</v>
      </c>
      <c r="BC501" s="201">
        <v>600.0</v>
      </c>
      <c r="BE501" s="305" t="s">
        <v>422</v>
      </c>
      <c r="BF501" s="306"/>
      <c r="BG501" s="307"/>
      <c r="BI501" s="31">
        <v>3.0</v>
      </c>
      <c r="BJ501" s="32" t="s">
        <v>5</v>
      </c>
      <c r="BK501" s="32" t="s">
        <v>5</v>
      </c>
      <c r="BL501" s="32" t="s">
        <v>5</v>
      </c>
      <c r="BM501" s="32" t="s">
        <v>5</v>
      </c>
      <c r="BN501" s="33" t="s">
        <v>5</v>
      </c>
      <c r="BP501" s="115" t="s">
        <v>32</v>
      </c>
      <c r="BQ501" s="93"/>
      <c r="BS501" s="115" t="s">
        <v>32</v>
      </c>
      <c r="BT501" s="133"/>
      <c r="BU501" s="37" t="str">
        <f t="shared" si="1"/>
        <v>#NAME?</v>
      </c>
      <c r="BV501" s="89" t="s">
        <v>32</v>
      </c>
      <c r="BW501" s="37" t="str">
        <f t="shared" si="2"/>
        <v>#NAME?</v>
      </c>
      <c r="BX501" s="89"/>
      <c r="BY501" s="39"/>
      <c r="BZ501" s="39"/>
      <c r="CA501" s="40" t="s">
        <v>32</v>
      </c>
      <c r="CB501" s="41"/>
      <c r="CC501" s="90" t="s">
        <v>32</v>
      </c>
      <c r="CD501" s="91"/>
      <c r="CE501" s="21"/>
      <c r="CF501" s="92" t="s">
        <v>945</v>
      </c>
      <c r="CG501" s="93"/>
      <c r="CH501" s="21"/>
      <c r="CI501" s="92" t="s">
        <v>945</v>
      </c>
      <c r="CJ501" s="93"/>
      <c r="CK501" s="21"/>
      <c r="CL501" s="22" t="s">
        <v>945</v>
      </c>
      <c r="CM501" s="12"/>
      <c r="CN501" s="48"/>
      <c r="CO501" s="95"/>
      <c r="CP501" s="21"/>
      <c r="CQ501" s="2" t="s">
        <v>4369</v>
      </c>
      <c r="CR501" s="97">
        <v>20.0</v>
      </c>
      <c r="CS501" s="2" t="s">
        <v>422</v>
      </c>
      <c r="CT501" s="98">
        <v>215.0</v>
      </c>
      <c r="CU501" s="2"/>
      <c r="CV501" s="256" t="s">
        <v>890</v>
      </c>
      <c r="CW501" s="256" t="s">
        <v>890</v>
      </c>
      <c r="CX501" s="2"/>
      <c r="CY501" s="119" t="s">
        <v>411</v>
      </c>
      <c r="CZ501" s="160"/>
      <c r="DA501" s="2"/>
      <c r="DB501" s="98">
        <v>3.0</v>
      </c>
      <c r="DC501" s="2"/>
      <c r="DD501" s="101" t="s">
        <v>683</v>
      </c>
      <c r="DE501" s="2"/>
      <c r="DF501" s="120" t="s">
        <v>914</v>
      </c>
      <c r="DG501" s="119"/>
      <c r="DH501" s="160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449"/>
      <c r="EH501" s="428"/>
      <c r="EI501" s="428"/>
    </row>
    <row r="502" ht="15.75" customHeight="1">
      <c r="A502" s="1">
        <v>491.0</v>
      </c>
      <c r="B502" s="2" t="s">
        <v>4370</v>
      </c>
      <c r="C502" s="7"/>
      <c r="D502" s="295" t="s">
        <v>4371</v>
      </c>
      <c r="E502" s="5"/>
      <c r="F502" s="296"/>
      <c r="G502" s="7"/>
      <c r="H502" s="8" t="s">
        <v>4372</v>
      </c>
      <c r="I502" s="9" t="s">
        <v>4373</v>
      </c>
      <c r="J502" s="355" t="str">
        <f>image("https://archives.bulbagarden.net/media/upload/d/d4/491MS6.png", 3)</f>
        <v/>
      </c>
      <c r="K502" s="11" t="s">
        <v>4371</v>
      </c>
      <c r="L502" s="12"/>
      <c r="M502" s="12"/>
      <c r="N502" s="12"/>
      <c r="O502" s="12"/>
      <c r="Q502" s="71">
        <v>70.0</v>
      </c>
      <c r="R502" s="72">
        <v>90.0</v>
      </c>
      <c r="S502" s="73">
        <v>90.0</v>
      </c>
      <c r="T502" s="74">
        <v>135.0</v>
      </c>
      <c r="U502" s="75">
        <v>90.0</v>
      </c>
      <c r="V502" s="76">
        <v>125.0</v>
      </c>
      <c r="W502" s="77">
        <v>600.0</v>
      </c>
      <c r="X502" s="21"/>
      <c r="Y502" s="71">
        <v>70.0</v>
      </c>
      <c r="Z502" s="72">
        <v>90.0</v>
      </c>
      <c r="AA502" s="73">
        <v>90.0</v>
      </c>
      <c r="AB502" s="74">
        <v>135.0</v>
      </c>
      <c r="AC502" s="75">
        <v>90.0</v>
      </c>
      <c r="AD502" s="76">
        <v>125.0</v>
      </c>
      <c r="AE502" s="77">
        <v>600.0</v>
      </c>
      <c r="AF502" s="21"/>
      <c r="AG502" s="71">
        <v>70.0</v>
      </c>
      <c r="AH502" s="72">
        <v>90.0</v>
      </c>
      <c r="AI502" s="73">
        <v>90.0</v>
      </c>
      <c r="AJ502" s="74">
        <v>135.0</v>
      </c>
      <c r="AK502" s="75">
        <v>90.0</v>
      </c>
      <c r="AL502" s="76">
        <v>125.0</v>
      </c>
      <c r="AM502" s="77">
        <v>600.0</v>
      </c>
      <c r="AN502" s="21"/>
      <c r="AO502" s="22">
        <v>70.0</v>
      </c>
      <c r="AP502" s="23">
        <v>90.0</v>
      </c>
      <c r="AQ502" s="23">
        <v>90.0</v>
      </c>
      <c r="AR502" s="23">
        <v>135.0</v>
      </c>
      <c r="AS502" s="23">
        <v>90.0</v>
      </c>
      <c r="AT502" s="23">
        <v>125.0</v>
      </c>
      <c r="AU502" s="24">
        <v>600.0</v>
      </c>
      <c r="AV502" s="21"/>
      <c r="AW502" s="78">
        <v>70.0</v>
      </c>
      <c r="AX502" s="79">
        <v>90.0</v>
      </c>
      <c r="AY502" s="79">
        <v>90.0</v>
      </c>
      <c r="AZ502" s="79">
        <v>135.0</v>
      </c>
      <c r="BA502" s="79">
        <v>90.0</v>
      </c>
      <c r="BB502" s="79">
        <v>125.0</v>
      </c>
      <c r="BC502" s="201">
        <v>600.0</v>
      </c>
      <c r="BE502" s="112" t="s">
        <v>42</v>
      </c>
      <c r="BF502" s="113"/>
      <c r="BG502" s="431" t="s">
        <v>56</v>
      </c>
      <c r="BI502" s="31" t="s">
        <v>5</v>
      </c>
      <c r="BJ502" s="32" t="s">
        <v>5</v>
      </c>
      <c r="BK502" s="32" t="s">
        <v>5</v>
      </c>
      <c r="BL502" s="32">
        <v>2.0</v>
      </c>
      <c r="BM502" s="32" t="s">
        <v>5</v>
      </c>
      <c r="BN502" s="33">
        <v>1.0</v>
      </c>
      <c r="BP502" s="85" t="s">
        <v>76</v>
      </c>
      <c r="BQ502" s="129"/>
      <c r="BS502" s="87" t="s">
        <v>76</v>
      </c>
      <c r="BT502" s="130"/>
      <c r="BU502" s="37" t="str">
        <f t="shared" si="1"/>
        <v>#NAME?</v>
      </c>
      <c r="BV502" s="89" t="s">
        <v>76</v>
      </c>
      <c r="BW502" s="37" t="str">
        <f t="shared" si="2"/>
        <v>#NAME?</v>
      </c>
      <c r="BX502" s="89"/>
      <c r="BY502" s="39"/>
      <c r="BZ502" s="39"/>
      <c r="CA502" s="40" t="s">
        <v>76</v>
      </c>
      <c r="CB502" s="41"/>
      <c r="CC502" s="90" t="s">
        <v>76</v>
      </c>
      <c r="CD502" s="91"/>
      <c r="CE502" s="21"/>
      <c r="CF502" s="92" t="s">
        <v>4374</v>
      </c>
      <c r="CG502" s="93"/>
      <c r="CH502" s="21"/>
      <c r="CI502" s="92" t="s">
        <v>4374</v>
      </c>
      <c r="CJ502" s="93"/>
      <c r="CK502" s="21"/>
      <c r="CL502" s="22" t="s">
        <v>4374</v>
      </c>
      <c r="CM502" s="12"/>
      <c r="CN502" s="48"/>
      <c r="CO502" s="95"/>
      <c r="CP502" s="21"/>
      <c r="CQ502" s="2" t="s">
        <v>2174</v>
      </c>
      <c r="CR502" s="97">
        <v>80.0</v>
      </c>
      <c r="CS502" s="2" t="s">
        <v>4375</v>
      </c>
      <c r="CT502" s="98">
        <v>210.0</v>
      </c>
      <c r="CU502" s="2"/>
      <c r="CV502" s="256" t="s">
        <v>890</v>
      </c>
      <c r="CW502" s="256" t="s">
        <v>890</v>
      </c>
      <c r="CX502" s="2"/>
      <c r="CY502" s="444" t="s">
        <v>411</v>
      </c>
      <c r="CZ502" s="450"/>
      <c r="DA502" s="2"/>
      <c r="DB502" s="98">
        <v>3.0</v>
      </c>
      <c r="DC502" s="2"/>
      <c r="DD502" s="101" t="s">
        <v>683</v>
      </c>
      <c r="DE502" s="2"/>
      <c r="DF502" s="445" t="s">
        <v>914</v>
      </c>
      <c r="DG502" s="444"/>
      <c r="DH502" s="450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449"/>
      <c r="EH502" s="428"/>
      <c r="EI502" s="428"/>
    </row>
    <row r="503" ht="15.75" customHeight="1">
      <c r="A503" s="1">
        <v>492.0</v>
      </c>
      <c r="B503" s="2" t="s">
        <v>4376</v>
      </c>
      <c r="C503" s="7"/>
      <c r="D503" s="4" t="s">
        <v>4377</v>
      </c>
      <c r="E503" s="5"/>
      <c r="F503" s="6"/>
      <c r="G503" s="7"/>
      <c r="H503" s="8" t="s">
        <v>4378</v>
      </c>
      <c r="I503" s="9" t="s">
        <v>4379</v>
      </c>
      <c r="J503" s="355" t="str">
        <f>image("https://archives.bulbagarden.net/media/upload/2/2b/492MS6.png", 3)</f>
        <v/>
      </c>
      <c r="K503" s="11" t="s">
        <v>4377</v>
      </c>
      <c r="L503" s="12"/>
      <c r="M503" s="12"/>
      <c r="N503" s="12"/>
      <c r="O503" s="12"/>
      <c r="Q503" s="71">
        <v>100.0</v>
      </c>
      <c r="R503" s="72">
        <v>100.0</v>
      </c>
      <c r="S503" s="73">
        <v>100.0</v>
      </c>
      <c r="T503" s="74">
        <v>100.0</v>
      </c>
      <c r="U503" s="75">
        <v>100.0</v>
      </c>
      <c r="V503" s="76">
        <v>100.0</v>
      </c>
      <c r="W503" s="77">
        <v>600.0</v>
      </c>
      <c r="X503" s="21"/>
      <c r="Y503" s="71">
        <v>100.0</v>
      </c>
      <c r="Z503" s="72">
        <v>100.0</v>
      </c>
      <c r="AA503" s="73">
        <v>100.0</v>
      </c>
      <c r="AB503" s="74">
        <v>100.0</v>
      </c>
      <c r="AC503" s="75">
        <v>100.0</v>
      </c>
      <c r="AD503" s="76">
        <v>100.0</v>
      </c>
      <c r="AE503" s="77">
        <v>600.0</v>
      </c>
      <c r="AF503" s="21"/>
      <c r="AG503" s="71">
        <v>100.0</v>
      </c>
      <c r="AH503" s="72">
        <v>100.0</v>
      </c>
      <c r="AI503" s="73">
        <v>100.0</v>
      </c>
      <c r="AJ503" s="74">
        <v>100.0</v>
      </c>
      <c r="AK503" s="75">
        <v>100.0</v>
      </c>
      <c r="AL503" s="76">
        <v>100.0</v>
      </c>
      <c r="AM503" s="77">
        <v>600.0</v>
      </c>
      <c r="AN503" s="21"/>
      <c r="AO503" s="22">
        <v>100.0</v>
      </c>
      <c r="AP503" s="23">
        <v>100.0</v>
      </c>
      <c r="AQ503" s="23">
        <v>100.0</v>
      </c>
      <c r="AR503" s="23">
        <v>100.0</v>
      </c>
      <c r="AS503" s="23">
        <v>100.0</v>
      </c>
      <c r="AT503" s="23">
        <v>100.0</v>
      </c>
      <c r="AU503" s="24">
        <v>600.0</v>
      </c>
      <c r="AV503" s="21"/>
      <c r="AW503" s="78">
        <v>100.0</v>
      </c>
      <c r="AX503" s="79">
        <v>100.0</v>
      </c>
      <c r="AY503" s="79">
        <v>100.0</v>
      </c>
      <c r="AZ503" s="79">
        <v>100.0</v>
      </c>
      <c r="BA503" s="79">
        <v>100.0</v>
      </c>
      <c r="BB503" s="79">
        <v>100.0</v>
      </c>
      <c r="BC503" s="201">
        <v>600.0</v>
      </c>
      <c r="BE503" s="481" t="s">
        <v>422</v>
      </c>
      <c r="BF503" s="482"/>
      <c r="BG503" s="267"/>
      <c r="BI503" s="31">
        <v>3.0</v>
      </c>
      <c r="BJ503" s="32" t="s">
        <v>5</v>
      </c>
      <c r="BK503" s="32" t="s">
        <v>5</v>
      </c>
      <c r="BL503" s="32" t="s">
        <v>5</v>
      </c>
      <c r="BM503" s="32" t="s">
        <v>5</v>
      </c>
      <c r="BN503" s="33" t="s">
        <v>5</v>
      </c>
      <c r="BP503" s="115" t="s">
        <v>6</v>
      </c>
      <c r="BQ503" s="93"/>
      <c r="BS503" s="115" t="s">
        <v>6</v>
      </c>
      <c r="BT503" s="133"/>
      <c r="BU503" s="37" t="str">
        <f t="shared" si="1"/>
        <v>#NAME?</v>
      </c>
      <c r="BV503" s="89" t="s">
        <v>6</v>
      </c>
      <c r="BW503" s="37" t="str">
        <f t="shared" si="2"/>
        <v>#NAME?</v>
      </c>
      <c r="BX503" s="89"/>
      <c r="BY503" s="39"/>
      <c r="BZ503" s="39"/>
      <c r="CA503" s="40" t="s">
        <v>6</v>
      </c>
      <c r="CB503" s="41"/>
      <c r="CC503" s="90" t="s">
        <v>6</v>
      </c>
      <c r="CD503" s="91"/>
      <c r="CE503" s="21"/>
      <c r="CF503" s="92" t="s">
        <v>1182</v>
      </c>
      <c r="CG503" s="93"/>
      <c r="CH503" s="21"/>
      <c r="CI503" s="92" t="s">
        <v>1182</v>
      </c>
      <c r="CJ503" s="93"/>
      <c r="CK503" s="21"/>
      <c r="CL503" s="22" t="s">
        <v>1182</v>
      </c>
      <c r="CM503" s="12"/>
      <c r="CN503" s="48"/>
      <c r="CO503" s="95"/>
      <c r="CP503" s="21"/>
      <c r="CQ503" s="2" t="s">
        <v>1929</v>
      </c>
      <c r="CR503" s="97">
        <v>20.0</v>
      </c>
      <c r="CS503" s="2" t="s">
        <v>422</v>
      </c>
      <c r="CT503" s="98">
        <v>64.0</v>
      </c>
      <c r="CU503" s="2"/>
      <c r="CV503" s="256" t="s">
        <v>890</v>
      </c>
      <c r="CW503" s="256" t="s">
        <v>890</v>
      </c>
      <c r="CX503" s="2"/>
      <c r="CY503" s="119" t="s">
        <v>411</v>
      </c>
      <c r="CZ503" s="160"/>
      <c r="DA503" s="2"/>
      <c r="DB503" s="98">
        <v>45.0</v>
      </c>
      <c r="DC503" s="2"/>
      <c r="DD503" s="101" t="s">
        <v>15</v>
      </c>
      <c r="DE503" s="2"/>
      <c r="DF503" s="120" t="s">
        <v>914</v>
      </c>
      <c r="DG503" s="119"/>
      <c r="DH503" s="160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449"/>
      <c r="EH503" s="428"/>
      <c r="EI503" s="428"/>
    </row>
    <row r="504" ht="15.75" customHeight="1">
      <c r="A504" s="2" t="s">
        <v>4380</v>
      </c>
      <c r="B504" s="2" t="s">
        <v>4381</v>
      </c>
      <c r="C504" s="349"/>
      <c r="D504" s="4" t="s">
        <v>4382</v>
      </c>
      <c r="E504" s="483"/>
      <c r="F504" s="6"/>
      <c r="G504" s="349"/>
      <c r="H504" s="8" t="s">
        <v>4383</v>
      </c>
      <c r="I504" s="9" t="s">
        <v>4384</v>
      </c>
      <c r="J504" s="355" t="str">
        <f>image("https://archives.bulbagarden.net/media/upload/e/e4/492SMS6.png", 3)</f>
        <v/>
      </c>
      <c r="K504" s="11" t="s">
        <v>4385</v>
      </c>
      <c r="L504" s="12"/>
      <c r="M504" s="12"/>
      <c r="N504" s="12"/>
      <c r="O504" s="12"/>
      <c r="Q504" s="71">
        <v>100.0</v>
      </c>
      <c r="R504" s="72">
        <v>103.0</v>
      </c>
      <c r="S504" s="73">
        <v>75.0</v>
      </c>
      <c r="T504" s="74">
        <v>120.0</v>
      </c>
      <c r="U504" s="75">
        <v>75.0</v>
      </c>
      <c r="V504" s="76">
        <v>127.0</v>
      </c>
      <c r="W504" s="77">
        <v>600.0</v>
      </c>
      <c r="X504" s="21"/>
      <c r="Y504" s="71">
        <v>100.0</v>
      </c>
      <c r="Z504" s="72">
        <v>103.0</v>
      </c>
      <c r="AA504" s="73">
        <v>75.0</v>
      </c>
      <c r="AB504" s="74">
        <v>120.0</v>
      </c>
      <c r="AC504" s="75">
        <v>75.0</v>
      </c>
      <c r="AD504" s="76">
        <v>127.0</v>
      </c>
      <c r="AE504" s="77">
        <v>600.0</v>
      </c>
      <c r="AF504" s="21"/>
      <c r="AG504" s="71">
        <v>100.0</v>
      </c>
      <c r="AH504" s="72">
        <v>103.0</v>
      </c>
      <c r="AI504" s="73">
        <v>75.0</v>
      </c>
      <c r="AJ504" s="74">
        <v>120.0</v>
      </c>
      <c r="AK504" s="75">
        <v>75.0</v>
      </c>
      <c r="AL504" s="76">
        <v>127.0</v>
      </c>
      <c r="AM504" s="77">
        <v>600.0</v>
      </c>
      <c r="AN504" s="21"/>
      <c r="AO504" s="22">
        <v>100.0</v>
      </c>
      <c r="AP504" s="23">
        <v>103.0</v>
      </c>
      <c r="AQ504" s="23">
        <v>75.0</v>
      </c>
      <c r="AR504" s="23">
        <v>120.0</v>
      </c>
      <c r="AS504" s="23">
        <v>75.0</v>
      </c>
      <c r="AT504" s="23">
        <v>127.0</v>
      </c>
      <c r="AU504" s="24">
        <v>600.0</v>
      </c>
      <c r="AV504" s="21"/>
      <c r="AW504" s="78">
        <v>100.0</v>
      </c>
      <c r="AX504" s="79">
        <v>103.0</v>
      </c>
      <c r="AY504" s="79">
        <v>75.0</v>
      </c>
      <c r="AZ504" s="79">
        <v>120.0</v>
      </c>
      <c r="BA504" s="79">
        <v>75.0</v>
      </c>
      <c r="BB504" s="79">
        <v>127.0</v>
      </c>
      <c r="BC504" s="201">
        <v>600.0</v>
      </c>
      <c r="BE504" s="203" t="s">
        <v>422</v>
      </c>
      <c r="BF504" s="138"/>
      <c r="BG504" s="128"/>
      <c r="BI504" s="31">
        <v>3.0</v>
      </c>
      <c r="BJ504" s="32" t="s">
        <v>5</v>
      </c>
      <c r="BK504" s="32" t="s">
        <v>5</v>
      </c>
      <c r="BL504" s="32" t="s">
        <v>5</v>
      </c>
      <c r="BM504" s="32" t="s">
        <v>5</v>
      </c>
      <c r="BN504" s="33" t="s">
        <v>5</v>
      </c>
      <c r="BP504" s="85" t="s">
        <v>6</v>
      </c>
      <c r="BQ504" s="86" t="s">
        <v>18</v>
      </c>
      <c r="BS504" s="87" t="s">
        <v>6</v>
      </c>
      <c r="BT504" s="88" t="s">
        <v>18</v>
      </c>
      <c r="BU504" s="37" t="str">
        <f t="shared" si="1"/>
        <v>#NAME?</v>
      </c>
      <c r="BV504" s="89" t="s">
        <v>6</v>
      </c>
      <c r="BW504" s="37" t="str">
        <f t="shared" si="2"/>
        <v>#NAME?</v>
      </c>
      <c r="BX504" s="89" t="s">
        <v>18</v>
      </c>
      <c r="BY504" s="39"/>
      <c r="BZ504" s="39"/>
      <c r="CA504" s="40" t="s">
        <v>1836</v>
      </c>
      <c r="CB504" s="41"/>
      <c r="CC504" s="90" t="s">
        <v>6</v>
      </c>
      <c r="CD504" s="91" t="s">
        <v>18</v>
      </c>
      <c r="CE504" s="2"/>
      <c r="CF504" s="92" t="s">
        <v>1183</v>
      </c>
      <c r="CG504" s="93"/>
      <c r="CH504" s="2"/>
      <c r="CI504" s="92" t="s">
        <v>1183</v>
      </c>
      <c r="CJ504" s="93"/>
      <c r="CK504" s="2"/>
      <c r="CL504" s="22" t="s">
        <v>1183</v>
      </c>
      <c r="CM504" s="12"/>
      <c r="CN504" s="48"/>
      <c r="CO504" s="95"/>
      <c r="CP504" s="2"/>
      <c r="CQ504" s="2" t="s">
        <v>3638</v>
      </c>
      <c r="CR504" s="97">
        <v>20.0</v>
      </c>
      <c r="CS504" s="2" t="s">
        <v>422</v>
      </c>
      <c r="CT504" s="98">
        <v>64.0</v>
      </c>
      <c r="CU504" s="2"/>
      <c r="CV504" s="484" t="s">
        <v>890</v>
      </c>
      <c r="CW504" s="484" t="s">
        <v>890</v>
      </c>
      <c r="CX504" s="2"/>
      <c r="CY504" s="444" t="s">
        <v>411</v>
      </c>
      <c r="CZ504" s="450"/>
      <c r="DA504" s="2"/>
      <c r="DB504" s="98">
        <v>45.0</v>
      </c>
      <c r="DC504" s="2"/>
      <c r="DD504" s="101" t="s">
        <v>15</v>
      </c>
      <c r="DE504" s="2"/>
      <c r="DF504" s="445" t="s">
        <v>914</v>
      </c>
      <c r="DG504" s="443" t="s">
        <v>1526</v>
      </c>
      <c r="DH504" s="450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449"/>
      <c r="EH504" s="428"/>
      <c r="EI504" s="428"/>
    </row>
    <row r="505" ht="15.75" customHeight="1">
      <c r="A505" s="1">
        <v>493.0</v>
      </c>
      <c r="B505" s="2" t="s">
        <v>4386</v>
      </c>
      <c r="C505" s="349"/>
      <c r="D505" s="247" t="s">
        <v>4387</v>
      </c>
      <c r="E505" s="483"/>
      <c r="F505" s="248"/>
      <c r="G505" s="349"/>
      <c r="H505" s="8" t="s">
        <v>4388</v>
      </c>
      <c r="I505" s="9" t="s">
        <v>4389</v>
      </c>
      <c r="J505" s="355" t="str">
        <f>image("https://archives.bulbagarden.net/media/upload/0/04/493MS6.png", 3)</f>
        <v/>
      </c>
      <c r="K505" s="11" t="s">
        <v>4387</v>
      </c>
      <c r="L505" s="12"/>
      <c r="M505" s="12"/>
      <c r="N505" s="12"/>
      <c r="O505" s="12"/>
      <c r="Q505" s="485">
        <v>120.0</v>
      </c>
      <c r="R505" s="486">
        <v>120.0</v>
      </c>
      <c r="S505" s="487">
        <v>120.0</v>
      </c>
      <c r="T505" s="488">
        <v>120.0</v>
      </c>
      <c r="U505" s="489">
        <v>120.0</v>
      </c>
      <c r="V505" s="490">
        <v>120.0</v>
      </c>
      <c r="W505" s="491">
        <v>720.0</v>
      </c>
      <c r="X505" s="21"/>
      <c r="Y505" s="485">
        <v>120.0</v>
      </c>
      <c r="Z505" s="486">
        <v>120.0</v>
      </c>
      <c r="AA505" s="487">
        <v>120.0</v>
      </c>
      <c r="AB505" s="488">
        <v>120.0</v>
      </c>
      <c r="AC505" s="489">
        <v>120.0</v>
      </c>
      <c r="AD505" s="490">
        <v>120.0</v>
      </c>
      <c r="AE505" s="491">
        <v>720.0</v>
      </c>
      <c r="AF505" s="21"/>
      <c r="AG505" s="485">
        <v>120.0</v>
      </c>
      <c r="AH505" s="486">
        <v>120.0</v>
      </c>
      <c r="AI505" s="487">
        <v>120.0</v>
      </c>
      <c r="AJ505" s="488">
        <v>120.0</v>
      </c>
      <c r="AK505" s="489">
        <v>120.0</v>
      </c>
      <c r="AL505" s="490">
        <v>120.0</v>
      </c>
      <c r="AM505" s="491">
        <v>720.0</v>
      </c>
      <c r="AN505" s="21"/>
      <c r="AO505" s="22">
        <v>120.0</v>
      </c>
      <c r="AP505" s="23">
        <v>120.0</v>
      </c>
      <c r="AQ505" s="23">
        <v>120.0</v>
      </c>
      <c r="AR505" s="23">
        <v>120.0</v>
      </c>
      <c r="AS505" s="23">
        <v>120.0</v>
      </c>
      <c r="AT505" s="23">
        <v>120.0</v>
      </c>
      <c r="AU505" s="24">
        <v>720.0</v>
      </c>
      <c r="AV505" s="21"/>
      <c r="AW505" s="492">
        <v>120.0</v>
      </c>
      <c r="AX505" s="493">
        <v>120.0</v>
      </c>
      <c r="AY505" s="493">
        <v>120.0</v>
      </c>
      <c r="AZ505" s="493">
        <v>120.0</v>
      </c>
      <c r="BA505" s="493">
        <v>120.0</v>
      </c>
      <c r="BB505" s="493">
        <v>120.0</v>
      </c>
      <c r="BC505" s="494">
        <v>720.0</v>
      </c>
      <c r="BE505" s="495" t="s">
        <v>422</v>
      </c>
      <c r="BF505" s="413"/>
      <c r="BG505" s="414"/>
      <c r="BI505" s="31">
        <v>3.0</v>
      </c>
      <c r="BJ505" s="32" t="s">
        <v>5</v>
      </c>
      <c r="BK505" s="32" t="s">
        <v>5</v>
      </c>
      <c r="BL505" s="32" t="s">
        <v>5</v>
      </c>
      <c r="BM505" s="32" t="s">
        <v>5</v>
      </c>
      <c r="BN505" s="33" t="s">
        <v>5</v>
      </c>
      <c r="BP505" s="496" t="s">
        <v>156</v>
      </c>
      <c r="BQ505" s="497"/>
      <c r="BS505" s="496" t="s">
        <v>156</v>
      </c>
      <c r="BT505" s="498"/>
      <c r="BU505" s="37" t="str">
        <f t="shared" si="1"/>
        <v>#NAME?</v>
      </c>
      <c r="BV505" s="499" t="s">
        <v>156</v>
      </c>
      <c r="BW505" s="37" t="str">
        <f t="shared" si="2"/>
        <v>#NAME?</v>
      </c>
      <c r="BX505" s="499"/>
      <c r="BY505" s="39"/>
      <c r="BZ505" s="39"/>
      <c r="CA505" s="40" t="s">
        <v>156</v>
      </c>
      <c r="CB505" s="41"/>
      <c r="CC505" s="500" t="s">
        <v>156</v>
      </c>
      <c r="CD505" s="501"/>
      <c r="CE505" s="21"/>
      <c r="CF505" s="502" t="s">
        <v>4390</v>
      </c>
      <c r="CG505" s="497"/>
      <c r="CH505" s="21"/>
      <c r="CI505" s="502" t="s">
        <v>4390</v>
      </c>
      <c r="CJ505" s="497"/>
      <c r="CK505" s="21"/>
      <c r="CL505" s="22" t="s">
        <v>4390</v>
      </c>
      <c r="CM505" s="12"/>
      <c r="CN505" s="48"/>
      <c r="CO505" s="503"/>
      <c r="CP505" s="21"/>
      <c r="CQ505" s="2" t="s">
        <v>4391</v>
      </c>
      <c r="CR505" s="504">
        <v>120.0</v>
      </c>
      <c r="CS505" s="2" t="s">
        <v>422</v>
      </c>
      <c r="CT505" s="505">
        <v>255.0</v>
      </c>
      <c r="CU505" s="2"/>
      <c r="CV505" s="484" t="s">
        <v>890</v>
      </c>
      <c r="CW505" s="484" t="s">
        <v>890</v>
      </c>
      <c r="CX505" s="2"/>
      <c r="CY505" s="506" t="s">
        <v>411</v>
      </c>
      <c r="CZ505" s="507"/>
      <c r="DA505" s="2"/>
      <c r="DB505" s="505">
        <v>3.0</v>
      </c>
      <c r="DC505" s="2"/>
      <c r="DD505" s="508" t="s">
        <v>683</v>
      </c>
      <c r="DE505" s="2"/>
      <c r="DF505" s="509" t="s">
        <v>914</v>
      </c>
      <c r="DG505" s="506"/>
      <c r="DH505" s="507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449"/>
      <c r="EH505" s="428"/>
      <c r="EI505" s="428"/>
    </row>
    <row r="506" ht="15.75" customHeight="1">
      <c r="A506" s="1"/>
      <c r="B506" s="2"/>
      <c r="C506" s="349"/>
      <c r="D506" s="248"/>
      <c r="E506" s="349"/>
      <c r="F506" s="248"/>
      <c r="G506" s="349"/>
      <c r="H506" s="8"/>
      <c r="I506" s="510"/>
      <c r="J506" s="355"/>
      <c r="K506" s="511"/>
      <c r="Q506" s="349"/>
      <c r="R506" s="349"/>
      <c r="S506" s="349"/>
      <c r="T506" s="349"/>
      <c r="U506" s="349"/>
      <c r="V506" s="349"/>
      <c r="W506" s="349"/>
      <c r="X506" s="21"/>
      <c r="Y506" s="349"/>
      <c r="Z506" s="349"/>
      <c r="AA506" s="349"/>
      <c r="AB506" s="349"/>
      <c r="AC506" s="349"/>
      <c r="AD506" s="349"/>
      <c r="AE506" s="349"/>
      <c r="AF506" s="21"/>
      <c r="AG506" s="349"/>
      <c r="AH506" s="349"/>
      <c r="AI506" s="349"/>
      <c r="AJ506" s="349"/>
      <c r="AK506" s="349"/>
      <c r="AL506" s="349"/>
      <c r="AM506" s="349"/>
      <c r="AN506" s="21"/>
      <c r="AO506" s="21"/>
      <c r="AP506" s="21"/>
      <c r="AQ506" s="21"/>
      <c r="AR506" s="21"/>
      <c r="AS506" s="21"/>
      <c r="AT506" s="21"/>
      <c r="AU506" s="21"/>
      <c r="AV506" s="21"/>
      <c r="AW506" s="108"/>
      <c r="AX506" s="108"/>
      <c r="AY506" s="108"/>
      <c r="AZ506" s="108"/>
      <c r="BA506" s="108"/>
      <c r="BB506" s="108"/>
      <c r="BC506" s="108"/>
      <c r="BE506" s="512"/>
      <c r="BF506" s="512"/>
      <c r="BG506" s="512"/>
      <c r="BI506" s="32"/>
      <c r="BJ506" s="32"/>
      <c r="BK506" s="32"/>
      <c r="BL506" s="32"/>
      <c r="BM506" s="32"/>
      <c r="BN506" s="32"/>
      <c r="BP506" s="513"/>
      <c r="BQ506" s="21"/>
      <c r="BS506" s="513"/>
      <c r="BT506" s="349"/>
      <c r="BV506" s="484"/>
      <c r="BW506" s="484"/>
      <c r="BX506" s="484"/>
      <c r="BY506" s="484"/>
      <c r="BZ506" s="484"/>
      <c r="CA506" s="484"/>
      <c r="CB506" s="484"/>
      <c r="CC506" s="21"/>
      <c r="CD506" s="21"/>
      <c r="CE506" s="21"/>
      <c r="CF506" s="21"/>
      <c r="CG506" s="21"/>
      <c r="CH506" s="21"/>
      <c r="CI506" s="21"/>
      <c r="CJ506" s="21"/>
      <c r="CK506" s="21"/>
      <c r="CL506" s="349"/>
      <c r="CO506" s="21"/>
      <c r="CP506" s="21"/>
      <c r="CQ506" s="2"/>
      <c r="CR506" s="513"/>
      <c r="CS506" s="2"/>
      <c r="CT506" s="2"/>
      <c r="CU506" s="2"/>
      <c r="CV506" s="484"/>
      <c r="CW506" s="484"/>
      <c r="CX506" s="2"/>
      <c r="CY506" s="514"/>
      <c r="CZ506" s="515"/>
      <c r="DA506" s="2"/>
      <c r="DB506" s="516"/>
      <c r="DC506" s="2"/>
      <c r="DD506" s="517"/>
      <c r="DE506" s="2"/>
      <c r="DG506" s="514"/>
      <c r="DH506" s="515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449"/>
      <c r="EH506" s="428"/>
      <c r="EI506" s="428"/>
    </row>
  </sheetData>
  <mergeCells count="1485">
    <mergeCell ref="BF102:BG102"/>
    <mergeCell ref="BE103:BF103"/>
    <mergeCell ref="BF104:BG104"/>
    <mergeCell ref="BE105:BF105"/>
    <mergeCell ref="BE106:BF106"/>
    <mergeCell ref="BE107:BF107"/>
    <mergeCell ref="BE108:BF108"/>
    <mergeCell ref="BF109:BG109"/>
    <mergeCell ref="BE110:BF110"/>
    <mergeCell ref="BF111:BG111"/>
    <mergeCell ref="BE112:BF112"/>
    <mergeCell ref="BE113:BF113"/>
    <mergeCell ref="BF114:BG114"/>
    <mergeCell ref="BE115:BF115"/>
    <mergeCell ref="BE59:BF59"/>
    <mergeCell ref="BF60:BG60"/>
    <mergeCell ref="BE61:BF61"/>
    <mergeCell ref="BE62:BG62"/>
    <mergeCell ref="BF63:BG63"/>
    <mergeCell ref="BE64:BF64"/>
    <mergeCell ref="BE65:BG65"/>
    <mergeCell ref="BF66:BG66"/>
    <mergeCell ref="BE67:BF67"/>
    <mergeCell ref="BE68:BG68"/>
    <mergeCell ref="BF69:BG69"/>
    <mergeCell ref="BE70:BF70"/>
    <mergeCell ref="BE71:BG71"/>
    <mergeCell ref="BF72:BG72"/>
    <mergeCell ref="BE73:BF73"/>
    <mergeCell ref="BF74:BG74"/>
    <mergeCell ref="BE75:BF75"/>
    <mergeCell ref="BE76:BG76"/>
    <mergeCell ref="BF77:BG77"/>
    <mergeCell ref="BE78:BF78"/>
    <mergeCell ref="BF79:BG79"/>
    <mergeCell ref="BE80:BF80"/>
    <mergeCell ref="BF81:BG81"/>
    <mergeCell ref="BE82:BF82"/>
    <mergeCell ref="BF83:BG83"/>
    <mergeCell ref="BF84:BG84"/>
    <mergeCell ref="BE85:BF85"/>
    <mergeCell ref="BF86:BG86"/>
    <mergeCell ref="BE87:BF87"/>
    <mergeCell ref="BF88:BG88"/>
    <mergeCell ref="BF90:BG90"/>
    <mergeCell ref="BE91:BF91"/>
    <mergeCell ref="BF92:BG92"/>
    <mergeCell ref="BE93:BF93"/>
    <mergeCell ref="BE94:BG94"/>
    <mergeCell ref="BF95:BG95"/>
    <mergeCell ref="BF96:BG96"/>
    <mergeCell ref="BE97:BF97"/>
    <mergeCell ref="BF98:BG98"/>
    <mergeCell ref="BE99:BF99"/>
    <mergeCell ref="BF100:BG100"/>
    <mergeCell ref="BE101:BF101"/>
    <mergeCell ref="BF116:BG116"/>
    <mergeCell ref="BF118:BG118"/>
    <mergeCell ref="K107:O107"/>
    <mergeCell ref="K108:O108"/>
    <mergeCell ref="K109:O109"/>
    <mergeCell ref="K110:O110"/>
    <mergeCell ref="K111:O111"/>
    <mergeCell ref="K112:O112"/>
    <mergeCell ref="K113:O113"/>
    <mergeCell ref="K114:O114"/>
    <mergeCell ref="K115:O115"/>
    <mergeCell ref="K116:O116"/>
    <mergeCell ref="K117:O117"/>
    <mergeCell ref="K118:O118"/>
    <mergeCell ref="K119:O119"/>
    <mergeCell ref="K120:O120"/>
    <mergeCell ref="K121:O121"/>
    <mergeCell ref="K122:O122"/>
    <mergeCell ref="K123:O123"/>
    <mergeCell ref="K124:O124"/>
    <mergeCell ref="K125:O125"/>
    <mergeCell ref="K126:O126"/>
    <mergeCell ref="K127:O127"/>
    <mergeCell ref="K128:O128"/>
    <mergeCell ref="K129:O129"/>
    <mergeCell ref="K130:O130"/>
    <mergeCell ref="K131:O131"/>
    <mergeCell ref="K132:O132"/>
    <mergeCell ref="K133:O133"/>
    <mergeCell ref="K134:O134"/>
    <mergeCell ref="K135:O135"/>
    <mergeCell ref="K136:O136"/>
    <mergeCell ref="K137:O137"/>
    <mergeCell ref="K138:O138"/>
    <mergeCell ref="K139:O139"/>
    <mergeCell ref="K140:O140"/>
    <mergeCell ref="K141:O141"/>
    <mergeCell ref="K142:O142"/>
    <mergeCell ref="K143:O143"/>
    <mergeCell ref="K144:O144"/>
    <mergeCell ref="K145:O145"/>
    <mergeCell ref="K146:O146"/>
    <mergeCell ref="K147:O147"/>
    <mergeCell ref="K148:O148"/>
    <mergeCell ref="K149:O149"/>
    <mergeCell ref="K150:O150"/>
    <mergeCell ref="K151:O151"/>
    <mergeCell ref="K152:O152"/>
    <mergeCell ref="K153:O153"/>
    <mergeCell ref="K154:O154"/>
    <mergeCell ref="K155:O155"/>
    <mergeCell ref="K156:O156"/>
    <mergeCell ref="K157:O157"/>
    <mergeCell ref="K158:O158"/>
    <mergeCell ref="K159:O159"/>
    <mergeCell ref="K160:O160"/>
    <mergeCell ref="K161:O161"/>
    <mergeCell ref="K162:O162"/>
    <mergeCell ref="K163:O163"/>
    <mergeCell ref="K164:O164"/>
    <mergeCell ref="K165:O165"/>
    <mergeCell ref="K166:O166"/>
    <mergeCell ref="K167:O167"/>
    <mergeCell ref="K168:O168"/>
    <mergeCell ref="K169:O169"/>
    <mergeCell ref="K170:O170"/>
    <mergeCell ref="K171:O171"/>
    <mergeCell ref="K172:O172"/>
    <mergeCell ref="K173:O173"/>
    <mergeCell ref="K174:O174"/>
    <mergeCell ref="K175:O175"/>
    <mergeCell ref="K176:O176"/>
    <mergeCell ref="K177:O177"/>
    <mergeCell ref="K178:O178"/>
    <mergeCell ref="K179:O179"/>
    <mergeCell ref="K180:O180"/>
    <mergeCell ref="K181:O181"/>
    <mergeCell ref="K182:O182"/>
    <mergeCell ref="K183:O183"/>
    <mergeCell ref="K184:O184"/>
    <mergeCell ref="K185:O185"/>
    <mergeCell ref="K186:O186"/>
    <mergeCell ref="K187:O187"/>
    <mergeCell ref="K188:O188"/>
    <mergeCell ref="K189:O189"/>
    <mergeCell ref="K190:O190"/>
    <mergeCell ref="K191:O191"/>
    <mergeCell ref="K192:O192"/>
    <mergeCell ref="K193:O193"/>
    <mergeCell ref="K194:O194"/>
    <mergeCell ref="K195:O195"/>
    <mergeCell ref="K196:O196"/>
    <mergeCell ref="K197:O197"/>
    <mergeCell ref="K198:O198"/>
    <mergeCell ref="K199:O199"/>
    <mergeCell ref="K200:O200"/>
    <mergeCell ref="K201:O201"/>
    <mergeCell ref="K202:O202"/>
    <mergeCell ref="K203:O203"/>
    <mergeCell ref="K204:O204"/>
    <mergeCell ref="K205:O205"/>
    <mergeCell ref="K206:O206"/>
    <mergeCell ref="K207:O207"/>
    <mergeCell ref="K208:O208"/>
    <mergeCell ref="K209:O209"/>
    <mergeCell ref="K210:O210"/>
    <mergeCell ref="K211:O211"/>
    <mergeCell ref="K212:O212"/>
    <mergeCell ref="K213:O213"/>
    <mergeCell ref="K214:O214"/>
    <mergeCell ref="K215:O215"/>
    <mergeCell ref="K216:O216"/>
    <mergeCell ref="K217:O217"/>
    <mergeCell ref="K218:O218"/>
    <mergeCell ref="K219:O219"/>
    <mergeCell ref="K220:O220"/>
    <mergeCell ref="K221:O221"/>
    <mergeCell ref="K222:O222"/>
    <mergeCell ref="K223:O223"/>
    <mergeCell ref="K224:O224"/>
    <mergeCell ref="K225:O225"/>
    <mergeCell ref="K226:O226"/>
    <mergeCell ref="K227:O227"/>
    <mergeCell ref="K228:O228"/>
    <mergeCell ref="K229:O229"/>
    <mergeCell ref="K230:O230"/>
    <mergeCell ref="K231:O231"/>
    <mergeCell ref="K232:O232"/>
    <mergeCell ref="K233:O233"/>
    <mergeCell ref="K234:O234"/>
    <mergeCell ref="K235:O235"/>
    <mergeCell ref="K236:O236"/>
    <mergeCell ref="K237:O237"/>
    <mergeCell ref="K238:O238"/>
    <mergeCell ref="K239:O239"/>
    <mergeCell ref="K240:O240"/>
    <mergeCell ref="K241:O241"/>
    <mergeCell ref="K242:O242"/>
    <mergeCell ref="K243:O243"/>
    <mergeCell ref="K244:O244"/>
    <mergeCell ref="K245:O245"/>
    <mergeCell ref="K246:O246"/>
    <mergeCell ref="K247:O247"/>
    <mergeCell ref="K248:O248"/>
    <mergeCell ref="K249:O249"/>
    <mergeCell ref="K250:O250"/>
    <mergeCell ref="K251:O251"/>
    <mergeCell ref="K252:O252"/>
    <mergeCell ref="K253:O253"/>
    <mergeCell ref="K254:O254"/>
    <mergeCell ref="K255:O255"/>
    <mergeCell ref="K256:O256"/>
    <mergeCell ref="K257:O257"/>
    <mergeCell ref="K258:O258"/>
    <mergeCell ref="K259:O259"/>
    <mergeCell ref="K260:O260"/>
    <mergeCell ref="K261:O261"/>
    <mergeCell ref="K262:O262"/>
    <mergeCell ref="K263:O263"/>
    <mergeCell ref="K264:O264"/>
    <mergeCell ref="K265:O265"/>
    <mergeCell ref="K266:O266"/>
    <mergeCell ref="K267:O267"/>
    <mergeCell ref="K268:O268"/>
    <mergeCell ref="K269:O269"/>
    <mergeCell ref="K270:O270"/>
    <mergeCell ref="K271:O271"/>
    <mergeCell ref="K272:O272"/>
    <mergeCell ref="K273:O273"/>
    <mergeCell ref="K274:O274"/>
    <mergeCell ref="K275:O275"/>
    <mergeCell ref="K276:O276"/>
    <mergeCell ref="K277:O277"/>
    <mergeCell ref="K278:O278"/>
    <mergeCell ref="K279:O279"/>
    <mergeCell ref="K280:O280"/>
    <mergeCell ref="K281:O281"/>
    <mergeCell ref="K282:O282"/>
    <mergeCell ref="K283:O283"/>
    <mergeCell ref="K284:O284"/>
    <mergeCell ref="K285:O285"/>
    <mergeCell ref="K286:O286"/>
    <mergeCell ref="K287:O287"/>
    <mergeCell ref="K288:O288"/>
    <mergeCell ref="K289:O289"/>
    <mergeCell ref="K290:O290"/>
    <mergeCell ref="K291:O291"/>
    <mergeCell ref="K292:O292"/>
    <mergeCell ref="K293:O293"/>
    <mergeCell ref="K294:O294"/>
    <mergeCell ref="K295:O295"/>
    <mergeCell ref="K296:O296"/>
    <mergeCell ref="K297:O297"/>
    <mergeCell ref="K298:O298"/>
    <mergeCell ref="K299:O299"/>
    <mergeCell ref="K300:O300"/>
    <mergeCell ref="K301:O301"/>
    <mergeCell ref="K302:O302"/>
    <mergeCell ref="K303:O303"/>
    <mergeCell ref="K304:O304"/>
    <mergeCell ref="K305:O305"/>
    <mergeCell ref="K306:O306"/>
    <mergeCell ref="K307:O307"/>
    <mergeCell ref="K308:O308"/>
    <mergeCell ref="K309:O309"/>
    <mergeCell ref="K310:O310"/>
    <mergeCell ref="K311:O311"/>
    <mergeCell ref="K312:O312"/>
    <mergeCell ref="K313:O313"/>
    <mergeCell ref="K314:O314"/>
    <mergeCell ref="K315:O315"/>
    <mergeCell ref="K316:O316"/>
    <mergeCell ref="K317:O317"/>
    <mergeCell ref="K318:O318"/>
    <mergeCell ref="K319:O319"/>
    <mergeCell ref="K320:O320"/>
    <mergeCell ref="K321:O321"/>
    <mergeCell ref="K322:O322"/>
    <mergeCell ref="K323:O323"/>
    <mergeCell ref="K324:O324"/>
    <mergeCell ref="K325:O325"/>
    <mergeCell ref="K326:O326"/>
    <mergeCell ref="K327:O327"/>
    <mergeCell ref="K328:O328"/>
    <mergeCell ref="K329:O329"/>
    <mergeCell ref="K330:O330"/>
    <mergeCell ref="K331:O331"/>
    <mergeCell ref="K332:O332"/>
    <mergeCell ref="K333:O333"/>
    <mergeCell ref="K334:O334"/>
    <mergeCell ref="K335:O335"/>
    <mergeCell ref="K336:O336"/>
    <mergeCell ref="K337:O337"/>
    <mergeCell ref="K338:O338"/>
    <mergeCell ref="K339:O339"/>
    <mergeCell ref="K340:O340"/>
    <mergeCell ref="K341:O341"/>
    <mergeCell ref="K342:O342"/>
    <mergeCell ref="K343:O343"/>
    <mergeCell ref="K344:O344"/>
    <mergeCell ref="K345:O345"/>
    <mergeCell ref="K346:O346"/>
    <mergeCell ref="K347:O347"/>
    <mergeCell ref="K348:O348"/>
    <mergeCell ref="K349:O349"/>
    <mergeCell ref="K350:O350"/>
    <mergeCell ref="K351:O351"/>
    <mergeCell ref="K352:O352"/>
    <mergeCell ref="K353:O353"/>
    <mergeCell ref="K354:O354"/>
    <mergeCell ref="K355:O355"/>
    <mergeCell ref="K356:O356"/>
    <mergeCell ref="K357:O357"/>
    <mergeCell ref="K358:O358"/>
    <mergeCell ref="K359:O359"/>
    <mergeCell ref="K360:O360"/>
    <mergeCell ref="K361:O361"/>
    <mergeCell ref="K362:O362"/>
    <mergeCell ref="K363:O363"/>
    <mergeCell ref="K364:O364"/>
    <mergeCell ref="K365:O365"/>
    <mergeCell ref="K366:O366"/>
    <mergeCell ref="K367:O367"/>
    <mergeCell ref="K368:O368"/>
    <mergeCell ref="K369:O369"/>
    <mergeCell ref="K370:O370"/>
    <mergeCell ref="K371:O371"/>
    <mergeCell ref="K372:O372"/>
    <mergeCell ref="K373:O373"/>
    <mergeCell ref="K374:O374"/>
    <mergeCell ref="K375:O375"/>
    <mergeCell ref="K376:O376"/>
    <mergeCell ref="K377:O377"/>
    <mergeCell ref="K378:O378"/>
    <mergeCell ref="K379:O379"/>
    <mergeCell ref="K380:O380"/>
    <mergeCell ref="K381:O381"/>
    <mergeCell ref="K382:O382"/>
    <mergeCell ref="K383:O383"/>
    <mergeCell ref="K384:O384"/>
    <mergeCell ref="K385:O385"/>
    <mergeCell ref="K386:O386"/>
    <mergeCell ref="K387:O387"/>
    <mergeCell ref="K388:O388"/>
    <mergeCell ref="K389:O389"/>
    <mergeCell ref="K390:O390"/>
    <mergeCell ref="K391:O391"/>
    <mergeCell ref="K392:O392"/>
    <mergeCell ref="K393:O393"/>
    <mergeCell ref="K394:O394"/>
    <mergeCell ref="K395:O395"/>
    <mergeCell ref="K396:O396"/>
    <mergeCell ref="K397:O397"/>
    <mergeCell ref="K398:O398"/>
    <mergeCell ref="K399:O399"/>
    <mergeCell ref="K400:O400"/>
    <mergeCell ref="K450:O450"/>
    <mergeCell ref="K451:O451"/>
    <mergeCell ref="K452:O452"/>
    <mergeCell ref="K453:O453"/>
    <mergeCell ref="K454:O454"/>
    <mergeCell ref="K455:O455"/>
    <mergeCell ref="K456:O456"/>
    <mergeCell ref="K457:O457"/>
    <mergeCell ref="K458:O458"/>
    <mergeCell ref="K459:O459"/>
    <mergeCell ref="K460:O460"/>
    <mergeCell ref="K461:O461"/>
    <mergeCell ref="K462:O462"/>
    <mergeCell ref="K463:O463"/>
    <mergeCell ref="K464:O464"/>
    <mergeCell ref="K465:O465"/>
    <mergeCell ref="K466:O466"/>
    <mergeCell ref="K467:O467"/>
    <mergeCell ref="K468:O468"/>
    <mergeCell ref="K469:O469"/>
    <mergeCell ref="K470:O470"/>
    <mergeCell ref="K471:O471"/>
    <mergeCell ref="K472:O472"/>
    <mergeCell ref="K473:O473"/>
    <mergeCell ref="K474:O474"/>
    <mergeCell ref="K475:O475"/>
    <mergeCell ref="K476:O476"/>
    <mergeCell ref="K477:O477"/>
    <mergeCell ref="K478:O478"/>
    <mergeCell ref="K479:O479"/>
    <mergeCell ref="K480:O480"/>
    <mergeCell ref="K481:O481"/>
    <mergeCell ref="K482:O482"/>
    <mergeCell ref="K483:O483"/>
    <mergeCell ref="K484:O484"/>
    <mergeCell ref="K485:O485"/>
    <mergeCell ref="K486:O486"/>
    <mergeCell ref="K487:O487"/>
    <mergeCell ref="K488:O488"/>
    <mergeCell ref="K489:O489"/>
    <mergeCell ref="K490:O490"/>
    <mergeCell ref="K491:O491"/>
    <mergeCell ref="K499:O499"/>
    <mergeCell ref="K500:O500"/>
    <mergeCell ref="K501:O501"/>
    <mergeCell ref="K502:O502"/>
    <mergeCell ref="K503:O503"/>
    <mergeCell ref="K504:O504"/>
    <mergeCell ref="K505:O505"/>
    <mergeCell ref="K506:O506"/>
    <mergeCell ref="K492:O492"/>
    <mergeCell ref="K493:O493"/>
    <mergeCell ref="K494:O494"/>
    <mergeCell ref="K495:O495"/>
    <mergeCell ref="K496:O496"/>
    <mergeCell ref="K497:O497"/>
    <mergeCell ref="K498:O498"/>
    <mergeCell ref="K401:O401"/>
    <mergeCell ref="K402:O402"/>
    <mergeCell ref="K403:O403"/>
    <mergeCell ref="K404:O404"/>
    <mergeCell ref="K405:O405"/>
    <mergeCell ref="K406:O406"/>
    <mergeCell ref="K407:O407"/>
    <mergeCell ref="K408:O408"/>
    <mergeCell ref="K409:O409"/>
    <mergeCell ref="K410:O410"/>
    <mergeCell ref="K411:O411"/>
    <mergeCell ref="K412:O412"/>
    <mergeCell ref="K413:O413"/>
    <mergeCell ref="K414:O414"/>
    <mergeCell ref="K415:O415"/>
    <mergeCell ref="K416:O416"/>
    <mergeCell ref="K417:O417"/>
    <mergeCell ref="K418:O418"/>
    <mergeCell ref="K419:O419"/>
    <mergeCell ref="K420:O420"/>
    <mergeCell ref="K421:O421"/>
    <mergeCell ref="K422:O422"/>
    <mergeCell ref="K423:O423"/>
    <mergeCell ref="K424:O424"/>
    <mergeCell ref="K425:O425"/>
    <mergeCell ref="K426:O426"/>
    <mergeCell ref="K427:O427"/>
    <mergeCell ref="K428:O428"/>
    <mergeCell ref="K429:O429"/>
    <mergeCell ref="K430:O430"/>
    <mergeCell ref="K431:O431"/>
    <mergeCell ref="K432:O432"/>
    <mergeCell ref="K433:O433"/>
    <mergeCell ref="K434:O434"/>
    <mergeCell ref="K435:O435"/>
    <mergeCell ref="K436:O436"/>
    <mergeCell ref="K437:O437"/>
    <mergeCell ref="K438:O438"/>
    <mergeCell ref="K439:O439"/>
    <mergeCell ref="K440:O440"/>
    <mergeCell ref="K441:O441"/>
    <mergeCell ref="K442:O442"/>
    <mergeCell ref="K443:O443"/>
    <mergeCell ref="K444:O444"/>
    <mergeCell ref="K445:O445"/>
    <mergeCell ref="K446:O446"/>
    <mergeCell ref="K447:O447"/>
    <mergeCell ref="K448:O448"/>
    <mergeCell ref="K449:O449"/>
    <mergeCell ref="K1:O1"/>
    <mergeCell ref="CL1:CN1"/>
    <mergeCell ref="DS1:DX1"/>
    <mergeCell ref="K2:O2"/>
    <mergeCell ref="CL2:CN2"/>
    <mergeCell ref="K3:O3"/>
    <mergeCell ref="CL3:CN3"/>
    <mergeCell ref="K4:O4"/>
    <mergeCell ref="BF4:BG4"/>
    <mergeCell ref="CL4:CN4"/>
    <mergeCell ref="K5:O5"/>
    <mergeCell ref="CL5:CN5"/>
    <mergeCell ref="BE6:BG6"/>
    <mergeCell ref="CL6:CN6"/>
    <mergeCell ref="DS2:DX2"/>
    <mergeCell ref="DS3:DX3"/>
    <mergeCell ref="DS4:DX4"/>
    <mergeCell ref="DS5:DX5"/>
    <mergeCell ref="DS6:DX6"/>
    <mergeCell ref="DS7:DX7"/>
    <mergeCell ref="DS8:DX8"/>
    <mergeCell ref="K13:O13"/>
    <mergeCell ref="K14:O14"/>
    <mergeCell ref="K15:O15"/>
    <mergeCell ref="BE15:BF15"/>
    <mergeCell ref="BF16:BG16"/>
    <mergeCell ref="CL7:CN7"/>
    <mergeCell ref="CL8:CN8"/>
    <mergeCell ref="CL9:CN9"/>
    <mergeCell ref="CL10:CN10"/>
    <mergeCell ref="CL11:CN11"/>
    <mergeCell ref="CL12:CN12"/>
    <mergeCell ref="CL13:CN13"/>
    <mergeCell ref="DS9:DX9"/>
    <mergeCell ref="DS10:DX10"/>
    <mergeCell ref="DS11:DX11"/>
    <mergeCell ref="DS12:DX12"/>
    <mergeCell ref="DS13:DX13"/>
    <mergeCell ref="DS14:DX14"/>
    <mergeCell ref="DS15:DX15"/>
    <mergeCell ref="DS23:DX23"/>
    <mergeCell ref="DS24:DX24"/>
    <mergeCell ref="DS25:DX25"/>
    <mergeCell ref="DS16:DX16"/>
    <mergeCell ref="DS17:DX17"/>
    <mergeCell ref="DS18:DX18"/>
    <mergeCell ref="DS19:DX19"/>
    <mergeCell ref="DS20:DX20"/>
    <mergeCell ref="DS21:DX21"/>
    <mergeCell ref="DS22:DX22"/>
    <mergeCell ref="K6:O6"/>
    <mergeCell ref="K7:O7"/>
    <mergeCell ref="K8:O8"/>
    <mergeCell ref="K9:O9"/>
    <mergeCell ref="K10:O10"/>
    <mergeCell ref="K11:O11"/>
    <mergeCell ref="K12:O12"/>
    <mergeCell ref="K16:O16"/>
    <mergeCell ref="K17:O17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47:O47"/>
    <mergeCell ref="K48:O48"/>
    <mergeCell ref="K49:O49"/>
    <mergeCell ref="K50:O50"/>
    <mergeCell ref="K51:O51"/>
    <mergeCell ref="K52:O52"/>
    <mergeCell ref="K53:O53"/>
    <mergeCell ref="K54:O54"/>
    <mergeCell ref="K55:O55"/>
    <mergeCell ref="K56:O56"/>
    <mergeCell ref="K57:O57"/>
    <mergeCell ref="CL14:CN14"/>
    <mergeCell ref="CL15:CN15"/>
    <mergeCell ref="CL16:CN16"/>
    <mergeCell ref="CL17:CN17"/>
    <mergeCell ref="CL18:CN18"/>
    <mergeCell ref="CL19:CN19"/>
    <mergeCell ref="CL20:CN20"/>
    <mergeCell ref="CL21:CN21"/>
    <mergeCell ref="CL22:CN22"/>
    <mergeCell ref="CL23:CN23"/>
    <mergeCell ref="CL24:CN24"/>
    <mergeCell ref="CL25:CN25"/>
    <mergeCell ref="CL26:CN26"/>
    <mergeCell ref="CL27:CN27"/>
    <mergeCell ref="CL28:CN28"/>
    <mergeCell ref="CL29:CN29"/>
    <mergeCell ref="CL30:CN30"/>
    <mergeCell ref="CL31:CN31"/>
    <mergeCell ref="CL32:CN32"/>
    <mergeCell ref="CL33:CN33"/>
    <mergeCell ref="CL34:CN34"/>
    <mergeCell ref="CL35:CN35"/>
    <mergeCell ref="CL36:CN36"/>
    <mergeCell ref="CL37:CN37"/>
    <mergeCell ref="CL38:CN38"/>
    <mergeCell ref="CL39:CN39"/>
    <mergeCell ref="CL40:CN40"/>
    <mergeCell ref="CL41:CN41"/>
    <mergeCell ref="CL42:CN42"/>
    <mergeCell ref="CL43:CN43"/>
    <mergeCell ref="CL44:CN44"/>
    <mergeCell ref="CL45:CN45"/>
    <mergeCell ref="CL46:CN46"/>
    <mergeCell ref="CL47:CN47"/>
    <mergeCell ref="CL48:CN48"/>
    <mergeCell ref="CL49:CN49"/>
    <mergeCell ref="CL50:CN50"/>
    <mergeCell ref="CL51:CN51"/>
    <mergeCell ref="CL52:CN52"/>
    <mergeCell ref="CL53:CN53"/>
    <mergeCell ref="CL54:CN54"/>
    <mergeCell ref="CL55:CN55"/>
    <mergeCell ref="CL56:CN56"/>
    <mergeCell ref="CL57:CN57"/>
    <mergeCell ref="CL58:CN58"/>
    <mergeCell ref="CL59:CN59"/>
    <mergeCell ref="CL60:CN60"/>
    <mergeCell ref="CL61:CN61"/>
    <mergeCell ref="CL62:CN62"/>
    <mergeCell ref="K58:O58"/>
    <mergeCell ref="K59:O59"/>
    <mergeCell ref="K60:O60"/>
    <mergeCell ref="K61:O61"/>
    <mergeCell ref="K62:O62"/>
    <mergeCell ref="K63:O63"/>
    <mergeCell ref="K64:O64"/>
    <mergeCell ref="K65:O65"/>
    <mergeCell ref="K66:O66"/>
    <mergeCell ref="K67:O67"/>
    <mergeCell ref="K68:O68"/>
    <mergeCell ref="K69:O69"/>
    <mergeCell ref="K70:O70"/>
    <mergeCell ref="K71:O71"/>
    <mergeCell ref="K72:O72"/>
    <mergeCell ref="K73:O73"/>
    <mergeCell ref="K74:O74"/>
    <mergeCell ref="K75:O75"/>
    <mergeCell ref="K76:O76"/>
    <mergeCell ref="K77:O77"/>
    <mergeCell ref="K78:O78"/>
    <mergeCell ref="K79:O79"/>
    <mergeCell ref="K80:O80"/>
    <mergeCell ref="K81:O81"/>
    <mergeCell ref="K82:O82"/>
    <mergeCell ref="K83:O83"/>
    <mergeCell ref="K84:O84"/>
    <mergeCell ref="K85:O85"/>
    <mergeCell ref="K86:O86"/>
    <mergeCell ref="K87:O87"/>
    <mergeCell ref="K88:O88"/>
    <mergeCell ref="K89:O89"/>
    <mergeCell ref="K90:O90"/>
    <mergeCell ref="K91:O91"/>
    <mergeCell ref="K92:O92"/>
    <mergeCell ref="K93:O93"/>
    <mergeCell ref="K94:O94"/>
    <mergeCell ref="K95:O95"/>
    <mergeCell ref="K96:O96"/>
    <mergeCell ref="K97:O97"/>
    <mergeCell ref="K98:O98"/>
    <mergeCell ref="K99:O99"/>
    <mergeCell ref="K100:O100"/>
    <mergeCell ref="K101:O101"/>
    <mergeCell ref="K102:O102"/>
    <mergeCell ref="K103:O103"/>
    <mergeCell ref="K104:O104"/>
    <mergeCell ref="K105:O105"/>
    <mergeCell ref="K106:O106"/>
    <mergeCell ref="BF129:BG129"/>
    <mergeCell ref="BE130:BF130"/>
    <mergeCell ref="BE131:BF131"/>
    <mergeCell ref="BF132:BG132"/>
    <mergeCell ref="BF133:BG133"/>
    <mergeCell ref="BE134:BF134"/>
    <mergeCell ref="BE135:BF135"/>
    <mergeCell ref="BE136:BF136"/>
    <mergeCell ref="BF137:BG137"/>
    <mergeCell ref="BF138:BG138"/>
    <mergeCell ref="BE139:BF139"/>
    <mergeCell ref="BF140:BG140"/>
    <mergeCell ref="BE141:BF141"/>
    <mergeCell ref="BE142:BF142"/>
    <mergeCell ref="BE143:BF143"/>
    <mergeCell ref="BE144:BG144"/>
    <mergeCell ref="BE145:BG145"/>
    <mergeCell ref="BE146:BG146"/>
    <mergeCell ref="BF147:BG147"/>
    <mergeCell ref="BE148:BF148"/>
    <mergeCell ref="BE149:BG149"/>
    <mergeCell ref="BE160:BF160"/>
    <mergeCell ref="BF161:BG161"/>
    <mergeCell ref="BE162:BF162"/>
    <mergeCell ref="BF163:BG163"/>
    <mergeCell ref="BE150:BG150"/>
    <mergeCell ref="BE151:BG151"/>
    <mergeCell ref="BF152:BG152"/>
    <mergeCell ref="BF154:BG154"/>
    <mergeCell ref="BF155:BG155"/>
    <mergeCell ref="BE157:BG157"/>
    <mergeCell ref="BF158:BG158"/>
    <mergeCell ref="CL157:CN157"/>
    <mergeCell ref="CL158:CN158"/>
    <mergeCell ref="CL159:CN159"/>
    <mergeCell ref="CL160:CN160"/>
    <mergeCell ref="CL161:CN161"/>
    <mergeCell ref="CL162:CN162"/>
    <mergeCell ref="CL163:CN163"/>
    <mergeCell ref="CL150:CN150"/>
    <mergeCell ref="CL151:CN151"/>
    <mergeCell ref="CL152:CN152"/>
    <mergeCell ref="CL153:CN153"/>
    <mergeCell ref="CL154:CN154"/>
    <mergeCell ref="CL155:CN155"/>
    <mergeCell ref="CL156:CN156"/>
    <mergeCell ref="CL63:CN63"/>
    <mergeCell ref="CL64:CN64"/>
    <mergeCell ref="CL65:CN65"/>
    <mergeCell ref="CL66:CN66"/>
    <mergeCell ref="CL67:CN67"/>
    <mergeCell ref="CL68:CN68"/>
    <mergeCell ref="CL69:CN69"/>
    <mergeCell ref="CL70:CN70"/>
    <mergeCell ref="CL71:CN71"/>
    <mergeCell ref="CL72:CN72"/>
    <mergeCell ref="CL73:CN73"/>
    <mergeCell ref="CL74:CN74"/>
    <mergeCell ref="CL75:CN75"/>
    <mergeCell ref="CL76:CN76"/>
    <mergeCell ref="CL77:CN77"/>
    <mergeCell ref="CL78:CN78"/>
    <mergeCell ref="CL79:CN79"/>
    <mergeCell ref="CL80:CN80"/>
    <mergeCell ref="CL81:CN81"/>
    <mergeCell ref="CL82:CN82"/>
    <mergeCell ref="CL83:CN83"/>
    <mergeCell ref="CL84:CN84"/>
    <mergeCell ref="CL85:CN85"/>
    <mergeCell ref="CL86:CN86"/>
    <mergeCell ref="CL87:CN87"/>
    <mergeCell ref="CL88:CN88"/>
    <mergeCell ref="CL89:CN89"/>
    <mergeCell ref="CL90:CN90"/>
    <mergeCell ref="CL91:CN91"/>
    <mergeCell ref="CL92:CN92"/>
    <mergeCell ref="CL93:CN93"/>
    <mergeCell ref="CL94:CN94"/>
    <mergeCell ref="CL95:CN95"/>
    <mergeCell ref="CL96:CN96"/>
    <mergeCell ref="CL97:CN97"/>
    <mergeCell ref="CL98:CN98"/>
    <mergeCell ref="CL99:CN99"/>
    <mergeCell ref="CL100:CN100"/>
    <mergeCell ref="CL101:CN101"/>
    <mergeCell ref="CL102:CN102"/>
    <mergeCell ref="CL103:CN103"/>
    <mergeCell ref="CL104:CN104"/>
    <mergeCell ref="CL105:CN105"/>
    <mergeCell ref="CL106:CN106"/>
    <mergeCell ref="CL107:CN107"/>
    <mergeCell ref="CL108:CN108"/>
    <mergeCell ref="CL109:CN109"/>
    <mergeCell ref="CL110:CN110"/>
    <mergeCell ref="CL111:CN111"/>
    <mergeCell ref="BE416:BF416"/>
    <mergeCell ref="BE417:BF417"/>
    <mergeCell ref="BF420:BG420"/>
    <mergeCell ref="BF422:BG422"/>
    <mergeCell ref="BF423:BG423"/>
    <mergeCell ref="BE424:BF424"/>
    <mergeCell ref="BF425:BG425"/>
    <mergeCell ref="BE426:BF426"/>
    <mergeCell ref="BF427:BG427"/>
    <mergeCell ref="BE428:BF428"/>
    <mergeCell ref="BE429:BF429"/>
    <mergeCell ref="BF430:BG430"/>
    <mergeCell ref="BE431:BF431"/>
    <mergeCell ref="BF432:BG432"/>
    <mergeCell ref="BF441:BG441"/>
    <mergeCell ref="BF443:BG443"/>
    <mergeCell ref="BF444:BG444"/>
    <mergeCell ref="BF445:BG445"/>
    <mergeCell ref="BF446:BG446"/>
    <mergeCell ref="BF448:BG448"/>
    <mergeCell ref="BE449:BF449"/>
    <mergeCell ref="BE450:BG450"/>
    <mergeCell ref="BF451:BG451"/>
    <mergeCell ref="BF452:BG452"/>
    <mergeCell ref="BF454:BG454"/>
    <mergeCell ref="BE455:BF455"/>
    <mergeCell ref="BF456:BG456"/>
    <mergeCell ref="BE457:BF457"/>
    <mergeCell ref="BF458:BG458"/>
    <mergeCell ref="BE459:BF459"/>
    <mergeCell ref="BE460:BF460"/>
    <mergeCell ref="BF461:BG461"/>
    <mergeCell ref="BE462:BF462"/>
    <mergeCell ref="BF463:BG463"/>
    <mergeCell ref="BF464:BG464"/>
    <mergeCell ref="BE467:BG467"/>
    <mergeCell ref="BE468:BG468"/>
    <mergeCell ref="BE469:BG469"/>
    <mergeCell ref="BE470:BF470"/>
    <mergeCell ref="BE471:BG471"/>
    <mergeCell ref="BE472:BG472"/>
    <mergeCell ref="BE473:BF473"/>
    <mergeCell ref="BE474:BF474"/>
    <mergeCell ref="BE475:BF475"/>
    <mergeCell ref="BE476:BF476"/>
    <mergeCell ref="BE477:BF477"/>
    <mergeCell ref="BE478:BG478"/>
    <mergeCell ref="BE479:BG479"/>
    <mergeCell ref="BE480:BG480"/>
    <mergeCell ref="BF481:BG481"/>
    <mergeCell ref="BF482:BG482"/>
    <mergeCell ref="BE483:BF483"/>
    <mergeCell ref="BE490:BF490"/>
    <mergeCell ref="BE492:BF492"/>
    <mergeCell ref="BE493:BG493"/>
    <mergeCell ref="BE494:BG494"/>
    <mergeCell ref="BE502:BF502"/>
    <mergeCell ref="BE503:BG503"/>
    <mergeCell ref="BE504:BG504"/>
    <mergeCell ref="BE505:BG505"/>
    <mergeCell ref="BE495:BG495"/>
    <mergeCell ref="BE496:BG496"/>
    <mergeCell ref="BE497:BG497"/>
    <mergeCell ref="BE498:BG498"/>
    <mergeCell ref="BE499:BG499"/>
    <mergeCell ref="BF500:BG500"/>
    <mergeCell ref="BE501:BG501"/>
    <mergeCell ref="BE365:BG365"/>
    <mergeCell ref="BF366:BG366"/>
    <mergeCell ref="BE368:BF368"/>
    <mergeCell ref="BF370:BG370"/>
    <mergeCell ref="BF371:BG371"/>
    <mergeCell ref="BE372:BF372"/>
    <mergeCell ref="BE373:BG373"/>
    <mergeCell ref="BF374:BG374"/>
    <mergeCell ref="BE375:BF375"/>
    <mergeCell ref="BE376:BG376"/>
    <mergeCell ref="BE377:BG377"/>
    <mergeCell ref="BE378:BG378"/>
    <mergeCell ref="BE379:BF379"/>
    <mergeCell ref="BE380:BG380"/>
    <mergeCell ref="BE381:BG381"/>
    <mergeCell ref="BE382:BG382"/>
    <mergeCell ref="BE383:BG383"/>
    <mergeCell ref="BE384:BF384"/>
    <mergeCell ref="BE385:BG385"/>
    <mergeCell ref="BF390:BG390"/>
    <mergeCell ref="BE392:BF392"/>
    <mergeCell ref="BF393:BG393"/>
    <mergeCell ref="BF396:BG396"/>
    <mergeCell ref="BE397:BF397"/>
    <mergeCell ref="BE398:BG398"/>
    <mergeCell ref="BF399:BG399"/>
    <mergeCell ref="BE400:BF400"/>
    <mergeCell ref="BE401:BG401"/>
    <mergeCell ref="BF402:BG402"/>
    <mergeCell ref="BE403:BF403"/>
    <mergeCell ref="BF404:BG404"/>
    <mergeCell ref="BE405:BF405"/>
    <mergeCell ref="BF406:BG406"/>
    <mergeCell ref="BE407:BF407"/>
    <mergeCell ref="BE408:BG408"/>
    <mergeCell ref="BF409:BG409"/>
    <mergeCell ref="BE410:BG410"/>
    <mergeCell ref="BF411:BG411"/>
    <mergeCell ref="BE412:BF412"/>
    <mergeCell ref="BF413:BG413"/>
    <mergeCell ref="BE414:BF414"/>
    <mergeCell ref="BF415:BG415"/>
    <mergeCell ref="BE433:BF433"/>
    <mergeCell ref="BE435:BF435"/>
    <mergeCell ref="BF436:BG436"/>
    <mergeCell ref="BE437:BF437"/>
    <mergeCell ref="BF438:BG438"/>
    <mergeCell ref="BF439:BG439"/>
    <mergeCell ref="BE440:BF440"/>
    <mergeCell ref="BF1:BG1"/>
    <mergeCell ref="BE3:BF3"/>
    <mergeCell ref="BF7:BG7"/>
    <mergeCell ref="BE9:BG9"/>
    <mergeCell ref="BF10:BG10"/>
    <mergeCell ref="BE11:BF11"/>
    <mergeCell ref="BE12:BF12"/>
    <mergeCell ref="BF13:BG13"/>
    <mergeCell ref="BE14:BF14"/>
    <mergeCell ref="BE17:BF17"/>
    <mergeCell ref="BE18:BG18"/>
    <mergeCell ref="BF19:BG19"/>
    <mergeCell ref="BE20:BF20"/>
    <mergeCell ref="BF21:BG21"/>
    <mergeCell ref="BE22:BF22"/>
    <mergeCell ref="BF23:BG23"/>
    <mergeCell ref="BE24:BF24"/>
    <mergeCell ref="BE25:BF25"/>
    <mergeCell ref="BE26:BG26"/>
    <mergeCell ref="BF27:BG27"/>
    <mergeCell ref="BE28:BF28"/>
    <mergeCell ref="BF29:BG29"/>
    <mergeCell ref="BE30:BF30"/>
    <mergeCell ref="BE31:BG31"/>
    <mergeCell ref="BF32:BG32"/>
    <mergeCell ref="BE33:BF33"/>
    <mergeCell ref="BE34:BG34"/>
    <mergeCell ref="BE35:BF35"/>
    <mergeCell ref="BE36:BG36"/>
    <mergeCell ref="BF37:BG37"/>
    <mergeCell ref="BE39:BF39"/>
    <mergeCell ref="BE40:BG40"/>
    <mergeCell ref="BF41:BG41"/>
    <mergeCell ref="BE42:BF42"/>
    <mergeCell ref="BF43:BG43"/>
    <mergeCell ref="BE44:BF44"/>
    <mergeCell ref="BE45:BG45"/>
    <mergeCell ref="BF46:BG46"/>
    <mergeCell ref="BE47:BF47"/>
    <mergeCell ref="BF48:BG48"/>
    <mergeCell ref="BF50:BG50"/>
    <mergeCell ref="BE51:BF51"/>
    <mergeCell ref="BF52:BG52"/>
    <mergeCell ref="BE53:BF53"/>
    <mergeCell ref="BF54:BG54"/>
    <mergeCell ref="BE55:BF55"/>
    <mergeCell ref="BF56:BG56"/>
    <mergeCell ref="BE57:BF57"/>
    <mergeCell ref="BF58:BG58"/>
    <mergeCell ref="BF198:BG198"/>
    <mergeCell ref="BE199:BG199"/>
    <mergeCell ref="BF200:BG200"/>
    <mergeCell ref="BE202:BF202"/>
    <mergeCell ref="BE203:BF203"/>
    <mergeCell ref="BF204:BG204"/>
    <mergeCell ref="BE205:BF205"/>
    <mergeCell ref="BF206:BG206"/>
    <mergeCell ref="BF207:BG207"/>
    <mergeCell ref="BE208:BF208"/>
    <mergeCell ref="BF209:BG209"/>
    <mergeCell ref="BE210:BF210"/>
    <mergeCell ref="BF211:BG211"/>
    <mergeCell ref="BE212:BF212"/>
    <mergeCell ref="BF119:BG119"/>
    <mergeCell ref="BF120:BG120"/>
    <mergeCell ref="BE121:BF121"/>
    <mergeCell ref="BE122:BF122"/>
    <mergeCell ref="BF123:BG123"/>
    <mergeCell ref="BE124:BF124"/>
    <mergeCell ref="BE125:BF125"/>
    <mergeCell ref="BE126:BF126"/>
    <mergeCell ref="BE127:BF127"/>
    <mergeCell ref="BE164:BF164"/>
    <mergeCell ref="BF165:BG165"/>
    <mergeCell ref="BE166:BF166"/>
    <mergeCell ref="BF167:BG167"/>
    <mergeCell ref="BE168:BF168"/>
    <mergeCell ref="BE169:BG169"/>
    <mergeCell ref="BF170:BG170"/>
    <mergeCell ref="BE171:BF171"/>
    <mergeCell ref="BF172:BG172"/>
    <mergeCell ref="BE173:BF173"/>
    <mergeCell ref="BF174:BG174"/>
    <mergeCell ref="BF175:BG175"/>
    <mergeCell ref="BE176:BF176"/>
    <mergeCell ref="BF177:BG177"/>
    <mergeCell ref="BF179:BG179"/>
    <mergeCell ref="BE180:BF180"/>
    <mergeCell ref="BE181:BG181"/>
    <mergeCell ref="BE182:BG182"/>
    <mergeCell ref="BE183:BF183"/>
    <mergeCell ref="BE184:BG184"/>
    <mergeCell ref="BE185:BF185"/>
    <mergeCell ref="BE186:BG186"/>
    <mergeCell ref="BF187:BG187"/>
    <mergeCell ref="BE188:BF188"/>
    <mergeCell ref="BE189:BG189"/>
    <mergeCell ref="BF190:BG190"/>
    <mergeCell ref="BF191:BG191"/>
    <mergeCell ref="BE192:BF192"/>
    <mergeCell ref="BE193:BF193"/>
    <mergeCell ref="BF194:BG194"/>
    <mergeCell ref="BE195:BF195"/>
    <mergeCell ref="BE196:BF196"/>
    <mergeCell ref="BE197:BF197"/>
    <mergeCell ref="BE214:BF214"/>
    <mergeCell ref="BF215:BG215"/>
    <mergeCell ref="BF216:BG216"/>
    <mergeCell ref="BE217:BF217"/>
    <mergeCell ref="BF218:BG218"/>
    <mergeCell ref="BE219:BF219"/>
    <mergeCell ref="BF220:BG220"/>
    <mergeCell ref="BE269:BG269"/>
    <mergeCell ref="BF270:BG270"/>
    <mergeCell ref="BE271:BF271"/>
    <mergeCell ref="BE272:BG272"/>
    <mergeCell ref="BF273:BG273"/>
    <mergeCell ref="BE274:BF274"/>
    <mergeCell ref="BE275:BG275"/>
    <mergeCell ref="BF276:BG276"/>
    <mergeCell ref="BE277:BF277"/>
    <mergeCell ref="BF278:BG278"/>
    <mergeCell ref="BE279:BF279"/>
    <mergeCell ref="BF280:BG280"/>
    <mergeCell ref="BE281:BF281"/>
    <mergeCell ref="BE282:BG282"/>
    <mergeCell ref="BF283:BG283"/>
    <mergeCell ref="BF285:BG285"/>
    <mergeCell ref="BE286:BF286"/>
    <mergeCell ref="BF287:BG287"/>
    <mergeCell ref="BE288:BF288"/>
    <mergeCell ref="BE289:BG289"/>
    <mergeCell ref="BF290:BG290"/>
    <mergeCell ref="BE291:BF291"/>
    <mergeCell ref="BE292:BF292"/>
    <mergeCell ref="BF293:BG293"/>
    <mergeCell ref="BE294:BF294"/>
    <mergeCell ref="BE295:BG295"/>
    <mergeCell ref="BF296:BG296"/>
    <mergeCell ref="BE297:BF297"/>
    <mergeCell ref="BF223:BG223"/>
    <mergeCell ref="BF225:BG225"/>
    <mergeCell ref="BE226:BF226"/>
    <mergeCell ref="BE227:BF227"/>
    <mergeCell ref="BF228:BG228"/>
    <mergeCell ref="BE229:BF229"/>
    <mergeCell ref="BF231:BG231"/>
    <mergeCell ref="BE233:BF233"/>
    <mergeCell ref="BF234:BG234"/>
    <mergeCell ref="BF235:BG235"/>
    <mergeCell ref="BF236:BG236"/>
    <mergeCell ref="BE237:BF237"/>
    <mergeCell ref="BF238:BG238"/>
    <mergeCell ref="BF239:BG239"/>
    <mergeCell ref="BF240:BG240"/>
    <mergeCell ref="BE241:BF241"/>
    <mergeCell ref="BE242:BG242"/>
    <mergeCell ref="BF243:BG243"/>
    <mergeCell ref="BF244:BG244"/>
    <mergeCell ref="BF245:BG245"/>
    <mergeCell ref="BF246:BG246"/>
    <mergeCell ref="BF247:BG247"/>
    <mergeCell ref="BE248:BG248"/>
    <mergeCell ref="BE249:BG249"/>
    <mergeCell ref="BE250:BG250"/>
    <mergeCell ref="BE251:BG251"/>
    <mergeCell ref="BF252:BG252"/>
    <mergeCell ref="BE253:BF253"/>
    <mergeCell ref="BE254:BG254"/>
    <mergeCell ref="BF255:BG255"/>
    <mergeCell ref="BE257:BG257"/>
    <mergeCell ref="BF258:BG258"/>
    <mergeCell ref="BE259:BF259"/>
    <mergeCell ref="BE260:BG260"/>
    <mergeCell ref="BF261:BG261"/>
    <mergeCell ref="BE262:BF262"/>
    <mergeCell ref="BF263:BG263"/>
    <mergeCell ref="BE264:BF264"/>
    <mergeCell ref="BF265:BG265"/>
    <mergeCell ref="BE266:BF266"/>
    <mergeCell ref="BE267:BG267"/>
    <mergeCell ref="BE268:BF268"/>
    <mergeCell ref="BF298:BG298"/>
    <mergeCell ref="BF299:BG299"/>
    <mergeCell ref="BF300:BG300"/>
    <mergeCell ref="BF304:BG304"/>
    <mergeCell ref="BE305:BF305"/>
    <mergeCell ref="BE306:BG306"/>
    <mergeCell ref="BF307:BG307"/>
    <mergeCell ref="BE308:BF308"/>
    <mergeCell ref="BF309:BG309"/>
    <mergeCell ref="BE310:BF310"/>
    <mergeCell ref="BF311:BG311"/>
    <mergeCell ref="BF312:BG312"/>
    <mergeCell ref="BF313:BG313"/>
    <mergeCell ref="BF314:BG314"/>
    <mergeCell ref="BE315:BF315"/>
    <mergeCell ref="BF316:BG316"/>
    <mergeCell ref="BE317:BF317"/>
    <mergeCell ref="BF318:BG318"/>
    <mergeCell ref="BE319:BF319"/>
    <mergeCell ref="BF320:BG320"/>
    <mergeCell ref="BF322:BG322"/>
    <mergeCell ref="BE321:BF321"/>
    <mergeCell ref="BE324:BF324"/>
    <mergeCell ref="BF325:BG325"/>
    <mergeCell ref="BE326:BF326"/>
    <mergeCell ref="BF327:BG327"/>
    <mergeCell ref="BF328:BG328"/>
    <mergeCell ref="BF333:BG333"/>
    <mergeCell ref="BE334:BF334"/>
    <mergeCell ref="BE335:BF335"/>
    <mergeCell ref="BE337:BF337"/>
    <mergeCell ref="BE338:BF338"/>
    <mergeCell ref="BF339:BG339"/>
    <mergeCell ref="BE340:BF340"/>
    <mergeCell ref="BF341:BG341"/>
    <mergeCell ref="BE342:BF342"/>
    <mergeCell ref="BF343:BG343"/>
    <mergeCell ref="BE344:BF344"/>
    <mergeCell ref="BF345:BG345"/>
    <mergeCell ref="BE346:BF346"/>
    <mergeCell ref="BF347:BG347"/>
    <mergeCell ref="BE348:BF348"/>
    <mergeCell ref="BF349:BG349"/>
    <mergeCell ref="BE350:BF350"/>
    <mergeCell ref="BF351:BG351"/>
    <mergeCell ref="BF352:BG352"/>
    <mergeCell ref="BF353:BG353"/>
    <mergeCell ref="BE354:BF354"/>
    <mergeCell ref="BF355:BG355"/>
    <mergeCell ref="BE357:BF357"/>
    <mergeCell ref="BE359:BF359"/>
    <mergeCell ref="BF360:BG360"/>
    <mergeCell ref="BF361:BG361"/>
    <mergeCell ref="BE362:BF362"/>
    <mergeCell ref="BF363:BG363"/>
    <mergeCell ref="BE364:BF364"/>
    <mergeCell ref="CL505:CN505"/>
    <mergeCell ref="CL506:CN506"/>
    <mergeCell ref="CL498:CN498"/>
    <mergeCell ref="CL499:CN499"/>
    <mergeCell ref="CL500:CN500"/>
    <mergeCell ref="CL501:CN501"/>
    <mergeCell ref="CL502:CN502"/>
    <mergeCell ref="CL503:CN503"/>
    <mergeCell ref="CL504:CN504"/>
    <mergeCell ref="CL449:CN449"/>
    <mergeCell ref="CL450:CN450"/>
    <mergeCell ref="CL451:CN451"/>
    <mergeCell ref="CL452:CN452"/>
    <mergeCell ref="CL453:CN453"/>
    <mergeCell ref="CL454:CN454"/>
    <mergeCell ref="CL455:CN455"/>
    <mergeCell ref="CL456:CN456"/>
    <mergeCell ref="CL457:CN457"/>
    <mergeCell ref="CL458:CN458"/>
    <mergeCell ref="CL459:CN459"/>
    <mergeCell ref="CL460:CN460"/>
    <mergeCell ref="CL461:CN461"/>
    <mergeCell ref="CL462:CN462"/>
    <mergeCell ref="CL463:CN463"/>
    <mergeCell ref="CL464:CN464"/>
    <mergeCell ref="CL465:CN465"/>
    <mergeCell ref="CL466:CN466"/>
    <mergeCell ref="CL467:CN467"/>
    <mergeCell ref="CL468:CN468"/>
    <mergeCell ref="CL469:CN469"/>
    <mergeCell ref="CL470:CN470"/>
    <mergeCell ref="CL471:CN471"/>
    <mergeCell ref="CL472:CN472"/>
    <mergeCell ref="CL473:CN473"/>
    <mergeCell ref="CL474:CN474"/>
    <mergeCell ref="CL475:CN475"/>
    <mergeCell ref="CL476:CN476"/>
    <mergeCell ref="CL477:CN477"/>
    <mergeCell ref="CL478:CN478"/>
    <mergeCell ref="CL479:CN479"/>
    <mergeCell ref="CL480:CN480"/>
    <mergeCell ref="CL481:CN481"/>
    <mergeCell ref="CL482:CN482"/>
    <mergeCell ref="CL483:CN483"/>
    <mergeCell ref="CL484:CN484"/>
    <mergeCell ref="CL485:CN485"/>
    <mergeCell ref="CL486:CN486"/>
    <mergeCell ref="CL487:CN487"/>
    <mergeCell ref="CL488:CN488"/>
    <mergeCell ref="CL489:CN489"/>
    <mergeCell ref="CL490:CN490"/>
    <mergeCell ref="CL491:CN491"/>
    <mergeCell ref="CL492:CN492"/>
    <mergeCell ref="CL493:CN493"/>
    <mergeCell ref="CL494:CN494"/>
    <mergeCell ref="CL495:CN495"/>
    <mergeCell ref="CL496:CN496"/>
    <mergeCell ref="CL497:CN497"/>
    <mergeCell ref="CL112:CN112"/>
    <mergeCell ref="CL113:CN113"/>
    <mergeCell ref="CL114:CN114"/>
    <mergeCell ref="CL115:CN115"/>
    <mergeCell ref="CL116:CN116"/>
    <mergeCell ref="CL117:CN117"/>
    <mergeCell ref="CL118:CN118"/>
    <mergeCell ref="CL119:CN119"/>
    <mergeCell ref="CL120:CN120"/>
    <mergeCell ref="CL121:CN121"/>
    <mergeCell ref="CL122:CN122"/>
    <mergeCell ref="CL123:CN123"/>
    <mergeCell ref="CL124:CN124"/>
    <mergeCell ref="CL125:CN125"/>
    <mergeCell ref="CL130:CN130"/>
    <mergeCell ref="CL131:CN131"/>
    <mergeCell ref="CL129:CN129"/>
    <mergeCell ref="CL132:CN132"/>
    <mergeCell ref="CL128:CN128"/>
    <mergeCell ref="CL133:CN133"/>
    <mergeCell ref="CL127:CN127"/>
    <mergeCell ref="CL134:CN134"/>
    <mergeCell ref="CL126:CN126"/>
    <mergeCell ref="CL135:CN135"/>
    <mergeCell ref="CL136:CN136"/>
    <mergeCell ref="CL137:CN137"/>
    <mergeCell ref="CL138:CN138"/>
    <mergeCell ref="CL139:CN139"/>
    <mergeCell ref="CL140:CN140"/>
    <mergeCell ref="CL141:CN141"/>
    <mergeCell ref="CL142:CN142"/>
    <mergeCell ref="CL143:CN143"/>
    <mergeCell ref="CL144:CN144"/>
    <mergeCell ref="CL145:CN145"/>
    <mergeCell ref="CL146:CN146"/>
    <mergeCell ref="CL147:CN147"/>
    <mergeCell ref="CL148:CN148"/>
    <mergeCell ref="CL149:CN149"/>
    <mergeCell ref="CL164:CN164"/>
    <mergeCell ref="CL165:CN165"/>
    <mergeCell ref="CL166:CN166"/>
    <mergeCell ref="CL167:CN167"/>
    <mergeCell ref="CL168:CN168"/>
    <mergeCell ref="CL169:CN169"/>
    <mergeCell ref="CL170:CN170"/>
    <mergeCell ref="CL171:CN171"/>
    <mergeCell ref="CL172:CN172"/>
    <mergeCell ref="CL173:CN173"/>
    <mergeCell ref="CL174:CN174"/>
    <mergeCell ref="CL175:CN175"/>
    <mergeCell ref="CL176:CN176"/>
    <mergeCell ref="CL177:CN177"/>
    <mergeCell ref="CL178:CN178"/>
    <mergeCell ref="CL179:CN179"/>
    <mergeCell ref="CL180:CN180"/>
    <mergeCell ref="CL181:CN181"/>
    <mergeCell ref="CL182:CN182"/>
    <mergeCell ref="CL183:CN183"/>
    <mergeCell ref="CL184:CN184"/>
    <mergeCell ref="CL185:CN185"/>
    <mergeCell ref="CL186:CN186"/>
    <mergeCell ref="CL187:CN187"/>
    <mergeCell ref="CL188:CN188"/>
    <mergeCell ref="CL189:CN189"/>
    <mergeCell ref="CL190:CN190"/>
    <mergeCell ref="CL191:CN191"/>
    <mergeCell ref="CL192:CN192"/>
    <mergeCell ref="CL193:CN193"/>
    <mergeCell ref="CL194:CN194"/>
    <mergeCell ref="CL195:CN195"/>
    <mergeCell ref="CL196:CN196"/>
    <mergeCell ref="CL197:CN197"/>
    <mergeCell ref="CL198:CN198"/>
    <mergeCell ref="CL199:CN199"/>
    <mergeCell ref="CL200:CN200"/>
    <mergeCell ref="CL201:CN201"/>
    <mergeCell ref="CL202:CN202"/>
    <mergeCell ref="CL203:CN203"/>
    <mergeCell ref="CL204:CN204"/>
    <mergeCell ref="CL205:CN205"/>
    <mergeCell ref="CL206:CN206"/>
    <mergeCell ref="CL207:CN207"/>
    <mergeCell ref="CL208:CN208"/>
    <mergeCell ref="CL209:CN209"/>
    <mergeCell ref="CL210:CN210"/>
    <mergeCell ref="CL211:CN211"/>
    <mergeCell ref="CL212:CN212"/>
    <mergeCell ref="CL213:CN213"/>
    <mergeCell ref="CL214:CN214"/>
    <mergeCell ref="CL215:CN215"/>
    <mergeCell ref="CL216:CN216"/>
    <mergeCell ref="CL217:CN217"/>
    <mergeCell ref="CL218:CN218"/>
    <mergeCell ref="CL219:CN219"/>
    <mergeCell ref="CL220:CN220"/>
    <mergeCell ref="CL221:CN221"/>
    <mergeCell ref="CL222:CN222"/>
    <mergeCell ref="CL223:CN223"/>
    <mergeCell ref="CL224:CN224"/>
    <mergeCell ref="CL225:CN225"/>
    <mergeCell ref="CL226:CN226"/>
    <mergeCell ref="CL227:CN227"/>
    <mergeCell ref="CL228:CN228"/>
    <mergeCell ref="CL229:CN229"/>
    <mergeCell ref="CL230:CN230"/>
    <mergeCell ref="CL231:CN231"/>
    <mergeCell ref="CL232:CN232"/>
    <mergeCell ref="CL233:CN233"/>
    <mergeCell ref="CL234:CN234"/>
    <mergeCell ref="CL235:CN235"/>
    <mergeCell ref="CL236:CN236"/>
    <mergeCell ref="CL237:CN237"/>
    <mergeCell ref="CL238:CN238"/>
    <mergeCell ref="CL239:CN239"/>
    <mergeCell ref="CL240:CN240"/>
    <mergeCell ref="CL241:CN241"/>
    <mergeCell ref="CL242:CN242"/>
    <mergeCell ref="CL243:CN243"/>
    <mergeCell ref="CL244:CN244"/>
    <mergeCell ref="CL245:CN245"/>
    <mergeCell ref="CL246:CN246"/>
    <mergeCell ref="CL247:CN247"/>
    <mergeCell ref="CL248:CN248"/>
    <mergeCell ref="CL249:CN249"/>
    <mergeCell ref="CL250:CN250"/>
    <mergeCell ref="CL251:CN251"/>
    <mergeCell ref="CL252:CN252"/>
    <mergeCell ref="CL253:CN253"/>
    <mergeCell ref="CL254:CN254"/>
    <mergeCell ref="CL255:CN255"/>
    <mergeCell ref="CL256:CN256"/>
    <mergeCell ref="CL257:CN257"/>
    <mergeCell ref="CL258:CN258"/>
    <mergeCell ref="CL259:CN259"/>
    <mergeCell ref="CL260:CN260"/>
    <mergeCell ref="CL261:CN261"/>
    <mergeCell ref="CL262:CN262"/>
    <mergeCell ref="CL263:CN263"/>
    <mergeCell ref="CL264:CN264"/>
    <mergeCell ref="CL265:CN265"/>
    <mergeCell ref="CL266:CN266"/>
    <mergeCell ref="CL267:CN267"/>
    <mergeCell ref="CL268:CN268"/>
    <mergeCell ref="CL269:CN269"/>
    <mergeCell ref="CL270:CN270"/>
    <mergeCell ref="CL271:CN271"/>
    <mergeCell ref="CL272:CN272"/>
    <mergeCell ref="CL273:CN273"/>
    <mergeCell ref="CL274:CN274"/>
    <mergeCell ref="CL275:CN275"/>
    <mergeCell ref="CL276:CN276"/>
    <mergeCell ref="CL277:CN277"/>
    <mergeCell ref="CL278:CN278"/>
    <mergeCell ref="CL279:CN279"/>
    <mergeCell ref="CL280:CN280"/>
    <mergeCell ref="CL281:CN281"/>
    <mergeCell ref="CL282:CN282"/>
    <mergeCell ref="CL283:CN283"/>
    <mergeCell ref="CL284:CN284"/>
    <mergeCell ref="CL285:CN285"/>
    <mergeCell ref="CL286:CN286"/>
    <mergeCell ref="CL287:CN287"/>
    <mergeCell ref="CL288:CN288"/>
    <mergeCell ref="CL289:CN289"/>
    <mergeCell ref="CL290:CN290"/>
    <mergeCell ref="CL291:CN291"/>
    <mergeCell ref="CL292:CN292"/>
    <mergeCell ref="CL293:CN293"/>
    <mergeCell ref="CL294:CN294"/>
    <mergeCell ref="CL295:CN295"/>
    <mergeCell ref="CL296:CN296"/>
    <mergeCell ref="CL297:CN297"/>
    <mergeCell ref="CL298:CN298"/>
    <mergeCell ref="CL299:CN299"/>
    <mergeCell ref="CL300:CN300"/>
    <mergeCell ref="CL301:CN301"/>
    <mergeCell ref="CL302:CN302"/>
    <mergeCell ref="CL303:CN303"/>
    <mergeCell ref="CL304:CN304"/>
    <mergeCell ref="CL305:CN305"/>
    <mergeCell ref="CL306:CN306"/>
    <mergeCell ref="CL307:CN307"/>
    <mergeCell ref="CL308:CN308"/>
    <mergeCell ref="CL309:CN309"/>
    <mergeCell ref="CL310:CN310"/>
    <mergeCell ref="CL311:CN311"/>
    <mergeCell ref="CL312:CN312"/>
    <mergeCell ref="CL313:CN313"/>
    <mergeCell ref="CL314:CN314"/>
    <mergeCell ref="CL315:CN315"/>
    <mergeCell ref="CL316:CN316"/>
    <mergeCell ref="CL317:CN317"/>
    <mergeCell ref="CL318:CN318"/>
    <mergeCell ref="CL319:CN319"/>
    <mergeCell ref="CL320:CN320"/>
    <mergeCell ref="CL321:CN321"/>
    <mergeCell ref="CL322:CN322"/>
    <mergeCell ref="CL323:CN323"/>
    <mergeCell ref="CL324:CN324"/>
    <mergeCell ref="CL325:CN325"/>
    <mergeCell ref="CL326:CN326"/>
    <mergeCell ref="CL327:CN327"/>
    <mergeCell ref="CL328:CN328"/>
    <mergeCell ref="CL329:CN329"/>
    <mergeCell ref="CL330:CN330"/>
    <mergeCell ref="CL331:CN331"/>
    <mergeCell ref="CL332:CN332"/>
    <mergeCell ref="CL333:CN333"/>
    <mergeCell ref="CL334:CN334"/>
    <mergeCell ref="CL335:CN335"/>
    <mergeCell ref="CL336:CN336"/>
    <mergeCell ref="CL337:CN337"/>
    <mergeCell ref="CL338:CN338"/>
    <mergeCell ref="CL339:CN339"/>
    <mergeCell ref="CL340:CN340"/>
    <mergeCell ref="CL341:CN341"/>
    <mergeCell ref="CL342:CN342"/>
    <mergeCell ref="CL343:CN343"/>
    <mergeCell ref="CL344:CN344"/>
    <mergeCell ref="CL345:CN345"/>
    <mergeCell ref="CL346:CN346"/>
    <mergeCell ref="CL347:CN347"/>
    <mergeCell ref="CL348:CN348"/>
    <mergeCell ref="CL349:CN349"/>
    <mergeCell ref="CL350:CN350"/>
    <mergeCell ref="CL351:CN351"/>
    <mergeCell ref="CL352:CN352"/>
    <mergeCell ref="CL353:CN353"/>
    <mergeCell ref="CL354:CN354"/>
    <mergeCell ref="CL355:CN355"/>
    <mergeCell ref="CL356:CN356"/>
    <mergeCell ref="CL357:CN357"/>
    <mergeCell ref="CL358:CN358"/>
    <mergeCell ref="CL359:CN359"/>
    <mergeCell ref="CL360:CN360"/>
    <mergeCell ref="CL361:CN361"/>
    <mergeCell ref="CL362:CN362"/>
    <mergeCell ref="CL363:CN363"/>
    <mergeCell ref="CL364:CN364"/>
    <mergeCell ref="CL365:CN365"/>
    <mergeCell ref="CL366:CN366"/>
    <mergeCell ref="CL367:CN367"/>
    <mergeCell ref="CL368:CN368"/>
    <mergeCell ref="CL369:CN369"/>
    <mergeCell ref="CL370:CN370"/>
    <mergeCell ref="CL371:CN371"/>
    <mergeCell ref="CL372:CN372"/>
    <mergeCell ref="CL373:CN373"/>
    <mergeCell ref="CL374:CN374"/>
    <mergeCell ref="CL375:CN375"/>
    <mergeCell ref="CL376:CN376"/>
    <mergeCell ref="CL377:CN377"/>
    <mergeCell ref="CL378:CN378"/>
    <mergeCell ref="CL379:CN379"/>
    <mergeCell ref="CL380:CN380"/>
    <mergeCell ref="CL381:CN381"/>
    <mergeCell ref="CL382:CN382"/>
    <mergeCell ref="CL383:CN383"/>
    <mergeCell ref="CL384:CN384"/>
    <mergeCell ref="CL385:CN385"/>
    <mergeCell ref="CL386:CN386"/>
    <mergeCell ref="CL387:CN387"/>
    <mergeCell ref="CL388:CN388"/>
    <mergeCell ref="CL389:CN389"/>
    <mergeCell ref="CL390:CN390"/>
    <mergeCell ref="CL391:CN391"/>
    <mergeCell ref="CL392:CN392"/>
    <mergeCell ref="CL393:CN393"/>
    <mergeCell ref="CL394:CN394"/>
    <mergeCell ref="CL395:CN395"/>
    <mergeCell ref="CL396:CN396"/>
    <mergeCell ref="CL397:CN397"/>
    <mergeCell ref="CL398:CN398"/>
    <mergeCell ref="CL399:CN399"/>
    <mergeCell ref="CL400:CN400"/>
    <mergeCell ref="CL401:CN401"/>
    <mergeCell ref="CL402:CN402"/>
    <mergeCell ref="CL403:CN403"/>
    <mergeCell ref="CL404:CN404"/>
    <mergeCell ref="CL405:CN405"/>
    <mergeCell ref="CL406:CN406"/>
    <mergeCell ref="CL407:CN407"/>
    <mergeCell ref="CL408:CN408"/>
    <mergeCell ref="CL409:CN409"/>
    <mergeCell ref="CL410:CN410"/>
    <mergeCell ref="CL411:CN411"/>
    <mergeCell ref="CL412:CN412"/>
    <mergeCell ref="CL413:CN413"/>
    <mergeCell ref="CL414:CN414"/>
    <mergeCell ref="CL415:CN415"/>
    <mergeCell ref="CL416:CN416"/>
    <mergeCell ref="CL417:CN417"/>
    <mergeCell ref="CL418:CN418"/>
    <mergeCell ref="CL419:CN419"/>
    <mergeCell ref="CL420:CN420"/>
    <mergeCell ref="CL421:CN421"/>
    <mergeCell ref="CL422:CN422"/>
    <mergeCell ref="CL423:CN423"/>
    <mergeCell ref="CL424:CN424"/>
    <mergeCell ref="CL425:CN425"/>
    <mergeCell ref="CL426:CN426"/>
    <mergeCell ref="CL427:CN427"/>
    <mergeCell ref="CL428:CN428"/>
    <mergeCell ref="CL429:CN429"/>
    <mergeCell ref="CL430:CN430"/>
    <mergeCell ref="CL431:CN431"/>
    <mergeCell ref="CL432:CN432"/>
    <mergeCell ref="CL433:CN433"/>
    <mergeCell ref="CL434:CN434"/>
    <mergeCell ref="CL435:CN435"/>
    <mergeCell ref="CL436:CN436"/>
    <mergeCell ref="CL437:CN437"/>
    <mergeCell ref="CL438:CN438"/>
    <mergeCell ref="CL439:CN439"/>
    <mergeCell ref="CL440:CN440"/>
    <mergeCell ref="CL441:CN441"/>
    <mergeCell ref="CL442:CN442"/>
    <mergeCell ref="CL443:CN443"/>
    <mergeCell ref="CL444:CN444"/>
    <mergeCell ref="CL445:CN445"/>
    <mergeCell ref="CL446:CN446"/>
    <mergeCell ref="CL447:CN447"/>
    <mergeCell ref="CL448:CN448"/>
  </mergeCells>
  <conditionalFormatting sqref="AO1:AU505">
    <cfRule type="containsText" dxfId="3" priority="1" operator="containsText" text="឵">
      <formula>NOT(ISERROR(SEARCH(("឵"),(AO1))))</formula>
    </cfRule>
  </conditionalFormatting>
  <conditionalFormatting sqref="BE252:BG506">
    <cfRule type="containsText" dxfId="4" priority="2" operator="containsText" text="HP">
      <formula>NOT(ISERROR(SEARCH(("HP"),(BE252))))</formula>
    </cfRule>
  </conditionalFormatting>
  <conditionalFormatting sqref="BE252:BG506">
    <cfRule type="containsText" dxfId="5" priority="3" operator="containsText" text="Atk">
      <formula>NOT(ISERROR(SEARCH(("Atk"),(BE252))))</formula>
    </cfRule>
  </conditionalFormatting>
  <conditionalFormatting sqref="BE252:BG506">
    <cfRule type="containsText" dxfId="6" priority="4" operator="containsText" text="Def">
      <formula>NOT(ISERROR(SEARCH(("Def"),(BE252))))</formula>
    </cfRule>
  </conditionalFormatting>
  <conditionalFormatting sqref="BE252:BG506">
    <cfRule type="containsText" dxfId="7" priority="5" operator="containsText" text="SpA">
      <formula>NOT(ISERROR(SEARCH(("SpA"),(BE252))))</formula>
    </cfRule>
  </conditionalFormatting>
  <conditionalFormatting sqref="BE252:BG506">
    <cfRule type="containsText" dxfId="8" priority="6" operator="containsText" text="SpD">
      <formula>NOT(ISERROR(SEARCH(("SpD"),(BE252))))</formula>
    </cfRule>
  </conditionalFormatting>
  <conditionalFormatting sqref="BE252:BG506">
    <cfRule type="containsText" dxfId="9" priority="7" operator="containsText" text="Spe">
      <formula>NOT(ISERROR(SEARCH(("Spe"),(BE252))))</formula>
    </cfRule>
  </conditionalFormatting>
  <conditionalFormatting sqref="BG329:BG330">
    <cfRule type="notContainsBlanks" dxfId="10" priority="8">
      <formula>LEN(TRIM(BG329))&gt;0</formula>
    </cfRule>
  </conditionalFormatting>
  <conditionalFormatting sqref="BI1:BI506">
    <cfRule type="notContainsText" dxfId="4" priority="9" operator="notContains" text="...">
      <formula>ISERROR(SEARCH(("..."),(BI1)))</formula>
    </cfRule>
  </conditionalFormatting>
  <conditionalFormatting sqref="BJ1:BJ82 BJ84:BJ328 BJ331:BJ506">
    <cfRule type="notContainsText" dxfId="5" priority="10" operator="notContains" text="...">
      <formula>ISERROR(SEARCH(("..."),(BJ1)))</formula>
    </cfRule>
  </conditionalFormatting>
  <conditionalFormatting sqref="BK1:BK506 BL83:BM83">
    <cfRule type="notContainsText" dxfId="6" priority="11" operator="notContains" text="...">
      <formula>ISERROR(SEARCH(("..."),(BK1)))</formula>
    </cfRule>
  </conditionalFormatting>
  <conditionalFormatting sqref="BL1:BL82 BL84:BL328 BL331:BL506 BM329:BM330">
    <cfRule type="notContainsText" dxfId="7" priority="12" operator="notContains" text="...">
      <formula>ISERROR(SEARCH(("..."),(BL1)))</formula>
    </cfRule>
  </conditionalFormatting>
  <conditionalFormatting sqref="BM1:BM82 BM84:BM506">
    <cfRule type="notContainsText" dxfId="8" priority="13" operator="notContains" text="...">
      <formula>ISERROR(SEARCH(("..."),(BM1)))</formula>
    </cfRule>
  </conditionalFormatting>
  <conditionalFormatting sqref="BN1:BN328 BN331:BN506">
    <cfRule type="notContainsText" dxfId="9" priority="14" operator="notContains" text="...">
      <formula>ISERROR(SEARCH(("..."),(BN1)))</formula>
    </cfRule>
  </conditionalFormatting>
  <conditionalFormatting sqref="BV1:BV505 BX1:BX505">
    <cfRule type="containsText" dxfId="3" priority="15" operator="containsText" text="឵">
      <formula>NOT(ISERROR(SEARCH(("឵"),(BV1))))</formula>
    </cfRule>
  </conditionalFormatting>
  <conditionalFormatting sqref="BV1:BV506 BW506 BX1:CL506">
    <cfRule type="containsText" dxfId="3" priority="16" operator="containsText" text="(!)">
      <formula>NOT(ISERROR(SEARCH(("(!)"),(BV1))))</formula>
    </cfRule>
  </conditionalFormatting>
  <conditionalFormatting sqref="CL1:CL506">
    <cfRule type="containsText" dxfId="3" priority="17" operator="containsText" text="឵">
      <formula>NOT(ISERROR(SEARCH(("឵"),(CL1))))</formula>
    </cfRule>
  </conditionalFormatting>
  <conditionalFormatting sqref="CR1:CR506">
    <cfRule type="colorScale" priority="18">
      <colorScale>
        <cfvo type="min"/>
        <cfvo type="max"/>
        <color rgb="FFFFFFFF"/>
        <color rgb="FFF5AC78"/>
      </colorScale>
    </cfRule>
  </conditionalFormatting>
  <conditionalFormatting sqref="CT1:CT356 CT358:CT505">
    <cfRule type="colorScale" priority="19">
      <colorScale>
        <cfvo type="min"/>
        <cfvo type="max"/>
        <color rgb="FFFFFFFF"/>
        <color rgb="FFA7DB8D"/>
      </colorScale>
    </cfRule>
  </conditionalFormatting>
  <conditionalFormatting sqref="DB1:DB200 DB202:DB373 DB377:DB506">
    <cfRule type="colorScale" priority="20">
      <colorScale>
        <cfvo type="min"/>
        <cfvo type="max"/>
        <color rgb="FFFFFFFF"/>
        <color rgb="FFFF5959"/>
      </colorScale>
    </cfRule>
  </conditionalFormatting>
  <conditionalFormatting sqref="DD1:DD506">
    <cfRule type="cellIs" dxfId="4" priority="21" operator="equal">
      <formula>"Slow"</formula>
    </cfRule>
  </conditionalFormatting>
  <conditionalFormatting sqref="DD1:DD506">
    <cfRule type="cellIs" dxfId="11" priority="22" operator="equal">
      <formula>"MediumSlow"</formula>
    </cfRule>
  </conditionalFormatting>
  <conditionalFormatting sqref="DD1:DD506">
    <cfRule type="cellIs" dxfId="12" priority="23" operator="equal">
      <formula>"MediumFast"</formula>
    </cfRule>
  </conditionalFormatting>
  <conditionalFormatting sqref="DD1:DD506">
    <cfRule type="cellIs" dxfId="8" priority="24" operator="equal">
      <formula>"Fast"</formula>
    </cfRule>
  </conditionalFormatting>
  <conditionalFormatting sqref="DD1:DD506">
    <cfRule type="cellIs" dxfId="5" priority="25" operator="equal">
      <formula>"Erratic"</formula>
    </cfRule>
  </conditionalFormatting>
  <conditionalFormatting sqref="DD1:DD506">
    <cfRule type="cellIs" dxfId="6" priority="26" operator="equal">
      <formula>"Fluctuating"</formula>
    </cfRule>
  </conditionalFormatting>
  <conditionalFormatting sqref="AO1:AU505 BU1:BU505 BW1:BW505 DK1:DO481 DP1:DQ478">
    <cfRule type="containsText" dxfId="13" priority="27" operator="containsText" text="᠋">
      <formula>NOT(ISERROR(SEARCH(("᠋"),(AO1))))</formula>
    </cfRule>
  </conditionalFormatting>
  <conditionalFormatting sqref="AO1:AU505 BU1:BU505 BW1:BW505 DK1:DO481 DP1:DQ478">
    <cfRule type="containsText" dxfId="14" priority="28" operator="containsText" text="᠎">
      <formula>NOT(ISERROR(SEARCH(("᠎"),(AO1))))</formula>
    </cfRule>
  </conditionalFormatting>
  <hyperlinks>
    <hyperlink r:id="rId1" ref="I1"/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3"/>
    <hyperlink r:id="rId24" ref="I24"/>
    <hyperlink r:id="rId25" ref="I25"/>
    <hyperlink r:id="rId26" ref="I26"/>
    <hyperlink r:id="rId27" ref="I27"/>
    <hyperlink r:id="rId28" ref="I28"/>
    <hyperlink r:id="rId29" ref="I29"/>
    <hyperlink r:id="rId30" ref="I30"/>
    <hyperlink r:id="rId31" ref="I31"/>
    <hyperlink r:id="rId32" ref="I32"/>
    <hyperlink r:id="rId33" ref="I33"/>
    <hyperlink r:id="rId34" ref="I34"/>
    <hyperlink r:id="rId35" ref="I35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  <hyperlink r:id="rId53" ref="I53"/>
    <hyperlink r:id="rId54" ref="I54"/>
    <hyperlink r:id="rId55" ref="I55"/>
    <hyperlink r:id="rId56" ref="I56"/>
    <hyperlink r:id="rId57" ref="I57"/>
    <hyperlink r:id="rId58" ref="I58"/>
    <hyperlink r:id="rId59" ref="I59"/>
    <hyperlink r:id="rId60" ref="I60"/>
    <hyperlink r:id="rId61" ref="I61"/>
    <hyperlink r:id="rId62" ref="I62"/>
    <hyperlink r:id="rId63" ref="I63"/>
    <hyperlink r:id="rId64" ref="I64"/>
    <hyperlink r:id="rId65" ref="I65"/>
    <hyperlink r:id="rId66" ref="I66"/>
    <hyperlink r:id="rId67" ref="I67"/>
    <hyperlink r:id="rId68" ref="I68"/>
    <hyperlink r:id="rId69" ref="I69"/>
    <hyperlink r:id="rId70" ref="I70"/>
    <hyperlink r:id="rId71" ref="I71"/>
    <hyperlink r:id="rId72" ref="I72"/>
    <hyperlink r:id="rId73" ref="I73"/>
    <hyperlink r:id="rId74" ref="I74"/>
    <hyperlink r:id="rId75" ref="I75"/>
    <hyperlink r:id="rId76" ref="I76"/>
    <hyperlink r:id="rId77" ref="I77"/>
    <hyperlink r:id="rId78" ref="I78"/>
    <hyperlink r:id="rId79" ref="I79"/>
    <hyperlink r:id="rId80" ref="I80"/>
    <hyperlink r:id="rId81" ref="I81"/>
    <hyperlink r:id="rId82" ref="I82"/>
    <hyperlink r:id="rId83" ref="I83"/>
    <hyperlink r:id="rId84" ref="I84"/>
    <hyperlink r:id="rId85" ref="I85"/>
    <hyperlink r:id="rId86" ref="I86"/>
    <hyperlink r:id="rId87" ref="I87"/>
    <hyperlink r:id="rId88" ref="I88"/>
    <hyperlink r:id="rId89" ref="I89"/>
    <hyperlink r:id="rId90" ref="I90"/>
    <hyperlink r:id="rId91" ref="I91"/>
    <hyperlink r:id="rId92" ref="I92"/>
    <hyperlink r:id="rId93" ref="I93"/>
    <hyperlink r:id="rId94" ref="I94"/>
    <hyperlink r:id="rId95" ref="I95"/>
    <hyperlink r:id="rId96" ref="I96"/>
    <hyperlink r:id="rId97" ref="I97"/>
    <hyperlink r:id="rId98" ref="I98"/>
    <hyperlink r:id="rId99" ref="I99"/>
    <hyperlink r:id="rId100" ref="I100"/>
    <hyperlink r:id="rId101" ref="I101"/>
    <hyperlink r:id="rId102" ref="I102"/>
    <hyperlink r:id="rId103" ref="I103"/>
    <hyperlink r:id="rId104" ref="I104"/>
    <hyperlink r:id="rId105" ref="I105"/>
    <hyperlink r:id="rId106" ref="I106"/>
    <hyperlink r:id="rId107" ref="I107"/>
    <hyperlink r:id="rId108" ref="I108"/>
    <hyperlink r:id="rId109" ref="I109"/>
    <hyperlink r:id="rId110" ref="I110"/>
    <hyperlink r:id="rId111" ref="I111"/>
    <hyperlink r:id="rId112" ref="I112"/>
    <hyperlink r:id="rId113" ref="I113"/>
    <hyperlink r:id="rId114" ref="I114"/>
    <hyperlink r:id="rId115" ref="I115"/>
    <hyperlink r:id="rId116" ref="I116"/>
    <hyperlink r:id="rId117" ref="I117"/>
    <hyperlink r:id="rId118" ref="I118"/>
    <hyperlink r:id="rId119" ref="I119"/>
    <hyperlink r:id="rId120" ref="I120"/>
    <hyperlink r:id="rId121" ref="I121"/>
    <hyperlink r:id="rId122" ref="I122"/>
    <hyperlink r:id="rId123" ref="I123"/>
    <hyperlink r:id="rId124" ref="I124"/>
    <hyperlink r:id="rId125" ref="I125"/>
    <hyperlink r:id="rId126" ref="I126"/>
    <hyperlink r:id="rId127" ref="I127"/>
    <hyperlink r:id="rId128" ref="I128"/>
    <hyperlink r:id="rId129" ref="I129"/>
    <hyperlink r:id="rId130" ref="I130"/>
    <hyperlink r:id="rId131" ref="I131"/>
    <hyperlink r:id="rId132" ref="I132"/>
    <hyperlink r:id="rId133" ref="I133"/>
    <hyperlink r:id="rId134" ref="I134"/>
    <hyperlink r:id="rId135" ref="I135"/>
    <hyperlink r:id="rId136" ref="I136"/>
    <hyperlink r:id="rId137" ref="I137"/>
    <hyperlink r:id="rId138" ref="I138"/>
    <hyperlink r:id="rId139" ref="I139"/>
    <hyperlink r:id="rId140" ref="I140"/>
    <hyperlink r:id="rId141" ref="I141"/>
    <hyperlink r:id="rId142" ref="I142"/>
    <hyperlink r:id="rId143" ref="I143"/>
    <hyperlink r:id="rId144" ref="I144"/>
    <hyperlink r:id="rId145" ref="I145"/>
    <hyperlink r:id="rId146" ref="I146"/>
    <hyperlink r:id="rId147" ref="I147"/>
    <hyperlink r:id="rId148" ref="I148"/>
    <hyperlink r:id="rId149" ref="I149"/>
    <hyperlink r:id="rId150" ref="I150"/>
    <hyperlink r:id="rId151" ref="I151"/>
    <hyperlink r:id="rId152" ref="I152"/>
    <hyperlink r:id="rId153" ref="I153"/>
    <hyperlink r:id="rId154" ref="I154"/>
    <hyperlink r:id="rId155" ref="I155"/>
    <hyperlink r:id="rId156" ref="I156"/>
    <hyperlink r:id="rId157" ref="I157"/>
    <hyperlink r:id="rId158" ref="I158"/>
    <hyperlink r:id="rId159" ref="I159"/>
    <hyperlink r:id="rId160" ref="I160"/>
    <hyperlink r:id="rId161" ref="I161"/>
    <hyperlink r:id="rId162" ref="I162"/>
    <hyperlink r:id="rId163" ref="I163"/>
    <hyperlink r:id="rId164" ref="I164"/>
    <hyperlink r:id="rId165" ref="I165"/>
    <hyperlink r:id="rId166" ref="I166"/>
    <hyperlink r:id="rId167" ref="I167"/>
    <hyperlink r:id="rId168" ref="I168"/>
    <hyperlink r:id="rId169" ref="I169"/>
    <hyperlink r:id="rId170" ref="I170"/>
    <hyperlink r:id="rId171" ref="I171"/>
    <hyperlink r:id="rId172" ref="I172"/>
    <hyperlink r:id="rId173" ref="I173"/>
    <hyperlink r:id="rId174" ref="I174"/>
    <hyperlink r:id="rId175" ref="I175"/>
    <hyperlink r:id="rId176" ref="I176"/>
    <hyperlink r:id="rId177" ref="I177"/>
    <hyperlink r:id="rId178" ref="I178"/>
    <hyperlink r:id="rId179" ref="I179"/>
    <hyperlink r:id="rId180" ref="I180"/>
    <hyperlink r:id="rId181" ref="I181"/>
    <hyperlink r:id="rId182" ref="I182"/>
    <hyperlink r:id="rId183" ref="I183"/>
    <hyperlink r:id="rId184" ref="I184"/>
    <hyperlink r:id="rId185" ref="I185"/>
    <hyperlink r:id="rId186" ref="I186"/>
    <hyperlink r:id="rId187" ref="I187"/>
    <hyperlink r:id="rId188" ref="I188"/>
    <hyperlink r:id="rId189" ref="I189"/>
    <hyperlink r:id="rId190" ref="I190"/>
    <hyperlink r:id="rId191" ref="I191"/>
    <hyperlink r:id="rId192" ref="I192"/>
    <hyperlink r:id="rId193" ref="I193"/>
    <hyperlink r:id="rId194" ref="I194"/>
    <hyperlink r:id="rId195" ref="I195"/>
    <hyperlink r:id="rId196" ref="I196"/>
    <hyperlink r:id="rId197" ref="I197"/>
    <hyperlink r:id="rId198" ref="I198"/>
    <hyperlink r:id="rId199" ref="I199"/>
    <hyperlink r:id="rId200" ref="I200"/>
    <hyperlink r:id="rId201" ref="I201"/>
    <hyperlink r:id="rId202" ref="I202"/>
    <hyperlink r:id="rId203" ref="I203"/>
    <hyperlink r:id="rId204" ref="I204"/>
    <hyperlink r:id="rId205" ref="I205"/>
    <hyperlink r:id="rId206" ref="I206"/>
    <hyperlink r:id="rId207" ref="I207"/>
    <hyperlink r:id="rId208" ref="I208"/>
    <hyperlink r:id="rId209" ref="I209"/>
    <hyperlink r:id="rId210" ref="I210"/>
    <hyperlink r:id="rId211" ref="I211"/>
    <hyperlink r:id="rId212" ref="I212"/>
    <hyperlink r:id="rId213" ref="I213"/>
    <hyperlink r:id="rId214" ref="I214"/>
    <hyperlink r:id="rId215" ref="I215"/>
    <hyperlink r:id="rId216" ref="I216"/>
    <hyperlink r:id="rId217" ref="I217"/>
    <hyperlink r:id="rId218" ref="I218"/>
    <hyperlink r:id="rId219" ref="I219"/>
    <hyperlink r:id="rId220" ref="I220"/>
    <hyperlink r:id="rId221" ref="I221"/>
    <hyperlink r:id="rId222" ref="I222"/>
    <hyperlink r:id="rId223" ref="I223"/>
    <hyperlink r:id="rId224" ref="I224"/>
    <hyperlink r:id="rId225" ref="I225"/>
    <hyperlink r:id="rId226" ref="I226"/>
    <hyperlink r:id="rId227" ref="I227"/>
    <hyperlink r:id="rId228" ref="I228"/>
    <hyperlink r:id="rId229" ref="I229"/>
    <hyperlink r:id="rId230" ref="I230"/>
    <hyperlink r:id="rId231" ref="I231"/>
    <hyperlink r:id="rId232" ref="I232"/>
    <hyperlink r:id="rId233" ref="I233"/>
    <hyperlink r:id="rId234" ref="I234"/>
    <hyperlink r:id="rId235" ref="I235"/>
    <hyperlink r:id="rId236" ref="I236"/>
    <hyperlink r:id="rId237" ref="I237"/>
    <hyperlink r:id="rId238" ref="I238"/>
    <hyperlink r:id="rId239" ref="I239"/>
    <hyperlink r:id="rId240" ref="I240"/>
    <hyperlink r:id="rId241" ref="I241"/>
    <hyperlink r:id="rId242" ref="I242"/>
    <hyperlink r:id="rId243" ref="I243"/>
    <hyperlink r:id="rId244" ref="I244"/>
    <hyperlink r:id="rId245" ref="I245"/>
    <hyperlink r:id="rId246" ref="I246"/>
    <hyperlink r:id="rId247" ref="I247"/>
    <hyperlink r:id="rId248" ref="I248"/>
    <hyperlink r:id="rId249" ref="I249"/>
    <hyperlink r:id="rId250" ref="I250"/>
    <hyperlink r:id="rId251" ref="I251"/>
    <hyperlink r:id="rId252" ref="I252"/>
    <hyperlink r:id="rId253" ref="I253"/>
    <hyperlink r:id="rId254" ref="I254"/>
    <hyperlink r:id="rId255" ref="I255"/>
    <hyperlink r:id="rId256" ref="I256"/>
    <hyperlink r:id="rId257" ref="I257"/>
    <hyperlink r:id="rId258" ref="I258"/>
    <hyperlink r:id="rId259" ref="I259"/>
    <hyperlink r:id="rId260" ref="I260"/>
    <hyperlink r:id="rId261" ref="I261"/>
    <hyperlink r:id="rId262" ref="I262"/>
    <hyperlink r:id="rId263" ref="I263"/>
    <hyperlink r:id="rId264" ref="I264"/>
    <hyperlink r:id="rId265" ref="I265"/>
    <hyperlink r:id="rId266" ref="I266"/>
    <hyperlink r:id="rId267" ref="I267"/>
    <hyperlink r:id="rId268" ref="I268"/>
    <hyperlink r:id="rId269" ref="I269"/>
    <hyperlink r:id="rId270" ref="I270"/>
    <hyperlink r:id="rId271" ref="I271"/>
    <hyperlink r:id="rId272" ref="I272"/>
    <hyperlink r:id="rId273" ref="I273"/>
    <hyperlink r:id="rId274" ref="I274"/>
    <hyperlink r:id="rId275" ref="I275"/>
    <hyperlink r:id="rId276" ref="I276"/>
    <hyperlink r:id="rId277" ref="I277"/>
    <hyperlink r:id="rId278" ref="I278"/>
    <hyperlink r:id="rId279" ref="I279"/>
    <hyperlink r:id="rId280" ref="I280"/>
    <hyperlink r:id="rId281" ref="I281"/>
    <hyperlink r:id="rId282" ref="I282"/>
    <hyperlink r:id="rId283" ref="I283"/>
    <hyperlink r:id="rId284" ref="I284"/>
    <hyperlink r:id="rId285" ref="I285"/>
    <hyperlink r:id="rId286" ref="I286"/>
    <hyperlink r:id="rId287" ref="I287"/>
    <hyperlink r:id="rId288" ref="I288"/>
    <hyperlink r:id="rId289" ref="I289"/>
    <hyperlink r:id="rId290" ref="I290"/>
    <hyperlink r:id="rId291" ref="I291"/>
    <hyperlink r:id="rId292" ref="I292"/>
    <hyperlink r:id="rId293" ref="I293"/>
    <hyperlink r:id="rId294" ref="I294"/>
    <hyperlink r:id="rId295" ref="I295"/>
    <hyperlink r:id="rId296" ref="I296"/>
    <hyperlink r:id="rId297" ref="I297"/>
    <hyperlink r:id="rId298" ref="I298"/>
    <hyperlink r:id="rId299" ref="I299"/>
    <hyperlink r:id="rId300" ref="I300"/>
    <hyperlink r:id="rId301" ref="I301"/>
    <hyperlink r:id="rId302" ref="I302"/>
    <hyperlink r:id="rId303" ref="I303"/>
    <hyperlink r:id="rId304" ref="I304"/>
    <hyperlink r:id="rId305" ref="I305"/>
    <hyperlink r:id="rId306" ref="I306"/>
    <hyperlink r:id="rId307" ref="I307"/>
    <hyperlink r:id="rId308" ref="I308"/>
    <hyperlink r:id="rId309" ref="I309"/>
    <hyperlink r:id="rId310" ref="I310"/>
    <hyperlink r:id="rId311" ref="I311"/>
    <hyperlink r:id="rId312" ref="I312"/>
    <hyperlink r:id="rId313" ref="I313"/>
    <hyperlink r:id="rId314" ref="I314"/>
    <hyperlink r:id="rId315" ref="I315"/>
    <hyperlink r:id="rId316" ref="I316"/>
    <hyperlink r:id="rId317" ref="I317"/>
    <hyperlink r:id="rId318" ref="I318"/>
    <hyperlink r:id="rId319" ref="I319"/>
    <hyperlink r:id="rId320" ref="I320"/>
    <hyperlink r:id="rId321" ref="I321"/>
    <hyperlink r:id="rId322" ref="I322"/>
    <hyperlink r:id="rId323" ref="I323"/>
    <hyperlink r:id="rId324" ref="I324"/>
    <hyperlink r:id="rId325" ref="I325"/>
    <hyperlink r:id="rId326" ref="I326"/>
    <hyperlink r:id="rId327" ref="I327"/>
    <hyperlink r:id="rId328" ref="I328"/>
    <hyperlink r:id="rId329" ref="I329"/>
    <hyperlink r:id="rId330" ref="I330"/>
    <hyperlink r:id="rId331" ref="I331"/>
    <hyperlink r:id="rId332" ref="I332"/>
    <hyperlink r:id="rId333" ref="I333"/>
    <hyperlink r:id="rId334" ref="I334"/>
    <hyperlink r:id="rId335" ref="I335"/>
    <hyperlink r:id="rId336" ref="I336"/>
    <hyperlink r:id="rId337" ref="I337"/>
    <hyperlink r:id="rId338" ref="I338"/>
    <hyperlink r:id="rId339" ref="I339"/>
    <hyperlink r:id="rId340" ref="I340"/>
    <hyperlink r:id="rId341" ref="I341"/>
    <hyperlink r:id="rId342" ref="I342"/>
    <hyperlink r:id="rId343" ref="I343"/>
    <hyperlink r:id="rId344" ref="I344"/>
    <hyperlink r:id="rId345" ref="I345"/>
    <hyperlink r:id="rId346" ref="I346"/>
    <hyperlink r:id="rId347" ref="I347"/>
    <hyperlink r:id="rId348" ref="I348"/>
    <hyperlink r:id="rId349" ref="I349"/>
    <hyperlink r:id="rId350" ref="I350"/>
    <hyperlink r:id="rId351" ref="I351"/>
    <hyperlink r:id="rId352" ref="I352"/>
    <hyperlink r:id="rId353" ref="I353"/>
    <hyperlink r:id="rId354" ref="I354"/>
    <hyperlink r:id="rId355" ref="I355"/>
    <hyperlink r:id="rId356" ref="I356"/>
    <hyperlink r:id="rId357" ref="I357"/>
    <hyperlink r:id="rId358" ref="I358"/>
    <hyperlink r:id="rId359" ref="I359"/>
    <hyperlink r:id="rId360" ref="I360"/>
    <hyperlink r:id="rId361" ref="I361"/>
    <hyperlink r:id="rId362" ref="I362"/>
    <hyperlink r:id="rId363" ref="I363"/>
    <hyperlink r:id="rId364" ref="I364"/>
    <hyperlink r:id="rId365" ref="I365"/>
    <hyperlink r:id="rId366" ref="I366"/>
    <hyperlink r:id="rId367" ref="I367"/>
    <hyperlink r:id="rId368" ref="I368"/>
    <hyperlink r:id="rId369" ref="I369"/>
    <hyperlink r:id="rId370" ref="I370"/>
    <hyperlink r:id="rId371" ref="I371"/>
    <hyperlink r:id="rId372" ref="I372"/>
    <hyperlink r:id="rId373" ref="I373"/>
    <hyperlink r:id="rId374" ref="I374"/>
    <hyperlink r:id="rId375" ref="I375"/>
    <hyperlink r:id="rId376" ref="I376"/>
    <hyperlink r:id="rId377" ref="I377"/>
    <hyperlink r:id="rId378" ref="I378"/>
    <hyperlink r:id="rId379" ref="I379"/>
    <hyperlink r:id="rId380" ref="I380"/>
    <hyperlink r:id="rId381" ref="I381"/>
    <hyperlink r:id="rId382" ref="I382"/>
    <hyperlink r:id="rId383" ref="I383"/>
    <hyperlink r:id="rId384" ref="I384"/>
    <hyperlink r:id="rId385" ref="I385"/>
    <hyperlink r:id="rId386" ref="I386"/>
    <hyperlink r:id="rId387" ref="I387"/>
    <hyperlink r:id="rId388" ref="I388"/>
    <hyperlink r:id="rId389" ref="I389"/>
    <hyperlink r:id="rId390" ref="I390"/>
    <hyperlink r:id="rId391" ref="I391"/>
    <hyperlink r:id="rId392" ref="I392"/>
    <hyperlink r:id="rId393" ref="I393"/>
    <hyperlink r:id="rId394" ref="I394"/>
    <hyperlink r:id="rId395" ref="I395"/>
    <hyperlink r:id="rId396" ref="I396"/>
    <hyperlink r:id="rId397" ref="I397"/>
    <hyperlink r:id="rId398" ref="I398"/>
    <hyperlink r:id="rId399" ref="I399"/>
    <hyperlink r:id="rId400" ref="I400"/>
    <hyperlink r:id="rId401" ref="I401"/>
    <hyperlink r:id="rId402" ref="I402"/>
    <hyperlink r:id="rId403" ref="I403"/>
    <hyperlink r:id="rId404" ref="I404"/>
    <hyperlink r:id="rId405" ref="I405"/>
    <hyperlink r:id="rId406" ref="I406"/>
    <hyperlink r:id="rId407" ref="I407"/>
    <hyperlink r:id="rId408" ref="I408"/>
    <hyperlink r:id="rId409" ref="I409"/>
    <hyperlink r:id="rId410" ref="I410"/>
    <hyperlink r:id="rId411" ref="I411"/>
    <hyperlink r:id="rId412" ref="I412"/>
    <hyperlink r:id="rId413" ref="I413"/>
    <hyperlink r:id="rId414" ref="I414"/>
    <hyperlink r:id="rId415" ref="I415"/>
    <hyperlink r:id="rId416" ref="I416"/>
    <hyperlink r:id="rId417" ref="I417"/>
    <hyperlink r:id="rId418" ref="I418"/>
    <hyperlink r:id="rId419" ref="I419"/>
    <hyperlink r:id="rId420" ref="I420"/>
    <hyperlink r:id="rId421" ref="I421"/>
    <hyperlink r:id="rId422" ref="I422"/>
    <hyperlink r:id="rId423" ref="I423"/>
    <hyperlink r:id="rId424" ref="I424"/>
    <hyperlink r:id="rId425" ref="I425"/>
    <hyperlink r:id="rId426" ref="I426"/>
    <hyperlink r:id="rId427" ref="I427"/>
    <hyperlink r:id="rId428" ref="I428"/>
    <hyperlink r:id="rId429" ref="I429"/>
    <hyperlink r:id="rId430" ref="I430"/>
    <hyperlink r:id="rId431" ref="I431"/>
    <hyperlink r:id="rId432" ref="I432"/>
    <hyperlink r:id="rId433" ref="I433"/>
    <hyperlink r:id="rId434" ref="I434"/>
    <hyperlink r:id="rId435" ref="I435"/>
    <hyperlink r:id="rId436" ref="I436"/>
    <hyperlink r:id="rId437" ref="I437"/>
    <hyperlink r:id="rId438" ref="I438"/>
    <hyperlink r:id="rId439" ref="I439"/>
    <hyperlink r:id="rId440" ref="I440"/>
    <hyperlink r:id="rId441" ref="I441"/>
    <hyperlink r:id="rId442" ref="I442"/>
    <hyperlink r:id="rId443" ref="I443"/>
    <hyperlink r:id="rId444" ref="I444"/>
    <hyperlink r:id="rId445" ref="I445"/>
    <hyperlink r:id="rId446" ref="I446"/>
    <hyperlink r:id="rId447" ref="I447"/>
    <hyperlink r:id="rId448" ref="I448"/>
    <hyperlink r:id="rId449" ref="I449"/>
    <hyperlink r:id="rId450" ref="I450"/>
    <hyperlink r:id="rId451" ref="I451"/>
    <hyperlink r:id="rId452" ref="I452"/>
    <hyperlink r:id="rId453" ref="I453"/>
    <hyperlink r:id="rId454" ref="I454"/>
    <hyperlink r:id="rId455" ref="I455"/>
    <hyperlink r:id="rId456" ref="I456"/>
    <hyperlink r:id="rId457" ref="I457"/>
    <hyperlink r:id="rId458" ref="I458"/>
    <hyperlink r:id="rId459" ref="I459"/>
    <hyperlink r:id="rId460" ref="I460"/>
    <hyperlink r:id="rId461" ref="I461"/>
    <hyperlink r:id="rId462" ref="I462"/>
    <hyperlink r:id="rId463" ref="I463"/>
    <hyperlink r:id="rId464" ref="I464"/>
    <hyperlink r:id="rId465" ref="I465"/>
    <hyperlink r:id="rId466" ref="I466"/>
    <hyperlink r:id="rId467" ref="I467"/>
    <hyperlink r:id="rId468" ref="I468"/>
    <hyperlink r:id="rId469" ref="I469"/>
    <hyperlink r:id="rId470" ref="I470"/>
    <hyperlink r:id="rId471" ref="I471"/>
    <hyperlink r:id="rId472" ref="I472"/>
    <hyperlink r:id="rId473" ref="I473"/>
    <hyperlink r:id="rId474" ref="I474"/>
    <hyperlink r:id="rId475" ref="I475"/>
    <hyperlink r:id="rId476" ref="I476"/>
    <hyperlink r:id="rId477" ref="I477"/>
    <hyperlink r:id="rId478" ref="I478"/>
    <hyperlink r:id="rId479" ref="I479"/>
    <hyperlink r:id="rId480" ref="I480"/>
    <hyperlink r:id="rId481" ref="I481"/>
    <hyperlink r:id="rId482" ref="I482"/>
    <hyperlink r:id="rId483" ref="I483"/>
    <hyperlink r:id="rId484" ref="I484"/>
    <hyperlink r:id="rId485" ref="I485"/>
    <hyperlink r:id="rId486" ref="I486"/>
    <hyperlink r:id="rId487" ref="I487"/>
    <hyperlink r:id="rId488" ref="I488"/>
    <hyperlink r:id="rId489" ref="I489"/>
    <hyperlink r:id="rId490" ref="I490"/>
    <hyperlink r:id="rId491" ref="I491"/>
    <hyperlink r:id="rId492" ref="I492"/>
    <hyperlink r:id="rId493" ref="I493"/>
    <hyperlink r:id="rId494" ref="I494"/>
    <hyperlink r:id="rId495" ref="I495"/>
    <hyperlink r:id="rId496" ref="I496"/>
    <hyperlink r:id="rId497" ref="I497"/>
    <hyperlink r:id="rId498" ref="I498"/>
    <hyperlink r:id="rId499" ref="I499"/>
    <hyperlink r:id="rId500" ref="I500"/>
    <hyperlink r:id="rId501" ref="I501"/>
    <hyperlink r:id="rId502" ref="I502"/>
    <hyperlink r:id="rId503" ref="I503"/>
    <hyperlink r:id="rId504" ref="I504"/>
    <hyperlink r:id="rId505" ref="I505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506"/>
  <tableParts count="3">
    <tablePart r:id="rId510"/>
    <tablePart r:id="rId511"/>
    <tablePart r:id="rId51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66666"/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38"/>
    <col customWidth="1" min="2" max="2" width="14.38"/>
    <col customWidth="1" min="3" max="3" width="4.5"/>
    <col customWidth="1" min="4" max="4" width="2.38"/>
    <col customWidth="1" min="5" max="10" width="2.88"/>
    <col customWidth="1" min="11" max="11" width="3.63"/>
    <col customWidth="1" min="12" max="17" width="2.88"/>
    <col customWidth="1" min="18" max="18" width="3.63"/>
    <col customWidth="1" min="19" max="24" width="2.88"/>
    <col customWidth="1" min="25" max="25" width="3.63"/>
    <col customWidth="1" min="26" max="27" width="2.38"/>
    <col customWidth="1" min="28" max="28" width="8.13"/>
    <col customWidth="1" min="29" max="29" width="2.38"/>
    <col customWidth="1" min="30" max="30" width="8.13"/>
    <col customWidth="1" min="31" max="31" width="2.38"/>
    <col customWidth="1" min="32" max="32" width="8.13"/>
    <col customWidth="1" min="33" max="33" width="2.38"/>
    <col customWidth="1" min="34" max="34" width="8.13"/>
    <col customWidth="1" min="35" max="35" width="2.38"/>
    <col customWidth="1" min="36" max="36" width="8.13"/>
    <col customWidth="1" min="37" max="37" width="2.38"/>
    <col customWidth="1" min="38" max="38" width="8.13"/>
    <col customWidth="1" min="39" max="39" width="2.38"/>
    <col customWidth="1" min="40" max="45" width="11.75"/>
    <col customWidth="1" min="46" max="46" width="2.38"/>
    <col customWidth="1" min="47" max="47" width="4.75"/>
    <col customWidth="1" min="48" max="48" width="15.38"/>
    <col customWidth="1" min="49" max="49" width="4.75"/>
    <col customWidth="1" min="50" max="50" width="15.38"/>
    <col customWidth="1" min="51" max="51" width="2.38"/>
    <col customWidth="1" min="52" max="53" width="4.75"/>
    <col customWidth="1" min="54" max="54" width="5.38"/>
    <col customWidth="1" min="55" max="55" width="2.38"/>
    <col customWidth="1" min="56" max="56" width="9.38"/>
    <col customWidth="1" min="57" max="60" width="5.63"/>
    <col customWidth="1" min="61" max="61" width="2.38"/>
    <col customWidth="1" min="62" max="63" width="6.63"/>
    <col customWidth="1" min="64" max="64" width="2.38"/>
    <col customWidth="1" min="65" max="66" width="8.63"/>
    <col customWidth="1" min="67" max="67" width="2.38"/>
    <col customWidth="1" min="68" max="68" width="40.88"/>
    <col customWidth="1" min="69" max="69" width="2.38"/>
    <col customWidth="1" min="70" max="70" width="6.13"/>
    <col customWidth="1" min="71" max="71" width="2.38"/>
  </cols>
  <sheetData>
    <row r="1" ht="15.75" customHeight="1">
      <c r="A1" s="518" t="s">
        <v>4392</v>
      </c>
      <c r="B1" s="519"/>
      <c r="C1" s="520"/>
      <c r="D1" s="521"/>
      <c r="E1" s="522" t="s">
        <v>4393</v>
      </c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4"/>
      <c r="Z1" s="521"/>
      <c r="AA1" s="525" t="s">
        <v>4394</v>
      </c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7"/>
      <c r="AM1" s="528"/>
      <c r="AN1" s="529" t="s">
        <v>4395</v>
      </c>
      <c r="AO1" s="526"/>
      <c r="AP1" s="526"/>
      <c r="AQ1" s="526"/>
      <c r="AR1" s="526"/>
      <c r="AS1" s="527"/>
      <c r="AT1" s="521"/>
      <c r="AU1" s="530" t="s">
        <v>4396</v>
      </c>
      <c r="AV1" s="526"/>
      <c r="AW1" s="526"/>
      <c r="AX1" s="527"/>
      <c r="AY1" s="521"/>
      <c r="AZ1" s="531" t="s">
        <v>4397</v>
      </c>
      <c r="BA1" s="519"/>
      <c r="BB1" s="532"/>
      <c r="BC1" s="521"/>
      <c r="BD1" s="533" t="s">
        <v>4398</v>
      </c>
      <c r="BE1" s="534" t="s">
        <v>4399</v>
      </c>
      <c r="BF1" s="533" t="s">
        <v>4400</v>
      </c>
      <c r="BG1" s="534" t="s">
        <v>4401</v>
      </c>
      <c r="BH1" s="534" t="s">
        <v>4402</v>
      </c>
      <c r="BI1" s="521"/>
      <c r="BJ1" s="525" t="s">
        <v>4403</v>
      </c>
      <c r="BK1" s="527"/>
      <c r="BL1" s="521"/>
      <c r="BM1" s="525" t="s">
        <v>4404</v>
      </c>
      <c r="BN1" s="527"/>
      <c r="BO1" s="521"/>
      <c r="BP1" s="535" t="s">
        <v>4405</v>
      </c>
      <c r="BQ1" s="521"/>
      <c r="BR1" s="536" t="s">
        <v>4406</v>
      </c>
      <c r="BS1" s="537"/>
    </row>
    <row r="2" ht="15.75" customHeight="1">
      <c r="A2" s="538"/>
      <c r="C2" s="539"/>
      <c r="D2" s="521"/>
      <c r="E2" s="540" t="s">
        <v>4407</v>
      </c>
      <c r="F2" s="541"/>
      <c r="G2" s="541"/>
      <c r="H2" s="541"/>
      <c r="I2" s="541"/>
      <c r="J2" s="541"/>
      <c r="K2" s="542"/>
      <c r="L2" s="540" t="s">
        <v>4408</v>
      </c>
      <c r="M2" s="541"/>
      <c r="N2" s="541"/>
      <c r="O2" s="541"/>
      <c r="P2" s="541"/>
      <c r="Q2" s="541"/>
      <c r="R2" s="542"/>
      <c r="S2" s="540" t="s">
        <v>4409</v>
      </c>
      <c r="T2" s="541"/>
      <c r="U2" s="541"/>
      <c r="V2" s="541"/>
      <c r="W2" s="541"/>
      <c r="X2" s="541"/>
      <c r="Y2" s="542"/>
      <c r="Z2" s="521"/>
      <c r="AA2" s="540" t="s">
        <v>4407</v>
      </c>
      <c r="AB2" s="541"/>
      <c r="AC2" s="541"/>
      <c r="AD2" s="542"/>
      <c r="AE2" s="540" t="s">
        <v>4408</v>
      </c>
      <c r="AF2" s="541"/>
      <c r="AG2" s="541"/>
      <c r="AH2" s="542"/>
      <c r="AI2" s="540" t="s">
        <v>4409</v>
      </c>
      <c r="AJ2" s="541"/>
      <c r="AK2" s="541"/>
      <c r="AL2" s="542"/>
      <c r="AM2" s="528"/>
      <c r="AN2" s="543" t="s">
        <v>4407</v>
      </c>
      <c r="AO2" s="542"/>
      <c r="AP2" s="540" t="s">
        <v>4408</v>
      </c>
      <c r="AQ2" s="542"/>
      <c r="AR2" s="540" t="s">
        <v>4409</v>
      </c>
      <c r="AS2" s="542"/>
      <c r="AT2" s="521"/>
      <c r="AU2" s="544" t="s">
        <v>4410</v>
      </c>
      <c r="AV2" s="545"/>
      <c r="AW2" s="544" t="s">
        <v>4411</v>
      </c>
      <c r="AX2" s="545"/>
      <c r="AY2" s="521"/>
      <c r="AZ2" s="546"/>
      <c r="BB2" s="547"/>
      <c r="BC2" s="521"/>
      <c r="BD2" s="548"/>
      <c r="BE2" s="548"/>
      <c r="BF2" s="548"/>
      <c r="BG2" s="548"/>
      <c r="BH2" s="548"/>
      <c r="BI2" s="521"/>
      <c r="BJ2" s="549" t="s">
        <v>4412</v>
      </c>
      <c r="BK2" s="549" t="s">
        <v>4413</v>
      </c>
      <c r="BL2" s="521"/>
      <c r="BM2" s="549" t="s">
        <v>4414</v>
      </c>
      <c r="BN2" s="549" t="s">
        <v>4415</v>
      </c>
      <c r="BO2" s="521"/>
      <c r="BP2" s="548"/>
      <c r="BQ2" s="521"/>
      <c r="BR2" s="550"/>
      <c r="BS2" s="537"/>
    </row>
    <row r="3" ht="15.75" customHeight="1">
      <c r="A3" s="551"/>
      <c r="B3" s="552"/>
      <c r="C3" s="553"/>
      <c r="D3" s="521"/>
      <c r="E3" s="554" t="s">
        <v>4416</v>
      </c>
      <c r="F3" s="555" t="s">
        <v>4417</v>
      </c>
      <c r="G3" s="556" t="s">
        <v>3748</v>
      </c>
      <c r="H3" s="557" t="s">
        <v>4418</v>
      </c>
      <c r="I3" s="558" t="s">
        <v>4419</v>
      </c>
      <c r="J3" s="559" t="s">
        <v>4420</v>
      </c>
      <c r="K3" s="560" t="s">
        <v>4421</v>
      </c>
      <c r="L3" s="561" t="s">
        <v>4416</v>
      </c>
      <c r="M3" s="555" t="s">
        <v>4417</v>
      </c>
      <c r="N3" s="556" t="s">
        <v>3748</v>
      </c>
      <c r="O3" s="557" t="s">
        <v>4418</v>
      </c>
      <c r="P3" s="558" t="s">
        <v>4419</v>
      </c>
      <c r="Q3" s="559" t="s">
        <v>4420</v>
      </c>
      <c r="R3" s="560" t="s">
        <v>4421</v>
      </c>
      <c r="S3" s="561" t="s">
        <v>4416</v>
      </c>
      <c r="T3" s="555" t="s">
        <v>4417</v>
      </c>
      <c r="U3" s="556" t="s">
        <v>3748</v>
      </c>
      <c r="V3" s="557" t="s">
        <v>4418</v>
      </c>
      <c r="W3" s="558" t="s">
        <v>4419</v>
      </c>
      <c r="X3" s="559" t="s">
        <v>4420</v>
      </c>
      <c r="Y3" s="560" t="s">
        <v>4421</v>
      </c>
      <c r="Z3" s="521"/>
      <c r="AA3" s="540" t="s">
        <v>4422</v>
      </c>
      <c r="AB3" s="542"/>
      <c r="AC3" s="540" t="s">
        <v>4423</v>
      </c>
      <c r="AD3" s="542"/>
      <c r="AE3" s="540" t="s">
        <v>4422</v>
      </c>
      <c r="AF3" s="542"/>
      <c r="AG3" s="540" t="s">
        <v>4423</v>
      </c>
      <c r="AH3" s="542"/>
      <c r="AI3" s="540" t="s">
        <v>4422</v>
      </c>
      <c r="AJ3" s="542"/>
      <c r="AK3" s="540" t="s">
        <v>4423</v>
      </c>
      <c r="AL3" s="542"/>
      <c r="AM3" s="528"/>
      <c r="AN3" s="562" t="s">
        <v>4424</v>
      </c>
      <c r="AO3" s="563" t="s">
        <v>4425</v>
      </c>
      <c r="AP3" s="563" t="s">
        <v>4424</v>
      </c>
      <c r="AQ3" s="563" t="s">
        <v>4425</v>
      </c>
      <c r="AR3" s="563" t="s">
        <v>4424</v>
      </c>
      <c r="AS3" s="563" t="s">
        <v>4425</v>
      </c>
      <c r="AT3" s="521"/>
      <c r="AU3" s="564"/>
      <c r="AV3" s="565"/>
      <c r="AW3" s="564"/>
      <c r="AX3" s="565"/>
      <c r="AY3" s="521"/>
      <c r="AZ3" s="564"/>
      <c r="BA3" s="552"/>
      <c r="BB3" s="565"/>
      <c r="BC3" s="521"/>
      <c r="BD3" s="566"/>
      <c r="BE3" s="566"/>
      <c r="BF3" s="566"/>
      <c r="BG3" s="566"/>
      <c r="BH3" s="566"/>
      <c r="BI3" s="521"/>
      <c r="BJ3" s="566"/>
      <c r="BK3" s="566"/>
      <c r="BL3" s="521"/>
      <c r="BM3" s="566"/>
      <c r="BN3" s="566"/>
      <c r="BO3" s="521"/>
      <c r="BP3" s="566"/>
      <c r="BQ3" s="521"/>
      <c r="BR3" s="567"/>
      <c r="BS3" s="537"/>
    </row>
    <row r="4" ht="15.75" customHeight="1">
      <c r="A4" s="568" t="s">
        <v>4426</v>
      </c>
      <c r="B4" s="569" t="s">
        <v>1</v>
      </c>
      <c r="C4" s="570"/>
      <c r="D4" s="571"/>
      <c r="E4" s="572">
        <v>45.0</v>
      </c>
      <c r="F4" s="573">
        <v>49.0</v>
      </c>
      <c r="G4" s="574">
        <v>49.0</v>
      </c>
      <c r="H4" s="575">
        <v>65.0</v>
      </c>
      <c r="I4" s="576">
        <v>65.0</v>
      </c>
      <c r="J4" s="577">
        <v>45.0</v>
      </c>
      <c r="K4" s="578">
        <v>318.0</v>
      </c>
      <c r="L4" s="579">
        <v>45.0</v>
      </c>
      <c r="M4" s="573">
        <v>49.0</v>
      </c>
      <c r="N4" s="574">
        <v>49.0</v>
      </c>
      <c r="O4" s="575">
        <v>65.0</v>
      </c>
      <c r="P4" s="576">
        <v>65.0</v>
      </c>
      <c r="Q4" s="577">
        <v>45.0</v>
      </c>
      <c r="R4" s="580">
        <v>318.0</v>
      </c>
      <c r="S4" s="581">
        <v>45.0</v>
      </c>
      <c r="T4" s="573">
        <v>49.0</v>
      </c>
      <c r="U4" s="574">
        <v>49.0</v>
      </c>
      <c r="V4" s="575">
        <v>65.0</v>
      </c>
      <c r="W4" s="576">
        <v>65.0</v>
      </c>
      <c r="X4" s="577">
        <v>45.0</v>
      </c>
      <c r="Y4" s="580">
        <f t="shared" ref="Y4:Y508" si="1">SUM(S4:X4)</f>
        <v>318</v>
      </c>
      <c r="Z4" s="571"/>
      <c r="AA4" s="582" t="str">
        <f t="shared" ref="AA4:AA508" si="2">TYPEICON(AB4)</f>
        <v>#NAME?</v>
      </c>
      <c r="AB4" s="583" t="s">
        <v>6</v>
      </c>
      <c r="AC4" s="584" t="str">
        <f t="shared" ref="AC4:AC508" si="3">TYPEICON(AD4)</f>
        <v>#NAME?</v>
      </c>
      <c r="AD4" s="582" t="s">
        <v>7</v>
      </c>
      <c r="AE4" s="585" t="str">
        <f t="shared" ref="AE4:AE508" si="4">TYPEICON(AF4)</f>
        <v>#NAME?</v>
      </c>
      <c r="AF4" s="583" t="s">
        <v>6</v>
      </c>
      <c r="AG4" s="584" t="str">
        <f t="shared" ref="AG4:AG508" si="5">TYPEICON(AH4)</f>
        <v>#NAME?</v>
      </c>
      <c r="AH4" s="586" t="s">
        <v>7</v>
      </c>
      <c r="AI4" s="587" t="str">
        <f t="shared" ref="AI4:AI508" si="6">TYPEICON(AJ4)</f>
        <v>#NAME?</v>
      </c>
      <c r="AJ4" s="586" t="s">
        <v>6</v>
      </c>
      <c r="AK4" s="584" t="str">
        <f t="shared" ref="AK4:AK508" si="7">TYPEICON(AL4)</f>
        <v>#NAME?</v>
      </c>
      <c r="AL4" s="588" t="s">
        <v>7</v>
      </c>
      <c r="AM4" s="571"/>
      <c r="AN4" s="589" t="s">
        <v>9</v>
      </c>
      <c r="AO4" s="590"/>
      <c r="AP4" s="591" t="s">
        <v>11</v>
      </c>
      <c r="AQ4" s="592" t="s">
        <v>9</v>
      </c>
      <c r="AR4" s="593" t="s">
        <v>11</v>
      </c>
      <c r="AS4" s="594" t="s">
        <v>9</v>
      </c>
      <c r="AT4" s="595"/>
      <c r="AU4" s="596"/>
      <c r="AV4" s="597"/>
      <c r="AW4" s="598"/>
      <c r="AX4" s="599"/>
      <c r="AY4" s="571"/>
      <c r="AZ4" s="600" t="s">
        <v>4</v>
      </c>
      <c r="BA4" s="601"/>
      <c r="BB4" s="602"/>
      <c r="BC4" s="571"/>
      <c r="BD4" s="603" t="s">
        <v>15</v>
      </c>
      <c r="BE4" s="604">
        <v>64.0</v>
      </c>
      <c r="BF4" s="605">
        <v>45.0</v>
      </c>
      <c r="BG4" s="606">
        <v>70.0</v>
      </c>
      <c r="BH4" s="605">
        <v>20.0</v>
      </c>
      <c r="BI4" s="607"/>
      <c r="BJ4" s="608" t="s">
        <v>13</v>
      </c>
      <c r="BK4" s="609">
        <v>0.125</v>
      </c>
      <c r="BL4" s="610"/>
      <c r="BM4" s="611" t="s">
        <v>14</v>
      </c>
      <c r="BN4" s="612" t="s">
        <v>6</v>
      </c>
      <c r="BO4" s="607"/>
      <c r="BP4" s="613" t="s">
        <v>16</v>
      </c>
      <c r="BQ4" s="614"/>
      <c r="BR4" s="615" t="s">
        <v>4427</v>
      </c>
      <c r="BS4" s="614"/>
    </row>
    <row r="5" ht="15.75" customHeight="1">
      <c r="A5" s="616"/>
      <c r="B5" s="617" t="s">
        <v>24</v>
      </c>
      <c r="C5" s="618"/>
      <c r="D5" s="619"/>
      <c r="E5" s="620">
        <v>60.0</v>
      </c>
      <c r="F5" s="621">
        <v>62.0</v>
      </c>
      <c r="G5" s="622">
        <v>63.0</v>
      </c>
      <c r="H5" s="623">
        <v>80.0</v>
      </c>
      <c r="I5" s="624">
        <v>80.0</v>
      </c>
      <c r="J5" s="625">
        <v>60.0</v>
      </c>
      <c r="K5" s="626">
        <v>405.0</v>
      </c>
      <c r="L5" s="627">
        <v>60.0</v>
      </c>
      <c r="M5" s="621">
        <v>62.0</v>
      </c>
      <c r="N5" s="622">
        <v>63.0</v>
      </c>
      <c r="O5" s="623">
        <v>80.0</v>
      </c>
      <c r="P5" s="624">
        <v>80.0</v>
      </c>
      <c r="Q5" s="625">
        <v>60.0</v>
      </c>
      <c r="R5" s="628">
        <v>405.0</v>
      </c>
      <c r="S5" s="629">
        <v>60.0</v>
      </c>
      <c r="T5" s="621">
        <v>62.0</v>
      </c>
      <c r="U5" s="622">
        <v>63.0</v>
      </c>
      <c r="V5" s="623">
        <v>80.0</v>
      </c>
      <c r="W5" s="624">
        <v>80.0</v>
      </c>
      <c r="X5" s="625">
        <v>60.0</v>
      </c>
      <c r="Y5" s="628">
        <f t="shared" si="1"/>
        <v>405</v>
      </c>
      <c r="Z5" s="619"/>
      <c r="AA5" s="630" t="str">
        <f t="shared" si="2"/>
        <v>#NAME?</v>
      </c>
      <c r="AB5" s="631" t="s">
        <v>6</v>
      </c>
      <c r="AC5" s="632" t="str">
        <f t="shared" si="3"/>
        <v>#NAME?</v>
      </c>
      <c r="AD5" s="630" t="s">
        <v>7</v>
      </c>
      <c r="AE5" s="633" t="str">
        <f t="shared" si="4"/>
        <v>#NAME?</v>
      </c>
      <c r="AF5" s="631" t="s">
        <v>6</v>
      </c>
      <c r="AG5" s="632" t="str">
        <f t="shared" si="5"/>
        <v>#NAME?</v>
      </c>
      <c r="AH5" s="634" t="s">
        <v>7</v>
      </c>
      <c r="AI5" s="635" t="str">
        <f t="shared" si="6"/>
        <v>#NAME?</v>
      </c>
      <c r="AJ5" s="634" t="s">
        <v>6</v>
      </c>
      <c r="AK5" s="636" t="str">
        <f t="shared" si="7"/>
        <v>#NAME?</v>
      </c>
      <c r="AL5" s="637" t="s">
        <v>7</v>
      </c>
      <c r="AM5" s="619"/>
      <c r="AN5" s="638" t="s">
        <v>9</v>
      </c>
      <c r="AO5" s="639"/>
      <c r="AP5" s="640" t="s">
        <v>11</v>
      </c>
      <c r="AQ5" s="641" t="s">
        <v>9</v>
      </c>
      <c r="AR5" s="642" t="s">
        <v>11</v>
      </c>
      <c r="AS5" s="643" t="s">
        <v>9</v>
      </c>
      <c r="AT5" s="644"/>
      <c r="AU5" s="645"/>
      <c r="AV5" s="646"/>
      <c r="AW5" s="630"/>
      <c r="AX5" s="647"/>
      <c r="AY5" s="619"/>
      <c r="AZ5" s="648" t="s">
        <v>4</v>
      </c>
      <c r="BA5" s="649" t="s">
        <v>27</v>
      </c>
      <c r="BB5" s="650"/>
      <c r="BC5" s="619"/>
      <c r="BD5" s="651" t="s">
        <v>15</v>
      </c>
      <c r="BE5" s="652">
        <v>141.0</v>
      </c>
      <c r="BF5" s="653">
        <v>45.0</v>
      </c>
      <c r="BG5" s="654">
        <v>70.0</v>
      </c>
      <c r="BH5" s="653">
        <v>40.0</v>
      </c>
      <c r="BI5" s="607"/>
      <c r="BJ5" s="655" t="s">
        <v>13</v>
      </c>
      <c r="BK5" s="656">
        <v>0.125</v>
      </c>
      <c r="BL5" s="610"/>
      <c r="BM5" s="657" t="s">
        <v>14</v>
      </c>
      <c r="BN5" s="658" t="s">
        <v>6</v>
      </c>
      <c r="BO5" s="607"/>
      <c r="BP5" s="659" t="s">
        <v>30</v>
      </c>
      <c r="BQ5" s="614"/>
      <c r="BR5" s="660" t="s">
        <v>4427</v>
      </c>
      <c r="BS5" s="614"/>
    </row>
    <row r="6" ht="15.75" customHeight="1">
      <c r="A6" s="616"/>
      <c r="B6" s="661" t="s">
        <v>37</v>
      </c>
      <c r="C6" s="662"/>
      <c r="D6" s="571"/>
      <c r="E6" s="663">
        <v>80.0</v>
      </c>
      <c r="F6" s="664">
        <v>82.0</v>
      </c>
      <c r="G6" s="665">
        <v>83.0</v>
      </c>
      <c r="H6" s="666">
        <v>100.0</v>
      </c>
      <c r="I6" s="667">
        <v>100.0</v>
      </c>
      <c r="J6" s="668">
        <v>80.0</v>
      </c>
      <c r="K6" s="669">
        <v>525.0</v>
      </c>
      <c r="L6" s="670">
        <v>80.0</v>
      </c>
      <c r="M6" s="664">
        <v>82.0</v>
      </c>
      <c r="N6" s="665">
        <v>83.0</v>
      </c>
      <c r="O6" s="666">
        <v>100.0</v>
      </c>
      <c r="P6" s="667">
        <v>100.0</v>
      </c>
      <c r="Q6" s="668">
        <v>80.0</v>
      </c>
      <c r="R6" s="671">
        <v>525.0</v>
      </c>
      <c r="S6" s="672">
        <v>80.0</v>
      </c>
      <c r="T6" s="664">
        <v>82.0</v>
      </c>
      <c r="U6" s="665">
        <v>83.0</v>
      </c>
      <c r="V6" s="666">
        <v>110.0</v>
      </c>
      <c r="W6" s="667">
        <v>100.0</v>
      </c>
      <c r="X6" s="668">
        <v>80.0</v>
      </c>
      <c r="Y6" s="671">
        <f t="shared" si="1"/>
        <v>535</v>
      </c>
      <c r="Z6" s="571"/>
      <c r="AA6" s="673" t="str">
        <f t="shared" si="2"/>
        <v>#NAME?</v>
      </c>
      <c r="AB6" s="674" t="s">
        <v>6</v>
      </c>
      <c r="AC6" s="675" t="str">
        <f t="shared" si="3"/>
        <v>#NAME?</v>
      </c>
      <c r="AD6" s="673" t="s">
        <v>7</v>
      </c>
      <c r="AE6" s="676" t="str">
        <f t="shared" si="4"/>
        <v>#NAME?</v>
      </c>
      <c r="AF6" s="674" t="s">
        <v>6</v>
      </c>
      <c r="AG6" s="675" t="str">
        <f t="shared" si="5"/>
        <v>#NAME?</v>
      </c>
      <c r="AH6" s="586" t="s">
        <v>7</v>
      </c>
      <c r="AI6" s="677" t="str">
        <f t="shared" si="6"/>
        <v>#NAME?</v>
      </c>
      <c r="AJ6" s="586" t="s">
        <v>6</v>
      </c>
      <c r="AK6" s="584" t="str">
        <f t="shared" si="7"/>
        <v>#NAME?</v>
      </c>
      <c r="AL6" s="678" t="s">
        <v>7</v>
      </c>
      <c r="AM6" s="571"/>
      <c r="AN6" s="679" t="s">
        <v>9</v>
      </c>
      <c r="AO6" s="680"/>
      <c r="AP6" s="681" t="s">
        <v>11</v>
      </c>
      <c r="AQ6" s="682" t="s">
        <v>9</v>
      </c>
      <c r="AR6" s="683" t="s">
        <v>44</v>
      </c>
      <c r="AS6" s="684" t="s">
        <v>9</v>
      </c>
      <c r="AT6" s="595"/>
      <c r="AU6" s="685"/>
      <c r="AV6" s="686"/>
      <c r="AW6" s="687"/>
      <c r="AX6" s="688"/>
      <c r="AY6" s="571"/>
      <c r="AZ6" s="689" t="s">
        <v>42</v>
      </c>
      <c r="BA6" s="690"/>
      <c r="BB6" s="691" t="s">
        <v>27</v>
      </c>
      <c r="BC6" s="571"/>
      <c r="BD6" s="651" t="s">
        <v>15</v>
      </c>
      <c r="BE6" s="653">
        <v>208.0</v>
      </c>
      <c r="BF6" s="653">
        <v>45.0</v>
      </c>
      <c r="BG6" s="654">
        <v>70.0</v>
      </c>
      <c r="BH6" s="653">
        <v>100.0</v>
      </c>
      <c r="BI6" s="607"/>
      <c r="BJ6" s="655" t="s">
        <v>13</v>
      </c>
      <c r="BK6" s="656">
        <v>0.125</v>
      </c>
      <c r="BL6" s="610"/>
      <c r="BM6" s="657" t="s">
        <v>14</v>
      </c>
      <c r="BN6" s="658" t="s">
        <v>6</v>
      </c>
      <c r="BO6" s="607"/>
      <c r="BP6" s="659" t="s">
        <v>47</v>
      </c>
      <c r="BQ6" s="614"/>
      <c r="BR6" s="660" t="s">
        <v>4427</v>
      </c>
      <c r="BS6" s="614"/>
    </row>
    <row r="7" ht="15.75" customHeight="1">
      <c r="A7" s="616"/>
      <c r="B7" s="617" t="s">
        <v>53</v>
      </c>
      <c r="C7" s="618"/>
      <c r="D7" s="619"/>
      <c r="E7" s="620">
        <v>39.0</v>
      </c>
      <c r="F7" s="621">
        <v>52.0</v>
      </c>
      <c r="G7" s="622">
        <v>43.0</v>
      </c>
      <c r="H7" s="623">
        <v>60.0</v>
      </c>
      <c r="I7" s="624">
        <v>50.0</v>
      </c>
      <c r="J7" s="625">
        <v>65.0</v>
      </c>
      <c r="K7" s="626">
        <v>309.0</v>
      </c>
      <c r="L7" s="627">
        <v>39.0</v>
      </c>
      <c r="M7" s="621">
        <v>52.0</v>
      </c>
      <c r="N7" s="622">
        <v>43.0</v>
      </c>
      <c r="O7" s="623">
        <v>60.0</v>
      </c>
      <c r="P7" s="624">
        <v>50.0</v>
      </c>
      <c r="Q7" s="625">
        <v>65.0</v>
      </c>
      <c r="R7" s="628">
        <v>309.0</v>
      </c>
      <c r="S7" s="629">
        <v>39.0</v>
      </c>
      <c r="T7" s="621">
        <v>52.0</v>
      </c>
      <c r="U7" s="622">
        <v>43.0</v>
      </c>
      <c r="V7" s="623">
        <v>60.0</v>
      </c>
      <c r="W7" s="624">
        <v>50.0</v>
      </c>
      <c r="X7" s="625">
        <v>65.0</v>
      </c>
      <c r="Y7" s="628">
        <f t="shared" si="1"/>
        <v>309</v>
      </c>
      <c r="Z7" s="619"/>
      <c r="AA7" s="630" t="str">
        <f t="shared" si="2"/>
        <v>#NAME?</v>
      </c>
      <c r="AB7" s="631" t="s">
        <v>34</v>
      </c>
      <c r="AC7" s="632" t="str">
        <f t="shared" si="3"/>
        <v>#NAME?</v>
      </c>
      <c r="AD7" s="639" t="s">
        <v>4428</v>
      </c>
      <c r="AE7" s="633" t="str">
        <f t="shared" si="4"/>
        <v>#NAME?</v>
      </c>
      <c r="AF7" s="631" t="s">
        <v>34</v>
      </c>
      <c r="AG7" s="632" t="str">
        <f t="shared" si="5"/>
        <v>#NAME?</v>
      </c>
      <c r="AH7" s="634" t="s">
        <v>4428</v>
      </c>
      <c r="AI7" s="635" t="str">
        <f t="shared" si="6"/>
        <v>#NAME?</v>
      </c>
      <c r="AJ7" s="634" t="s">
        <v>34</v>
      </c>
      <c r="AK7" s="636" t="str">
        <f t="shared" si="7"/>
        <v>#NAME?</v>
      </c>
      <c r="AL7" s="637" t="s">
        <v>4428</v>
      </c>
      <c r="AM7" s="619"/>
      <c r="AN7" s="638" t="s">
        <v>57</v>
      </c>
      <c r="AO7" s="639"/>
      <c r="AP7" s="640" t="s">
        <v>59</v>
      </c>
      <c r="AQ7" s="641" t="s">
        <v>57</v>
      </c>
      <c r="AR7" s="642" t="s">
        <v>59</v>
      </c>
      <c r="AS7" s="643" t="s">
        <v>57</v>
      </c>
      <c r="AT7" s="644"/>
      <c r="AU7" s="645"/>
      <c r="AV7" s="646"/>
      <c r="AW7" s="692"/>
      <c r="AX7" s="693"/>
      <c r="AY7" s="619"/>
      <c r="AZ7" s="648" t="s">
        <v>56</v>
      </c>
      <c r="BA7" s="694"/>
      <c r="BB7" s="690"/>
      <c r="BC7" s="619"/>
      <c r="BD7" s="651" t="s">
        <v>15</v>
      </c>
      <c r="BE7" s="653">
        <v>65.0</v>
      </c>
      <c r="BF7" s="653">
        <v>45.0</v>
      </c>
      <c r="BG7" s="654">
        <v>70.0</v>
      </c>
      <c r="BH7" s="653">
        <v>20.0</v>
      </c>
      <c r="BI7" s="607"/>
      <c r="BJ7" s="655" t="s">
        <v>13</v>
      </c>
      <c r="BK7" s="656">
        <v>0.125</v>
      </c>
      <c r="BL7" s="610"/>
      <c r="BM7" s="657" t="s">
        <v>14</v>
      </c>
      <c r="BN7" s="658" t="s">
        <v>61</v>
      </c>
      <c r="BO7" s="607"/>
      <c r="BP7" s="659" t="s">
        <v>62</v>
      </c>
      <c r="BQ7" s="614"/>
      <c r="BR7" s="660" t="s">
        <v>4429</v>
      </c>
      <c r="BS7" s="614"/>
    </row>
    <row r="8" ht="15.75" customHeight="1">
      <c r="A8" s="616"/>
      <c r="B8" s="661" t="s">
        <v>69</v>
      </c>
      <c r="C8" s="662"/>
      <c r="D8" s="571"/>
      <c r="E8" s="663">
        <v>58.0</v>
      </c>
      <c r="F8" s="664">
        <v>64.0</v>
      </c>
      <c r="G8" s="665">
        <v>58.0</v>
      </c>
      <c r="H8" s="666">
        <v>80.0</v>
      </c>
      <c r="I8" s="667">
        <v>65.0</v>
      </c>
      <c r="J8" s="668">
        <v>80.0</v>
      </c>
      <c r="K8" s="669">
        <v>405.0</v>
      </c>
      <c r="L8" s="670">
        <v>58.0</v>
      </c>
      <c r="M8" s="664">
        <v>64.0</v>
      </c>
      <c r="N8" s="665">
        <v>58.0</v>
      </c>
      <c r="O8" s="666">
        <v>80.0</v>
      </c>
      <c r="P8" s="667">
        <v>65.0</v>
      </c>
      <c r="Q8" s="668">
        <v>80.0</v>
      </c>
      <c r="R8" s="671">
        <v>405.0</v>
      </c>
      <c r="S8" s="672">
        <v>58.0</v>
      </c>
      <c r="T8" s="664">
        <v>64.0</v>
      </c>
      <c r="U8" s="665">
        <v>58.0</v>
      </c>
      <c r="V8" s="666">
        <v>80.0</v>
      </c>
      <c r="W8" s="667">
        <v>65.0</v>
      </c>
      <c r="X8" s="668">
        <v>80.0</v>
      </c>
      <c r="Y8" s="671">
        <f t="shared" si="1"/>
        <v>405</v>
      </c>
      <c r="Z8" s="571"/>
      <c r="AA8" s="673" t="str">
        <f t="shared" si="2"/>
        <v>#NAME?</v>
      </c>
      <c r="AB8" s="674" t="s">
        <v>34</v>
      </c>
      <c r="AC8" s="675" t="str">
        <f t="shared" si="3"/>
        <v>#NAME?</v>
      </c>
      <c r="AD8" s="680" t="s">
        <v>4428</v>
      </c>
      <c r="AE8" s="676" t="str">
        <f t="shared" si="4"/>
        <v>#NAME?</v>
      </c>
      <c r="AF8" s="674" t="s">
        <v>34</v>
      </c>
      <c r="AG8" s="675" t="str">
        <f t="shared" si="5"/>
        <v>#NAME?</v>
      </c>
      <c r="AH8" s="586" t="s">
        <v>4428</v>
      </c>
      <c r="AI8" s="677" t="str">
        <f t="shared" si="6"/>
        <v>#NAME?</v>
      </c>
      <c r="AJ8" s="586" t="s">
        <v>34</v>
      </c>
      <c r="AK8" s="584" t="str">
        <f t="shared" si="7"/>
        <v>#NAME?</v>
      </c>
      <c r="AL8" s="678" t="s">
        <v>4428</v>
      </c>
      <c r="AM8" s="571"/>
      <c r="AN8" s="679" t="s">
        <v>57</v>
      </c>
      <c r="AO8" s="680"/>
      <c r="AP8" s="681" t="s">
        <v>59</v>
      </c>
      <c r="AQ8" s="682" t="s">
        <v>57</v>
      </c>
      <c r="AR8" s="683" t="s">
        <v>59</v>
      </c>
      <c r="AS8" s="684" t="s">
        <v>57</v>
      </c>
      <c r="AT8" s="595"/>
      <c r="AU8" s="685"/>
      <c r="AV8" s="686"/>
      <c r="AW8" s="687"/>
      <c r="AX8" s="688"/>
      <c r="AY8" s="571"/>
      <c r="AZ8" s="695" t="s">
        <v>4</v>
      </c>
      <c r="BA8" s="691" t="s">
        <v>56</v>
      </c>
      <c r="BB8" s="696"/>
      <c r="BC8" s="571"/>
      <c r="BD8" s="651" t="s">
        <v>15</v>
      </c>
      <c r="BE8" s="653">
        <v>142.0</v>
      </c>
      <c r="BF8" s="653">
        <v>45.0</v>
      </c>
      <c r="BG8" s="654">
        <v>70.0</v>
      </c>
      <c r="BH8" s="653">
        <v>40.0</v>
      </c>
      <c r="BI8" s="607"/>
      <c r="BJ8" s="655" t="s">
        <v>13</v>
      </c>
      <c r="BK8" s="656">
        <v>0.125</v>
      </c>
      <c r="BL8" s="610"/>
      <c r="BM8" s="657" t="s">
        <v>14</v>
      </c>
      <c r="BN8" s="658" t="s">
        <v>61</v>
      </c>
      <c r="BO8" s="607"/>
      <c r="BP8" s="659" t="s">
        <v>74</v>
      </c>
      <c r="BQ8" s="614"/>
      <c r="BR8" s="660" t="s">
        <v>4429</v>
      </c>
      <c r="BS8" s="614"/>
    </row>
    <row r="9" ht="15.75" customHeight="1">
      <c r="A9" s="616"/>
      <c r="B9" s="617" t="s">
        <v>82</v>
      </c>
      <c r="C9" s="618"/>
      <c r="D9" s="619"/>
      <c r="E9" s="620">
        <v>78.0</v>
      </c>
      <c r="F9" s="621">
        <v>84.0</v>
      </c>
      <c r="G9" s="622">
        <v>78.0</v>
      </c>
      <c r="H9" s="623">
        <v>109.0</v>
      </c>
      <c r="I9" s="624">
        <v>85.0</v>
      </c>
      <c r="J9" s="625">
        <v>100.0</v>
      </c>
      <c r="K9" s="626">
        <v>534.0</v>
      </c>
      <c r="L9" s="627">
        <v>78.0</v>
      </c>
      <c r="M9" s="621">
        <v>84.0</v>
      </c>
      <c r="N9" s="622">
        <v>78.0</v>
      </c>
      <c r="O9" s="623">
        <v>109.0</v>
      </c>
      <c r="P9" s="624">
        <v>85.0</v>
      </c>
      <c r="Q9" s="625">
        <v>100.0</v>
      </c>
      <c r="R9" s="628">
        <v>534.0</v>
      </c>
      <c r="S9" s="629">
        <v>78.0</v>
      </c>
      <c r="T9" s="621">
        <v>84.0</v>
      </c>
      <c r="U9" s="622">
        <v>78.0</v>
      </c>
      <c r="V9" s="623">
        <v>110.0</v>
      </c>
      <c r="W9" s="624">
        <v>85.0</v>
      </c>
      <c r="X9" s="625">
        <v>100.0</v>
      </c>
      <c r="Y9" s="628">
        <f t="shared" si="1"/>
        <v>535</v>
      </c>
      <c r="Z9" s="619"/>
      <c r="AA9" s="630" t="str">
        <f t="shared" si="2"/>
        <v>#NAME?</v>
      </c>
      <c r="AB9" s="631" t="s">
        <v>34</v>
      </c>
      <c r="AC9" s="632" t="str">
        <f t="shared" si="3"/>
        <v>#NAME?</v>
      </c>
      <c r="AD9" s="630" t="s">
        <v>18</v>
      </c>
      <c r="AE9" s="633" t="str">
        <f t="shared" si="4"/>
        <v>#NAME?</v>
      </c>
      <c r="AF9" s="631" t="s">
        <v>34</v>
      </c>
      <c r="AG9" s="632" t="str">
        <f t="shared" si="5"/>
        <v>#NAME?</v>
      </c>
      <c r="AH9" s="634" t="s">
        <v>18</v>
      </c>
      <c r="AI9" s="635" t="str">
        <f t="shared" si="6"/>
        <v>#NAME?</v>
      </c>
      <c r="AJ9" s="634" t="s">
        <v>34</v>
      </c>
      <c r="AK9" s="697" t="str">
        <f t="shared" si="7"/>
        <v>#NAME?</v>
      </c>
      <c r="AL9" s="637" t="s">
        <v>86</v>
      </c>
      <c r="AM9" s="619"/>
      <c r="AN9" s="638" t="s">
        <v>57</v>
      </c>
      <c r="AO9" s="639"/>
      <c r="AP9" s="640" t="s">
        <v>59</v>
      </c>
      <c r="AQ9" s="641" t="s">
        <v>57</v>
      </c>
      <c r="AR9" s="642" t="s">
        <v>88</v>
      </c>
      <c r="AS9" s="643" t="s">
        <v>57</v>
      </c>
      <c r="AT9" s="644"/>
      <c r="AU9" s="645"/>
      <c r="AV9" s="646"/>
      <c r="AW9" s="692"/>
      <c r="AX9" s="693"/>
      <c r="AY9" s="619"/>
      <c r="AZ9" s="698" t="s">
        <v>85</v>
      </c>
      <c r="BA9" s="699"/>
      <c r="BB9" s="690"/>
      <c r="BC9" s="619"/>
      <c r="BD9" s="651" t="s">
        <v>15</v>
      </c>
      <c r="BE9" s="653">
        <v>209.0</v>
      </c>
      <c r="BF9" s="653">
        <v>45.0</v>
      </c>
      <c r="BG9" s="654">
        <v>70.0</v>
      </c>
      <c r="BH9" s="653">
        <v>80.0</v>
      </c>
      <c r="BI9" s="607"/>
      <c r="BJ9" s="655" t="s">
        <v>13</v>
      </c>
      <c r="BK9" s="656">
        <v>0.125</v>
      </c>
      <c r="BL9" s="610"/>
      <c r="BM9" s="657" t="s">
        <v>14</v>
      </c>
      <c r="BN9" s="658" t="s">
        <v>61</v>
      </c>
      <c r="BO9" s="607"/>
      <c r="BP9" s="659" t="s">
        <v>90</v>
      </c>
      <c r="BQ9" s="614"/>
      <c r="BR9" s="660" t="s">
        <v>4429</v>
      </c>
      <c r="BS9" s="614"/>
    </row>
    <row r="10" ht="15.75" customHeight="1">
      <c r="A10" s="616"/>
      <c r="B10" s="661" t="s">
        <v>98</v>
      </c>
      <c r="C10" s="662"/>
      <c r="D10" s="571"/>
      <c r="E10" s="663">
        <v>44.0</v>
      </c>
      <c r="F10" s="664">
        <v>48.0</v>
      </c>
      <c r="G10" s="665">
        <v>65.0</v>
      </c>
      <c r="H10" s="666">
        <v>50.0</v>
      </c>
      <c r="I10" s="667">
        <v>64.0</v>
      </c>
      <c r="J10" s="668">
        <v>43.0</v>
      </c>
      <c r="K10" s="669">
        <v>314.0</v>
      </c>
      <c r="L10" s="670">
        <v>44.0</v>
      </c>
      <c r="M10" s="664">
        <v>48.0</v>
      </c>
      <c r="N10" s="665">
        <v>65.0</v>
      </c>
      <c r="O10" s="666">
        <v>50.0</v>
      </c>
      <c r="P10" s="667">
        <v>64.0</v>
      </c>
      <c r="Q10" s="668">
        <v>43.0</v>
      </c>
      <c r="R10" s="671">
        <v>314.0</v>
      </c>
      <c r="S10" s="672">
        <v>44.0</v>
      </c>
      <c r="T10" s="664">
        <v>48.0</v>
      </c>
      <c r="U10" s="665">
        <v>65.0</v>
      </c>
      <c r="V10" s="666">
        <v>50.0</v>
      </c>
      <c r="W10" s="667">
        <v>64.0</v>
      </c>
      <c r="X10" s="668">
        <v>43.0</v>
      </c>
      <c r="Y10" s="671">
        <f t="shared" si="1"/>
        <v>314</v>
      </c>
      <c r="Z10" s="571"/>
      <c r="AA10" s="673" t="str">
        <f t="shared" si="2"/>
        <v>#NAME?</v>
      </c>
      <c r="AB10" s="674" t="s">
        <v>32</v>
      </c>
      <c r="AC10" s="675" t="str">
        <f t="shared" si="3"/>
        <v>#NAME?</v>
      </c>
      <c r="AD10" s="680" t="s">
        <v>4428</v>
      </c>
      <c r="AE10" s="676" t="str">
        <f t="shared" si="4"/>
        <v>#NAME?</v>
      </c>
      <c r="AF10" s="674" t="s">
        <v>32</v>
      </c>
      <c r="AG10" s="675" t="str">
        <f t="shared" si="5"/>
        <v>#NAME?</v>
      </c>
      <c r="AH10" s="586" t="s">
        <v>4428</v>
      </c>
      <c r="AI10" s="677" t="str">
        <f t="shared" si="6"/>
        <v>#NAME?</v>
      </c>
      <c r="AJ10" s="586" t="s">
        <v>32</v>
      </c>
      <c r="AK10" s="584" t="str">
        <f t="shared" si="7"/>
        <v>#NAME?</v>
      </c>
      <c r="AL10" s="678" t="s">
        <v>4428</v>
      </c>
      <c r="AM10" s="571"/>
      <c r="AN10" s="679" t="s">
        <v>102</v>
      </c>
      <c r="AO10" s="680"/>
      <c r="AP10" s="681" t="s">
        <v>104</v>
      </c>
      <c r="AQ10" s="682" t="s">
        <v>102</v>
      </c>
      <c r="AR10" s="683" t="s">
        <v>104</v>
      </c>
      <c r="AS10" s="684" t="s">
        <v>102</v>
      </c>
      <c r="AT10" s="595"/>
      <c r="AU10" s="685"/>
      <c r="AV10" s="686"/>
      <c r="AW10" s="687"/>
      <c r="AX10" s="688"/>
      <c r="AY10" s="571"/>
      <c r="AZ10" s="695" t="s">
        <v>101</v>
      </c>
      <c r="BA10" s="700"/>
      <c r="BB10" s="690"/>
      <c r="BC10" s="571"/>
      <c r="BD10" s="651" t="s">
        <v>15</v>
      </c>
      <c r="BE10" s="653">
        <v>66.0</v>
      </c>
      <c r="BF10" s="653">
        <v>45.0</v>
      </c>
      <c r="BG10" s="654">
        <v>70.0</v>
      </c>
      <c r="BH10" s="653">
        <v>20.0</v>
      </c>
      <c r="BI10" s="607"/>
      <c r="BJ10" s="655" t="s">
        <v>13</v>
      </c>
      <c r="BK10" s="656">
        <v>0.125</v>
      </c>
      <c r="BL10" s="610"/>
      <c r="BM10" s="657" t="s">
        <v>14</v>
      </c>
      <c r="BN10" s="658" t="s">
        <v>106</v>
      </c>
      <c r="BO10" s="607"/>
      <c r="BP10" s="659" t="s">
        <v>107</v>
      </c>
      <c r="BQ10" s="614"/>
      <c r="BR10" s="660" t="s">
        <v>4430</v>
      </c>
      <c r="BS10" s="614"/>
    </row>
    <row r="11" ht="15.75" customHeight="1">
      <c r="A11" s="616"/>
      <c r="B11" s="617" t="s">
        <v>113</v>
      </c>
      <c r="C11" s="618"/>
      <c r="D11" s="619"/>
      <c r="E11" s="620">
        <v>59.0</v>
      </c>
      <c r="F11" s="621">
        <v>63.0</v>
      </c>
      <c r="G11" s="622">
        <v>80.0</v>
      </c>
      <c r="H11" s="623">
        <v>65.0</v>
      </c>
      <c r="I11" s="624">
        <v>80.0</v>
      </c>
      <c r="J11" s="625">
        <v>58.0</v>
      </c>
      <c r="K11" s="626">
        <v>405.0</v>
      </c>
      <c r="L11" s="627">
        <v>59.0</v>
      </c>
      <c r="M11" s="621">
        <v>63.0</v>
      </c>
      <c r="N11" s="622">
        <v>80.0</v>
      </c>
      <c r="O11" s="623">
        <v>65.0</v>
      </c>
      <c r="P11" s="624">
        <v>80.0</v>
      </c>
      <c r="Q11" s="625">
        <v>58.0</v>
      </c>
      <c r="R11" s="628">
        <v>405.0</v>
      </c>
      <c r="S11" s="629">
        <v>59.0</v>
      </c>
      <c r="T11" s="621">
        <v>63.0</v>
      </c>
      <c r="U11" s="622">
        <v>80.0</v>
      </c>
      <c r="V11" s="623">
        <v>65.0</v>
      </c>
      <c r="W11" s="624">
        <v>80.0</v>
      </c>
      <c r="X11" s="625">
        <v>58.0</v>
      </c>
      <c r="Y11" s="628">
        <f t="shared" si="1"/>
        <v>405</v>
      </c>
      <c r="Z11" s="619"/>
      <c r="AA11" s="630" t="str">
        <f t="shared" si="2"/>
        <v>#NAME?</v>
      </c>
      <c r="AB11" s="631" t="s">
        <v>32</v>
      </c>
      <c r="AC11" s="632" t="str">
        <f t="shared" si="3"/>
        <v>#NAME?</v>
      </c>
      <c r="AD11" s="639" t="s">
        <v>4428</v>
      </c>
      <c r="AE11" s="633" t="str">
        <f t="shared" si="4"/>
        <v>#NAME?</v>
      </c>
      <c r="AF11" s="631" t="s">
        <v>32</v>
      </c>
      <c r="AG11" s="632" t="str">
        <f t="shared" si="5"/>
        <v>#NAME?</v>
      </c>
      <c r="AH11" s="634" t="s">
        <v>4428</v>
      </c>
      <c r="AI11" s="635" t="str">
        <f t="shared" si="6"/>
        <v>#NAME?</v>
      </c>
      <c r="AJ11" s="634" t="s">
        <v>32</v>
      </c>
      <c r="AK11" s="636" t="str">
        <f t="shared" si="7"/>
        <v>#NAME?</v>
      </c>
      <c r="AL11" s="637" t="s">
        <v>4428</v>
      </c>
      <c r="AM11" s="619"/>
      <c r="AN11" s="638" t="s">
        <v>102</v>
      </c>
      <c r="AO11" s="639"/>
      <c r="AP11" s="640" t="s">
        <v>104</v>
      </c>
      <c r="AQ11" s="641" t="s">
        <v>102</v>
      </c>
      <c r="AR11" s="642" t="s">
        <v>104</v>
      </c>
      <c r="AS11" s="643" t="s">
        <v>102</v>
      </c>
      <c r="AT11" s="644"/>
      <c r="AU11" s="645"/>
      <c r="AV11" s="646"/>
      <c r="AW11" s="692"/>
      <c r="AX11" s="693"/>
      <c r="AY11" s="619"/>
      <c r="AZ11" s="648" t="s">
        <v>101</v>
      </c>
      <c r="BA11" s="649" t="s">
        <v>27</v>
      </c>
      <c r="BB11" s="650"/>
      <c r="BC11" s="619"/>
      <c r="BD11" s="651" t="s">
        <v>15</v>
      </c>
      <c r="BE11" s="653">
        <v>143.0</v>
      </c>
      <c r="BF11" s="653">
        <v>45.0</v>
      </c>
      <c r="BG11" s="654">
        <v>70.0</v>
      </c>
      <c r="BH11" s="653">
        <v>40.0</v>
      </c>
      <c r="BI11" s="607"/>
      <c r="BJ11" s="655" t="s">
        <v>13</v>
      </c>
      <c r="BK11" s="656">
        <v>0.125</v>
      </c>
      <c r="BL11" s="610"/>
      <c r="BM11" s="657" t="s">
        <v>14</v>
      </c>
      <c r="BN11" s="658" t="s">
        <v>106</v>
      </c>
      <c r="BO11" s="607"/>
      <c r="BP11" s="659" t="s">
        <v>118</v>
      </c>
      <c r="BQ11" s="614"/>
      <c r="BR11" s="660" t="s">
        <v>4430</v>
      </c>
      <c r="BS11" s="614"/>
    </row>
    <row r="12" ht="15.75" customHeight="1">
      <c r="A12" s="616"/>
      <c r="B12" s="661" t="s">
        <v>125</v>
      </c>
      <c r="C12" s="662"/>
      <c r="D12" s="571"/>
      <c r="E12" s="663">
        <v>79.0</v>
      </c>
      <c r="F12" s="664">
        <v>83.0</v>
      </c>
      <c r="G12" s="665">
        <v>100.0</v>
      </c>
      <c r="H12" s="666">
        <v>85.0</v>
      </c>
      <c r="I12" s="667">
        <v>105.0</v>
      </c>
      <c r="J12" s="668">
        <v>78.0</v>
      </c>
      <c r="K12" s="669">
        <v>530.0</v>
      </c>
      <c r="L12" s="670">
        <v>79.0</v>
      </c>
      <c r="M12" s="664">
        <v>83.0</v>
      </c>
      <c r="N12" s="665">
        <v>100.0</v>
      </c>
      <c r="O12" s="666">
        <v>85.0</v>
      </c>
      <c r="P12" s="667">
        <v>105.0</v>
      </c>
      <c r="Q12" s="668">
        <v>78.0</v>
      </c>
      <c r="R12" s="671">
        <v>530.0</v>
      </c>
      <c r="S12" s="672">
        <v>79.0</v>
      </c>
      <c r="T12" s="664">
        <v>83.0</v>
      </c>
      <c r="U12" s="665">
        <v>100.0</v>
      </c>
      <c r="V12" s="666">
        <v>90.0</v>
      </c>
      <c r="W12" s="667">
        <v>105.0</v>
      </c>
      <c r="X12" s="668">
        <v>78.0</v>
      </c>
      <c r="Y12" s="671">
        <f t="shared" si="1"/>
        <v>535</v>
      </c>
      <c r="Z12" s="571"/>
      <c r="AA12" s="673" t="str">
        <f t="shared" si="2"/>
        <v>#NAME?</v>
      </c>
      <c r="AB12" s="674" t="s">
        <v>32</v>
      </c>
      <c r="AC12" s="675" t="str">
        <f t="shared" si="3"/>
        <v>#NAME?</v>
      </c>
      <c r="AD12" s="680" t="s">
        <v>4428</v>
      </c>
      <c r="AE12" s="676" t="str">
        <f t="shared" si="4"/>
        <v>#NAME?</v>
      </c>
      <c r="AF12" s="674" t="s">
        <v>32</v>
      </c>
      <c r="AG12" s="675" t="str">
        <f t="shared" si="5"/>
        <v>#NAME?</v>
      </c>
      <c r="AH12" s="586" t="s">
        <v>4428</v>
      </c>
      <c r="AI12" s="677" t="str">
        <f t="shared" si="6"/>
        <v>#NAME?</v>
      </c>
      <c r="AJ12" s="586" t="s">
        <v>32</v>
      </c>
      <c r="AK12" s="584" t="str">
        <f t="shared" si="7"/>
        <v>#NAME?</v>
      </c>
      <c r="AL12" s="678" t="s">
        <v>4428</v>
      </c>
      <c r="AM12" s="571"/>
      <c r="AN12" s="679" t="s">
        <v>102</v>
      </c>
      <c r="AO12" s="680"/>
      <c r="AP12" s="681" t="s">
        <v>104</v>
      </c>
      <c r="AQ12" s="682" t="s">
        <v>102</v>
      </c>
      <c r="AR12" s="683" t="s">
        <v>130</v>
      </c>
      <c r="AS12" s="684" t="s">
        <v>102</v>
      </c>
      <c r="AT12" s="595"/>
      <c r="AU12" s="685"/>
      <c r="AV12" s="686"/>
      <c r="AW12" s="687"/>
      <c r="AX12" s="688"/>
      <c r="AY12" s="571"/>
      <c r="AZ12" s="689" t="s">
        <v>129</v>
      </c>
      <c r="BA12" s="699"/>
      <c r="BB12" s="690"/>
      <c r="BC12" s="571"/>
      <c r="BD12" s="651" t="s">
        <v>15</v>
      </c>
      <c r="BE12" s="653">
        <v>210.0</v>
      </c>
      <c r="BF12" s="653">
        <v>45.0</v>
      </c>
      <c r="BG12" s="654">
        <v>70.0</v>
      </c>
      <c r="BH12" s="653">
        <v>80.0</v>
      </c>
      <c r="BI12" s="607"/>
      <c r="BJ12" s="655" t="s">
        <v>13</v>
      </c>
      <c r="BK12" s="656">
        <v>0.125</v>
      </c>
      <c r="BL12" s="610"/>
      <c r="BM12" s="657" t="s">
        <v>14</v>
      </c>
      <c r="BN12" s="658" t="s">
        <v>106</v>
      </c>
      <c r="BO12" s="607"/>
      <c r="BP12" s="659" t="s">
        <v>132</v>
      </c>
      <c r="BQ12" s="614"/>
      <c r="BR12" s="660" t="s">
        <v>4430</v>
      </c>
      <c r="BS12" s="614"/>
    </row>
    <row r="13" ht="15.75" customHeight="1">
      <c r="A13" s="616"/>
      <c r="B13" s="617" t="s">
        <v>141</v>
      </c>
      <c r="C13" s="618"/>
      <c r="D13" s="619"/>
      <c r="E13" s="620">
        <v>45.0</v>
      </c>
      <c r="F13" s="621">
        <v>30.0</v>
      </c>
      <c r="G13" s="622">
        <v>35.0</v>
      </c>
      <c r="H13" s="623">
        <v>20.0</v>
      </c>
      <c r="I13" s="624">
        <v>20.0</v>
      </c>
      <c r="J13" s="625">
        <v>45.0</v>
      </c>
      <c r="K13" s="626">
        <v>195.0</v>
      </c>
      <c r="L13" s="627">
        <v>45.0</v>
      </c>
      <c r="M13" s="621">
        <v>30.0</v>
      </c>
      <c r="N13" s="622">
        <v>35.0</v>
      </c>
      <c r="O13" s="623">
        <v>20.0</v>
      </c>
      <c r="P13" s="624">
        <v>20.0</v>
      </c>
      <c r="Q13" s="625">
        <v>45.0</v>
      </c>
      <c r="R13" s="628">
        <v>195.0</v>
      </c>
      <c r="S13" s="629">
        <v>45.0</v>
      </c>
      <c r="T13" s="621">
        <v>30.0</v>
      </c>
      <c r="U13" s="622">
        <v>35.0</v>
      </c>
      <c r="V13" s="623">
        <v>20.0</v>
      </c>
      <c r="W13" s="624">
        <v>20.0</v>
      </c>
      <c r="X13" s="625">
        <v>45.0</v>
      </c>
      <c r="Y13" s="628">
        <f t="shared" si="1"/>
        <v>195</v>
      </c>
      <c r="Z13" s="619"/>
      <c r="AA13" s="630" t="str">
        <f t="shared" si="2"/>
        <v>#NAME?</v>
      </c>
      <c r="AB13" s="631" t="s">
        <v>109</v>
      </c>
      <c r="AC13" s="632" t="str">
        <f t="shared" si="3"/>
        <v>#NAME?</v>
      </c>
      <c r="AD13" s="639" t="s">
        <v>4428</v>
      </c>
      <c r="AE13" s="633" t="str">
        <f t="shared" si="4"/>
        <v>#NAME?</v>
      </c>
      <c r="AF13" s="631" t="s">
        <v>109</v>
      </c>
      <c r="AG13" s="632" t="str">
        <f t="shared" si="5"/>
        <v>#NAME?</v>
      </c>
      <c r="AH13" s="634" t="s">
        <v>4428</v>
      </c>
      <c r="AI13" s="635" t="str">
        <f t="shared" si="6"/>
        <v>#NAME?</v>
      </c>
      <c r="AJ13" s="634" t="s">
        <v>109</v>
      </c>
      <c r="AK13" s="636" t="str">
        <f t="shared" si="7"/>
        <v>#NAME?</v>
      </c>
      <c r="AL13" s="637" t="s">
        <v>4428</v>
      </c>
      <c r="AM13" s="619"/>
      <c r="AN13" s="638" t="s">
        <v>145</v>
      </c>
      <c r="AO13" s="639"/>
      <c r="AP13" s="701" t="s">
        <v>147</v>
      </c>
      <c r="AQ13" s="641" t="s">
        <v>145</v>
      </c>
      <c r="AR13" s="702" t="s">
        <v>147</v>
      </c>
      <c r="AS13" s="643" t="s">
        <v>145</v>
      </c>
      <c r="AT13" s="644"/>
      <c r="AU13" s="645"/>
      <c r="AV13" s="646"/>
      <c r="AW13" s="692"/>
      <c r="AX13" s="693"/>
      <c r="AY13" s="619"/>
      <c r="AZ13" s="648" t="s">
        <v>144</v>
      </c>
      <c r="BA13" s="694"/>
      <c r="BB13" s="690"/>
      <c r="BC13" s="619"/>
      <c r="BD13" s="651" t="s">
        <v>150</v>
      </c>
      <c r="BE13" s="653">
        <v>53.0</v>
      </c>
      <c r="BF13" s="653">
        <v>255.0</v>
      </c>
      <c r="BG13" s="654">
        <v>70.0</v>
      </c>
      <c r="BH13" s="653">
        <v>20.0</v>
      </c>
      <c r="BI13" s="607"/>
      <c r="BJ13" s="655" t="s">
        <v>149</v>
      </c>
      <c r="BK13" s="703" t="s">
        <v>149</v>
      </c>
      <c r="BL13" s="610"/>
      <c r="BM13" s="657" t="s">
        <v>109</v>
      </c>
      <c r="BN13" s="704"/>
      <c r="BO13" s="607"/>
      <c r="BP13" s="659" t="s">
        <v>151</v>
      </c>
      <c r="BQ13" s="614"/>
      <c r="BR13" s="660" t="s">
        <v>4427</v>
      </c>
      <c r="BS13" s="614"/>
    </row>
    <row r="14" ht="15.75" customHeight="1">
      <c r="A14" s="616"/>
      <c r="B14" s="661" t="s">
        <v>159</v>
      </c>
      <c r="C14" s="662"/>
      <c r="D14" s="571"/>
      <c r="E14" s="663">
        <v>50.0</v>
      </c>
      <c r="F14" s="664">
        <v>20.0</v>
      </c>
      <c r="G14" s="665">
        <v>55.0</v>
      </c>
      <c r="H14" s="666">
        <v>25.0</v>
      </c>
      <c r="I14" s="667">
        <v>25.0</v>
      </c>
      <c r="J14" s="668">
        <v>30.0</v>
      </c>
      <c r="K14" s="669">
        <v>205.0</v>
      </c>
      <c r="L14" s="670">
        <v>50.0</v>
      </c>
      <c r="M14" s="664">
        <v>20.0</v>
      </c>
      <c r="N14" s="665">
        <v>55.0</v>
      </c>
      <c r="O14" s="666">
        <v>25.0</v>
      </c>
      <c r="P14" s="667">
        <v>25.0</v>
      </c>
      <c r="Q14" s="668">
        <v>30.0</v>
      </c>
      <c r="R14" s="671">
        <v>205.0</v>
      </c>
      <c r="S14" s="672">
        <v>50.0</v>
      </c>
      <c r="T14" s="664">
        <v>20.0</v>
      </c>
      <c r="U14" s="665">
        <v>55.0</v>
      </c>
      <c r="V14" s="666">
        <v>25.0</v>
      </c>
      <c r="W14" s="667">
        <v>25.0</v>
      </c>
      <c r="X14" s="668">
        <v>30.0</v>
      </c>
      <c r="Y14" s="671">
        <f t="shared" si="1"/>
        <v>205</v>
      </c>
      <c r="Z14" s="571"/>
      <c r="AA14" s="673" t="str">
        <f t="shared" si="2"/>
        <v>#NAME?</v>
      </c>
      <c r="AB14" s="674" t="s">
        <v>109</v>
      </c>
      <c r="AC14" s="675" t="str">
        <f t="shared" si="3"/>
        <v>#NAME?</v>
      </c>
      <c r="AD14" s="680" t="s">
        <v>4428</v>
      </c>
      <c r="AE14" s="676" t="str">
        <f t="shared" si="4"/>
        <v>#NAME?</v>
      </c>
      <c r="AF14" s="674" t="s">
        <v>109</v>
      </c>
      <c r="AG14" s="675" t="str">
        <f t="shared" si="5"/>
        <v>#NAME?</v>
      </c>
      <c r="AH14" s="586" t="s">
        <v>4428</v>
      </c>
      <c r="AI14" s="677" t="str">
        <f t="shared" si="6"/>
        <v>#NAME?</v>
      </c>
      <c r="AJ14" s="586" t="s">
        <v>109</v>
      </c>
      <c r="AK14" s="584" t="str">
        <f t="shared" si="7"/>
        <v>#NAME?</v>
      </c>
      <c r="AL14" s="678" t="s">
        <v>4428</v>
      </c>
      <c r="AM14" s="571"/>
      <c r="AN14" s="679" t="s">
        <v>163</v>
      </c>
      <c r="AO14" s="680"/>
      <c r="AP14" s="705" t="s">
        <v>163</v>
      </c>
      <c r="AQ14" s="706" t="s">
        <v>163</v>
      </c>
      <c r="AR14" s="679" t="s">
        <v>163</v>
      </c>
      <c r="AS14" s="707" t="s">
        <v>163</v>
      </c>
      <c r="AT14" s="595"/>
      <c r="AU14" s="685"/>
      <c r="AV14" s="686"/>
      <c r="AW14" s="687"/>
      <c r="AX14" s="688"/>
      <c r="AY14" s="571"/>
      <c r="AZ14" s="689" t="s">
        <v>162</v>
      </c>
      <c r="BA14" s="690"/>
      <c r="BB14" s="696"/>
      <c r="BC14" s="571"/>
      <c r="BD14" s="651" t="s">
        <v>150</v>
      </c>
      <c r="BE14" s="653">
        <v>72.0</v>
      </c>
      <c r="BF14" s="653">
        <v>120.0</v>
      </c>
      <c r="BG14" s="654">
        <v>70.0</v>
      </c>
      <c r="BH14" s="653">
        <v>20.0</v>
      </c>
      <c r="BI14" s="607"/>
      <c r="BJ14" s="655" t="s">
        <v>149</v>
      </c>
      <c r="BK14" s="703" t="s">
        <v>149</v>
      </c>
      <c r="BL14" s="610"/>
      <c r="BM14" s="657" t="s">
        <v>109</v>
      </c>
      <c r="BN14" s="704"/>
      <c r="BO14" s="607"/>
      <c r="BP14" s="659" t="s">
        <v>165</v>
      </c>
      <c r="BQ14" s="614"/>
      <c r="BR14" s="660" t="s">
        <v>4427</v>
      </c>
      <c r="BS14" s="614"/>
    </row>
    <row r="15" ht="15.75" customHeight="1">
      <c r="A15" s="616"/>
      <c r="B15" s="617" t="s">
        <v>171</v>
      </c>
      <c r="C15" s="618"/>
      <c r="D15" s="619"/>
      <c r="E15" s="620">
        <v>60.0</v>
      </c>
      <c r="F15" s="621">
        <v>45.0</v>
      </c>
      <c r="G15" s="622">
        <v>50.0</v>
      </c>
      <c r="H15" s="623">
        <v>80.0</v>
      </c>
      <c r="I15" s="624">
        <v>80.0</v>
      </c>
      <c r="J15" s="625">
        <v>70.0</v>
      </c>
      <c r="K15" s="626">
        <v>385.0</v>
      </c>
      <c r="L15" s="627">
        <v>60.0</v>
      </c>
      <c r="M15" s="621">
        <v>45.0</v>
      </c>
      <c r="N15" s="622">
        <v>50.0</v>
      </c>
      <c r="O15" s="623">
        <v>90.0</v>
      </c>
      <c r="P15" s="624">
        <v>80.0</v>
      </c>
      <c r="Q15" s="625">
        <v>70.0</v>
      </c>
      <c r="R15" s="628">
        <v>395.0</v>
      </c>
      <c r="S15" s="629">
        <v>60.0</v>
      </c>
      <c r="T15" s="621">
        <v>45.0</v>
      </c>
      <c r="U15" s="622">
        <v>45.0</v>
      </c>
      <c r="V15" s="623">
        <v>110.0</v>
      </c>
      <c r="W15" s="624">
        <v>100.0</v>
      </c>
      <c r="X15" s="625">
        <v>90.0</v>
      </c>
      <c r="Y15" s="628">
        <f t="shared" si="1"/>
        <v>450</v>
      </c>
      <c r="Z15" s="619"/>
      <c r="AA15" s="630" t="str">
        <f t="shared" si="2"/>
        <v>#NAME?</v>
      </c>
      <c r="AB15" s="631" t="s">
        <v>109</v>
      </c>
      <c r="AC15" s="632" t="str">
        <f t="shared" si="3"/>
        <v>#NAME?</v>
      </c>
      <c r="AD15" s="630" t="s">
        <v>18</v>
      </c>
      <c r="AE15" s="633" t="str">
        <f t="shared" si="4"/>
        <v>#NAME?</v>
      </c>
      <c r="AF15" s="631" t="s">
        <v>109</v>
      </c>
      <c r="AG15" s="632" t="str">
        <f t="shared" si="5"/>
        <v>#NAME?</v>
      </c>
      <c r="AH15" s="634" t="s">
        <v>18</v>
      </c>
      <c r="AI15" s="635" t="str">
        <f t="shared" si="6"/>
        <v>#NAME?</v>
      </c>
      <c r="AJ15" s="634" t="s">
        <v>109</v>
      </c>
      <c r="AK15" s="636" t="str">
        <f t="shared" si="7"/>
        <v>#NAME?</v>
      </c>
      <c r="AL15" s="637" t="s">
        <v>18</v>
      </c>
      <c r="AM15" s="619"/>
      <c r="AN15" s="638" t="s">
        <v>178</v>
      </c>
      <c r="AO15" s="639"/>
      <c r="AP15" s="708" t="s">
        <v>180</v>
      </c>
      <c r="AQ15" s="641" t="s">
        <v>178</v>
      </c>
      <c r="AR15" s="709" t="s">
        <v>180</v>
      </c>
      <c r="AS15" s="643" t="s">
        <v>178</v>
      </c>
      <c r="AT15" s="644"/>
      <c r="AU15" s="645" t="str">
        <f>image("https://www.pokebip.com/pages/icones/objets/poudre-argentee.png", 3)</f>
        <v/>
      </c>
      <c r="AV15" s="646" t="s">
        <v>183</v>
      </c>
      <c r="AW15" s="692"/>
      <c r="AX15" s="693"/>
      <c r="AY15" s="619"/>
      <c r="AZ15" s="698" t="s">
        <v>42</v>
      </c>
      <c r="BA15" s="690"/>
      <c r="BB15" s="649" t="s">
        <v>27</v>
      </c>
      <c r="BC15" s="619"/>
      <c r="BD15" s="651" t="s">
        <v>150</v>
      </c>
      <c r="BE15" s="653">
        <v>160.0</v>
      </c>
      <c r="BF15" s="653">
        <v>45.0</v>
      </c>
      <c r="BG15" s="654">
        <v>70.0</v>
      </c>
      <c r="BH15" s="653">
        <v>60.0</v>
      </c>
      <c r="BI15" s="607"/>
      <c r="BJ15" s="655" t="s">
        <v>149</v>
      </c>
      <c r="BK15" s="703" t="s">
        <v>149</v>
      </c>
      <c r="BL15" s="610"/>
      <c r="BM15" s="657" t="s">
        <v>109</v>
      </c>
      <c r="BN15" s="704"/>
      <c r="BO15" s="607"/>
      <c r="BP15" s="659" t="s">
        <v>182</v>
      </c>
      <c r="BQ15" s="614"/>
      <c r="BR15" s="660" t="s">
        <v>4431</v>
      </c>
      <c r="BS15" s="614"/>
    </row>
    <row r="16" ht="15.75" customHeight="1">
      <c r="A16" s="616"/>
      <c r="B16" s="661" t="s">
        <v>188</v>
      </c>
      <c r="C16" s="662"/>
      <c r="D16" s="571"/>
      <c r="E16" s="663">
        <v>40.0</v>
      </c>
      <c r="F16" s="664">
        <v>35.0</v>
      </c>
      <c r="G16" s="665">
        <v>30.0</v>
      </c>
      <c r="H16" s="666">
        <v>20.0</v>
      </c>
      <c r="I16" s="667">
        <v>20.0</v>
      </c>
      <c r="J16" s="668">
        <v>50.0</v>
      </c>
      <c r="K16" s="669">
        <v>195.0</v>
      </c>
      <c r="L16" s="670">
        <v>40.0</v>
      </c>
      <c r="M16" s="664">
        <v>35.0</v>
      </c>
      <c r="N16" s="665">
        <v>30.0</v>
      </c>
      <c r="O16" s="666">
        <v>20.0</v>
      </c>
      <c r="P16" s="667">
        <v>20.0</v>
      </c>
      <c r="Q16" s="668">
        <v>50.0</v>
      </c>
      <c r="R16" s="671">
        <v>195.0</v>
      </c>
      <c r="S16" s="672">
        <v>40.0</v>
      </c>
      <c r="T16" s="664">
        <v>35.0</v>
      </c>
      <c r="U16" s="665">
        <v>30.0</v>
      </c>
      <c r="V16" s="666">
        <v>20.0</v>
      </c>
      <c r="W16" s="667">
        <v>20.0</v>
      </c>
      <c r="X16" s="668">
        <v>50.0</v>
      </c>
      <c r="Y16" s="671">
        <f t="shared" si="1"/>
        <v>195</v>
      </c>
      <c r="Z16" s="571"/>
      <c r="AA16" s="673" t="str">
        <f t="shared" si="2"/>
        <v>#NAME?</v>
      </c>
      <c r="AB16" s="674" t="s">
        <v>109</v>
      </c>
      <c r="AC16" s="675" t="str">
        <f t="shared" si="3"/>
        <v>#NAME?</v>
      </c>
      <c r="AD16" s="673" t="s">
        <v>7</v>
      </c>
      <c r="AE16" s="676" t="str">
        <f t="shared" si="4"/>
        <v>#NAME?</v>
      </c>
      <c r="AF16" s="674" t="s">
        <v>109</v>
      </c>
      <c r="AG16" s="675" t="str">
        <f t="shared" si="5"/>
        <v>#NAME?</v>
      </c>
      <c r="AH16" s="586" t="s">
        <v>7</v>
      </c>
      <c r="AI16" s="677" t="str">
        <f t="shared" si="6"/>
        <v>#NAME?</v>
      </c>
      <c r="AJ16" s="586" t="s">
        <v>109</v>
      </c>
      <c r="AK16" s="584" t="str">
        <f t="shared" si="7"/>
        <v>#NAME?</v>
      </c>
      <c r="AL16" s="678" t="s">
        <v>7</v>
      </c>
      <c r="AM16" s="571"/>
      <c r="AN16" s="679" t="s">
        <v>145</v>
      </c>
      <c r="AO16" s="680"/>
      <c r="AP16" s="710" t="s">
        <v>147</v>
      </c>
      <c r="AQ16" s="682" t="s">
        <v>145</v>
      </c>
      <c r="AR16" s="711" t="s">
        <v>147</v>
      </c>
      <c r="AS16" s="684" t="s">
        <v>163</v>
      </c>
      <c r="AT16" s="595"/>
      <c r="AU16" s="685"/>
      <c r="AV16" s="686"/>
      <c r="AW16" s="687"/>
      <c r="AX16" s="688"/>
      <c r="AY16" s="571"/>
      <c r="AZ16" s="695" t="s">
        <v>56</v>
      </c>
      <c r="BA16" s="700"/>
      <c r="BB16" s="690"/>
      <c r="BC16" s="571"/>
      <c r="BD16" s="651" t="s">
        <v>150</v>
      </c>
      <c r="BE16" s="653">
        <v>52.0</v>
      </c>
      <c r="BF16" s="653">
        <v>255.0</v>
      </c>
      <c r="BG16" s="654">
        <v>70.0</v>
      </c>
      <c r="BH16" s="653">
        <v>20.0</v>
      </c>
      <c r="BI16" s="607"/>
      <c r="BJ16" s="655" t="s">
        <v>149</v>
      </c>
      <c r="BK16" s="703" t="s">
        <v>149</v>
      </c>
      <c r="BL16" s="610"/>
      <c r="BM16" s="657" t="s">
        <v>109</v>
      </c>
      <c r="BN16" s="704"/>
      <c r="BO16" s="607"/>
      <c r="BP16" s="659" t="s">
        <v>193</v>
      </c>
      <c r="BQ16" s="614"/>
      <c r="BR16" s="660" t="s">
        <v>4432</v>
      </c>
      <c r="BS16" s="614"/>
    </row>
    <row r="17" ht="15.75" customHeight="1">
      <c r="A17" s="616"/>
      <c r="B17" s="617" t="s">
        <v>200</v>
      </c>
      <c r="C17" s="618"/>
      <c r="D17" s="619"/>
      <c r="E17" s="620">
        <v>45.0</v>
      </c>
      <c r="F17" s="621">
        <v>25.0</v>
      </c>
      <c r="G17" s="622">
        <v>50.0</v>
      </c>
      <c r="H17" s="623">
        <v>25.0</v>
      </c>
      <c r="I17" s="624">
        <v>25.0</v>
      </c>
      <c r="J17" s="625">
        <v>35.0</v>
      </c>
      <c r="K17" s="626">
        <v>205.0</v>
      </c>
      <c r="L17" s="627">
        <v>45.0</v>
      </c>
      <c r="M17" s="621">
        <v>25.0</v>
      </c>
      <c r="N17" s="622">
        <v>50.0</v>
      </c>
      <c r="O17" s="623">
        <v>25.0</v>
      </c>
      <c r="P17" s="624">
        <v>25.0</v>
      </c>
      <c r="Q17" s="625">
        <v>35.0</v>
      </c>
      <c r="R17" s="628">
        <v>205.0</v>
      </c>
      <c r="S17" s="629">
        <v>45.0</v>
      </c>
      <c r="T17" s="621">
        <v>25.0</v>
      </c>
      <c r="U17" s="622">
        <v>50.0</v>
      </c>
      <c r="V17" s="623">
        <v>25.0</v>
      </c>
      <c r="W17" s="624">
        <v>25.0</v>
      </c>
      <c r="X17" s="625">
        <v>35.0</v>
      </c>
      <c r="Y17" s="628">
        <f t="shared" si="1"/>
        <v>205</v>
      </c>
      <c r="Z17" s="619"/>
      <c r="AA17" s="630" t="str">
        <f t="shared" si="2"/>
        <v>#NAME?</v>
      </c>
      <c r="AB17" s="631" t="s">
        <v>109</v>
      </c>
      <c r="AC17" s="632" t="str">
        <f t="shared" si="3"/>
        <v>#NAME?</v>
      </c>
      <c r="AD17" s="630" t="s">
        <v>7</v>
      </c>
      <c r="AE17" s="633" t="str">
        <f t="shared" si="4"/>
        <v>#NAME?</v>
      </c>
      <c r="AF17" s="631" t="s">
        <v>109</v>
      </c>
      <c r="AG17" s="632" t="str">
        <f t="shared" si="5"/>
        <v>#NAME?</v>
      </c>
      <c r="AH17" s="634" t="s">
        <v>7</v>
      </c>
      <c r="AI17" s="635" t="str">
        <f t="shared" si="6"/>
        <v>#NAME?</v>
      </c>
      <c r="AJ17" s="634" t="s">
        <v>109</v>
      </c>
      <c r="AK17" s="636" t="str">
        <f t="shared" si="7"/>
        <v>#NAME?</v>
      </c>
      <c r="AL17" s="637" t="s">
        <v>7</v>
      </c>
      <c r="AM17" s="619"/>
      <c r="AN17" s="638" t="s">
        <v>163</v>
      </c>
      <c r="AO17" s="639"/>
      <c r="AP17" s="712" t="s">
        <v>163</v>
      </c>
      <c r="AQ17" s="713" t="s">
        <v>163</v>
      </c>
      <c r="AR17" s="638" t="s">
        <v>163</v>
      </c>
      <c r="AS17" s="714" t="s">
        <v>163</v>
      </c>
      <c r="AT17" s="644"/>
      <c r="AU17" s="645"/>
      <c r="AV17" s="646"/>
      <c r="AW17" s="692"/>
      <c r="AX17" s="693"/>
      <c r="AY17" s="619"/>
      <c r="AZ17" s="698" t="s">
        <v>162</v>
      </c>
      <c r="BA17" s="690"/>
      <c r="BB17" s="650"/>
      <c r="BC17" s="619"/>
      <c r="BD17" s="651" t="s">
        <v>150</v>
      </c>
      <c r="BE17" s="653">
        <v>71.0</v>
      </c>
      <c r="BF17" s="653">
        <v>120.0</v>
      </c>
      <c r="BG17" s="654">
        <v>70.0</v>
      </c>
      <c r="BH17" s="653">
        <v>20.0</v>
      </c>
      <c r="BI17" s="607"/>
      <c r="BJ17" s="655" t="s">
        <v>149</v>
      </c>
      <c r="BK17" s="703" t="s">
        <v>149</v>
      </c>
      <c r="BL17" s="610"/>
      <c r="BM17" s="657" t="s">
        <v>109</v>
      </c>
      <c r="BN17" s="704"/>
      <c r="BO17" s="607"/>
      <c r="BP17" s="659" t="s">
        <v>204</v>
      </c>
      <c r="BQ17" s="614"/>
      <c r="BR17" s="660" t="s">
        <v>4433</v>
      </c>
      <c r="BS17" s="614"/>
    </row>
    <row r="18" ht="15.75" customHeight="1">
      <c r="A18" s="616"/>
      <c r="B18" s="661" t="s">
        <v>210</v>
      </c>
      <c r="C18" s="662"/>
      <c r="D18" s="571"/>
      <c r="E18" s="663">
        <v>65.0</v>
      </c>
      <c r="F18" s="664">
        <v>80.0</v>
      </c>
      <c r="G18" s="665">
        <v>40.0</v>
      </c>
      <c r="H18" s="666">
        <v>45.0</v>
      </c>
      <c r="I18" s="667">
        <v>80.0</v>
      </c>
      <c r="J18" s="668">
        <v>75.0</v>
      </c>
      <c r="K18" s="669">
        <v>385.0</v>
      </c>
      <c r="L18" s="670">
        <v>65.0</v>
      </c>
      <c r="M18" s="664">
        <v>90.0</v>
      </c>
      <c r="N18" s="665">
        <v>40.0</v>
      </c>
      <c r="O18" s="666">
        <v>45.0</v>
      </c>
      <c r="P18" s="667">
        <v>80.0</v>
      </c>
      <c r="Q18" s="668">
        <v>75.0</v>
      </c>
      <c r="R18" s="671">
        <v>395.0</v>
      </c>
      <c r="S18" s="672">
        <v>65.0</v>
      </c>
      <c r="T18" s="664">
        <v>115.0</v>
      </c>
      <c r="U18" s="665">
        <v>40.0</v>
      </c>
      <c r="V18" s="666">
        <v>40.0</v>
      </c>
      <c r="W18" s="667">
        <v>95.0</v>
      </c>
      <c r="X18" s="668">
        <v>95.0</v>
      </c>
      <c r="Y18" s="671">
        <f t="shared" si="1"/>
        <v>450</v>
      </c>
      <c r="Z18" s="571"/>
      <c r="AA18" s="673" t="str">
        <f t="shared" si="2"/>
        <v>#NAME?</v>
      </c>
      <c r="AB18" s="674" t="s">
        <v>109</v>
      </c>
      <c r="AC18" s="675" t="str">
        <f t="shared" si="3"/>
        <v>#NAME?</v>
      </c>
      <c r="AD18" s="673" t="s">
        <v>7</v>
      </c>
      <c r="AE18" s="676" t="str">
        <f t="shared" si="4"/>
        <v>#NAME?</v>
      </c>
      <c r="AF18" s="674" t="s">
        <v>109</v>
      </c>
      <c r="AG18" s="675" t="str">
        <f t="shared" si="5"/>
        <v>#NAME?</v>
      </c>
      <c r="AH18" s="586" t="s">
        <v>7</v>
      </c>
      <c r="AI18" s="677" t="str">
        <f t="shared" si="6"/>
        <v>#NAME?</v>
      </c>
      <c r="AJ18" s="586" t="s">
        <v>109</v>
      </c>
      <c r="AK18" s="584" t="str">
        <f t="shared" si="7"/>
        <v>#NAME?</v>
      </c>
      <c r="AL18" s="678" t="s">
        <v>7</v>
      </c>
      <c r="AM18" s="571"/>
      <c r="AN18" s="679" t="s">
        <v>217</v>
      </c>
      <c r="AO18" s="680"/>
      <c r="AP18" s="715" t="s">
        <v>302</v>
      </c>
      <c r="AQ18" s="716" t="s">
        <v>217</v>
      </c>
      <c r="AR18" s="717" t="s">
        <v>219</v>
      </c>
      <c r="AS18" s="718" t="s">
        <v>217</v>
      </c>
      <c r="AT18" s="595"/>
      <c r="AU18" s="685" t="str">
        <f>image("https://www.pokebip.com/pages/icones/objets/pic-venin.png", 3)</f>
        <v/>
      </c>
      <c r="AV18" s="686" t="s">
        <v>223</v>
      </c>
      <c r="AW18" s="687"/>
      <c r="AX18" s="688"/>
      <c r="AY18" s="571"/>
      <c r="AZ18" s="689" t="s">
        <v>216</v>
      </c>
      <c r="BA18" s="690"/>
      <c r="BB18" s="691" t="s">
        <v>27</v>
      </c>
      <c r="BC18" s="571"/>
      <c r="BD18" s="651" t="s">
        <v>150</v>
      </c>
      <c r="BE18" s="653">
        <v>159.0</v>
      </c>
      <c r="BF18" s="653">
        <v>45.0</v>
      </c>
      <c r="BG18" s="654">
        <v>70.0</v>
      </c>
      <c r="BH18" s="653">
        <v>60.0</v>
      </c>
      <c r="BI18" s="607"/>
      <c r="BJ18" s="655" t="s">
        <v>149</v>
      </c>
      <c r="BK18" s="703" t="s">
        <v>149</v>
      </c>
      <c r="BL18" s="610"/>
      <c r="BM18" s="657" t="s">
        <v>109</v>
      </c>
      <c r="BN18" s="704"/>
      <c r="BO18" s="607"/>
      <c r="BP18" s="659" t="s">
        <v>222</v>
      </c>
      <c r="BQ18" s="614"/>
      <c r="BR18" s="660" t="s">
        <v>4433</v>
      </c>
      <c r="BS18" s="614"/>
    </row>
    <row r="19" ht="15.75" customHeight="1">
      <c r="A19" s="616"/>
      <c r="B19" s="617" t="s">
        <v>229</v>
      </c>
      <c r="C19" s="618"/>
      <c r="D19" s="619"/>
      <c r="E19" s="620">
        <v>40.0</v>
      </c>
      <c r="F19" s="621">
        <v>45.0</v>
      </c>
      <c r="G19" s="622">
        <v>40.0</v>
      </c>
      <c r="H19" s="623">
        <v>35.0</v>
      </c>
      <c r="I19" s="624">
        <v>35.0</v>
      </c>
      <c r="J19" s="625">
        <v>56.0</v>
      </c>
      <c r="K19" s="626">
        <v>251.0</v>
      </c>
      <c r="L19" s="627">
        <v>40.0</v>
      </c>
      <c r="M19" s="621">
        <v>45.0</v>
      </c>
      <c r="N19" s="622">
        <v>40.0</v>
      </c>
      <c r="O19" s="623">
        <v>35.0</v>
      </c>
      <c r="P19" s="624">
        <v>35.0</v>
      </c>
      <c r="Q19" s="625">
        <v>56.0</v>
      </c>
      <c r="R19" s="628">
        <v>251.0</v>
      </c>
      <c r="S19" s="629">
        <v>40.0</v>
      </c>
      <c r="T19" s="621">
        <v>35.0</v>
      </c>
      <c r="U19" s="622">
        <v>35.0</v>
      </c>
      <c r="V19" s="623">
        <v>50.0</v>
      </c>
      <c r="W19" s="624">
        <v>35.0</v>
      </c>
      <c r="X19" s="625">
        <v>56.0</v>
      </c>
      <c r="Y19" s="628">
        <f t="shared" si="1"/>
        <v>251</v>
      </c>
      <c r="Z19" s="619"/>
      <c r="AA19" s="630" t="str">
        <f t="shared" si="2"/>
        <v>#NAME?</v>
      </c>
      <c r="AB19" s="631" t="s">
        <v>156</v>
      </c>
      <c r="AC19" s="632" t="str">
        <f t="shared" si="3"/>
        <v>#NAME?</v>
      </c>
      <c r="AD19" s="630" t="s">
        <v>18</v>
      </c>
      <c r="AE19" s="633" t="str">
        <f t="shared" si="4"/>
        <v>#NAME?</v>
      </c>
      <c r="AF19" s="631" t="s">
        <v>156</v>
      </c>
      <c r="AG19" s="632" t="str">
        <f t="shared" si="5"/>
        <v>#NAME?</v>
      </c>
      <c r="AH19" s="634" t="s">
        <v>18</v>
      </c>
      <c r="AI19" s="635" t="str">
        <f t="shared" si="6"/>
        <v>#NAME?</v>
      </c>
      <c r="AJ19" s="634" t="s">
        <v>156</v>
      </c>
      <c r="AK19" s="636" t="str">
        <f t="shared" si="7"/>
        <v>#NAME?</v>
      </c>
      <c r="AL19" s="637" t="s">
        <v>18</v>
      </c>
      <c r="AM19" s="619"/>
      <c r="AN19" s="638" t="s">
        <v>235</v>
      </c>
      <c r="AO19" s="639" t="s">
        <v>236</v>
      </c>
      <c r="AP19" s="712" t="s">
        <v>235</v>
      </c>
      <c r="AQ19" s="639" t="s">
        <v>236</v>
      </c>
      <c r="AR19" s="712" t="s">
        <v>235</v>
      </c>
      <c r="AS19" s="639" t="s">
        <v>236</v>
      </c>
      <c r="AT19" s="644"/>
      <c r="AU19" s="645"/>
      <c r="AV19" s="646"/>
      <c r="AW19" s="692"/>
      <c r="AX19" s="693"/>
      <c r="AY19" s="619"/>
      <c r="AZ19" s="648" t="s">
        <v>56</v>
      </c>
      <c r="BA19" s="694"/>
      <c r="BB19" s="690"/>
      <c r="BC19" s="619"/>
      <c r="BD19" s="651" t="s">
        <v>15</v>
      </c>
      <c r="BE19" s="653">
        <v>55.0</v>
      </c>
      <c r="BF19" s="653">
        <v>255.0</v>
      </c>
      <c r="BG19" s="654">
        <v>70.0</v>
      </c>
      <c r="BH19" s="653">
        <v>20.0</v>
      </c>
      <c r="BI19" s="607"/>
      <c r="BJ19" s="655" t="s">
        <v>149</v>
      </c>
      <c r="BK19" s="703" t="s">
        <v>149</v>
      </c>
      <c r="BL19" s="610"/>
      <c r="BM19" s="657" t="s">
        <v>18</v>
      </c>
      <c r="BN19" s="704"/>
      <c r="BO19" s="607"/>
      <c r="BP19" s="659" t="s">
        <v>238</v>
      </c>
      <c r="BQ19" s="614"/>
      <c r="BR19" s="660" t="s">
        <v>4432</v>
      </c>
      <c r="BS19" s="614"/>
    </row>
    <row r="20" ht="15.75" customHeight="1">
      <c r="A20" s="616"/>
      <c r="B20" s="661" t="s">
        <v>243</v>
      </c>
      <c r="C20" s="662"/>
      <c r="D20" s="571"/>
      <c r="E20" s="663">
        <v>63.0</v>
      </c>
      <c r="F20" s="664">
        <v>60.0</v>
      </c>
      <c r="G20" s="665">
        <v>55.0</v>
      </c>
      <c r="H20" s="666">
        <v>50.0</v>
      </c>
      <c r="I20" s="667">
        <v>50.0</v>
      </c>
      <c r="J20" s="668">
        <v>71.0</v>
      </c>
      <c r="K20" s="669">
        <v>349.0</v>
      </c>
      <c r="L20" s="670">
        <v>63.0</v>
      </c>
      <c r="M20" s="664">
        <v>60.0</v>
      </c>
      <c r="N20" s="665">
        <v>55.0</v>
      </c>
      <c r="O20" s="666">
        <v>50.0</v>
      </c>
      <c r="P20" s="667">
        <v>50.0</v>
      </c>
      <c r="Q20" s="668">
        <v>71.0</v>
      </c>
      <c r="R20" s="671">
        <v>349.0</v>
      </c>
      <c r="S20" s="672">
        <v>63.0</v>
      </c>
      <c r="T20" s="664">
        <v>50.0</v>
      </c>
      <c r="U20" s="665">
        <v>50.0</v>
      </c>
      <c r="V20" s="666">
        <v>65.0</v>
      </c>
      <c r="W20" s="667">
        <v>50.0</v>
      </c>
      <c r="X20" s="668">
        <v>71.0</v>
      </c>
      <c r="Y20" s="671">
        <f t="shared" si="1"/>
        <v>349</v>
      </c>
      <c r="Z20" s="571"/>
      <c r="AA20" s="673" t="str">
        <f t="shared" si="2"/>
        <v>#NAME?</v>
      </c>
      <c r="AB20" s="674" t="s">
        <v>156</v>
      </c>
      <c r="AC20" s="675" t="str">
        <f t="shared" si="3"/>
        <v>#NAME?</v>
      </c>
      <c r="AD20" s="673" t="s">
        <v>18</v>
      </c>
      <c r="AE20" s="676" t="str">
        <f t="shared" si="4"/>
        <v>#NAME?</v>
      </c>
      <c r="AF20" s="674" t="s">
        <v>156</v>
      </c>
      <c r="AG20" s="675" t="str">
        <f t="shared" si="5"/>
        <v>#NAME?</v>
      </c>
      <c r="AH20" s="586" t="s">
        <v>18</v>
      </c>
      <c r="AI20" s="677" t="str">
        <f t="shared" si="6"/>
        <v>#NAME?</v>
      </c>
      <c r="AJ20" s="586" t="s">
        <v>156</v>
      </c>
      <c r="AK20" s="584" t="str">
        <f t="shared" si="7"/>
        <v>#NAME?</v>
      </c>
      <c r="AL20" s="678" t="s">
        <v>18</v>
      </c>
      <c r="AM20" s="571"/>
      <c r="AN20" s="679" t="s">
        <v>235</v>
      </c>
      <c r="AO20" s="680" t="s">
        <v>236</v>
      </c>
      <c r="AP20" s="705" t="s">
        <v>235</v>
      </c>
      <c r="AQ20" s="680" t="s">
        <v>236</v>
      </c>
      <c r="AR20" s="705" t="s">
        <v>235</v>
      </c>
      <c r="AS20" s="680" t="s">
        <v>236</v>
      </c>
      <c r="AT20" s="595"/>
      <c r="AU20" s="685"/>
      <c r="AV20" s="686"/>
      <c r="AW20" s="687"/>
      <c r="AX20" s="688"/>
      <c r="AY20" s="571"/>
      <c r="AZ20" s="689" t="s">
        <v>248</v>
      </c>
      <c r="BA20" s="690"/>
      <c r="BB20" s="696"/>
      <c r="BC20" s="571"/>
      <c r="BD20" s="651" t="s">
        <v>15</v>
      </c>
      <c r="BE20" s="653">
        <v>113.0</v>
      </c>
      <c r="BF20" s="653">
        <v>120.0</v>
      </c>
      <c r="BG20" s="654">
        <v>70.0</v>
      </c>
      <c r="BH20" s="653">
        <v>60.0</v>
      </c>
      <c r="BI20" s="607"/>
      <c r="BJ20" s="655" t="s">
        <v>149</v>
      </c>
      <c r="BK20" s="703" t="s">
        <v>149</v>
      </c>
      <c r="BL20" s="610"/>
      <c r="BM20" s="657" t="s">
        <v>18</v>
      </c>
      <c r="BN20" s="704"/>
      <c r="BO20" s="607"/>
      <c r="BP20" s="659" t="s">
        <v>250</v>
      </c>
      <c r="BQ20" s="614"/>
      <c r="BR20" s="660" t="s">
        <v>4432</v>
      </c>
      <c r="BS20" s="614"/>
    </row>
    <row r="21" ht="15.75" customHeight="1">
      <c r="A21" s="616"/>
      <c r="B21" s="617" t="s">
        <v>254</v>
      </c>
      <c r="C21" s="618"/>
      <c r="D21" s="619"/>
      <c r="E21" s="620">
        <v>83.0</v>
      </c>
      <c r="F21" s="621">
        <v>80.0</v>
      </c>
      <c r="G21" s="622">
        <v>75.0</v>
      </c>
      <c r="H21" s="623">
        <v>70.0</v>
      </c>
      <c r="I21" s="624">
        <v>70.0</v>
      </c>
      <c r="J21" s="625">
        <v>91.0</v>
      </c>
      <c r="K21" s="626">
        <v>469.0</v>
      </c>
      <c r="L21" s="627">
        <v>83.0</v>
      </c>
      <c r="M21" s="621">
        <v>80.0</v>
      </c>
      <c r="N21" s="622">
        <v>75.0</v>
      </c>
      <c r="O21" s="623">
        <v>70.0</v>
      </c>
      <c r="P21" s="624">
        <v>70.0</v>
      </c>
      <c r="Q21" s="625">
        <v>101.0</v>
      </c>
      <c r="R21" s="628">
        <v>479.0</v>
      </c>
      <c r="S21" s="629">
        <v>83.0</v>
      </c>
      <c r="T21" s="621">
        <v>60.0</v>
      </c>
      <c r="U21" s="622">
        <v>70.0</v>
      </c>
      <c r="V21" s="623">
        <v>115.0</v>
      </c>
      <c r="W21" s="624">
        <v>70.0</v>
      </c>
      <c r="X21" s="625">
        <v>101.0</v>
      </c>
      <c r="Y21" s="628">
        <f t="shared" si="1"/>
        <v>499</v>
      </c>
      <c r="Z21" s="619"/>
      <c r="AA21" s="630" t="str">
        <f t="shared" si="2"/>
        <v>#NAME?</v>
      </c>
      <c r="AB21" s="631" t="s">
        <v>156</v>
      </c>
      <c r="AC21" s="632" t="str">
        <f t="shared" si="3"/>
        <v>#NAME?</v>
      </c>
      <c r="AD21" s="630" t="s">
        <v>18</v>
      </c>
      <c r="AE21" s="633" t="str">
        <f t="shared" si="4"/>
        <v>#NAME?</v>
      </c>
      <c r="AF21" s="631" t="s">
        <v>156</v>
      </c>
      <c r="AG21" s="632" t="str">
        <f t="shared" si="5"/>
        <v>#NAME?</v>
      </c>
      <c r="AH21" s="634" t="s">
        <v>18</v>
      </c>
      <c r="AI21" s="635" t="str">
        <f t="shared" si="6"/>
        <v>#NAME?</v>
      </c>
      <c r="AJ21" s="634" t="s">
        <v>156</v>
      </c>
      <c r="AK21" s="636" t="str">
        <f t="shared" si="7"/>
        <v>#NAME?</v>
      </c>
      <c r="AL21" s="637" t="s">
        <v>18</v>
      </c>
      <c r="AM21" s="619"/>
      <c r="AN21" s="638" t="s">
        <v>235</v>
      </c>
      <c r="AO21" s="639" t="s">
        <v>236</v>
      </c>
      <c r="AP21" s="712" t="s">
        <v>235</v>
      </c>
      <c r="AQ21" s="639" t="s">
        <v>236</v>
      </c>
      <c r="AR21" s="719" t="s">
        <v>262</v>
      </c>
      <c r="AS21" s="639" t="s">
        <v>236</v>
      </c>
      <c r="AT21" s="644"/>
      <c r="AU21" s="645"/>
      <c r="AV21" s="646"/>
      <c r="AW21" s="692"/>
      <c r="AX21" s="693"/>
      <c r="AY21" s="619"/>
      <c r="AZ21" s="698" t="s">
        <v>261</v>
      </c>
      <c r="BA21" s="699"/>
      <c r="BB21" s="690"/>
      <c r="BC21" s="619"/>
      <c r="BD21" s="651" t="s">
        <v>15</v>
      </c>
      <c r="BE21" s="653">
        <v>172.0</v>
      </c>
      <c r="BF21" s="653">
        <v>45.0</v>
      </c>
      <c r="BG21" s="654">
        <v>70.0</v>
      </c>
      <c r="BH21" s="653">
        <v>60.0</v>
      </c>
      <c r="BI21" s="607"/>
      <c r="BJ21" s="655" t="s">
        <v>149</v>
      </c>
      <c r="BK21" s="703" t="s">
        <v>149</v>
      </c>
      <c r="BL21" s="610"/>
      <c r="BM21" s="657" t="s">
        <v>18</v>
      </c>
      <c r="BN21" s="704"/>
      <c r="BO21" s="607"/>
      <c r="BP21" s="659" t="s">
        <v>264</v>
      </c>
      <c r="BQ21" s="614"/>
      <c r="BR21" s="660" t="s">
        <v>4432</v>
      </c>
      <c r="BS21" s="614"/>
    </row>
    <row r="22" ht="15.75" customHeight="1">
      <c r="A22" s="616"/>
      <c r="B22" s="661" t="s">
        <v>270</v>
      </c>
      <c r="C22" s="662"/>
      <c r="D22" s="571"/>
      <c r="E22" s="663">
        <v>30.0</v>
      </c>
      <c r="F22" s="664">
        <v>56.0</v>
      </c>
      <c r="G22" s="665">
        <v>35.0</v>
      </c>
      <c r="H22" s="666">
        <v>25.0</v>
      </c>
      <c r="I22" s="667">
        <v>35.0</v>
      </c>
      <c r="J22" s="668">
        <v>72.0</v>
      </c>
      <c r="K22" s="669">
        <v>253.0</v>
      </c>
      <c r="L22" s="670">
        <v>30.0</v>
      </c>
      <c r="M22" s="664">
        <v>56.0</v>
      </c>
      <c r="N22" s="665">
        <v>35.0</v>
      </c>
      <c r="O22" s="666">
        <v>25.0</v>
      </c>
      <c r="P22" s="667">
        <v>35.0</v>
      </c>
      <c r="Q22" s="668">
        <v>72.0</v>
      </c>
      <c r="R22" s="671">
        <v>253.0</v>
      </c>
      <c r="S22" s="672">
        <v>30.0</v>
      </c>
      <c r="T22" s="664">
        <v>56.0</v>
      </c>
      <c r="U22" s="665">
        <v>35.0</v>
      </c>
      <c r="V22" s="666">
        <v>25.0</v>
      </c>
      <c r="W22" s="667">
        <v>35.0</v>
      </c>
      <c r="X22" s="668">
        <v>72.0</v>
      </c>
      <c r="Y22" s="671">
        <f t="shared" si="1"/>
        <v>253</v>
      </c>
      <c r="Z22" s="571"/>
      <c r="AA22" s="673" t="str">
        <f t="shared" si="2"/>
        <v>#NAME?</v>
      </c>
      <c r="AB22" s="674" t="s">
        <v>156</v>
      </c>
      <c r="AC22" s="675" t="str">
        <f t="shared" si="3"/>
        <v>#NAME?</v>
      </c>
      <c r="AD22" s="680" t="s">
        <v>4428</v>
      </c>
      <c r="AE22" s="676" t="str">
        <f t="shared" si="4"/>
        <v>#NAME?</v>
      </c>
      <c r="AF22" s="674" t="s">
        <v>156</v>
      </c>
      <c r="AG22" s="675" t="str">
        <f t="shared" si="5"/>
        <v>#NAME?</v>
      </c>
      <c r="AH22" s="586" t="s">
        <v>4428</v>
      </c>
      <c r="AI22" s="677" t="str">
        <f t="shared" si="6"/>
        <v>#NAME?</v>
      </c>
      <c r="AJ22" s="586" t="s">
        <v>156</v>
      </c>
      <c r="AK22" s="584" t="str">
        <f t="shared" si="7"/>
        <v>#NAME?</v>
      </c>
      <c r="AL22" s="678" t="s">
        <v>4428</v>
      </c>
      <c r="AM22" s="571"/>
      <c r="AN22" s="679" t="s">
        <v>146</v>
      </c>
      <c r="AO22" s="680" t="s">
        <v>273</v>
      </c>
      <c r="AP22" s="705" t="s">
        <v>275</v>
      </c>
      <c r="AQ22" s="680" t="s">
        <v>273</v>
      </c>
      <c r="AR22" s="720" t="s">
        <v>275</v>
      </c>
      <c r="AS22" s="680" t="s">
        <v>273</v>
      </c>
      <c r="AT22" s="595"/>
      <c r="AU22" s="685" t="str">
        <f t="shared" ref="AU22:AU23" si="8">image("https://www.serebii.net/diamondpearl/berries/03.png", 3)</f>
        <v/>
      </c>
      <c r="AV22" s="686" t="s">
        <v>279</v>
      </c>
      <c r="AW22" s="687"/>
      <c r="AX22" s="688"/>
      <c r="AY22" s="571"/>
      <c r="AZ22" s="695" t="s">
        <v>56</v>
      </c>
      <c r="BA22" s="700"/>
      <c r="BB22" s="690"/>
      <c r="BC22" s="571"/>
      <c r="BD22" s="651" t="s">
        <v>150</v>
      </c>
      <c r="BE22" s="653">
        <v>57.0</v>
      </c>
      <c r="BF22" s="653">
        <v>255.0</v>
      </c>
      <c r="BG22" s="654">
        <v>70.0</v>
      </c>
      <c r="BH22" s="653">
        <v>20.0</v>
      </c>
      <c r="BI22" s="607"/>
      <c r="BJ22" s="655" t="s">
        <v>149</v>
      </c>
      <c r="BK22" s="703" t="s">
        <v>149</v>
      </c>
      <c r="BL22" s="610"/>
      <c r="BM22" s="657" t="s">
        <v>277</v>
      </c>
      <c r="BN22" s="704"/>
      <c r="BO22" s="607"/>
      <c r="BP22" s="659" t="s">
        <v>278</v>
      </c>
      <c r="BQ22" s="614"/>
      <c r="BR22" s="660" t="s">
        <v>4434</v>
      </c>
      <c r="BS22" s="614"/>
    </row>
    <row r="23" ht="15.75" customHeight="1">
      <c r="A23" s="616"/>
      <c r="B23" s="617" t="s">
        <v>284</v>
      </c>
      <c r="C23" s="618"/>
      <c r="D23" s="619"/>
      <c r="E23" s="620">
        <v>55.0</v>
      </c>
      <c r="F23" s="621">
        <v>81.0</v>
      </c>
      <c r="G23" s="622">
        <v>60.0</v>
      </c>
      <c r="H23" s="623">
        <v>50.0</v>
      </c>
      <c r="I23" s="624">
        <v>70.0</v>
      </c>
      <c r="J23" s="625">
        <v>97.0</v>
      </c>
      <c r="K23" s="626">
        <v>413.0</v>
      </c>
      <c r="L23" s="627">
        <v>55.0</v>
      </c>
      <c r="M23" s="621">
        <v>81.0</v>
      </c>
      <c r="N23" s="622">
        <v>60.0</v>
      </c>
      <c r="O23" s="623">
        <v>50.0</v>
      </c>
      <c r="P23" s="624">
        <v>70.0</v>
      </c>
      <c r="Q23" s="625">
        <v>97.0</v>
      </c>
      <c r="R23" s="628">
        <v>413.0</v>
      </c>
      <c r="S23" s="629">
        <v>55.0</v>
      </c>
      <c r="T23" s="621">
        <v>97.0</v>
      </c>
      <c r="U23" s="622">
        <v>70.0</v>
      </c>
      <c r="V23" s="623">
        <v>45.0</v>
      </c>
      <c r="W23" s="624">
        <v>70.0</v>
      </c>
      <c r="X23" s="625">
        <v>113.0</v>
      </c>
      <c r="Y23" s="628">
        <f t="shared" si="1"/>
        <v>450</v>
      </c>
      <c r="Z23" s="619"/>
      <c r="AA23" s="630" t="str">
        <f t="shared" si="2"/>
        <v>#NAME?</v>
      </c>
      <c r="AB23" s="631" t="s">
        <v>156</v>
      </c>
      <c r="AC23" s="632" t="str">
        <f t="shared" si="3"/>
        <v>#NAME?</v>
      </c>
      <c r="AD23" s="639" t="s">
        <v>4428</v>
      </c>
      <c r="AE23" s="633" t="str">
        <f t="shared" si="4"/>
        <v>#NAME?</v>
      </c>
      <c r="AF23" s="631" t="s">
        <v>156</v>
      </c>
      <c r="AG23" s="632" t="str">
        <f t="shared" si="5"/>
        <v>#NAME?</v>
      </c>
      <c r="AH23" s="634" t="s">
        <v>4428</v>
      </c>
      <c r="AI23" s="635" t="str">
        <f t="shared" si="6"/>
        <v>#NAME?</v>
      </c>
      <c r="AJ23" s="634" t="s">
        <v>156</v>
      </c>
      <c r="AK23" s="636" t="str">
        <f t="shared" si="7"/>
        <v>#NAME?</v>
      </c>
      <c r="AL23" s="637" t="s">
        <v>4428</v>
      </c>
      <c r="AM23" s="619"/>
      <c r="AN23" s="638" t="s">
        <v>146</v>
      </c>
      <c r="AO23" s="639" t="s">
        <v>273</v>
      </c>
      <c r="AP23" s="721" t="s">
        <v>275</v>
      </c>
      <c r="AQ23" s="639" t="s">
        <v>273</v>
      </c>
      <c r="AR23" s="721" t="s">
        <v>275</v>
      </c>
      <c r="AS23" s="639" t="s">
        <v>273</v>
      </c>
      <c r="AT23" s="644"/>
      <c r="AU23" s="645" t="str">
        <f t="shared" si="8"/>
        <v/>
      </c>
      <c r="AV23" s="646" t="s">
        <v>279</v>
      </c>
      <c r="AW23" s="692"/>
      <c r="AX23" s="693"/>
      <c r="AY23" s="619"/>
      <c r="AZ23" s="698" t="s">
        <v>248</v>
      </c>
      <c r="BA23" s="690"/>
      <c r="BB23" s="650"/>
      <c r="BC23" s="619"/>
      <c r="BD23" s="651" t="s">
        <v>150</v>
      </c>
      <c r="BE23" s="653">
        <v>116.0</v>
      </c>
      <c r="BF23" s="653">
        <v>127.0</v>
      </c>
      <c r="BG23" s="654">
        <v>70.0</v>
      </c>
      <c r="BH23" s="653">
        <v>40.0</v>
      </c>
      <c r="BI23" s="607"/>
      <c r="BJ23" s="655" t="s">
        <v>149</v>
      </c>
      <c r="BK23" s="703" t="s">
        <v>149</v>
      </c>
      <c r="BL23" s="610"/>
      <c r="BM23" s="657" t="s">
        <v>277</v>
      </c>
      <c r="BN23" s="704"/>
      <c r="BO23" s="607"/>
      <c r="BP23" s="659" t="s">
        <v>291</v>
      </c>
      <c r="BQ23" s="614"/>
      <c r="BR23" s="660" t="s">
        <v>4432</v>
      </c>
      <c r="BS23" s="614"/>
    </row>
    <row r="24" ht="15.75" customHeight="1">
      <c r="A24" s="616"/>
      <c r="B24" s="661" t="s">
        <v>298</v>
      </c>
      <c r="C24" s="662"/>
      <c r="D24" s="571"/>
      <c r="E24" s="663">
        <v>40.0</v>
      </c>
      <c r="F24" s="664">
        <v>60.0</v>
      </c>
      <c r="G24" s="665">
        <v>30.0</v>
      </c>
      <c r="H24" s="666">
        <v>31.0</v>
      </c>
      <c r="I24" s="667">
        <v>31.0</v>
      </c>
      <c r="J24" s="668">
        <v>70.0</v>
      </c>
      <c r="K24" s="669">
        <v>262.0</v>
      </c>
      <c r="L24" s="670">
        <v>40.0</v>
      </c>
      <c r="M24" s="664">
        <v>60.0</v>
      </c>
      <c r="N24" s="665">
        <v>30.0</v>
      </c>
      <c r="O24" s="666">
        <v>31.0</v>
      </c>
      <c r="P24" s="667">
        <v>31.0</v>
      </c>
      <c r="Q24" s="668">
        <v>70.0</v>
      </c>
      <c r="R24" s="671">
        <v>262.0</v>
      </c>
      <c r="S24" s="672">
        <v>40.0</v>
      </c>
      <c r="T24" s="664">
        <v>60.0</v>
      </c>
      <c r="U24" s="665">
        <v>30.0</v>
      </c>
      <c r="V24" s="666">
        <v>31.0</v>
      </c>
      <c r="W24" s="667">
        <v>31.0</v>
      </c>
      <c r="X24" s="668">
        <v>70.0</v>
      </c>
      <c r="Y24" s="671">
        <f t="shared" si="1"/>
        <v>262</v>
      </c>
      <c r="Z24" s="571"/>
      <c r="AA24" s="673" t="str">
        <f t="shared" si="2"/>
        <v>#NAME?</v>
      </c>
      <c r="AB24" s="674" t="s">
        <v>156</v>
      </c>
      <c r="AC24" s="675" t="str">
        <f t="shared" si="3"/>
        <v>#NAME?</v>
      </c>
      <c r="AD24" s="673" t="s">
        <v>18</v>
      </c>
      <c r="AE24" s="676" t="str">
        <f t="shared" si="4"/>
        <v>#NAME?</v>
      </c>
      <c r="AF24" s="674" t="s">
        <v>156</v>
      </c>
      <c r="AG24" s="675" t="str">
        <f t="shared" si="5"/>
        <v>#NAME?</v>
      </c>
      <c r="AH24" s="586" t="s">
        <v>18</v>
      </c>
      <c r="AI24" s="677" t="str">
        <f t="shared" si="6"/>
        <v>#NAME?</v>
      </c>
      <c r="AJ24" s="586" t="s">
        <v>156</v>
      </c>
      <c r="AK24" s="584" t="str">
        <f t="shared" si="7"/>
        <v>#NAME?</v>
      </c>
      <c r="AL24" s="678" t="s">
        <v>18</v>
      </c>
      <c r="AM24" s="571"/>
      <c r="AN24" s="679" t="s">
        <v>235</v>
      </c>
      <c r="AO24" s="680"/>
      <c r="AP24" s="705" t="s">
        <v>235</v>
      </c>
      <c r="AQ24" s="722" t="s">
        <v>302</v>
      </c>
      <c r="AR24" s="705" t="s">
        <v>235</v>
      </c>
      <c r="AS24" s="722" t="s">
        <v>302</v>
      </c>
      <c r="AT24" s="595"/>
      <c r="AU24" s="685" t="str">
        <f t="shared" ref="AU24:AU25" si="9">image("https://www.pokebip.com/pages/icones/objets/bec-pointu.png", 3)</f>
        <v/>
      </c>
      <c r="AV24" s="686" t="s">
        <v>305</v>
      </c>
      <c r="AW24" s="687"/>
      <c r="AX24" s="688"/>
      <c r="AY24" s="571"/>
      <c r="AZ24" s="695" t="s">
        <v>56</v>
      </c>
      <c r="BA24" s="700"/>
      <c r="BB24" s="690"/>
      <c r="BC24" s="571"/>
      <c r="BD24" s="651" t="s">
        <v>150</v>
      </c>
      <c r="BE24" s="653">
        <v>58.0</v>
      </c>
      <c r="BF24" s="653">
        <v>255.0</v>
      </c>
      <c r="BG24" s="654">
        <v>70.0</v>
      </c>
      <c r="BH24" s="653">
        <v>20.0</v>
      </c>
      <c r="BI24" s="607"/>
      <c r="BJ24" s="655" t="s">
        <v>149</v>
      </c>
      <c r="BK24" s="703" t="s">
        <v>149</v>
      </c>
      <c r="BL24" s="610"/>
      <c r="BM24" s="657" t="s">
        <v>18</v>
      </c>
      <c r="BN24" s="704"/>
      <c r="BO24" s="607"/>
      <c r="BP24" s="659" t="s">
        <v>304</v>
      </c>
      <c r="BQ24" s="614"/>
      <c r="BR24" s="660" t="s">
        <v>4432</v>
      </c>
      <c r="BS24" s="614"/>
    </row>
    <row r="25" ht="15.75" customHeight="1">
      <c r="A25" s="616"/>
      <c r="B25" s="617" t="s">
        <v>311</v>
      </c>
      <c r="C25" s="618"/>
      <c r="D25" s="619"/>
      <c r="E25" s="620">
        <v>65.0</v>
      </c>
      <c r="F25" s="621">
        <v>90.0</v>
      </c>
      <c r="G25" s="622">
        <v>65.0</v>
      </c>
      <c r="H25" s="623">
        <v>61.0</v>
      </c>
      <c r="I25" s="624">
        <v>61.0</v>
      </c>
      <c r="J25" s="625">
        <v>100.0</v>
      </c>
      <c r="K25" s="626">
        <v>442.0</v>
      </c>
      <c r="L25" s="627">
        <v>65.0</v>
      </c>
      <c r="M25" s="621">
        <v>90.0</v>
      </c>
      <c r="N25" s="622">
        <v>65.0</v>
      </c>
      <c r="O25" s="623">
        <v>61.0</v>
      </c>
      <c r="P25" s="624">
        <v>61.0</v>
      </c>
      <c r="Q25" s="625">
        <v>100.0</v>
      </c>
      <c r="R25" s="628">
        <v>442.0</v>
      </c>
      <c r="S25" s="629">
        <v>65.0</v>
      </c>
      <c r="T25" s="621">
        <v>110.0</v>
      </c>
      <c r="U25" s="622">
        <v>65.0</v>
      </c>
      <c r="V25" s="623">
        <v>61.0</v>
      </c>
      <c r="W25" s="624">
        <v>61.0</v>
      </c>
      <c r="X25" s="625">
        <v>100.0</v>
      </c>
      <c r="Y25" s="628">
        <f t="shared" si="1"/>
        <v>462</v>
      </c>
      <c r="Z25" s="619"/>
      <c r="AA25" s="630" t="str">
        <f t="shared" si="2"/>
        <v>#NAME?</v>
      </c>
      <c r="AB25" s="631" t="s">
        <v>156</v>
      </c>
      <c r="AC25" s="632" t="str">
        <f t="shared" si="3"/>
        <v>#NAME?</v>
      </c>
      <c r="AD25" s="630" t="s">
        <v>18</v>
      </c>
      <c r="AE25" s="633" t="str">
        <f t="shared" si="4"/>
        <v>#NAME?</v>
      </c>
      <c r="AF25" s="631" t="s">
        <v>156</v>
      </c>
      <c r="AG25" s="632" t="str">
        <f t="shared" si="5"/>
        <v>#NAME?</v>
      </c>
      <c r="AH25" s="634" t="s">
        <v>18</v>
      </c>
      <c r="AI25" s="635" t="str">
        <f t="shared" si="6"/>
        <v>#NAME?</v>
      </c>
      <c r="AJ25" s="634" t="s">
        <v>156</v>
      </c>
      <c r="AK25" s="636" t="str">
        <f t="shared" si="7"/>
        <v>#NAME?</v>
      </c>
      <c r="AL25" s="637" t="s">
        <v>18</v>
      </c>
      <c r="AM25" s="619"/>
      <c r="AN25" s="638" t="s">
        <v>235</v>
      </c>
      <c r="AO25" s="639"/>
      <c r="AP25" s="712" t="s">
        <v>235</v>
      </c>
      <c r="AQ25" s="723" t="s">
        <v>302</v>
      </c>
      <c r="AR25" s="712" t="s">
        <v>235</v>
      </c>
      <c r="AS25" s="723" t="s">
        <v>302</v>
      </c>
      <c r="AT25" s="644"/>
      <c r="AU25" s="645" t="str">
        <f t="shared" si="9"/>
        <v/>
      </c>
      <c r="AV25" s="646" t="s">
        <v>305</v>
      </c>
      <c r="AW25" s="692"/>
      <c r="AX25" s="693"/>
      <c r="AY25" s="619"/>
      <c r="AZ25" s="698" t="s">
        <v>248</v>
      </c>
      <c r="BA25" s="690"/>
      <c r="BB25" s="650"/>
      <c r="BC25" s="619"/>
      <c r="BD25" s="651" t="s">
        <v>150</v>
      </c>
      <c r="BE25" s="653">
        <v>162.0</v>
      </c>
      <c r="BF25" s="653">
        <v>90.0</v>
      </c>
      <c r="BG25" s="654">
        <v>70.0</v>
      </c>
      <c r="BH25" s="653">
        <v>60.0</v>
      </c>
      <c r="BI25" s="607"/>
      <c r="BJ25" s="655" t="s">
        <v>149</v>
      </c>
      <c r="BK25" s="703" t="s">
        <v>149</v>
      </c>
      <c r="BL25" s="610"/>
      <c r="BM25" s="657" t="s">
        <v>18</v>
      </c>
      <c r="BN25" s="704"/>
      <c r="BO25" s="607"/>
      <c r="BP25" s="659" t="s">
        <v>316</v>
      </c>
      <c r="BQ25" s="614"/>
      <c r="BR25" s="660" t="s">
        <v>4432</v>
      </c>
      <c r="BS25" s="614"/>
    </row>
    <row r="26" ht="15.75" customHeight="1">
      <c r="A26" s="616"/>
      <c r="B26" s="661" t="s">
        <v>322</v>
      </c>
      <c r="C26" s="662"/>
      <c r="D26" s="571"/>
      <c r="E26" s="663">
        <v>35.0</v>
      </c>
      <c r="F26" s="664">
        <v>60.0</v>
      </c>
      <c r="G26" s="665">
        <v>44.0</v>
      </c>
      <c r="H26" s="666">
        <v>40.0</v>
      </c>
      <c r="I26" s="667">
        <v>54.0</v>
      </c>
      <c r="J26" s="668">
        <v>55.0</v>
      </c>
      <c r="K26" s="669">
        <v>288.0</v>
      </c>
      <c r="L26" s="670">
        <v>35.0</v>
      </c>
      <c r="M26" s="664">
        <v>60.0</v>
      </c>
      <c r="N26" s="665">
        <v>44.0</v>
      </c>
      <c r="O26" s="666">
        <v>40.0</v>
      </c>
      <c r="P26" s="667">
        <v>54.0</v>
      </c>
      <c r="Q26" s="668">
        <v>55.0</v>
      </c>
      <c r="R26" s="671">
        <v>288.0</v>
      </c>
      <c r="S26" s="672">
        <v>35.0</v>
      </c>
      <c r="T26" s="664">
        <v>60.0</v>
      </c>
      <c r="U26" s="665">
        <v>44.0</v>
      </c>
      <c r="V26" s="666">
        <v>40.0</v>
      </c>
      <c r="W26" s="667">
        <v>54.0</v>
      </c>
      <c r="X26" s="668">
        <v>55.0</v>
      </c>
      <c r="Y26" s="671">
        <f t="shared" si="1"/>
        <v>288</v>
      </c>
      <c r="Z26" s="571"/>
      <c r="AA26" s="673" t="str">
        <f t="shared" si="2"/>
        <v>#NAME?</v>
      </c>
      <c r="AB26" s="674" t="s">
        <v>7</v>
      </c>
      <c r="AC26" s="675" t="str">
        <f t="shared" si="3"/>
        <v>#NAME?</v>
      </c>
      <c r="AD26" s="680" t="s">
        <v>4428</v>
      </c>
      <c r="AE26" s="676" t="str">
        <f t="shared" si="4"/>
        <v>#NAME?</v>
      </c>
      <c r="AF26" s="674" t="s">
        <v>7</v>
      </c>
      <c r="AG26" s="675" t="str">
        <f t="shared" si="5"/>
        <v>#NAME?</v>
      </c>
      <c r="AH26" s="586" t="s">
        <v>4428</v>
      </c>
      <c r="AI26" s="677" t="str">
        <f t="shared" si="6"/>
        <v>#NAME?</v>
      </c>
      <c r="AJ26" s="586" t="s">
        <v>7</v>
      </c>
      <c r="AK26" s="584" t="str">
        <f t="shared" si="7"/>
        <v>#NAME?</v>
      </c>
      <c r="AL26" s="678" t="s">
        <v>4428</v>
      </c>
      <c r="AM26" s="571"/>
      <c r="AN26" s="679" t="s">
        <v>326</v>
      </c>
      <c r="AO26" s="680" t="s">
        <v>163</v>
      </c>
      <c r="AP26" s="705" t="s">
        <v>326</v>
      </c>
      <c r="AQ26" s="680" t="s">
        <v>163</v>
      </c>
      <c r="AR26" s="705" t="s">
        <v>326</v>
      </c>
      <c r="AS26" s="680" t="s">
        <v>163</v>
      </c>
      <c r="AT26" s="595"/>
      <c r="AU26" s="685"/>
      <c r="AV26" s="686"/>
      <c r="AW26" s="687"/>
      <c r="AX26" s="688"/>
      <c r="AY26" s="571"/>
      <c r="AZ26" s="695" t="s">
        <v>325</v>
      </c>
      <c r="BA26" s="700"/>
      <c r="BB26" s="690"/>
      <c r="BC26" s="571"/>
      <c r="BD26" s="651" t="s">
        <v>150</v>
      </c>
      <c r="BE26" s="653">
        <v>62.0</v>
      </c>
      <c r="BF26" s="653">
        <v>255.0</v>
      </c>
      <c r="BG26" s="654">
        <v>70.0</v>
      </c>
      <c r="BH26" s="653">
        <v>20.0</v>
      </c>
      <c r="BI26" s="607"/>
      <c r="BJ26" s="655" t="s">
        <v>149</v>
      </c>
      <c r="BK26" s="703" t="s">
        <v>149</v>
      </c>
      <c r="BL26" s="610"/>
      <c r="BM26" s="657" t="s">
        <v>277</v>
      </c>
      <c r="BN26" s="658" t="s">
        <v>61</v>
      </c>
      <c r="BO26" s="607"/>
      <c r="BP26" s="659" t="s">
        <v>327</v>
      </c>
      <c r="BQ26" s="614"/>
      <c r="BR26" s="660" t="s">
        <v>4434</v>
      </c>
      <c r="BS26" s="614"/>
    </row>
    <row r="27" ht="15.75" customHeight="1">
      <c r="A27" s="616"/>
      <c r="B27" s="617" t="s">
        <v>333</v>
      </c>
      <c r="C27" s="618"/>
      <c r="D27" s="619"/>
      <c r="E27" s="620">
        <v>60.0</v>
      </c>
      <c r="F27" s="621">
        <v>85.0</v>
      </c>
      <c r="G27" s="622">
        <v>69.0</v>
      </c>
      <c r="H27" s="623">
        <v>65.0</v>
      </c>
      <c r="I27" s="624">
        <v>79.0</v>
      </c>
      <c r="J27" s="625">
        <v>80.0</v>
      </c>
      <c r="K27" s="626">
        <v>438.0</v>
      </c>
      <c r="L27" s="627">
        <v>60.0</v>
      </c>
      <c r="M27" s="621">
        <v>95.0</v>
      </c>
      <c r="N27" s="622">
        <v>69.0</v>
      </c>
      <c r="O27" s="623">
        <v>65.0</v>
      </c>
      <c r="P27" s="624">
        <v>79.0</v>
      </c>
      <c r="Q27" s="625">
        <v>80.0</v>
      </c>
      <c r="R27" s="628">
        <v>448.0</v>
      </c>
      <c r="S27" s="629">
        <v>60.0</v>
      </c>
      <c r="T27" s="621">
        <v>110.0</v>
      </c>
      <c r="U27" s="622">
        <v>70.0</v>
      </c>
      <c r="V27" s="623">
        <v>55.0</v>
      </c>
      <c r="W27" s="624">
        <v>80.0</v>
      </c>
      <c r="X27" s="625">
        <v>80.0</v>
      </c>
      <c r="Y27" s="628">
        <f t="shared" si="1"/>
        <v>455</v>
      </c>
      <c r="Z27" s="619"/>
      <c r="AA27" s="630" t="str">
        <f t="shared" si="2"/>
        <v>#NAME?</v>
      </c>
      <c r="AB27" s="631" t="s">
        <v>7</v>
      </c>
      <c r="AC27" s="632" t="str">
        <f t="shared" si="3"/>
        <v>#NAME?</v>
      </c>
      <c r="AD27" s="639" t="s">
        <v>4428</v>
      </c>
      <c r="AE27" s="633" t="str">
        <f t="shared" si="4"/>
        <v>#NAME?</v>
      </c>
      <c r="AF27" s="631" t="s">
        <v>7</v>
      </c>
      <c r="AG27" s="632" t="str">
        <f t="shared" si="5"/>
        <v>#NAME?</v>
      </c>
      <c r="AH27" s="634" t="s">
        <v>4428</v>
      </c>
      <c r="AI27" s="635" t="str">
        <f t="shared" si="6"/>
        <v>#NAME?</v>
      </c>
      <c r="AJ27" s="634" t="s">
        <v>7</v>
      </c>
      <c r="AK27" s="636" t="str">
        <f t="shared" si="7"/>
        <v>#NAME?</v>
      </c>
      <c r="AL27" s="637" t="s">
        <v>4428</v>
      </c>
      <c r="AM27" s="619"/>
      <c r="AN27" s="638" t="s">
        <v>326</v>
      </c>
      <c r="AO27" s="639" t="s">
        <v>163</v>
      </c>
      <c r="AP27" s="712" t="s">
        <v>326</v>
      </c>
      <c r="AQ27" s="639" t="s">
        <v>163</v>
      </c>
      <c r="AR27" s="712" t="s">
        <v>326</v>
      </c>
      <c r="AS27" s="639" t="s">
        <v>163</v>
      </c>
      <c r="AT27" s="644"/>
      <c r="AU27" s="645"/>
      <c r="AV27" s="646"/>
      <c r="AW27" s="692"/>
      <c r="AX27" s="693"/>
      <c r="AY27" s="619"/>
      <c r="AZ27" s="698" t="s">
        <v>216</v>
      </c>
      <c r="BA27" s="690"/>
      <c r="BB27" s="650"/>
      <c r="BC27" s="619"/>
      <c r="BD27" s="651" t="s">
        <v>150</v>
      </c>
      <c r="BE27" s="653">
        <v>147.0</v>
      </c>
      <c r="BF27" s="653">
        <v>90.0</v>
      </c>
      <c r="BG27" s="654">
        <v>70.0</v>
      </c>
      <c r="BH27" s="653">
        <v>80.0</v>
      </c>
      <c r="BI27" s="607"/>
      <c r="BJ27" s="655" t="s">
        <v>149</v>
      </c>
      <c r="BK27" s="703" t="s">
        <v>149</v>
      </c>
      <c r="BL27" s="610"/>
      <c r="BM27" s="657" t="s">
        <v>277</v>
      </c>
      <c r="BN27" s="658" t="s">
        <v>61</v>
      </c>
      <c r="BO27" s="607"/>
      <c r="BP27" s="659" t="s">
        <v>340</v>
      </c>
      <c r="BQ27" s="614"/>
      <c r="BR27" s="660" t="s">
        <v>4434</v>
      </c>
      <c r="BS27" s="614"/>
    </row>
    <row r="28" ht="15.75" customHeight="1">
      <c r="A28" s="616"/>
      <c r="B28" s="661" t="s">
        <v>347</v>
      </c>
      <c r="C28" s="662"/>
      <c r="D28" s="571"/>
      <c r="E28" s="663">
        <v>35.0</v>
      </c>
      <c r="F28" s="664">
        <v>55.0</v>
      </c>
      <c r="G28" s="665">
        <v>30.0</v>
      </c>
      <c r="H28" s="666">
        <v>50.0</v>
      </c>
      <c r="I28" s="667">
        <v>40.0</v>
      </c>
      <c r="J28" s="668">
        <v>90.0</v>
      </c>
      <c r="K28" s="669">
        <v>300.0</v>
      </c>
      <c r="L28" s="670">
        <v>35.0</v>
      </c>
      <c r="M28" s="664">
        <v>55.0</v>
      </c>
      <c r="N28" s="665">
        <v>40.0</v>
      </c>
      <c r="O28" s="666">
        <v>50.0</v>
      </c>
      <c r="P28" s="667">
        <v>50.0</v>
      </c>
      <c r="Q28" s="668">
        <v>90.0</v>
      </c>
      <c r="R28" s="671">
        <v>320.0</v>
      </c>
      <c r="S28" s="672">
        <v>35.0</v>
      </c>
      <c r="T28" s="664">
        <v>55.0</v>
      </c>
      <c r="U28" s="665">
        <v>40.0</v>
      </c>
      <c r="V28" s="666">
        <v>50.0</v>
      </c>
      <c r="W28" s="667">
        <v>50.0</v>
      </c>
      <c r="X28" s="668">
        <v>90.0</v>
      </c>
      <c r="Y28" s="671">
        <f t="shared" si="1"/>
        <v>320</v>
      </c>
      <c r="Z28" s="571"/>
      <c r="AA28" s="673" t="str">
        <f t="shared" si="2"/>
        <v>#NAME?</v>
      </c>
      <c r="AB28" s="674" t="s">
        <v>197</v>
      </c>
      <c r="AC28" s="675" t="str">
        <f t="shared" si="3"/>
        <v>#NAME?</v>
      </c>
      <c r="AD28" s="680" t="s">
        <v>4428</v>
      </c>
      <c r="AE28" s="676" t="str">
        <f t="shared" si="4"/>
        <v>#NAME?</v>
      </c>
      <c r="AF28" s="674" t="s">
        <v>197</v>
      </c>
      <c r="AG28" s="675" t="str">
        <f t="shared" si="5"/>
        <v>#NAME?</v>
      </c>
      <c r="AH28" s="586" t="s">
        <v>4428</v>
      </c>
      <c r="AI28" s="677" t="str">
        <f t="shared" si="6"/>
        <v>#NAME?</v>
      </c>
      <c r="AJ28" s="586" t="s">
        <v>197</v>
      </c>
      <c r="AK28" s="584" t="str">
        <f t="shared" si="7"/>
        <v>#NAME?</v>
      </c>
      <c r="AL28" s="678" t="s">
        <v>4428</v>
      </c>
      <c r="AM28" s="571"/>
      <c r="AN28" s="679" t="s">
        <v>352</v>
      </c>
      <c r="AO28" s="680"/>
      <c r="AP28" s="705" t="s">
        <v>352</v>
      </c>
      <c r="AQ28" s="722" t="s">
        <v>354</v>
      </c>
      <c r="AR28" s="705" t="s">
        <v>352</v>
      </c>
      <c r="AS28" s="722" t="s">
        <v>354</v>
      </c>
      <c r="AT28" s="595"/>
      <c r="AU28" s="685" t="str">
        <f>image("https://www.pokebip.com/pages/icones/objets/balle-lumiere.png", 3)</f>
        <v/>
      </c>
      <c r="AV28" s="686" t="s">
        <v>357</v>
      </c>
      <c r="AW28" s="687"/>
      <c r="AX28" s="688"/>
      <c r="AY28" s="571"/>
      <c r="AZ28" s="689" t="s">
        <v>248</v>
      </c>
      <c r="BA28" s="690"/>
      <c r="BB28" s="696"/>
      <c r="BC28" s="571"/>
      <c r="BD28" s="651" t="s">
        <v>150</v>
      </c>
      <c r="BE28" s="653">
        <v>82.0</v>
      </c>
      <c r="BF28" s="653">
        <v>190.0</v>
      </c>
      <c r="BG28" s="654">
        <v>70.0</v>
      </c>
      <c r="BH28" s="653">
        <v>20.0</v>
      </c>
      <c r="BI28" s="607"/>
      <c r="BJ28" s="655" t="s">
        <v>149</v>
      </c>
      <c r="BK28" s="703" t="s">
        <v>149</v>
      </c>
      <c r="BL28" s="610"/>
      <c r="BM28" s="657" t="s">
        <v>277</v>
      </c>
      <c r="BN28" s="658" t="s">
        <v>153</v>
      </c>
      <c r="BO28" s="607"/>
      <c r="BP28" s="659" t="s">
        <v>356</v>
      </c>
      <c r="BQ28" s="614"/>
      <c r="BR28" s="660" t="s">
        <v>4433</v>
      </c>
      <c r="BS28" s="614"/>
    </row>
    <row r="29" ht="15.75" customHeight="1">
      <c r="A29" s="616"/>
      <c r="B29" s="617" t="s">
        <v>364</v>
      </c>
      <c r="C29" s="618"/>
      <c r="D29" s="619"/>
      <c r="E29" s="620">
        <v>60.0</v>
      </c>
      <c r="F29" s="621">
        <v>90.0</v>
      </c>
      <c r="G29" s="622">
        <v>55.0</v>
      </c>
      <c r="H29" s="623">
        <v>90.0</v>
      </c>
      <c r="I29" s="624">
        <v>80.0</v>
      </c>
      <c r="J29" s="625">
        <v>100.0</v>
      </c>
      <c r="K29" s="626">
        <v>475.0</v>
      </c>
      <c r="L29" s="627">
        <v>60.0</v>
      </c>
      <c r="M29" s="621">
        <v>90.0</v>
      </c>
      <c r="N29" s="622">
        <v>55.0</v>
      </c>
      <c r="O29" s="623">
        <v>90.0</v>
      </c>
      <c r="P29" s="624">
        <v>80.0</v>
      </c>
      <c r="Q29" s="625">
        <v>110.0</v>
      </c>
      <c r="R29" s="628">
        <v>485.0</v>
      </c>
      <c r="S29" s="629">
        <v>60.0</v>
      </c>
      <c r="T29" s="621">
        <v>95.0</v>
      </c>
      <c r="U29" s="622">
        <v>55.0</v>
      </c>
      <c r="V29" s="623">
        <v>95.0</v>
      </c>
      <c r="W29" s="624">
        <v>80.0</v>
      </c>
      <c r="X29" s="625">
        <v>110.0</v>
      </c>
      <c r="Y29" s="628">
        <f t="shared" si="1"/>
        <v>495</v>
      </c>
      <c r="Z29" s="619"/>
      <c r="AA29" s="630" t="str">
        <f t="shared" si="2"/>
        <v>#NAME?</v>
      </c>
      <c r="AB29" s="631" t="s">
        <v>197</v>
      </c>
      <c r="AC29" s="632" t="str">
        <f t="shared" si="3"/>
        <v>#NAME?</v>
      </c>
      <c r="AD29" s="639" t="s">
        <v>4428</v>
      </c>
      <c r="AE29" s="633" t="str">
        <f t="shared" si="4"/>
        <v>#NAME?</v>
      </c>
      <c r="AF29" s="631" t="s">
        <v>197</v>
      </c>
      <c r="AG29" s="632" t="str">
        <f t="shared" si="5"/>
        <v>#NAME?</v>
      </c>
      <c r="AH29" s="634" t="s">
        <v>4428</v>
      </c>
      <c r="AI29" s="635" t="str">
        <f t="shared" si="6"/>
        <v>#NAME?</v>
      </c>
      <c r="AJ29" s="634" t="s">
        <v>197</v>
      </c>
      <c r="AK29" s="636" t="str">
        <f t="shared" si="7"/>
        <v>#NAME?</v>
      </c>
      <c r="AL29" s="637" t="s">
        <v>4428</v>
      </c>
      <c r="AM29" s="619"/>
      <c r="AN29" s="638" t="s">
        <v>352</v>
      </c>
      <c r="AO29" s="639"/>
      <c r="AP29" s="712" t="s">
        <v>352</v>
      </c>
      <c r="AQ29" s="723" t="s">
        <v>354</v>
      </c>
      <c r="AR29" s="712" t="s">
        <v>352</v>
      </c>
      <c r="AS29" s="723" t="s">
        <v>354</v>
      </c>
      <c r="AT29" s="644"/>
      <c r="AU29" s="645"/>
      <c r="AV29" s="646"/>
      <c r="AW29" s="692"/>
      <c r="AX29" s="693"/>
      <c r="AY29" s="619"/>
      <c r="AZ29" s="698" t="s">
        <v>261</v>
      </c>
      <c r="BA29" s="699"/>
      <c r="BB29" s="690"/>
      <c r="BC29" s="619"/>
      <c r="BD29" s="651" t="s">
        <v>150</v>
      </c>
      <c r="BE29" s="653">
        <v>122.0</v>
      </c>
      <c r="BF29" s="653">
        <v>75.0</v>
      </c>
      <c r="BG29" s="654">
        <v>70.0</v>
      </c>
      <c r="BH29" s="653">
        <v>60.0</v>
      </c>
      <c r="BI29" s="607"/>
      <c r="BJ29" s="655" t="s">
        <v>149</v>
      </c>
      <c r="BK29" s="703" t="s">
        <v>149</v>
      </c>
      <c r="BL29" s="610"/>
      <c r="BM29" s="657" t="s">
        <v>277</v>
      </c>
      <c r="BN29" s="658" t="s">
        <v>153</v>
      </c>
      <c r="BO29" s="607"/>
      <c r="BP29" s="659" t="s">
        <v>368</v>
      </c>
      <c r="BQ29" s="614"/>
      <c r="BR29" s="660" t="s">
        <v>4433</v>
      </c>
      <c r="BS29" s="614"/>
    </row>
    <row r="30" ht="15.75" customHeight="1">
      <c r="A30" s="616"/>
      <c r="B30" s="661" t="s">
        <v>373</v>
      </c>
      <c r="C30" s="662"/>
      <c r="D30" s="571"/>
      <c r="E30" s="663">
        <v>50.0</v>
      </c>
      <c r="F30" s="664">
        <v>75.0</v>
      </c>
      <c r="G30" s="665">
        <v>85.0</v>
      </c>
      <c r="H30" s="666">
        <v>20.0</v>
      </c>
      <c r="I30" s="667">
        <v>30.0</v>
      </c>
      <c r="J30" s="668">
        <v>40.0</v>
      </c>
      <c r="K30" s="669">
        <v>300.0</v>
      </c>
      <c r="L30" s="670">
        <v>50.0</v>
      </c>
      <c r="M30" s="664">
        <v>75.0</v>
      </c>
      <c r="N30" s="665">
        <v>85.0</v>
      </c>
      <c r="O30" s="666">
        <v>20.0</v>
      </c>
      <c r="P30" s="667">
        <v>30.0</v>
      </c>
      <c r="Q30" s="668">
        <v>40.0</v>
      </c>
      <c r="R30" s="671">
        <v>300.0</v>
      </c>
      <c r="S30" s="672">
        <v>50.0</v>
      </c>
      <c r="T30" s="664">
        <v>75.0</v>
      </c>
      <c r="U30" s="665">
        <v>85.0</v>
      </c>
      <c r="V30" s="666">
        <v>20.0</v>
      </c>
      <c r="W30" s="667">
        <v>30.0</v>
      </c>
      <c r="X30" s="668">
        <v>40.0</v>
      </c>
      <c r="Y30" s="671">
        <f t="shared" si="1"/>
        <v>300</v>
      </c>
      <c r="Z30" s="571"/>
      <c r="AA30" s="673" t="str">
        <f t="shared" si="2"/>
        <v>#NAME?</v>
      </c>
      <c r="AB30" s="674" t="s">
        <v>79</v>
      </c>
      <c r="AC30" s="675" t="str">
        <f t="shared" si="3"/>
        <v>#NAME?</v>
      </c>
      <c r="AD30" s="680" t="s">
        <v>4428</v>
      </c>
      <c r="AE30" s="676" t="str">
        <f t="shared" si="4"/>
        <v>#NAME?</v>
      </c>
      <c r="AF30" s="674" t="s">
        <v>79</v>
      </c>
      <c r="AG30" s="675" t="str">
        <f t="shared" si="5"/>
        <v>#NAME?</v>
      </c>
      <c r="AH30" s="586" t="s">
        <v>4428</v>
      </c>
      <c r="AI30" s="677" t="str">
        <f t="shared" si="6"/>
        <v>#NAME?</v>
      </c>
      <c r="AJ30" s="586" t="s">
        <v>79</v>
      </c>
      <c r="AK30" s="584" t="str">
        <f t="shared" si="7"/>
        <v>#NAME?</v>
      </c>
      <c r="AL30" s="678" t="s">
        <v>4428</v>
      </c>
      <c r="AM30" s="571"/>
      <c r="AN30" s="679" t="s">
        <v>376</v>
      </c>
      <c r="AO30" s="680"/>
      <c r="AP30" s="705" t="s">
        <v>376</v>
      </c>
      <c r="AQ30" s="680"/>
      <c r="AR30" s="705" t="s">
        <v>376</v>
      </c>
      <c r="AS30" s="680"/>
      <c r="AT30" s="595"/>
      <c r="AU30" s="685"/>
      <c r="AV30" s="686"/>
      <c r="AW30" s="687"/>
      <c r="AX30" s="688"/>
      <c r="AY30" s="571"/>
      <c r="AZ30" s="695" t="s">
        <v>101</v>
      </c>
      <c r="BA30" s="700"/>
      <c r="BB30" s="690"/>
      <c r="BC30" s="571"/>
      <c r="BD30" s="651" t="s">
        <v>150</v>
      </c>
      <c r="BE30" s="653">
        <v>93.0</v>
      </c>
      <c r="BF30" s="653">
        <v>255.0</v>
      </c>
      <c r="BG30" s="654">
        <v>70.0</v>
      </c>
      <c r="BH30" s="653">
        <v>40.0</v>
      </c>
      <c r="BI30" s="607"/>
      <c r="BJ30" s="655" t="s">
        <v>149</v>
      </c>
      <c r="BK30" s="703" t="s">
        <v>149</v>
      </c>
      <c r="BL30" s="610"/>
      <c r="BM30" s="657" t="s">
        <v>277</v>
      </c>
      <c r="BN30" s="704"/>
      <c r="BO30" s="607"/>
      <c r="BP30" s="659" t="s">
        <v>378</v>
      </c>
      <c r="BQ30" s="614"/>
      <c r="BR30" s="660" t="s">
        <v>4433</v>
      </c>
      <c r="BS30" s="614"/>
    </row>
    <row r="31" ht="15.75" customHeight="1">
      <c r="A31" s="616"/>
      <c r="B31" s="617" t="s">
        <v>383</v>
      </c>
      <c r="C31" s="618"/>
      <c r="D31" s="619"/>
      <c r="E31" s="620">
        <v>75.0</v>
      </c>
      <c r="F31" s="621">
        <v>100.0</v>
      </c>
      <c r="G31" s="622">
        <v>110.0</v>
      </c>
      <c r="H31" s="623">
        <v>45.0</v>
      </c>
      <c r="I31" s="624">
        <v>55.0</v>
      </c>
      <c r="J31" s="625">
        <v>65.0</v>
      </c>
      <c r="K31" s="626">
        <v>450.0</v>
      </c>
      <c r="L31" s="627">
        <v>75.0</v>
      </c>
      <c r="M31" s="621">
        <v>100.0</v>
      </c>
      <c r="N31" s="622">
        <v>110.0</v>
      </c>
      <c r="O31" s="623">
        <v>45.0</v>
      </c>
      <c r="P31" s="624">
        <v>55.0</v>
      </c>
      <c r="Q31" s="625">
        <v>65.0</v>
      </c>
      <c r="R31" s="628">
        <v>450.0</v>
      </c>
      <c r="S31" s="629">
        <v>75.0</v>
      </c>
      <c r="T31" s="621">
        <v>100.0</v>
      </c>
      <c r="U31" s="622">
        <v>110.0</v>
      </c>
      <c r="V31" s="623">
        <v>45.0</v>
      </c>
      <c r="W31" s="624">
        <v>55.0</v>
      </c>
      <c r="X31" s="625">
        <v>65.0</v>
      </c>
      <c r="Y31" s="628">
        <f t="shared" si="1"/>
        <v>450</v>
      </c>
      <c r="Z31" s="619"/>
      <c r="AA31" s="630" t="str">
        <f t="shared" si="2"/>
        <v>#NAME?</v>
      </c>
      <c r="AB31" s="631" t="s">
        <v>79</v>
      </c>
      <c r="AC31" s="632" t="str">
        <f t="shared" si="3"/>
        <v>#NAME?</v>
      </c>
      <c r="AD31" s="639" t="s">
        <v>4428</v>
      </c>
      <c r="AE31" s="633" t="str">
        <f t="shared" si="4"/>
        <v>#NAME?</v>
      </c>
      <c r="AF31" s="631" t="s">
        <v>79</v>
      </c>
      <c r="AG31" s="632" t="str">
        <f t="shared" si="5"/>
        <v>#NAME?</v>
      </c>
      <c r="AH31" s="634" t="s">
        <v>4428</v>
      </c>
      <c r="AI31" s="635" t="str">
        <f t="shared" si="6"/>
        <v>#NAME?</v>
      </c>
      <c r="AJ31" s="634" t="s">
        <v>79</v>
      </c>
      <c r="AK31" s="636" t="str">
        <f t="shared" si="7"/>
        <v>#NAME?</v>
      </c>
      <c r="AL31" s="637" t="s">
        <v>4428</v>
      </c>
      <c r="AM31" s="619"/>
      <c r="AN31" s="638" t="s">
        <v>376</v>
      </c>
      <c r="AO31" s="639"/>
      <c r="AP31" s="712" t="s">
        <v>376</v>
      </c>
      <c r="AQ31" s="639"/>
      <c r="AR31" s="712" t="s">
        <v>376</v>
      </c>
      <c r="AS31" s="639"/>
      <c r="AT31" s="644"/>
      <c r="AU31" s="645"/>
      <c r="AV31" s="646"/>
      <c r="AW31" s="692"/>
      <c r="AX31" s="693"/>
      <c r="AY31" s="619"/>
      <c r="AZ31" s="698" t="s">
        <v>162</v>
      </c>
      <c r="BA31" s="690"/>
      <c r="BB31" s="650"/>
      <c r="BC31" s="619"/>
      <c r="BD31" s="651" t="s">
        <v>150</v>
      </c>
      <c r="BE31" s="653">
        <v>163.0</v>
      </c>
      <c r="BF31" s="653">
        <v>90.0</v>
      </c>
      <c r="BG31" s="654">
        <v>70.0</v>
      </c>
      <c r="BH31" s="653">
        <v>60.0</v>
      </c>
      <c r="BI31" s="607"/>
      <c r="BJ31" s="655" t="s">
        <v>149</v>
      </c>
      <c r="BK31" s="703" t="s">
        <v>149</v>
      </c>
      <c r="BL31" s="610"/>
      <c r="BM31" s="657" t="s">
        <v>277</v>
      </c>
      <c r="BN31" s="704"/>
      <c r="BO31" s="607"/>
      <c r="BP31" s="659" t="s">
        <v>386</v>
      </c>
      <c r="BQ31" s="614"/>
      <c r="BR31" s="660" t="s">
        <v>4433</v>
      </c>
      <c r="BS31" s="614"/>
    </row>
    <row r="32" ht="15.75" customHeight="1">
      <c r="A32" s="616"/>
      <c r="B32" s="661" t="s">
        <v>391</v>
      </c>
      <c r="C32" s="662"/>
      <c r="D32" s="571"/>
      <c r="E32" s="663">
        <v>55.0</v>
      </c>
      <c r="F32" s="664">
        <v>47.0</v>
      </c>
      <c r="G32" s="665">
        <v>52.0</v>
      </c>
      <c r="H32" s="666">
        <v>40.0</v>
      </c>
      <c r="I32" s="667">
        <v>40.0</v>
      </c>
      <c r="J32" s="668">
        <v>41.0</v>
      </c>
      <c r="K32" s="669">
        <v>275.0</v>
      </c>
      <c r="L32" s="670">
        <v>55.0</v>
      </c>
      <c r="M32" s="664">
        <v>47.0</v>
      </c>
      <c r="N32" s="665">
        <v>52.0</v>
      </c>
      <c r="O32" s="666">
        <v>40.0</v>
      </c>
      <c r="P32" s="667">
        <v>40.0</v>
      </c>
      <c r="Q32" s="668">
        <v>41.0</v>
      </c>
      <c r="R32" s="671">
        <v>275.0</v>
      </c>
      <c r="S32" s="672">
        <v>55.0</v>
      </c>
      <c r="T32" s="664">
        <v>47.0</v>
      </c>
      <c r="U32" s="665">
        <v>52.0</v>
      </c>
      <c r="V32" s="666">
        <v>40.0</v>
      </c>
      <c r="W32" s="667">
        <v>40.0</v>
      </c>
      <c r="X32" s="668">
        <v>41.0</v>
      </c>
      <c r="Y32" s="671">
        <f t="shared" si="1"/>
        <v>275</v>
      </c>
      <c r="Z32" s="571"/>
      <c r="AA32" s="673" t="str">
        <f t="shared" si="2"/>
        <v>#NAME?</v>
      </c>
      <c r="AB32" s="674" t="s">
        <v>7</v>
      </c>
      <c r="AC32" s="675" t="str">
        <f t="shared" si="3"/>
        <v>#NAME?</v>
      </c>
      <c r="AD32" s="680" t="s">
        <v>4428</v>
      </c>
      <c r="AE32" s="676" t="str">
        <f t="shared" si="4"/>
        <v>#NAME?</v>
      </c>
      <c r="AF32" s="674" t="s">
        <v>7</v>
      </c>
      <c r="AG32" s="675" t="str">
        <f t="shared" si="5"/>
        <v>#NAME?</v>
      </c>
      <c r="AH32" s="586" t="s">
        <v>4428</v>
      </c>
      <c r="AI32" s="677" t="str">
        <f t="shared" si="6"/>
        <v>#NAME?</v>
      </c>
      <c r="AJ32" s="586" t="s">
        <v>7</v>
      </c>
      <c r="AK32" s="584" t="str">
        <f t="shared" si="7"/>
        <v>#NAME?</v>
      </c>
      <c r="AL32" s="678" t="s">
        <v>4428</v>
      </c>
      <c r="AM32" s="571"/>
      <c r="AN32" s="679" t="s">
        <v>394</v>
      </c>
      <c r="AO32" s="680" t="s">
        <v>395</v>
      </c>
      <c r="AP32" s="705" t="s">
        <v>394</v>
      </c>
      <c r="AQ32" s="680" t="s">
        <v>395</v>
      </c>
      <c r="AR32" s="705" t="s">
        <v>394</v>
      </c>
      <c r="AS32" s="680" t="s">
        <v>395</v>
      </c>
      <c r="AT32" s="595"/>
      <c r="AU32" s="685"/>
      <c r="AV32" s="686"/>
      <c r="AW32" s="687"/>
      <c r="AX32" s="688"/>
      <c r="AY32" s="571"/>
      <c r="AZ32" s="695" t="s">
        <v>144</v>
      </c>
      <c r="BA32" s="700"/>
      <c r="BB32" s="690"/>
      <c r="BC32" s="571"/>
      <c r="BD32" s="651" t="s">
        <v>15</v>
      </c>
      <c r="BE32" s="653">
        <v>59.0</v>
      </c>
      <c r="BF32" s="653">
        <v>235.0</v>
      </c>
      <c r="BG32" s="654">
        <v>70.0</v>
      </c>
      <c r="BH32" s="653">
        <v>20.0</v>
      </c>
      <c r="BI32" s="607"/>
      <c r="BJ32" s="724">
        <v>0.0</v>
      </c>
      <c r="BK32" s="703" t="s">
        <v>397</v>
      </c>
      <c r="BL32" s="610"/>
      <c r="BM32" s="657" t="s">
        <v>14</v>
      </c>
      <c r="BN32" s="658" t="s">
        <v>277</v>
      </c>
      <c r="BO32" s="607"/>
      <c r="BP32" s="659" t="s">
        <v>398</v>
      </c>
      <c r="BQ32" s="614"/>
      <c r="BR32" s="660" t="s">
        <v>4430</v>
      </c>
      <c r="BS32" s="614"/>
    </row>
    <row r="33" ht="15.75" customHeight="1">
      <c r="A33" s="616"/>
      <c r="B33" s="617" t="s">
        <v>406</v>
      </c>
      <c r="C33" s="618"/>
      <c r="D33" s="619"/>
      <c r="E33" s="620">
        <v>70.0</v>
      </c>
      <c r="F33" s="621">
        <v>62.0</v>
      </c>
      <c r="G33" s="622">
        <v>67.0</v>
      </c>
      <c r="H33" s="623">
        <v>55.0</v>
      </c>
      <c r="I33" s="624">
        <v>55.0</v>
      </c>
      <c r="J33" s="625">
        <v>56.0</v>
      </c>
      <c r="K33" s="626">
        <v>365.0</v>
      </c>
      <c r="L33" s="627">
        <v>70.0</v>
      </c>
      <c r="M33" s="621">
        <v>62.0</v>
      </c>
      <c r="N33" s="622">
        <v>67.0</v>
      </c>
      <c r="O33" s="623">
        <v>55.0</v>
      </c>
      <c r="P33" s="624">
        <v>55.0</v>
      </c>
      <c r="Q33" s="625">
        <v>56.0</v>
      </c>
      <c r="R33" s="628">
        <v>365.0</v>
      </c>
      <c r="S33" s="629">
        <v>70.0</v>
      </c>
      <c r="T33" s="621">
        <v>62.0</v>
      </c>
      <c r="U33" s="622">
        <v>67.0</v>
      </c>
      <c r="V33" s="623">
        <v>55.0</v>
      </c>
      <c r="W33" s="624">
        <v>55.0</v>
      </c>
      <c r="X33" s="625">
        <v>56.0</v>
      </c>
      <c r="Y33" s="628">
        <f t="shared" si="1"/>
        <v>365</v>
      </c>
      <c r="Z33" s="619"/>
      <c r="AA33" s="630" t="str">
        <f t="shared" si="2"/>
        <v>#NAME?</v>
      </c>
      <c r="AB33" s="631" t="s">
        <v>7</v>
      </c>
      <c r="AC33" s="632" t="str">
        <f t="shared" si="3"/>
        <v>#NAME?</v>
      </c>
      <c r="AD33" s="639" t="s">
        <v>4428</v>
      </c>
      <c r="AE33" s="633" t="str">
        <f t="shared" si="4"/>
        <v>#NAME?</v>
      </c>
      <c r="AF33" s="631" t="s">
        <v>7</v>
      </c>
      <c r="AG33" s="632" t="str">
        <f t="shared" si="5"/>
        <v>#NAME?</v>
      </c>
      <c r="AH33" s="634" t="s">
        <v>4428</v>
      </c>
      <c r="AI33" s="635" t="str">
        <f t="shared" si="6"/>
        <v>#NAME?</v>
      </c>
      <c r="AJ33" s="634" t="s">
        <v>7</v>
      </c>
      <c r="AK33" s="636" t="str">
        <f t="shared" si="7"/>
        <v>#NAME?</v>
      </c>
      <c r="AL33" s="637" t="s">
        <v>4428</v>
      </c>
      <c r="AM33" s="619"/>
      <c r="AN33" s="638" t="s">
        <v>394</v>
      </c>
      <c r="AO33" s="639" t="s">
        <v>395</v>
      </c>
      <c r="AP33" s="712" t="s">
        <v>394</v>
      </c>
      <c r="AQ33" s="639" t="s">
        <v>395</v>
      </c>
      <c r="AR33" s="712" t="s">
        <v>394</v>
      </c>
      <c r="AS33" s="639" t="s">
        <v>395</v>
      </c>
      <c r="AT33" s="644"/>
      <c r="AU33" s="645"/>
      <c r="AV33" s="646"/>
      <c r="AW33" s="692"/>
      <c r="AX33" s="693"/>
      <c r="AY33" s="619"/>
      <c r="AZ33" s="698" t="s">
        <v>409</v>
      </c>
      <c r="BA33" s="690"/>
      <c r="BB33" s="650"/>
      <c r="BC33" s="619"/>
      <c r="BD33" s="651" t="s">
        <v>15</v>
      </c>
      <c r="BE33" s="653">
        <v>117.0</v>
      </c>
      <c r="BF33" s="653">
        <v>120.0</v>
      </c>
      <c r="BG33" s="654">
        <v>70.0</v>
      </c>
      <c r="BH33" s="653">
        <v>40.0</v>
      </c>
      <c r="BI33" s="607"/>
      <c r="BJ33" s="724">
        <v>0.0</v>
      </c>
      <c r="BK33" s="703" t="s">
        <v>397</v>
      </c>
      <c r="BL33" s="610"/>
      <c r="BM33" s="657" t="s">
        <v>411</v>
      </c>
      <c r="BN33" s="704"/>
      <c r="BO33" s="607"/>
      <c r="BP33" s="659" t="s">
        <v>412</v>
      </c>
      <c r="BQ33" s="614"/>
      <c r="BR33" s="660" t="s">
        <v>4430</v>
      </c>
      <c r="BS33" s="614"/>
    </row>
    <row r="34" ht="15.75" customHeight="1">
      <c r="A34" s="616"/>
      <c r="B34" s="661" t="s">
        <v>417</v>
      </c>
      <c r="C34" s="662"/>
      <c r="D34" s="571"/>
      <c r="E34" s="663">
        <v>90.0</v>
      </c>
      <c r="F34" s="664">
        <v>82.0</v>
      </c>
      <c r="G34" s="665">
        <v>87.0</v>
      </c>
      <c r="H34" s="666">
        <v>75.0</v>
      </c>
      <c r="I34" s="667">
        <v>85.0</v>
      </c>
      <c r="J34" s="668">
        <v>76.0</v>
      </c>
      <c r="K34" s="669">
        <v>495.0</v>
      </c>
      <c r="L34" s="670">
        <v>90.0</v>
      </c>
      <c r="M34" s="664">
        <v>92.0</v>
      </c>
      <c r="N34" s="665">
        <v>87.0</v>
      </c>
      <c r="O34" s="666">
        <v>75.0</v>
      </c>
      <c r="P34" s="667">
        <v>85.0</v>
      </c>
      <c r="Q34" s="668">
        <v>76.0</v>
      </c>
      <c r="R34" s="671">
        <v>505.0</v>
      </c>
      <c r="S34" s="672">
        <v>90.0</v>
      </c>
      <c r="T34" s="664">
        <v>92.0</v>
      </c>
      <c r="U34" s="665">
        <v>87.0</v>
      </c>
      <c r="V34" s="666">
        <v>75.0</v>
      </c>
      <c r="W34" s="667">
        <v>85.0</v>
      </c>
      <c r="X34" s="668">
        <v>76.0</v>
      </c>
      <c r="Y34" s="671">
        <f t="shared" si="1"/>
        <v>505</v>
      </c>
      <c r="Z34" s="571"/>
      <c r="AA34" s="673" t="str">
        <f t="shared" si="2"/>
        <v>#NAME?</v>
      </c>
      <c r="AB34" s="674" t="s">
        <v>7</v>
      </c>
      <c r="AC34" s="675" t="str">
        <f t="shared" si="3"/>
        <v>#NAME?</v>
      </c>
      <c r="AD34" s="673" t="s">
        <v>79</v>
      </c>
      <c r="AE34" s="676" t="str">
        <f t="shared" si="4"/>
        <v>#NAME?</v>
      </c>
      <c r="AF34" s="674" t="s">
        <v>7</v>
      </c>
      <c r="AG34" s="675" t="str">
        <f t="shared" si="5"/>
        <v>#NAME?</v>
      </c>
      <c r="AH34" s="586" t="s">
        <v>79</v>
      </c>
      <c r="AI34" s="677" t="str">
        <f t="shared" si="6"/>
        <v>#NAME?</v>
      </c>
      <c r="AJ34" s="586" t="s">
        <v>7</v>
      </c>
      <c r="AK34" s="584" t="str">
        <f t="shared" si="7"/>
        <v>#NAME?</v>
      </c>
      <c r="AL34" s="678" t="s">
        <v>79</v>
      </c>
      <c r="AM34" s="571"/>
      <c r="AN34" s="679" t="s">
        <v>394</v>
      </c>
      <c r="AO34" s="680" t="s">
        <v>395</v>
      </c>
      <c r="AP34" s="705" t="s">
        <v>394</v>
      </c>
      <c r="AQ34" s="680" t="s">
        <v>395</v>
      </c>
      <c r="AR34" s="705" t="s">
        <v>394</v>
      </c>
      <c r="AS34" s="680" t="s">
        <v>395</v>
      </c>
      <c r="AT34" s="595"/>
      <c r="AU34" s="685"/>
      <c r="AV34" s="686"/>
      <c r="AW34" s="687"/>
      <c r="AX34" s="688"/>
      <c r="AY34" s="571"/>
      <c r="AZ34" s="689" t="s">
        <v>422</v>
      </c>
      <c r="BA34" s="699"/>
      <c r="BB34" s="690"/>
      <c r="BC34" s="571"/>
      <c r="BD34" s="651" t="s">
        <v>15</v>
      </c>
      <c r="BE34" s="653">
        <v>194.0</v>
      </c>
      <c r="BF34" s="653">
        <v>45.0</v>
      </c>
      <c r="BG34" s="654">
        <v>70.0</v>
      </c>
      <c r="BH34" s="653">
        <v>80.0</v>
      </c>
      <c r="BI34" s="607"/>
      <c r="BJ34" s="724">
        <v>0.0</v>
      </c>
      <c r="BK34" s="703" t="s">
        <v>397</v>
      </c>
      <c r="BL34" s="610"/>
      <c r="BM34" s="657" t="s">
        <v>411</v>
      </c>
      <c r="BN34" s="704"/>
      <c r="BO34" s="607"/>
      <c r="BP34" s="659" t="s">
        <v>425</v>
      </c>
      <c r="BQ34" s="614"/>
      <c r="BR34" s="660" t="s">
        <v>4430</v>
      </c>
      <c r="BS34" s="614"/>
    </row>
    <row r="35" ht="15.75" customHeight="1">
      <c r="A35" s="616"/>
      <c r="B35" s="617" t="s">
        <v>429</v>
      </c>
      <c r="C35" s="618"/>
      <c r="D35" s="619"/>
      <c r="E35" s="620">
        <v>46.0</v>
      </c>
      <c r="F35" s="621">
        <v>57.0</v>
      </c>
      <c r="G35" s="622">
        <v>40.0</v>
      </c>
      <c r="H35" s="623">
        <v>40.0</v>
      </c>
      <c r="I35" s="624">
        <v>40.0</v>
      </c>
      <c r="J35" s="625">
        <v>50.0</v>
      </c>
      <c r="K35" s="626">
        <v>273.0</v>
      </c>
      <c r="L35" s="627">
        <v>46.0</v>
      </c>
      <c r="M35" s="621">
        <v>57.0</v>
      </c>
      <c r="N35" s="622">
        <v>40.0</v>
      </c>
      <c r="O35" s="623">
        <v>40.0</v>
      </c>
      <c r="P35" s="624">
        <v>40.0</v>
      </c>
      <c r="Q35" s="625">
        <v>50.0</v>
      </c>
      <c r="R35" s="628">
        <v>273.0</v>
      </c>
      <c r="S35" s="629">
        <v>46.0</v>
      </c>
      <c r="T35" s="621">
        <v>57.0</v>
      </c>
      <c r="U35" s="622">
        <v>40.0</v>
      </c>
      <c r="V35" s="623">
        <v>40.0</v>
      </c>
      <c r="W35" s="624">
        <v>40.0</v>
      </c>
      <c r="X35" s="625">
        <v>50.0</v>
      </c>
      <c r="Y35" s="628">
        <f t="shared" si="1"/>
        <v>273</v>
      </c>
      <c r="Z35" s="619"/>
      <c r="AA35" s="630" t="str">
        <f t="shared" si="2"/>
        <v>#NAME?</v>
      </c>
      <c r="AB35" s="631" t="s">
        <v>7</v>
      </c>
      <c r="AC35" s="632" t="str">
        <f t="shared" si="3"/>
        <v>#NAME?</v>
      </c>
      <c r="AD35" s="639" t="s">
        <v>4428</v>
      </c>
      <c r="AE35" s="633" t="str">
        <f t="shared" si="4"/>
        <v>#NAME?</v>
      </c>
      <c r="AF35" s="631" t="s">
        <v>7</v>
      </c>
      <c r="AG35" s="632" t="str">
        <f t="shared" si="5"/>
        <v>#NAME?</v>
      </c>
      <c r="AH35" s="634" t="s">
        <v>4428</v>
      </c>
      <c r="AI35" s="635" t="str">
        <f t="shared" si="6"/>
        <v>#NAME?</v>
      </c>
      <c r="AJ35" s="634" t="s">
        <v>7</v>
      </c>
      <c r="AK35" s="636" t="str">
        <f t="shared" si="7"/>
        <v>#NAME?</v>
      </c>
      <c r="AL35" s="637" t="s">
        <v>4428</v>
      </c>
      <c r="AM35" s="619"/>
      <c r="AN35" s="638" t="s">
        <v>394</v>
      </c>
      <c r="AO35" s="639" t="s">
        <v>395</v>
      </c>
      <c r="AP35" s="712" t="s">
        <v>394</v>
      </c>
      <c r="AQ35" s="639" t="s">
        <v>395</v>
      </c>
      <c r="AR35" s="712" t="s">
        <v>394</v>
      </c>
      <c r="AS35" s="639" t="s">
        <v>395</v>
      </c>
      <c r="AT35" s="644"/>
      <c r="AU35" s="645"/>
      <c r="AV35" s="646"/>
      <c r="AW35" s="692"/>
      <c r="AX35" s="693"/>
      <c r="AY35" s="619"/>
      <c r="AZ35" s="648" t="s">
        <v>325</v>
      </c>
      <c r="BA35" s="694"/>
      <c r="BB35" s="690"/>
      <c r="BC35" s="619"/>
      <c r="BD35" s="651" t="s">
        <v>15</v>
      </c>
      <c r="BE35" s="653">
        <v>60.0</v>
      </c>
      <c r="BF35" s="653">
        <v>235.0</v>
      </c>
      <c r="BG35" s="654">
        <v>70.0</v>
      </c>
      <c r="BH35" s="653">
        <v>20.0</v>
      </c>
      <c r="BI35" s="607"/>
      <c r="BJ35" s="655" t="s">
        <v>397</v>
      </c>
      <c r="BK35" s="725">
        <v>0.0</v>
      </c>
      <c r="BL35" s="610"/>
      <c r="BM35" s="657" t="s">
        <v>14</v>
      </c>
      <c r="BN35" s="658" t="s">
        <v>277</v>
      </c>
      <c r="BO35" s="607"/>
      <c r="BP35" s="659" t="s">
        <v>432</v>
      </c>
      <c r="BQ35" s="614"/>
      <c r="BR35" s="660" t="s">
        <v>4434</v>
      </c>
      <c r="BS35" s="614"/>
    </row>
    <row r="36" ht="15.75" customHeight="1">
      <c r="A36" s="616"/>
      <c r="B36" s="661" t="s">
        <v>438</v>
      </c>
      <c r="C36" s="662"/>
      <c r="D36" s="571"/>
      <c r="E36" s="663">
        <v>61.0</v>
      </c>
      <c r="F36" s="664">
        <v>72.0</v>
      </c>
      <c r="G36" s="665">
        <v>57.0</v>
      </c>
      <c r="H36" s="666">
        <v>55.0</v>
      </c>
      <c r="I36" s="667">
        <v>55.0</v>
      </c>
      <c r="J36" s="668">
        <v>65.0</v>
      </c>
      <c r="K36" s="669">
        <v>365.0</v>
      </c>
      <c r="L36" s="670">
        <v>61.0</v>
      </c>
      <c r="M36" s="664">
        <v>72.0</v>
      </c>
      <c r="N36" s="665">
        <v>57.0</v>
      </c>
      <c r="O36" s="666">
        <v>55.0</v>
      </c>
      <c r="P36" s="667">
        <v>55.0</v>
      </c>
      <c r="Q36" s="668">
        <v>65.0</v>
      </c>
      <c r="R36" s="671">
        <v>365.0</v>
      </c>
      <c r="S36" s="672">
        <v>61.0</v>
      </c>
      <c r="T36" s="664">
        <v>72.0</v>
      </c>
      <c r="U36" s="665">
        <v>57.0</v>
      </c>
      <c r="V36" s="666">
        <v>55.0</v>
      </c>
      <c r="W36" s="667">
        <v>55.0</v>
      </c>
      <c r="X36" s="668">
        <v>65.0</v>
      </c>
      <c r="Y36" s="671">
        <f t="shared" si="1"/>
        <v>365</v>
      </c>
      <c r="Z36" s="571"/>
      <c r="AA36" s="673" t="str">
        <f t="shared" si="2"/>
        <v>#NAME?</v>
      </c>
      <c r="AB36" s="674" t="s">
        <v>7</v>
      </c>
      <c r="AC36" s="675" t="str">
        <f t="shared" si="3"/>
        <v>#NAME?</v>
      </c>
      <c r="AD36" s="680" t="s">
        <v>4428</v>
      </c>
      <c r="AE36" s="676" t="str">
        <f t="shared" si="4"/>
        <v>#NAME?</v>
      </c>
      <c r="AF36" s="674" t="s">
        <v>7</v>
      </c>
      <c r="AG36" s="675" t="str">
        <f t="shared" si="5"/>
        <v>#NAME?</v>
      </c>
      <c r="AH36" s="586" t="s">
        <v>4428</v>
      </c>
      <c r="AI36" s="677" t="str">
        <f t="shared" si="6"/>
        <v>#NAME?</v>
      </c>
      <c r="AJ36" s="586" t="s">
        <v>7</v>
      </c>
      <c r="AK36" s="584" t="str">
        <f t="shared" si="7"/>
        <v>#NAME?</v>
      </c>
      <c r="AL36" s="678" t="s">
        <v>4428</v>
      </c>
      <c r="AM36" s="571"/>
      <c r="AN36" s="679" t="s">
        <v>394</v>
      </c>
      <c r="AO36" s="680" t="s">
        <v>395</v>
      </c>
      <c r="AP36" s="705" t="s">
        <v>394</v>
      </c>
      <c r="AQ36" s="680" t="s">
        <v>395</v>
      </c>
      <c r="AR36" s="705" t="s">
        <v>394</v>
      </c>
      <c r="AS36" s="680" t="s">
        <v>395</v>
      </c>
      <c r="AT36" s="595"/>
      <c r="AU36" s="685"/>
      <c r="AV36" s="686"/>
      <c r="AW36" s="687"/>
      <c r="AX36" s="688"/>
      <c r="AY36" s="571"/>
      <c r="AZ36" s="689" t="s">
        <v>216</v>
      </c>
      <c r="BA36" s="690"/>
      <c r="BB36" s="696"/>
      <c r="BC36" s="571"/>
      <c r="BD36" s="651" t="s">
        <v>15</v>
      </c>
      <c r="BE36" s="653">
        <v>118.0</v>
      </c>
      <c r="BF36" s="653">
        <v>120.0</v>
      </c>
      <c r="BG36" s="654">
        <v>70.0</v>
      </c>
      <c r="BH36" s="653">
        <v>40.0</v>
      </c>
      <c r="BI36" s="607"/>
      <c r="BJ36" s="655" t="s">
        <v>397</v>
      </c>
      <c r="BK36" s="725">
        <v>0.0</v>
      </c>
      <c r="BL36" s="610"/>
      <c r="BM36" s="657" t="s">
        <v>14</v>
      </c>
      <c r="BN36" s="658" t="s">
        <v>277</v>
      </c>
      <c r="BO36" s="607"/>
      <c r="BP36" s="659" t="s">
        <v>442</v>
      </c>
      <c r="BQ36" s="614"/>
      <c r="BR36" s="660" t="s">
        <v>4434</v>
      </c>
      <c r="BS36" s="614"/>
    </row>
    <row r="37" ht="15.75" customHeight="1">
      <c r="A37" s="616"/>
      <c r="B37" s="617" t="s">
        <v>447</v>
      </c>
      <c r="C37" s="618"/>
      <c r="D37" s="619"/>
      <c r="E37" s="620">
        <v>81.0</v>
      </c>
      <c r="F37" s="621">
        <v>92.0</v>
      </c>
      <c r="G37" s="622">
        <v>77.0</v>
      </c>
      <c r="H37" s="623">
        <v>85.0</v>
      </c>
      <c r="I37" s="624">
        <v>75.0</v>
      </c>
      <c r="J37" s="625">
        <v>85.0</v>
      </c>
      <c r="K37" s="626">
        <v>495.0</v>
      </c>
      <c r="L37" s="627">
        <v>81.0</v>
      </c>
      <c r="M37" s="621">
        <v>102.0</v>
      </c>
      <c r="N37" s="622">
        <v>77.0</v>
      </c>
      <c r="O37" s="623">
        <v>85.0</v>
      </c>
      <c r="P37" s="624">
        <v>75.0</v>
      </c>
      <c r="Q37" s="625">
        <v>85.0</v>
      </c>
      <c r="R37" s="628">
        <v>505.0</v>
      </c>
      <c r="S37" s="629">
        <v>81.0</v>
      </c>
      <c r="T37" s="621">
        <v>102.0</v>
      </c>
      <c r="U37" s="622">
        <v>77.0</v>
      </c>
      <c r="V37" s="623">
        <v>85.0</v>
      </c>
      <c r="W37" s="624">
        <v>75.0</v>
      </c>
      <c r="X37" s="625">
        <v>85.0</v>
      </c>
      <c r="Y37" s="628">
        <f t="shared" si="1"/>
        <v>505</v>
      </c>
      <c r="Z37" s="619"/>
      <c r="AA37" s="630" t="str">
        <f t="shared" si="2"/>
        <v>#NAME?</v>
      </c>
      <c r="AB37" s="631" t="s">
        <v>7</v>
      </c>
      <c r="AC37" s="632" t="str">
        <f t="shared" si="3"/>
        <v>#NAME?</v>
      </c>
      <c r="AD37" s="630" t="s">
        <v>79</v>
      </c>
      <c r="AE37" s="633" t="str">
        <f t="shared" si="4"/>
        <v>#NAME?</v>
      </c>
      <c r="AF37" s="631" t="s">
        <v>7</v>
      </c>
      <c r="AG37" s="632" t="str">
        <f t="shared" si="5"/>
        <v>#NAME?</v>
      </c>
      <c r="AH37" s="634" t="s">
        <v>79</v>
      </c>
      <c r="AI37" s="635" t="str">
        <f t="shared" si="6"/>
        <v>#NAME?</v>
      </c>
      <c r="AJ37" s="634" t="s">
        <v>7</v>
      </c>
      <c r="AK37" s="636" t="str">
        <f t="shared" si="7"/>
        <v>#NAME?</v>
      </c>
      <c r="AL37" s="637" t="s">
        <v>79</v>
      </c>
      <c r="AM37" s="619"/>
      <c r="AN37" s="638" t="s">
        <v>394</v>
      </c>
      <c r="AO37" s="639" t="s">
        <v>395</v>
      </c>
      <c r="AP37" s="712" t="s">
        <v>394</v>
      </c>
      <c r="AQ37" s="639" t="s">
        <v>395</v>
      </c>
      <c r="AR37" s="712" t="s">
        <v>394</v>
      </c>
      <c r="AS37" s="639" t="s">
        <v>395</v>
      </c>
      <c r="AT37" s="644"/>
      <c r="AU37" s="645"/>
      <c r="AV37" s="646"/>
      <c r="AW37" s="692"/>
      <c r="AX37" s="693"/>
      <c r="AY37" s="619"/>
      <c r="AZ37" s="698" t="s">
        <v>451</v>
      </c>
      <c r="BA37" s="699"/>
      <c r="BB37" s="690"/>
      <c r="BC37" s="619"/>
      <c r="BD37" s="651" t="s">
        <v>15</v>
      </c>
      <c r="BE37" s="653">
        <v>195.0</v>
      </c>
      <c r="BF37" s="653">
        <v>45.0</v>
      </c>
      <c r="BG37" s="654">
        <v>70.0</v>
      </c>
      <c r="BH37" s="653">
        <v>80.0</v>
      </c>
      <c r="BI37" s="607"/>
      <c r="BJ37" s="655" t="s">
        <v>397</v>
      </c>
      <c r="BK37" s="725">
        <v>0.0</v>
      </c>
      <c r="BL37" s="610"/>
      <c r="BM37" s="657" t="s">
        <v>14</v>
      </c>
      <c r="BN37" s="658" t="s">
        <v>277</v>
      </c>
      <c r="BO37" s="607"/>
      <c r="BP37" s="659" t="s">
        <v>453</v>
      </c>
      <c r="BQ37" s="614"/>
      <c r="BR37" s="660" t="s">
        <v>4434</v>
      </c>
      <c r="BS37" s="614"/>
    </row>
    <row r="38" ht="15.75" customHeight="1">
      <c r="A38" s="616"/>
      <c r="B38" s="661" t="s">
        <v>458</v>
      </c>
      <c r="C38" s="662"/>
      <c r="D38" s="571"/>
      <c r="E38" s="663">
        <v>70.0</v>
      </c>
      <c r="F38" s="664">
        <v>45.0</v>
      </c>
      <c r="G38" s="665">
        <v>48.0</v>
      </c>
      <c r="H38" s="666">
        <v>60.0</v>
      </c>
      <c r="I38" s="667">
        <v>65.0</v>
      </c>
      <c r="J38" s="668">
        <v>35.0</v>
      </c>
      <c r="K38" s="669">
        <v>323.0</v>
      </c>
      <c r="L38" s="670">
        <v>70.0</v>
      </c>
      <c r="M38" s="664">
        <v>45.0</v>
      </c>
      <c r="N38" s="665">
        <v>48.0</v>
      </c>
      <c r="O38" s="666">
        <v>60.0</v>
      </c>
      <c r="P38" s="667">
        <v>65.0</v>
      </c>
      <c r="Q38" s="668">
        <v>35.0</v>
      </c>
      <c r="R38" s="671">
        <v>323.0</v>
      </c>
      <c r="S38" s="672">
        <v>70.0</v>
      </c>
      <c r="T38" s="664">
        <v>45.0</v>
      </c>
      <c r="U38" s="665">
        <v>48.0</v>
      </c>
      <c r="V38" s="666">
        <v>60.0</v>
      </c>
      <c r="W38" s="667">
        <v>65.0</v>
      </c>
      <c r="X38" s="668">
        <v>35.0</v>
      </c>
      <c r="Y38" s="671">
        <f t="shared" si="1"/>
        <v>323</v>
      </c>
      <c r="Z38" s="571"/>
      <c r="AA38" s="673" t="str">
        <f t="shared" si="2"/>
        <v>#NAME?</v>
      </c>
      <c r="AB38" s="674" t="s">
        <v>156</v>
      </c>
      <c r="AC38" s="675" t="str">
        <f t="shared" si="3"/>
        <v>#NAME?</v>
      </c>
      <c r="AD38" s="680" t="s">
        <v>4428</v>
      </c>
      <c r="AE38" s="726" t="str">
        <f t="shared" si="4"/>
        <v>#NAME?</v>
      </c>
      <c r="AF38" s="727" t="s">
        <v>3017</v>
      </c>
      <c r="AG38" s="675" t="str">
        <f t="shared" si="5"/>
        <v>#NAME?</v>
      </c>
      <c r="AH38" s="586" t="s">
        <v>4428</v>
      </c>
      <c r="AI38" s="728" t="str">
        <f t="shared" si="6"/>
        <v>#NAME?</v>
      </c>
      <c r="AJ38" s="729" t="s">
        <v>3017</v>
      </c>
      <c r="AK38" s="584" t="str">
        <f t="shared" si="7"/>
        <v>#NAME?</v>
      </c>
      <c r="AL38" s="678" t="s">
        <v>4428</v>
      </c>
      <c r="AM38" s="571"/>
      <c r="AN38" s="679" t="s">
        <v>463</v>
      </c>
      <c r="AO38" s="680" t="s">
        <v>464</v>
      </c>
      <c r="AP38" s="705" t="s">
        <v>463</v>
      </c>
      <c r="AQ38" s="680" t="s">
        <v>464</v>
      </c>
      <c r="AR38" s="705" t="s">
        <v>463</v>
      </c>
      <c r="AS38" s="680" t="s">
        <v>464</v>
      </c>
      <c r="AT38" s="595"/>
      <c r="AU38" s="685" t="str">
        <f t="shared" ref="AU38:AU39" si="10">image("https://www.pokebip.com/pages/icones/objets/pierre-lune.png", 3)</f>
        <v/>
      </c>
      <c r="AV38" s="686" t="s">
        <v>470</v>
      </c>
      <c r="AW38" s="687"/>
      <c r="AX38" s="688"/>
      <c r="AY38" s="571"/>
      <c r="AZ38" s="689" t="s">
        <v>409</v>
      </c>
      <c r="BA38" s="690"/>
      <c r="BB38" s="696"/>
      <c r="BC38" s="571"/>
      <c r="BD38" s="651" t="s">
        <v>468</v>
      </c>
      <c r="BE38" s="653">
        <v>68.0</v>
      </c>
      <c r="BF38" s="653">
        <v>150.0</v>
      </c>
      <c r="BG38" s="654">
        <v>140.0</v>
      </c>
      <c r="BH38" s="653">
        <v>20.0</v>
      </c>
      <c r="BI38" s="607"/>
      <c r="BJ38" s="655" t="s">
        <v>466</v>
      </c>
      <c r="BK38" s="703" t="s">
        <v>467</v>
      </c>
      <c r="BL38" s="610"/>
      <c r="BM38" s="657" t="s">
        <v>153</v>
      </c>
      <c r="BN38" s="704"/>
      <c r="BO38" s="607"/>
      <c r="BP38" s="659" t="s">
        <v>469</v>
      </c>
      <c r="BQ38" s="614"/>
      <c r="BR38" s="660" t="s">
        <v>4435</v>
      </c>
      <c r="BS38" s="614"/>
    </row>
    <row r="39" ht="15.75" customHeight="1">
      <c r="A39" s="616"/>
      <c r="B39" s="617" t="s">
        <v>474</v>
      </c>
      <c r="C39" s="618"/>
      <c r="D39" s="619"/>
      <c r="E39" s="620">
        <v>95.0</v>
      </c>
      <c r="F39" s="621">
        <v>70.0</v>
      </c>
      <c r="G39" s="622">
        <v>73.0</v>
      </c>
      <c r="H39" s="623">
        <v>85.0</v>
      </c>
      <c r="I39" s="624">
        <v>90.0</v>
      </c>
      <c r="J39" s="625">
        <v>60.0</v>
      </c>
      <c r="K39" s="626">
        <v>473.0</v>
      </c>
      <c r="L39" s="627">
        <v>95.0</v>
      </c>
      <c r="M39" s="621">
        <v>70.0</v>
      </c>
      <c r="N39" s="622">
        <v>73.0</v>
      </c>
      <c r="O39" s="623">
        <v>95.0</v>
      </c>
      <c r="P39" s="624">
        <v>90.0</v>
      </c>
      <c r="Q39" s="625">
        <v>60.0</v>
      </c>
      <c r="R39" s="628">
        <v>483.0</v>
      </c>
      <c r="S39" s="629">
        <v>95.0</v>
      </c>
      <c r="T39" s="621">
        <v>70.0</v>
      </c>
      <c r="U39" s="622">
        <v>73.0</v>
      </c>
      <c r="V39" s="623">
        <v>95.0</v>
      </c>
      <c r="W39" s="624">
        <v>90.0</v>
      </c>
      <c r="X39" s="625">
        <v>60.0</v>
      </c>
      <c r="Y39" s="628">
        <f t="shared" si="1"/>
        <v>483</v>
      </c>
      <c r="Z39" s="619"/>
      <c r="AA39" s="630" t="str">
        <f t="shared" si="2"/>
        <v>#NAME?</v>
      </c>
      <c r="AB39" s="631" t="s">
        <v>156</v>
      </c>
      <c r="AC39" s="632" t="str">
        <f t="shared" si="3"/>
        <v>#NAME?</v>
      </c>
      <c r="AD39" s="639" t="s">
        <v>4428</v>
      </c>
      <c r="AE39" s="730" t="str">
        <f t="shared" si="4"/>
        <v>#NAME?</v>
      </c>
      <c r="AF39" s="731" t="s">
        <v>3017</v>
      </c>
      <c r="AG39" s="632" t="str">
        <f t="shared" si="5"/>
        <v>#NAME?</v>
      </c>
      <c r="AH39" s="634" t="s">
        <v>4428</v>
      </c>
      <c r="AI39" s="732" t="str">
        <f t="shared" si="6"/>
        <v>#NAME?</v>
      </c>
      <c r="AJ39" s="733" t="s">
        <v>3017</v>
      </c>
      <c r="AK39" s="636" t="str">
        <f t="shared" si="7"/>
        <v>#NAME?</v>
      </c>
      <c r="AL39" s="637" t="s">
        <v>4428</v>
      </c>
      <c r="AM39" s="619"/>
      <c r="AN39" s="638" t="s">
        <v>463</v>
      </c>
      <c r="AO39" s="639" t="s">
        <v>464</v>
      </c>
      <c r="AP39" s="712" t="s">
        <v>463</v>
      </c>
      <c r="AQ39" s="639" t="s">
        <v>464</v>
      </c>
      <c r="AR39" s="712" t="s">
        <v>463</v>
      </c>
      <c r="AS39" s="639" t="s">
        <v>464</v>
      </c>
      <c r="AT39" s="644"/>
      <c r="AU39" s="645" t="str">
        <f t="shared" si="10"/>
        <v/>
      </c>
      <c r="AV39" s="646" t="s">
        <v>470</v>
      </c>
      <c r="AW39" s="692"/>
      <c r="AX39" s="693"/>
      <c r="AY39" s="619"/>
      <c r="AZ39" s="698" t="s">
        <v>422</v>
      </c>
      <c r="BA39" s="699"/>
      <c r="BB39" s="690"/>
      <c r="BC39" s="619"/>
      <c r="BD39" s="651" t="s">
        <v>468</v>
      </c>
      <c r="BE39" s="653">
        <v>129.0</v>
      </c>
      <c r="BF39" s="653">
        <v>25.0</v>
      </c>
      <c r="BG39" s="654">
        <v>140.0</v>
      </c>
      <c r="BH39" s="653">
        <v>60.0</v>
      </c>
      <c r="BI39" s="607"/>
      <c r="BJ39" s="655" t="s">
        <v>466</v>
      </c>
      <c r="BK39" s="703" t="s">
        <v>467</v>
      </c>
      <c r="BL39" s="610"/>
      <c r="BM39" s="657" t="s">
        <v>153</v>
      </c>
      <c r="BN39" s="704"/>
      <c r="BO39" s="607"/>
      <c r="BP39" s="659" t="s">
        <v>479</v>
      </c>
      <c r="BQ39" s="614"/>
      <c r="BR39" s="660" t="s">
        <v>4435</v>
      </c>
      <c r="BS39" s="614"/>
    </row>
    <row r="40" ht="15.75" customHeight="1">
      <c r="A40" s="616"/>
      <c r="B40" s="661" t="s">
        <v>483</v>
      </c>
      <c r="C40" s="662"/>
      <c r="D40" s="571"/>
      <c r="E40" s="663">
        <v>38.0</v>
      </c>
      <c r="F40" s="664">
        <v>41.0</v>
      </c>
      <c r="G40" s="665">
        <v>40.0</v>
      </c>
      <c r="H40" s="666">
        <v>50.0</v>
      </c>
      <c r="I40" s="667">
        <v>65.0</v>
      </c>
      <c r="J40" s="668">
        <v>65.0</v>
      </c>
      <c r="K40" s="669">
        <v>299.0</v>
      </c>
      <c r="L40" s="670">
        <v>38.0</v>
      </c>
      <c r="M40" s="664">
        <v>41.0</v>
      </c>
      <c r="N40" s="665">
        <v>40.0</v>
      </c>
      <c r="O40" s="666">
        <v>50.0</v>
      </c>
      <c r="P40" s="667">
        <v>65.0</v>
      </c>
      <c r="Q40" s="668">
        <v>65.0</v>
      </c>
      <c r="R40" s="671">
        <v>299.0</v>
      </c>
      <c r="S40" s="672">
        <v>38.0</v>
      </c>
      <c r="T40" s="664">
        <v>41.0</v>
      </c>
      <c r="U40" s="665">
        <v>40.0</v>
      </c>
      <c r="V40" s="666">
        <v>50.0</v>
      </c>
      <c r="W40" s="667">
        <v>65.0</v>
      </c>
      <c r="X40" s="668">
        <v>65.0</v>
      </c>
      <c r="Y40" s="671">
        <f t="shared" si="1"/>
        <v>299</v>
      </c>
      <c r="Z40" s="571"/>
      <c r="AA40" s="673" t="str">
        <f t="shared" si="2"/>
        <v>#NAME?</v>
      </c>
      <c r="AB40" s="674" t="s">
        <v>34</v>
      </c>
      <c r="AC40" s="675" t="str">
        <f t="shared" si="3"/>
        <v>#NAME?</v>
      </c>
      <c r="AD40" s="680" t="s">
        <v>4428</v>
      </c>
      <c r="AE40" s="676" t="str">
        <f t="shared" si="4"/>
        <v>#NAME?</v>
      </c>
      <c r="AF40" s="674" t="s">
        <v>34</v>
      </c>
      <c r="AG40" s="675" t="str">
        <f t="shared" si="5"/>
        <v>#NAME?</v>
      </c>
      <c r="AH40" s="586" t="s">
        <v>4428</v>
      </c>
      <c r="AI40" s="677" t="str">
        <f t="shared" si="6"/>
        <v>#NAME?</v>
      </c>
      <c r="AJ40" s="586" t="s">
        <v>34</v>
      </c>
      <c r="AK40" s="584" t="str">
        <f t="shared" si="7"/>
        <v>#NAME?</v>
      </c>
      <c r="AL40" s="678" t="s">
        <v>4428</v>
      </c>
      <c r="AM40" s="571"/>
      <c r="AN40" s="679" t="s">
        <v>486</v>
      </c>
      <c r="AO40" s="680"/>
      <c r="AP40" s="734" t="s">
        <v>488</v>
      </c>
      <c r="AQ40" s="735" t="s">
        <v>486</v>
      </c>
      <c r="AR40" s="736" t="s">
        <v>488</v>
      </c>
      <c r="AS40" s="737" t="s">
        <v>486</v>
      </c>
      <c r="AT40" s="595"/>
      <c r="AU40" s="685"/>
      <c r="AV40" s="686"/>
      <c r="AW40" s="687"/>
      <c r="AX40" s="688"/>
      <c r="AY40" s="571"/>
      <c r="AZ40" s="695" t="s">
        <v>56</v>
      </c>
      <c r="BA40" s="700"/>
      <c r="BB40" s="690"/>
      <c r="BC40" s="571"/>
      <c r="BD40" s="651" t="s">
        <v>150</v>
      </c>
      <c r="BE40" s="653">
        <v>63.0</v>
      </c>
      <c r="BF40" s="653">
        <v>190.0</v>
      </c>
      <c r="BG40" s="654">
        <v>70.0</v>
      </c>
      <c r="BH40" s="653">
        <v>20.0</v>
      </c>
      <c r="BI40" s="607"/>
      <c r="BJ40" s="655" t="s">
        <v>466</v>
      </c>
      <c r="BK40" s="703" t="s">
        <v>467</v>
      </c>
      <c r="BL40" s="610"/>
      <c r="BM40" s="657" t="s">
        <v>277</v>
      </c>
      <c r="BN40" s="704"/>
      <c r="BO40" s="607"/>
      <c r="BP40" s="659" t="s">
        <v>489</v>
      </c>
      <c r="BQ40" s="614"/>
      <c r="BR40" s="660" t="s">
        <v>4432</v>
      </c>
      <c r="BS40" s="614"/>
    </row>
    <row r="41" ht="15.75" customHeight="1">
      <c r="A41" s="616"/>
      <c r="B41" s="617" t="s">
        <v>493</v>
      </c>
      <c r="C41" s="618"/>
      <c r="D41" s="619"/>
      <c r="E41" s="620">
        <v>73.0</v>
      </c>
      <c r="F41" s="621">
        <v>76.0</v>
      </c>
      <c r="G41" s="622">
        <v>75.0</v>
      </c>
      <c r="H41" s="623">
        <v>81.0</v>
      </c>
      <c r="I41" s="624">
        <v>100.0</v>
      </c>
      <c r="J41" s="625">
        <v>100.0</v>
      </c>
      <c r="K41" s="626">
        <v>505.0</v>
      </c>
      <c r="L41" s="627">
        <v>73.0</v>
      </c>
      <c r="M41" s="621">
        <v>76.0</v>
      </c>
      <c r="N41" s="622">
        <v>75.0</v>
      </c>
      <c r="O41" s="623">
        <v>81.0</v>
      </c>
      <c r="P41" s="624">
        <v>100.0</v>
      </c>
      <c r="Q41" s="625">
        <v>100.0</v>
      </c>
      <c r="R41" s="628">
        <v>505.0</v>
      </c>
      <c r="S41" s="629">
        <v>73.0</v>
      </c>
      <c r="T41" s="621">
        <v>67.0</v>
      </c>
      <c r="U41" s="622">
        <v>75.0</v>
      </c>
      <c r="V41" s="623">
        <v>81.0</v>
      </c>
      <c r="W41" s="624">
        <v>100.0</v>
      </c>
      <c r="X41" s="625">
        <v>109.0</v>
      </c>
      <c r="Y41" s="628">
        <f t="shared" si="1"/>
        <v>505</v>
      </c>
      <c r="Z41" s="619"/>
      <c r="AA41" s="630" t="str">
        <f t="shared" si="2"/>
        <v>#NAME?</v>
      </c>
      <c r="AB41" s="631" t="s">
        <v>34</v>
      </c>
      <c r="AC41" s="632" t="str">
        <f t="shared" si="3"/>
        <v>#NAME?</v>
      </c>
      <c r="AD41" s="639" t="s">
        <v>4428</v>
      </c>
      <c r="AE41" s="633" t="str">
        <f t="shared" si="4"/>
        <v>#NAME?</v>
      </c>
      <c r="AF41" s="631" t="s">
        <v>34</v>
      </c>
      <c r="AG41" s="632" t="str">
        <f t="shared" si="5"/>
        <v>#NAME?</v>
      </c>
      <c r="AH41" s="634" t="s">
        <v>4428</v>
      </c>
      <c r="AI41" s="635" t="str">
        <f t="shared" si="6"/>
        <v>#NAME?</v>
      </c>
      <c r="AJ41" s="634" t="s">
        <v>34</v>
      </c>
      <c r="AK41" s="738" t="str">
        <f t="shared" si="7"/>
        <v>#NAME?</v>
      </c>
      <c r="AL41" s="739" t="s">
        <v>3017</v>
      </c>
      <c r="AM41" s="619"/>
      <c r="AN41" s="638" t="s">
        <v>486</v>
      </c>
      <c r="AO41" s="639"/>
      <c r="AP41" s="701" t="s">
        <v>488</v>
      </c>
      <c r="AQ41" s="740" t="s">
        <v>486</v>
      </c>
      <c r="AR41" s="702" t="s">
        <v>488</v>
      </c>
      <c r="AS41" s="643" t="s">
        <v>486</v>
      </c>
      <c r="AT41" s="644"/>
      <c r="AU41" s="645"/>
      <c r="AV41" s="646"/>
      <c r="AW41" s="692"/>
      <c r="AX41" s="693"/>
      <c r="AY41" s="619"/>
      <c r="AZ41" s="648" t="s">
        <v>27</v>
      </c>
      <c r="BA41" s="649" t="s">
        <v>56</v>
      </c>
      <c r="BB41" s="650"/>
      <c r="BC41" s="619"/>
      <c r="BD41" s="651" t="s">
        <v>150</v>
      </c>
      <c r="BE41" s="653">
        <v>178.0</v>
      </c>
      <c r="BF41" s="653">
        <v>75.0</v>
      </c>
      <c r="BG41" s="654">
        <v>70.0</v>
      </c>
      <c r="BH41" s="653">
        <v>40.0</v>
      </c>
      <c r="BI41" s="607"/>
      <c r="BJ41" s="655" t="s">
        <v>466</v>
      </c>
      <c r="BK41" s="703" t="s">
        <v>467</v>
      </c>
      <c r="BL41" s="610"/>
      <c r="BM41" s="657" t="s">
        <v>277</v>
      </c>
      <c r="BN41" s="704"/>
      <c r="BO41" s="607"/>
      <c r="BP41" s="659" t="s">
        <v>501</v>
      </c>
      <c r="BQ41" s="614"/>
      <c r="BR41" s="660" t="s">
        <v>4433</v>
      </c>
      <c r="BS41" s="614"/>
    </row>
    <row r="42" ht="15.75" customHeight="1">
      <c r="A42" s="616"/>
      <c r="B42" s="661" t="s">
        <v>504</v>
      </c>
      <c r="C42" s="662"/>
      <c r="D42" s="571"/>
      <c r="E42" s="672">
        <v>115.0</v>
      </c>
      <c r="F42" s="664">
        <v>45.0</v>
      </c>
      <c r="G42" s="665">
        <v>20.0</v>
      </c>
      <c r="H42" s="666">
        <v>45.0</v>
      </c>
      <c r="I42" s="667">
        <v>25.0</v>
      </c>
      <c r="J42" s="668">
        <v>20.0</v>
      </c>
      <c r="K42" s="669">
        <v>270.0</v>
      </c>
      <c r="L42" s="670">
        <v>115.0</v>
      </c>
      <c r="M42" s="664">
        <v>45.0</v>
      </c>
      <c r="N42" s="665">
        <v>20.0</v>
      </c>
      <c r="O42" s="666">
        <v>45.0</v>
      </c>
      <c r="P42" s="667">
        <v>25.0</v>
      </c>
      <c r="Q42" s="668">
        <v>20.0</v>
      </c>
      <c r="R42" s="671">
        <v>270.0</v>
      </c>
      <c r="S42" s="672">
        <v>115.0</v>
      </c>
      <c r="T42" s="741">
        <v>55.0</v>
      </c>
      <c r="U42" s="742">
        <v>30.0</v>
      </c>
      <c r="V42" s="743">
        <v>55.0</v>
      </c>
      <c r="W42" s="744">
        <v>35.0</v>
      </c>
      <c r="X42" s="745">
        <v>30.0</v>
      </c>
      <c r="Y42" s="671">
        <f t="shared" si="1"/>
        <v>320</v>
      </c>
      <c r="Z42" s="571"/>
      <c r="AA42" s="673" t="str">
        <f t="shared" si="2"/>
        <v>#NAME?</v>
      </c>
      <c r="AB42" s="674" t="s">
        <v>156</v>
      </c>
      <c r="AC42" s="675" t="str">
        <f t="shared" si="3"/>
        <v>#NAME?</v>
      </c>
      <c r="AD42" s="680" t="s">
        <v>4428</v>
      </c>
      <c r="AE42" s="676" t="str">
        <f t="shared" si="4"/>
        <v>#NAME?</v>
      </c>
      <c r="AF42" s="674" t="s">
        <v>156</v>
      </c>
      <c r="AG42" s="675" t="str">
        <f t="shared" si="5"/>
        <v>#NAME?</v>
      </c>
      <c r="AH42" s="586" t="s">
        <v>4428</v>
      </c>
      <c r="AI42" s="677" t="str">
        <f t="shared" si="6"/>
        <v>#NAME?</v>
      </c>
      <c r="AJ42" s="586" t="s">
        <v>156</v>
      </c>
      <c r="AK42" s="746" t="str">
        <f t="shared" si="7"/>
        <v>#NAME?</v>
      </c>
      <c r="AL42" s="747" t="s">
        <v>3017</v>
      </c>
      <c r="AM42" s="571"/>
      <c r="AN42" s="679" t="s">
        <v>463</v>
      </c>
      <c r="AO42" s="680"/>
      <c r="AP42" s="705" t="s">
        <v>463</v>
      </c>
      <c r="AQ42" s="680"/>
      <c r="AR42" s="705" t="s">
        <v>463</v>
      </c>
      <c r="AS42" s="707" t="s">
        <v>511</v>
      </c>
      <c r="AT42" s="595"/>
      <c r="AU42" s="685" t="str">
        <f t="shared" ref="AU42:AU43" si="11">image("https://www.pokebip.com/pages/icones/objets/pierre-lune.png", 3)</f>
        <v/>
      </c>
      <c r="AV42" s="686" t="s">
        <v>470</v>
      </c>
      <c r="AW42" s="687"/>
      <c r="AX42" s="688"/>
      <c r="AY42" s="571"/>
      <c r="AZ42" s="689" t="s">
        <v>409</v>
      </c>
      <c r="BA42" s="690"/>
      <c r="BB42" s="696"/>
      <c r="BC42" s="571"/>
      <c r="BD42" s="651" t="s">
        <v>468</v>
      </c>
      <c r="BE42" s="653">
        <v>76.0</v>
      </c>
      <c r="BF42" s="653">
        <v>170.0</v>
      </c>
      <c r="BG42" s="654">
        <v>70.0</v>
      </c>
      <c r="BH42" s="653">
        <v>20.0</v>
      </c>
      <c r="BI42" s="607"/>
      <c r="BJ42" s="655" t="s">
        <v>466</v>
      </c>
      <c r="BK42" s="703" t="s">
        <v>467</v>
      </c>
      <c r="BL42" s="610"/>
      <c r="BM42" s="657" t="s">
        <v>153</v>
      </c>
      <c r="BN42" s="704"/>
      <c r="BO42" s="607"/>
      <c r="BP42" s="659" t="s">
        <v>513</v>
      </c>
      <c r="BQ42" s="614"/>
      <c r="BR42" s="660" t="s">
        <v>4435</v>
      </c>
      <c r="BS42" s="614"/>
    </row>
    <row r="43" ht="15.75" customHeight="1">
      <c r="A43" s="616"/>
      <c r="B43" s="617" t="s">
        <v>518</v>
      </c>
      <c r="C43" s="618"/>
      <c r="D43" s="619"/>
      <c r="E43" s="629">
        <v>140.0</v>
      </c>
      <c r="F43" s="621">
        <v>70.0</v>
      </c>
      <c r="G43" s="622">
        <v>45.0</v>
      </c>
      <c r="H43" s="748">
        <v>75.0</v>
      </c>
      <c r="I43" s="624">
        <v>50.0</v>
      </c>
      <c r="J43" s="625">
        <v>45.0</v>
      </c>
      <c r="K43" s="749">
        <v>425.0</v>
      </c>
      <c r="L43" s="627">
        <v>140.0</v>
      </c>
      <c r="M43" s="621">
        <v>70.0</v>
      </c>
      <c r="N43" s="622">
        <v>45.0</v>
      </c>
      <c r="O43" s="623">
        <v>85.0</v>
      </c>
      <c r="P43" s="624">
        <v>50.0</v>
      </c>
      <c r="Q43" s="625">
        <v>45.0</v>
      </c>
      <c r="R43" s="628">
        <v>435.0</v>
      </c>
      <c r="S43" s="629">
        <v>140.0</v>
      </c>
      <c r="T43" s="750">
        <v>80.0</v>
      </c>
      <c r="U43" s="751">
        <v>55.0</v>
      </c>
      <c r="V43" s="748">
        <v>95.0</v>
      </c>
      <c r="W43" s="752">
        <v>60.0</v>
      </c>
      <c r="X43" s="753">
        <v>55.0</v>
      </c>
      <c r="Y43" s="628">
        <f t="shared" si="1"/>
        <v>485</v>
      </c>
      <c r="Z43" s="619"/>
      <c r="AA43" s="630" t="str">
        <f t="shared" si="2"/>
        <v>#NAME?</v>
      </c>
      <c r="AB43" s="631" t="s">
        <v>156</v>
      </c>
      <c r="AC43" s="632" t="str">
        <f t="shared" si="3"/>
        <v>#NAME?</v>
      </c>
      <c r="AD43" s="639" t="s">
        <v>4428</v>
      </c>
      <c r="AE43" s="633" t="str">
        <f t="shared" si="4"/>
        <v>#NAME?</v>
      </c>
      <c r="AF43" s="631" t="s">
        <v>156</v>
      </c>
      <c r="AG43" s="632" t="str">
        <f t="shared" si="5"/>
        <v>#NAME?</v>
      </c>
      <c r="AH43" s="634" t="s">
        <v>4428</v>
      </c>
      <c r="AI43" s="635" t="str">
        <f t="shared" si="6"/>
        <v>#NAME?</v>
      </c>
      <c r="AJ43" s="634" t="s">
        <v>156</v>
      </c>
      <c r="AK43" s="754" t="str">
        <f t="shared" si="7"/>
        <v>#NAME?</v>
      </c>
      <c r="AL43" s="755" t="s">
        <v>3017</v>
      </c>
      <c r="AM43" s="619"/>
      <c r="AN43" s="638" t="s">
        <v>463</v>
      </c>
      <c r="AO43" s="639"/>
      <c r="AP43" s="712" t="s">
        <v>463</v>
      </c>
      <c r="AQ43" s="639"/>
      <c r="AR43" s="712" t="s">
        <v>463</v>
      </c>
      <c r="AS43" s="723" t="s">
        <v>511</v>
      </c>
      <c r="AT43" s="644"/>
      <c r="AU43" s="645" t="str">
        <f t="shared" si="11"/>
        <v/>
      </c>
      <c r="AV43" s="646" t="s">
        <v>470</v>
      </c>
      <c r="AW43" s="692"/>
      <c r="AX43" s="693"/>
      <c r="AY43" s="619"/>
      <c r="AZ43" s="698" t="s">
        <v>422</v>
      </c>
      <c r="BA43" s="699"/>
      <c r="BB43" s="690"/>
      <c r="BC43" s="619"/>
      <c r="BD43" s="651" t="s">
        <v>468</v>
      </c>
      <c r="BE43" s="653">
        <v>109.0</v>
      </c>
      <c r="BF43" s="653">
        <v>50.0</v>
      </c>
      <c r="BG43" s="654">
        <v>70.0</v>
      </c>
      <c r="BH43" s="653">
        <v>40.0</v>
      </c>
      <c r="BI43" s="607"/>
      <c r="BJ43" s="655" t="s">
        <v>466</v>
      </c>
      <c r="BK43" s="703" t="s">
        <v>467</v>
      </c>
      <c r="BL43" s="610"/>
      <c r="BM43" s="657" t="s">
        <v>153</v>
      </c>
      <c r="BN43" s="704"/>
      <c r="BO43" s="607"/>
      <c r="BP43" s="659" t="s">
        <v>522</v>
      </c>
      <c r="BQ43" s="614"/>
      <c r="BR43" s="660" t="s">
        <v>4435</v>
      </c>
      <c r="BS43" s="614"/>
    </row>
    <row r="44" ht="15.75" customHeight="1">
      <c r="A44" s="616"/>
      <c r="B44" s="661" t="s">
        <v>526</v>
      </c>
      <c r="C44" s="662"/>
      <c r="D44" s="571"/>
      <c r="E44" s="672">
        <v>40.0</v>
      </c>
      <c r="F44" s="664">
        <v>45.0</v>
      </c>
      <c r="G44" s="665">
        <v>35.0</v>
      </c>
      <c r="H44" s="666">
        <v>30.0</v>
      </c>
      <c r="I44" s="667">
        <v>40.0</v>
      </c>
      <c r="J44" s="668">
        <v>55.0</v>
      </c>
      <c r="K44" s="669">
        <v>245.0</v>
      </c>
      <c r="L44" s="670">
        <v>40.0</v>
      </c>
      <c r="M44" s="664">
        <v>45.0</v>
      </c>
      <c r="N44" s="665">
        <v>35.0</v>
      </c>
      <c r="O44" s="666">
        <v>30.0</v>
      </c>
      <c r="P44" s="667">
        <v>40.0</v>
      </c>
      <c r="Q44" s="668">
        <v>55.0</v>
      </c>
      <c r="R44" s="671">
        <v>245.0</v>
      </c>
      <c r="S44" s="672">
        <v>40.0</v>
      </c>
      <c r="T44" s="664">
        <v>45.0</v>
      </c>
      <c r="U44" s="665">
        <v>35.0</v>
      </c>
      <c r="V44" s="666">
        <v>30.0</v>
      </c>
      <c r="W44" s="667">
        <v>40.0</v>
      </c>
      <c r="X44" s="668">
        <v>55.0</v>
      </c>
      <c r="Y44" s="671">
        <f t="shared" si="1"/>
        <v>245</v>
      </c>
      <c r="Z44" s="571"/>
      <c r="AA44" s="673" t="str">
        <f t="shared" si="2"/>
        <v>#NAME?</v>
      </c>
      <c r="AB44" s="674" t="s">
        <v>7</v>
      </c>
      <c r="AC44" s="675" t="str">
        <f t="shared" si="3"/>
        <v>#NAME?</v>
      </c>
      <c r="AD44" s="673" t="s">
        <v>18</v>
      </c>
      <c r="AE44" s="676" t="str">
        <f t="shared" si="4"/>
        <v>#NAME?</v>
      </c>
      <c r="AF44" s="674" t="s">
        <v>7</v>
      </c>
      <c r="AG44" s="675" t="str">
        <f t="shared" si="5"/>
        <v>#NAME?</v>
      </c>
      <c r="AH44" s="586" t="s">
        <v>18</v>
      </c>
      <c r="AI44" s="677" t="str">
        <f t="shared" si="6"/>
        <v>#NAME?</v>
      </c>
      <c r="AJ44" s="586" t="s">
        <v>7</v>
      </c>
      <c r="AK44" s="584" t="str">
        <f t="shared" si="7"/>
        <v>#NAME?</v>
      </c>
      <c r="AL44" s="678" t="s">
        <v>18</v>
      </c>
      <c r="AM44" s="571"/>
      <c r="AN44" s="679" t="s">
        <v>530</v>
      </c>
      <c r="AO44" s="680"/>
      <c r="AP44" s="705" t="s">
        <v>530</v>
      </c>
      <c r="AQ44" s="680"/>
      <c r="AR44" s="705" t="s">
        <v>530</v>
      </c>
      <c r="AS44" s="680"/>
      <c r="AT44" s="595"/>
      <c r="AU44" s="685"/>
      <c r="AV44" s="686"/>
      <c r="AW44" s="687"/>
      <c r="AX44" s="688"/>
      <c r="AY44" s="571"/>
      <c r="AZ44" s="695" t="s">
        <v>56</v>
      </c>
      <c r="BA44" s="700"/>
      <c r="BB44" s="690"/>
      <c r="BC44" s="571"/>
      <c r="BD44" s="651" t="s">
        <v>150</v>
      </c>
      <c r="BE44" s="653">
        <v>54.0</v>
      </c>
      <c r="BF44" s="653">
        <v>255.0</v>
      </c>
      <c r="BG44" s="654">
        <v>70.0</v>
      </c>
      <c r="BH44" s="653">
        <v>20.0</v>
      </c>
      <c r="BI44" s="607"/>
      <c r="BJ44" s="655" t="s">
        <v>149</v>
      </c>
      <c r="BK44" s="703" t="s">
        <v>149</v>
      </c>
      <c r="BL44" s="610"/>
      <c r="BM44" s="657" t="s">
        <v>18</v>
      </c>
      <c r="BN44" s="704"/>
      <c r="BO44" s="607"/>
      <c r="BP44" s="659" t="s">
        <v>531</v>
      </c>
      <c r="BQ44" s="614"/>
      <c r="BR44" s="660" t="s">
        <v>4434</v>
      </c>
      <c r="BS44" s="614"/>
    </row>
    <row r="45" ht="15.75" customHeight="1">
      <c r="A45" s="616"/>
      <c r="B45" s="617" t="s">
        <v>535</v>
      </c>
      <c r="C45" s="618"/>
      <c r="D45" s="619"/>
      <c r="E45" s="629">
        <v>75.0</v>
      </c>
      <c r="F45" s="621">
        <v>80.0</v>
      </c>
      <c r="G45" s="622">
        <v>70.0</v>
      </c>
      <c r="H45" s="623">
        <v>65.0</v>
      </c>
      <c r="I45" s="624">
        <v>75.0</v>
      </c>
      <c r="J45" s="625">
        <v>90.0</v>
      </c>
      <c r="K45" s="626">
        <v>455.0</v>
      </c>
      <c r="L45" s="627">
        <v>75.0</v>
      </c>
      <c r="M45" s="621">
        <v>80.0</v>
      </c>
      <c r="N45" s="622">
        <v>70.0</v>
      </c>
      <c r="O45" s="623">
        <v>65.0</v>
      </c>
      <c r="P45" s="624">
        <v>75.0</v>
      </c>
      <c r="Q45" s="625">
        <v>90.0</v>
      </c>
      <c r="R45" s="628">
        <v>455.0</v>
      </c>
      <c r="S45" s="629">
        <v>75.0</v>
      </c>
      <c r="T45" s="621">
        <v>80.0</v>
      </c>
      <c r="U45" s="622">
        <v>70.0</v>
      </c>
      <c r="V45" s="623">
        <v>65.0</v>
      </c>
      <c r="W45" s="624">
        <v>75.0</v>
      </c>
      <c r="X45" s="625">
        <v>90.0</v>
      </c>
      <c r="Y45" s="628">
        <f t="shared" si="1"/>
        <v>455</v>
      </c>
      <c r="Z45" s="619"/>
      <c r="AA45" s="630" t="str">
        <f t="shared" si="2"/>
        <v>#NAME?</v>
      </c>
      <c r="AB45" s="631" t="s">
        <v>7</v>
      </c>
      <c r="AC45" s="632" t="str">
        <f t="shared" si="3"/>
        <v>#NAME?</v>
      </c>
      <c r="AD45" s="630" t="s">
        <v>18</v>
      </c>
      <c r="AE45" s="633" t="str">
        <f t="shared" si="4"/>
        <v>#NAME?</v>
      </c>
      <c r="AF45" s="631" t="s">
        <v>7</v>
      </c>
      <c r="AG45" s="632" t="str">
        <f t="shared" si="5"/>
        <v>#NAME?</v>
      </c>
      <c r="AH45" s="634" t="s">
        <v>18</v>
      </c>
      <c r="AI45" s="635" t="str">
        <f t="shared" si="6"/>
        <v>#NAME?</v>
      </c>
      <c r="AJ45" s="634" t="s">
        <v>7</v>
      </c>
      <c r="AK45" s="636" t="str">
        <f t="shared" si="7"/>
        <v>#NAME?</v>
      </c>
      <c r="AL45" s="637" t="s">
        <v>18</v>
      </c>
      <c r="AM45" s="619"/>
      <c r="AN45" s="638" t="s">
        <v>530</v>
      </c>
      <c r="AO45" s="639"/>
      <c r="AP45" s="712" t="s">
        <v>530</v>
      </c>
      <c r="AQ45" s="639"/>
      <c r="AR45" s="712" t="s">
        <v>530</v>
      </c>
      <c r="AS45" s="639"/>
      <c r="AT45" s="644"/>
      <c r="AU45" s="645"/>
      <c r="AV45" s="646"/>
      <c r="AW45" s="692"/>
      <c r="AX45" s="693"/>
      <c r="AY45" s="619"/>
      <c r="AZ45" s="698" t="s">
        <v>248</v>
      </c>
      <c r="BA45" s="690"/>
      <c r="BB45" s="650"/>
      <c r="BC45" s="619"/>
      <c r="BD45" s="651" t="s">
        <v>150</v>
      </c>
      <c r="BE45" s="653">
        <v>171.0</v>
      </c>
      <c r="BF45" s="653">
        <v>90.0</v>
      </c>
      <c r="BG45" s="654">
        <v>70.0</v>
      </c>
      <c r="BH45" s="653">
        <v>80.0</v>
      </c>
      <c r="BI45" s="607"/>
      <c r="BJ45" s="655" t="s">
        <v>149</v>
      </c>
      <c r="BK45" s="703" t="s">
        <v>149</v>
      </c>
      <c r="BL45" s="610"/>
      <c r="BM45" s="657" t="s">
        <v>18</v>
      </c>
      <c r="BN45" s="704"/>
      <c r="BO45" s="607"/>
      <c r="BP45" s="659" t="s">
        <v>539</v>
      </c>
      <c r="BQ45" s="614"/>
      <c r="BR45" s="660" t="s">
        <v>4434</v>
      </c>
      <c r="BS45" s="614"/>
    </row>
    <row r="46" ht="15.75" customHeight="1">
      <c r="A46" s="616"/>
      <c r="B46" s="661" t="s">
        <v>543</v>
      </c>
      <c r="C46" s="662"/>
      <c r="D46" s="571"/>
      <c r="E46" s="672">
        <v>45.0</v>
      </c>
      <c r="F46" s="664">
        <v>50.0</v>
      </c>
      <c r="G46" s="665">
        <v>55.0</v>
      </c>
      <c r="H46" s="666">
        <v>75.0</v>
      </c>
      <c r="I46" s="667">
        <v>65.0</v>
      </c>
      <c r="J46" s="668">
        <v>30.0</v>
      </c>
      <c r="K46" s="669">
        <v>320.0</v>
      </c>
      <c r="L46" s="670">
        <v>45.0</v>
      </c>
      <c r="M46" s="664">
        <v>50.0</v>
      </c>
      <c r="N46" s="665">
        <v>55.0</v>
      </c>
      <c r="O46" s="666">
        <v>75.0</v>
      </c>
      <c r="P46" s="667">
        <v>65.0</v>
      </c>
      <c r="Q46" s="668">
        <v>30.0</v>
      </c>
      <c r="R46" s="671">
        <v>320.0</v>
      </c>
      <c r="S46" s="672">
        <v>45.0</v>
      </c>
      <c r="T46" s="664">
        <v>50.0</v>
      </c>
      <c r="U46" s="665">
        <v>55.0</v>
      </c>
      <c r="V46" s="666">
        <v>75.0</v>
      </c>
      <c r="W46" s="667">
        <v>65.0</v>
      </c>
      <c r="X46" s="668">
        <v>30.0</v>
      </c>
      <c r="Y46" s="671">
        <f t="shared" si="1"/>
        <v>320</v>
      </c>
      <c r="Z46" s="571"/>
      <c r="AA46" s="673" t="str">
        <f t="shared" si="2"/>
        <v>#NAME?</v>
      </c>
      <c r="AB46" s="674" t="s">
        <v>6</v>
      </c>
      <c r="AC46" s="675" t="str">
        <f t="shared" si="3"/>
        <v>#NAME?</v>
      </c>
      <c r="AD46" s="673" t="s">
        <v>7</v>
      </c>
      <c r="AE46" s="676" t="str">
        <f t="shared" si="4"/>
        <v>#NAME?</v>
      </c>
      <c r="AF46" s="674" t="s">
        <v>6</v>
      </c>
      <c r="AG46" s="675" t="str">
        <f t="shared" si="5"/>
        <v>#NAME?</v>
      </c>
      <c r="AH46" s="586" t="s">
        <v>7</v>
      </c>
      <c r="AI46" s="677" t="str">
        <f t="shared" si="6"/>
        <v>#NAME?</v>
      </c>
      <c r="AJ46" s="586" t="s">
        <v>6</v>
      </c>
      <c r="AK46" s="584" t="str">
        <f t="shared" si="7"/>
        <v>#NAME?</v>
      </c>
      <c r="AL46" s="678" t="s">
        <v>7</v>
      </c>
      <c r="AM46" s="571"/>
      <c r="AN46" s="679" t="s">
        <v>43</v>
      </c>
      <c r="AO46" s="680"/>
      <c r="AP46" s="705" t="s">
        <v>43</v>
      </c>
      <c r="AQ46" s="722" t="s">
        <v>147</v>
      </c>
      <c r="AR46" s="705" t="s">
        <v>43</v>
      </c>
      <c r="AS46" s="722" t="s">
        <v>147</v>
      </c>
      <c r="AT46" s="595"/>
      <c r="AU46" s="685"/>
      <c r="AV46" s="686"/>
      <c r="AW46" s="687"/>
      <c r="AX46" s="688"/>
      <c r="AY46" s="571"/>
      <c r="AZ46" s="695" t="s">
        <v>4</v>
      </c>
      <c r="BA46" s="700"/>
      <c r="BB46" s="690"/>
      <c r="BC46" s="571"/>
      <c r="BD46" s="651" t="s">
        <v>15</v>
      </c>
      <c r="BE46" s="653">
        <v>78.0</v>
      </c>
      <c r="BF46" s="653">
        <v>255.0</v>
      </c>
      <c r="BG46" s="654">
        <v>70.0</v>
      </c>
      <c r="BH46" s="653">
        <v>20.0</v>
      </c>
      <c r="BI46" s="607"/>
      <c r="BJ46" s="655" t="s">
        <v>149</v>
      </c>
      <c r="BK46" s="703" t="s">
        <v>149</v>
      </c>
      <c r="BL46" s="610"/>
      <c r="BM46" s="657" t="s">
        <v>6</v>
      </c>
      <c r="BN46" s="704"/>
      <c r="BO46" s="607"/>
      <c r="BP46" s="659" t="s">
        <v>547</v>
      </c>
      <c r="BQ46" s="614"/>
      <c r="BR46" s="660" t="s">
        <v>4430</v>
      </c>
      <c r="BS46" s="614"/>
    </row>
    <row r="47" ht="15.75" customHeight="1">
      <c r="A47" s="616"/>
      <c r="B47" s="617" t="s">
        <v>550</v>
      </c>
      <c r="C47" s="618"/>
      <c r="D47" s="619"/>
      <c r="E47" s="629">
        <v>60.0</v>
      </c>
      <c r="F47" s="750">
        <v>65.0</v>
      </c>
      <c r="G47" s="622">
        <v>70.0</v>
      </c>
      <c r="H47" s="623">
        <v>85.0</v>
      </c>
      <c r="I47" s="624">
        <v>75.0</v>
      </c>
      <c r="J47" s="625">
        <v>40.0</v>
      </c>
      <c r="K47" s="749">
        <v>395.0</v>
      </c>
      <c r="L47" s="627">
        <v>60.0</v>
      </c>
      <c r="M47" s="621">
        <v>65.0</v>
      </c>
      <c r="N47" s="622">
        <v>70.0</v>
      </c>
      <c r="O47" s="623">
        <v>85.0</v>
      </c>
      <c r="P47" s="624">
        <v>75.0</v>
      </c>
      <c r="Q47" s="625">
        <v>40.0</v>
      </c>
      <c r="R47" s="628">
        <v>395.0</v>
      </c>
      <c r="S47" s="629">
        <v>60.0</v>
      </c>
      <c r="T47" s="621">
        <v>65.0</v>
      </c>
      <c r="U47" s="622">
        <v>70.0</v>
      </c>
      <c r="V47" s="623">
        <v>85.0</v>
      </c>
      <c r="W47" s="624">
        <v>75.0</v>
      </c>
      <c r="X47" s="625">
        <v>40.0</v>
      </c>
      <c r="Y47" s="628">
        <f t="shared" si="1"/>
        <v>395</v>
      </c>
      <c r="Z47" s="619"/>
      <c r="AA47" s="630" t="str">
        <f t="shared" si="2"/>
        <v>#NAME?</v>
      </c>
      <c r="AB47" s="631" t="s">
        <v>6</v>
      </c>
      <c r="AC47" s="632" t="str">
        <f t="shared" si="3"/>
        <v>#NAME?</v>
      </c>
      <c r="AD47" s="630" t="s">
        <v>7</v>
      </c>
      <c r="AE47" s="633" t="str">
        <f t="shared" si="4"/>
        <v>#NAME?</v>
      </c>
      <c r="AF47" s="631" t="s">
        <v>6</v>
      </c>
      <c r="AG47" s="632" t="str">
        <f t="shared" si="5"/>
        <v>#NAME?</v>
      </c>
      <c r="AH47" s="634" t="s">
        <v>7</v>
      </c>
      <c r="AI47" s="635" t="str">
        <f t="shared" si="6"/>
        <v>#NAME?</v>
      </c>
      <c r="AJ47" s="634" t="s">
        <v>6</v>
      </c>
      <c r="AK47" s="636" t="str">
        <f t="shared" si="7"/>
        <v>#NAME?</v>
      </c>
      <c r="AL47" s="637" t="s">
        <v>7</v>
      </c>
      <c r="AM47" s="619"/>
      <c r="AN47" s="638" t="s">
        <v>43</v>
      </c>
      <c r="AO47" s="639"/>
      <c r="AP47" s="712" t="s">
        <v>43</v>
      </c>
      <c r="AQ47" s="714" t="s">
        <v>554</v>
      </c>
      <c r="AR47" s="712" t="s">
        <v>43</v>
      </c>
      <c r="AS47" s="714" t="s">
        <v>554</v>
      </c>
      <c r="AT47" s="644"/>
      <c r="AU47" s="645"/>
      <c r="AV47" s="646"/>
      <c r="AW47" s="692"/>
      <c r="AX47" s="693"/>
      <c r="AY47" s="619"/>
      <c r="AZ47" s="698" t="s">
        <v>42</v>
      </c>
      <c r="BA47" s="690"/>
      <c r="BB47" s="650"/>
      <c r="BC47" s="619"/>
      <c r="BD47" s="651" t="s">
        <v>15</v>
      </c>
      <c r="BE47" s="653">
        <v>132.0</v>
      </c>
      <c r="BF47" s="653">
        <v>120.0</v>
      </c>
      <c r="BG47" s="654">
        <v>70.0</v>
      </c>
      <c r="BH47" s="653">
        <v>20.0</v>
      </c>
      <c r="BI47" s="607"/>
      <c r="BJ47" s="655" t="s">
        <v>149</v>
      </c>
      <c r="BK47" s="703" t="s">
        <v>149</v>
      </c>
      <c r="BL47" s="610"/>
      <c r="BM47" s="657" t="s">
        <v>6</v>
      </c>
      <c r="BN47" s="704"/>
      <c r="BO47" s="607"/>
      <c r="BP47" s="659" t="s">
        <v>556</v>
      </c>
      <c r="BQ47" s="614"/>
      <c r="BR47" s="660" t="s">
        <v>4430</v>
      </c>
      <c r="BS47" s="614"/>
    </row>
    <row r="48" ht="15.75" customHeight="1">
      <c r="A48" s="616"/>
      <c r="B48" s="661" t="s">
        <v>559</v>
      </c>
      <c r="C48" s="662"/>
      <c r="D48" s="571"/>
      <c r="E48" s="672">
        <v>75.0</v>
      </c>
      <c r="F48" s="664">
        <v>80.0</v>
      </c>
      <c r="G48" s="665">
        <v>85.0</v>
      </c>
      <c r="H48" s="666">
        <v>100.0</v>
      </c>
      <c r="I48" s="667">
        <v>90.0</v>
      </c>
      <c r="J48" s="668">
        <v>50.0</v>
      </c>
      <c r="K48" s="669">
        <v>480.0</v>
      </c>
      <c r="L48" s="670">
        <v>75.0</v>
      </c>
      <c r="M48" s="664">
        <v>80.0</v>
      </c>
      <c r="N48" s="665">
        <v>85.0</v>
      </c>
      <c r="O48" s="666">
        <v>110.0</v>
      </c>
      <c r="P48" s="667">
        <v>90.0</v>
      </c>
      <c r="Q48" s="668">
        <v>50.0</v>
      </c>
      <c r="R48" s="671">
        <v>490.0</v>
      </c>
      <c r="S48" s="672">
        <v>75.0</v>
      </c>
      <c r="T48" s="664">
        <v>80.0</v>
      </c>
      <c r="U48" s="665">
        <v>85.0</v>
      </c>
      <c r="V48" s="666">
        <v>110.0</v>
      </c>
      <c r="W48" s="667">
        <v>90.0</v>
      </c>
      <c r="X48" s="668">
        <v>50.0</v>
      </c>
      <c r="Y48" s="671">
        <f t="shared" si="1"/>
        <v>490</v>
      </c>
      <c r="Z48" s="571"/>
      <c r="AA48" s="673" t="str">
        <f t="shared" si="2"/>
        <v>#NAME?</v>
      </c>
      <c r="AB48" s="674" t="s">
        <v>6</v>
      </c>
      <c r="AC48" s="675" t="str">
        <f t="shared" si="3"/>
        <v>#NAME?</v>
      </c>
      <c r="AD48" s="673" t="s">
        <v>7</v>
      </c>
      <c r="AE48" s="676" t="str">
        <f t="shared" si="4"/>
        <v>#NAME?</v>
      </c>
      <c r="AF48" s="674" t="s">
        <v>6</v>
      </c>
      <c r="AG48" s="675" t="str">
        <f t="shared" si="5"/>
        <v>#NAME?</v>
      </c>
      <c r="AH48" s="586" t="s">
        <v>7</v>
      </c>
      <c r="AI48" s="677" t="str">
        <f t="shared" si="6"/>
        <v>#NAME?</v>
      </c>
      <c r="AJ48" s="586" t="s">
        <v>6</v>
      </c>
      <c r="AK48" s="584" t="str">
        <f t="shared" si="7"/>
        <v>#NAME?</v>
      </c>
      <c r="AL48" s="678" t="s">
        <v>7</v>
      </c>
      <c r="AM48" s="571"/>
      <c r="AN48" s="679" t="s">
        <v>43</v>
      </c>
      <c r="AO48" s="680"/>
      <c r="AP48" s="705" t="s">
        <v>43</v>
      </c>
      <c r="AQ48" s="756" t="s">
        <v>564</v>
      </c>
      <c r="AR48" s="705" t="s">
        <v>43</v>
      </c>
      <c r="AS48" s="756" t="s">
        <v>564</v>
      </c>
      <c r="AT48" s="595"/>
      <c r="AU48" s="685"/>
      <c r="AV48" s="686"/>
      <c r="AW48" s="687"/>
      <c r="AX48" s="688"/>
      <c r="AY48" s="571"/>
      <c r="AZ48" s="689" t="s">
        <v>85</v>
      </c>
      <c r="BA48" s="699"/>
      <c r="BB48" s="690"/>
      <c r="BC48" s="571"/>
      <c r="BD48" s="651" t="s">
        <v>15</v>
      </c>
      <c r="BE48" s="653">
        <v>184.0</v>
      </c>
      <c r="BF48" s="653">
        <v>45.0</v>
      </c>
      <c r="BG48" s="654">
        <v>70.0</v>
      </c>
      <c r="BH48" s="653">
        <v>40.0</v>
      </c>
      <c r="BI48" s="607"/>
      <c r="BJ48" s="655" t="s">
        <v>149</v>
      </c>
      <c r="BK48" s="703" t="s">
        <v>149</v>
      </c>
      <c r="BL48" s="610"/>
      <c r="BM48" s="657" t="s">
        <v>6</v>
      </c>
      <c r="BN48" s="704"/>
      <c r="BO48" s="607"/>
      <c r="BP48" s="659" t="s">
        <v>566</v>
      </c>
      <c r="BQ48" s="614"/>
      <c r="BR48" s="660" t="s">
        <v>4429</v>
      </c>
      <c r="BS48" s="614"/>
    </row>
    <row r="49" ht="15.75" customHeight="1">
      <c r="A49" s="616"/>
      <c r="B49" s="617" t="s">
        <v>570</v>
      </c>
      <c r="C49" s="618"/>
      <c r="D49" s="619"/>
      <c r="E49" s="629">
        <v>35.0</v>
      </c>
      <c r="F49" s="621">
        <v>70.0</v>
      </c>
      <c r="G49" s="622">
        <v>55.0</v>
      </c>
      <c r="H49" s="623">
        <v>45.0</v>
      </c>
      <c r="I49" s="624">
        <v>55.0</v>
      </c>
      <c r="J49" s="753">
        <v>25.0</v>
      </c>
      <c r="K49" s="749">
        <v>285.0</v>
      </c>
      <c r="L49" s="627">
        <v>35.0</v>
      </c>
      <c r="M49" s="621">
        <v>70.0</v>
      </c>
      <c r="N49" s="622">
        <v>55.0</v>
      </c>
      <c r="O49" s="623">
        <v>45.0</v>
      </c>
      <c r="P49" s="624">
        <v>55.0</v>
      </c>
      <c r="Q49" s="625">
        <v>25.0</v>
      </c>
      <c r="R49" s="628">
        <v>285.0</v>
      </c>
      <c r="S49" s="629">
        <v>35.0</v>
      </c>
      <c r="T49" s="621">
        <v>70.0</v>
      </c>
      <c r="U49" s="622">
        <v>55.0</v>
      </c>
      <c r="V49" s="623">
        <v>45.0</v>
      </c>
      <c r="W49" s="624">
        <v>55.0</v>
      </c>
      <c r="X49" s="625">
        <v>25.0</v>
      </c>
      <c r="Y49" s="628">
        <f t="shared" si="1"/>
        <v>285</v>
      </c>
      <c r="Z49" s="619"/>
      <c r="AA49" s="630" t="str">
        <f t="shared" si="2"/>
        <v>#NAME?</v>
      </c>
      <c r="AB49" s="631" t="s">
        <v>109</v>
      </c>
      <c r="AC49" s="632" t="str">
        <f t="shared" si="3"/>
        <v>#NAME?</v>
      </c>
      <c r="AD49" s="630" t="s">
        <v>6</v>
      </c>
      <c r="AE49" s="633" t="str">
        <f t="shared" si="4"/>
        <v>#NAME?</v>
      </c>
      <c r="AF49" s="631" t="s">
        <v>109</v>
      </c>
      <c r="AG49" s="632" t="str">
        <f t="shared" si="5"/>
        <v>#NAME?</v>
      </c>
      <c r="AH49" s="634" t="s">
        <v>6</v>
      </c>
      <c r="AI49" s="635" t="str">
        <f t="shared" si="6"/>
        <v>#NAME?</v>
      </c>
      <c r="AJ49" s="634" t="s">
        <v>109</v>
      </c>
      <c r="AK49" s="636" t="str">
        <f t="shared" si="7"/>
        <v>#NAME?</v>
      </c>
      <c r="AL49" s="637" t="s">
        <v>6</v>
      </c>
      <c r="AM49" s="619"/>
      <c r="AN49" s="638" t="s">
        <v>563</v>
      </c>
      <c r="AO49" s="639" t="s">
        <v>574</v>
      </c>
      <c r="AP49" s="712" t="s">
        <v>563</v>
      </c>
      <c r="AQ49" s="639" t="s">
        <v>574</v>
      </c>
      <c r="AR49" s="712" t="s">
        <v>563</v>
      </c>
      <c r="AS49" s="639" t="s">
        <v>574</v>
      </c>
      <c r="AT49" s="644"/>
      <c r="AU49" s="645" t="str">
        <f t="shared" ref="AU49:AU50" si="12">image("https://www.pokebip.com/pages/icones/objets/petit-champi.png", 3)</f>
        <v/>
      </c>
      <c r="AV49" s="646" t="s">
        <v>576</v>
      </c>
      <c r="AW49" s="692" t="str">
        <f t="shared" ref="AW49:AW50" si="13">image("https://www.pokebip.com/pages/icones/objets/gros-champi.png", 3)</f>
        <v/>
      </c>
      <c r="AX49" s="693" t="s">
        <v>577</v>
      </c>
      <c r="AY49" s="619"/>
      <c r="AZ49" s="648" t="s">
        <v>325</v>
      </c>
      <c r="BA49" s="694"/>
      <c r="BB49" s="690"/>
      <c r="BC49" s="619"/>
      <c r="BD49" s="651" t="s">
        <v>150</v>
      </c>
      <c r="BE49" s="653">
        <v>70.0</v>
      </c>
      <c r="BF49" s="653">
        <v>190.0</v>
      </c>
      <c r="BG49" s="654">
        <v>70.0</v>
      </c>
      <c r="BH49" s="653">
        <v>20.0</v>
      </c>
      <c r="BI49" s="607"/>
      <c r="BJ49" s="655" t="s">
        <v>149</v>
      </c>
      <c r="BK49" s="703" t="s">
        <v>149</v>
      </c>
      <c r="BL49" s="610"/>
      <c r="BM49" s="657" t="s">
        <v>109</v>
      </c>
      <c r="BN49" s="658" t="s">
        <v>6</v>
      </c>
      <c r="BO49" s="607"/>
      <c r="BP49" s="659" t="s">
        <v>575</v>
      </c>
      <c r="BQ49" s="614"/>
      <c r="BR49" s="660" t="s">
        <v>4429</v>
      </c>
      <c r="BS49" s="614"/>
    </row>
    <row r="50" ht="15.75" customHeight="1">
      <c r="A50" s="616"/>
      <c r="B50" s="661" t="s">
        <v>581</v>
      </c>
      <c r="C50" s="662"/>
      <c r="D50" s="571"/>
      <c r="E50" s="672">
        <v>60.0</v>
      </c>
      <c r="F50" s="664">
        <v>95.0</v>
      </c>
      <c r="G50" s="665">
        <v>80.0</v>
      </c>
      <c r="H50" s="666">
        <v>60.0</v>
      </c>
      <c r="I50" s="667">
        <v>80.0</v>
      </c>
      <c r="J50" s="668">
        <v>30.0</v>
      </c>
      <c r="K50" s="669">
        <v>405.0</v>
      </c>
      <c r="L50" s="670">
        <v>60.0</v>
      </c>
      <c r="M50" s="664">
        <v>95.0</v>
      </c>
      <c r="N50" s="665">
        <v>80.0</v>
      </c>
      <c r="O50" s="666">
        <v>60.0</v>
      </c>
      <c r="P50" s="667">
        <v>80.0</v>
      </c>
      <c r="Q50" s="668">
        <v>30.0</v>
      </c>
      <c r="R50" s="671">
        <v>405.0</v>
      </c>
      <c r="S50" s="672">
        <v>60.0</v>
      </c>
      <c r="T50" s="741">
        <v>115.0</v>
      </c>
      <c r="U50" s="742">
        <v>100.0</v>
      </c>
      <c r="V50" s="743">
        <v>55.0</v>
      </c>
      <c r="W50" s="744">
        <v>90.0</v>
      </c>
      <c r="X50" s="668">
        <v>30.0</v>
      </c>
      <c r="Y50" s="671">
        <f t="shared" si="1"/>
        <v>450</v>
      </c>
      <c r="Z50" s="571"/>
      <c r="AA50" s="673" t="str">
        <f t="shared" si="2"/>
        <v>#NAME?</v>
      </c>
      <c r="AB50" s="674" t="s">
        <v>109</v>
      </c>
      <c r="AC50" s="675" t="str">
        <f t="shared" si="3"/>
        <v>#NAME?</v>
      </c>
      <c r="AD50" s="673" t="s">
        <v>6</v>
      </c>
      <c r="AE50" s="676" t="str">
        <f t="shared" si="4"/>
        <v>#NAME?</v>
      </c>
      <c r="AF50" s="674" t="s">
        <v>109</v>
      </c>
      <c r="AG50" s="675" t="str">
        <f t="shared" si="5"/>
        <v>#NAME?</v>
      </c>
      <c r="AH50" s="586" t="s">
        <v>6</v>
      </c>
      <c r="AI50" s="677" t="str">
        <f t="shared" si="6"/>
        <v>#NAME?</v>
      </c>
      <c r="AJ50" s="586" t="s">
        <v>109</v>
      </c>
      <c r="AK50" s="584" t="str">
        <f t="shared" si="7"/>
        <v>#NAME?</v>
      </c>
      <c r="AL50" s="678" t="s">
        <v>6</v>
      </c>
      <c r="AM50" s="571"/>
      <c r="AN50" s="679" t="s">
        <v>563</v>
      </c>
      <c r="AO50" s="680" t="s">
        <v>574</v>
      </c>
      <c r="AP50" s="705" t="s">
        <v>563</v>
      </c>
      <c r="AQ50" s="680" t="s">
        <v>574</v>
      </c>
      <c r="AR50" s="705" t="s">
        <v>563</v>
      </c>
      <c r="AS50" s="680" t="s">
        <v>574</v>
      </c>
      <c r="AT50" s="595"/>
      <c r="AU50" s="685" t="str">
        <f t="shared" si="12"/>
        <v/>
      </c>
      <c r="AV50" s="686" t="s">
        <v>576</v>
      </c>
      <c r="AW50" s="687" t="str">
        <f t="shared" si="13"/>
        <v/>
      </c>
      <c r="AX50" s="688" t="s">
        <v>577</v>
      </c>
      <c r="AY50" s="571"/>
      <c r="AZ50" s="689" t="s">
        <v>216</v>
      </c>
      <c r="BA50" s="690"/>
      <c r="BB50" s="691" t="s">
        <v>101</v>
      </c>
      <c r="BC50" s="571"/>
      <c r="BD50" s="651" t="s">
        <v>150</v>
      </c>
      <c r="BE50" s="653">
        <v>128.0</v>
      </c>
      <c r="BF50" s="653">
        <v>75.0</v>
      </c>
      <c r="BG50" s="654">
        <v>70.0</v>
      </c>
      <c r="BH50" s="653">
        <v>60.0</v>
      </c>
      <c r="BI50" s="607"/>
      <c r="BJ50" s="655" t="s">
        <v>149</v>
      </c>
      <c r="BK50" s="703" t="s">
        <v>149</v>
      </c>
      <c r="BL50" s="610"/>
      <c r="BM50" s="657" t="s">
        <v>109</v>
      </c>
      <c r="BN50" s="658" t="s">
        <v>6</v>
      </c>
      <c r="BO50" s="607"/>
      <c r="BP50" s="659" t="s">
        <v>585</v>
      </c>
      <c r="BQ50" s="614"/>
      <c r="BR50" s="660" t="s">
        <v>4429</v>
      </c>
      <c r="BS50" s="614"/>
    </row>
    <row r="51" ht="15.75" customHeight="1">
      <c r="A51" s="616"/>
      <c r="B51" s="617" t="s">
        <v>589</v>
      </c>
      <c r="C51" s="618"/>
      <c r="D51" s="619"/>
      <c r="E51" s="629">
        <v>60.0</v>
      </c>
      <c r="F51" s="621">
        <v>55.0</v>
      </c>
      <c r="G51" s="622">
        <v>50.0</v>
      </c>
      <c r="H51" s="623">
        <v>40.0</v>
      </c>
      <c r="I51" s="624">
        <v>55.0</v>
      </c>
      <c r="J51" s="625">
        <v>45.0</v>
      </c>
      <c r="K51" s="626">
        <v>305.0</v>
      </c>
      <c r="L51" s="627">
        <v>60.0</v>
      </c>
      <c r="M51" s="621">
        <v>55.0</v>
      </c>
      <c r="N51" s="622">
        <v>50.0</v>
      </c>
      <c r="O51" s="623">
        <v>40.0</v>
      </c>
      <c r="P51" s="624">
        <v>55.0</v>
      </c>
      <c r="Q51" s="625">
        <v>45.0</v>
      </c>
      <c r="R51" s="628">
        <v>305.0</v>
      </c>
      <c r="S51" s="629">
        <v>60.0</v>
      </c>
      <c r="T51" s="621">
        <v>55.0</v>
      </c>
      <c r="U51" s="622">
        <v>50.0</v>
      </c>
      <c r="V51" s="623">
        <v>40.0</v>
      </c>
      <c r="W51" s="624">
        <v>55.0</v>
      </c>
      <c r="X51" s="625">
        <v>45.0</v>
      </c>
      <c r="Y51" s="628">
        <f t="shared" si="1"/>
        <v>305</v>
      </c>
      <c r="Z51" s="619"/>
      <c r="AA51" s="630" t="str">
        <f t="shared" si="2"/>
        <v>#NAME?</v>
      </c>
      <c r="AB51" s="631" t="s">
        <v>109</v>
      </c>
      <c r="AC51" s="632" t="str">
        <f t="shared" si="3"/>
        <v>#NAME?</v>
      </c>
      <c r="AD51" s="630" t="s">
        <v>7</v>
      </c>
      <c r="AE51" s="633" t="str">
        <f t="shared" si="4"/>
        <v>#NAME?</v>
      </c>
      <c r="AF51" s="631" t="s">
        <v>109</v>
      </c>
      <c r="AG51" s="632" t="str">
        <f t="shared" si="5"/>
        <v>#NAME?</v>
      </c>
      <c r="AH51" s="634" t="s">
        <v>7</v>
      </c>
      <c r="AI51" s="635" t="str">
        <f t="shared" si="6"/>
        <v>#NAME?</v>
      </c>
      <c r="AJ51" s="634" t="s">
        <v>109</v>
      </c>
      <c r="AK51" s="636" t="str">
        <f t="shared" si="7"/>
        <v>#NAME?</v>
      </c>
      <c r="AL51" s="637" t="s">
        <v>7</v>
      </c>
      <c r="AM51" s="619"/>
      <c r="AN51" s="638" t="s">
        <v>178</v>
      </c>
      <c r="AO51" s="639" t="s">
        <v>179</v>
      </c>
      <c r="AP51" s="708" t="s">
        <v>179</v>
      </c>
      <c r="AQ51" s="757" t="s">
        <v>178</v>
      </c>
      <c r="AR51" s="709" t="s">
        <v>592</v>
      </c>
      <c r="AS51" s="758" t="s">
        <v>178</v>
      </c>
      <c r="AT51" s="644"/>
      <c r="AU51" s="645"/>
      <c r="AV51" s="646"/>
      <c r="AW51" s="692"/>
      <c r="AX51" s="693"/>
      <c r="AY51" s="619"/>
      <c r="AZ51" s="648" t="s">
        <v>27</v>
      </c>
      <c r="BA51" s="694"/>
      <c r="BB51" s="690"/>
      <c r="BC51" s="619"/>
      <c r="BD51" s="651" t="s">
        <v>150</v>
      </c>
      <c r="BE51" s="653">
        <v>75.0</v>
      </c>
      <c r="BF51" s="653">
        <v>190.0</v>
      </c>
      <c r="BG51" s="654">
        <v>70.0</v>
      </c>
      <c r="BH51" s="653">
        <v>60.0</v>
      </c>
      <c r="BI51" s="607"/>
      <c r="BJ51" s="655" t="s">
        <v>149</v>
      </c>
      <c r="BK51" s="703" t="s">
        <v>149</v>
      </c>
      <c r="BL51" s="610"/>
      <c r="BM51" s="657" t="s">
        <v>109</v>
      </c>
      <c r="BN51" s="704"/>
      <c r="BO51" s="607"/>
      <c r="BP51" s="659" t="s">
        <v>593</v>
      </c>
      <c r="BQ51" s="614"/>
      <c r="BR51" s="660" t="s">
        <v>4434</v>
      </c>
      <c r="BS51" s="614"/>
    </row>
    <row r="52" ht="15.75" customHeight="1">
      <c r="A52" s="616"/>
      <c r="B52" s="661" t="s">
        <v>596</v>
      </c>
      <c r="C52" s="662"/>
      <c r="D52" s="571"/>
      <c r="E52" s="672">
        <v>70.0</v>
      </c>
      <c r="F52" s="664">
        <v>65.0</v>
      </c>
      <c r="G52" s="665">
        <v>60.0</v>
      </c>
      <c r="H52" s="666">
        <v>90.0</v>
      </c>
      <c r="I52" s="667">
        <v>75.0</v>
      </c>
      <c r="J52" s="668">
        <v>90.0</v>
      </c>
      <c r="K52" s="669">
        <v>450.0</v>
      </c>
      <c r="L52" s="670">
        <v>70.0</v>
      </c>
      <c r="M52" s="664">
        <v>65.0</v>
      </c>
      <c r="N52" s="665">
        <v>60.0</v>
      </c>
      <c r="O52" s="666">
        <v>90.0</v>
      </c>
      <c r="P52" s="667">
        <v>75.0</v>
      </c>
      <c r="Q52" s="668">
        <v>90.0</v>
      </c>
      <c r="R52" s="671">
        <v>450.0</v>
      </c>
      <c r="S52" s="672">
        <v>70.0</v>
      </c>
      <c r="T52" s="741">
        <v>55.0</v>
      </c>
      <c r="U52" s="665">
        <v>60.0</v>
      </c>
      <c r="V52" s="743">
        <v>100.0</v>
      </c>
      <c r="W52" s="667">
        <v>75.0</v>
      </c>
      <c r="X52" s="668">
        <v>90.0</v>
      </c>
      <c r="Y52" s="671">
        <f t="shared" si="1"/>
        <v>450</v>
      </c>
      <c r="Z52" s="571"/>
      <c r="AA52" s="673" t="str">
        <f t="shared" si="2"/>
        <v>#NAME?</v>
      </c>
      <c r="AB52" s="674" t="s">
        <v>109</v>
      </c>
      <c r="AC52" s="675" t="str">
        <f t="shared" si="3"/>
        <v>#NAME?</v>
      </c>
      <c r="AD52" s="673" t="s">
        <v>7</v>
      </c>
      <c r="AE52" s="676" t="str">
        <f t="shared" si="4"/>
        <v>#NAME?</v>
      </c>
      <c r="AF52" s="674" t="s">
        <v>109</v>
      </c>
      <c r="AG52" s="675" t="str">
        <f t="shared" si="5"/>
        <v>#NAME?</v>
      </c>
      <c r="AH52" s="586" t="s">
        <v>7</v>
      </c>
      <c r="AI52" s="677" t="str">
        <f t="shared" si="6"/>
        <v>#NAME?</v>
      </c>
      <c r="AJ52" s="586" t="s">
        <v>109</v>
      </c>
      <c r="AK52" s="584" t="str">
        <f t="shared" si="7"/>
        <v>#NAME?</v>
      </c>
      <c r="AL52" s="678" t="s">
        <v>7</v>
      </c>
      <c r="AM52" s="571"/>
      <c r="AN52" s="679" t="s">
        <v>145</v>
      </c>
      <c r="AO52" s="680" t="s">
        <v>179</v>
      </c>
      <c r="AP52" s="710" t="s">
        <v>179</v>
      </c>
      <c r="AQ52" s="716" t="s">
        <v>145</v>
      </c>
      <c r="AR52" s="711" t="s">
        <v>592</v>
      </c>
      <c r="AS52" s="718" t="s">
        <v>145</v>
      </c>
      <c r="AT52" s="595"/>
      <c r="AU52" s="685" t="str">
        <f>image("https://www.pokebip.com/pages/icones/objets/carapace-mue.png", 3)</f>
        <v/>
      </c>
      <c r="AV52" s="686" t="s">
        <v>601</v>
      </c>
      <c r="AW52" s="687"/>
      <c r="AX52" s="688"/>
      <c r="AY52" s="571"/>
      <c r="AZ52" s="695" t="s">
        <v>4</v>
      </c>
      <c r="BA52" s="691" t="s">
        <v>56</v>
      </c>
      <c r="BB52" s="696"/>
      <c r="BC52" s="571"/>
      <c r="BD52" s="651" t="s">
        <v>150</v>
      </c>
      <c r="BE52" s="653">
        <v>138.0</v>
      </c>
      <c r="BF52" s="653">
        <v>75.0</v>
      </c>
      <c r="BG52" s="654">
        <v>70.0</v>
      </c>
      <c r="BH52" s="653">
        <v>40.0</v>
      </c>
      <c r="BI52" s="607"/>
      <c r="BJ52" s="655" t="s">
        <v>149</v>
      </c>
      <c r="BK52" s="703" t="s">
        <v>149</v>
      </c>
      <c r="BL52" s="610"/>
      <c r="BM52" s="657" t="s">
        <v>109</v>
      </c>
      <c r="BN52" s="704"/>
      <c r="BO52" s="607"/>
      <c r="BP52" s="659" t="s">
        <v>600</v>
      </c>
      <c r="BQ52" s="614"/>
      <c r="BR52" s="660" t="s">
        <v>4434</v>
      </c>
      <c r="BS52" s="614"/>
    </row>
    <row r="53" ht="15.75" customHeight="1">
      <c r="A53" s="616"/>
      <c r="B53" s="617" t="s">
        <v>605</v>
      </c>
      <c r="C53" s="618"/>
      <c r="D53" s="619"/>
      <c r="E53" s="629">
        <v>10.0</v>
      </c>
      <c r="F53" s="621">
        <v>55.0</v>
      </c>
      <c r="G53" s="622">
        <v>25.0</v>
      </c>
      <c r="H53" s="623">
        <v>35.0</v>
      </c>
      <c r="I53" s="624">
        <v>45.0</v>
      </c>
      <c r="J53" s="625">
        <v>95.0</v>
      </c>
      <c r="K53" s="626">
        <v>265.0</v>
      </c>
      <c r="L53" s="627">
        <v>10.0</v>
      </c>
      <c r="M53" s="621">
        <v>55.0</v>
      </c>
      <c r="N53" s="622">
        <v>25.0</v>
      </c>
      <c r="O53" s="623">
        <v>35.0</v>
      </c>
      <c r="P53" s="624">
        <v>45.0</v>
      </c>
      <c r="Q53" s="625">
        <v>95.0</v>
      </c>
      <c r="R53" s="628">
        <v>265.0</v>
      </c>
      <c r="S53" s="629">
        <v>10.0</v>
      </c>
      <c r="T53" s="621">
        <v>55.0</v>
      </c>
      <c r="U53" s="622">
        <v>25.0</v>
      </c>
      <c r="V53" s="623">
        <v>35.0</v>
      </c>
      <c r="W53" s="624">
        <v>45.0</v>
      </c>
      <c r="X53" s="625">
        <v>95.0</v>
      </c>
      <c r="Y53" s="628">
        <f t="shared" si="1"/>
        <v>265</v>
      </c>
      <c r="Z53" s="619"/>
      <c r="AA53" s="630" t="str">
        <f t="shared" si="2"/>
        <v>#NAME?</v>
      </c>
      <c r="AB53" s="631" t="s">
        <v>79</v>
      </c>
      <c r="AC53" s="632" t="str">
        <f t="shared" si="3"/>
        <v>#NAME?</v>
      </c>
      <c r="AD53" s="639" t="s">
        <v>4428</v>
      </c>
      <c r="AE53" s="633" t="str">
        <f t="shared" si="4"/>
        <v>#NAME?</v>
      </c>
      <c r="AF53" s="631" t="s">
        <v>79</v>
      </c>
      <c r="AG53" s="632" t="str">
        <f t="shared" si="5"/>
        <v>#NAME?</v>
      </c>
      <c r="AH53" s="634" t="s">
        <v>4428</v>
      </c>
      <c r="AI53" s="635" t="str">
        <f t="shared" si="6"/>
        <v>#NAME?</v>
      </c>
      <c r="AJ53" s="634" t="s">
        <v>79</v>
      </c>
      <c r="AK53" s="636" t="str">
        <f t="shared" si="7"/>
        <v>#NAME?</v>
      </c>
      <c r="AL53" s="637" t="s">
        <v>4428</v>
      </c>
      <c r="AM53" s="619"/>
      <c r="AN53" s="638" t="s">
        <v>376</v>
      </c>
      <c r="AO53" s="639" t="s">
        <v>608</v>
      </c>
      <c r="AP53" s="712" t="s">
        <v>376</v>
      </c>
      <c r="AQ53" s="639" t="s">
        <v>608</v>
      </c>
      <c r="AR53" s="712" t="s">
        <v>376</v>
      </c>
      <c r="AS53" s="639" t="s">
        <v>608</v>
      </c>
      <c r="AT53" s="644"/>
      <c r="AU53" s="759" t="str">
        <f t="shared" ref="AU53:AU54" si="14">image("https://www.pokebip.com/pages/icones/objets/sable-doux.png", 3)</f>
        <v/>
      </c>
      <c r="AV53" s="760" t="s">
        <v>611</v>
      </c>
      <c r="AW53" s="692"/>
      <c r="AX53" s="693"/>
      <c r="AY53" s="619"/>
      <c r="AZ53" s="648" t="s">
        <v>56</v>
      </c>
      <c r="BA53" s="694"/>
      <c r="BB53" s="690"/>
      <c r="BC53" s="619"/>
      <c r="BD53" s="651" t="s">
        <v>150</v>
      </c>
      <c r="BE53" s="653">
        <v>81.0</v>
      </c>
      <c r="BF53" s="653">
        <v>255.0</v>
      </c>
      <c r="BG53" s="654">
        <v>70.0</v>
      </c>
      <c r="BH53" s="653">
        <v>20.0</v>
      </c>
      <c r="BI53" s="607"/>
      <c r="BJ53" s="655" t="s">
        <v>149</v>
      </c>
      <c r="BK53" s="703" t="s">
        <v>149</v>
      </c>
      <c r="BL53" s="610"/>
      <c r="BM53" s="657" t="s">
        <v>277</v>
      </c>
      <c r="BN53" s="704"/>
      <c r="BO53" s="607"/>
      <c r="BP53" s="659" t="s">
        <v>610</v>
      </c>
      <c r="BQ53" s="614"/>
      <c r="BR53" s="660" t="s">
        <v>4432</v>
      </c>
      <c r="BS53" s="614"/>
    </row>
    <row r="54" ht="15.75" customHeight="1">
      <c r="A54" s="616"/>
      <c r="B54" s="661" t="s">
        <v>615</v>
      </c>
      <c r="C54" s="662"/>
      <c r="D54" s="571"/>
      <c r="E54" s="672">
        <v>35.0</v>
      </c>
      <c r="F54" s="664">
        <v>80.0</v>
      </c>
      <c r="G54" s="665">
        <v>50.0</v>
      </c>
      <c r="H54" s="666">
        <v>50.0</v>
      </c>
      <c r="I54" s="667">
        <v>70.0</v>
      </c>
      <c r="J54" s="668">
        <v>120.0</v>
      </c>
      <c r="K54" s="669">
        <v>405.0</v>
      </c>
      <c r="L54" s="670">
        <v>35.0</v>
      </c>
      <c r="M54" s="664">
        <v>100.0</v>
      </c>
      <c r="N54" s="665">
        <v>50.0</v>
      </c>
      <c r="O54" s="666">
        <v>50.0</v>
      </c>
      <c r="P54" s="667">
        <v>70.0</v>
      </c>
      <c r="Q54" s="668">
        <v>120.0</v>
      </c>
      <c r="R54" s="671">
        <v>425.0</v>
      </c>
      <c r="S54" s="672">
        <v>35.0</v>
      </c>
      <c r="T54" s="664">
        <v>100.0</v>
      </c>
      <c r="U54" s="665">
        <v>50.0</v>
      </c>
      <c r="V54" s="666">
        <v>50.0</v>
      </c>
      <c r="W54" s="667">
        <v>70.0</v>
      </c>
      <c r="X54" s="668">
        <v>120.0</v>
      </c>
      <c r="Y54" s="671">
        <f t="shared" si="1"/>
        <v>425</v>
      </c>
      <c r="Z54" s="571"/>
      <c r="AA54" s="673" t="str">
        <f t="shared" si="2"/>
        <v>#NAME?</v>
      </c>
      <c r="AB54" s="674" t="s">
        <v>79</v>
      </c>
      <c r="AC54" s="675" t="str">
        <f t="shared" si="3"/>
        <v>#NAME?</v>
      </c>
      <c r="AD54" s="680" t="s">
        <v>4428</v>
      </c>
      <c r="AE54" s="676" t="str">
        <f t="shared" si="4"/>
        <v>#NAME?</v>
      </c>
      <c r="AF54" s="674" t="s">
        <v>79</v>
      </c>
      <c r="AG54" s="675" t="str">
        <f t="shared" si="5"/>
        <v>#NAME?</v>
      </c>
      <c r="AH54" s="586" t="s">
        <v>4428</v>
      </c>
      <c r="AI54" s="677" t="str">
        <f t="shared" si="6"/>
        <v>#NAME?</v>
      </c>
      <c r="AJ54" s="586" t="s">
        <v>79</v>
      </c>
      <c r="AK54" s="584" t="str">
        <f t="shared" si="7"/>
        <v>#NAME?</v>
      </c>
      <c r="AL54" s="678" t="s">
        <v>4428</v>
      </c>
      <c r="AM54" s="571"/>
      <c r="AN54" s="679" t="s">
        <v>376</v>
      </c>
      <c r="AO54" s="680" t="s">
        <v>608</v>
      </c>
      <c r="AP54" s="705" t="s">
        <v>376</v>
      </c>
      <c r="AQ54" s="680" t="s">
        <v>608</v>
      </c>
      <c r="AR54" s="705" t="s">
        <v>376</v>
      </c>
      <c r="AS54" s="680" t="s">
        <v>608</v>
      </c>
      <c r="AT54" s="595"/>
      <c r="AU54" s="761" t="str">
        <f t="shared" si="14"/>
        <v/>
      </c>
      <c r="AV54" s="762" t="s">
        <v>611</v>
      </c>
      <c r="AW54" s="687"/>
      <c r="AX54" s="688"/>
      <c r="AY54" s="571"/>
      <c r="AZ54" s="689" t="s">
        <v>248</v>
      </c>
      <c r="BA54" s="690"/>
      <c r="BB54" s="696"/>
      <c r="BC54" s="571"/>
      <c r="BD54" s="651" t="s">
        <v>150</v>
      </c>
      <c r="BE54" s="653">
        <v>153.0</v>
      </c>
      <c r="BF54" s="653">
        <v>50.0</v>
      </c>
      <c r="BG54" s="654">
        <v>70.0</v>
      </c>
      <c r="BH54" s="653">
        <v>60.0</v>
      </c>
      <c r="BI54" s="607"/>
      <c r="BJ54" s="655" t="s">
        <v>149</v>
      </c>
      <c r="BK54" s="703" t="s">
        <v>149</v>
      </c>
      <c r="BL54" s="610"/>
      <c r="BM54" s="657" t="s">
        <v>277</v>
      </c>
      <c r="BN54" s="704"/>
      <c r="BO54" s="607"/>
      <c r="BP54" s="659" t="s">
        <v>620</v>
      </c>
      <c r="BQ54" s="614"/>
      <c r="BR54" s="660" t="s">
        <v>4432</v>
      </c>
      <c r="BS54" s="614"/>
    </row>
    <row r="55" ht="15.75" customHeight="1">
      <c r="A55" s="616"/>
      <c r="B55" s="617" t="s">
        <v>623</v>
      </c>
      <c r="C55" s="618"/>
      <c r="D55" s="619"/>
      <c r="E55" s="629">
        <v>40.0</v>
      </c>
      <c r="F55" s="621">
        <v>45.0</v>
      </c>
      <c r="G55" s="622">
        <v>35.0</v>
      </c>
      <c r="H55" s="623">
        <v>40.0</v>
      </c>
      <c r="I55" s="624">
        <v>40.0</v>
      </c>
      <c r="J55" s="625">
        <v>90.0</v>
      </c>
      <c r="K55" s="626">
        <v>290.0</v>
      </c>
      <c r="L55" s="627">
        <v>40.0</v>
      </c>
      <c r="M55" s="621">
        <v>45.0</v>
      </c>
      <c r="N55" s="622">
        <v>35.0</v>
      </c>
      <c r="O55" s="623">
        <v>40.0</v>
      </c>
      <c r="P55" s="624">
        <v>40.0</v>
      </c>
      <c r="Q55" s="625">
        <v>90.0</v>
      </c>
      <c r="R55" s="628">
        <v>290.0</v>
      </c>
      <c r="S55" s="629">
        <v>40.0</v>
      </c>
      <c r="T55" s="621">
        <v>45.0</v>
      </c>
      <c r="U55" s="622">
        <v>35.0</v>
      </c>
      <c r="V55" s="623">
        <v>40.0</v>
      </c>
      <c r="W55" s="752">
        <v>40.0</v>
      </c>
      <c r="X55" s="753">
        <v>90.0</v>
      </c>
      <c r="Y55" s="628">
        <f t="shared" si="1"/>
        <v>290</v>
      </c>
      <c r="Z55" s="619"/>
      <c r="AA55" s="630" t="str">
        <f t="shared" si="2"/>
        <v>#NAME?</v>
      </c>
      <c r="AB55" s="631" t="s">
        <v>156</v>
      </c>
      <c r="AC55" s="632" t="str">
        <f t="shared" si="3"/>
        <v>#NAME?</v>
      </c>
      <c r="AD55" s="639" t="s">
        <v>4428</v>
      </c>
      <c r="AE55" s="633" t="str">
        <f t="shared" si="4"/>
        <v>#NAME?</v>
      </c>
      <c r="AF55" s="631" t="s">
        <v>156</v>
      </c>
      <c r="AG55" s="632" t="str">
        <f t="shared" si="5"/>
        <v>#NAME?</v>
      </c>
      <c r="AH55" s="634" t="s">
        <v>4428</v>
      </c>
      <c r="AI55" s="635" t="str">
        <f t="shared" si="6"/>
        <v>#NAME?</v>
      </c>
      <c r="AJ55" s="634" t="s">
        <v>156</v>
      </c>
      <c r="AK55" s="636" t="str">
        <f t="shared" si="7"/>
        <v>#NAME?</v>
      </c>
      <c r="AL55" s="637" t="s">
        <v>4428</v>
      </c>
      <c r="AM55" s="619"/>
      <c r="AN55" s="638" t="s">
        <v>626</v>
      </c>
      <c r="AO55" s="639" t="s">
        <v>627</v>
      </c>
      <c r="AP55" s="708" t="s">
        <v>627</v>
      </c>
      <c r="AQ55" s="757" t="s">
        <v>626</v>
      </c>
      <c r="AR55" s="709" t="s">
        <v>628</v>
      </c>
      <c r="AS55" s="758" t="s">
        <v>626</v>
      </c>
      <c r="AT55" s="644"/>
      <c r="AU55" s="645" t="str">
        <f t="shared" ref="AU55:AU56" si="15">image("https://www.pokebip.com/pages/icones/objets/vive-griffe.png", 3)</f>
        <v/>
      </c>
      <c r="AV55" s="646" t="s">
        <v>631</v>
      </c>
      <c r="AW55" s="692"/>
      <c r="AX55" s="693"/>
      <c r="AY55" s="619"/>
      <c r="AZ55" s="648" t="s">
        <v>56</v>
      </c>
      <c r="BA55" s="694"/>
      <c r="BB55" s="690"/>
      <c r="BC55" s="619"/>
      <c r="BD55" s="651" t="s">
        <v>150</v>
      </c>
      <c r="BE55" s="653">
        <v>69.0</v>
      </c>
      <c r="BF55" s="653">
        <v>255.0</v>
      </c>
      <c r="BG55" s="654">
        <v>70.0</v>
      </c>
      <c r="BH55" s="653">
        <v>20.0</v>
      </c>
      <c r="BI55" s="607"/>
      <c r="BJ55" s="655" t="s">
        <v>149</v>
      </c>
      <c r="BK55" s="703" t="s">
        <v>149</v>
      </c>
      <c r="BL55" s="610"/>
      <c r="BM55" s="657" t="s">
        <v>277</v>
      </c>
      <c r="BN55" s="704"/>
      <c r="BO55" s="607"/>
      <c r="BP55" s="659" t="s">
        <v>630</v>
      </c>
      <c r="BQ55" s="614"/>
      <c r="BR55" s="660" t="s">
        <v>4433</v>
      </c>
      <c r="BS55" s="614"/>
    </row>
    <row r="56" ht="15.75" customHeight="1">
      <c r="A56" s="616"/>
      <c r="B56" s="661" t="s">
        <v>635</v>
      </c>
      <c r="C56" s="662"/>
      <c r="D56" s="571"/>
      <c r="E56" s="672">
        <v>65.0</v>
      </c>
      <c r="F56" s="664">
        <v>70.0</v>
      </c>
      <c r="G56" s="665">
        <v>60.0</v>
      </c>
      <c r="H56" s="666">
        <v>65.0</v>
      </c>
      <c r="I56" s="667">
        <v>65.0</v>
      </c>
      <c r="J56" s="668">
        <v>115.0</v>
      </c>
      <c r="K56" s="669">
        <v>440.0</v>
      </c>
      <c r="L56" s="670">
        <v>65.0</v>
      </c>
      <c r="M56" s="664">
        <v>70.0</v>
      </c>
      <c r="N56" s="665">
        <v>60.0</v>
      </c>
      <c r="O56" s="666">
        <v>65.0</v>
      </c>
      <c r="P56" s="667">
        <v>65.0</v>
      </c>
      <c r="Q56" s="668">
        <v>115.0</v>
      </c>
      <c r="R56" s="671">
        <v>440.0</v>
      </c>
      <c r="S56" s="672">
        <v>65.0</v>
      </c>
      <c r="T56" s="741">
        <v>80.0</v>
      </c>
      <c r="U56" s="665">
        <v>60.0</v>
      </c>
      <c r="V56" s="743">
        <v>80.0</v>
      </c>
      <c r="W56" s="667">
        <v>65.0</v>
      </c>
      <c r="X56" s="745">
        <v>115.0</v>
      </c>
      <c r="Y56" s="671">
        <f t="shared" si="1"/>
        <v>465</v>
      </c>
      <c r="Z56" s="571"/>
      <c r="AA56" s="673" t="str">
        <f t="shared" si="2"/>
        <v>#NAME?</v>
      </c>
      <c r="AB56" s="674" t="s">
        <v>156</v>
      </c>
      <c r="AC56" s="675" t="str">
        <f t="shared" si="3"/>
        <v>#NAME?</v>
      </c>
      <c r="AD56" s="680" t="s">
        <v>4428</v>
      </c>
      <c r="AE56" s="676" t="str">
        <f t="shared" si="4"/>
        <v>#NAME?</v>
      </c>
      <c r="AF56" s="674" t="s">
        <v>156</v>
      </c>
      <c r="AG56" s="675" t="str">
        <f t="shared" si="5"/>
        <v>#NAME?</v>
      </c>
      <c r="AH56" s="586" t="s">
        <v>4428</v>
      </c>
      <c r="AI56" s="677" t="str">
        <f t="shared" si="6"/>
        <v>#NAME?</v>
      </c>
      <c r="AJ56" s="586" t="s">
        <v>156</v>
      </c>
      <c r="AK56" s="584" t="str">
        <f t="shared" si="7"/>
        <v>#NAME?</v>
      </c>
      <c r="AL56" s="678" t="s">
        <v>4428</v>
      </c>
      <c r="AM56" s="571"/>
      <c r="AN56" s="679" t="s">
        <v>639</v>
      </c>
      <c r="AO56" s="680" t="s">
        <v>627</v>
      </c>
      <c r="AP56" s="710" t="s">
        <v>627</v>
      </c>
      <c r="AQ56" s="716" t="s">
        <v>639</v>
      </c>
      <c r="AR56" s="711" t="s">
        <v>628</v>
      </c>
      <c r="AS56" s="718" t="s">
        <v>639</v>
      </c>
      <c r="AT56" s="595"/>
      <c r="AU56" s="685" t="str">
        <f t="shared" si="15"/>
        <v/>
      </c>
      <c r="AV56" s="686" t="s">
        <v>631</v>
      </c>
      <c r="AW56" s="687"/>
      <c r="AX56" s="688"/>
      <c r="AY56" s="571"/>
      <c r="AZ56" s="689" t="s">
        <v>248</v>
      </c>
      <c r="BA56" s="690"/>
      <c r="BB56" s="696"/>
      <c r="BC56" s="571"/>
      <c r="BD56" s="651" t="s">
        <v>150</v>
      </c>
      <c r="BE56" s="653">
        <v>148.0</v>
      </c>
      <c r="BF56" s="653">
        <v>90.0</v>
      </c>
      <c r="BG56" s="654">
        <v>70.0</v>
      </c>
      <c r="BH56" s="653">
        <v>60.0</v>
      </c>
      <c r="BI56" s="607"/>
      <c r="BJ56" s="655" t="s">
        <v>149</v>
      </c>
      <c r="BK56" s="703" t="s">
        <v>149</v>
      </c>
      <c r="BL56" s="610"/>
      <c r="BM56" s="657" t="s">
        <v>277</v>
      </c>
      <c r="BN56" s="704"/>
      <c r="BO56" s="607"/>
      <c r="BP56" s="659" t="s">
        <v>640</v>
      </c>
      <c r="BQ56" s="614"/>
      <c r="BR56" s="660" t="s">
        <v>4433</v>
      </c>
      <c r="BS56" s="614"/>
    </row>
    <row r="57" ht="15.75" customHeight="1">
      <c r="A57" s="616"/>
      <c r="B57" s="617" t="s">
        <v>643</v>
      </c>
      <c r="C57" s="618"/>
      <c r="D57" s="619"/>
      <c r="E57" s="629">
        <v>50.0</v>
      </c>
      <c r="F57" s="750">
        <v>52.0</v>
      </c>
      <c r="G57" s="622">
        <v>48.0</v>
      </c>
      <c r="H57" s="623">
        <v>65.0</v>
      </c>
      <c r="I57" s="624">
        <v>50.0</v>
      </c>
      <c r="J57" s="625">
        <v>55.0</v>
      </c>
      <c r="K57" s="749">
        <v>320.0</v>
      </c>
      <c r="L57" s="627">
        <v>50.0</v>
      </c>
      <c r="M57" s="621">
        <v>52.0</v>
      </c>
      <c r="N57" s="622">
        <v>48.0</v>
      </c>
      <c r="O57" s="623">
        <v>65.0</v>
      </c>
      <c r="P57" s="624">
        <v>50.0</v>
      </c>
      <c r="Q57" s="625">
        <v>55.0</v>
      </c>
      <c r="R57" s="628">
        <v>320.0</v>
      </c>
      <c r="S57" s="629">
        <v>50.0</v>
      </c>
      <c r="T57" s="621">
        <v>52.0</v>
      </c>
      <c r="U57" s="622">
        <v>48.0</v>
      </c>
      <c r="V57" s="623">
        <v>65.0</v>
      </c>
      <c r="W57" s="624">
        <v>50.0</v>
      </c>
      <c r="X57" s="625">
        <v>55.0</v>
      </c>
      <c r="Y57" s="628">
        <f t="shared" si="1"/>
        <v>320</v>
      </c>
      <c r="Z57" s="619"/>
      <c r="AA57" s="630" t="str">
        <f t="shared" si="2"/>
        <v>#NAME?</v>
      </c>
      <c r="AB57" s="631" t="s">
        <v>32</v>
      </c>
      <c r="AC57" s="632" t="str">
        <f t="shared" si="3"/>
        <v>#NAME?</v>
      </c>
      <c r="AD57" s="639" t="s">
        <v>4428</v>
      </c>
      <c r="AE57" s="633" t="str">
        <f t="shared" si="4"/>
        <v>#NAME?</v>
      </c>
      <c r="AF57" s="631" t="s">
        <v>32</v>
      </c>
      <c r="AG57" s="632" t="str">
        <f t="shared" si="5"/>
        <v>#NAME?</v>
      </c>
      <c r="AH57" s="634" t="s">
        <v>4428</v>
      </c>
      <c r="AI57" s="635" t="str">
        <f t="shared" si="6"/>
        <v>#NAME?</v>
      </c>
      <c r="AJ57" s="634" t="s">
        <v>32</v>
      </c>
      <c r="AK57" s="636" t="str">
        <f t="shared" si="7"/>
        <v>#NAME?</v>
      </c>
      <c r="AL57" s="637" t="s">
        <v>4428</v>
      </c>
      <c r="AM57" s="619"/>
      <c r="AN57" s="638" t="s">
        <v>646</v>
      </c>
      <c r="AO57" s="639" t="s">
        <v>647</v>
      </c>
      <c r="AP57" s="712" t="s">
        <v>646</v>
      </c>
      <c r="AQ57" s="639" t="s">
        <v>647</v>
      </c>
      <c r="AR57" s="712" t="s">
        <v>646</v>
      </c>
      <c r="AS57" s="639" t="s">
        <v>647</v>
      </c>
      <c r="AT57" s="644"/>
      <c r="AU57" s="645"/>
      <c r="AV57" s="646"/>
      <c r="AW57" s="692"/>
      <c r="AX57" s="693"/>
      <c r="AY57" s="619"/>
      <c r="AZ57" s="648" t="s">
        <v>4</v>
      </c>
      <c r="BA57" s="694"/>
      <c r="BB57" s="690"/>
      <c r="BC57" s="619"/>
      <c r="BD57" s="651" t="s">
        <v>150</v>
      </c>
      <c r="BE57" s="653">
        <v>80.0</v>
      </c>
      <c r="BF57" s="653">
        <v>190.0</v>
      </c>
      <c r="BG57" s="654">
        <v>70.0</v>
      </c>
      <c r="BH57" s="653">
        <v>40.0</v>
      </c>
      <c r="BI57" s="607"/>
      <c r="BJ57" s="655" t="s">
        <v>149</v>
      </c>
      <c r="BK57" s="703" t="s">
        <v>149</v>
      </c>
      <c r="BL57" s="610"/>
      <c r="BM57" s="657" t="s">
        <v>106</v>
      </c>
      <c r="BN57" s="658" t="s">
        <v>277</v>
      </c>
      <c r="BO57" s="607"/>
      <c r="BP57" s="659" t="s">
        <v>649</v>
      </c>
      <c r="BQ57" s="614"/>
      <c r="BR57" s="660" t="s">
        <v>4433</v>
      </c>
      <c r="BS57" s="614"/>
    </row>
    <row r="58" ht="15.75" customHeight="1">
      <c r="A58" s="616"/>
      <c r="B58" s="661" t="s">
        <v>653</v>
      </c>
      <c r="C58" s="662"/>
      <c r="D58" s="571"/>
      <c r="E58" s="672">
        <v>80.0</v>
      </c>
      <c r="F58" s="664">
        <v>82.0</v>
      </c>
      <c r="G58" s="665">
        <v>78.0</v>
      </c>
      <c r="H58" s="666">
        <v>95.0</v>
      </c>
      <c r="I58" s="667">
        <v>80.0</v>
      </c>
      <c r="J58" s="668">
        <v>85.0</v>
      </c>
      <c r="K58" s="669">
        <v>500.0</v>
      </c>
      <c r="L58" s="670">
        <v>80.0</v>
      </c>
      <c r="M58" s="664">
        <v>82.0</v>
      </c>
      <c r="N58" s="665">
        <v>78.0</v>
      </c>
      <c r="O58" s="666">
        <v>95.0</v>
      </c>
      <c r="P58" s="667">
        <v>80.0</v>
      </c>
      <c r="Q58" s="668">
        <v>85.0</v>
      </c>
      <c r="R58" s="671">
        <v>500.0</v>
      </c>
      <c r="S58" s="672">
        <v>80.0</v>
      </c>
      <c r="T58" s="664">
        <v>82.0</v>
      </c>
      <c r="U58" s="665">
        <v>78.0</v>
      </c>
      <c r="V58" s="666">
        <v>95.0</v>
      </c>
      <c r="W58" s="667">
        <v>80.0</v>
      </c>
      <c r="X58" s="668">
        <v>85.0</v>
      </c>
      <c r="Y58" s="671">
        <f t="shared" si="1"/>
        <v>500</v>
      </c>
      <c r="Z58" s="571"/>
      <c r="AA58" s="673" t="str">
        <f t="shared" si="2"/>
        <v>#NAME?</v>
      </c>
      <c r="AB58" s="674" t="s">
        <v>32</v>
      </c>
      <c r="AC58" s="675" t="str">
        <f t="shared" si="3"/>
        <v>#NAME?</v>
      </c>
      <c r="AD58" s="680" t="s">
        <v>4428</v>
      </c>
      <c r="AE58" s="676" t="str">
        <f t="shared" si="4"/>
        <v>#NAME?</v>
      </c>
      <c r="AF58" s="674" t="s">
        <v>32</v>
      </c>
      <c r="AG58" s="675" t="str">
        <f t="shared" si="5"/>
        <v>#NAME?</v>
      </c>
      <c r="AH58" s="586" t="s">
        <v>4428</v>
      </c>
      <c r="AI58" s="677" t="str">
        <f t="shared" si="6"/>
        <v>#NAME?</v>
      </c>
      <c r="AJ58" s="586" t="s">
        <v>32</v>
      </c>
      <c r="AK58" s="697" t="str">
        <f t="shared" si="7"/>
        <v>#NAME?</v>
      </c>
      <c r="AL58" s="678" t="s">
        <v>656</v>
      </c>
      <c r="AM58" s="571"/>
      <c r="AN58" s="679" t="s">
        <v>646</v>
      </c>
      <c r="AO58" s="680" t="s">
        <v>647</v>
      </c>
      <c r="AP58" s="705" t="s">
        <v>646</v>
      </c>
      <c r="AQ58" s="680" t="s">
        <v>647</v>
      </c>
      <c r="AR58" s="705" t="s">
        <v>646</v>
      </c>
      <c r="AS58" s="680" t="s">
        <v>647</v>
      </c>
      <c r="AT58" s="595"/>
      <c r="AU58" s="685"/>
      <c r="AV58" s="686"/>
      <c r="AW58" s="687"/>
      <c r="AX58" s="688"/>
      <c r="AY58" s="571"/>
      <c r="AZ58" s="689" t="s">
        <v>42</v>
      </c>
      <c r="BA58" s="690"/>
      <c r="BB58" s="696"/>
      <c r="BC58" s="571"/>
      <c r="BD58" s="651" t="s">
        <v>150</v>
      </c>
      <c r="BE58" s="653">
        <v>174.0</v>
      </c>
      <c r="BF58" s="653">
        <v>75.0</v>
      </c>
      <c r="BG58" s="654">
        <v>70.0</v>
      </c>
      <c r="BH58" s="653">
        <v>80.0</v>
      </c>
      <c r="BI58" s="607"/>
      <c r="BJ58" s="655" t="s">
        <v>149</v>
      </c>
      <c r="BK58" s="703" t="s">
        <v>149</v>
      </c>
      <c r="BL58" s="610"/>
      <c r="BM58" s="657" t="s">
        <v>106</v>
      </c>
      <c r="BN58" s="658" t="s">
        <v>277</v>
      </c>
      <c r="BO58" s="607"/>
      <c r="BP58" s="659" t="s">
        <v>659</v>
      </c>
      <c r="BQ58" s="614"/>
      <c r="BR58" s="660" t="s">
        <v>4430</v>
      </c>
      <c r="BS58" s="614"/>
    </row>
    <row r="59" ht="15.75" customHeight="1">
      <c r="A59" s="616"/>
      <c r="B59" s="617" t="s">
        <v>663</v>
      </c>
      <c r="C59" s="618"/>
      <c r="D59" s="619"/>
      <c r="E59" s="629">
        <v>40.0</v>
      </c>
      <c r="F59" s="621">
        <v>80.0</v>
      </c>
      <c r="G59" s="622">
        <v>35.0</v>
      </c>
      <c r="H59" s="748">
        <v>35.0</v>
      </c>
      <c r="I59" s="624">
        <v>45.0</v>
      </c>
      <c r="J59" s="625">
        <v>70.0</v>
      </c>
      <c r="K59" s="749">
        <v>305.0</v>
      </c>
      <c r="L59" s="627">
        <v>40.0</v>
      </c>
      <c r="M59" s="621">
        <v>80.0</v>
      </c>
      <c r="N59" s="622">
        <v>35.0</v>
      </c>
      <c r="O59" s="623">
        <v>35.0</v>
      </c>
      <c r="P59" s="624">
        <v>45.0</v>
      </c>
      <c r="Q59" s="625">
        <v>70.0</v>
      </c>
      <c r="R59" s="628">
        <v>305.0</v>
      </c>
      <c r="S59" s="629">
        <v>40.0</v>
      </c>
      <c r="T59" s="621">
        <v>80.0</v>
      </c>
      <c r="U59" s="622">
        <v>35.0</v>
      </c>
      <c r="V59" s="623">
        <v>35.0</v>
      </c>
      <c r="W59" s="624">
        <v>45.0</v>
      </c>
      <c r="X59" s="625">
        <v>70.0</v>
      </c>
      <c r="Y59" s="628">
        <f t="shared" si="1"/>
        <v>305</v>
      </c>
      <c r="Z59" s="619"/>
      <c r="AA59" s="630" t="str">
        <f t="shared" si="2"/>
        <v>#NAME?</v>
      </c>
      <c r="AB59" s="631" t="s">
        <v>64</v>
      </c>
      <c r="AC59" s="632" t="str">
        <f t="shared" si="3"/>
        <v>#NAME?</v>
      </c>
      <c r="AD59" s="639" t="s">
        <v>4428</v>
      </c>
      <c r="AE59" s="633" t="str">
        <f t="shared" si="4"/>
        <v>#NAME?</v>
      </c>
      <c r="AF59" s="631" t="s">
        <v>64</v>
      </c>
      <c r="AG59" s="632" t="str">
        <f t="shared" si="5"/>
        <v>#NAME?</v>
      </c>
      <c r="AH59" s="634" t="s">
        <v>4428</v>
      </c>
      <c r="AI59" s="635" t="str">
        <f t="shared" si="6"/>
        <v>#NAME?</v>
      </c>
      <c r="AJ59" s="634" t="s">
        <v>64</v>
      </c>
      <c r="AK59" s="636" t="str">
        <f t="shared" si="7"/>
        <v>#NAME?</v>
      </c>
      <c r="AL59" s="637" t="s">
        <v>4428</v>
      </c>
      <c r="AM59" s="619"/>
      <c r="AN59" s="638" t="s">
        <v>666</v>
      </c>
      <c r="AO59" s="639" t="s">
        <v>667</v>
      </c>
      <c r="AP59" s="712" t="s">
        <v>666</v>
      </c>
      <c r="AQ59" s="639" t="s">
        <v>667</v>
      </c>
      <c r="AR59" s="712" t="s">
        <v>666</v>
      </c>
      <c r="AS59" s="639" t="s">
        <v>667</v>
      </c>
      <c r="AT59" s="644"/>
      <c r="AU59" s="645"/>
      <c r="AV59" s="646"/>
      <c r="AW59" s="692"/>
      <c r="AX59" s="693"/>
      <c r="AY59" s="619"/>
      <c r="AZ59" s="648" t="s">
        <v>325</v>
      </c>
      <c r="BA59" s="694"/>
      <c r="BB59" s="690"/>
      <c r="BC59" s="619"/>
      <c r="BD59" s="651" t="s">
        <v>150</v>
      </c>
      <c r="BE59" s="653">
        <v>74.0</v>
      </c>
      <c r="BF59" s="653">
        <v>190.0</v>
      </c>
      <c r="BG59" s="654">
        <v>70.0</v>
      </c>
      <c r="BH59" s="653">
        <v>60.0</v>
      </c>
      <c r="BI59" s="607"/>
      <c r="BJ59" s="655" t="s">
        <v>149</v>
      </c>
      <c r="BK59" s="703" t="s">
        <v>149</v>
      </c>
      <c r="BL59" s="610"/>
      <c r="BM59" s="657" t="s">
        <v>277</v>
      </c>
      <c r="BN59" s="704"/>
      <c r="BO59" s="607"/>
      <c r="BP59" s="659" t="s">
        <v>669</v>
      </c>
      <c r="BQ59" s="614"/>
      <c r="BR59" s="660" t="s">
        <v>4432</v>
      </c>
      <c r="BS59" s="614"/>
    </row>
    <row r="60" ht="15.75" customHeight="1">
      <c r="A60" s="616"/>
      <c r="B60" s="661" t="s">
        <v>673</v>
      </c>
      <c r="C60" s="662"/>
      <c r="D60" s="571"/>
      <c r="E60" s="672">
        <v>65.0</v>
      </c>
      <c r="F60" s="664">
        <v>105.0</v>
      </c>
      <c r="G60" s="665">
        <v>60.0</v>
      </c>
      <c r="H60" s="666">
        <v>60.0</v>
      </c>
      <c r="I60" s="667">
        <v>70.0</v>
      </c>
      <c r="J60" s="668">
        <v>95.0</v>
      </c>
      <c r="K60" s="669">
        <v>455.0</v>
      </c>
      <c r="L60" s="670">
        <v>65.0</v>
      </c>
      <c r="M60" s="664">
        <v>105.0</v>
      </c>
      <c r="N60" s="665">
        <v>60.0</v>
      </c>
      <c r="O60" s="666">
        <v>60.0</v>
      </c>
      <c r="P60" s="667">
        <v>70.0</v>
      </c>
      <c r="Q60" s="668">
        <v>95.0</v>
      </c>
      <c r="R60" s="671">
        <v>455.0</v>
      </c>
      <c r="S60" s="672">
        <v>65.0</v>
      </c>
      <c r="T60" s="664">
        <v>105.0</v>
      </c>
      <c r="U60" s="665">
        <v>60.0</v>
      </c>
      <c r="V60" s="666">
        <v>60.0</v>
      </c>
      <c r="W60" s="667">
        <v>70.0</v>
      </c>
      <c r="X60" s="668">
        <v>95.0</v>
      </c>
      <c r="Y60" s="671">
        <f t="shared" si="1"/>
        <v>455</v>
      </c>
      <c r="Z60" s="571"/>
      <c r="AA60" s="673" t="str">
        <f t="shared" si="2"/>
        <v>#NAME?</v>
      </c>
      <c r="AB60" s="674" t="s">
        <v>64</v>
      </c>
      <c r="AC60" s="675" t="str">
        <f t="shared" si="3"/>
        <v>#NAME?</v>
      </c>
      <c r="AD60" s="680" t="s">
        <v>4428</v>
      </c>
      <c r="AE60" s="676" t="str">
        <f t="shared" si="4"/>
        <v>#NAME?</v>
      </c>
      <c r="AF60" s="674" t="s">
        <v>64</v>
      </c>
      <c r="AG60" s="675" t="str">
        <f t="shared" si="5"/>
        <v>#NAME?</v>
      </c>
      <c r="AH60" s="586" t="s">
        <v>4428</v>
      </c>
      <c r="AI60" s="677" t="str">
        <f t="shared" si="6"/>
        <v>#NAME?</v>
      </c>
      <c r="AJ60" s="586" t="s">
        <v>64</v>
      </c>
      <c r="AK60" s="584" t="str">
        <f t="shared" si="7"/>
        <v>#NAME?</v>
      </c>
      <c r="AL60" s="678" t="s">
        <v>4428</v>
      </c>
      <c r="AM60" s="571"/>
      <c r="AN60" s="679" t="s">
        <v>666</v>
      </c>
      <c r="AO60" s="680" t="s">
        <v>667</v>
      </c>
      <c r="AP60" s="705" t="s">
        <v>666</v>
      </c>
      <c r="AQ60" s="680" t="s">
        <v>667</v>
      </c>
      <c r="AR60" s="705" t="s">
        <v>666</v>
      </c>
      <c r="AS60" s="680" t="s">
        <v>667</v>
      </c>
      <c r="AT60" s="595"/>
      <c r="AU60" s="685"/>
      <c r="AV60" s="686"/>
      <c r="AW60" s="687"/>
      <c r="AX60" s="688"/>
      <c r="AY60" s="571"/>
      <c r="AZ60" s="689" t="s">
        <v>216</v>
      </c>
      <c r="BA60" s="690"/>
      <c r="BB60" s="696"/>
      <c r="BC60" s="571"/>
      <c r="BD60" s="651" t="s">
        <v>150</v>
      </c>
      <c r="BE60" s="653">
        <v>149.0</v>
      </c>
      <c r="BF60" s="653">
        <v>75.0</v>
      </c>
      <c r="BG60" s="654">
        <v>70.0</v>
      </c>
      <c r="BH60" s="653">
        <v>60.0</v>
      </c>
      <c r="BI60" s="607"/>
      <c r="BJ60" s="655" t="s">
        <v>149</v>
      </c>
      <c r="BK60" s="703" t="s">
        <v>149</v>
      </c>
      <c r="BL60" s="610"/>
      <c r="BM60" s="657" t="s">
        <v>277</v>
      </c>
      <c r="BN60" s="704"/>
      <c r="BO60" s="607"/>
      <c r="BP60" s="659" t="s">
        <v>676</v>
      </c>
      <c r="BQ60" s="614"/>
      <c r="BR60" s="660" t="s">
        <v>4432</v>
      </c>
      <c r="BS60" s="614"/>
    </row>
    <row r="61" ht="15.75" customHeight="1">
      <c r="A61" s="616"/>
      <c r="B61" s="617" t="s">
        <v>680</v>
      </c>
      <c r="C61" s="618"/>
      <c r="D61" s="619"/>
      <c r="E61" s="629">
        <v>55.0</v>
      </c>
      <c r="F61" s="621">
        <v>70.0</v>
      </c>
      <c r="G61" s="622">
        <v>45.0</v>
      </c>
      <c r="H61" s="623">
        <v>70.0</v>
      </c>
      <c r="I61" s="624">
        <v>50.0</v>
      </c>
      <c r="J61" s="625">
        <v>60.0</v>
      </c>
      <c r="K61" s="626">
        <v>350.0</v>
      </c>
      <c r="L61" s="627">
        <v>55.0</v>
      </c>
      <c r="M61" s="621">
        <v>70.0</v>
      </c>
      <c r="N61" s="622">
        <v>45.0</v>
      </c>
      <c r="O61" s="623">
        <v>70.0</v>
      </c>
      <c r="P61" s="624">
        <v>50.0</v>
      </c>
      <c r="Q61" s="625">
        <v>60.0</v>
      </c>
      <c r="R61" s="628">
        <v>350.0</v>
      </c>
      <c r="S61" s="629">
        <v>55.0</v>
      </c>
      <c r="T61" s="621">
        <v>70.0</v>
      </c>
      <c r="U61" s="622">
        <v>45.0</v>
      </c>
      <c r="V61" s="623">
        <v>70.0</v>
      </c>
      <c r="W61" s="624">
        <v>50.0</v>
      </c>
      <c r="X61" s="625">
        <v>60.0</v>
      </c>
      <c r="Y61" s="628">
        <f t="shared" si="1"/>
        <v>350</v>
      </c>
      <c r="Z61" s="619"/>
      <c r="AA61" s="630" t="str">
        <f t="shared" si="2"/>
        <v>#NAME?</v>
      </c>
      <c r="AB61" s="631" t="s">
        <v>34</v>
      </c>
      <c r="AC61" s="632" t="str">
        <f t="shared" si="3"/>
        <v>#NAME?</v>
      </c>
      <c r="AD61" s="639" t="s">
        <v>4428</v>
      </c>
      <c r="AE61" s="633" t="str">
        <f t="shared" si="4"/>
        <v>#NAME?</v>
      </c>
      <c r="AF61" s="631" t="s">
        <v>34</v>
      </c>
      <c r="AG61" s="632" t="str">
        <f t="shared" si="5"/>
        <v>#NAME?</v>
      </c>
      <c r="AH61" s="634" t="s">
        <v>4428</v>
      </c>
      <c r="AI61" s="635" t="str">
        <f t="shared" si="6"/>
        <v>#NAME?</v>
      </c>
      <c r="AJ61" s="634" t="s">
        <v>34</v>
      </c>
      <c r="AK61" s="636" t="str">
        <f t="shared" si="7"/>
        <v>#NAME?</v>
      </c>
      <c r="AL61" s="637" t="s">
        <v>4428</v>
      </c>
      <c r="AM61" s="619"/>
      <c r="AN61" s="638" t="s">
        <v>326</v>
      </c>
      <c r="AO61" s="639" t="s">
        <v>486</v>
      </c>
      <c r="AP61" s="712" t="s">
        <v>326</v>
      </c>
      <c r="AQ61" s="639" t="s">
        <v>486</v>
      </c>
      <c r="AR61" s="712" t="s">
        <v>326</v>
      </c>
      <c r="AS61" s="639" t="s">
        <v>486</v>
      </c>
      <c r="AT61" s="644"/>
      <c r="AU61" s="645"/>
      <c r="AV61" s="646"/>
      <c r="AW61" s="692"/>
      <c r="AX61" s="693"/>
      <c r="AY61" s="619"/>
      <c r="AZ61" s="648" t="s">
        <v>325</v>
      </c>
      <c r="BA61" s="694"/>
      <c r="BB61" s="690"/>
      <c r="BC61" s="619"/>
      <c r="BD61" s="651" t="s">
        <v>683</v>
      </c>
      <c r="BE61" s="653">
        <v>91.0</v>
      </c>
      <c r="BF61" s="653">
        <v>190.0</v>
      </c>
      <c r="BG61" s="654">
        <v>70.0</v>
      </c>
      <c r="BH61" s="653">
        <v>40.0</v>
      </c>
      <c r="BI61" s="607"/>
      <c r="BJ61" s="655" t="s">
        <v>467</v>
      </c>
      <c r="BK61" s="703" t="s">
        <v>466</v>
      </c>
      <c r="BL61" s="610"/>
      <c r="BM61" s="657" t="s">
        <v>277</v>
      </c>
      <c r="BN61" s="704"/>
      <c r="BO61" s="607"/>
      <c r="BP61" s="659" t="s">
        <v>684</v>
      </c>
      <c r="BQ61" s="614"/>
      <c r="BR61" s="660" t="s">
        <v>4432</v>
      </c>
      <c r="BS61" s="614"/>
    </row>
    <row r="62" ht="15.75" customHeight="1">
      <c r="A62" s="616"/>
      <c r="B62" s="661" t="s">
        <v>687</v>
      </c>
      <c r="C62" s="662"/>
      <c r="D62" s="571"/>
      <c r="E62" s="672">
        <v>90.0</v>
      </c>
      <c r="F62" s="664">
        <v>110.0</v>
      </c>
      <c r="G62" s="665">
        <v>80.0</v>
      </c>
      <c r="H62" s="666">
        <v>100.0</v>
      </c>
      <c r="I62" s="667">
        <v>80.0</v>
      </c>
      <c r="J62" s="668">
        <v>95.0</v>
      </c>
      <c r="K62" s="669">
        <v>555.0</v>
      </c>
      <c r="L62" s="670">
        <v>90.0</v>
      </c>
      <c r="M62" s="664">
        <v>110.0</v>
      </c>
      <c r="N62" s="665">
        <v>80.0</v>
      </c>
      <c r="O62" s="666">
        <v>100.0</v>
      </c>
      <c r="P62" s="667">
        <v>80.0</v>
      </c>
      <c r="Q62" s="668">
        <v>95.0</v>
      </c>
      <c r="R62" s="671">
        <v>555.0</v>
      </c>
      <c r="S62" s="672">
        <v>90.0</v>
      </c>
      <c r="T62" s="664">
        <v>110.0</v>
      </c>
      <c r="U62" s="665">
        <v>80.0</v>
      </c>
      <c r="V62" s="666">
        <v>100.0</v>
      </c>
      <c r="W62" s="667">
        <v>80.0</v>
      </c>
      <c r="X62" s="668">
        <v>95.0</v>
      </c>
      <c r="Y62" s="671">
        <f t="shared" si="1"/>
        <v>555</v>
      </c>
      <c r="Z62" s="571"/>
      <c r="AA62" s="673" t="str">
        <f t="shared" si="2"/>
        <v>#NAME?</v>
      </c>
      <c r="AB62" s="674" t="s">
        <v>34</v>
      </c>
      <c r="AC62" s="675" t="str">
        <f t="shared" si="3"/>
        <v>#NAME?</v>
      </c>
      <c r="AD62" s="680" t="s">
        <v>4428</v>
      </c>
      <c r="AE62" s="676" t="str">
        <f t="shared" si="4"/>
        <v>#NAME?</v>
      </c>
      <c r="AF62" s="674" t="s">
        <v>34</v>
      </c>
      <c r="AG62" s="675" t="str">
        <f t="shared" si="5"/>
        <v>#NAME?</v>
      </c>
      <c r="AH62" s="586" t="s">
        <v>4428</v>
      </c>
      <c r="AI62" s="677" t="str">
        <f t="shared" si="6"/>
        <v>#NAME?</v>
      </c>
      <c r="AJ62" s="586" t="s">
        <v>34</v>
      </c>
      <c r="AK62" s="584" t="str">
        <f t="shared" si="7"/>
        <v>#NAME?</v>
      </c>
      <c r="AL62" s="678" t="s">
        <v>4428</v>
      </c>
      <c r="AM62" s="571"/>
      <c r="AN62" s="679" t="s">
        <v>326</v>
      </c>
      <c r="AO62" s="680" t="s">
        <v>486</v>
      </c>
      <c r="AP62" s="705" t="s">
        <v>326</v>
      </c>
      <c r="AQ62" s="680" t="s">
        <v>486</v>
      </c>
      <c r="AR62" s="705" t="s">
        <v>326</v>
      </c>
      <c r="AS62" s="680" t="s">
        <v>486</v>
      </c>
      <c r="AT62" s="595"/>
      <c r="AU62" s="685"/>
      <c r="AV62" s="686"/>
      <c r="AW62" s="687"/>
      <c r="AX62" s="688"/>
      <c r="AY62" s="571"/>
      <c r="AZ62" s="689" t="s">
        <v>216</v>
      </c>
      <c r="BA62" s="690"/>
      <c r="BB62" s="696"/>
      <c r="BC62" s="571"/>
      <c r="BD62" s="651" t="s">
        <v>683</v>
      </c>
      <c r="BE62" s="653">
        <v>213.0</v>
      </c>
      <c r="BF62" s="653">
        <v>75.0</v>
      </c>
      <c r="BG62" s="654">
        <v>70.0</v>
      </c>
      <c r="BH62" s="653">
        <v>100.0</v>
      </c>
      <c r="BI62" s="607"/>
      <c r="BJ62" s="655" t="s">
        <v>467</v>
      </c>
      <c r="BK62" s="703" t="s">
        <v>466</v>
      </c>
      <c r="BL62" s="610"/>
      <c r="BM62" s="657" t="s">
        <v>277</v>
      </c>
      <c r="BN62" s="704"/>
      <c r="BO62" s="607"/>
      <c r="BP62" s="659" t="s">
        <v>691</v>
      </c>
      <c r="BQ62" s="614"/>
      <c r="BR62" s="660" t="s">
        <v>4432</v>
      </c>
      <c r="BS62" s="614"/>
    </row>
    <row r="63" ht="15.75" customHeight="1">
      <c r="A63" s="616"/>
      <c r="B63" s="617" t="s">
        <v>695</v>
      </c>
      <c r="C63" s="618"/>
      <c r="D63" s="619"/>
      <c r="E63" s="629">
        <v>40.0</v>
      </c>
      <c r="F63" s="621">
        <v>50.0</v>
      </c>
      <c r="G63" s="622">
        <v>40.0</v>
      </c>
      <c r="H63" s="748">
        <v>40.0</v>
      </c>
      <c r="I63" s="624">
        <v>40.0</v>
      </c>
      <c r="J63" s="625">
        <v>90.0</v>
      </c>
      <c r="K63" s="749">
        <v>300.0</v>
      </c>
      <c r="L63" s="627">
        <v>40.0</v>
      </c>
      <c r="M63" s="621">
        <v>50.0</v>
      </c>
      <c r="N63" s="622">
        <v>40.0</v>
      </c>
      <c r="O63" s="623">
        <v>40.0</v>
      </c>
      <c r="P63" s="624">
        <v>40.0</v>
      </c>
      <c r="Q63" s="625">
        <v>90.0</v>
      </c>
      <c r="R63" s="628">
        <v>300.0</v>
      </c>
      <c r="S63" s="629">
        <v>40.0</v>
      </c>
      <c r="T63" s="621">
        <v>50.0</v>
      </c>
      <c r="U63" s="622">
        <v>40.0</v>
      </c>
      <c r="V63" s="623">
        <v>40.0</v>
      </c>
      <c r="W63" s="624">
        <v>40.0</v>
      </c>
      <c r="X63" s="625">
        <v>90.0</v>
      </c>
      <c r="Y63" s="628">
        <f t="shared" si="1"/>
        <v>300</v>
      </c>
      <c r="Z63" s="619"/>
      <c r="AA63" s="630" t="str">
        <f t="shared" si="2"/>
        <v>#NAME?</v>
      </c>
      <c r="AB63" s="631" t="s">
        <v>32</v>
      </c>
      <c r="AC63" s="632" t="str">
        <f t="shared" si="3"/>
        <v>#NAME?</v>
      </c>
      <c r="AD63" s="639" t="s">
        <v>4428</v>
      </c>
      <c r="AE63" s="633" t="str">
        <f t="shared" si="4"/>
        <v>#NAME?</v>
      </c>
      <c r="AF63" s="631" t="s">
        <v>32</v>
      </c>
      <c r="AG63" s="632" t="str">
        <f t="shared" si="5"/>
        <v>#NAME?</v>
      </c>
      <c r="AH63" s="634" t="s">
        <v>4428</v>
      </c>
      <c r="AI63" s="635" t="str">
        <f t="shared" si="6"/>
        <v>#NAME?</v>
      </c>
      <c r="AJ63" s="634" t="s">
        <v>32</v>
      </c>
      <c r="AK63" s="636" t="str">
        <f t="shared" si="7"/>
        <v>#NAME?</v>
      </c>
      <c r="AL63" s="637" t="s">
        <v>4428</v>
      </c>
      <c r="AM63" s="619"/>
      <c r="AN63" s="638" t="s">
        <v>698</v>
      </c>
      <c r="AO63" s="639" t="s">
        <v>646</v>
      </c>
      <c r="AP63" s="712" t="s">
        <v>698</v>
      </c>
      <c r="AQ63" s="639" t="s">
        <v>646</v>
      </c>
      <c r="AR63" s="712" t="s">
        <v>698</v>
      </c>
      <c r="AS63" s="639" t="s">
        <v>646</v>
      </c>
      <c r="AT63" s="644"/>
      <c r="AU63" s="645"/>
      <c r="AV63" s="646"/>
      <c r="AW63" s="692"/>
      <c r="AX63" s="693"/>
      <c r="AY63" s="619"/>
      <c r="AZ63" s="648" t="s">
        <v>56</v>
      </c>
      <c r="BA63" s="694"/>
      <c r="BB63" s="690"/>
      <c r="BC63" s="619"/>
      <c r="BD63" s="651" t="s">
        <v>15</v>
      </c>
      <c r="BE63" s="653">
        <v>77.0</v>
      </c>
      <c r="BF63" s="653">
        <v>255.0</v>
      </c>
      <c r="BG63" s="654">
        <v>70.0</v>
      </c>
      <c r="BH63" s="653">
        <v>40.0</v>
      </c>
      <c r="BI63" s="607"/>
      <c r="BJ63" s="655" t="s">
        <v>149</v>
      </c>
      <c r="BK63" s="703" t="s">
        <v>149</v>
      </c>
      <c r="BL63" s="610"/>
      <c r="BM63" s="657" t="s">
        <v>106</v>
      </c>
      <c r="BN63" s="704"/>
      <c r="BO63" s="607"/>
      <c r="BP63" s="659" t="s">
        <v>700</v>
      </c>
      <c r="BQ63" s="614"/>
      <c r="BR63" s="660" t="s">
        <v>4430</v>
      </c>
      <c r="BS63" s="614"/>
    </row>
    <row r="64" ht="15.75" customHeight="1">
      <c r="A64" s="616"/>
      <c r="B64" s="661" t="s">
        <v>705</v>
      </c>
      <c r="C64" s="662"/>
      <c r="D64" s="571"/>
      <c r="E64" s="672">
        <v>65.0</v>
      </c>
      <c r="F64" s="664">
        <v>65.0</v>
      </c>
      <c r="G64" s="665">
        <v>65.0</v>
      </c>
      <c r="H64" s="666">
        <v>50.0</v>
      </c>
      <c r="I64" s="667">
        <v>50.0</v>
      </c>
      <c r="J64" s="668">
        <v>90.0</v>
      </c>
      <c r="K64" s="669">
        <v>385.0</v>
      </c>
      <c r="L64" s="670">
        <v>65.0</v>
      </c>
      <c r="M64" s="664">
        <v>65.0</v>
      </c>
      <c r="N64" s="665">
        <v>65.0</v>
      </c>
      <c r="O64" s="666">
        <v>50.0</v>
      </c>
      <c r="P64" s="667">
        <v>50.0</v>
      </c>
      <c r="Q64" s="668">
        <v>90.0</v>
      </c>
      <c r="R64" s="671">
        <v>385.0</v>
      </c>
      <c r="S64" s="672">
        <v>65.0</v>
      </c>
      <c r="T64" s="664">
        <v>65.0</v>
      </c>
      <c r="U64" s="665">
        <v>65.0</v>
      </c>
      <c r="V64" s="666">
        <v>50.0</v>
      </c>
      <c r="W64" s="667">
        <v>50.0</v>
      </c>
      <c r="X64" s="668">
        <v>90.0</v>
      </c>
      <c r="Y64" s="671">
        <f t="shared" si="1"/>
        <v>385</v>
      </c>
      <c r="Z64" s="571"/>
      <c r="AA64" s="673" t="str">
        <f t="shared" si="2"/>
        <v>#NAME?</v>
      </c>
      <c r="AB64" s="674" t="s">
        <v>32</v>
      </c>
      <c r="AC64" s="675" t="str">
        <f t="shared" si="3"/>
        <v>#NAME?</v>
      </c>
      <c r="AD64" s="680" t="s">
        <v>4428</v>
      </c>
      <c r="AE64" s="676" t="str">
        <f t="shared" si="4"/>
        <v>#NAME?</v>
      </c>
      <c r="AF64" s="674" t="s">
        <v>32</v>
      </c>
      <c r="AG64" s="675" t="str">
        <f t="shared" si="5"/>
        <v>#NAME?</v>
      </c>
      <c r="AH64" s="586" t="s">
        <v>4428</v>
      </c>
      <c r="AI64" s="677" t="str">
        <f t="shared" si="6"/>
        <v>#NAME?</v>
      </c>
      <c r="AJ64" s="586" t="s">
        <v>32</v>
      </c>
      <c r="AK64" s="584" t="str">
        <f t="shared" si="7"/>
        <v>#NAME?</v>
      </c>
      <c r="AL64" s="678" t="s">
        <v>4428</v>
      </c>
      <c r="AM64" s="571"/>
      <c r="AN64" s="679" t="s">
        <v>698</v>
      </c>
      <c r="AO64" s="680" t="s">
        <v>646</v>
      </c>
      <c r="AP64" s="705" t="s">
        <v>698</v>
      </c>
      <c r="AQ64" s="680" t="s">
        <v>646</v>
      </c>
      <c r="AR64" s="705" t="s">
        <v>698</v>
      </c>
      <c r="AS64" s="680" t="s">
        <v>646</v>
      </c>
      <c r="AT64" s="595"/>
      <c r="AU64" s="685" t="str">
        <f t="shared" ref="AU64:AU65" si="16">image("https://www.pokebip.com/pages/icones/objets/roche-royale.png", 3)</f>
        <v/>
      </c>
      <c r="AV64" s="686" t="s">
        <v>709</v>
      </c>
      <c r="AW64" s="687"/>
      <c r="AX64" s="688"/>
      <c r="AY64" s="571"/>
      <c r="AZ64" s="689" t="s">
        <v>248</v>
      </c>
      <c r="BA64" s="690"/>
      <c r="BB64" s="696"/>
      <c r="BC64" s="571"/>
      <c r="BD64" s="651" t="s">
        <v>15</v>
      </c>
      <c r="BE64" s="653">
        <v>131.0</v>
      </c>
      <c r="BF64" s="653">
        <v>120.0</v>
      </c>
      <c r="BG64" s="654">
        <v>70.0</v>
      </c>
      <c r="BH64" s="653">
        <v>40.0</v>
      </c>
      <c r="BI64" s="607"/>
      <c r="BJ64" s="655" t="s">
        <v>149</v>
      </c>
      <c r="BK64" s="703" t="s">
        <v>149</v>
      </c>
      <c r="BL64" s="610"/>
      <c r="BM64" s="657" t="s">
        <v>106</v>
      </c>
      <c r="BN64" s="704"/>
      <c r="BO64" s="607"/>
      <c r="BP64" s="659" t="s">
        <v>708</v>
      </c>
      <c r="BQ64" s="614"/>
      <c r="BR64" s="660" t="s">
        <v>4430</v>
      </c>
      <c r="BS64" s="614"/>
    </row>
    <row r="65" ht="15.75" customHeight="1">
      <c r="A65" s="616"/>
      <c r="B65" s="617" t="s">
        <v>713</v>
      </c>
      <c r="C65" s="618"/>
      <c r="D65" s="619"/>
      <c r="E65" s="629">
        <v>90.0</v>
      </c>
      <c r="F65" s="621">
        <v>85.0</v>
      </c>
      <c r="G65" s="622">
        <v>95.0</v>
      </c>
      <c r="H65" s="623">
        <v>70.0</v>
      </c>
      <c r="I65" s="624">
        <v>90.0</v>
      </c>
      <c r="J65" s="625">
        <v>70.0</v>
      </c>
      <c r="K65" s="626">
        <v>500.0</v>
      </c>
      <c r="L65" s="627">
        <v>90.0</v>
      </c>
      <c r="M65" s="621">
        <v>95.0</v>
      </c>
      <c r="N65" s="622">
        <v>95.0</v>
      </c>
      <c r="O65" s="623">
        <v>70.0</v>
      </c>
      <c r="P65" s="624">
        <v>90.0</v>
      </c>
      <c r="Q65" s="625">
        <v>70.0</v>
      </c>
      <c r="R65" s="628">
        <v>510.0</v>
      </c>
      <c r="S65" s="629">
        <v>90.0</v>
      </c>
      <c r="T65" s="621">
        <v>95.0</v>
      </c>
      <c r="U65" s="622">
        <v>95.0</v>
      </c>
      <c r="V65" s="623">
        <v>70.0</v>
      </c>
      <c r="W65" s="624">
        <v>90.0</v>
      </c>
      <c r="X65" s="625">
        <v>70.0</v>
      </c>
      <c r="Y65" s="628">
        <f t="shared" si="1"/>
        <v>510</v>
      </c>
      <c r="Z65" s="619"/>
      <c r="AA65" s="630" t="str">
        <f t="shared" si="2"/>
        <v>#NAME?</v>
      </c>
      <c r="AB65" s="631" t="s">
        <v>32</v>
      </c>
      <c r="AC65" s="632" t="str">
        <f t="shared" si="3"/>
        <v>#NAME?</v>
      </c>
      <c r="AD65" s="630" t="s">
        <v>64</v>
      </c>
      <c r="AE65" s="633" t="str">
        <f t="shared" si="4"/>
        <v>#NAME?</v>
      </c>
      <c r="AF65" s="631" t="s">
        <v>32</v>
      </c>
      <c r="AG65" s="632" t="str">
        <f t="shared" si="5"/>
        <v>#NAME?</v>
      </c>
      <c r="AH65" s="634" t="s">
        <v>64</v>
      </c>
      <c r="AI65" s="635" t="str">
        <f t="shared" si="6"/>
        <v>#NAME?</v>
      </c>
      <c r="AJ65" s="634" t="s">
        <v>32</v>
      </c>
      <c r="AK65" s="636" t="str">
        <f t="shared" si="7"/>
        <v>#NAME?</v>
      </c>
      <c r="AL65" s="637" t="s">
        <v>64</v>
      </c>
      <c r="AM65" s="619"/>
      <c r="AN65" s="638" t="s">
        <v>698</v>
      </c>
      <c r="AO65" s="639" t="s">
        <v>646</v>
      </c>
      <c r="AP65" s="712" t="s">
        <v>698</v>
      </c>
      <c r="AQ65" s="639" t="s">
        <v>646</v>
      </c>
      <c r="AR65" s="712" t="s">
        <v>698</v>
      </c>
      <c r="AS65" s="639" t="s">
        <v>646</v>
      </c>
      <c r="AT65" s="644"/>
      <c r="AU65" s="645" t="str">
        <f t="shared" si="16"/>
        <v/>
      </c>
      <c r="AV65" s="646" t="s">
        <v>709</v>
      </c>
      <c r="AW65" s="692"/>
      <c r="AX65" s="693"/>
      <c r="AY65" s="619"/>
      <c r="AZ65" s="698" t="s">
        <v>717</v>
      </c>
      <c r="BA65" s="699"/>
      <c r="BB65" s="690"/>
      <c r="BC65" s="619"/>
      <c r="BD65" s="651" t="s">
        <v>15</v>
      </c>
      <c r="BE65" s="653">
        <v>185.0</v>
      </c>
      <c r="BF65" s="653">
        <v>45.0</v>
      </c>
      <c r="BG65" s="654">
        <v>70.0</v>
      </c>
      <c r="BH65" s="653">
        <v>80.0</v>
      </c>
      <c r="BI65" s="607"/>
      <c r="BJ65" s="655" t="s">
        <v>149</v>
      </c>
      <c r="BK65" s="703" t="s">
        <v>149</v>
      </c>
      <c r="BL65" s="610"/>
      <c r="BM65" s="657" t="s">
        <v>106</v>
      </c>
      <c r="BN65" s="704"/>
      <c r="BO65" s="607"/>
      <c r="BP65" s="659" t="s">
        <v>720</v>
      </c>
      <c r="BQ65" s="614"/>
      <c r="BR65" s="660" t="s">
        <v>4430</v>
      </c>
      <c r="BS65" s="614"/>
    </row>
    <row r="66" ht="15.75" customHeight="1">
      <c r="A66" s="616"/>
      <c r="B66" s="661" t="s">
        <v>724</v>
      </c>
      <c r="C66" s="662"/>
      <c r="D66" s="571"/>
      <c r="E66" s="672">
        <v>25.0</v>
      </c>
      <c r="F66" s="664">
        <v>20.0</v>
      </c>
      <c r="G66" s="665">
        <v>15.0</v>
      </c>
      <c r="H66" s="666">
        <v>105.0</v>
      </c>
      <c r="I66" s="667">
        <v>55.0</v>
      </c>
      <c r="J66" s="668">
        <v>90.0</v>
      </c>
      <c r="K66" s="669">
        <v>310.0</v>
      </c>
      <c r="L66" s="670">
        <v>25.0</v>
      </c>
      <c r="M66" s="664">
        <v>20.0</v>
      </c>
      <c r="N66" s="665">
        <v>15.0</v>
      </c>
      <c r="O66" s="666">
        <v>105.0</v>
      </c>
      <c r="P66" s="667">
        <v>55.0</v>
      </c>
      <c r="Q66" s="668">
        <v>90.0</v>
      </c>
      <c r="R66" s="671">
        <v>310.0</v>
      </c>
      <c r="S66" s="672">
        <v>25.0</v>
      </c>
      <c r="T66" s="664">
        <v>20.0</v>
      </c>
      <c r="U66" s="665">
        <v>15.0</v>
      </c>
      <c r="V66" s="666">
        <v>105.0</v>
      </c>
      <c r="W66" s="667">
        <v>55.0</v>
      </c>
      <c r="X66" s="668">
        <v>90.0</v>
      </c>
      <c r="Y66" s="671">
        <f t="shared" si="1"/>
        <v>310</v>
      </c>
      <c r="Z66" s="571"/>
      <c r="AA66" s="673" t="str">
        <f t="shared" si="2"/>
        <v>#NAME?</v>
      </c>
      <c r="AB66" s="674" t="s">
        <v>122</v>
      </c>
      <c r="AC66" s="675" t="str">
        <f t="shared" si="3"/>
        <v>#NAME?</v>
      </c>
      <c r="AD66" s="680" t="s">
        <v>4428</v>
      </c>
      <c r="AE66" s="676" t="str">
        <f t="shared" si="4"/>
        <v>#NAME?</v>
      </c>
      <c r="AF66" s="674" t="s">
        <v>122</v>
      </c>
      <c r="AG66" s="675" t="str">
        <f t="shared" si="5"/>
        <v>#NAME?</v>
      </c>
      <c r="AH66" s="586" t="s">
        <v>4428</v>
      </c>
      <c r="AI66" s="677" t="str">
        <f t="shared" si="6"/>
        <v>#NAME?</v>
      </c>
      <c r="AJ66" s="586" t="s">
        <v>122</v>
      </c>
      <c r="AK66" s="584" t="str">
        <f t="shared" si="7"/>
        <v>#NAME?</v>
      </c>
      <c r="AL66" s="678" t="s">
        <v>4428</v>
      </c>
      <c r="AM66" s="571"/>
      <c r="AN66" s="679" t="s">
        <v>727</v>
      </c>
      <c r="AO66" s="680" t="s">
        <v>530</v>
      </c>
      <c r="AP66" s="734" t="s">
        <v>511</v>
      </c>
      <c r="AQ66" s="735" t="s">
        <v>727</v>
      </c>
      <c r="AR66" s="736" t="s">
        <v>511</v>
      </c>
      <c r="AS66" s="737" t="s">
        <v>727</v>
      </c>
      <c r="AT66" s="595"/>
      <c r="AU66" s="685" t="str">
        <f t="shared" ref="AU66:AU68" si="17">image("https://www.pokebip.com/pages/icones/objets/cuiller-tordue.png", 3)</f>
        <v/>
      </c>
      <c r="AV66" s="686" t="s">
        <v>730</v>
      </c>
      <c r="AW66" s="687"/>
      <c r="AX66" s="688"/>
      <c r="AY66" s="571"/>
      <c r="AZ66" s="695" t="s">
        <v>4</v>
      </c>
      <c r="BA66" s="700"/>
      <c r="BB66" s="690"/>
      <c r="BC66" s="571"/>
      <c r="BD66" s="651" t="s">
        <v>15</v>
      </c>
      <c r="BE66" s="653">
        <v>75.0</v>
      </c>
      <c r="BF66" s="653">
        <v>200.0</v>
      </c>
      <c r="BG66" s="654">
        <v>70.0</v>
      </c>
      <c r="BH66" s="653">
        <v>40.0</v>
      </c>
      <c r="BI66" s="607"/>
      <c r="BJ66" s="655" t="s">
        <v>467</v>
      </c>
      <c r="BK66" s="703" t="s">
        <v>466</v>
      </c>
      <c r="BL66" s="610"/>
      <c r="BM66" s="657" t="s">
        <v>728</v>
      </c>
      <c r="BN66" s="704"/>
      <c r="BO66" s="607"/>
      <c r="BP66" s="659" t="s">
        <v>729</v>
      </c>
      <c r="BQ66" s="614"/>
      <c r="BR66" s="660" t="s">
        <v>4432</v>
      </c>
      <c r="BS66" s="614"/>
    </row>
    <row r="67" ht="15.75" customHeight="1">
      <c r="A67" s="616"/>
      <c r="B67" s="617" t="s">
        <v>734</v>
      </c>
      <c r="C67" s="618"/>
      <c r="D67" s="619"/>
      <c r="E67" s="629">
        <v>40.0</v>
      </c>
      <c r="F67" s="621">
        <v>35.0</v>
      </c>
      <c r="G67" s="622">
        <v>30.0</v>
      </c>
      <c r="H67" s="623">
        <v>120.0</v>
      </c>
      <c r="I67" s="624">
        <v>70.0</v>
      </c>
      <c r="J67" s="625">
        <v>105.0</v>
      </c>
      <c r="K67" s="626">
        <v>400.0</v>
      </c>
      <c r="L67" s="627">
        <v>40.0</v>
      </c>
      <c r="M67" s="621">
        <v>35.0</v>
      </c>
      <c r="N67" s="622">
        <v>30.0</v>
      </c>
      <c r="O67" s="623">
        <v>120.0</v>
      </c>
      <c r="P67" s="624">
        <v>70.0</v>
      </c>
      <c r="Q67" s="625">
        <v>105.0</v>
      </c>
      <c r="R67" s="628">
        <v>400.0</v>
      </c>
      <c r="S67" s="629">
        <v>40.0</v>
      </c>
      <c r="T67" s="621">
        <v>35.0</v>
      </c>
      <c r="U67" s="622">
        <v>30.0</v>
      </c>
      <c r="V67" s="623">
        <v>120.0</v>
      </c>
      <c r="W67" s="624">
        <v>70.0</v>
      </c>
      <c r="X67" s="625">
        <v>105.0</v>
      </c>
      <c r="Y67" s="628">
        <f t="shared" si="1"/>
        <v>400</v>
      </c>
      <c r="Z67" s="619"/>
      <c r="AA67" s="630" t="str">
        <f t="shared" si="2"/>
        <v>#NAME?</v>
      </c>
      <c r="AB67" s="631" t="s">
        <v>122</v>
      </c>
      <c r="AC67" s="632" t="str">
        <f t="shared" si="3"/>
        <v>#NAME?</v>
      </c>
      <c r="AD67" s="639" t="s">
        <v>4428</v>
      </c>
      <c r="AE67" s="633" t="str">
        <f t="shared" si="4"/>
        <v>#NAME?</v>
      </c>
      <c r="AF67" s="631" t="s">
        <v>122</v>
      </c>
      <c r="AG67" s="632" t="str">
        <f t="shared" si="5"/>
        <v>#NAME?</v>
      </c>
      <c r="AH67" s="634" t="s">
        <v>4428</v>
      </c>
      <c r="AI67" s="635" t="str">
        <f t="shared" si="6"/>
        <v>#NAME?</v>
      </c>
      <c r="AJ67" s="634" t="s">
        <v>122</v>
      </c>
      <c r="AK67" s="636" t="str">
        <f t="shared" si="7"/>
        <v>#NAME?</v>
      </c>
      <c r="AL67" s="637" t="s">
        <v>4428</v>
      </c>
      <c r="AM67" s="619"/>
      <c r="AN67" s="638" t="s">
        <v>727</v>
      </c>
      <c r="AO67" s="639" t="s">
        <v>530</v>
      </c>
      <c r="AP67" s="640" t="s">
        <v>511</v>
      </c>
      <c r="AQ67" s="641" t="s">
        <v>727</v>
      </c>
      <c r="AR67" s="642" t="s">
        <v>511</v>
      </c>
      <c r="AS67" s="643" t="s">
        <v>727</v>
      </c>
      <c r="AT67" s="644"/>
      <c r="AU67" s="645" t="str">
        <f t="shared" si="17"/>
        <v/>
      </c>
      <c r="AV67" s="646" t="s">
        <v>730</v>
      </c>
      <c r="AW67" s="692"/>
      <c r="AX67" s="693"/>
      <c r="AY67" s="619"/>
      <c r="AZ67" s="698" t="s">
        <v>42</v>
      </c>
      <c r="BA67" s="690"/>
      <c r="BB67" s="650"/>
      <c r="BC67" s="619"/>
      <c r="BD67" s="651" t="s">
        <v>15</v>
      </c>
      <c r="BE67" s="653">
        <v>145.0</v>
      </c>
      <c r="BF67" s="653">
        <v>100.0</v>
      </c>
      <c r="BG67" s="654">
        <v>70.0</v>
      </c>
      <c r="BH67" s="653">
        <v>80.0</v>
      </c>
      <c r="BI67" s="607"/>
      <c r="BJ67" s="655" t="s">
        <v>467</v>
      </c>
      <c r="BK67" s="703" t="s">
        <v>466</v>
      </c>
      <c r="BL67" s="610"/>
      <c r="BM67" s="657" t="s">
        <v>728</v>
      </c>
      <c r="BN67" s="704"/>
      <c r="BO67" s="607"/>
      <c r="BP67" s="659" t="s">
        <v>738</v>
      </c>
      <c r="BQ67" s="614"/>
      <c r="BR67" s="660" t="s">
        <v>4432</v>
      </c>
      <c r="BS67" s="614"/>
    </row>
    <row r="68" ht="15.75" customHeight="1">
      <c r="A68" s="616"/>
      <c r="B68" s="661" t="s">
        <v>742</v>
      </c>
      <c r="C68" s="662"/>
      <c r="D68" s="571"/>
      <c r="E68" s="672">
        <v>55.0</v>
      </c>
      <c r="F68" s="664">
        <v>50.0</v>
      </c>
      <c r="G68" s="665">
        <v>45.0</v>
      </c>
      <c r="H68" s="666">
        <v>135.0</v>
      </c>
      <c r="I68" s="667">
        <v>85.0</v>
      </c>
      <c r="J68" s="668">
        <v>120.0</v>
      </c>
      <c r="K68" s="669">
        <v>490.0</v>
      </c>
      <c r="L68" s="670">
        <v>55.0</v>
      </c>
      <c r="M68" s="664">
        <v>50.0</v>
      </c>
      <c r="N68" s="665">
        <v>45.0</v>
      </c>
      <c r="O68" s="666">
        <v>135.0</v>
      </c>
      <c r="P68" s="667">
        <v>95.0</v>
      </c>
      <c r="Q68" s="668">
        <v>120.0</v>
      </c>
      <c r="R68" s="671">
        <v>500.0</v>
      </c>
      <c r="S68" s="672">
        <v>55.0</v>
      </c>
      <c r="T68" s="664">
        <v>50.0</v>
      </c>
      <c r="U68" s="665">
        <v>45.0</v>
      </c>
      <c r="V68" s="666">
        <v>135.0</v>
      </c>
      <c r="W68" s="667">
        <v>95.0</v>
      </c>
      <c r="X68" s="668">
        <v>120.0</v>
      </c>
      <c r="Y68" s="671">
        <f t="shared" si="1"/>
        <v>500</v>
      </c>
      <c r="Z68" s="571"/>
      <c r="AA68" s="673" t="str">
        <f t="shared" si="2"/>
        <v>#NAME?</v>
      </c>
      <c r="AB68" s="674" t="s">
        <v>122</v>
      </c>
      <c r="AC68" s="675" t="str">
        <f t="shared" si="3"/>
        <v>#NAME?</v>
      </c>
      <c r="AD68" s="680" t="s">
        <v>4428</v>
      </c>
      <c r="AE68" s="676" t="str">
        <f t="shared" si="4"/>
        <v>#NAME?</v>
      </c>
      <c r="AF68" s="674" t="s">
        <v>122</v>
      </c>
      <c r="AG68" s="675" t="str">
        <f t="shared" si="5"/>
        <v>#NAME?</v>
      </c>
      <c r="AH68" s="586" t="s">
        <v>4428</v>
      </c>
      <c r="AI68" s="677" t="str">
        <f t="shared" si="6"/>
        <v>#NAME?</v>
      </c>
      <c r="AJ68" s="586" t="s">
        <v>122</v>
      </c>
      <c r="AK68" s="584" t="str">
        <f t="shared" si="7"/>
        <v>#NAME?</v>
      </c>
      <c r="AL68" s="678" t="s">
        <v>4428</v>
      </c>
      <c r="AM68" s="571"/>
      <c r="AN68" s="679" t="s">
        <v>727</v>
      </c>
      <c r="AO68" s="680" t="s">
        <v>530</v>
      </c>
      <c r="AP68" s="710" t="s">
        <v>511</v>
      </c>
      <c r="AQ68" s="716" t="s">
        <v>727</v>
      </c>
      <c r="AR68" s="711" t="s">
        <v>511</v>
      </c>
      <c r="AS68" s="718" t="s">
        <v>727</v>
      </c>
      <c r="AT68" s="595"/>
      <c r="AU68" s="685" t="str">
        <f t="shared" si="17"/>
        <v/>
      </c>
      <c r="AV68" s="686" t="s">
        <v>730</v>
      </c>
      <c r="AW68" s="687"/>
      <c r="AX68" s="688"/>
      <c r="AY68" s="571"/>
      <c r="AZ68" s="689" t="s">
        <v>85</v>
      </c>
      <c r="BA68" s="699"/>
      <c r="BB68" s="690"/>
      <c r="BC68" s="571"/>
      <c r="BD68" s="651" t="s">
        <v>15</v>
      </c>
      <c r="BE68" s="653">
        <v>186.0</v>
      </c>
      <c r="BF68" s="653">
        <v>50.0</v>
      </c>
      <c r="BG68" s="654">
        <v>70.0</v>
      </c>
      <c r="BH68" s="653">
        <v>60.0</v>
      </c>
      <c r="BI68" s="607"/>
      <c r="BJ68" s="655" t="s">
        <v>467</v>
      </c>
      <c r="BK68" s="703" t="s">
        <v>466</v>
      </c>
      <c r="BL68" s="610"/>
      <c r="BM68" s="657" t="s">
        <v>728</v>
      </c>
      <c r="BN68" s="704"/>
      <c r="BO68" s="607"/>
      <c r="BP68" s="659" t="s">
        <v>4436</v>
      </c>
      <c r="BQ68" s="614"/>
      <c r="BR68" s="660" t="s">
        <v>4432</v>
      </c>
      <c r="BS68" s="614"/>
    </row>
    <row r="69" ht="15.75" customHeight="1">
      <c r="A69" s="616"/>
      <c r="B69" s="617" t="s">
        <v>750</v>
      </c>
      <c r="C69" s="618"/>
      <c r="D69" s="619"/>
      <c r="E69" s="629">
        <v>70.0</v>
      </c>
      <c r="F69" s="621">
        <v>80.0</v>
      </c>
      <c r="G69" s="622">
        <v>50.0</v>
      </c>
      <c r="H69" s="623">
        <v>35.0</v>
      </c>
      <c r="I69" s="624">
        <v>35.0</v>
      </c>
      <c r="J69" s="625">
        <v>35.0</v>
      </c>
      <c r="K69" s="626">
        <v>305.0</v>
      </c>
      <c r="L69" s="627">
        <v>70.0</v>
      </c>
      <c r="M69" s="621">
        <v>80.0</v>
      </c>
      <c r="N69" s="622">
        <v>50.0</v>
      </c>
      <c r="O69" s="623">
        <v>35.0</v>
      </c>
      <c r="P69" s="624">
        <v>35.0</v>
      </c>
      <c r="Q69" s="625">
        <v>35.0</v>
      </c>
      <c r="R69" s="628">
        <v>305.0</v>
      </c>
      <c r="S69" s="629">
        <v>70.0</v>
      </c>
      <c r="T69" s="621">
        <v>80.0</v>
      </c>
      <c r="U69" s="622">
        <v>50.0</v>
      </c>
      <c r="V69" s="623">
        <v>35.0</v>
      </c>
      <c r="W69" s="624">
        <v>35.0</v>
      </c>
      <c r="X69" s="625">
        <v>35.0</v>
      </c>
      <c r="Y69" s="628">
        <f t="shared" si="1"/>
        <v>305</v>
      </c>
      <c r="Z69" s="619"/>
      <c r="AA69" s="630" t="str">
        <f t="shared" si="2"/>
        <v>#NAME?</v>
      </c>
      <c r="AB69" s="631" t="s">
        <v>64</v>
      </c>
      <c r="AC69" s="632" t="str">
        <f t="shared" si="3"/>
        <v>#NAME?</v>
      </c>
      <c r="AD69" s="639" t="s">
        <v>4428</v>
      </c>
      <c r="AE69" s="633" t="str">
        <f t="shared" si="4"/>
        <v>#NAME?</v>
      </c>
      <c r="AF69" s="631" t="s">
        <v>64</v>
      </c>
      <c r="AG69" s="632" t="str">
        <f t="shared" si="5"/>
        <v>#NAME?</v>
      </c>
      <c r="AH69" s="634" t="s">
        <v>4428</v>
      </c>
      <c r="AI69" s="635" t="str">
        <f t="shared" si="6"/>
        <v>#NAME?</v>
      </c>
      <c r="AJ69" s="634" t="s">
        <v>64</v>
      </c>
      <c r="AK69" s="636" t="str">
        <f t="shared" si="7"/>
        <v>#NAME?</v>
      </c>
      <c r="AL69" s="637" t="s">
        <v>4428</v>
      </c>
      <c r="AM69" s="619"/>
      <c r="AN69" s="638" t="s">
        <v>273</v>
      </c>
      <c r="AO69" s="639" t="s">
        <v>753</v>
      </c>
      <c r="AP69" s="712" t="s">
        <v>273</v>
      </c>
      <c r="AQ69" s="639" t="s">
        <v>753</v>
      </c>
      <c r="AR69" s="712" t="s">
        <v>273</v>
      </c>
      <c r="AS69" s="639" t="s">
        <v>753</v>
      </c>
      <c r="AT69" s="644"/>
      <c r="AU69" s="645" t="str">
        <f t="shared" ref="AU69:AU71" si="18">image("https://www.pokebip.com/pages/icones/objets/bandeau.png", 3)</f>
        <v/>
      </c>
      <c r="AV69" s="646" t="s">
        <v>755</v>
      </c>
      <c r="AW69" s="692"/>
      <c r="AX69" s="693"/>
      <c r="AY69" s="619"/>
      <c r="AZ69" s="648" t="s">
        <v>325</v>
      </c>
      <c r="BA69" s="694"/>
      <c r="BB69" s="690"/>
      <c r="BC69" s="619"/>
      <c r="BD69" s="651" t="s">
        <v>15</v>
      </c>
      <c r="BE69" s="653">
        <v>75.0</v>
      </c>
      <c r="BF69" s="653">
        <v>180.0</v>
      </c>
      <c r="BG69" s="654">
        <v>70.0</v>
      </c>
      <c r="BH69" s="653">
        <v>40.0</v>
      </c>
      <c r="BI69" s="607"/>
      <c r="BJ69" s="655" t="s">
        <v>467</v>
      </c>
      <c r="BK69" s="703" t="s">
        <v>466</v>
      </c>
      <c r="BL69" s="610"/>
      <c r="BM69" s="657" t="s">
        <v>728</v>
      </c>
      <c r="BN69" s="704"/>
      <c r="BO69" s="607"/>
      <c r="BP69" s="659" t="s">
        <v>754</v>
      </c>
      <c r="BQ69" s="614"/>
      <c r="BR69" s="660" t="s">
        <v>4437</v>
      </c>
      <c r="BS69" s="614"/>
    </row>
    <row r="70" ht="15.75" customHeight="1">
      <c r="A70" s="616"/>
      <c r="B70" s="661" t="s">
        <v>759</v>
      </c>
      <c r="C70" s="662"/>
      <c r="D70" s="571"/>
      <c r="E70" s="672">
        <v>80.0</v>
      </c>
      <c r="F70" s="664">
        <v>100.0</v>
      </c>
      <c r="G70" s="665">
        <v>70.0</v>
      </c>
      <c r="H70" s="666">
        <v>50.0</v>
      </c>
      <c r="I70" s="667">
        <v>60.0</v>
      </c>
      <c r="J70" s="668">
        <v>45.0</v>
      </c>
      <c r="K70" s="669">
        <v>405.0</v>
      </c>
      <c r="L70" s="670">
        <v>80.0</v>
      </c>
      <c r="M70" s="664">
        <v>100.0</v>
      </c>
      <c r="N70" s="665">
        <v>70.0</v>
      </c>
      <c r="O70" s="666">
        <v>50.0</v>
      </c>
      <c r="P70" s="667">
        <v>60.0</v>
      </c>
      <c r="Q70" s="668">
        <v>45.0</v>
      </c>
      <c r="R70" s="671">
        <v>405.0</v>
      </c>
      <c r="S70" s="672">
        <v>80.0</v>
      </c>
      <c r="T70" s="664">
        <v>100.0</v>
      </c>
      <c r="U70" s="665">
        <v>70.0</v>
      </c>
      <c r="V70" s="666">
        <v>50.0</v>
      </c>
      <c r="W70" s="667">
        <v>60.0</v>
      </c>
      <c r="X70" s="668">
        <v>45.0</v>
      </c>
      <c r="Y70" s="671">
        <f t="shared" si="1"/>
        <v>405</v>
      </c>
      <c r="Z70" s="571"/>
      <c r="AA70" s="673" t="str">
        <f t="shared" si="2"/>
        <v>#NAME?</v>
      </c>
      <c r="AB70" s="674" t="s">
        <v>64</v>
      </c>
      <c r="AC70" s="675" t="str">
        <f t="shared" si="3"/>
        <v>#NAME?</v>
      </c>
      <c r="AD70" s="680" t="s">
        <v>4428</v>
      </c>
      <c r="AE70" s="676" t="str">
        <f t="shared" si="4"/>
        <v>#NAME?</v>
      </c>
      <c r="AF70" s="674" t="s">
        <v>64</v>
      </c>
      <c r="AG70" s="675" t="str">
        <f t="shared" si="5"/>
        <v>#NAME?</v>
      </c>
      <c r="AH70" s="586" t="s">
        <v>4428</v>
      </c>
      <c r="AI70" s="677" t="str">
        <f t="shared" si="6"/>
        <v>#NAME?</v>
      </c>
      <c r="AJ70" s="586" t="s">
        <v>64</v>
      </c>
      <c r="AK70" s="584" t="str">
        <f t="shared" si="7"/>
        <v>#NAME?</v>
      </c>
      <c r="AL70" s="678" t="s">
        <v>4428</v>
      </c>
      <c r="AM70" s="571"/>
      <c r="AN70" s="679" t="s">
        <v>273</v>
      </c>
      <c r="AO70" s="680" t="s">
        <v>753</v>
      </c>
      <c r="AP70" s="705" t="s">
        <v>273</v>
      </c>
      <c r="AQ70" s="680" t="s">
        <v>753</v>
      </c>
      <c r="AR70" s="705" t="s">
        <v>273</v>
      </c>
      <c r="AS70" s="680" t="s">
        <v>753</v>
      </c>
      <c r="AT70" s="595"/>
      <c r="AU70" s="685" t="str">
        <f t="shared" si="18"/>
        <v/>
      </c>
      <c r="AV70" s="686" t="s">
        <v>755</v>
      </c>
      <c r="AW70" s="687"/>
      <c r="AX70" s="688"/>
      <c r="AY70" s="571"/>
      <c r="AZ70" s="689" t="s">
        <v>216</v>
      </c>
      <c r="BA70" s="690"/>
      <c r="BB70" s="696"/>
      <c r="BC70" s="571"/>
      <c r="BD70" s="651" t="s">
        <v>15</v>
      </c>
      <c r="BE70" s="653">
        <v>146.0</v>
      </c>
      <c r="BF70" s="653">
        <v>90.0</v>
      </c>
      <c r="BG70" s="654">
        <v>70.0</v>
      </c>
      <c r="BH70" s="653">
        <v>80.0</v>
      </c>
      <c r="BI70" s="607"/>
      <c r="BJ70" s="655" t="s">
        <v>467</v>
      </c>
      <c r="BK70" s="703" t="s">
        <v>466</v>
      </c>
      <c r="BL70" s="610"/>
      <c r="BM70" s="657" t="s">
        <v>728</v>
      </c>
      <c r="BN70" s="704"/>
      <c r="BO70" s="607"/>
      <c r="BP70" s="659" t="s">
        <v>763</v>
      </c>
      <c r="BQ70" s="614"/>
      <c r="BR70" s="660" t="s">
        <v>4437</v>
      </c>
      <c r="BS70" s="614"/>
    </row>
    <row r="71" ht="15.75" customHeight="1">
      <c r="A71" s="616"/>
      <c r="B71" s="617" t="s">
        <v>767</v>
      </c>
      <c r="C71" s="618"/>
      <c r="D71" s="619"/>
      <c r="E71" s="629">
        <v>90.0</v>
      </c>
      <c r="F71" s="621">
        <v>130.0</v>
      </c>
      <c r="G71" s="622">
        <v>80.0</v>
      </c>
      <c r="H71" s="623">
        <v>65.0</v>
      </c>
      <c r="I71" s="624">
        <v>85.0</v>
      </c>
      <c r="J71" s="625">
        <v>55.0</v>
      </c>
      <c r="K71" s="626">
        <v>505.0</v>
      </c>
      <c r="L71" s="627">
        <v>90.0</v>
      </c>
      <c r="M71" s="621">
        <v>130.0</v>
      </c>
      <c r="N71" s="622">
        <v>80.0</v>
      </c>
      <c r="O71" s="623">
        <v>65.0</v>
      </c>
      <c r="P71" s="624">
        <v>85.0</v>
      </c>
      <c r="Q71" s="625">
        <v>55.0</v>
      </c>
      <c r="R71" s="628">
        <v>505.0</v>
      </c>
      <c r="S71" s="629">
        <v>90.0</v>
      </c>
      <c r="T71" s="621">
        <v>130.0</v>
      </c>
      <c r="U71" s="622">
        <v>80.0</v>
      </c>
      <c r="V71" s="623">
        <v>65.0</v>
      </c>
      <c r="W71" s="624">
        <v>85.0</v>
      </c>
      <c r="X71" s="625">
        <v>55.0</v>
      </c>
      <c r="Y71" s="628">
        <f t="shared" si="1"/>
        <v>505</v>
      </c>
      <c r="Z71" s="619"/>
      <c r="AA71" s="630" t="str">
        <f t="shared" si="2"/>
        <v>#NAME?</v>
      </c>
      <c r="AB71" s="631" t="s">
        <v>64</v>
      </c>
      <c r="AC71" s="632" t="str">
        <f t="shared" si="3"/>
        <v>#NAME?</v>
      </c>
      <c r="AD71" s="639" t="s">
        <v>4428</v>
      </c>
      <c r="AE71" s="633" t="str">
        <f t="shared" si="4"/>
        <v>#NAME?</v>
      </c>
      <c r="AF71" s="631" t="s">
        <v>64</v>
      </c>
      <c r="AG71" s="632" t="str">
        <f t="shared" si="5"/>
        <v>#NAME?</v>
      </c>
      <c r="AH71" s="634" t="s">
        <v>4428</v>
      </c>
      <c r="AI71" s="635" t="str">
        <f t="shared" si="6"/>
        <v>#NAME?</v>
      </c>
      <c r="AJ71" s="634" t="s">
        <v>64</v>
      </c>
      <c r="AK71" s="636" t="str">
        <f t="shared" si="7"/>
        <v>#NAME?</v>
      </c>
      <c r="AL71" s="637" t="s">
        <v>4428</v>
      </c>
      <c r="AM71" s="619"/>
      <c r="AN71" s="638" t="s">
        <v>273</v>
      </c>
      <c r="AO71" s="639" t="s">
        <v>753</v>
      </c>
      <c r="AP71" s="712" t="s">
        <v>273</v>
      </c>
      <c r="AQ71" s="639" t="s">
        <v>753</v>
      </c>
      <c r="AR71" s="712" t="s">
        <v>273</v>
      </c>
      <c r="AS71" s="639" t="s">
        <v>753</v>
      </c>
      <c r="AT71" s="644"/>
      <c r="AU71" s="645" t="str">
        <f t="shared" si="18"/>
        <v/>
      </c>
      <c r="AV71" s="646" t="s">
        <v>755</v>
      </c>
      <c r="AW71" s="692"/>
      <c r="AX71" s="693"/>
      <c r="AY71" s="619"/>
      <c r="AZ71" s="698" t="s">
        <v>451</v>
      </c>
      <c r="BA71" s="699"/>
      <c r="BB71" s="690"/>
      <c r="BC71" s="619"/>
      <c r="BD71" s="651" t="s">
        <v>15</v>
      </c>
      <c r="BE71" s="653">
        <v>193.0</v>
      </c>
      <c r="BF71" s="653">
        <v>45.0</v>
      </c>
      <c r="BG71" s="654">
        <v>70.0</v>
      </c>
      <c r="BH71" s="653">
        <v>100.0</v>
      </c>
      <c r="BI71" s="607"/>
      <c r="BJ71" s="655" t="s">
        <v>467</v>
      </c>
      <c r="BK71" s="703" t="s">
        <v>466</v>
      </c>
      <c r="BL71" s="610"/>
      <c r="BM71" s="657" t="s">
        <v>728</v>
      </c>
      <c r="BN71" s="704"/>
      <c r="BO71" s="607"/>
      <c r="BP71" s="659" t="s">
        <v>4438</v>
      </c>
      <c r="BQ71" s="614"/>
      <c r="BR71" s="660" t="s">
        <v>4437</v>
      </c>
      <c r="BS71" s="614"/>
    </row>
    <row r="72" ht="15.75" customHeight="1">
      <c r="A72" s="616"/>
      <c r="B72" s="661" t="s">
        <v>775</v>
      </c>
      <c r="C72" s="662"/>
      <c r="D72" s="571"/>
      <c r="E72" s="672">
        <v>50.0</v>
      </c>
      <c r="F72" s="664">
        <v>75.0</v>
      </c>
      <c r="G72" s="665">
        <v>35.0</v>
      </c>
      <c r="H72" s="666">
        <v>70.0</v>
      </c>
      <c r="I72" s="667">
        <v>30.0</v>
      </c>
      <c r="J72" s="668">
        <v>40.0</v>
      </c>
      <c r="K72" s="669">
        <v>300.0</v>
      </c>
      <c r="L72" s="670">
        <v>50.0</v>
      </c>
      <c r="M72" s="664">
        <v>75.0</v>
      </c>
      <c r="N72" s="665">
        <v>35.0</v>
      </c>
      <c r="O72" s="666">
        <v>70.0</v>
      </c>
      <c r="P72" s="667">
        <v>30.0</v>
      </c>
      <c r="Q72" s="668">
        <v>40.0</v>
      </c>
      <c r="R72" s="671">
        <v>300.0</v>
      </c>
      <c r="S72" s="672">
        <v>50.0</v>
      </c>
      <c r="T72" s="664">
        <v>75.0</v>
      </c>
      <c r="U72" s="665">
        <v>35.0</v>
      </c>
      <c r="V72" s="666">
        <v>70.0</v>
      </c>
      <c r="W72" s="667">
        <v>30.0</v>
      </c>
      <c r="X72" s="668">
        <v>40.0</v>
      </c>
      <c r="Y72" s="671">
        <f t="shared" si="1"/>
        <v>300</v>
      </c>
      <c r="Z72" s="571"/>
      <c r="AA72" s="673" t="str">
        <f t="shared" si="2"/>
        <v>#NAME?</v>
      </c>
      <c r="AB72" s="674" t="s">
        <v>6</v>
      </c>
      <c r="AC72" s="675" t="str">
        <f t="shared" si="3"/>
        <v>#NAME?</v>
      </c>
      <c r="AD72" s="673" t="s">
        <v>7</v>
      </c>
      <c r="AE72" s="676" t="str">
        <f t="shared" si="4"/>
        <v>#NAME?</v>
      </c>
      <c r="AF72" s="674" t="s">
        <v>6</v>
      </c>
      <c r="AG72" s="675" t="str">
        <f t="shared" si="5"/>
        <v>#NAME?</v>
      </c>
      <c r="AH72" s="586" t="s">
        <v>7</v>
      </c>
      <c r="AI72" s="677" t="str">
        <f t="shared" si="6"/>
        <v>#NAME?</v>
      </c>
      <c r="AJ72" s="586" t="s">
        <v>6</v>
      </c>
      <c r="AK72" s="584" t="str">
        <f t="shared" si="7"/>
        <v>#NAME?</v>
      </c>
      <c r="AL72" s="678" t="s">
        <v>7</v>
      </c>
      <c r="AM72" s="571"/>
      <c r="AN72" s="679" t="s">
        <v>43</v>
      </c>
      <c r="AO72" s="680"/>
      <c r="AP72" s="705" t="s">
        <v>43</v>
      </c>
      <c r="AQ72" s="722" t="s">
        <v>779</v>
      </c>
      <c r="AR72" s="705" t="s">
        <v>43</v>
      </c>
      <c r="AS72" s="722" t="s">
        <v>779</v>
      </c>
      <c r="AT72" s="595"/>
      <c r="AU72" s="685"/>
      <c r="AV72" s="686"/>
      <c r="AW72" s="687"/>
      <c r="AX72" s="688"/>
      <c r="AY72" s="571"/>
      <c r="AZ72" s="695" t="s">
        <v>325</v>
      </c>
      <c r="BA72" s="700"/>
      <c r="BB72" s="690"/>
      <c r="BC72" s="571"/>
      <c r="BD72" s="651" t="s">
        <v>15</v>
      </c>
      <c r="BE72" s="653">
        <v>84.0</v>
      </c>
      <c r="BF72" s="653">
        <v>255.0</v>
      </c>
      <c r="BG72" s="654">
        <v>70.0</v>
      </c>
      <c r="BH72" s="653">
        <v>20.0</v>
      </c>
      <c r="BI72" s="607"/>
      <c r="BJ72" s="655" t="s">
        <v>149</v>
      </c>
      <c r="BK72" s="703" t="s">
        <v>149</v>
      </c>
      <c r="BL72" s="610"/>
      <c r="BM72" s="657" t="s">
        <v>6</v>
      </c>
      <c r="BN72" s="704"/>
      <c r="BO72" s="607"/>
      <c r="BP72" s="659" t="s">
        <v>781</v>
      </c>
      <c r="BQ72" s="614"/>
      <c r="BR72" s="660" t="s">
        <v>4427</v>
      </c>
      <c r="BS72" s="614"/>
    </row>
    <row r="73" ht="15.75" customHeight="1">
      <c r="A73" s="616"/>
      <c r="B73" s="617" t="s">
        <v>785</v>
      </c>
      <c r="C73" s="618"/>
      <c r="D73" s="619"/>
      <c r="E73" s="629">
        <v>65.0</v>
      </c>
      <c r="F73" s="621">
        <v>90.0</v>
      </c>
      <c r="G73" s="622">
        <v>50.0</v>
      </c>
      <c r="H73" s="748">
        <v>85.0</v>
      </c>
      <c r="I73" s="624">
        <v>45.0</v>
      </c>
      <c r="J73" s="625">
        <v>55.0</v>
      </c>
      <c r="K73" s="749">
        <v>390.0</v>
      </c>
      <c r="L73" s="627">
        <v>65.0</v>
      </c>
      <c r="M73" s="621">
        <v>90.0</v>
      </c>
      <c r="N73" s="622">
        <v>50.0</v>
      </c>
      <c r="O73" s="623">
        <v>85.0</v>
      </c>
      <c r="P73" s="624">
        <v>45.0</v>
      </c>
      <c r="Q73" s="625">
        <v>55.0</v>
      </c>
      <c r="R73" s="628">
        <v>390.0</v>
      </c>
      <c r="S73" s="629">
        <v>65.0</v>
      </c>
      <c r="T73" s="621">
        <v>90.0</v>
      </c>
      <c r="U73" s="622">
        <v>50.0</v>
      </c>
      <c r="V73" s="623">
        <v>85.0</v>
      </c>
      <c r="W73" s="624">
        <v>45.0</v>
      </c>
      <c r="X73" s="625">
        <v>55.0</v>
      </c>
      <c r="Y73" s="628">
        <f t="shared" si="1"/>
        <v>390</v>
      </c>
      <c r="Z73" s="619"/>
      <c r="AA73" s="630" t="str">
        <f t="shared" si="2"/>
        <v>#NAME?</v>
      </c>
      <c r="AB73" s="631" t="s">
        <v>6</v>
      </c>
      <c r="AC73" s="632" t="str">
        <f t="shared" si="3"/>
        <v>#NAME?</v>
      </c>
      <c r="AD73" s="630" t="s">
        <v>7</v>
      </c>
      <c r="AE73" s="633" t="str">
        <f t="shared" si="4"/>
        <v>#NAME?</v>
      </c>
      <c r="AF73" s="631" t="s">
        <v>6</v>
      </c>
      <c r="AG73" s="632" t="str">
        <f t="shared" si="5"/>
        <v>#NAME?</v>
      </c>
      <c r="AH73" s="634" t="s">
        <v>7</v>
      </c>
      <c r="AI73" s="635" t="str">
        <f t="shared" si="6"/>
        <v>#NAME?</v>
      </c>
      <c r="AJ73" s="634" t="s">
        <v>6</v>
      </c>
      <c r="AK73" s="636" t="str">
        <f t="shared" si="7"/>
        <v>#NAME?</v>
      </c>
      <c r="AL73" s="637" t="s">
        <v>7</v>
      </c>
      <c r="AM73" s="619"/>
      <c r="AN73" s="638" t="s">
        <v>43</v>
      </c>
      <c r="AO73" s="639"/>
      <c r="AP73" s="712" t="s">
        <v>43</v>
      </c>
      <c r="AQ73" s="714" t="s">
        <v>779</v>
      </c>
      <c r="AR73" s="712" t="s">
        <v>43</v>
      </c>
      <c r="AS73" s="714" t="s">
        <v>779</v>
      </c>
      <c r="AT73" s="644"/>
      <c r="AU73" s="645"/>
      <c r="AV73" s="646"/>
      <c r="AW73" s="692"/>
      <c r="AX73" s="693"/>
      <c r="AY73" s="619"/>
      <c r="AZ73" s="698" t="s">
        <v>216</v>
      </c>
      <c r="BA73" s="690"/>
      <c r="BB73" s="650"/>
      <c r="BC73" s="619"/>
      <c r="BD73" s="651" t="s">
        <v>15</v>
      </c>
      <c r="BE73" s="653">
        <v>151.0</v>
      </c>
      <c r="BF73" s="653">
        <v>120.0</v>
      </c>
      <c r="BG73" s="654">
        <v>70.0</v>
      </c>
      <c r="BH73" s="653">
        <v>20.0</v>
      </c>
      <c r="BI73" s="607"/>
      <c r="BJ73" s="655" t="s">
        <v>149</v>
      </c>
      <c r="BK73" s="703" t="s">
        <v>149</v>
      </c>
      <c r="BL73" s="610"/>
      <c r="BM73" s="657" t="s">
        <v>6</v>
      </c>
      <c r="BN73" s="704"/>
      <c r="BO73" s="607"/>
      <c r="BP73" s="659" t="s">
        <v>789</v>
      </c>
      <c r="BQ73" s="614"/>
      <c r="BR73" s="660" t="s">
        <v>4427</v>
      </c>
      <c r="BS73" s="614"/>
    </row>
    <row r="74" ht="15.75" customHeight="1">
      <c r="A74" s="616"/>
      <c r="B74" s="661" t="s">
        <v>793</v>
      </c>
      <c r="C74" s="662"/>
      <c r="D74" s="571"/>
      <c r="E74" s="672">
        <v>80.0</v>
      </c>
      <c r="F74" s="664">
        <v>105.0</v>
      </c>
      <c r="G74" s="665">
        <v>65.0</v>
      </c>
      <c r="H74" s="666">
        <v>100.0</v>
      </c>
      <c r="I74" s="667">
        <v>60.0</v>
      </c>
      <c r="J74" s="668">
        <v>70.0</v>
      </c>
      <c r="K74" s="669">
        <v>480.0</v>
      </c>
      <c r="L74" s="670">
        <v>80.0</v>
      </c>
      <c r="M74" s="664">
        <v>105.0</v>
      </c>
      <c r="N74" s="665">
        <v>65.0</v>
      </c>
      <c r="O74" s="666">
        <v>100.0</v>
      </c>
      <c r="P74" s="667">
        <v>70.0</v>
      </c>
      <c r="Q74" s="668">
        <v>70.0</v>
      </c>
      <c r="R74" s="671">
        <v>490.0</v>
      </c>
      <c r="S74" s="672">
        <v>80.0</v>
      </c>
      <c r="T74" s="664">
        <v>105.0</v>
      </c>
      <c r="U74" s="665">
        <v>65.0</v>
      </c>
      <c r="V74" s="666">
        <v>100.0</v>
      </c>
      <c r="W74" s="667">
        <v>70.0</v>
      </c>
      <c r="X74" s="668">
        <v>70.0</v>
      </c>
      <c r="Y74" s="671">
        <f t="shared" si="1"/>
        <v>490</v>
      </c>
      <c r="Z74" s="571"/>
      <c r="AA74" s="673" t="str">
        <f t="shared" si="2"/>
        <v>#NAME?</v>
      </c>
      <c r="AB74" s="674" t="s">
        <v>6</v>
      </c>
      <c r="AC74" s="675" t="str">
        <f t="shared" si="3"/>
        <v>#NAME?</v>
      </c>
      <c r="AD74" s="673" t="s">
        <v>7</v>
      </c>
      <c r="AE74" s="676" t="str">
        <f t="shared" si="4"/>
        <v>#NAME?</v>
      </c>
      <c r="AF74" s="674" t="s">
        <v>6</v>
      </c>
      <c r="AG74" s="675" t="str">
        <f t="shared" si="5"/>
        <v>#NAME?</v>
      </c>
      <c r="AH74" s="586" t="s">
        <v>7</v>
      </c>
      <c r="AI74" s="677" t="str">
        <f t="shared" si="6"/>
        <v>#NAME?</v>
      </c>
      <c r="AJ74" s="586" t="s">
        <v>6</v>
      </c>
      <c r="AK74" s="584" t="str">
        <f t="shared" si="7"/>
        <v>#NAME?</v>
      </c>
      <c r="AL74" s="678" t="s">
        <v>7</v>
      </c>
      <c r="AM74" s="571"/>
      <c r="AN74" s="679" t="s">
        <v>43</v>
      </c>
      <c r="AO74" s="680"/>
      <c r="AP74" s="705" t="s">
        <v>43</v>
      </c>
      <c r="AQ74" s="756" t="s">
        <v>779</v>
      </c>
      <c r="AR74" s="705" t="s">
        <v>43</v>
      </c>
      <c r="AS74" s="756" t="s">
        <v>779</v>
      </c>
      <c r="AT74" s="595"/>
      <c r="AU74" s="685"/>
      <c r="AV74" s="686"/>
      <c r="AW74" s="687"/>
      <c r="AX74" s="688"/>
      <c r="AY74" s="571"/>
      <c r="AZ74" s="689" t="s">
        <v>451</v>
      </c>
      <c r="BA74" s="699"/>
      <c r="BB74" s="690"/>
      <c r="BC74" s="571"/>
      <c r="BD74" s="651" t="s">
        <v>15</v>
      </c>
      <c r="BE74" s="653">
        <v>191.0</v>
      </c>
      <c r="BF74" s="653">
        <v>45.0</v>
      </c>
      <c r="BG74" s="654">
        <v>70.0</v>
      </c>
      <c r="BH74" s="653">
        <v>40.0</v>
      </c>
      <c r="BI74" s="607"/>
      <c r="BJ74" s="655" t="s">
        <v>149</v>
      </c>
      <c r="BK74" s="703" t="s">
        <v>149</v>
      </c>
      <c r="BL74" s="610"/>
      <c r="BM74" s="657" t="s">
        <v>6</v>
      </c>
      <c r="BN74" s="704"/>
      <c r="BO74" s="607"/>
      <c r="BP74" s="659" t="s">
        <v>797</v>
      </c>
      <c r="BQ74" s="614"/>
      <c r="BR74" s="660" t="s">
        <v>4427</v>
      </c>
      <c r="BS74" s="614"/>
    </row>
    <row r="75" ht="15.75" customHeight="1">
      <c r="A75" s="616"/>
      <c r="B75" s="617" t="s">
        <v>800</v>
      </c>
      <c r="C75" s="618"/>
      <c r="D75" s="619"/>
      <c r="E75" s="629">
        <v>40.0</v>
      </c>
      <c r="F75" s="621">
        <v>40.0</v>
      </c>
      <c r="G75" s="622">
        <v>35.0</v>
      </c>
      <c r="H75" s="623">
        <v>50.0</v>
      </c>
      <c r="I75" s="624">
        <v>100.0</v>
      </c>
      <c r="J75" s="625">
        <v>70.0</v>
      </c>
      <c r="K75" s="626">
        <v>335.0</v>
      </c>
      <c r="L75" s="627">
        <v>40.0</v>
      </c>
      <c r="M75" s="621">
        <v>40.0</v>
      </c>
      <c r="N75" s="622">
        <v>35.0</v>
      </c>
      <c r="O75" s="623">
        <v>50.0</v>
      </c>
      <c r="P75" s="624">
        <v>100.0</v>
      </c>
      <c r="Q75" s="625">
        <v>70.0</v>
      </c>
      <c r="R75" s="628">
        <v>335.0</v>
      </c>
      <c r="S75" s="629">
        <v>40.0</v>
      </c>
      <c r="T75" s="621">
        <v>40.0</v>
      </c>
      <c r="U75" s="622">
        <v>35.0</v>
      </c>
      <c r="V75" s="623">
        <v>50.0</v>
      </c>
      <c r="W75" s="624">
        <v>100.0</v>
      </c>
      <c r="X75" s="625">
        <v>70.0</v>
      </c>
      <c r="Y75" s="628">
        <f t="shared" si="1"/>
        <v>335</v>
      </c>
      <c r="Z75" s="619"/>
      <c r="AA75" s="630" t="str">
        <f t="shared" si="2"/>
        <v>#NAME?</v>
      </c>
      <c r="AB75" s="631" t="s">
        <v>32</v>
      </c>
      <c r="AC75" s="632" t="str">
        <f t="shared" si="3"/>
        <v>#NAME?</v>
      </c>
      <c r="AD75" s="630" t="s">
        <v>7</v>
      </c>
      <c r="AE75" s="633" t="str">
        <f t="shared" si="4"/>
        <v>#NAME?</v>
      </c>
      <c r="AF75" s="631" t="s">
        <v>32</v>
      </c>
      <c r="AG75" s="632" t="str">
        <f t="shared" si="5"/>
        <v>#NAME?</v>
      </c>
      <c r="AH75" s="634" t="s">
        <v>7</v>
      </c>
      <c r="AI75" s="635" t="str">
        <f t="shared" si="6"/>
        <v>#NAME?</v>
      </c>
      <c r="AJ75" s="634" t="s">
        <v>32</v>
      </c>
      <c r="AK75" s="636" t="str">
        <f t="shared" si="7"/>
        <v>#NAME?</v>
      </c>
      <c r="AL75" s="637" t="s">
        <v>7</v>
      </c>
      <c r="AM75" s="619"/>
      <c r="AN75" s="638" t="s">
        <v>804</v>
      </c>
      <c r="AO75" s="639" t="s">
        <v>805</v>
      </c>
      <c r="AP75" s="712" t="s">
        <v>804</v>
      </c>
      <c r="AQ75" s="639" t="s">
        <v>805</v>
      </c>
      <c r="AR75" s="712" t="s">
        <v>804</v>
      </c>
      <c r="AS75" s="639" t="s">
        <v>805</v>
      </c>
      <c r="AT75" s="644"/>
      <c r="AU75" s="645" t="str">
        <f t="shared" ref="AU75:AU76" si="19">image("https://www.serebii.net/diamondpearl/berries/03.png", 3)</f>
        <v/>
      </c>
      <c r="AV75" s="646" t="s">
        <v>223</v>
      </c>
      <c r="AW75" s="692"/>
      <c r="AX75" s="693"/>
      <c r="AY75" s="619"/>
      <c r="AZ75" s="648" t="s">
        <v>27</v>
      </c>
      <c r="BA75" s="694"/>
      <c r="BB75" s="690"/>
      <c r="BC75" s="619"/>
      <c r="BD75" s="651" t="s">
        <v>683</v>
      </c>
      <c r="BE75" s="653">
        <v>105.0</v>
      </c>
      <c r="BF75" s="653">
        <v>190.0</v>
      </c>
      <c r="BG75" s="654">
        <v>70.0</v>
      </c>
      <c r="BH75" s="653">
        <v>60.0</v>
      </c>
      <c r="BI75" s="607"/>
      <c r="BJ75" s="655" t="s">
        <v>149</v>
      </c>
      <c r="BK75" s="703" t="s">
        <v>149</v>
      </c>
      <c r="BL75" s="610"/>
      <c r="BM75" s="657" t="s">
        <v>807</v>
      </c>
      <c r="BN75" s="704"/>
      <c r="BO75" s="607"/>
      <c r="BP75" s="659" t="s">
        <v>808</v>
      </c>
      <c r="BQ75" s="614"/>
      <c r="BR75" s="660" t="s">
        <v>4430</v>
      </c>
      <c r="BS75" s="614"/>
    </row>
    <row r="76" ht="15.75" customHeight="1">
      <c r="A76" s="616"/>
      <c r="B76" s="661" t="s">
        <v>812</v>
      </c>
      <c r="C76" s="662"/>
      <c r="D76" s="571"/>
      <c r="E76" s="672">
        <v>80.0</v>
      </c>
      <c r="F76" s="664">
        <v>70.0</v>
      </c>
      <c r="G76" s="665">
        <v>65.0</v>
      </c>
      <c r="H76" s="666">
        <v>80.0</v>
      </c>
      <c r="I76" s="667">
        <v>120.0</v>
      </c>
      <c r="J76" s="668">
        <v>100.0</v>
      </c>
      <c r="K76" s="669">
        <v>515.0</v>
      </c>
      <c r="L76" s="670">
        <v>80.0</v>
      </c>
      <c r="M76" s="664">
        <v>70.0</v>
      </c>
      <c r="N76" s="665">
        <v>65.0</v>
      </c>
      <c r="O76" s="666">
        <v>80.0</v>
      </c>
      <c r="P76" s="667">
        <v>120.0</v>
      </c>
      <c r="Q76" s="668">
        <v>100.0</v>
      </c>
      <c r="R76" s="671">
        <v>515.0</v>
      </c>
      <c r="S76" s="672">
        <v>80.0</v>
      </c>
      <c r="T76" s="664">
        <v>70.0</v>
      </c>
      <c r="U76" s="665">
        <v>65.0</v>
      </c>
      <c r="V76" s="666">
        <v>80.0</v>
      </c>
      <c r="W76" s="667">
        <v>120.0</v>
      </c>
      <c r="X76" s="668">
        <v>100.0</v>
      </c>
      <c r="Y76" s="671">
        <f t="shared" si="1"/>
        <v>515</v>
      </c>
      <c r="Z76" s="571"/>
      <c r="AA76" s="673" t="str">
        <f t="shared" si="2"/>
        <v>#NAME?</v>
      </c>
      <c r="AB76" s="674" t="s">
        <v>32</v>
      </c>
      <c r="AC76" s="675" t="str">
        <f t="shared" si="3"/>
        <v>#NAME?</v>
      </c>
      <c r="AD76" s="673" t="s">
        <v>7</v>
      </c>
      <c r="AE76" s="676" t="str">
        <f t="shared" si="4"/>
        <v>#NAME?</v>
      </c>
      <c r="AF76" s="674" t="s">
        <v>32</v>
      </c>
      <c r="AG76" s="675" t="str">
        <f t="shared" si="5"/>
        <v>#NAME?</v>
      </c>
      <c r="AH76" s="586" t="s">
        <v>7</v>
      </c>
      <c r="AI76" s="677" t="str">
        <f t="shared" si="6"/>
        <v>#NAME?</v>
      </c>
      <c r="AJ76" s="586" t="s">
        <v>32</v>
      </c>
      <c r="AK76" s="584" t="str">
        <f t="shared" si="7"/>
        <v>#NAME?</v>
      </c>
      <c r="AL76" s="678" t="s">
        <v>7</v>
      </c>
      <c r="AM76" s="571"/>
      <c r="AN76" s="679" t="s">
        <v>804</v>
      </c>
      <c r="AO76" s="680" t="s">
        <v>805</v>
      </c>
      <c r="AP76" s="705" t="s">
        <v>804</v>
      </c>
      <c r="AQ76" s="680" t="s">
        <v>805</v>
      </c>
      <c r="AR76" s="705" t="s">
        <v>804</v>
      </c>
      <c r="AS76" s="680" t="s">
        <v>805</v>
      </c>
      <c r="AT76" s="595"/>
      <c r="AU76" s="685" t="str">
        <f t="shared" si="19"/>
        <v/>
      </c>
      <c r="AV76" s="686" t="s">
        <v>223</v>
      </c>
      <c r="AW76" s="687"/>
      <c r="AX76" s="688"/>
      <c r="AY76" s="571"/>
      <c r="AZ76" s="689" t="s">
        <v>815</v>
      </c>
      <c r="BA76" s="690"/>
      <c r="BB76" s="696"/>
      <c r="BC76" s="571"/>
      <c r="BD76" s="651" t="s">
        <v>683</v>
      </c>
      <c r="BE76" s="653">
        <v>205.0</v>
      </c>
      <c r="BF76" s="653">
        <v>60.0</v>
      </c>
      <c r="BG76" s="654">
        <v>70.0</v>
      </c>
      <c r="BH76" s="653">
        <v>80.0</v>
      </c>
      <c r="BI76" s="607"/>
      <c r="BJ76" s="655" t="s">
        <v>149</v>
      </c>
      <c r="BK76" s="703" t="s">
        <v>149</v>
      </c>
      <c r="BL76" s="610"/>
      <c r="BM76" s="657" t="s">
        <v>807</v>
      </c>
      <c r="BN76" s="704"/>
      <c r="BO76" s="607"/>
      <c r="BP76" s="659" t="s">
        <v>816</v>
      </c>
      <c r="BQ76" s="614"/>
      <c r="BR76" s="660" t="s">
        <v>4430</v>
      </c>
      <c r="BS76" s="614"/>
    </row>
    <row r="77" ht="15.75" customHeight="1">
      <c r="A77" s="616"/>
      <c r="B77" s="617" t="s">
        <v>820</v>
      </c>
      <c r="C77" s="618"/>
      <c r="D77" s="619"/>
      <c r="E77" s="629">
        <v>40.0</v>
      </c>
      <c r="F77" s="621">
        <v>80.0</v>
      </c>
      <c r="G77" s="622">
        <v>100.0</v>
      </c>
      <c r="H77" s="623">
        <v>30.0</v>
      </c>
      <c r="I77" s="624">
        <v>30.0</v>
      </c>
      <c r="J77" s="625">
        <v>20.0</v>
      </c>
      <c r="K77" s="626">
        <v>300.0</v>
      </c>
      <c r="L77" s="627">
        <v>40.0</v>
      </c>
      <c r="M77" s="621">
        <v>80.0</v>
      </c>
      <c r="N77" s="622">
        <v>100.0</v>
      </c>
      <c r="O77" s="623">
        <v>30.0</v>
      </c>
      <c r="P77" s="624">
        <v>30.0</v>
      </c>
      <c r="Q77" s="625">
        <v>20.0</v>
      </c>
      <c r="R77" s="628">
        <v>300.0</v>
      </c>
      <c r="S77" s="629">
        <v>40.0</v>
      </c>
      <c r="T77" s="621">
        <v>80.0</v>
      </c>
      <c r="U77" s="622">
        <v>100.0</v>
      </c>
      <c r="V77" s="623">
        <v>30.0</v>
      </c>
      <c r="W77" s="624">
        <v>30.0</v>
      </c>
      <c r="X77" s="625">
        <v>20.0</v>
      </c>
      <c r="Y77" s="628">
        <f t="shared" si="1"/>
        <v>300</v>
      </c>
      <c r="Z77" s="619"/>
      <c r="AA77" s="630" t="str">
        <f t="shared" si="2"/>
        <v>#NAME?</v>
      </c>
      <c r="AB77" s="631" t="s">
        <v>66</v>
      </c>
      <c r="AC77" s="632" t="str">
        <f t="shared" si="3"/>
        <v>#NAME?</v>
      </c>
      <c r="AD77" s="630" t="s">
        <v>79</v>
      </c>
      <c r="AE77" s="633" t="str">
        <f t="shared" si="4"/>
        <v>#NAME?</v>
      </c>
      <c r="AF77" s="631" t="s">
        <v>66</v>
      </c>
      <c r="AG77" s="632" t="str">
        <f t="shared" si="5"/>
        <v>#NAME?</v>
      </c>
      <c r="AH77" s="634" t="s">
        <v>79</v>
      </c>
      <c r="AI77" s="635" t="str">
        <f t="shared" si="6"/>
        <v>#NAME?</v>
      </c>
      <c r="AJ77" s="634" t="s">
        <v>66</v>
      </c>
      <c r="AK77" s="636" t="str">
        <f t="shared" si="7"/>
        <v>#NAME?</v>
      </c>
      <c r="AL77" s="637" t="s">
        <v>79</v>
      </c>
      <c r="AM77" s="619"/>
      <c r="AN77" s="638" t="s">
        <v>824</v>
      </c>
      <c r="AO77" s="639" t="s">
        <v>825</v>
      </c>
      <c r="AP77" s="712" t="s">
        <v>824</v>
      </c>
      <c r="AQ77" s="639" t="s">
        <v>825</v>
      </c>
      <c r="AR77" s="712" t="s">
        <v>824</v>
      </c>
      <c r="AS77" s="639" t="s">
        <v>825</v>
      </c>
      <c r="AT77" s="644"/>
      <c r="AU77" s="645"/>
      <c r="AV77" s="646"/>
      <c r="AW77" s="692"/>
      <c r="AX77" s="693"/>
      <c r="AY77" s="619"/>
      <c r="AZ77" s="648" t="s">
        <v>101</v>
      </c>
      <c r="BA77" s="694"/>
      <c r="BB77" s="690"/>
      <c r="BC77" s="619"/>
      <c r="BD77" s="651" t="s">
        <v>15</v>
      </c>
      <c r="BE77" s="653">
        <v>73.0</v>
      </c>
      <c r="BF77" s="653">
        <v>255.0</v>
      </c>
      <c r="BG77" s="654">
        <v>70.0</v>
      </c>
      <c r="BH77" s="653">
        <v>40.0</v>
      </c>
      <c r="BI77" s="607"/>
      <c r="BJ77" s="655" t="s">
        <v>149</v>
      </c>
      <c r="BK77" s="703" t="s">
        <v>149</v>
      </c>
      <c r="BL77" s="610"/>
      <c r="BM77" s="657" t="s">
        <v>826</v>
      </c>
      <c r="BN77" s="704"/>
      <c r="BO77" s="607"/>
      <c r="BP77" s="659" t="s">
        <v>827</v>
      </c>
      <c r="BQ77" s="614"/>
      <c r="BR77" s="660" t="s">
        <v>4432</v>
      </c>
      <c r="BS77" s="614"/>
    </row>
    <row r="78" ht="15.75" customHeight="1">
      <c r="A78" s="616"/>
      <c r="B78" s="661" t="s">
        <v>831</v>
      </c>
      <c r="C78" s="662"/>
      <c r="D78" s="571"/>
      <c r="E78" s="672">
        <v>55.0</v>
      </c>
      <c r="F78" s="664">
        <v>95.0</v>
      </c>
      <c r="G78" s="665">
        <v>115.0</v>
      </c>
      <c r="H78" s="666">
        <v>45.0</v>
      </c>
      <c r="I78" s="667">
        <v>45.0</v>
      </c>
      <c r="J78" s="668">
        <v>35.0</v>
      </c>
      <c r="K78" s="669">
        <v>390.0</v>
      </c>
      <c r="L78" s="670">
        <v>55.0</v>
      </c>
      <c r="M78" s="664">
        <v>95.0</v>
      </c>
      <c r="N78" s="665">
        <v>115.0</v>
      </c>
      <c r="O78" s="666">
        <v>45.0</v>
      </c>
      <c r="P78" s="667">
        <v>45.0</v>
      </c>
      <c r="Q78" s="668">
        <v>35.0</v>
      </c>
      <c r="R78" s="671">
        <v>390.0</v>
      </c>
      <c r="S78" s="672">
        <v>55.0</v>
      </c>
      <c r="T78" s="664">
        <v>95.0</v>
      </c>
      <c r="U78" s="665">
        <v>115.0</v>
      </c>
      <c r="V78" s="666">
        <v>45.0</v>
      </c>
      <c r="W78" s="667">
        <v>45.0</v>
      </c>
      <c r="X78" s="668">
        <v>35.0</v>
      </c>
      <c r="Y78" s="671">
        <f t="shared" si="1"/>
        <v>390</v>
      </c>
      <c r="Z78" s="571"/>
      <c r="AA78" s="673" t="str">
        <f t="shared" si="2"/>
        <v>#NAME?</v>
      </c>
      <c r="AB78" s="674" t="s">
        <v>66</v>
      </c>
      <c r="AC78" s="675" t="str">
        <f t="shared" si="3"/>
        <v>#NAME?</v>
      </c>
      <c r="AD78" s="673" t="s">
        <v>79</v>
      </c>
      <c r="AE78" s="676" t="str">
        <f t="shared" si="4"/>
        <v>#NAME?</v>
      </c>
      <c r="AF78" s="674" t="s">
        <v>66</v>
      </c>
      <c r="AG78" s="675" t="str">
        <f t="shared" si="5"/>
        <v>#NAME?</v>
      </c>
      <c r="AH78" s="586" t="s">
        <v>79</v>
      </c>
      <c r="AI78" s="677" t="str">
        <f t="shared" si="6"/>
        <v>#NAME?</v>
      </c>
      <c r="AJ78" s="586" t="s">
        <v>66</v>
      </c>
      <c r="AK78" s="584" t="str">
        <f t="shared" si="7"/>
        <v>#NAME?</v>
      </c>
      <c r="AL78" s="678" t="s">
        <v>79</v>
      </c>
      <c r="AM78" s="571"/>
      <c r="AN78" s="679" t="s">
        <v>824</v>
      </c>
      <c r="AO78" s="680" t="s">
        <v>825</v>
      </c>
      <c r="AP78" s="705" t="s">
        <v>824</v>
      </c>
      <c r="AQ78" s="680" t="s">
        <v>825</v>
      </c>
      <c r="AR78" s="705" t="s">
        <v>824</v>
      </c>
      <c r="AS78" s="680" t="s">
        <v>825</v>
      </c>
      <c r="AT78" s="595"/>
      <c r="AU78" s="685"/>
      <c r="AV78" s="686"/>
      <c r="AW78" s="687"/>
      <c r="AX78" s="688"/>
      <c r="AY78" s="571"/>
      <c r="AZ78" s="689" t="s">
        <v>162</v>
      </c>
      <c r="BA78" s="690"/>
      <c r="BB78" s="696"/>
      <c r="BC78" s="571"/>
      <c r="BD78" s="651" t="s">
        <v>15</v>
      </c>
      <c r="BE78" s="653">
        <v>134.0</v>
      </c>
      <c r="BF78" s="653">
        <v>120.0</v>
      </c>
      <c r="BG78" s="654">
        <v>70.0</v>
      </c>
      <c r="BH78" s="653">
        <v>100.0</v>
      </c>
      <c r="BI78" s="607"/>
      <c r="BJ78" s="655" t="s">
        <v>149</v>
      </c>
      <c r="BK78" s="703" t="s">
        <v>149</v>
      </c>
      <c r="BL78" s="610"/>
      <c r="BM78" s="657" t="s">
        <v>826</v>
      </c>
      <c r="BN78" s="704"/>
      <c r="BO78" s="607"/>
      <c r="BP78" s="659" t="s">
        <v>835</v>
      </c>
      <c r="BQ78" s="614"/>
      <c r="BR78" s="660" t="s">
        <v>4432</v>
      </c>
      <c r="BS78" s="614"/>
    </row>
    <row r="79" ht="15.75" customHeight="1">
      <c r="A79" s="616"/>
      <c r="B79" s="617" t="s">
        <v>839</v>
      </c>
      <c r="C79" s="618"/>
      <c r="D79" s="619"/>
      <c r="E79" s="629">
        <v>80.0</v>
      </c>
      <c r="F79" s="621">
        <v>110.0</v>
      </c>
      <c r="G79" s="622">
        <v>130.0</v>
      </c>
      <c r="H79" s="623">
        <v>55.0</v>
      </c>
      <c r="I79" s="624">
        <v>65.0</v>
      </c>
      <c r="J79" s="625">
        <v>45.0</v>
      </c>
      <c r="K79" s="626">
        <v>485.0</v>
      </c>
      <c r="L79" s="627">
        <v>80.0</v>
      </c>
      <c r="M79" s="621">
        <v>120.0</v>
      </c>
      <c r="N79" s="622">
        <v>130.0</v>
      </c>
      <c r="O79" s="623">
        <v>55.0</v>
      </c>
      <c r="P79" s="624">
        <v>65.0</v>
      </c>
      <c r="Q79" s="625">
        <v>45.0</v>
      </c>
      <c r="R79" s="628">
        <v>495.0</v>
      </c>
      <c r="S79" s="629">
        <v>80.0</v>
      </c>
      <c r="T79" s="621">
        <v>120.0</v>
      </c>
      <c r="U79" s="622">
        <v>130.0</v>
      </c>
      <c r="V79" s="623">
        <v>55.0</v>
      </c>
      <c r="W79" s="624">
        <v>65.0</v>
      </c>
      <c r="X79" s="625">
        <v>45.0</v>
      </c>
      <c r="Y79" s="628">
        <f t="shared" si="1"/>
        <v>495</v>
      </c>
      <c r="Z79" s="619"/>
      <c r="AA79" s="630" t="str">
        <f t="shared" si="2"/>
        <v>#NAME?</v>
      </c>
      <c r="AB79" s="631" t="s">
        <v>66</v>
      </c>
      <c r="AC79" s="632" t="str">
        <f t="shared" si="3"/>
        <v>#NAME?</v>
      </c>
      <c r="AD79" s="630" t="s">
        <v>79</v>
      </c>
      <c r="AE79" s="633" t="str">
        <f t="shared" si="4"/>
        <v>#NAME?</v>
      </c>
      <c r="AF79" s="631" t="s">
        <v>66</v>
      </c>
      <c r="AG79" s="632" t="str">
        <f t="shared" si="5"/>
        <v>#NAME?</v>
      </c>
      <c r="AH79" s="634" t="s">
        <v>79</v>
      </c>
      <c r="AI79" s="635" t="str">
        <f t="shared" si="6"/>
        <v>#NAME?</v>
      </c>
      <c r="AJ79" s="634" t="s">
        <v>66</v>
      </c>
      <c r="AK79" s="636" t="str">
        <f t="shared" si="7"/>
        <v>#NAME?</v>
      </c>
      <c r="AL79" s="637" t="s">
        <v>79</v>
      </c>
      <c r="AM79" s="619"/>
      <c r="AN79" s="638" t="s">
        <v>824</v>
      </c>
      <c r="AO79" s="639" t="s">
        <v>825</v>
      </c>
      <c r="AP79" s="712" t="s">
        <v>824</v>
      </c>
      <c r="AQ79" s="639" t="s">
        <v>825</v>
      </c>
      <c r="AR79" s="712" t="s">
        <v>824</v>
      </c>
      <c r="AS79" s="639" t="s">
        <v>825</v>
      </c>
      <c r="AT79" s="644"/>
      <c r="AU79" s="645"/>
      <c r="AV79" s="646"/>
      <c r="AW79" s="692"/>
      <c r="AX79" s="693"/>
      <c r="AY79" s="619"/>
      <c r="AZ79" s="698" t="s">
        <v>717</v>
      </c>
      <c r="BA79" s="699"/>
      <c r="BB79" s="690"/>
      <c r="BC79" s="619"/>
      <c r="BD79" s="651" t="s">
        <v>15</v>
      </c>
      <c r="BE79" s="653">
        <v>177.0</v>
      </c>
      <c r="BF79" s="653">
        <v>45.0</v>
      </c>
      <c r="BG79" s="654">
        <v>70.0</v>
      </c>
      <c r="BH79" s="653">
        <v>120.0</v>
      </c>
      <c r="BI79" s="607"/>
      <c r="BJ79" s="655" t="s">
        <v>149</v>
      </c>
      <c r="BK79" s="703" t="s">
        <v>149</v>
      </c>
      <c r="BL79" s="610"/>
      <c r="BM79" s="657" t="s">
        <v>826</v>
      </c>
      <c r="BN79" s="704"/>
      <c r="BO79" s="607"/>
      <c r="BP79" s="659" t="s">
        <v>4439</v>
      </c>
      <c r="BQ79" s="614"/>
      <c r="BR79" s="660" t="s">
        <v>4432</v>
      </c>
      <c r="BS79" s="614"/>
    </row>
    <row r="80" ht="15.75" customHeight="1">
      <c r="A80" s="616"/>
      <c r="B80" s="661" t="s">
        <v>848</v>
      </c>
      <c r="C80" s="662"/>
      <c r="D80" s="571"/>
      <c r="E80" s="672">
        <v>50.0</v>
      </c>
      <c r="F80" s="664">
        <v>85.0</v>
      </c>
      <c r="G80" s="665">
        <v>55.0</v>
      </c>
      <c r="H80" s="666">
        <v>65.0</v>
      </c>
      <c r="I80" s="667">
        <v>65.0</v>
      </c>
      <c r="J80" s="668">
        <v>90.0</v>
      </c>
      <c r="K80" s="669">
        <v>410.0</v>
      </c>
      <c r="L80" s="670">
        <v>50.0</v>
      </c>
      <c r="M80" s="664">
        <v>85.0</v>
      </c>
      <c r="N80" s="665">
        <v>55.0</v>
      </c>
      <c r="O80" s="666">
        <v>65.0</v>
      </c>
      <c r="P80" s="667">
        <v>65.0</v>
      </c>
      <c r="Q80" s="668">
        <v>90.0</v>
      </c>
      <c r="R80" s="671">
        <v>410.0</v>
      </c>
      <c r="S80" s="672">
        <v>50.0</v>
      </c>
      <c r="T80" s="664">
        <v>85.0</v>
      </c>
      <c r="U80" s="665">
        <v>55.0</v>
      </c>
      <c r="V80" s="666">
        <v>65.0</v>
      </c>
      <c r="W80" s="667">
        <v>65.0</v>
      </c>
      <c r="X80" s="668">
        <v>90.0</v>
      </c>
      <c r="Y80" s="671">
        <f t="shared" si="1"/>
        <v>410</v>
      </c>
      <c r="Z80" s="571"/>
      <c r="AA80" s="673" t="str">
        <f t="shared" si="2"/>
        <v>#NAME?</v>
      </c>
      <c r="AB80" s="674" t="s">
        <v>34</v>
      </c>
      <c r="AC80" s="675" t="str">
        <f t="shared" si="3"/>
        <v>#NAME?</v>
      </c>
      <c r="AD80" s="680" t="s">
        <v>4428</v>
      </c>
      <c r="AE80" s="676" t="str">
        <f t="shared" si="4"/>
        <v>#NAME?</v>
      </c>
      <c r="AF80" s="674" t="s">
        <v>34</v>
      </c>
      <c r="AG80" s="675" t="str">
        <f t="shared" si="5"/>
        <v>#NAME?</v>
      </c>
      <c r="AH80" s="586" t="s">
        <v>4428</v>
      </c>
      <c r="AI80" s="677" t="str">
        <f t="shared" si="6"/>
        <v>#NAME?</v>
      </c>
      <c r="AJ80" s="586" t="s">
        <v>34</v>
      </c>
      <c r="AK80" s="584" t="str">
        <f t="shared" si="7"/>
        <v>#NAME?</v>
      </c>
      <c r="AL80" s="678" t="s">
        <v>4428</v>
      </c>
      <c r="AM80" s="571"/>
      <c r="AN80" s="679" t="s">
        <v>146</v>
      </c>
      <c r="AO80" s="680" t="s">
        <v>486</v>
      </c>
      <c r="AP80" s="763" t="s">
        <v>852</v>
      </c>
      <c r="AQ80" s="680" t="s">
        <v>486</v>
      </c>
      <c r="AR80" s="763" t="s">
        <v>852</v>
      </c>
      <c r="AS80" s="680" t="s">
        <v>486</v>
      </c>
      <c r="AT80" s="595"/>
      <c r="AU80" s="685"/>
      <c r="AV80" s="686"/>
      <c r="AW80" s="687"/>
      <c r="AX80" s="688"/>
      <c r="AY80" s="571"/>
      <c r="AZ80" s="695" t="s">
        <v>56</v>
      </c>
      <c r="BA80" s="700"/>
      <c r="BB80" s="690"/>
      <c r="BC80" s="571"/>
      <c r="BD80" s="651" t="s">
        <v>150</v>
      </c>
      <c r="BE80" s="653">
        <v>152.0</v>
      </c>
      <c r="BF80" s="653">
        <v>190.0</v>
      </c>
      <c r="BG80" s="654">
        <v>70.0</v>
      </c>
      <c r="BH80" s="653">
        <v>60.0</v>
      </c>
      <c r="BI80" s="607"/>
      <c r="BJ80" s="655" t="s">
        <v>149</v>
      </c>
      <c r="BK80" s="703" t="s">
        <v>149</v>
      </c>
      <c r="BL80" s="610"/>
      <c r="BM80" s="657" t="s">
        <v>277</v>
      </c>
      <c r="BN80" s="704"/>
      <c r="BO80" s="607"/>
      <c r="BP80" s="659" t="s">
        <v>853</v>
      </c>
      <c r="BQ80" s="614"/>
      <c r="BR80" s="660" t="s">
        <v>4433</v>
      </c>
      <c r="BS80" s="614"/>
    </row>
    <row r="81" ht="15.75" customHeight="1">
      <c r="A81" s="616"/>
      <c r="B81" s="617" t="s">
        <v>857</v>
      </c>
      <c r="C81" s="618"/>
      <c r="D81" s="619"/>
      <c r="E81" s="629">
        <v>65.0</v>
      </c>
      <c r="F81" s="621">
        <v>100.0</v>
      </c>
      <c r="G81" s="622">
        <v>70.0</v>
      </c>
      <c r="H81" s="623">
        <v>80.0</v>
      </c>
      <c r="I81" s="624">
        <v>80.0</v>
      </c>
      <c r="J81" s="625">
        <v>105.0</v>
      </c>
      <c r="K81" s="626">
        <v>500.0</v>
      </c>
      <c r="L81" s="627">
        <v>65.0</v>
      </c>
      <c r="M81" s="621">
        <v>100.0</v>
      </c>
      <c r="N81" s="622">
        <v>70.0</v>
      </c>
      <c r="O81" s="623">
        <v>80.0</v>
      </c>
      <c r="P81" s="624">
        <v>80.0</v>
      </c>
      <c r="Q81" s="625">
        <v>105.0</v>
      </c>
      <c r="R81" s="628">
        <v>500.0</v>
      </c>
      <c r="S81" s="629">
        <v>65.0</v>
      </c>
      <c r="T81" s="621">
        <v>100.0</v>
      </c>
      <c r="U81" s="622">
        <v>70.0</v>
      </c>
      <c r="V81" s="623">
        <v>80.0</v>
      </c>
      <c r="W81" s="624">
        <v>80.0</v>
      </c>
      <c r="X81" s="625">
        <v>105.0</v>
      </c>
      <c r="Y81" s="628">
        <f t="shared" si="1"/>
        <v>500</v>
      </c>
      <c r="Z81" s="619"/>
      <c r="AA81" s="630" t="str">
        <f t="shared" si="2"/>
        <v>#NAME?</v>
      </c>
      <c r="AB81" s="631" t="s">
        <v>34</v>
      </c>
      <c r="AC81" s="632" t="str">
        <f t="shared" si="3"/>
        <v>#NAME?</v>
      </c>
      <c r="AD81" s="639" t="s">
        <v>4428</v>
      </c>
      <c r="AE81" s="633" t="str">
        <f t="shared" si="4"/>
        <v>#NAME?</v>
      </c>
      <c r="AF81" s="631" t="s">
        <v>34</v>
      </c>
      <c r="AG81" s="632" t="str">
        <f t="shared" si="5"/>
        <v>#NAME?</v>
      </c>
      <c r="AH81" s="634" t="s">
        <v>4428</v>
      </c>
      <c r="AI81" s="635" t="str">
        <f t="shared" si="6"/>
        <v>#NAME?</v>
      </c>
      <c r="AJ81" s="634" t="s">
        <v>34</v>
      </c>
      <c r="AK81" s="636" t="str">
        <f t="shared" si="7"/>
        <v>#NAME?</v>
      </c>
      <c r="AL81" s="637" t="s">
        <v>4428</v>
      </c>
      <c r="AM81" s="619"/>
      <c r="AN81" s="638" t="s">
        <v>146</v>
      </c>
      <c r="AO81" s="639" t="s">
        <v>486</v>
      </c>
      <c r="AP81" s="721" t="s">
        <v>852</v>
      </c>
      <c r="AQ81" s="639" t="s">
        <v>486</v>
      </c>
      <c r="AR81" s="721" t="s">
        <v>852</v>
      </c>
      <c r="AS81" s="639" t="s">
        <v>486</v>
      </c>
      <c r="AT81" s="644"/>
      <c r="AU81" s="645"/>
      <c r="AV81" s="646"/>
      <c r="AW81" s="692"/>
      <c r="AX81" s="693"/>
      <c r="AY81" s="619"/>
      <c r="AZ81" s="698" t="s">
        <v>248</v>
      </c>
      <c r="BA81" s="690"/>
      <c r="BB81" s="650"/>
      <c r="BC81" s="619"/>
      <c r="BD81" s="651" t="s">
        <v>150</v>
      </c>
      <c r="BE81" s="653">
        <v>192.0</v>
      </c>
      <c r="BF81" s="653">
        <v>60.0</v>
      </c>
      <c r="BG81" s="654">
        <v>70.0</v>
      </c>
      <c r="BH81" s="653">
        <v>80.0</v>
      </c>
      <c r="BI81" s="607"/>
      <c r="BJ81" s="655" t="s">
        <v>149</v>
      </c>
      <c r="BK81" s="703" t="s">
        <v>149</v>
      </c>
      <c r="BL81" s="610"/>
      <c r="BM81" s="657" t="s">
        <v>277</v>
      </c>
      <c r="BN81" s="704"/>
      <c r="BO81" s="607"/>
      <c r="BP81" s="659" t="s">
        <v>4440</v>
      </c>
      <c r="BQ81" s="614"/>
      <c r="BR81" s="660" t="s">
        <v>4433</v>
      </c>
      <c r="BS81" s="614"/>
    </row>
    <row r="82" ht="15.75" customHeight="1">
      <c r="A82" s="616"/>
      <c r="B82" s="661" t="s">
        <v>866</v>
      </c>
      <c r="C82" s="662"/>
      <c r="D82" s="571"/>
      <c r="E82" s="672">
        <v>90.0</v>
      </c>
      <c r="F82" s="664">
        <v>65.0</v>
      </c>
      <c r="G82" s="665">
        <v>65.0</v>
      </c>
      <c r="H82" s="666">
        <v>40.0</v>
      </c>
      <c r="I82" s="667">
        <v>40.0</v>
      </c>
      <c r="J82" s="668">
        <v>15.0</v>
      </c>
      <c r="K82" s="669">
        <v>315.0</v>
      </c>
      <c r="L82" s="670">
        <v>90.0</v>
      </c>
      <c r="M82" s="664">
        <v>65.0</v>
      </c>
      <c r="N82" s="665">
        <v>65.0</v>
      </c>
      <c r="O82" s="666">
        <v>40.0</v>
      </c>
      <c r="P82" s="667">
        <v>40.0</v>
      </c>
      <c r="Q82" s="668">
        <v>15.0</v>
      </c>
      <c r="R82" s="671">
        <v>315.0</v>
      </c>
      <c r="S82" s="672">
        <v>90.0</v>
      </c>
      <c r="T82" s="664">
        <v>65.0</v>
      </c>
      <c r="U82" s="665">
        <v>65.0</v>
      </c>
      <c r="V82" s="666">
        <v>40.0</v>
      </c>
      <c r="W82" s="667">
        <v>40.0</v>
      </c>
      <c r="X82" s="668">
        <v>15.0</v>
      </c>
      <c r="Y82" s="671">
        <f t="shared" si="1"/>
        <v>315</v>
      </c>
      <c r="Z82" s="571"/>
      <c r="AA82" s="673" t="str">
        <f t="shared" si="2"/>
        <v>#NAME?</v>
      </c>
      <c r="AB82" s="674" t="s">
        <v>32</v>
      </c>
      <c r="AC82" s="675" t="str">
        <f t="shared" si="3"/>
        <v>#NAME?</v>
      </c>
      <c r="AD82" s="673" t="s">
        <v>122</v>
      </c>
      <c r="AE82" s="676" t="str">
        <f t="shared" si="4"/>
        <v>#NAME?</v>
      </c>
      <c r="AF82" s="674" t="s">
        <v>32</v>
      </c>
      <c r="AG82" s="675" t="str">
        <f t="shared" si="5"/>
        <v>#NAME?</v>
      </c>
      <c r="AH82" s="586" t="s">
        <v>122</v>
      </c>
      <c r="AI82" s="677" t="str">
        <f t="shared" si="6"/>
        <v>#NAME?</v>
      </c>
      <c r="AJ82" s="586" t="s">
        <v>32</v>
      </c>
      <c r="AK82" s="584" t="str">
        <f t="shared" si="7"/>
        <v>#NAME?</v>
      </c>
      <c r="AL82" s="678" t="s">
        <v>122</v>
      </c>
      <c r="AM82" s="571"/>
      <c r="AN82" s="679" t="s">
        <v>870</v>
      </c>
      <c r="AO82" s="680" t="s">
        <v>871</v>
      </c>
      <c r="AP82" s="705" t="s">
        <v>870</v>
      </c>
      <c r="AQ82" s="680" t="s">
        <v>871</v>
      </c>
      <c r="AR82" s="705" t="s">
        <v>870</v>
      </c>
      <c r="AS82" s="680" t="s">
        <v>871</v>
      </c>
      <c r="AT82" s="595"/>
      <c r="AU82" s="685" t="str">
        <f>image("https://www.pokebip.com/pages/icones/objets/ralentiqueue.png", 3)</f>
        <v/>
      </c>
      <c r="AV82" s="686" t="s">
        <v>874</v>
      </c>
      <c r="AW82" s="687"/>
      <c r="AX82" s="688"/>
      <c r="AY82" s="571"/>
      <c r="AZ82" s="695" t="s">
        <v>144</v>
      </c>
      <c r="BA82" s="700"/>
      <c r="BB82" s="690"/>
      <c r="BC82" s="571"/>
      <c r="BD82" s="651" t="s">
        <v>150</v>
      </c>
      <c r="BE82" s="653">
        <v>99.0</v>
      </c>
      <c r="BF82" s="653">
        <v>190.0</v>
      </c>
      <c r="BG82" s="654">
        <v>70.0</v>
      </c>
      <c r="BH82" s="653">
        <v>60.0</v>
      </c>
      <c r="BI82" s="607"/>
      <c r="BJ82" s="764" t="s">
        <v>149</v>
      </c>
      <c r="BK82" s="703" t="s">
        <v>149</v>
      </c>
      <c r="BL82" s="610"/>
      <c r="BM82" s="657" t="s">
        <v>14</v>
      </c>
      <c r="BN82" s="658" t="s">
        <v>106</v>
      </c>
      <c r="BO82" s="607"/>
      <c r="BP82" s="659" t="s">
        <v>873</v>
      </c>
      <c r="BQ82" s="614"/>
      <c r="BR82" s="660" t="s">
        <v>4435</v>
      </c>
      <c r="BS82" s="614"/>
    </row>
    <row r="83" ht="15.75" customHeight="1">
      <c r="A83" s="616"/>
      <c r="B83" s="617" t="s">
        <v>878</v>
      </c>
      <c r="C83" s="618"/>
      <c r="D83" s="619"/>
      <c r="E83" s="629">
        <v>95.0</v>
      </c>
      <c r="F83" s="621">
        <v>75.0</v>
      </c>
      <c r="G83" s="622">
        <v>110.0</v>
      </c>
      <c r="H83" s="623">
        <v>100.0</v>
      </c>
      <c r="I83" s="624">
        <v>80.0</v>
      </c>
      <c r="J83" s="625">
        <v>30.0</v>
      </c>
      <c r="K83" s="626">
        <v>490.0</v>
      </c>
      <c r="L83" s="627">
        <v>95.0</v>
      </c>
      <c r="M83" s="621">
        <v>75.0</v>
      </c>
      <c r="N83" s="622">
        <v>110.0</v>
      </c>
      <c r="O83" s="623">
        <v>100.0</v>
      </c>
      <c r="P83" s="624">
        <v>80.0</v>
      </c>
      <c r="Q83" s="625">
        <v>30.0</v>
      </c>
      <c r="R83" s="628">
        <v>490.0</v>
      </c>
      <c r="S83" s="629">
        <v>95.0</v>
      </c>
      <c r="T83" s="621">
        <v>75.0</v>
      </c>
      <c r="U83" s="622">
        <v>110.0</v>
      </c>
      <c r="V83" s="623">
        <v>100.0</v>
      </c>
      <c r="W83" s="624">
        <v>80.0</v>
      </c>
      <c r="X83" s="625">
        <v>30.0</v>
      </c>
      <c r="Y83" s="628">
        <f t="shared" si="1"/>
        <v>490</v>
      </c>
      <c r="Z83" s="619"/>
      <c r="AA83" s="630" t="str">
        <f t="shared" si="2"/>
        <v>#NAME?</v>
      </c>
      <c r="AB83" s="631" t="s">
        <v>32</v>
      </c>
      <c r="AC83" s="632" t="str">
        <f t="shared" si="3"/>
        <v>#NAME?</v>
      </c>
      <c r="AD83" s="630" t="s">
        <v>122</v>
      </c>
      <c r="AE83" s="633" t="str">
        <f t="shared" si="4"/>
        <v>#NAME?</v>
      </c>
      <c r="AF83" s="631" t="s">
        <v>32</v>
      </c>
      <c r="AG83" s="632" t="str">
        <f t="shared" si="5"/>
        <v>#NAME?</v>
      </c>
      <c r="AH83" s="634" t="s">
        <v>122</v>
      </c>
      <c r="AI83" s="635" t="str">
        <f t="shared" si="6"/>
        <v>#NAME?</v>
      </c>
      <c r="AJ83" s="634" t="s">
        <v>32</v>
      </c>
      <c r="AK83" s="636" t="str">
        <f t="shared" si="7"/>
        <v>#NAME?</v>
      </c>
      <c r="AL83" s="637" t="s">
        <v>122</v>
      </c>
      <c r="AM83" s="619"/>
      <c r="AN83" s="638" t="s">
        <v>870</v>
      </c>
      <c r="AO83" s="639" t="s">
        <v>871</v>
      </c>
      <c r="AP83" s="712" t="s">
        <v>870</v>
      </c>
      <c r="AQ83" s="639" t="s">
        <v>871</v>
      </c>
      <c r="AR83" s="712" t="s">
        <v>870</v>
      </c>
      <c r="AS83" s="639" t="s">
        <v>871</v>
      </c>
      <c r="AT83" s="644"/>
      <c r="AU83" s="645" t="str">
        <f>image("https://www.pokebip.com/pages/icones/objets/roche-royale.png", 3)</f>
        <v/>
      </c>
      <c r="AV83" s="646" t="s">
        <v>709</v>
      </c>
      <c r="AW83" s="692"/>
      <c r="AX83" s="693"/>
      <c r="AY83" s="619"/>
      <c r="AZ83" s="698" t="s">
        <v>162</v>
      </c>
      <c r="BA83" s="690"/>
      <c r="BB83" s="650"/>
      <c r="BC83" s="619"/>
      <c r="BD83" s="651" t="s">
        <v>150</v>
      </c>
      <c r="BE83" s="653">
        <v>164.0</v>
      </c>
      <c r="BF83" s="653">
        <v>75.0</v>
      </c>
      <c r="BG83" s="654">
        <v>70.0</v>
      </c>
      <c r="BH83" s="653">
        <v>80.0</v>
      </c>
      <c r="BI83" s="607"/>
      <c r="BJ83" s="764" t="s">
        <v>149</v>
      </c>
      <c r="BK83" s="703" t="s">
        <v>149</v>
      </c>
      <c r="BL83" s="610"/>
      <c r="BM83" s="657" t="s">
        <v>14</v>
      </c>
      <c r="BN83" s="658" t="s">
        <v>106</v>
      </c>
      <c r="BO83" s="607"/>
      <c r="BP83" s="659" t="s">
        <v>4441</v>
      </c>
      <c r="BQ83" s="614"/>
      <c r="BR83" s="660" t="s">
        <v>4435</v>
      </c>
      <c r="BS83" s="614"/>
    </row>
    <row r="84" ht="15.75" customHeight="1">
      <c r="A84" s="616"/>
      <c r="B84" s="661" t="s">
        <v>885</v>
      </c>
      <c r="C84" s="662"/>
      <c r="D84" s="571"/>
      <c r="E84" s="672">
        <v>25.0</v>
      </c>
      <c r="F84" s="664">
        <v>35.0</v>
      </c>
      <c r="G84" s="665">
        <v>70.0</v>
      </c>
      <c r="H84" s="666">
        <v>95.0</v>
      </c>
      <c r="I84" s="667">
        <v>55.0</v>
      </c>
      <c r="J84" s="668">
        <v>45.0</v>
      </c>
      <c r="K84" s="669">
        <v>325.0</v>
      </c>
      <c r="L84" s="670">
        <v>25.0</v>
      </c>
      <c r="M84" s="664">
        <v>35.0</v>
      </c>
      <c r="N84" s="665">
        <v>70.0</v>
      </c>
      <c r="O84" s="666">
        <v>95.0</v>
      </c>
      <c r="P84" s="667">
        <v>55.0</v>
      </c>
      <c r="Q84" s="668">
        <v>45.0</v>
      </c>
      <c r="R84" s="671">
        <v>325.0</v>
      </c>
      <c r="S84" s="672">
        <v>25.0</v>
      </c>
      <c r="T84" s="664">
        <v>35.0</v>
      </c>
      <c r="U84" s="665">
        <v>70.0</v>
      </c>
      <c r="V84" s="666">
        <v>95.0</v>
      </c>
      <c r="W84" s="667">
        <v>55.0</v>
      </c>
      <c r="X84" s="668">
        <v>45.0</v>
      </c>
      <c r="Y84" s="671">
        <f t="shared" si="1"/>
        <v>325</v>
      </c>
      <c r="Z84" s="571"/>
      <c r="AA84" s="673" t="str">
        <f t="shared" si="2"/>
        <v>#NAME?</v>
      </c>
      <c r="AB84" s="674" t="s">
        <v>197</v>
      </c>
      <c r="AC84" s="675" t="str">
        <f t="shared" si="3"/>
        <v>#NAME?</v>
      </c>
      <c r="AD84" s="673" t="s">
        <v>95</v>
      </c>
      <c r="AE84" s="676" t="str">
        <f t="shared" si="4"/>
        <v>#NAME?</v>
      </c>
      <c r="AF84" s="674" t="s">
        <v>197</v>
      </c>
      <c r="AG84" s="675" t="str">
        <f t="shared" si="5"/>
        <v>#NAME?</v>
      </c>
      <c r="AH84" s="586" t="s">
        <v>95</v>
      </c>
      <c r="AI84" s="677" t="str">
        <f t="shared" si="6"/>
        <v>#NAME?</v>
      </c>
      <c r="AJ84" s="586" t="s">
        <v>197</v>
      </c>
      <c r="AK84" s="584" t="str">
        <f t="shared" si="7"/>
        <v>#NAME?</v>
      </c>
      <c r="AL84" s="678" t="s">
        <v>95</v>
      </c>
      <c r="AM84" s="571"/>
      <c r="AN84" s="679" t="s">
        <v>889</v>
      </c>
      <c r="AO84" s="680" t="s">
        <v>825</v>
      </c>
      <c r="AP84" s="705" t="s">
        <v>889</v>
      </c>
      <c r="AQ84" s="680" t="s">
        <v>825</v>
      </c>
      <c r="AR84" s="705" t="s">
        <v>889</v>
      </c>
      <c r="AS84" s="680" t="s">
        <v>825</v>
      </c>
      <c r="AT84" s="595"/>
      <c r="AU84" s="685" t="str">
        <f t="shared" ref="AU84:AU85" si="20">image("https://www.pokebip.com/pages/icones/objets/peau-metal.png", 3)</f>
        <v/>
      </c>
      <c r="AV84" s="686" t="s">
        <v>892</v>
      </c>
      <c r="AW84" s="687"/>
      <c r="AX84" s="688"/>
      <c r="AY84" s="571"/>
      <c r="AZ84" s="695" t="s">
        <v>4</v>
      </c>
      <c r="BA84" s="700"/>
      <c r="BB84" s="690"/>
      <c r="BC84" s="571"/>
      <c r="BD84" s="651" t="s">
        <v>150</v>
      </c>
      <c r="BE84" s="653">
        <v>89.0</v>
      </c>
      <c r="BF84" s="653">
        <v>190.0</v>
      </c>
      <c r="BG84" s="654">
        <v>70.0</v>
      </c>
      <c r="BH84" s="653">
        <v>20.0</v>
      </c>
      <c r="BI84" s="607"/>
      <c r="BJ84" s="765" t="s">
        <v>890</v>
      </c>
      <c r="BK84" s="766"/>
      <c r="BL84" s="610"/>
      <c r="BM84" s="767" t="s">
        <v>826</v>
      </c>
      <c r="BN84" s="704"/>
      <c r="BO84" s="607"/>
      <c r="BP84" s="659" t="s">
        <v>891</v>
      </c>
      <c r="BQ84" s="614"/>
      <c r="BR84" s="660" t="s">
        <v>4437</v>
      </c>
      <c r="BS84" s="614"/>
    </row>
    <row r="85" ht="15.75" customHeight="1">
      <c r="A85" s="616"/>
      <c r="B85" s="617" t="s">
        <v>896</v>
      </c>
      <c r="C85" s="618"/>
      <c r="D85" s="619"/>
      <c r="E85" s="629">
        <v>50.0</v>
      </c>
      <c r="F85" s="750">
        <v>60.0</v>
      </c>
      <c r="G85" s="622">
        <v>95.0</v>
      </c>
      <c r="H85" s="623">
        <v>120.0</v>
      </c>
      <c r="I85" s="624">
        <v>70.0</v>
      </c>
      <c r="J85" s="625">
        <v>70.0</v>
      </c>
      <c r="K85" s="749">
        <v>465.0</v>
      </c>
      <c r="L85" s="627">
        <v>50.0</v>
      </c>
      <c r="M85" s="750">
        <v>60.0</v>
      </c>
      <c r="N85" s="622">
        <v>95.0</v>
      </c>
      <c r="O85" s="623">
        <v>120.0</v>
      </c>
      <c r="P85" s="624">
        <v>70.0</v>
      </c>
      <c r="Q85" s="625">
        <v>70.0</v>
      </c>
      <c r="R85" s="628">
        <v>465.0</v>
      </c>
      <c r="S85" s="629">
        <v>50.0</v>
      </c>
      <c r="T85" s="621">
        <v>60.0</v>
      </c>
      <c r="U85" s="622">
        <v>95.0</v>
      </c>
      <c r="V85" s="623">
        <v>120.0</v>
      </c>
      <c r="W85" s="624">
        <v>70.0</v>
      </c>
      <c r="X85" s="625">
        <v>70.0</v>
      </c>
      <c r="Y85" s="628">
        <f t="shared" si="1"/>
        <v>465</v>
      </c>
      <c r="Z85" s="619"/>
      <c r="AA85" s="630" t="str">
        <f t="shared" si="2"/>
        <v>#NAME?</v>
      </c>
      <c r="AB85" s="631" t="s">
        <v>197</v>
      </c>
      <c r="AC85" s="632" t="str">
        <f t="shared" si="3"/>
        <v>#NAME?</v>
      </c>
      <c r="AD85" s="630" t="s">
        <v>95</v>
      </c>
      <c r="AE85" s="633" t="str">
        <f t="shared" si="4"/>
        <v>#NAME?</v>
      </c>
      <c r="AF85" s="631" t="s">
        <v>197</v>
      </c>
      <c r="AG85" s="632" t="str">
        <f t="shared" si="5"/>
        <v>#NAME?</v>
      </c>
      <c r="AH85" s="634" t="s">
        <v>95</v>
      </c>
      <c r="AI85" s="635" t="str">
        <f t="shared" si="6"/>
        <v>#NAME?</v>
      </c>
      <c r="AJ85" s="634" t="s">
        <v>197</v>
      </c>
      <c r="AK85" s="636" t="str">
        <f t="shared" si="7"/>
        <v>#NAME?</v>
      </c>
      <c r="AL85" s="637" t="s">
        <v>95</v>
      </c>
      <c r="AM85" s="619"/>
      <c r="AN85" s="638" t="s">
        <v>889</v>
      </c>
      <c r="AO85" s="639" t="s">
        <v>825</v>
      </c>
      <c r="AP85" s="712" t="s">
        <v>889</v>
      </c>
      <c r="AQ85" s="639" t="s">
        <v>825</v>
      </c>
      <c r="AR85" s="712" t="s">
        <v>889</v>
      </c>
      <c r="AS85" s="639" t="s">
        <v>825</v>
      </c>
      <c r="AT85" s="644"/>
      <c r="AU85" s="645" t="str">
        <f t="shared" si="20"/>
        <v/>
      </c>
      <c r="AV85" s="646" t="s">
        <v>892</v>
      </c>
      <c r="AW85" s="692"/>
      <c r="AX85" s="693"/>
      <c r="AY85" s="619"/>
      <c r="AZ85" s="698" t="s">
        <v>42</v>
      </c>
      <c r="BA85" s="690"/>
      <c r="BB85" s="650"/>
      <c r="BC85" s="619"/>
      <c r="BD85" s="651" t="s">
        <v>150</v>
      </c>
      <c r="BE85" s="653">
        <v>161.0</v>
      </c>
      <c r="BF85" s="653">
        <v>60.0</v>
      </c>
      <c r="BG85" s="654">
        <v>70.0</v>
      </c>
      <c r="BH85" s="653">
        <v>80.0</v>
      </c>
      <c r="BI85" s="607"/>
      <c r="BJ85" s="768" t="s">
        <v>890</v>
      </c>
      <c r="BK85" s="766"/>
      <c r="BL85" s="610"/>
      <c r="BM85" s="767" t="s">
        <v>826</v>
      </c>
      <c r="BN85" s="704"/>
      <c r="BO85" s="607"/>
      <c r="BP85" s="659" t="s">
        <v>899</v>
      </c>
      <c r="BQ85" s="614"/>
      <c r="BR85" s="660" t="s">
        <v>4437</v>
      </c>
      <c r="BS85" s="614"/>
    </row>
    <row r="86" ht="15.75" customHeight="1">
      <c r="A86" s="616"/>
      <c r="B86" s="661" t="s">
        <v>903</v>
      </c>
      <c r="C86" s="662"/>
      <c r="D86" s="571"/>
      <c r="E86" s="672">
        <v>52.0</v>
      </c>
      <c r="F86" s="664">
        <v>65.0</v>
      </c>
      <c r="G86" s="665">
        <v>55.0</v>
      </c>
      <c r="H86" s="666">
        <v>58.0</v>
      </c>
      <c r="I86" s="667">
        <v>62.0</v>
      </c>
      <c r="J86" s="668">
        <v>60.0</v>
      </c>
      <c r="K86" s="669">
        <v>352.0</v>
      </c>
      <c r="L86" s="670">
        <v>52.0</v>
      </c>
      <c r="M86" s="664">
        <v>90.0</v>
      </c>
      <c r="N86" s="665">
        <v>55.0</v>
      </c>
      <c r="O86" s="666">
        <v>58.0</v>
      </c>
      <c r="P86" s="667">
        <v>62.0</v>
      </c>
      <c r="Q86" s="668">
        <v>60.0</v>
      </c>
      <c r="R86" s="671">
        <v>377.0</v>
      </c>
      <c r="S86" s="769">
        <v>55.0</v>
      </c>
      <c r="T86" s="741">
        <v>110.0</v>
      </c>
      <c r="U86" s="742">
        <v>60.0</v>
      </c>
      <c r="V86" s="743">
        <v>55.0</v>
      </c>
      <c r="W86" s="744">
        <v>60.0</v>
      </c>
      <c r="X86" s="745">
        <v>110.0</v>
      </c>
      <c r="Y86" s="671">
        <f t="shared" si="1"/>
        <v>450</v>
      </c>
      <c r="Z86" s="571"/>
      <c r="AA86" s="673" t="str">
        <f t="shared" si="2"/>
        <v>#NAME?</v>
      </c>
      <c r="AB86" s="674" t="s">
        <v>156</v>
      </c>
      <c r="AC86" s="675" t="str">
        <f t="shared" si="3"/>
        <v>#NAME?</v>
      </c>
      <c r="AD86" s="673" t="s">
        <v>18</v>
      </c>
      <c r="AE86" s="676" t="str">
        <f t="shared" si="4"/>
        <v>#NAME?</v>
      </c>
      <c r="AF86" s="674" t="s">
        <v>156</v>
      </c>
      <c r="AG86" s="675" t="str">
        <f t="shared" si="5"/>
        <v>#NAME?</v>
      </c>
      <c r="AH86" s="586" t="s">
        <v>18</v>
      </c>
      <c r="AI86" s="770" t="str">
        <f t="shared" si="6"/>
        <v>#NAME?</v>
      </c>
      <c r="AJ86" s="771" t="s">
        <v>911</v>
      </c>
      <c r="AK86" s="584" t="str">
        <f t="shared" si="7"/>
        <v>#NAME?</v>
      </c>
      <c r="AL86" s="678" t="s">
        <v>18</v>
      </c>
      <c r="AM86" s="571"/>
      <c r="AN86" s="679" t="s">
        <v>235</v>
      </c>
      <c r="AO86" s="680" t="s">
        <v>530</v>
      </c>
      <c r="AP86" s="705" t="s">
        <v>235</v>
      </c>
      <c r="AQ86" s="680" t="s">
        <v>530</v>
      </c>
      <c r="AR86" s="734" t="s">
        <v>912</v>
      </c>
      <c r="AS86" s="772" t="s">
        <v>235</v>
      </c>
      <c r="AT86" s="595"/>
      <c r="AU86" s="685" t="str">
        <f>image("https://www.pokebip.com/pages/icones/objets/baton.png", 3)</f>
        <v/>
      </c>
      <c r="AV86" s="686" t="s">
        <v>915</v>
      </c>
      <c r="AW86" s="687"/>
      <c r="AX86" s="688"/>
      <c r="AY86" s="571"/>
      <c r="AZ86" s="695" t="s">
        <v>906</v>
      </c>
      <c r="BA86" s="773" t="s">
        <v>4442</v>
      </c>
      <c r="BB86" s="690"/>
      <c r="BC86" s="571"/>
      <c r="BD86" s="651" t="s">
        <v>150</v>
      </c>
      <c r="BE86" s="653">
        <v>94.0</v>
      </c>
      <c r="BF86" s="653">
        <v>45.0</v>
      </c>
      <c r="BG86" s="654">
        <v>70.0</v>
      </c>
      <c r="BH86" s="653">
        <v>40.0</v>
      </c>
      <c r="BI86" s="607"/>
      <c r="BJ86" s="655" t="s">
        <v>149</v>
      </c>
      <c r="BK86" s="703" t="s">
        <v>149</v>
      </c>
      <c r="BL86" s="610"/>
      <c r="BM86" s="657" t="s">
        <v>18</v>
      </c>
      <c r="BN86" s="658" t="s">
        <v>277</v>
      </c>
      <c r="BO86" s="607"/>
      <c r="BP86" s="659" t="s">
        <v>914</v>
      </c>
      <c r="BQ86" s="614"/>
      <c r="BR86" s="660" t="s">
        <v>4432</v>
      </c>
      <c r="BS86" s="614"/>
    </row>
    <row r="87" ht="15.75" customHeight="1">
      <c r="A87" s="616"/>
      <c r="B87" s="617" t="s">
        <v>921</v>
      </c>
      <c r="C87" s="618"/>
      <c r="D87" s="619"/>
      <c r="E87" s="629">
        <v>35.0</v>
      </c>
      <c r="F87" s="621">
        <v>85.0</v>
      </c>
      <c r="G87" s="622">
        <v>45.0</v>
      </c>
      <c r="H87" s="623">
        <v>35.0</v>
      </c>
      <c r="I87" s="624">
        <v>35.0</v>
      </c>
      <c r="J87" s="753">
        <v>75.0</v>
      </c>
      <c r="K87" s="749">
        <v>310.0</v>
      </c>
      <c r="L87" s="627">
        <v>35.0</v>
      </c>
      <c r="M87" s="621">
        <v>85.0</v>
      </c>
      <c r="N87" s="622">
        <v>45.0</v>
      </c>
      <c r="O87" s="623">
        <v>35.0</v>
      </c>
      <c r="P87" s="624">
        <v>35.0</v>
      </c>
      <c r="Q87" s="625">
        <v>75.0</v>
      </c>
      <c r="R87" s="628">
        <v>310.0</v>
      </c>
      <c r="S87" s="629">
        <v>35.0</v>
      </c>
      <c r="T87" s="621">
        <v>85.0</v>
      </c>
      <c r="U87" s="622">
        <v>45.0</v>
      </c>
      <c r="V87" s="623">
        <v>35.0</v>
      </c>
      <c r="W87" s="624">
        <v>35.0</v>
      </c>
      <c r="X87" s="625">
        <v>75.0</v>
      </c>
      <c r="Y87" s="628">
        <f t="shared" si="1"/>
        <v>310</v>
      </c>
      <c r="Z87" s="619"/>
      <c r="AA87" s="630" t="str">
        <f t="shared" si="2"/>
        <v>#NAME?</v>
      </c>
      <c r="AB87" s="631" t="s">
        <v>156</v>
      </c>
      <c r="AC87" s="632" t="str">
        <f t="shared" si="3"/>
        <v>#NAME?</v>
      </c>
      <c r="AD87" s="630" t="s">
        <v>18</v>
      </c>
      <c r="AE87" s="633" t="str">
        <f t="shared" si="4"/>
        <v>#NAME?</v>
      </c>
      <c r="AF87" s="631" t="s">
        <v>156</v>
      </c>
      <c r="AG87" s="632" t="str">
        <f t="shared" si="5"/>
        <v>#NAME?</v>
      </c>
      <c r="AH87" s="634" t="s">
        <v>18</v>
      </c>
      <c r="AI87" s="635" t="str">
        <f t="shared" si="6"/>
        <v>#NAME?</v>
      </c>
      <c r="AJ87" s="634" t="s">
        <v>156</v>
      </c>
      <c r="AK87" s="636" t="str">
        <f t="shared" si="7"/>
        <v>#NAME?</v>
      </c>
      <c r="AL87" s="637" t="s">
        <v>18</v>
      </c>
      <c r="AM87" s="619"/>
      <c r="AN87" s="638" t="s">
        <v>146</v>
      </c>
      <c r="AO87" s="639" t="s">
        <v>924</v>
      </c>
      <c r="AP87" s="719" t="s">
        <v>925</v>
      </c>
      <c r="AQ87" s="639" t="s">
        <v>924</v>
      </c>
      <c r="AR87" s="774" t="s">
        <v>925</v>
      </c>
      <c r="AS87" s="639" t="s">
        <v>924</v>
      </c>
      <c r="AT87" s="644"/>
      <c r="AU87" s="645" t="str">
        <f t="shared" ref="AU87:AU88" si="21">image("https://www.pokebip.com/pages/icones/objets/bec-pointu.png", 3)</f>
        <v/>
      </c>
      <c r="AV87" s="646" t="s">
        <v>305</v>
      </c>
      <c r="AW87" s="692"/>
      <c r="AX87" s="693"/>
      <c r="AY87" s="619"/>
      <c r="AZ87" s="648" t="s">
        <v>325</v>
      </c>
      <c r="BA87" s="694"/>
      <c r="BB87" s="690"/>
      <c r="BC87" s="619"/>
      <c r="BD87" s="651" t="s">
        <v>150</v>
      </c>
      <c r="BE87" s="653">
        <v>96.0</v>
      </c>
      <c r="BF87" s="653">
        <v>190.0</v>
      </c>
      <c r="BG87" s="654">
        <v>70.0</v>
      </c>
      <c r="BH87" s="653">
        <v>60.0</v>
      </c>
      <c r="BI87" s="607"/>
      <c r="BJ87" s="655" t="s">
        <v>149</v>
      </c>
      <c r="BK87" s="703" t="s">
        <v>149</v>
      </c>
      <c r="BL87" s="610"/>
      <c r="BM87" s="657" t="s">
        <v>18</v>
      </c>
      <c r="BN87" s="704"/>
      <c r="BO87" s="607"/>
      <c r="BP87" s="659" t="s">
        <v>927</v>
      </c>
      <c r="BQ87" s="614"/>
      <c r="BR87" s="660" t="s">
        <v>4432</v>
      </c>
      <c r="BS87" s="614"/>
    </row>
    <row r="88" ht="15.75" customHeight="1">
      <c r="A88" s="616"/>
      <c r="B88" s="661" t="s">
        <v>930</v>
      </c>
      <c r="C88" s="662"/>
      <c r="D88" s="571"/>
      <c r="E88" s="672">
        <v>60.0</v>
      </c>
      <c r="F88" s="664">
        <v>110.0</v>
      </c>
      <c r="G88" s="665">
        <v>70.0</v>
      </c>
      <c r="H88" s="666">
        <v>60.0</v>
      </c>
      <c r="I88" s="667">
        <v>60.0</v>
      </c>
      <c r="J88" s="668">
        <v>100.0</v>
      </c>
      <c r="K88" s="669">
        <v>460.0</v>
      </c>
      <c r="L88" s="670">
        <v>60.0</v>
      </c>
      <c r="M88" s="664">
        <v>110.0</v>
      </c>
      <c r="N88" s="665">
        <v>70.0</v>
      </c>
      <c r="O88" s="666">
        <v>60.0</v>
      </c>
      <c r="P88" s="667">
        <v>60.0</v>
      </c>
      <c r="Q88" s="668">
        <v>110.0</v>
      </c>
      <c r="R88" s="671">
        <v>470.0</v>
      </c>
      <c r="S88" s="672">
        <v>60.0</v>
      </c>
      <c r="T88" s="664">
        <v>110.0</v>
      </c>
      <c r="U88" s="665">
        <v>70.0</v>
      </c>
      <c r="V88" s="666">
        <v>60.0</v>
      </c>
      <c r="W88" s="667">
        <v>60.0</v>
      </c>
      <c r="X88" s="668">
        <v>110.0</v>
      </c>
      <c r="Y88" s="671">
        <f t="shared" si="1"/>
        <v>470</v>
      </c>
      <c r="Z88" s="571"/>
      <c r="AA88" s="673" t="str">
        <f t="shared" si="2"/>
        <v>#NAME?</v>
      </c>
      <c r="AB88" s="674" t="s">
        <v>156</v>
      </c>
      <c r="AC88" s="675" t="str">
        <f t="shared" si="3"/>
        <v>#NAME?</v>
      </c>
      <c r="AD88" s="673" t="s">
        <v>18</v>
      </c>
      <c r="AE88" s="676" t="str">
        <f t="shared" si="4"/>
        <v>#NAME?</v>
      </c>
      <c r="AF88" s="674" t="s">
        <v>156</v>
      </c>
      <c r="AG88" s="675" t="str">
        <f t="shared" si="5"/>
        <v>#NAME?</v>
      </c>
      <c r="AH88" s="586" t="s">
        <v>18</v>
      </c>
      <c r="AI88" s="677" t="str">
        <f t="shared" si="6"/>
        <v>#NAME?</v>
      </c>
      <c r="AJ88" s="586" t="s">
        <v>156</v>
      </c>
      <c r="AK88" s="584" t="str">
        <f t="shared" si="7"/>
        <v>#NAME?</v>
      </c>
      <c r="AL88" s="678" t="s">
        <v>18</v>
      </c>
      <c r="AM88" s="571"/>
      <c r="AN88" s="679" t="s">
        <v>146</v>
      </c>
      <c r="AO88" s="680" t="s">
        <v>924</v>
      </c>
      <c r="AP88" s="775" t="s">
        <v>925</v>
      </c>
      <c r="AQ88" s="680" t="s">
        <v>924</v>
      </c>
      <c r="AR88" s="775" t="s">
        <v>925</v>
      </c>
      <c r="AS88" s="680" t="s">
        <v>924</v>
      </c>
      <c r="AT88" s="595"/>
      <c r="AU88" s="685" t="str">
        <f t="shared" si="21"/>
        <v/>
      </c>
      <c r="AV88" s="686" t="s">
        <v>305</v>
      </c>
      <c r="AW88" s="687"/>
      <c r="AX88" s="688"/>
      <c r="AY88" s="571"/>
      <c r="AZ88" s="689" t="s">
        <v>216</v>
      </c>
      <c r="BA88" s="690"/>
      <c r="BB88" s="696"/>
      <c r="BC88" s="571"/>
      <c r="BD88" s="651" t="s">
        <v>150</v>
      </c>
      <c r="BE88" s="653">
        <v>158.0</v>
      </c>
      <c r="BF88" s="653">
        <v>45.0</v>
      </c>
      <c r="BG88" s="654">
        <v>70.0</v>
      </c>
      <c r="BH88" s="653">
        <v>80.0</v>
      </c>
      <c r="BI88" s="607"/>
      <c r="BJ88" s="655" t="s">
        <v>149</v>
      </c>
      <c r="BK88" s="703" t="s">
        <v>149</v>
      </c>
      <c r="BL88" s="610"/>
      <c r="BM88" s="657" t="s">
        <v>18</v>
      </c>
      <c r="BN88" s="704"/>
      <c r="BO88" s="607"/>
      <c r="BP88" s="659" t="s">
        <v>935</v>
      </c>
      <c r="BQ88" s="614"/>
      <c r="BR88" s="660" t="s">
        <v>4432</v>
      </c>
      <c r="BS88" s="614"/>
    </row>
    <row r="89" ht="15.75" customHeight="1">
      <c r="A89" s="616"/>
      <c r="B89" s="617" t="s">
        <v>941</v>
      </c>
      <c r="C89" s="618"/>
      <c r="D89" s="619"/>
      <c r="E89" s="629">
        <v>65.0</v>
      </c>
      <c r="F89" s="621">
        <v>45.0</v>
      </c>
      <c r="G89" s="622">
        <v>55.0</v>
      </c>
      <c r="H89" s="623">
        <v>45.0</v>
      </c>
      <c r="I89" s="624">
        <v>70.0</v>
      </c>
      <c r="J89" s="625">
        <v>45.0</v>
      </c>
      <c r="K89" s="626">
        <v>325.0</v>
      </c>
      <c r="L89" s="627">
        <v>65.0</v>
      </c>
      <c r="M89" s="621">
        <v>45.0</v>
      </c>
      <c r="N89" s="622">
        <v>55.0</v>
      </c>
      <c r="O89" s="623">
        <v>45.0</v>
      </c>
      <c r="P89" s="624">
        <v>70.0</v>
      </c>
      <c r="Q89" s="625">
        <v>45.0</v>
      </c>
      <c r="R89" s="628">
        <v>325.0</v>
      </c>
      <c r="S89" s="629">
        <v>65.0</v>
      </c>
      <c r="T89" s="621">
        <v>45.0</v>
      </c>
      <c r="U89" s="622">
        <v>55.0</v>
      </c>
      <c r="V89" s="623">
        <v>45.0</v>
      </c>
      <c r="W89" s="624">
        <v>70.0</v>
      </c>
      <c r="X89" s="625">
        <v>45.0</v>
      </c>
      <c r="Y89" s="628">
        <f t="shared" si="1"/>
        <v>325</v>
      </c>
      <c r="Z89" s="619"/>
      <c r="AA89" s="630" t="str">
        <f t="shared" si="2"/>
        <v>#NAME?</v>
      </c>
      <c r="AB89" s="631" t="s">
        <v>32</v>
      </c>
      <c r="AC89" s="632" t="str">
        <f t="shared" si="3"/>
        <v>#NAME?</v>
      </c>
      <c r="AD89" s="639" t="s">
        <v>4428</v>
      </c>
      <c r="AE89" s="633" t="str">
        <f t="shared" si="4"/>
        <v>#NAME?</v>
      </c>
      <c r="AF89" s="631" t="s">
        <v>32</v>
      </c>
      <c r="AG89" s="632" t="str">
        <f t="shared" si="5"/>
        <v>#NAME?</v>
      </c>
      <c r="AH89" s="634" t="s">
        <v>4428</v>
      </c>
      <c r="AI89" s="635" t="str">
        <f t="shared" si="6"/>
        <v>#NAME?</v>
      </c>
      <c r="AJ89" s="634" t="s">
        <v>32</v>
      </c>
      <c r="AK89" s="636" t="str">
        <f t="shared" si="7"/>
        <v>#NAME?</v>
      </c>
      <c r="AL89" s="637" t="s">
        <v>4428</v>
      </c>
      <c r="AM89" s="619"/>
      <c r="AN89" s="638" t="s">
        <v>944</v>
      </c>
      <c r="AO89" s="639" t="s">
        <v>945</v>
      </c>
      <c r="AP89" s="712" t="s">
        <v>944</v>
      </c>
      <c r="AQ89" s="639" t="s">
        <v>945</v>
      </c>
      <c r="AR89" s="712" t="s">
        <v>944</v>
      </c>
      <c r="AS89" s="639" t="s">
        <v>945</v>
      </c>
      <c r="AT89" s="644"/>
      <c r="AU89" s="645"/>
      <c r="AV89" s="646"/>
      <c r="AW89" s="692"/>
      <c r="AX89" s="693"/>
      <c r="AY89" s="619"/>
      <c r="AZ89" s="648" t="s">
        <v>27</v>
      </c>
      <c r="BA89" s="694"/>
      <c r="BB89" s="690"/>
      <c r="BC89" s="619"/>
      <c r="BD89" s="651" t="s">
        <v>150</v>
      </c>
      <c r="BE89" s="653">
        <v>100.0</v>
      </c>
      <c r="BF89" s="653">
        <v>190.0</v>
      </c>
      <c r="BG89" s="654">
        <v>70.0</v>
      </c>
      <c r="BH89" s="653">
        <v>80.0</v>
      </c>
      <c r="BI89" s="607"/>
      <c r="BJ89" s="655" t="s">
        <v>149</v>
      </c>
      <c r="BK89" s="703" t="s">
        <v>149</v>
      </c>
      <c r="BL89" s="610"/>
      <c r="BM89" s="657" t="s">
        <v>106</v>
      </c>
      <c r="BN89" s="658" t="s">
        <v>277</v>
      </c>
      <c r="BO89" s="607"/>
      <c r="BP89" s="659" t="s">
        <v>947</v>
      </c>
      <c r="BQ89" s="614"/>
      <c r="BR89" s="660" t="s">
        <v>4431</v>
      </c>
      <c r="BS89" s="614"/>
    </row>
    <row r="90" ht="15.75" customHeight="1">
      <c r="A90" s="616"/>
      <c r="B90" s="661" t="s">
        <v>951</v>
      </c>
      <c r="C90" s="662"/>
      <c r="D90" s="571"/>
      <c r="E90" s="672">
        <v>90.0</v>
      </c>
      <c r="F90" s="664">
        <v>70.0</v>
      </c>
      <c r="G90" s="665">
        <v>80.0</v>
      </c>
      <c r="H90" s="666">
        <v>70.0</v>
      </c>
      <c r="I90" s="667">
        <v>95.0</v>
      </c>
      <c r="J90" s="668">
        <v>70.0</v>
      </c>
      <c r="K90" s="669">
        <v>475.0</v>
      </c>
      <c r="L90" s="670">
        <v>90.0</v>
      </c>
      <c r="M90" s="664">
        <v>70.0</v>
      </c>
      <c r="N90" s="665">
        <v>80.0</v>
      </c>
      <c r="O90" s="666">
        <v>70.0</v>
      </c>
      <c r="P90" s="667">
        <v>95.0</v>
      </c>
      <c r="Q90" s="668">
        <v>70.0</v>
      </c>
      <c r="R90" s="671">
        <v>475.0</v>
      </c>
      <c r="S90" s="672">
        <v>90.0</v>
      </c>
      <c r="T90" s="741">
        <v>80.0</v>
      </c>
      <c r="U90" s="665">
        <v>80.0</v>
      </c>
      <c r="V90" s="743">
        <v>80.0</v>
      </c>
      <c r="W90" s="667">
        <v>95.0</v>
      </c>
      <c r="X90" s="668">
        <v>70.0</v>
      </c>
      <c r="Y90" s="671">
        <f t="shared" si="1"/>
        <v>495</v>
      </c>
      <c r="Z90" s="571"/>
      <c r="AA90" s="673" t="str">
        <f t="shared" si="2"/>
        <v>#NAME?</v>
      </c>
      <c r="AB90" s="674" t="s">
        <v>32</v>
      </c>
      <c r="AC90" s="675" t="str">
        <f t="shared" si="3"/>
        <v>#NAME?</v>
      </c>
      <c r="AD90" s="673" t="s">
        <v>120</v>
      </c>
      <c r="AE90" s="676" t="str">
        <f t="shared" si="4"/>
        <v>#NAME?</v>
      </c>
      <c r="AF90" s="674" t="s">
        <v>32</v>
      </c>
      <c r="AG90" s="675" t="str">
        <f t="shared" si="5"/>
        <v>#NAME?</v>
      </c>
      <c r="AH90" s="586" t="s">
        <v>120</v>
      </c>
      <c r="AI90" s="677" t="str">
        <f t="shared" si="6"/>
        <v>#NAME?</v>
      </c>
      <c r="AJ90" s="586" t="s">
        <v>32</v>
      </c>
      <c r="AK90" s="584" t="str">
        <f t="shared" si="7"/>
        <v>#NAME?</v>
      </c>
      <c r="AL90" s="678" t="s">
        <v>120</v>
      </c>
      <c r="AM90" s="571"/>
      <c r="AN90" s="679" t="s">
        <v>944</v>
      </c>
      <c r="AO90" s="680" t="s">
        <v>945</v>
      </c>
      <c r="AP90" s="705" t="s">
        <v>944</v>
      </c>
      <c r="AQ90" s="680" t="s">
        <v>945</v>
      </c>
      <c r="AR90" s="705" t="s">
        <v>944</v>
      </c>
      <c r="AS90" s="680" t="s">
        <v>945</v>
      </c>
      <c r="AT90" s="595"/>
      <c r="AU90" s="685"/>
      <c r="AV90" s="686"/>
      <c r="AW90" s="687"/>
      <c r="AX90" s="688"/>
      <c r="AY90" s="571"/>
      <c r="AZ90" s="689" t="s">
        <v>815</v>
      </c>
      <c r="BA90" s="690"/>
      <c r="BB90" s="696"/>
      <c r="BC90" s="571"/>
      <c r="BD90" s="651" t="s">
        <v>150</v>
      </c>
      <c r="BE90" s="653">
        <v>176.0</v>
      </c>
      <c r="BF90" s="653">
        <v>75.0</v>
      </c>
      <c r="BG90" s="654">
        <v>70.0</v>
      </c>
      <c r="BH90" s="653">
        <v>100.0</v>
      </c>
      <c r="BI90" s="607"/>
      <c r="BJ90" s="655" t="s">
        <v>149</v>
      </c>
      <c r="BK90" s="703" t="s">
        <v>149</v>
      </c>
      <c r="BL90" s="610"/>
      <c r="BM90" s="657" t="s">
        <v>106</v>
      </c>
      <c r="BN90" s="658" t="s">
        <v>277</v>
      </c>
      <c r="BO90" s="607"/>
      <c r="BP90" s="659" t="s">
        <v>956</v>
      </c>
      <c r="BQ90" s="614"/>
      <c r="BR90" s="660" t="s">
        <v>4431</v>
      </c>
      <c r="BS90" s="614"/>
    </row>
    <row r="91" ht="15.75" customHeight="1">
      <c r="A91" s="616"/>
      <c r="B91" s="617" t="s">
        <v>960</v>
      </c>
      <c r="C91" s="618"/>
      <c r="D91" s="619"/>
      <c r="E91" s="629">
        <v>80.0</v>
      </c>
      <c r="F91" s="621">
        <v>80.0</v>
      </c>
      <c r="G91" s="622">
        <v>50.0</v>
      </c>
      <c r="H91" s="623">
        <v>40.0</v>
      </c>
      <c r="I91" s="624">
        <v>50.0</v>
      </c>
      <c r="J91" s="625">
        <v>25.0</v>
      </c>
      <c r="K91" s="626">
        <v>325.0</v>
      </c>
      <c r="L91" s="627">
        <v>80.0</v>
      </c>
      <c r="M91" s="621">
        <v>80.0</v>
      </c>
      <c r="N91" s="622">
        <v>50.0</v>
      </c>
      <c r="O91" s="623">
        <v>40.0</v>
      </c>
      <c r="P91" s="624">
        <v>50.0</v>
      </c>
      <c r="Q91" s="625">
        <v>25.0</v>
      </c>
      <c r="R91" s="628">
        <v>325.0</v>
      </c>
      <c r="S91" s="629">
        <v>80.0</v>
      </c>
      <c r="T91" s="621">
        <v>80.0</v>
      </c>
      <c r="U91" s="622">
        <v>50.0</v>
      </c>
      <c r="V91" s="623">
        <v>40.0</v>
      </c>
      <c r="W91" s="624">
        <v>50.0</v>
      </c>
      <c r="X91" s="625">
        <v>25.0</v>
      </c>
      <c r="Y91" s="628">
        <f t="shared" si="1"/>
        <v>325</v>
      </c>
      <c r="Z91" s="619"/>
      <c r="AA91" s="630" t="str">
        <f t="shared" si="2"/>
        <v>#NAME?</v>
      </c>
      <c r="AB91" s="631" t="s">
        <v>7</v>
      </c>
      <c r="AC91" s="632" t="str">
        <f t="shared" si="3"/>
        <v>#NAME?</v>
      </c>
      <c r="AD91" s="639" t="s">
        <v>4428</v>
      </c>
      <c r="AE91" s="633" t="str">
        <f t="shared" si="4"/>
        <v>#NAME?</v>
      </c>
      <c r="AF91" s="631" t="s">
        <v>7</v>
      </c>
      <c r="AG91" s="632" t="str">
        <f t="shared" si="5"/>
        <v>#NAME?</v>
      </c>
      <c r="AH91" s="634" t="s">
        <v>4428</v>
      </c>
      <c r="AI91" s="635" t="str">
        <f t="shared" si="6"/>
        <v>#NAME?</v>
      </c>
      <c r="AJ91" s="634" t="s">
        <v>7</v>
      </c>
      <c r="AK91" s="636" t="str">
        <f t="shared" si="7"/>
        <v>#NAME?</v>
      </c>
      <c r="AL91" s="637" t="s">
        <v>4428</v>
      </c>
      <c r="AM91" s="619"/>
      <c r="AN91" s="638" t="s">
        <v>553</v>
      </c>
      <c r="AO91" s="639" t="s">
        <v>963</v>
      </c>
      <c r="AP91" s="712" t="s">
        <v>553</v>
      </c>
      <c r="AQ91" s="639" t="s">
        <v>963</v>
      </c>
      <c r="AR91" s="712" t="s">
        <v>553</v>
      </c>
      <c r="AS91" s="639" t="s">
        <v>963</v>
      </c>
      <c r="AT91" s="644"/>
      <c r="AU91" s="645" t="str">
        <f t="shared" ref="AU91:AU92" si="22">image("https://www.pokebip.com/pages/icones/objets/boue-noire.png", 3)</f>
        <v/>
      </c>
      <c r="AV91" s="646" t="s">
        <v>966</v>
      </c>
      <c r="AW91" s="692"/>
      <c r="AX91" s="693"/>
      <c r="AY91" s="619"/>
      <c r="AZ91" s="648" t="s">
        <v>144</v>
      </c>
      <c r="BA91" s="694"/>
      <c r="BB91" s="690"/>
      <c r="BC91" s="619"/>
      <c r="BD91" s="651" t="s">
        <v>150</v>
      </c>
      <c r="BE91" s="653">
        <v>90.0</v>
      </c>
      <c r="BF91" s="653">
        <v>190.0</v>
      </c>
      <c r="BG91" s="654">
        <v>70.0</v>
      </c>
      <c r="BH91" s="653">
        <v>60.0</v>
      </c>
      <c r="BI91" s="607"/>
      <c r="BJ91" s="655" t="s">
        <v>149</v>
      </c>
      <c r="BK91" s="703" t="s">
        <v>149</v>
      </c>
      <c r="BL91" s="610"/>
      <c r="BM91" s="657" t="s">
        <v>964</v>
      </c>
      <c r="BN91" s="704"/>
      <c r="BO91" s="607"/>
      <c r="BP91" s="659" t="s">
        <v>965</v>
      </c>
      <c r="BQ91" s="614"/>
      <c r="BR91" s="660" t="s">
        <v>4434</v>
      </c>
      <c r="BS91" s="614"/>
    </row>
    <row r="92" ht="15.75" customHeight="1">
      <c r="A92" s="616"/>
      <c r="B92" s="661" t="s">
        <v>969</v>
      </c>
      <c r="C92" s="662"/>
      <c r="D92" s="571"/>
      <c r="E92" s="672">
        <v>105.0</v>
      </c>
      <c r="F92" s="664">
        <v>105.0</v>
      </c>
      <c r="G92" s="665">
        <v>75.0</v>
      </c>
      <c r="H92" s="666">
        <v>65.0</v>
      </c>
      <c r="I92" s="667">
        <v>100.0</v>
      </c>
      <c r="J92" s="668">
        <v>50.0</v>
      </c>
      <c r="K92" s="669">
        <v>500.0</v>
      </c>
      <c r="L92" s="670">
        <v>105.0</v>
      </c>
      <c r="M92" s="664">
        <v>105.0</v>
      </c>
      <c r="N92" s="665">
        <v>75.0</v>
      </c>
      <c r="O92" s="666">
        <v>65.0</v>
      </c>
      <c r="P92" s="667">
        <v>100.0</v>
      </c>
      <c r="Q92" s="668">
        <v>50.0</v>
      </c>
      <c r="R92" s="671">
        <v>500.0</v>
      </c>
      <c r="S92" s="672">
        <v>105.0</v>
      </c>
      <c r="T92" s="664">
        <v>105.0</v>
      </c>
      <c r="U92" s="665">
        <v>75.0</v>
      </c>
      <c r="V92" s="666">
        <v>65.0</v>
      </c>
      <c r="W92" s="667">
        <v>100.0</v>
      </c>
      <c r="X92" s="668">
        <v>50.0</v>
      </c>
      <c r="Y92" s="671">
        <f t="shared" si="1"/>
        <v>500</v>
      </c>
      <c r="Z92" s="571"/>
      <c r="AA92" s="673" t="str">
        <f t="shared" si="2"/>
        <v>#NAME?</v>
      </c>
      <c r="AB92" s="674" t="s">
        <v>7</v>
      </c>
      <c r="AC92" s="675" t="str">
        <f t="shared" si="3"/>
        <v>#NAME?</v>
      </c>
      <c r="AD92" s="680" t="s">
        <v>4428</v>
      </c>
      <c r="AE92" s="676" t="str">
        <f t="shared" si="4"/>
        <v>#NAME?</v>
      </c>
      <c r="AF92" s="674" t="s">
        <v>7</v>
      </c>
      <c r="AG92" s="675" t="str">
        <f t="shared" si="5"/>
        <v>#NAME?</v>
      </c>
      <c r="AH92" s="586" t="s">
        <v>4428</v>
      </c>
      <c r="AI92" s="677" t="str">
        <f t="shared" si="6"/>
        <v>#NAME?</v>
      </c>
      <c r="AJ92" s="586" t="s">
        <v>7</v>
      </c>
      <c r="AK92" s="584" t="str">
        <f t="shared" si="7"/>
        <v>#NAME?</v>
      </c>
      <c r="AL92" s="678" t="s">
        <v>4428</v>
      </c>
      <c r="AM92" s="571"/>
      <c r="AN92" s="679" t="s">
        <v>553</v>
      </c>
      <c r="AO92" s="680" t="s">
        <v>963</v>
      </c>
      <c r="AP92" s="705" t="s">
        <v>553</v>
      </c>
      <c r="AQ92" s="680" t="s">
        <v>963</v>
      </c>
      <c r="AR92" s="705" t="s">
        <v>553</v>
      </c>
      <c r="AS92" s="680" t="s">
        <v>963</v>
      </c>
      <c r="AT92" s="595"/>
      <c r="AU92" s="685" t="str">
        <f t="shared" si="22"/>
        <v/>
      </c>
      <c r="AV92" s="686" t="s">
        <v>974</v>
      </c>
      <c r="AW92" s="687"/>
      <c r="AX92" s="688"/>
      <c r="AY92" s="571"/>
      <c r="AZ92" s="695" t="s">
        <v>144</v>
      </c>
      <c r="BA92" s="691" t="s">
        <v>325</v>
      </c>
      <c r="BB92" s="696"/>
      <c r="BC92" s="571"/>
      <c r="BD92" s="651" t="s">
        <v>150</v>
      </c>
      <c r="BE92" s="653">
        <v>157.0</v>
      </c>
      <c r="BF92" s="653">
        <v>75.0</v>
      </c>
      <c r="BG92" s="654">
        <v>70.0</v>
      </c>
      <c r="BH92" s="653">
        <v>60.0</v>
      </c>
      <c r="BI92" s="607"/>
      <c r="BJ92" s="655" t="s">
        <v>149</v>
      </c>
      <c r="BK92" s="703" t="s">
        <v>149</v>
      </c>
      <c r="BL92" s="610"/>
      <c r="BM92" s="657" t="s">
        <v>964</v>
      </c>
      <c r="BN92" s="704"/>
      <c r="BO92" s="607"/>
      <c r="BP92" s="659" t="s">
        <v>4443</v>
      </c>
      <c r="BQ92" s="614"/>
      <c r="BR92" s="660" t="s">
        <v>4434</v>
      </c>
      <c r="BS92" s="614"/>
    </row>
    <row r="93" ht="15.75" customHeight="1">
      <c r="A93" s="616"/>
      <c r="B93" s="617" t="s">
        <v>978</v>
      </c>
      <c r="C93" s="618"/>
      <c r="D93" s="619"/>
      <c r="E93" s="629">
        <v>30.0</v>
      </c>
      <c r="F93" s="621">
        <v>65.0</v>
      </c>
      <c r="G93" s="622">
        <v>100.0</v>
      </c>
      <c r="H93" s="623">
        <v>45.0</v>
      </c>
      <c r="I93" s="624">
        <v>25.0</v>
      </c>
      <c r="J93" s="625">
        <v>40.0</v>
      </c>
      <c r="K93" s="626">
        <v>305.0</v>
      </c>
      <c r="L93" s="627">
        <v>30.0</v>
      </c>
      <c r="M93" s="621">
        <v>65.0</v>
      </c>
      <c r="N93" s="622">
        <v>100.0</v>
      </c>
      <c r="O93" s="623">
        <v>45.0</v>
      </c>
      <c r="P93" s="624">
        <v>25.0</v>
      </c>
      <c r="Q93" s="625">
        <v>40.0</v>
      </c>
      <c r="R93" s="628">
        <v>305.0</v>
      </c>
      <c r="S93" s="629">
        <v>30.0</v>
      </c>
      <c r="T93" s="621">
        <v>65.0</v>
      </c>
      <c r="U93" s="622">
        <v>100.0</v>
      </c>
      <c r="V93" s="623">
        <v>45.0</v>
      </c>
      <c r="W93" s="624">
        <v>25.0</v>
      </c>
      <c r="X93" s="625">
        <v>40.0</v>
      </c>
      <c r="Y93" s="628">
        <f t="shared" si="1"/>
        <v>305</v>
      </c>
      <c r="Z93" s="619"/>
      <c r="AA93" s="630" t="str">
        <f t="shared" si="2"/>
        <v>#NAME?</v>
      </c>
      <c r="AB93" s="631" t="s">
        <v>32</v>
      </c>
      <c r="AC93" s="632" t="str">
        <f t="shared" si="3"/>
        <v>#NAME?</v>
      </c>
      <c r="AD93" s="639" t="s">
        <v>4428</v>
      </c>
      <c r="AE93" s="633" t="str">
        <f t="shared" si="4"/>
        <v>#NAME?</v>
      </c>
      <c r="AF93" s="631" t="s">
        <v>32</v>
      </c>
      <c r="AG93" s="632" t="str">
        <f t="shared" si="5"/>
        <v>#NAME?</v>
      </c>
      <c r="AH93" s="634" t="s">
        <v>4428</v>
      </c>
      <c r="AI93" s="635" t="str">
        <f t="shared" si="6"/>
        <v>#NAME?</v>
      </c>
      <c r="AJ93" s="634" t="s">
        <v>32</v>
      </c>
      <c r="AK93" s="636" t="str">
        <f t="shared" si="7"/>
        <v>#NAME?</v>
      </c>
      <c r="AL93" s="637" t="s">
        <v>4428</v>
      </c>
      <c r="AM93" s="619"/>
      <c r="AN93" s="638" t="s">
        <v>981</v>
      </c>
      <c r="AO93" s="639" t="s">
        <v>982</v>
      </c>
      <c r="AP93" s="708" t="s">
        <v>982</v>
      </c>
      <c r="AQ93" s="757" t="s">
        <v>981</v>
      </c>
      <c r="AR93" s="709" t="s">
        <v>983</v>
      </c>
      <c r="AS93" s="758" t="s">
        <v>981</v>
      </c>
      <c r="AT93" s="644"/>
      <c r="AU93" s="645" t="str">
        <f t="shared" ref="AU93:AU94" si="23">image("https://www.pokebip.com/pages/icones/objets/perle.png", 3)</f>
        <v/>
      </c>
      <c r="AV93" s="646" t="s">
        <v>985</v>
      </c>
      <c r="AW93" s="692" t="str">
        <f t="shared" ref="AW93:AW94" si="24">image("https://www.pokebip.com/pages/icones/objets/grande-perle.png", 3)</f>
        <v/>
      </c>
      <c r="AX93" s="693" t="s">
        <v>986</v>
      </c>
      <c r="AY93" s="619"/>
      <c r="AZ93" s="648" t="s">
        <v>101</v>
      </c>
      <c r="BA93" s="694"/>
      <c r="BB93" s="690"/>
      <c r="BC93" s="619"/>
      <c r="BD93" s="651" t="s">
        <v>683</v>
      </c>
      <c r="BE93" s="653">
        <v>97.0</v>
      </c>
      <c r="BF93" s="653">
        <v>190.0</v>
      </c>
      <c r="BG93" s="654">
        <v>70.0</v>
      </c>
      <c r="BH93" s="653">
        <v>20.0</v>
      </c>
      <c r="BI93" s="607"/>
      <c r="BJ93" s="655" t="s">
        <v>149</v>
      </c>
      <c r="BK93" s="703" t="s">
        <v>149</v>
      </c>
      <c r="BL93" s="610"/>
      <c r="BM93" s="657" t="s">
        <v>807</v>
      </c>
      <c r="BN93" s="704"/>
      <c r="BO93" s="607"/>
      <c r="BP93" s="659" t="s">
        <v>984</v>
      </c>
      <c r="BQ93" s="614"/>
      <c r="BR93" s="660" t="s">
        <v>4434</v>
      </c>
      <c r="BS93" s="614"/>
    </row>
    <row r="94" ht="15.75" customHeight="1">
      <c r="A94" s="616"/>
      <c r="B94" s="661" t="s">
        <v>989</v>
      </c>
      <c r="C94" s="662"/>
      <c r="D94" s="571"/>
      <c r="E94" s="672">
        <v>50.0</v>
      </c>
      <c r="F94" s="664">
        <v>95.0</v>
      </c>
      <c r="G94" s="665">
        <v>180.0</v>
      </c>
      <c r="H94" s="666">
        <v>85.0</v>
      </c>
      <c r="I94" s="667">
        <v>45.0</v>
      </c>
      <c r="J94" s="668">
        <v>70.0</v>
      </c>
      <c r="K94" s="669">
        <v>525.0</v>
      </c>
      <c r="L94" s="670">
        <v>50.0</v>
      </c>
      <c r="M94" s="664">
        <v>95.0</v>
      </c>
      <c r="N94" s="665">
        <v>180.0</v>
      </c>
      <c r="O94" s="666">
        <v>85.0</v>
      </c>
      <c r="P94" s="667">
        <v>45.0</v>
      </c>
      <c r="Q94" s="668">
        <v>70.0</v>
      </c>
      <c r="R94" s="671">
        <v>525.0</v>
      </c>
      <c r="S94" s="672">
        <v>50.0</v>
      </c>
      <c r="T94" s="664">
        <v>95.0</v>
      </c>
      <c r="U94" s="665">
        <v>180.0</v>
      </c>
      <c r="V94" s="666">
        <v>85.0</v>
      </c>
      <c r="W94" s="667">
        <v>45.0</v>
      </c>
      <c r="X94" s="668">
        <v>70.0</v>
      </c>
      <c r="Y94" s="671">
        <f t="shared" si="1"/>
        <v>525</v>
      </c>
      <c r="Z94" s="571"/>
      <c r="AA94" s="673" t="str">
        <f t="shared" si="2"/>
        <v>#NAME?</v>
      </c>
      <c r="AB94" s="674" t="s">
        <v>32</v>
      </c>
      <c r="AC94" s="675" t="str">
        <f t="shared" si="3"/>
        <v>#NAME?</v>
      </c>
      <c r="AD94" s="673" t="s">
        <v>120</v>
      </c>
      <c r="AE94" s="676" t="str">
        <f t="shared" si="4"/>
        <v>#NAME?</v>
      </c>
      <c r="AF94" s="674" t="s">
        <v>32</v>
      </c>
      <c r="AG94" s="675" t="str">
        <f t="shared" si="5"/>
        <v>#NAME?</v>
      </c>
      <c r="AH94" s="586" t="s">
        <v>120</v>
      </c>
      <c r="AI94" s="677" t="str">
        <f t="shared" si="6"/>
        <v>#NAME?</v>
      </c>
      <c r="AJ94" s="586" t="s">
        <v>32</v>
      </c>
      <c r="AK94" s="584" t="str">
        <f t="shared" si="7"/>
        <v>#NAME?</v>
      </c>
      <c r="AL94" s="678" t="s">
        <v>120</v>
      </c>
      <c r="AM94" s="571"/>
      <c r="AN94" s="679" t="s">
        <v>981</v>
      </c>
      <c r="AO94" s="680" t="s">
        <v>982</v>
      </c>
      <c r="AP94" s="710" t="s">
        <v>982</v>
      </c>
      <c r="AQ94" s="716" t="s">
        <v>981</v>
      </c>
      <c r="AR94" s="711" t="s">
        <v>983</v>
      </c>
      <c r="AS94" s="718" t="s">
        <v>981</v>
      </c>
      <c r="AT94" s="595"/>
      <c r="AU94" s="685" t="str">
        <f t="shared" si="23"/>
        <v/>
      </c>
      <c r="AV94" s="686" t="s">
        <v>985</v>
      </c>
      <c r="AW94" s="687" t="str">
        <f t="shared" si="24"/>
        <v/>
      </c>
      <c r="AX94" s="688" t="s">
        <v>986</v>
      </c>
      <c r="AY94" s="571"/>
      <c r="AZ94" s="689" t="s">
        <v>162</v>
      </c>
      <c r="BA94" s="690"/>
      <c r="BB94" s="696"/>
      <c r="BC94" s="571"/>
      <c r="BD94" s="651" t="s">
        <v>683</v>
      </c>
      <c r="BE94" s="653">
        <v>203.0</v>
      </c>
      <c r="BF94" s="653">
        <v>60.0</v>
      </c>
      <c r="BG94" s="654">
        <v>70.0</v>
      </c>
      <c r="BH94" s="653">
        <v>100.0</v>
      </c>
      <c r="BI94" s="607"/>
      <c r="BJ94" s="655" t="s">
        <v>149</v>
      </c>
      <c r="BK94" s="703" t="s">
        <v>149</v>
      </c>
      <c r="BL94" s="610"/>
      <c r="BM94" s="657" t="s">
        <v>807</v>
      </c>
      <c r="BN94" s="704"/>
      <c r="BO94" s="607"/>
      <c r="BP94" s="659" t="s">
        <v>993</v>
      </c>
      <c r="BQ94" s="614"/>
      <c r="BR94" s="660" t="s">
        <v>4434</v>
      </c>
      <c r="BS94" s="614"/>
    </row>
    <row r="95" ht="15.75" customHeight="1">
      <c r="A95" s="616"/>
      <c r="B95" s="617" t="s">
        <v>997</v>
      </c>
      <c r="C95" s="618"/>
      <c r="D95" s="619"/>
      <c r="E95" s="629">
        <v>30.0</v>
      </c>
      <c r="F95" s="750">
        <v>35.0</v>
      </c>
      <c r="G95" s="622">
        <v>30.0</v>
      </c>
      <c r="H95" s="623">
        <v>100.0</v>
      </c>
      <c r="I95" s="624">
        <v>35.0</v>
      </c>
      <c r="J95" s="625">
        <v>80.0</v>
      </c>
      <c r="K95" s="749">
        <v>310.0</v>
      </c>
      <c r="L95" s="627">
        <v>30.0</v>
      </c>
      <c r="M95" s="621">
        <v>35.0</v>
      </c>
      <c r="N95" s="622">
        <v>30.0</v>
      </c>
      <c r="O95" s="623">
        <v>100.0</v>
      </c>
      <c r="P95" s="624">
        <v>35.0</v>
      </c>
      <c r="Q95" s="625">
        <v>80.0</v>
      </c>
      <c r="R95" s="628">
        <v>310.0</v>
      </c>
      <c r="S95" s="629">
        <v>30.0</v>
      </c>
      <c r="T95" s="621">
        <v>35.0</v>
      </c>
      <c r="U95" s="622">
        <v>30.0</v>
      </c>
      <c r="V95" s="623">
        <v>100.0</v>
      </c>
      <c r="W95" s="624">
        <v>35.0</v>
      </c>
      <c r="X95" s="625">
        <v>80.0</v>
      </c>
      <c r="Y95" s="628">
        <f t="shared" si="1"/>
        <v>310</v>
      </c>
      <c r="Z95" s="619"/>
      <c r="AA95" s="630" t="str">
        <f t="shared" si="2"/>
        <v>#NAME?</v>
      </c>
      <c r="AB95" s="631" t="s">
        <v>92</v>
      </c>
      <c r="AC95" s="632" t="str">
        <f t="shared" si="3"/>
        <v>#NAME?</v>
      </c>
      <c r="AD95" s="630" t="s">
        <v>7</v>
      </c>
      <c r="AE95" s="633" t="str">
        <f t="shared" si="4"/>
        <v>#NAME?</v>
      </c>
      <c r="AF95" s="631" t="s">
        <v>92</v>
      </c>
      <c r="AG95" s="632" t="str">
        <f t="shared" si="5"/>
        <v>#NAME?</v>
      </c>
      <c r="AH95" s="634" t="s">
        <v>7</v>
      </c>
      <c r="AI95" s="635" t="str">
        <f t="shared" si="6"/>
        <v>#NAME?</v>
      </c>
      <c r="AJ95" s="634" t="s">
        <v>92</v>
      </c>
      <c r="AK95" s="636" t="str">
        <f t="shared" si="7"/>
        <v>#NAME?</v>
      </c>
      <c r="AL95" s="637" t="s">
        <v>7</v>
      </c>
      <c r="AM95" s="619"/>
      <c r="AN95" s="638" t="s">
        <v>1001</v>
      </c>
      <c r="AO95" s="639"/>
      <c r="AP95" s="712" t="s">
        <v>1001</v>
      </c>
      <c r="AQ95" s="639"/>
      <c r="AR95" s="712" t="s">
        <v>1001</v>
      </c>
      <c r="AS95" s="639"/>
      <c r="AT95" s="644"/>
      <c r="AU95" s="645"/>
      <c r="AV95" s="646"/>
      <c r="AW95" s="692"/>
      <c r="AX95" s="693"/>
      <c r="AY95" s="619"/>
      <c r="AZ95" s="648" t="s">
        <v>4</v>
      </c>
      <c r="BA95" s="694"/>
      <c r="BB95" s="690"/>
      <c r="BC95" s="619"/>
      <c r="BD95" s="651" t="s">
        <v>15</v>
      </c>
      <c r="BE95" s="653">
        <v>95.0</v>
      </c>
      <c r="BF95" s="653">
        <v>190.0</v>
      </c>
      <c r="BG95" s="654">
        <v>70.0</v>
      </c>
      <c r="BH95" s="653">
        <v>20.0</v>
      </c>
      <c r="BI95" s="607"/>
      <c r="BJ95" s="655" t="s">
        <v>149</v>
      </c>
      <c r="BK95" s="703" t="s">
        <v>149</v>
      </c>
      <c r="BL95" s="610"/>
      <c r="BM95" s="657" t="s">
        <v>964</v>
      </c>
      <c r="BN95" s="704"/>
      <c r="BO95" s="607"/>
      <c r="BP95" s="659" t="s">
        <v>1003</v>
      </c>
      <c r="BQ95" s="614"/>
      <c r="BR95" s="660" t="s">
        <v>4434</v>
      </c>
      <c r="BS95" s="614"/>
    </row>
    <row r="96" ht="15.75" customHeight="1">
      <c r="A96" s="616"/>
      <c r="B96" s="661" t="s">
        <v>1007</v>
      </c>
      <c r="C96" s="662"/>
      <c r="D96" s="571"/>
      <c r="E96" s="672">
        <v>45.0</v>
      </c>
      <c r="F96" s="664">
        <v>50.0</v>
      </c>
      <c r="G96" s="665">
        <v>45.0</v>
      </c>
      <c r="H96" s="666">
        <v>115.0</v>
      </c>
      <c r="I96" s="667">
        <v>55.0</v>
      </c>
      <c r="J96" s="668">
        <v>95.0</v>
      </c>
      <c r="K96" s="669">
        <v>405.0</v>
      </c>
      <c r="L96" s="670">
        <v>45.0</v>
      </c>
      <c r="M96" s="664">
        <v>50.0</v>
      </c>
      <c r="N96" s="665">
        <v>45.0</v>
      </c>
      <c r="O96" s="666">
        <v>115.0</v>
      </c>
      <c r="P96" s="667">
        <v>55.0</v>
      </c>
      <c r="Q96" s="668">
        <v>95.0</v>
      </c>
      <c r="R96" s="671">
        <v>405.0</v>
      </c>
      <c r="S96" s="672">
        <v>45.0</v>
      </c>
      <c r="T96" s="664">
        <v>50.0</v>
      </c>
      <c r="U96" s="665">
        <v>45.0</v>
      </c>
      <c r="V96" s="666">
        <v>115.0</v>
      </c>
      <c r="W96" s="667">
        <v>55.0</v>
      </c>
      <c r="X96" s="668">
        <v>95.0</v>
      </c>
      <c r="Y96" s="671">
        <f t="shared" si="1"/>
        <v>405</v>
      </c>
      <c r="Z96" s="571"/>
      <c r="AA96" s="673" t="str">
        <f t="shared" si="2"/>
        <v>#NAME?</v>
      </c>
      <c r="AB96" s="674" t="s">
        <v>92</v>
      </c>
      <c r="AC96" s="675" t="str">
        <f t="shared" si="3"/>
        <v>#NAME?</v>
      </c>
      <c r="AD96" s="673" t="s">
        <v>7</v>
      </c>
      <c r="AE96" s="676" t="str">
        <f t="shared" si="4"/>
        <v>#NAME?</v>
      </c>
      <c r="AF96" s="674" t="s">
        <v>92</v>
      </c>
      <c r="AG96" s="675" t="str">
        <f t="shared" si="5"/>
        <v>#NAME?</v>
      </c>
      <c r="AH96" s="586" t="s">
        <v>7</v>
      </c>
      <c r="AI96" s="677" t="str">
        <f t="shared" si="6"/>
        <v>#NAME?</v>
      </c>
      <c r="AJ96" s="586" t="s">
        <v>92</v>
      </c>
      <c r="AK96" s="584" t="str">
        <f t="shared" si="7"/>
        <v>#NAME?</v>
      </c>
      <c r="AL96" s="678" t="s">
        <v>7</v>
      </c>
      <c r="AM96" s="571"/>
      <c r="AN96" s="679" t="s">
        <v>1001</v>
      </c>
      <c r="AO96" s="680"/>
      <c r="AP96" s="705" t="s">
        <v>1001</v>
      </c>
      <c r="AQ96" s="680"/>
      <c r="AR96" s="705" t="s">
        <v>1001</v>
      </c>
      <c r="AS96" s="680"/>
      <c r="AT96" s="595"/>
      <c r="AU96" s="685"/>
      <c r="AV96" s="686"/>
      <c r="AW96" s="687"/>
      <c r="AX96" s="688"/>
      <c r="AY96" s="571"/>
      <c r="AZ96" s="689" t="s">
        <v>42</v>
      </c>
      <c r="BA96" s="690"/>
      <c r="BB96" s="696"/>
      <c r="BC96" s="571"/>
      <c r="BD96" s="651" t="s">
        <v>15</v>
      </c>
      <c r="BE96" s="653">
        <v>126.0</v>
      </c>
      <c r="BF96" s="653">
        <v>90.0</v>
      </c>
      <c r="BG96" s="654">
        <v>70.0</v>
      </c>
      <c r="BH96" s="653">
        <v>20.0</v>
      </c>
      <c r="BI96" s="607"/>
      <c r="BJ96" s="655" t="s">
        <v>149</v>
      </c>
      <c r="BK96" s="703" t="s">
        <v>149</v>
      </c>
      <c r="BL96" s="610"/>
      <c r="BM96" s="657" t="s">
        <v>964</v>
      </c>
      <c r="BN96" s="704"/>
      <c r="BO96" s="607"/>
      <c r="BP96" s="659" t="s">
        <v>1010</v>
      </c>
      <c r="BQ96" s="614"/>
      <c r="BR96" s="660" t="s">
        <v>4434</v>
      </c>
      <c r="BS96" s="614"/>
    </row>
    <row r="97" ht="15.75" customHeight="1">
      <c r="A97" s="616"/>
      <c r="B97" s="617" t="s">
        <v>1014</v>
      </c>
      <c r="C97" s="618"/>
      <c r="D97" s="619"/>
      <c r="E97" s="629">
        <v>60.0</v>
      </c>
      <c r="F97" s="621">
        <v>65.0</v>
      </c>
      <c r="G97" s="622">
        <v>60.0</v>
      </c>
      <c r="H97" s="748">
        <v>130.0</v>
      </c>
      <c r="I97" s="624">
        <v>75.0</v>
      </c>
      <c r="J97" s="625">
        <v>110.0</v>
      </c>
      <c r="K97" s="749">
        <v>500.0</v>
      </c>
      <c r="L97" s="627">
        <v>60.0</v>
      </c>
      <c r="M97" s="621">
        <v>65.0</v>
      </c>
      <c r="N97" s="622">
        <v>60.0</v>
      </c>
      <c r="O97" s="623">
        <v>130.0</v>
      </c>
      <c r="P97" s="624">
        <v>75.0</v>
      </c>
      <c r="Q97" s="625">
        <v>110.0</v>
      </c>
      <c r="R97" s="628">
        <v>500.0</v>
      </c>
      <c r="S97" s="629">
        <v>60.0</v>
      </c>
      <c r="T97" s="621">
        <v>65.0</v>
      </c>
      <c r="U97" s="622">
        <v>60.0</v>
      </c>
      <c r="V97" s="623">
        <v>130.0</v>
      </c>
      <c r="W97" s="624">
        <v>75.0</v>
      </c>
      <c r="X97" s="625">
        <v>110.0</v>
      </c>
      <c r="Y97" s="628">
        <f t="shared" si="1"/>
        <v>500</v>
      </c>
      <c r="Z97" s="619"/>
      <c r="AA97" s="630" t="str">
        <f t="shared" si="2"/>
        <v>#NAME?</v>
      </c>
      <c r="AB97" s="631" t="s">
        <v>92</v>
      </c>
      <c r="AC97" s="632" t="str">
        <f t="shared" si="3"/>
        <v>#NAME?</v>
      </c>
      <c r="AD97" s="630" t="s">
        <v>7</v>
      </c>
      <c r="AE97" s="633" t="str">
        <f t="shared" si="4"/>
        <v>#NAME?</v>
      </c>
      <c r="AF97" s="631" t="s">
        <v>92</v>
      </c>
      <c r="AG97" s="632" t="str">
        <f t="shared" si="5"/>
        <v>#NAME?</v>
      </c>
      <c r="AH97" s="634" t="s">
        <v>7</v>
      </c>
      <c r="AI97" s="635" t="str">
        <f t="shared" si="6"/>
        <v>#NAME?</v>
      </c>
      <c r="AJ97" s="634" t="s">
        <v>92</v>
      </c>
      <c r="AK97" s="636" t="str">
        <f t="shared" si="7"/>
        <v>#NAME?</v>
      </c>
      <c r="AL97" s="637" t="s">
        <v>7</v>
      </c>
      <c r="AM97" s="619"/>
      <c r="AN97" s="638" t="s">
        <v>1001</v>
      </c>
      <c r="AO97" s="639"/>
      <c r="AP97" s="712" t="s">
        <v>1001</v>
      </c>
      <c r="AQ97" s="639"/>
      <c r="AR97" s="712" t="s">
        <v>1001</v>
      </c>
      <c r="AS97" s="639"/>
      <c r="AT97" s="644"/>
      <c r="AU97" s="645"/>
      <c r="AV97" s="646"/>
      <c r="AW97" s="692"/>
      <c r="AX97" s="693"/>
      <c r="AY97" s="619"/>
      <c r="AZ97" s="698" t="s">
        <v>85</v>
      </c>
      <c r="BA97" s="699"/>
      <c r="BB97" s="690"/>
      <c r="BC97" s="619"/>
      <c r="BD97" s="651" t="s">
        <v>15</v>
      </c>
      <c r="BE97" s="653">
        <v>190.0</v>
      </c>
      <c r="BF97" s="653">
        <v>45.0</v>
      </c>
      <c r="BG97" s="654">
        <v>70.0</v>
      </c>
      <c r="BH97" s="653">
        <v>60.0</v>
      </c>
      <c r="BI97" s="607"/>
      <c r="BJ97" s="655" t="s">
        <v>149</v>
      </c>
      <c r="BK97" s="703" t="s">
        <v>149</v>
      </c>
      <c r="BL97" s="610"/>
      <c r="BM97" s="657" t="s">
        <v>964</v>
      </c>
      <c r="BN97" s="704"/>
      <c r="BO97" s="607"/>
      <c r="BP97" s="659" t="s">
        <v>4444</v>
      </c>
      <c r="BQ97" s="614"/>
      <c r="BR97" s="660" t="s">
        <v>4434</v>
      </c>
      <c r="BS97" s="614"/>
    </row>
    <row r="98" ht="15.75" customHeight="1">
      <c r="A98" s="616"/>
      <c r="B98" s="661" t="s">
        <v>1022</v>
      </c>
      <c r="C98" s="662"/>
      <c r="D98" s="571"/>
      <c r="E98" s="672">
        <v>35.0</v>
      </c>
      <c r="F98" s="664">
        <v>45.0</v>
      </c>
      <c r="G98" s="665">
        <v>160.0</v>
      </c>
      <c r="H98" s="666">
        <v>30.0</v>
      </c>
      <c r="I98" s="667">
        <v>45.0</v>
      </c>
      <c r="J98" s="668">
        <v>70.0</v>
      </c>
      <c r="K98" s="669">
        <v>385.0</v>
      </c>
      <c r="L98" s="670">
        <v>35.0</v>
      </c>
      <c r="M98" s="664">
        <v>45.0</v>
      </c>
      <c r="N98" s="665">
        <v>160.0</v>
      </c>
      <c r="O98" s="666">
        <v>30.0</v>
      </c>
      <c r="P98" s="667">
        <v>45.0</v>
      </c>
      <c r="Q98" s="668">
        <v>70.0</v>
      </c>
      <c r="R98" s="671">
        <v>385.0</v>
      </c>
      <c r="S98" s="672">
        <v>35.0</v>
      </c>
      <c r="T98" s="741">
        <v>75.0</v>
      </c>
      <c r="U98" s="665">
        <v>160.0</v>
      </c>
      <c r="V98" s="666">
        <v>30.0</v>
      </c>
      <c r="W98" s="667">
        <v>45.0</v>
      </c>
      <c r="X98" s="745">
        <v>80.0</v>
      </c>
      <c r="Y98" s="671">
        <f t="shared" si="1"/>
        <v>425</v>
      </c>
      <c r="Z98" s="571"/>
      <c r="AA98" s="673" t="str">
        <f t="shared" si="2"/>
        <v>#NAME?</v>
      </c>
      <c r="AB98" s="674" t="s">
        <v>66</v>
      </c>
      <c r="AC98" s="675" t="str">
        <f t="shared" si="3"/>
        <v>#NAME?</v>
      </c>
      <c r="AD98" s="673" t="s">
        <v>79</v>
      </c>
      <c r="AE98" s="676" t="str">
        <f t="shared" si="4"/>
        <v>#NAME?</v>
      </c>
      <c r="AF98" s="674" t="s">
        <v>66</v>
      </c>
      <c r="AG98" s="675" t="str">
        <f t="shared" si="5"/>
        <v>#NAME?</v>
      </c>
      <c r="AH98" s="586" t="s">
        <v>79</v>
      </c>
      <c r="AI98" s="677" t="str">
        <f t="shared" si="6"/>
        <v>#NAME?</v>
      </c>
      <c r="AJ98" s="586" t="s">
        <v>66</v>
      </c>
      <c r="AK98" s="584" t="str">
        <f t="shared" si="7"/>
        <v>#NAME?</v>
      </c>
      <c r="AL98" s="678" t="s">
        <v>79</v>
      </c>
      <c r="AM98" s="571"/>
      <c r="AN98" s="679" t="s">
        <v>824</v>
      </c>
      <c r="AO98" s="680" t="s">
        <v>825</v>
      </c>
      <c r="AP98" s="705" t="s">
        <v>824</v>
      </c>
      <c r="AQ98" s="680" t="s">
        <v>825</v>
      </c>
      <c r="AR98" s="705" t="s">
        <v>824</v>
      </c>
      <c r="AS98" s="680" t="s">
        <v>825</v>
      </c>
      <c r="AT98" s="595"/>
      <c r="AU98" s="685"/>
      <c r="AV98" s="686"/>
      <c r="AW98" s="687"/>
      <c r="AX98" s="688"/>
      <c r="AY98" s="571"/>
      <c r="AZ98" s="695" t="s">
        <v>101</v>
      </c>
      <c r="BA98" s="700"/>
      <c r="BB98" s="690"/>
      <c r="BC98" s="571"/>
      <c r="BD98" s="651" t="s">
        <v>150</v>
      </c>
      <c r="BE98" s="653">
        <v>108.0</v>
      </c>
      <c r="BF98" s="653">
        <v>45.0</v>
      </c>
      <c r="BG98" s="654">
        <v>70.0</v>
      </c>
      <c r="BH98" s="653">
        <v>120.0</v>
      </c>
      <c r="BI98" s="607"/>
      <c r="BJ98" s="655" t="s">
        <v>149</v>
      </c>
      <c r="BK98" s="703" t="s">
        <v>149</v>
      </c>
      <c r="BL98" s="610"/>
      <c r="BM98" s="657" t="s">
        <v>826</v>
      </c>
      <c r="BN98" s="704"/>
      <c r="BO98" s="607"/>
      <c r="BP98" s="659" t="s">
        <v>1026</v>
      </c>
      <c r="BQ98" s="614"/>
      <c r="BR98" s="660" t="s">
        <v>4437</v>
      </c>
      <c r="BS98" s="614"/>
    </row>
    <row r="99" ht="15.75" customHeight="1">
      <c r="A99" s="616"/>
      <c r="B99" s="617" t="s">
        <v>1029</v>
      </c>
      <c r="C99" s="618"/>
      <c r="D99" s="619"/>
      <c r="E99" s="629">
        <v>60.0</v>
      </c>
      <c r="F99" s="621">
        <v>48.0</v>
      </c>
      <c r="G99" s="622">
        <v>45.0</v>
      </c>
      <c r="H99" s="623">
        <v>43.0</v>
      </c>
      <c r="I99" s="624">
        <v>90.0</v>
      </c>
      <c r="J99" s="625">
        <v>42.0</v>
      </c>
      <c r="K99" s="626">
        <v>328.0</v>
      </c>
      <c r="L99" s="627">
        <v>60.0</v>
      </c>
      <c r="M99" s="621">
        <v>48.0</v>
      </c>
      <c r="N99" s="622">
        <v>45.0</v>
      </c>
      <c r="O99" s="623">
        <v>43.0</v>
      </c>
      <c r="P99" s="624">
        <v>90.0</v>
      </c>
      <c r="Q99" s="625">
        <v>42.0</v>
      </c>
      <c r="R99" s="628">
        <v>328.0</v>
      </c>
      <c r="S99" s="629">
        <v>60.0</v>
      </c>
      <c r="T99" s="621">
        <v>48.0</v>
      </c>
      <c r="U99" s="622">
        <v>45.0</v>
      </c>
      <c r="V99" s="623">
        <v>43.0</v>
      </c>
      <c r="W99" s="624">
        <v>90.0</v>
      </c>
      <c r="X99" s="625">
        <v>42.0</v>
      </c>
      <c r="Y99" s="628">
        <f t="shared" si="1"/>
        <v>328</v>
      </c>
      <c r="Z99" s="619"/>
      <c r="AA99" s="630" t="str">
        <f t="shared" si="2"/>
        <v>#NAME?</v>
      </c>
      <c r="AB99" s="631" t="s">
        <v>122</v>
      </c>
      <c r="AC99" s="632" t="str">
        <f t="shared" si="3"/>
        <v>#NAME?</v>
      </c>
      <c r="AD99" s="639" t="s">
        <v>4428</v>
      </c>
      <c r="AE99" s="633" t="str">
        <f t="shared" si="4"/>
        <v>#NAME?</v>
      </c>
      <c r="AF99" s="631" t="s">
        <v>122</v>
      </c>
      <c r="AG99" s="632" t="str">
        <f t="shared" si="5"/>
        <v>#NAME?</v>
      </c>
      <c r="AH99" s="634" t="s">
        <v>4428</v>
      </c>
      <c r="AI99" s="635" t="str">
        <f t="shared" si="6"/>
        <v>#NAME?</v>
      </c>
      <c r="AJ99" s="634" t="s">
        <v>122</v>
      </c>
      <c r="AK99" s="636" t="str">
        <f t="shared" si="7"/>
        <v>#NAME?</v>
      </c>
      <c r="AL99" s="637" t="s">
        <v>4428</v>
      </c>
      <c r="AM99" s="619"/>
      <c r="AN99" s="638" t="s">
        <v>1032</v>
      </c>
      <c r="AO99" s="639" t="s">
        <v>1033</v>
      </c>
      <c r="AP99" s="712" t="s">
        <v>1032</v>
      </c>
      <c r="AQ99" s="639" t="s">
        <v>1033</v>
      </c>
      <c r="AR99" s="712" t="s">
        <v>1032</v>
      </c>
      <c r="AS99" s="639" t="s">
        <v>1033</v>
      </c>
      <c r="AT99" s="644"/>
      <c r="AU99" s="645"/>
      <c r="AV99" s="646"/>
      <c r="AW99" s="692"/>
      <c r="AX99" s="693"/>
      <c r="AY99" s="619"/>
      <c r="AZ99" s="648" t="s">
        <v>27</v>
      </c>
      <c r="BA99" s="694"/>
      <c r="BB99" s="690"/>
      <c r="BC99" s="619"/>
      <c r="BD99" s="651" t="s">
        <v>150</v>
      </c>
      <c r="BE99" s="653">
        <v>102.0</v>
      </c>
      <c r="BF99" s="653">
        <v>190.0</v>
      </c>
      <c r="BG99" s="654">
        <v>70.0</v>
      </c>
      <c r="BH99" s="653">
        <v>60.0</v>
      </c>
      <c r="BI99" s="607"/>
      <c r="BJ99" s="655" t="s">
        <v>149</v>
      </c>
      <c r="BK99" s="703" t="s">
        <v>149</v>
      </c>
      <c r="BL99" s="610"/>
      <c r="BM99" s="657" t="s">
        <v>728</v>
      </c>
      <c r="BN99" s="704"/>
      <c r="BO99" s="607"/>
      <c r="BP99" s="659" t="s">
        <v>1035</v>
      </c>
      <c r="BQ99" s="614"/>
      <c r="BR99" s="660" t="s">
        <v>4433</v>
      </c>
      <c r="BS99" s="614"/>
    </row>
    <row r="100" ht="15.75" customHeight="1">
      <c r="A100" s="616"/>
      <c r="B100" s="661" t="s">
        <v>1039</v>
      </c>
      <c r="C100" s="662"/>
      <c r="D100" s="571"/>
      <c r="E100" s="672">
        <v>85.0</v>
      </c>
      <c r="F100" s="664">
        <v>73.0</v>
      </c>
      <c r="G100" s="665">
        <v>70.0</v>
      </c>
      <c r="H100" s="666">
        <v>73.0</v>
      </c>
      <c r="I100" s="667">
        <v>115.0</v>
      </c>
      <c r="J100" s="668">
        <v>67.0</v>
      </c>
      <c r="K100" s="669">
        <v>483.0</v>
      </c>
      <c r="L100" s="670">
        <v>85.0</v>
      </c>
      <c r="M100" s="664">
        <v>73.0</v>
      </c>
      <c r="N100" s="665">
        <v>70.0</v>
      </c>
      <c r="O100" s="666">
        <v>73.0</v>
      </c>
      <c r="P100" s="667">
        <v>115.0</v>
      </c>
      <c r="Q100" s="668">
        <v>67.0</v>
      </c>
      <c r="R100" s="671">
        <v>483.0</v>
      </c>
      <c r="S100" s="672">
        <v>85.0</v>
      </c>
      <c r="T100" s="664">
        <v>73.0</v>
      </c>
      <c r="U100" s="665">
        <v>70.0</v>
      </c>
      <c r="V100" s="666">
        <v>73.0</v>
      </c>
      <c r="W100" s="667">
        <v>115.0</v>
      </c>
      <c r="X100" s="668">
        <v>67.0</v>
      </c>
      <c r="Y100" s="671">
        <f t="shared" si="1"/>
        <v>483</v>
      </c>
      <c r="Z100" s="571"/>
      <c r="AA100" s="673" t="str">
        <f t="shared" si="2"/>
        <v>#NAME?</v>
      </c>
      <c r="AB100" s="674" t="s">
        <v>122</v>
      </c>
      <c r="AC100" s="675" t="str">
        <f t="shared" si="3"/>
        <v>#NAME?</v>
      </c>
      <c r="AD100" s="680" t="s">
        <v>4428</v>
      </c>
      <c r="AE100" s="676" t="str">
        <f t="shared" si="4"/>
        <v>#NAME?</v>
      </c>
      <c r="AF100" s="674" t="s">
        <v>122</v>
      </c>
      <c r="AG100" s="675" t="str">
        <f t="shared" si="5"/>
        <v>#NAME?</v>
      </c>
      <c r="AH100" s="586" t="s">
        <v>4428</v>
      </c>
      <c r="AI100" s="677" t="str">
        <f t="shared" si="6"/>
        <v>#NAME?</v>
      </c>
      <c r="AJ100" s="586" t="s">
        <v>122</v>
      </c>
      <c r="AK100" s="584" t="str">
        <f t="shared" si="7"/>
        <v>#NAME?</v>
      </c>
      <c r="AL100" s="678" t="s">
        <v>4428</v>
      </c>
      <c r="AM100" s="571"/>
      <c r="AN100" s="679" t="s">
        <v>1032</v>
      </c>
      <c r="AO100" s="680" t="s">
        <v>1033</v>
      </c>
      <c r="AP100" s="705" t="s">
        <v>1032</v>
      </c>
      <c r="AQ100" s="680" t="s">
        <v>1033</v>
      </c>
      <c r="AR100" s="705" t="s">
        <v>1032</v>
      </c>
      <c r="AS100" s="680" t="s">
        <v>1033</v>
      </c>
      <c r="AT100" s="595"/>
      <c r="AU100" s="685"/>
      <c r="AV100" s="686"/>
      <c r="AW100" s="687"/>
      <c r="AX100" s="688"/>
      <c r="AY100" s="571"/>
      <c r="AZ100" s="689" t="s">
        <v>815</v>
      </c>
      <c r="BA100" s="690"/>
      <c r="BB100" s="696"/>
      <c r="BC100" s="571"/>
      <c r="BD100" s="651" t="s">
        <v>150</v>
      </c>
      <c r="BE100" s="653">
        <v>165.0</v>
      </c>
      <c r="BF100" s="653">
        <v>75.0</v>
      </c>
      <c r="BG100" s="654">
        <v>70.0</v>
      </c>
      <c r="BH100" s="653">
        <v>80.0</v>
      </c>
      <c r="BI100" s="607"/>
      <c r="BJ100" s="655" t="s">
        <v>149</v>
      </c>
      <c r="BK100" s="703" t="s">
        <v>149</v>
      </c>
      <c r="BL100" s="610"/>
      <c r="BM100" s="657" t="s">
        <v>728</v>
      </c>
      <c r="BN100" s="704"/>
      <c r="BO100" s="607"/>
      <c r="BP100" s="659" t="s">
        <v>1043</v>
      </c>
      <c r="BQ100" s="614"/>
      <c r="BR100" s="660" t="s">
        <v>4433</v>
      </c>
      <c r="BS100" s="614"/>
    </row>
    <row r="101" ht="15.75" customHeight="1">
      <c r="A101" s="616"/>
      <c r="B101" s="617" t="s">
        <v>1047</v>
      </c>
      <c r="C101" s="618"/>
      <c r="D101" s="619"/>
      <c r="E101" s="629">
        <v>30.0</v>
      </c>
      <c r="F101" s="621">
        <v>105.0</v>
      </c>
      <c r="G101" s="622">
        <v>90.0</v>
      </c>
      <c r="H101" s="748">
        <v>25.0</v>
      </c>
      <c r="I101" s="624">
        <v>25.0</v>
      </c>
      <c r="J101" s="625">
        <v>50.0</v>
      </c>
      <c r="K101" s="749">
        <v>325.0</v>
      </c>
      <c r="L101" s="627">
        <v>30.0</v>
      </c>
      <c r="M101" s="621">
        <v>105.0</v>
      </c>
      <c r="N101" s="622">
        <v>90.0</v>
      </c>
      <c r="O101" s="623">
        <v>25.0</v>
      </c>
      <c r="P101" s="624">
        <v>25.0</v>
      </c>
      <c r="Q101" s="625">
        <v>50.0</v>
      </c>
      <c r="R101" s="628">
        <v>325.0</v>
      </c>
      <c r="S101" s="629">
        <v>30.0</v>
      </c>
      <c r="T101" s="621">
        <v>105.0</v>
      </c>
      <c r="U101" s="622">
        <v>90.0</v>
      </c>
      <c r="V101" s="623">
        <v>25.0</v>
      </c>
      <c r="W101" s="624">
        <v>25.0</v>
      </c>
      <c r="X101" s="625">
        <v>50.0</v>
      </c>
      <c r="Y101" s="628">
        <f t="shared" si="1"/>
        <v>325</v>
      </c>
      <c r="Z101" s="619"/>
      <c r="AA101" s="630" t="str">
        <f t="shared" si="2"/>
        <v>#NAME?</v>
      </c>
      <c r="AB101" s="631" t="s">
        <v>32</v>
      </c>
      <c r="AC101" s="632" t="str">
        <f t="shared" si="3"/>
        <v>#NAME?</v>
      </c>
      <c r="AD101" s="639" t="s">
        <v>4428</v>
      </c>
      <c r="AE101" s="633" t="str">
        <f t="shared" si="4"/>
        <v>#NAME?</v>
      </c>
      <c r="AF101" s="631" t="s">
        <v>32</v>
      </c>
      <c r="AG101" s="632" t="str">
        <f t="shared" si="5"/>
        <v>#NAME?</v>
      </c>
      <c r="AH101" s="634" t="s">
        <v>4428</v>
      </c>
      <c r="AI101" s="635" t="str">
        <f t="shared" si="6"/>
        <v>#NAME?</v>
      </c>
      <c r="AJ101" s="634" t="s">
        <v>32</v>
      </c>
      <c r="AK101" s="636" t="str">
        <f t="shared" si="7"/>
        <v>#NAME?</v>
      </c>
      <c r="AL101" s="637" t="s">
        <v>4428</v>
      </c>
      <c r="AM101" s="619"/>
      <c r="AN101" s="638" t="s">
        <v>1050</v>
      </c>
      <c r="AO101" s="639" t="s">
        <v>981</v>
      </c>
      <c r="AP101" s="712" t="s">
        <v>1050</v>
      </c>
      <c r="AQ101" s="639" t="s">
        <v>981</v>
      </c>
      <c r="AR101" s="712" t="s">
        <v>1050</v>
      </c>
      <c r="AS101" s="639" t="s">
        <v>981</v>
      </c>
      <c r="AT101" s="644"/>
      <c r="AU101" s="645"/>
      <c r="AV101" s="646"/>
      <c r="AW101" s="692"/>
      <c r="AX101" s="693"/>
      <c r="AY101" s="619"/>
      <c r="AZ101" s="648" t="s">
        <v>325</v>
      </c>
      <c r="BA101" s="694"/>
      <c r="BB101" s="690"/>
      <c r="BC101" s="619"/>
      <c r="BD101" s="651" t="s">
        <v>150</v>
      </c>
      <c r="BE101" s="653">
        <v>115.0</v>
      </c>
      <c r="BF101" s="653">
        <v>225.0</v>
      </c>
      <c r="BG101" s="654">
        <v>70.0</v>
      </c>
      <c r="BH101" s="653">
        <v>20.0</v>
      </c>
      <c r="BI101" s="607"/>
      <c r="BJ101" s="655" t="s">
        <v>149</v>
      </c>
      <c r="BK101" s="703" t="s">
        <v>149</v>
      </c>
      <c r="BL101" s="610"/>
      <c r="BM101" s="657" t="s">
        <v>807</v>
      </c>
      <c r="BN101" s="704"/>
      <c r="BO101" s="607"/>
      <c r="BP101" s="659" t="s">
        <v>1052</v>
      </c>
      <c r="BQ101" s="614"/>
      <c r="BR101" s="660" t="s">
        <v>4429</v>
      </c>
      <c r="BS101" s="614"/>
    </row>
    <row r="102" ht="15.75" customHeight="1">
      <c r="A102" s="616"/>
      <c r="B102" s="661" t="s">
        <v>1057</v>
      </c>
      <c r="C102" s="662"/>
      <c r="D102" s="571"/>
      <c r="E102" s="672">
        <v>55.0</v>
      </c>
      <c r="F102" s="664">
        <v>130.0</v>
      </c>
      <c r="G102" s="665">
        <v>115.0</v>
      </c>
      <c r="H102" s="666">
        <v>50.0</v>
      </c>
      <c r="I102" s="667">
        <v>50.0</v>
      </c>
      <c r="J102" s="668">
        <v>75.0</v>
      </c>
      <c r="K102" s="669">
        <v>475.0</v>
      </c>
      <c r="L102" s="670">
        <v>55.0</v>
      </c>
      <c r="M102" s="664">
        <v>130.0</v>
      </c>
      <c r="N102" s="665">
        <v>115.0</v>
      </c>
      <c r="O102" s="666">
        <v>50.0</v>
      </c>
      <c r="P102" s="667">
        <v>50.0</v>
      </c>
      <c r="Q102" s="668">
        <v>75.0</v>
      </c>
      <c r="R102" s="671">
        <v>475.0</v>
      </c>
      <c r="S102" s="672">
        <v>55.0</v>
      </c>
      <c r="T102" s="664">
        <v>130.0</v>
      </c>
      <c r="U102" s="665">
        <v>115.0</v>
      </c>
      <c r="V102" s="666">
        <v>50.0</v>
      </c>
      <c r="W102" s="667">
        <v>50.0</v>
      </c>
      <c r="X102" s="668">
        <v>75.0</v>
      </c>
      <c r="Y102" s="671">
        <f t="shared" si="1"/>
        <v>475</v>
      </c>
      <c r="Z102" s="571"/>
      <c r="AA102" s="673" t="str">
        <f t="shared" si="2"/>
        <v>#NAME?</v>
      </c>
      <c r="AB102" s="674" t="s">
        <v>32</v>
      </c>
      <c r="AC102" s="675" t="str">
        <f t="shared" si="3"/>
        <v>#NAME?</v>
      </c>
      <c r="AD102" s="680" t="s">
        <v>4428</v>
      </c>
      <c r="AE102" s="676" t="str">
        <f t="shared" si="4"/>
        <v>#NAME?</v>
      </c>
      <c r="AF102" s="674" t="s">
        <v>32</v>
      </c>
      <c r="AG102" s="675" t="str">
        <f t="shared" si="5"/>
        <v>#NAME?</v>
      </c>
      <c r="AH102" s="586" t="s">
        <v>4428</v>
      </c>
      <c r="AI102" s="677" t="str">
        <f t="shared" si="6"/>
        <v>#NAME?</v>
      </c>
      <c r="AJ102" s="586" t="s">
        <v>32</v>
      </c>
      <c r="AK102" s="584" t="str">
        <f t="shared" si="7"/>
        <v>#NAME?</v>
      </c>
      <c r="AL102" s="678" t="s">
        <v>4428</v>
      </c>
      <c r="AM102" s="571"/>
      <c r="AN102" s="679" t="s">
        <v>1050</v>
      </c>
      <c r="AO102" s="680" t="s">
        <v>981</v>
      </c>
      <c r="AP102" s="705" t="s">
        <v>1050</v>
      </c>
      <c r="AQ102" s="680" t="s">
        <v>981</v>
      </c>
      <c r="AR102" s="705" t="s">
        <v>1050</v>
      </c>
      <c r="AS102" s="680" t="s">
        <v>981</v>
      </c>
      <c r="AT102" s="595"/>
      <c r="AU102" s="685"/>
      <c r="AV102" s="686"/>
      <c r="AW102" s="687"/>
      <c r="AX102" s="688"/>
      <c r="AY102" s="571"/>
      <c r="AZ102" s="689" t="s">
        <v>216</v>
      </c>
      <c r="BA102" s="690"/>
      <c r="BB102" s="696"/>
      <c r="BC102" s="571"/>
      <c r="BD102" s="651" t="s">
        <v>150</v>
      </c>
      <c r="BE102" s="653">
        <v>206.0</v>
      </c>
      <c r="BF102" s="653">
        <v>60.0</v>
      </c>
      <c r="BG102" s="654">
        <v>70.0</v>
      </c>
      <c r="BH102" s="653">
        <v>80.0</v>
      </c>
      <c r="BI102" s="607"/>
      <c r="BJ102" s="655" t="s">
        <v>149</v>
      </c>
      <c r="BK102" s="703" t="s">
        <v>149</v>
      </c>
      <c r="BL102" s="610"/>
      <c r="BM102" s="657" t="s">
        <v>807</v>
      </c>
      <c r="BN102" s="704"/>
      <c r="BO102" s="607"/>
      <c r="BP102" s="659" t="s">
        <v>1060</v>
      </c>
      <c r="BQ102" s="614"/>
      <c r="BR102" s="660" t="s">
        <v>4429</v>
      </c>
      <c r="BS102" s="614"/>
    </row>
    <row r="103" ht="15.75" customHeight="1">
      <c r="A103" s="616"/>
      <c r="B103" s="617" t="s">
        <v>1064</v>
      </c>
      <c r="C103" s="618"/>
      <c r="D103" s="619"/>
      <c r="E103" s="629">
        <v>40.0</v>
      </c>
      <c r="F103" s="621">
        <v>30.0</v>
      </c>
      <c r="G103" s="622">
        <v>50.0</v>
      </c>
      <c r="H103" s="623">
        <v>55.0</v>
      </c>
      <c r="I103" s="624">
        <v>55.0</v>
      </c>
      <c r="J103" s="625">
        <v>100.0</v>
      </c>
      <c r="K103" s="626">
        <v>330.0</v>
      </c>
      <c r="L103" s="627">
        <v>40.0</v>
      </c>
      <c r="M103" s="621">
        <v>30.0</v>
      </c>
      <c r="N103" s="622">
        <v>50.0</v>
      </c>
      <c r="O103" s="623">
        <v>55.0</v>
      </c>
      <c r="P103" s="624">
        <v>55.0</v>
      </c>
      <c r="Q103" s="625">
        <v>100.0</v>
      </c>
      <c r="R103" s="628">
        <v>330.0</v>
      </c>
      <c r="S103" s="629">
        <v>40.0</v>
      </c>
      <c r="T103" s="621">
        <v>30.0</v>
      </c>
      <c r="U103" s="622">
        <v>50.0</v>
      </c>
      <c r="V103" s="623">
        <v>55.0</v>
      </c>
      <c r="W103" s="624">
        <v>55.0</v>
      </c>
      <c r="X103" s="625">
        <v>100.0</v>
      </c>
      <c r="Y103" s="628">
        <f t="shared" si="1"/>
        <v>330</v>
      </c>
      <c r="Z103" s="619"/>
      <c r="AA103" s="630" t="str">
        <f t="shared" si="2"/>
        <v>#NAME?</v>
      </c>
      <c r="AB103" s="631" t="s">
        <v>197</v>
      </c>
      <c r="AC103" s="632" t="str">
        <f t="shared" si="3"/>
        <v>#NAME?</v>
      </c>
      <c r="AD103" s="639" t="s">
        <v>4428</v>
      </c>
      <c r="AE103" s="633" t="str">
        <f t="shared" si="4"/>
        <v>#NAME?</v>
      </c>
      <c r="AF103" s="631" t="s">
        <v>197</v>
      </c>
      <c r="AG103" s="632" t="str">
        <f t="shared" si="5"/>
        <v>#NAME?</v>
      </c>
      <c r="AH103" s="634" t="s">
        <v>4428</v>
      </c>
      <c r="AI103" s="635" t="str">
        <f t="shared" si="6"/>
        <v>#NAME?</v>
      </c>
      <c r="AJ103" s="634" t="s">
        <v>197</v>
      </c>
      <c r="AK103" s="636" t="str">
        <f t="shared" si="7"/>
        <v>#NAME?</v>
      </c>
      <c r="AL103" s="637" t="s">
        <v>4428</v>
      </c>
      <c r="AM103" s="619"/>
      <c r="AN103" s="638" t="s">
        <v>1067</v>
      </c>
      <c r="AO103" s="639" t="s">
        <v>352</v>
      </c>
      <c r="AP103" s="712" t="s">
        <v>1067</v>
      </c>
      <c r="AQ103" s="639" t="s">
        <v>352</v>
      </c>
      <c r="AR103" s="712" t="s">
        <v>1067</v>
      </c>
      <c r="AS103" s="639" t="s">
        <v>352</v>
      </c>
      <c r="AT103" s="644"/>
      <c r="AU103" s="645"/>
      <c r="AV103" s="646"/>
      <c r="AW103" s="692"/>
      <c r="AX103" s="693"/>
      <c r="AY103" s="619"/>
      <c r="AZ103" s="648" t="s">
        <v>56</v>
      </c>
      <c r="BA103" s="694"/>
      <c r="BB103" s="690"/>
      <c r="BC103" s="619"/>
      <c r="BD103" s="651" t="s">
        <v>150</v>
      </c>
      <c r="BE103" s="653">
        <v>103.0</v>
      </c>
      <c r="BF103" s="653">
        <v>190.0</v>
      </c>
      <c r="BG103" s="654">
        <v>70.0</v>
      </c>
      <c r="BH103" s="653">
        <v>40.0</v>
      </c>
      <c r="BI103" s="607"/>
      <c r="BJ103" s="655" t="s">
        <v>149</v>
      </c>
      <c r="BK103" s="703" t="s">
        <v>149</v>
      </c>
      <c r="BL103" s="610"/>
      <c r="BM103" s="767" t="s">
        <v>826</v>
      </c>
      <c r="BN103" s="704"/>
      <c r="BO103" s="607"/>
      <c r="BP103" s="659" t="s">
        <v>1069</v>
      </c>
      <c r="BQ103" s="614"/>
      <c r="BR103" s="660" t="s">
        <v>4429</v>
      </c>
      <c r="BS103" s="614"/>
    </row>
    <row r="104" ht="15.75" customHeight="1">
      <c r="A104" s="616"/>
      <c r="B104" s="661" t="s">
        <v>1073</v>
      </c>
      <c r="C104" s="662"/>
      <c r="D104" s="571"/>
      <c r="E104" s="672">
        <v>60.0</v>
      </c>
      <c r="F104" s="664">
        <v>50.0</v>
      </c>
      <c r="G104" s="665">
        <v>70.0</v>
      </c>
      <c r="H104" s="666">
        <v>80.0</v>
      </c>
      <c r="I104" s="667">
        <v>80.0</v>
      </c>
      <c r="J104" s="668">
        <v>140.0</v>
      </c>
      <c r="K104" s="669">
        <v>480.0</v>
      </c>
      <c r="L104" s="670">
        <v>60.0</v>
      </c>
      <c r="M104" s="664">
        <v>50.0</v>
      </c>
      <c r="N104" s="665">
        <v>70.0</v>
      </c>
      <c r="O104" s="666">
        <v>80.0</v>
      </c>
      <c r="P104" s="667">
        <v>80.0</v>
      </c>
      <c r="Q104" s="668">
        <v>150.0</v>
      </c>
      <c r="R104" s="671">
        <v>490.0</v>
      </c>
      <c r="S104" s="672">
        <v>60.0</v>
      </c>
      <c r="T104" s="664">
        <v>50.0</v>
      </c>
      <c r="U104" s="665">
        <v>70.0</v>
      </c>
      <c r="V104" s="666">
        <v>80.0</v>
      </c>
      <c r="W104" s="667">
        <v>80.0</v>
      </c>
      <c r="X104" s="668">
        <v>150.0</v>
      </c>
      <c r="Y104" s="671">
        <f t="shared" si="1"/>
        <v>490</v>
      </c>
      <c r="Z104" s="571"/>
      <c r="AA104" s="673" t="str">
        <f t="shared" si="2"/>
        <v>#NAME?</v>
      </c>
      <c r="AB104" s="674" t="s">
        <v>197</v>
      </c>
      <c r="AC104" s="675" t="str">
        <f t="shared" si="3"/>
        <v>#NAME?</v>
      </c>
      <c r="AD104" s="680" t="s">
        <v>4428</v>
      </c>
      <c r="AE104" s="676" t="str">
        <f t="shared" si="4"/>
        <v>#NAME?</v>
      </c>
      <c r="AF104" s="674" t="s">
        <v>197</v>
      </c>
      <c r="AG104" s="675" t="str">
        <f t="shared" si="5"/>
        <v>#NAME?</v>
      </c>
      <c r="AH104" s="586" t="s">
        <v>4428</v>
      </c>
      <c r="AI104" s="677" t="str">
        <f t="shared" si="6"/>
        <v>#NAME?</v>
      </c>
      <c r="AJ104" s="586" t="s">
        <v>197</v>
      </c>
      <c r="AK104" s="584" t="str">
        <f t="shared" si="7"/>
        <v>#NAME?</v>
      </c>
      <c r="AL104" s="678" t="s">
        <v>4428</v>
      </c>
      <c r="AM104" s="571"/>
      <c r="AN104" s="679" t="s">
        <v>1067</v>
      </c>
      <c r="AO104" s="680" t="s">
        <v>352</v>
      </c>
      <c r="AP104" s="705" t="s">
        <v>1067</v>
      </c>
      <c r="AQ104" s="680" t="s">
        <v>352</v>
      </c>
      <c r="AR104" s="705" t="s">
        <v>1067</v>
      </c>
      <c r="AS104" s="680" t="s">
        <v>352</v>
      </c>
      <c r="AT104" s="595"/>
      <c r="AU104" s="685"/>
      <c r="AV104" s="686"/>
      <c r="AW104" s="687"/>
      <c r="AX104" s="688"/>
      <c r="AY104" s="571"/>
      <c r="AZ104" s="689" t="s">
        <v>248</v>
      </c>
      <c r="BA104" s="690"/>
      <c r="BB104" s="696"/>
      <c r="BC104" s="571"/>
      <c r="BD104" s="651" t="s">
        <v>150</v>
      </c>
      <c r="BE104" s="653">
        <v>150.0</v>
      </c>
      <c r="BF104" s="653">
        <v>60.0</v>
      </c>
      <c r="BG104" s="654">
        <v>70.0</v>
      </c>
      <c r="BH104" s="653">
        <v>80.0</v>
      </c>
      <c r="BI104" s="607"/>
      <c r="BJ104" s="655" t="s">
        <v>149</v>
      </c>
      <c r="BK104" s="703" t="s">
        <v>149</v>
      </c>
      <c r="BL104" s="610"/>
      <c r="BM104" s="767" t="s">
        <v>826</v>
      </c>
      <c r="BN104" s="704"/>
      <c r="BO104" s="607"/>
      <c r="BP104" s="659" t="s">
        <v>1078</v>
      </c>
      <c r="BQ104" s="614"/>
      <c r="BR104" s="660" t="s">
        <v>4429</v>
      </c>
      <c r="BS104" s="614"/>
    </row>
    <row r="105" ht="15.75" customHeight="1">
      <c r="A105" s="616"/>
      <c r="B105" s="617" t="s">
        <v>1082</v>
      </c>
      <c r="C105" s="618"/>
      <c r="D105" s="619"/>
      <c r="E105" s="629">
        <v>60.0</v>
      </c>
      <c r="F105" s="750">
        <v>40.0</v>
      </c>
      <c r="G105" s="622">
        <v>80.0</v>
      </c>
      <c r="H105" s="623">
        <v>60.0</v>
      </c>
      <c r="I105" s="624">
        <v>45.0</v>
      </c>
      <c r="J105" s="625">
        <v>40.0</v>
      </c>
      <c r="K105" s="749">
        <v>325.0</v>
      </c>
      <c r="L105" s="627">
        <v>60.0</v>
      </c>
      <c r="M105" s="621">
        <v>40.0</v>
      </c>
      <c r="N105" s="622">
        <v>80.0</v>
      </c>
      <c r="O105" s="623">
        <v>60.0</v>
      </c>
      <c r="P105" s="624">
        <v>45.0</v>
      </c>
      <c r="Q105" s="625">
        <v>40.0</v>
      </c>
      <c r="R105" s="628">
        <v>325.0</v>
      </c>
      <c r="S105" s="629">
        <v>60.0</v>
      </c>
      <c r="T105" s="621">
        <v>40.0</v>
      </c>
      <c r="U105" s="622">
        <v>80.0</v>
      </c>
      <c r="V105" s="623">
        <v>60.0</v>
      </c>
      <c r="W105" s="624">
        <v>45.0</v>
      </c>
      <c r="X105" s="625">
        <v>40.0</v>
      </c>
      <c r="Y105" s="628">
        <f t="shared" si="1"/>
        <v>325</v>
      </c>
      <c r="Z105" s="619"/>
      <c r="AA105" s="630" t="str">
        <f t="shared" si="2"/>
        <v>#NAME?</v>
      </c>
      <c r="AB105" s="631" t="s">
        <v>6</v>
      </c>
      <c r="AC105" s="632" t="str">
        <f t="shared" si="3"/>
        <v>#NAME?</v>
      </c>
      <c r="AD105" s="630" t="s">
        <v>122</v>
      </c>
      <c r="AE105" s="633" t="str">
        <f t="shared" si="4"/>
        <v>#NAME?</v>
      </c>
      <c r="AF105" s="631" t="s">
        <v>6</v>
      </c>
      <c r="AG105" s="632" t="str">
        <f t="shared" si="5"/>
        <v>#NAME?</v>
      </c>
      <c r="AH105" s="634" t="s">
        <v>122</v>
      </c>
      <c r="AI105" s="635" t="str">
        <f t="shared" si="6"/>
        <v>#NAME?</v>
      </c>
      <c r="AJ105" s="634" t="s">
        <v>6</v>
      </c>
      <c r="AK105" s="636" t="str">
        <f t="shared" si="7"/>
        <v>#NAME?</v>
      </c>
      <c r="AL105" s="637" t="s">
        <v>122</v>
      </c>
      <c r="AM105" s="619"/>
      <c r="AN105" s="638" t="s">
        <v>43</v>
      </c>
      <c r="AO105" s="639"/>
      <c r="AP105" s="712" t="s">
        <v>43</v>
      </c>
      <c r="AQ105" s="639"/>
      <c r="AR105" s="712" t="s">
        <v>43</v>
      </c>
      <c r="AS105" s="639"/>
      <c r="AT105" s="644"/>
      <c r="AU105" s="645"/>
      <c r="AV105" s="646"/>
      <c r="AW105" s="692"/>
      <c r="AX105" s="693"/>
      <c r="AY105" s="619"/>
      <c r="AZ105" s="648" t="s">
        <v>101</v>
      </c>
      <c r="BA105" s="694"/>
      <c r="BB105" s="690"/>
      <c r="BC105" s="619"/>
      <c r="BD105" s="651" t="s">
        <v>683</v>
      </c>
      <c r="BE105" s="653">
        <v>98.0</v>
      </c>
      <c r="BF105" s="653">
        <v>90.0</v>
      </c>
      <c r="BG105" s="654">
        <v>70.0</v>
      </c>
      <c r="BH105" s="653">
        <v>20.0</v>
      </c>
      <c r="BI105" s="607"/>
      <c r="BJ105" s="655" t="s">
        <v>149</v>
      </c>
      <c r="BK105" s="703" t="s">
        <v>149</v>
      </c>
      <c r="BL105" s="610"/>
      <c r="BM105" s="657" t="s">
        <v>6</v>
      </c>
      <c r="BN105" s="704"/>
      <c r="BO105" s="607"/>
      <c r="BP105" s="659" t="s">
        <v>1087</v>
      </c>
      <c r="BQ105" s="614"/>
      <c r="BR105" s="660" t="s">
        <v>4435</v>
      </c>
      <c r="BS105" s="614"/>
    </row>
    <row r="106" ht="15.75" customHeight="1">
      <c r="A106" s="616"/>
      <c r="B106" s="661" t="s">
        <v>1091</v>
      </c>
      <c r="C106" s="662"/>
      <c r="D106" s="571"/>
      <c r="E106" s="672">
        <v>95.0</v>
      </c>
      <c r="F106" s="664">
        <v>95.0</v>
      </c>
      <c r="G106" s="665">
        <v>85.0</v>
      </c>
      <c r="H106" s="666">
        <v>125.0</v>
      </c>
      <c r="I106" s="667">
        <v>65.0</v>
      </c>
      <c r="J106" s="668">
        <v>55.0</v>
      </c>
      <c r="K106" s="669">
        <v>520.0</v>
      </c>
      <c r="L106" s="670">
        <v>95.0</v>
      </c>
      <c r="M106" s="664">
        <v>95.0</v>
      </c>
      <c r="N106" s="665">
        <v>85.0</v>
      </c>
      <c r="O106" s="666">
        <v>125.0</v>
      </c>
      <c r="P106" s="667">
        <v>75.0</v>
      </c>
      <c r="Q106" s="668">
        <v>55.0</v>
      </c>
      <c r="R106" s="671">
        <v>530.0</v>
      </c>
      <c r="S106" s="672">
        <v>95.0</v>
      </c>
      <c r="T106" s="664">
        <v>95.0</v>
      </c>
      <c r="U106" s="665">
        <v>85.0</v>
      </c>
      <c r="V106" s="666">
        <v>125.0</v>
      </c>
      <c r="W106" s="667">
        <v>75.0</v>
      </c>
      <c r="X106" s="668">
        <v>55.0</v>
      </c>
      <c r="Y106" s="671">
        <f t="shared" si="1"/>
        <v>530</v>
      </c>
      <c r="Z106" s="571"/>
      <c r="AA106" s="673" t="str">
        <f t="shared" si="2"/>
        <v>#NAME?</v>
      </c>
      <c r="AB106" s="674" t="s">
        <v>6</v>
      </c>
      <c r="AC106" s="675" t="str">
        <f t="shared" si="3"/>
        <v>#NAME?</v>
      </c>
      <c r="AD106" s="673" t="s">
        <v>122</v>
      </c>
      <c r="AE106" s="676" t="str">
        <f t="shared" si="4"/>
        <v>#NAME?</v>
      </c>
      <c r="AF106" s="674" t="s">
        <v>6</v>
      </c>
      <c r="AG106" s="675" t="str">
        <f t="shared" si="5"/>
        <v>#NAME?</v>
      </c>
      <c r="AH106" s="586" t="s">
        <v>122</v>
      </c>
      <c r="AI106" s="677" t="str">
        <f t="shared" si="6"/>
        <v>#NAME?</v>
      </c>
      <c r="AJ106" s="586" t="s">
        <v>6</v>
      </c>
      <c r="AK106" s="584" t="str">
        <f t="shared" si="7"/>
        <v>#NAME?</v>
      </c>
      <c r="AL106" s="678" t="s">
        <v>122</v>
      </c>
      <c r="AM106" s="571"/>
      <c r="AN106" s="679" t="s">
        <v>43</v>
      </c>
      <c r="AO106" s="680"/>
      <c r="AP106" s="705" t="s">
        <v>43</v>
      </c>
      <c r="AQ106" s="680"/>
      <c r="AR106" s="705" t="s">
        <v>43</v>
      </c>
      <c r="AS106" s="680"/>
      <c r="AT106" s="595"/>
      <c r="AU106" s="685"/>
      <c r="AV106" s="686"/>
      <c r="AW106" s="687"/>
      <c r="AX106" s="688"/>
      <c r="AY106" s="571"/>
      <c r="AZ106" s="689" t="s">
        <v>42</v>
      </c>
      <c r="BA106" s="690"/>
      <c r="BB106" s="696"/>
      <c r="BC106" s="571"/>
      <c r="BD106" s="651" t="s">
        <v>683</v>
      </c>
      <c r="BE106" s="653">
        <v>212.0</v>
      </c>
      <c r="BF106" s="653">
        <v>45.0</v>
      </c>
      <c r="BG106" s="654">
        <v>70.0</v>
      </c>
      <c r="BH106" s="653">
        <v>100.0</v>
      </c>
      <c r="BI106" s="607"/>
      <c r="BJ106" s="655" t="s">
        <v>149</v>
      </c>
      <c r="BK106" s="703" t="s">
        <v>149</v>
      </c>
      <c r="BL106" s="610"/>
      <c r="BM106" s="657" t="s">
        <v>6</v>
      </c>
      <c r="BN106" s="704"/>
      <c r="BO106" s="607"/>
      <c r="BP106" s="659" t="s">
        <v>1095</v>
      </c>
      <c r="BQ106" s="614"/>
      <c r="BR106" s="660" t="s">
        <v>4433</v>
      </c>
      <c r="BS106" s="614"/>
    </row>
    <row r="107" ht="15.75" customHeight="1">
      <c r="A107" s="616"/>
      <c r="B107" s="617" t="s">
        <v>1099</v>
      </c>
      <c r="C107" s="618"/>
      <c r="D107" s="619"/>
      <c r="E107" s="629">
        <v>50.0</v>
      </c>
      <c r="F107" s="621">
        <v>50.0</v>
      </c>
      <c r="G107" s="622">
        <v>95.0</v>
      </c>
      <c r="H107" s="623">
        <v>40.0</v>
      </c>
      <c r="I107" s="624">
        <v>50.0</v>
      </c>
      <c r="J107" s="753">
        <v>35.0</v>
      </c>
      <c r="K107" s="749">
        <v>320.0</v>
      </c>
      <c r="L107" s="627">
        <v>50.0</v>
      </c>
      <c r="M107" s="621">
        <v>50.0</v>
      </c>
      <c r="N107" s="622">
        <v>95.0</v>
      </c>
      <c r="O107" s="623">
        <v>40.0</v>
      </c>
      <c r="P107" s="624">
        <v>50.0</v>
      </c>
      <c r="Q107" s="625">
        <v>35.0</v>
      </c>
      <c r="R107" s="628">
        <v>320.0</v>
      </c>
      <c r="S107" s="629">
        <v>50.0</v>
      </c>
      <c r="T107" s="621">
        <v>50.0</v>
      </c>
      <c r="U107" s="622">
        <v>95.0</v>
      </c>
      <c r="V107" s="623">
        <v>40.0</v>
      </c>
      <c r="W107" s="624">
        <v>50.0</v>
      </c>
      <c r="X107" s="625">
        <v>35.0</v>
      </c>
      <c r="Y107" s="628">
        <f t="shared" si="1"/>
        <v>320</v>
      </c>
      <c r="Z107" s="619"/>
      <c r="AA107" s="630" t="str">
        <f t="shared" si="2"/>
        <v>#NAME?</v>
      </c>
      <c r="AB107" s="631" t="s">
        <v>79</v>
      </c>
      <c r="AC107" s="632" t="str">
        <f t="shared" si="3"/>
        <v>#NAME?</v>
      </c>
      <c r="AD107" s="639" t="s">
        <v>4428</v>
      </c>
      <c r="AE107" s="633" t="str">
        <f t="shared" si="4"/>
        <v>#NAME?</v>
      </c>
      <c r="AF107" s="631" t="s">
        <v>79</v>
      </c>
      <c r="AG107" s="632" t="str">
        <f t="shared" si="5"/>
        <v>#NAME?</v>
      </c>
      <c r="AH107" s="634" t="s">
        <v>4428</v>
      </c>
      <c r="AI107" s="635" t="str">
        <f t="shared" si="6"/>
        <v>#NAME?</v>
      </c>
      <c r="AJ107" s="634" t="s">
        <v>79</v>
      </c>
      <c r="AK107" s="636" t="str">
        <f t="shared" si="7"/>
        <v>#NAME?</v>
      </c>
      <c r="AL107" s="637" t="s">
        <v>4428</v>
      </c>
      <c r="AM107" s="619"/>
      <c r="AN107" s="638" t="s">
        <v>824</v>
      </c>
      <c r="AO107" s="639" t="s">
        <v>353</v>
      </c>
      <c r="AP107" s="712" t="s">
        <v>824</v>
      </c>
      <c r="AQ107" s="639" t="s">
        <v>353</v>
      </c>
      <c r="AR107" s="712" t="s">
        <v>824</v>
      </c>
      <c r="AS107" s="639" t="s">
        <v>353</v>
      </c>
      <c r="AT107" s="644"/>
      <c r="AU107" s="645" t="str">
        <f t="shared" ref="AU107:AU108" si="25">image("https://www.pokebip.com/pages/icones/objets/masse-os.png", 3)</f>
        <v/>
      </c>
      <c r="AV107" s="646" t="s">
        <v>1103</v>
      </c>
      <c r="AW107" s="692"/>
      <c r="AX107" s="693"/>
      <c r="AY107" s="619"/>
      <c r="AZ107" s="648" t="s">
        <v>101</v>
      </c>
      <c r="BA107" s="694"/>
      <c r="BB107" s="690"/>
      <c r="BC107" s="619"/>
      <c r="BD107" s="651" t="s">
        <v>150</v>
      </c>
      <c r="BE107" s="653">
        <v>87.0</v>
      </c>
      <c r="BF107" s="653">
        <v>190.0</v>
      </c>
      <c r="BG107" s="654">
        <v>70.0</v>
      </c>
      <c r="BH107" s="653">
        <v>20.0</v>
      </c>
      <c r="BI107" s="607"/>
      <c r="BJ107" s="655" t="s">
        <v>149</v>
      </c>
      <c r="BK107" s="703" t="s">
        <v>149</v>
      </c>
      <c r="BL107" s="610"/>
      <c r="BM107" s="657" t="s">
        <v>14</v>
      </c>
      <c r="BN107" s="704"/>
      <c r="BO107" s="607"/>
      <c r="BP107" s="659" t="s">
        <v>1102</v>
      </c>
      <c r="BQ107" s="614"/>
      <c r="BR107" s="660" t="s">
        <v>4432</v>
      </c>
      <c r="BS107" s="614"/>
    </row>
    <row r="108" ht="15.75" customHeight="1">
      <c r="A108" s="616"/>
      <c r="B108" s="661" t="s">
        <v>1107</v>
      </c>
      <c r="C108" s="662"/>
      <c r="D108" s="571"/>
      <c r="E108" s="672">
        <v>60.0</v>
      </c>
      <c r="F108" s="664">
        <v>80.0</v>
      </c>
      <c r="G108" s="665">
        <v>110.0</v>
      </c>
      <c r="H108" s="666">
        <v>50.0</v>
      </c>
      <c r="I108" s="667">
        <v>80.0</v>
      </c>
      <c r="J108" s="668">
        <v>45.0</v>
      </c>
      <c r="K108" s="669">
        <v>425.0</v>
      </c>
      <c r="L108" s="670">
        <v>60.0</v>
      </c>
      <c r="M108" s="664">
        <v>80.0</v>
      </c>
      <c r="N108" s="665">
        <v>110.0</v>
      </c>
      <c r="O108" s="666">
        <v>50.0</v>
      </c>
      <c r="P108" s="667">
        <v>80.0</v>
      </c>
      <c r="Q108" s="668">
        <v>45.0</v>
      </c>
      <c r="R108" s="671">
        <v>425.0</v>
      </c>
      <c r="S108" s="672">
        <v>60.0</v>
      </c>
      <c r="T108" s="664">
        <v>80.0</v>
      </c>
      <c r="U108" s="665">
        <v>110.0</v>
      </c>
      <c r="V108" s="666">
        <v>50.0</v>
      </c>
      <c r="W108" s="667">
        <v>80.0</v>
      </c>
      <c r="X108" s="668">
        <v>45.0</v>
      </c>
      <c r="Y108" s="671">
        <f t="shared" si="1"/>
        <v>425</v>
      </c>
      <c r="Z108" s="571"/>
      <c r="AA108" s="673" t="str">
        <f t="shared" si="2"/>
        <v>#NAME?</v>
      </c>
      <c r="AB108" s="674" t="s">
        <v>79</v>
      </c>
      <c r="AC108" s="675" t="str">
        <f t="shared" si="3"/>
        <v>#NAME?</v>
      </c>
      <c r="AD108" s="680" t="s">
        <v>4428</v>
      </c>
      <c r="AE108" s="676" t="str">
        <f t="shared" si="4"/>
        <v>#NAME?</v>
      </c>
      <c r="AF108" s="674" t="s">
        <v>79</v>
      </c>
      <c r="AG108" s="675" t="str">
        <f t="shared" si="5"/>
        <v>#NAME?</v>
      </c>
      <c r="AH108" s="586" t="s">
        <v>4428</v>
      </c>
      <c r="AI108" s="677" t="str">
        <f t="shared" si="6"/>
        <v>#NAME?</v>
      </c>
      <c r="AJ108" s="586" t="s">
        <v>79</v>
      </c>
      <c r="AK108" s="584" t="str">
        <f t="shared" si="7"/>
        <v>#NAME?</v>
      </c>
      <c r="AL108" s="678" t="s">
        <v>4428</v>
      </c>
      <c r="AM108" s="571"/>
      <c r="AN108" s="679" t="s">
        <v>824</v>
      </c>
      <c r="AO108" s="680" t="s">
        <v>353</v>
      </c>
      <c r="AP108" s="705" t="s">
        <v>824</v>
      </c>
      <c r="AQ108" s="680" t="s">
        <v>353</v>
      </c>
      <c r="AR108" s="705" t="s">
        <v>824</v>
      </c>
      <c r="AS108" s="680" t="s">
        <v>353</v>
      </c>
      <c r="AT108" s="595"/>
      <c r="AU108" s="685" t="str">
        <f t="shared" si="25"/>
        <v/>
      </c>
      <c r="AV108" s="686" t="s">
        <v>1103</v>
      </c>
      <c r="AW108" s="687"/>
      <c r="AX108" s="688"/>
      <c r="AY108" s="571"/>
      <c r="AZ108" s="689" t="s">
        <v>162</v>
      </c>
      <c r="BA108" s="690"/>
      <c r="BB108" s="696"/>
      <c r="BC108" s="571"/>
      <c r="BD108" s="651" t="s">
        <v>150</v>
      </c>
      <c r="BE108" s="653">
        <v>124.0</v>
      </c>
      <c r="BF108" s="653">
        <v>75.0</v>
      </c>
      <c r="BG108" s="654">
        <v>70.0</v>
      </c>
      <c r="BH108" s="653">
        <v>60.0</v>
      </c>
      <c r="BI108" s="607"/>
      <c r="BJ108" s="655" t="s">
        <v>149</v>
      </c>
      <c r="BK108" s="703" t="s">
        <v>149</v>
      </c>
      <c r="BL108" s="610"/>
      <c r="BM108" s="657" t="s">
        <v>14</v>
      </c>
      <c r="BN108" s="704"/>
      <c r="BO108" s="607"/>
      <c r="BP108" s="659" t="s">
        <v>1111</v>
      </c>
      <c r="BQ108" s="614"/>
      <c r="BR108" s="660" t="s">
        <v>4432</v>
      </c>
      <c r="BS108" s="614"/>
    </row>
    <row r="109" ht="15.75" customHeight="1">
      <c r="A109" s="616"/>
      <c r="B109" s="617" t="s">
        <v>1115</v>
      </c>
      <c r="C109" s="618"/>
      <c r="D109" s="619"/>
      <c r="E109" s="629">
        <v>50.0</v>
      </c>
      <c r="F109" s="621">
        <v>120.0</v>
      </c>
      <c r="G109" s="622">
        <v>53.0</v>
      </c>
      <c r="H109" s="623">
        <v>35.0</v>
      </c>
      <c r="I109" s="624">
        <v>110.0</v>
      </c>
      <c r="J109" s="625">
        <v>87.0</v>
      </c>
      <c r="K109" s="626">
        <v>455.0</v>
      </c>
      <c r="L109" s="627">
        <v>50.0</v>
      </c>
      <c r="M109" s="621">
        <v>120.0</v>
      </c>
      <c r="N109" s="622">
        <v>53.0</v>
      </c>
      <c r="O109" s="623">
        <v>35.0</v>
      </c>
      <c r="P109" s="624">
        <v>110.0</v>
      </c>
      <c r="Q109" s="625">
        <v>87.0</v>
      </c>
      <c r="R109" s="628">
        <v>455.0</v>
      </c>
      <c r="S109" s="629">
        <v>50.0</v>
      </c>
      <c r="T109" s="621">
        <v>120.0</v>
      </c>
      <c r="U109" s="622">
        <v>53.0</v>
      </c>
      <c r="V109" s="623">
        <v>35.0</v>
      </c>
      <c r="W109" s="624">
        <v>110.0</v>
      </c>
      <c r="X109" s="625">
        <v>87.0</v>
      </c>
      <c r="Y109" s="628">
        <f t="shared" si="1"/>
        <v>455</v>
      </c>
      <c r="Z109" s="619"/>
      <c r="AA109" s="630" t="str">
        <f t="shared" si="2"/>
        <v>#NAME?</v>
      </c>
      <c r="AB109" s="631" t="s">
        <v>64</v>
      </c>
      <c r="AC109" s="632" t="str">
        <f t="shared" si="3"/>
        <v>#NAME?</v>
      </c>
      <c r="AD109" s="639" t="s">
        <v>4428</v>
      </c>
      <c r="AE109" s="633" t="str">
        <f t="shared" si="4"/>
        <v>#NAME?</v>
      </c>
      <c r="AF109" s="631" t="s">
        <v>64</v>
      </c>
      <c r="AG109" s="632" t="str">
        <f t="shared" si="5"/>
        <v>#NAME?</v>
      </c>
      <c r="AH109" s="634" t="s">
        <v>4428</v>
      </c>
      <c r="AI109" s="635" t="str">
        <f t="shared" si="6"/>
        <v>#NAME?</v>
      </c>
      <c r="AJ109" s="634" t="s">
        <v>64</v>
      </c>
      <c r="AK109" s="636" t="str">
        <f t="shared" si="7"/>
        <v>#NAME?</v>
      </c>
      <c r="AL109" s="637" t="s">
        <v>4428</v>
      </c>
      <c r="AM109" s="619"/>
      <c r="AN109" s="638" t="s">
        <v>639</v>
      </c>
      <c r="AO109" s="639" t="s">
        <v>1118</v>
      </c>
      <c r="AP109" s="708" t="s">
        <v>1118</v>
      </c>
      <c r="AQ109" s="757" t="s">
        <v>639</v>
      </c>
      <c r="AR109" s="709" t="s">
        <v>1119</v>
      </c>
      <c r="AS109" s="758" t="s">
        <v>639</v>
      </c>
      <c r="AT109" s="644"/>
      <c r="AU109" s="645"/>
      <c r="AV109" s="646"/>
      <c r="AW109" s="692"/>
      <c r="AX109" s="693"/>
      <c r="AY109" s="619"/>
      <c r="AZ109" s="698" t="s">
        <v>216</v>
      </c>
      <c r="BA109" s="690"/>
      <c r="BB109" s="650"/>
      <c r="BC109" s="619"/>
      <c r="BD109" s="651" t="s">
        <v>150</v>
      </c>
      <c r="BE109" s="653">
        <v>139.0</v>
      </c>
      <c r="BF109" s="653">
        <v>45.0</v>
      </c>
      <c r="BG109" s="654">
        <v>70.0</v>
      </c>
      <c r="BH109" s="653">
        <v>60.0</v>
      </c>
      <c r="BI109" s="607"/>
      <c r="BJ109" s="655" t="s">
        <v>397</v>
      </c>
      <c r="BK109" s="725">
        <v>0.0</v>
      </c>
      <c r="BL109" s="610"/>
      <c r="BM109" s="657" t="s">
        <v>728</v>
      </c>
      <c r="BN109" s="704"/>
      <c r="BO109" s="607"/>
      <c r="BP109" s="659" t="s">
        <v>1121</v>
      </c>
      <c r="BQ109" s="614"/>
      <c r="BR109" s="660" t="s">
        <v>4432</v>
      </c>
      <c r="BS109" s="614"/>
    </row>
    <row r="110" ht="15.75" customHeight="1">
      <c r="A110" s="616"/>
      <c r="B110" s="661" t="s">
        <v>1125</v>
      </c>
      <c r="C110" s="662"/>
      <c r="D110" s="571"/>
      <c r="E110" s="672">
        <v>50.0</v>
      </c>
      <c r="F110" s="664">
        <v>105.0</v>
      </c>
      <c r="G110" s="665">
        <v>79.0</v>
      </c>
      <c r="H110" s="666">
        <v>35.0</v>
      </c>
      <c r="I110" s="667">
        <v>110.0</v>
      </c>
      <c r="J110" s="668">
        <v>76.0</v>
      </c>
      <c r="K110" s="669">
        <v>455.0</v>
      </c>
      <c r="L110" s="670">
        <v>50.0</v>
      </c>
      <c r="M110" s="664">
        <v>105.0</v>
      </c>
      <c r="N110" s="665">
        <v>79.0</v>
      </c>
      <c r="O110" s="666">
        <v>35.0</v>
      </c>
      <c r="P110" s="667">
        <v>110.0</v>
      </c>
      <c r="Q110" s="668">
        <v>76.0</v>
      </c>
      <c r="R110" s="671">
        <v>455.0</v>
      </c>
      <c r="S110" s="672">
        <v>50.0</v>
      </c>
      <c r="T110" s="664">
        <v>105.0</v>
      </c>
      <c r="U110" s="665">
        <v>79.0</v>
      </c>
      <c r="V110" s="666">
        <v>35.0</v>
      </c>
      <c r="W110" s="667">
        <v>110.0</v>
      </c>
      <c r="X110" s="668">
        <v>76.0</v>
      </c>
      <c r="Y110" s="671">
        <f t="shared" si="1"/>
        <v>455</v>
      </c>
      <c r="Z110" s="571"/>
      <c r="AA110" s="673" t="str">
        <f t="shared" si="2"/>
        <v>#NAME?</v>
      </c>
      <c r="AB110" s="674" t="s">
        <v>64</v>
      </c>
      <c r="AC110" s="675" t="str">
        <f t="shared" si="3"/>
        <v>#NAME?</v>
      </c>
      <c r="AD110" s="680" t="s">
        <v>4428</v>
      </c>
      <c r="AE110" s="676" t="str">
        <f t="shared" si="4"/>
        <v>#NAME?</v>
      </c>
      <c r="AF110" s="674" t="s">
        <v>64</v>
      </c>
      <c r="AG110" s="675" t="str">
        <f t="shared" si="5"/>
        <v>#NAME?</v>
      </c>
      <c r="AH110" s="586" t="s">
        <v>4428</v>
      </c>
      <c r="AI110" s="677" t="str">
        <f t="shared" si="6"/>
        <v>#NAME?</v>
      </c>
      <c r="AJ110" s="586" t="s">
        <v>64</v>
      </c>
      <c r="AK110" s="584" t="str">
        <f t="shared" si="7"/>
        <v>#NAME?</v>
      </c>
      <c r="AL110" s="678" t="s">
        <v>4428</v>
      </c>
      <c r="AM110" s="571"/>
      <c r="AN110" s="679" t="s">
        <v>235</v>
      </c>
      <c r="AO110" s="680" t="s">
        <v>1128</v>
      </c>
      <c r="AP110" s="710" t="s">
        <v>1128</v>
      </c>
      <c r="AQ110" s="716" t="s">
        <v>235</v>
      </c>
      <c r="AR110" s="711" t="s">
        <v>1129</v>
      </c>
      <c r="AS110" s="718" t="s">
        <v>235</v>
      </c>
      <c r="AT110" s="595"/>
      <c r="AU110" s="685"/>
      <c r="AV110" s="686"/>
      <c r="AW110" s="687"/>
      <c r="AX110" s="688"/>
      <c r="AY110" s="571"/>
      <c r="AZ110" s="689" t="s">
        <v>815</v>
      </c>
      <c r="BA110" s="690"/>
      <c r="BB110" s="696"/>
      <c r="BC110" s="571"/>
      <c r="BD110" s="651" t="s">
        <v>150</v>
      </c>
      <c r="BE110" s="653">
        <v>140.0</v>
      </c>
      <c r="BF110" s="653">
        <v>45.0</v>
      </c>
      <c r="BG110" s="654">
        <v>70.0</v>
      </c>
      <c r="BH110" s="653">
        <v>80.0</v>
      </c>
      <c r="BI110" s="607"/>
      <c r="BJ110" s="655" t="s">
        <v>397</v>
      </c>
      <c r="BK110" s="725">
        <v>0.0</v>
      </c>
      <c r="BL110" s="610"/>
      <c r="BM110" s="657" t="s">
        <v>728</v>
      </c>
      <c r="BN110" s="704"/>
      <c r="BO110" s="607"/>
      <c r="BP110" s="659" t="s">
        <v>1131</v>
      </c>
      <c r="BQ110" s="614"/>
      <c r="BR110" s="660" t="s">
        <v>4432</v>
      </c>
      <c r="BS110" s="614"/>
    </row>
    <row r="111" ht="15.75" customHeight="1">
      <c r="A111" s="616"/>
      <c r="B111" s="617" t="s">
        <v>1135</v>
      </c>
      <c r="C111" s="618"/>
      <c r="D111" s="619"/>
      <c r="E111" s="629">
        <v>90.0</v>
      </c>
      <c r="F111" s="621">
        <v>55.0</v>
      </c>
      <c r="G111" s="622">
        <v>75.0</v>
      </c>
      <c r="H111" s="623">
        <v>60.0</v>
      </c>
      <c r="I111" s="624">
        <v>75.0</v>
      </c>
      <c r="J111" s="625">
        <v>30.0</v>
      </c>
      <c r="K111" s="626">
        <v>385.0</v>
      </c>
      <c r="L111" s="627">
        <v>90.0</v>
      </c>
      <c r="M111" s="621">
        <v>55.0</v>
      </c>
      <c r="N111" s="622">
        <v>75.0</v>
      </c>
      <c r="O111" s="623">
        <v>60.0</v>
      </c>
      <c r="P111" s="624">
        <v>75.0</v>
      </c>
      <c r="Q111" s="625">
        <v>30.0</v>
      </c>
      <c r="R111" s="628">
        <v>385.0</v>
      </c>
      <c r="S111" s="629">
        <v>90.0</v>
      </c>
      <c r="T111" s="621">
        <v>55.0</v>
      </c>
      <c r="U111" s="622">
        <v>75.0</v>
      </c>
      <c r="V111" s="623">
        <v>60.0</v>
      </c>
      <c r="W111" s="624">
        <v>75.0</v>
      </c>
      <c r="X111" s="625">
        <v>30.0</v>
      </c>
      <c r="Y111" s="628">
        <f t="shared" si="1"/>
        <v>385</v>
      </c>
      <c r="Z111" s="619"/>
      <c r="AA111" s="630" t="str">
        <f t="shared" si="2"/>
        <v>#NAME?</v>
      </c>
      <c r="AB111" s="631" t="s">
        <v>156</v>
      </c>
      <c r="AC111" s="632" t="str">
        <f t="shared" si="3"/>
        <v>#NAME?</v>
      </c>
      <c r="AD111" s="639" t="s">
        <v>4428</v>
      </c>
      <c r="AE111" s="633" t="str">
        <f t="shared" si="4"/>
        <v>#NAME?</v>
      </c>
      <c r="AF111" s="631" t="s">
        <v>156</v>
      </c>
      <c r="AG111" s="632" t="str">
        <f t="shared" si="5"/>
        <v>#NAME?</v>
      </c>
      <c r="AH111" s="634" t="s">
        <v>4428</v>
      </c>
      <c r="AI111" s="635" t="str">
        <f t="shared" si="6"/>
        <v>#NAME?</v>
      </c>
      <c r="AJ111" s="634" t="s">
        <v>156</v>
      </c>
      <c r="AK111" s="636" t="str">
        <f t="shared" si="7"/>
        <v>#NAME?</v>
      </c>
      <c r="AL111" s="637" t="s">
        <v>4428</v>
      </c>
      <c r="AM111" s="619"/>
      <c r="AN111" s="638" t="s">
        <v>871</v>
      </c>
      <c r="AO111" s="639" t="s">
        <v>870</v>
      </c>
      <c r="AP111" s="712" t="s">
        <v>871</v>
      </c>
      <c r="AQ111" s="639" t="s">
        <v>870</v>
      </c>
      <c r="AR111" s="712" t="s">
        <v>871</v>
      </c>
      <c r="AS111" s="639" t="s">
        <v>870</v>
      </c>
      <c r="AT111" s="644"/>
      <c r="AU111" s="645" t="str">
        <f>image("https://www.pokebip.com/pages/icones/objets/ralentiqueue.png", 3)</f>
        <v/>
      </c>
      <c r="AV111" s="646" t="s">
        <v>874</v>
      </c>
      <c r="AW111" s="692"/>
      <c r="AX111" s="693"/>
      <c r="AY111" s="619"/>
      <c r="AZ111" s="698" t="s">
        <v>409</v>
      </c>
      <c r="BA111" s="690"/>
      <c r="BB111" s="650"/>
      <c r="BC111" s="619"/>
      <c r="BD111" s="651" t="s">
        <v>150</v>
      </c>
      <c r="BE111" s="653">
        <v>127.0</v>
      </c>
      <c r="BF111" s="653">
        <v>45.0</v>
      </c>
      <c r="BG111" s="654">
        <v>70.0</v>
      </c>
      <c r="BH111" s="653">
        <v>80.0</v>
      </c>
      <c r="BI111" s="607"/>
      <c r="BJ111" s="655" t="s">
        <v>149</v>
      </c>
      <c r="BK111" s="703" t="s">
        <v>149</v>
      </c>
      <c r="BL111" s="610"/>
      <c r="BM111" s="657" t="s">
        <v>14</v>
      </c>
      <c r="BN111" s="704"/>
      <c r="BO111" s="607"/>
      <c r="BP111" s="659" t="s">
        <v>1139</v>
      </c>
      <c r="BQ111" s="614"/>
      <c r="BR111" s="660" t="s">
        <v>4435</v>
      </c>
      <c r="BS111" s="614"/>
    </row>
    <row r="112" ht="15.75" customHeight="1">
      <c r="A112" s="616"/>
      <c r="B112" s="661" t="s">
        <v>1143</v>
      </c>
      <c r="C112" s="662"/>
      <c r="D112" s="571"/>
      <c r="E112" s="672">
        <v>40.0</v>
      </c>
      <c r="F112" s="664">
        <v>65.0</v>
      </c>
      <c r="G112" s="665">
        <v>95.0</v>
      </c>
      <c r="H112" s="666">
        <v>60.0</v>
      </c>
      <c r="I112" s="667">
        <v>45.0</v>
      </c>
      <c r="J112" s="668">
        <v>35.0</v>
      </c>
      <c r="K112" s="669">
        <v>340.0</v>
      </c>
      <c r="L112" s="670">
        <v>40.0</v>
      </c>
      <c r="M112" s="664">
        <v>65.0</v>
      </c>
      <c r="N112" s="665">
        <v>95.0</v>
      </c>
      <c r="O112" s="666">
        <v>60.0</v>
      </c>
      <c r="P112" s="667">
        <v>45.0</v>
      </c>
      <c r="Q112" s="668">
        <v>35.0</v>
      </c>
      <c r="R112" s="671">
        <v>340.0</v>
      </c>
      <c r="S112" s="672">
        <v>40.0</v>
      </c>
      <c r="T112" s="664">
        <v>65.0</v>
      </c>
      <c r="U112" s="665">
        <v>95.0</v>
      </c>
      <c r="V112" s="666">
        <v>60.0</v>
      </c>
      <c r="W112" s="667">
        <v>45.0</v>
      </c>
      <c r="X112" s="668">
        <v>35.0</v>
      </c>
      <c r="Y112" s="671">
        <f t="shared" si="1"/>
        <v>340</v>
      </c>
      <c r="Z112" s="571"/>
      <c r="AA112" s="673" t="str">
        <f t="shared" si="2"/>
        <v>#NAME?</v>
      </c>
      <c r="AB112" s="674" t="s">
        <v>7</v>
      </c>
      <c r="AC112" s="675" t="str">
        <f t="shared" si="3"/>
        <v>#NAME?</v>
      </c>
      <c r="AD112" s="680" t="s">
        <v>4428</v>
      </c>
      <c r="AE112" s="676" t="str">
        <f t="shared" si="4"/>
        <v>#NAME?</v>
      </c>
      <c r="AF112" s="674" t="s">
        <v>7</v>
      </c>
      <c r="AG112" s="675" t="str">
        <f t="shared" si="5"/>
        <v>#NAME?</v>
      </c>
      <c r="AH112" s="586" t="s">
        <v>4428</v>
      </c>
      <c r="AI112" s="677" t="str">
        <f t="shared" si="6"/>
        <v>#NAME?</v>
      </c>
      <c r="AJ112" s="586" t="s">
        <v>7</v>
      </c>
      <c r="AK112" s="584" t="str">
        <f t="shared" si="7"/>
        <v>#NAME?</v>
      </c>
      <c r="AL112" s="678" t="s">
        <v>4428</v>
      </c>
      <c r="AM112" s="571"/>
      <c r="AN112" s="679" t="s">
        <v>1001</v>
      </c>
      <c r="AO112" s="680"/>
      <c r="AP112" s="705" t="s">
        <v>1001</v>
      </c>
      <c r="AQ112" s="680"/>
      <c r="AR112" s="705" t="s">
        <v>1001</v>
      </c>
      <c r="AS112" s="680"/>
      <c r="AT112" s="595"/>
      <c r="AU112" s="685" t="str">
        <f t="shared" ref="AU112:AU113" si="26">image("https://www.pokebip.com/pages/icones/objets/boule-fumee.png", 3)</f>
        <v/>
      </c>
      <c r="AV112" s="686" t="s">
        <v>1148</v>
      </c>
      <c r="AW112" s="687"/>
      <c r="AX112" s="688"/>
      <c r="AY112" s="571"/>
      <c r="AZ112" s="695" t="s">
        <v>101</v>
      </c>
      <c r="BA112" s="700"/>
      <c r="BB112" s="690"/>
      <c r="BC112" s="571"/>
      <c r="BD112" s="651" t="s">
        <v>150</v>
      </c>
      <c r="BE112" s="653">
        <v>114.0</v>
      </c>
      <c r="BF112" s="653">
        <v>190.0</v>
      </c>
      <c r="BG112" s="654">
        <v>70.0</v>
      </c>
      <c r="BH112" s="653">
        <v>20.0</v>
      </c>
      <c r="BI112" s="607"/>
      <c r="BJ112" s="655" t="s">
        <v>149</v>
      </c>
      <c r="BK112" s="703" t="s">
        <v>149</v>
      </c>
      <c r="BL112" s="610"/>
      <c r="BM112" s="657" t="s">
        <v>964</v>
      </c>
      <c r="BN112" s="704"/>
      <c r="BO112" s="607"/>
      <c r="BP112" s="659" t="s">
        <v>1147</v>
      </c>
      <c r="BQ112" s="614"/>
      <c r="BR112" s="660" t="s">
        <v>4434</v>
      </c>
      <c r="BS112" s="614"/>
    </row>
    <row r="113" ht="15.75" customHeight="1">
      <c r="A113" s="616"/>
      <c r="B113" s="617" t="s">
        <v>1152</v>
      </c>
      <c r="C113" s="618"/>
      <c r="D113" s="619"/>
      <c r="E113" s="629">
        <v>65.0</v>
      </c>
      <c r="F113" s="621">
        <v>90.0</v>
      </c>
      <c r="G113" s="622">
        <v>120.0</v>
      </c>
      <c r="H113" s="623">
        <v>85.0</v>
      </c>
      <c r="I113" s="624">
        <v>70.0</v>
      </c>
      <c r="J113" s="625">
        <v>60.0</v>
      </c>
      <c r="K113" s="626">
        <v>490.0</v>
      </c>
      <c r="L113" s="627">
        <v>65.0</v>
      </c>
      <c r="M113" s="621">
        <v>90.0</v>
      </c>
      <c r="N113" s="622">
        <v>120.0</v>
      </c>
      <c r="O113" s="623">
        <v>85.0</v>
      </c>
      <c r="P113" s="624">
        <v>70.0</v>
      </c>
      <c r="Q113" s="625">
        <v>60.0</v>
      </c>
      <c r="R113" s="628">
        <v>490.0</v>
      </c>
      <c r="S113" s="629">
        <v>65.0</v>
      </c>
      <c r="T113" s="621">
        <v>90.0</v>
      </c>
      <c r="U113" s="622">
        <v>120.0</v>
      </c>
      <c r="V113" s="623">
        <v>85.0</v>
      </c>
      <c r="W113" s="624">
        <v>70.0</v>
      </c>
      <c r="X113" s="625">
        <v>60.0</v>
      </c>
      <c r="Y113" s="628">
        <f t="shared" si="1"/>
        <v>490</v>
      </c>
      <c r="Z113" s="619"/>
      <c r="AA113" s="630" t="str">
        <f t="shared" si="2"/>
        <v>#NAME?</v>
      </c>
      <c r="AB113" s="631" t="s">
        <v>7</v>
      </c>
      <c r="AC113" s="632" t="str">
        <f t="shared" si="3"/>
        <v>#NAME?</v>
      </c>
      <c r="AD113" s="639" t="s">
        <v>4428</v>
      </c>
      <c r="AE113" s="633" t="str">
        <f t="shared" si="4"/>
        <v>#NAME?</v>
      </c>
      <c r="AF113" s="631" t="s">
        <v>7</v>
      </c>
      <c r="AG113" s="632" t="str">
        <f t="shared" si="5"/>
        <v>#NAME?</v>
      </c>
      <c r="AH113" s="634" t="s">
        <v>4428</v>
      </c>
      <c r="AI113" s="635" t="str">
        <f t="shared" si="6"/>
        <v>#NAME?</v>
      </c>
      <c r="AJ113" s="634" t="s">
        <v>7</v>
      </c>
      <c r="AK113" s="636" t="str">
        <f t="shared" si="7"/>
        <v>#NAME?</v>
      </c>
      <c r="AL113" s="637" t="s">
        <v>4428</v>
      </c>
      <c r="AM113" s="619"/>
      <c r="AN113" s="638" t="s">
        <v>1001</v>
      </c>
      <c r="AO113" s="639"/>
      <c r="AP113" s="712" t="s">
        <v>1001</v>
      </c>
      <c r="AQ113" s="639"/>
      <c r="AR113" s="712" t="s">
        <v>1001</v>
      </c>
      <c r="AS113" s="639"/>
      <c r="AT113" s="644"/>
      <c r="AU113" s="645" t="str">
        <f t="shared" si="26"/>
        <v/>
      </c>
      <c r="AV113" s="646" t="s">
        <v>1148</v>
      </c>
      <c r="AW113" s="692"/>
      <c r="AX113" s="693"/>
      <c r="AY113" s="619"/>
      <c r="AZ113" s="698" t="s">
        <v>162</v>
      </c>
      <c r="BA113" s="690"/>
      <c r="BB113" s="650"/>
      <c r="BC113" s="619"/>
      <c r="BD113" s="651" t="s">
        <v>150</v>
      </c>
      <c r="BE113" s="653">
        <v>173.0</v>
      </c>
      <c r="BF113" s="653">
        <v>60.0</v>
      </c>
      <c r="BG113" s="654">
        <v>70.0</v>
      </c>
      <c r="BH113" s="653">
        <v>20.0</v>
      </c>
      <c r="BI113" s="607"/>
      <c r="BJ113" s="655" t="s">
        <v>149</v>
      </c>
      <c r="BK113" s="703" t="s">
        <v>149</v>
      </c>
      <c r="BL113" s="610"/>
      <c r="BM113" s="657" t="s">
        <v>964</v>
      </c>
      <c r="BN113" s="704"/>
      <c r="BO113" s="607"/>
      <c r="BP113" s="659" t="s">
        <v>1156</v>
      </c>
      <c r="BQ113" s="614"/>
      <c r="BR113" s="660" t="s">
        <v>4434</v>
      </c>
      <c r="BS113" s="614"/>
    </row>
    <row r="114" ht="15.75" customHeight="1">
      <c r="A114" s="616"/>
      <c r="B114" s="661" t="s">
        <v>1161</v>
      </c>
      <c r="C114" s="662"/>
      <c r="D114" s="571"/>
      <c r="E114" s="672">
        <v>80.0</v>
      </c>
      <c r="F114" s="664">
        <v>85.0</v>
      </c>
      <c r="G114" s="665">
        <v>95.0</v>
      </c>
      <c r="H114" s="666">
        <v>30.0</v>
      </c>
      <c r="I114" s="667">
        <v>30.0</v>
      </c>
      <c r="J114" s="668">
        <v>25.0</v>
      </c>
      <c r="K114" s="669">
        <v>345.0</v>
      </c>
      <c r="L114" s="670">
        <v>80.0</v>
      </c>
      <c r="M114" s="664">
        <v>85.0</v>
      </c>
      <c r="N114" s="665">
        <v>95.0</v>
      </c>
      <c r="O114" s="666">
        <v>30.0</v>
      </c>
      <c r="P114" s="667">
        <v>30.0</v>
      </c>
      <c r="Q114" s="668">
        <v>25.0</v>
      </c>
      <c r="R114" s="671">
        <v>345.0</v>
      </c>
      <c r="S114" s="672">
        <v>80.0</v>
      </c>
      <c r="T114" s="664">
        <v>85.0</v>
      </c>
      <c r="U114" s="665">
        <v>95.0</v>
      </c>
      <c r="V114" s="666">
        <v>30.0</v>
      </c>
      <c r="W114" s="667">
        <v>30.0</v>
      </c>
      <c r="X114" s="668">
        <v>25.0</v>
      </c>
      <c r="Y114" s="671">
        <f t="shared" si="1"/>
        <v>345</v>
      </c>
      <c r="Z114" s="571"/>
      <c r="AA114" s="673" t="str">
        <f t="shared" si="2"/>
        <v>#NAME?</v>
      </c>
      <c r="AB114" s="674" t="s">
        <v>79</v>
      </c>
      <c r="AC114" s="675" t="str">
        <f t="shared" si="3"/>
        <v>#NAME?</v>
      </c>
      <c r="AD114" s="673" t="s">
        <v>66</v>
      </c>
      <c r="AE114" s="676" t="str">
        <f t="shared" si="4"/>
        <v>#NAME?</v>
      </c>
      <c r="AF114" s="674" t="s">
        <v>79</v>
      </c>
      <c r="AG114" s="675" t="str">
        <f t="shared" si="5"/>
        <v>#NAME?</v>
      </c>
      <c r="AH114" s="586" t="s">
        <v>66</v>
      </c>
      <c r="AI114" s="677" t="str">
        <f t="shared" si="6"/>
        <v>#NAME?</v>
      </c>
      <c r="AJ114" s="586" t="s">
        <v>79</v>
      </c>
      <c r="AK114" s="584" t="str">
        <f t="shared" si="7"/>
        <v>#NAME?</v>
      </c>
      <c r="AL114" s="678" t="s">
        <v>66</v>
      </c>
      <c r="AM114" s="571"/>
      <c r="AN114" s="679" t="s">
        <v>353</v>
      </c>
      <c r="AO114" s="680" t="s">
        <v>824</v>
      </c>
      <c r="AP114" s="734" t="s">
        <v>824</v>
      </c>
      <c r="AQ114" s="735" t="s">
        <v>1166</v>
      </c>
      <c r="AR114" s="736" t="s">
        <v>1165</v>
      </c>
      <c r="AS114" s="737" t="s">
        <v>1166</v>
      </c>
      <c r="AT114" s="595"/>
      <c r="AU114" s="685"/>
      <c r="AV114" s="686"/>
      <c r="AW114" s="687"/>
      <c r="AX114" s="688"/>
      <c r="AY114" s="571"/>
      <c r="AZ114" s="695" t="s">
        <v>101</v>
      </c>
      <c r="BA114" s="700"/>
      <c r="BB114" s="690"/>
      <c r="BC114" s="571"/>
      <c r="BD114" s="651" t="s">
        <v>683</v>
      </c>
      <c r="BE114" s="653">
        <v>135.0</v>
      </c>
      <c r="BF114" s="653">
        <v>120.0</v>
      </c>
      <c r="BG114" s="654">
        <v>70.0</v>
      </c>
      <c r="BH114" s="653">
        <v>100.0</v>
      </c>
      <c r="BI114" s="607"/>
      <c r="BJ114" s="655" t="s">
        <v>149</v>
      </c>
      <c r="BK114" s="703" t="s">
        <v>149</v>
      </c>
      <c r="BL114" s="610"/>
      <c r="BM114" s="657" t="s">
        <v>14</v>
      </c>
      <c r="BN114" s="658" t="s">
        <v>277</v>
      </c>
      <c r="BO114" s="607"/>
      <c r="BP114" s="659" t="s">
        <v>1168</v>
      </c>
      <c r="BQ114" s="614"/>
      <c r="BR114" s="660" t="s">
        <v>4437</v>
      </c>
      <c r="BS114" s="614"/>
    </row>
    <row r="115" ht="15.75" customHeight="1">
      <c r="A115" s="616"/>
      <c r="B115" s="617" t="s">
        <v>1173</v>
      </c>
      <c r="C115" s="618"/>
      <c r="D115" s="619"/>
      <c r="E115" s="629">
        <v>105.0</v>
      </c>
      <c r="F115" s="750">
        <v>130.0</v>
      </c>
      <c r="G115" s="622">
        <v>120.0</v>
      </c>
      <c r="H115" s="623">
        <v>45.0</v>
      </c>
      <c r="I115" s="624">
        <v>45.0</v>
      </c>
      <c r="J115" s="625">
        <v>40.0</v>
      </c>
      <c r="K115" s="749">
        <v>485.0</v>
      </c>
      <c r="L115" s="627">
        <v>105.0</v>
      </c>
      <c r="M115" s="621">
        <v>130.0</v>
      </c>
      <c r="N115" s="622">
        <v>120.0</v>
      </c>
      <c r="O115" s="623">
        <v>45.0</v>
      </c>
      <c r="P115" s="624">
        <v>45.0</v>
      </c>
      <c r="Q115" s="625">
        <v>40.0</v>
      </c>
      <c r="R115" s="628">
        <v>485.0</v>
      </c>
      <c r="S115" s="629">
        <v>105.0</v>
      </c>
      <c r="T115" s="621">
        <v>130.0</v>
      </c>
      <c r="U115" s="622">
        <v>120.0</v>
      </c>
      <c r="V115" s="623">
        <v>45.0</v>
      </c>
      <c r="W115" s="624">
        <v>45.0</v>
      </c>
      <c r="X115" s="625">
        <v>40.0</v>
      </c>
      <c r="Y115" s="628">
        <f t="shared" si="1"/>
        <v>485</v>
      </c>
      <c r="Z115" s="619"/>
      <c r="AA115" s="630" t="str">
        <f t="shared" si="2"/>
        <v>#NAME?</v>
      </c>
      <c r="AB115" s="631" t="s">
        <v>79</v>
      </c>
      <c r="AC115" s="632" t="str">
        <f t="shared" si="3"/>
        <v>#NAME?</v>
      </c>
      <c r="AD115" s="630" t="s">
        <v>66</v>
      </c>
      <c r="AE115" s="633" t="str">
        <f t="shared" si="4"/>
        <v>#NAME?</v>
      </c>
      <c r="AF115" s="631" t="s">
        <v>79</v>
      </c>
      <c r="AG115" s="632" t="str">
        <f t="shared" si="5"/>
        <v>#NAME?</v>
      </c>
      <c r="AH115" s="634" t="s">
        <v>66</v>
      </c>
      <c r="AI115" s="635" t="str">
        <f t="shared" si="6"/>
        <v>#NAME?</v>
      </c>
      <c r="AJ115" s="634" t="s">
        <v>79</v>
      </c>
      <c r="AK115" s="636" t="str">
        <f t="shared" si="7"/>
        <v>#NAME?</v>
      </c>
      <c r="AL115" s="637" t="s">
        <v>66</v>
      </c>
      <c r="AM115" s="619"/>
      <c r="AN115" s="638" t="s">
        <v>353</v>
      </c>
      <c r="AO115" s="639" t="s">
        <v>824</v>
      </c>
      <c r="AP115" s="640" t="s">
        <v>824</v>
      </c>
      <c r="AQ115" s="641" t="s">
        <v>1166</v>
      </c>
      <c r="AR115" s="642" t="s">
        <v>1165</v>
      </c>
      <c r="AS115" s="643" t="s">
        <v>1166</v>
      </c>
      <c r="AT115" s="644"/>
      <c r="AU115" s="645"/>
      <c r="AV115" s="646"/>
      <c r="AW115" s="692"/>
      <c r="AX115" s="693"/>
      <c r="AY115" s="619"/>
      <c r="AZ115" s="698" t="s">
        <v>216</v>
      </c>
      <c r="BA115" s="690"/>
      <c r="BB115" s="650"/>
      <c r="BC115" s="619"/>
      <c r="BD115" s="651" t="s">
        <v>683</v>
      </c>
      <c r="BE115" s="653">
        <v>204.0</v>
      </c>
      <c r="BF115" s="653">
        <v>60.0</v>
      </c>
      <c r="BG115" s="654">
        <v>70.0</v>
      </c>
      <c r="BH115" s="653">
        <v>100.0</v>
      </c>
      <c r="BI115" s="607"/>
      <c r="BJ115" s="655" t="s">
        <v>149</v>
      </c>
      <c r="BK115" s="703" t="s">
        <v>149</v>
      </c>
      <c r="BL115" s="610"/>
      <c r="BM115" s="657" t="s">
        <v>14</v>
      </c>
      <c r="BN115" s="658" t="s">
        <v>277</v>
      </c>
      <c r="BO115" s="607"/>
      <c r="BP115" s="659" t="s">
        <v>4445</v>
      </c>
      <c r="BQ115" s="614"/>
      <c r="BR115" s="660" t="s">
        <v>4437</v>
      </c>
      <c r="BS115" s="614"/>
    </row>
    <row r="116" ht="15.75" customHeight="1">
      <c r="A116" s="616"/>
      <c r="B116" s="661" t="s">
        <v>1179</v>
      </c>
      <c r="C116" s="662"/>
      <c r="D116" s="571"/>
      <c r="E116" s="672">
        <v>250.0</v>
      </c>
      <c r="F116" s="664">
        <v>5.0</v>
      </c>
      <c r="G116" s="665">
        <v>5.0</v>
      </c>
      <c r="H116" s="666">
        <v>35.0</v>
      </c>
      <c r="I116" s="667">
        <v>105.0</v>
      </c>
      <c r="J116" s="668">
        <v>50.0</v>
      </c>
      <c r="K116" s="669">
        <v>450.0</v>
      </c>
      <c r="L116" s="670">
        <v>250.0</v>
      </c>
      <c r="M116" s="664">
        <v>5.0</v>
      </c>
      <c r="N116" s="665">
        <v>5.0</v>
      </c>
      <c r="O116" s="666">
        <v>35.0</v>
      </c>
      <c r="P116" s="667">
        <v>105.0</v>
      </c>
      <c r="Q116" s="668">
        <v>50.0</v>
      </c>
      <c r="R116" s="671">
        <v>450.0</v>
      </c>
      <c r="S116" s="672">
        <v>250.0</v>
      </c>
      <c r="T116" s="664">
        <v>5.0</v>
      </c>
      <c r="U116" s="665">
        <v>5.0</v>
      </c>
      <c r="V116" s="666">
        <v>35.0</v>
      </c>
      <c r="W116" s="667">
        <v>105.0</v>
      </c>
      <c r="X116" s="668">
        <v>50.0</v>
      </c>
      <c r="Y116" s="671">
        <f t="shared" si="1"/>
        <v>450</v>
      </c>
      <c r="Z116" s="571"/>
      <c r="AA116" s="673" t="str">
        <f t="shared" si="2"/>
        <v>#NAME?</v>
      </c>
      <c r="AB116" s="674" t="s">
        <v>156</v>
      </c>
      <c r="AC116" s="675" t="str">
        <f t="shared" si="3"/>
        <v>#NAME?</v>
      </c>
      <c r="AD116" s="680" t="s">
        <v>4428</v>
      </c>
      <c r="AE116" s="676" t="str">
        <f t="shared" si="4"/>
        <v>#NAME?</v>
      </c>
      <c r="AF116" s="674" t="s">
        <v>156</v>
      </c>
      <c r="AG116" s="675" t="str">
        <f t="shared" si="5"/>
        <v>#NAME?</v>
      </c>
      <c r="AH116" s="586" t="s">
        <v>4428</v>
      </c>
      <c r="AI116" s="677" t="str">
        <f t="shared" si="6"/>
        <v>#NAME?</v>
      </c>
      <c r="AJ116" s="586" t="s">
        <v>156</v>
      </c>
      <c r="AK116" s="584" t="str">
        <f t="shared" si="7"/>
        <v>#NAME?</v>
      </c>
      <c r="AL116" s="678" t="s">
        <v>4428</v>
      </c>
      <c r="AM116" s="571"/>
      <c r="AN116" s="679" t="s">
        <v>1182</v>
      </c>
      <c r="AO116" s="680" t="s">
        <v>1183</v>
      </c>
      <c r="AP116" s="710" t="s">
        <v>1183</v>
      </c>
      <c r="AQ116" s="716" t="s">
        <v>1182</v>
      </c>
      <c r="AR116" s="711" t="s">
        <v>1184</v>
      </c>
      <c r="AS116" s="718" t="s">
        <v>1182</v>
      </c>
      <c r="AT116" s="595"/>
      <c r="AU116" s="685" t="str">
        <f>image("https://www.pokebip.com/pages/icones/objets/poing-chance.png", 3)</f>
        <v/>
      </c>
      <c r="AV116" s="686" t="s">
        <v>1187</v>
      </c>
      <c r="AW116" s="687"/>
      <c r="AX116" s="688"/>
      <c r="AY116" s="571"/>
      <c r="AZ116" s="689" t="s">
        <v>409</v>
      </c>
      <c r="BA116" s="690"/>
      <c r="BB116" s="696"/>
      <c r="BC116" s="571"/>
      <c r="BD116" s="651" t="s">
        <v>468</v>
      </c>
      <c r="BE116" s="653">
        <v>255.0</v>
      </c>
      <c r="BF116" s="653">
        <v>30.0</v>
      </c>
      <c r="BG116" s="654">
        <v>140.0</v>
      </c>
      <c r="BH116" s="653">
        <v>60.0</v>
      </c>
      <c r="BI116" s="607"/>
      <c r="BJ116" s="724">
        <v>0.0</v>
      </c>
      <c r="BK116" s="703" t="s">
        <v>397</v>
      </c>
      <c r="BL116" s="610"/>
      <c r="BM116" s="657" t="s">
        <v>153</v>
      </c>
      <c r="BN116" s="704"/>
      <c r="BO116" s="607"/>
      <c r="BP116" s="659" t="s">
        <v>1186</v>
      </c>
      <c r="BQ116" s="614"/>
      <c r="BR116" s="660" t="s">
        <v>4435</v>
      </c>
      <c r="BS116" s="614"/>
    </row>
    <row r="117" ht="15.75" customHeight="1">
      <c r="A117" s="616"/>
      <c r="B117" s="617" t="s">
        <v>1191</v>
      </c>
      <c r="C117" s="618"/>
      <c r="D117" s="619"/>
      <c r="E117" s="629">
        <v>65.0</v>
      </c>
      <c r="F117" s="621">
        <v>55.0</v>
      </c>
      <c r="G117" s="622">
        <v>115.0</v>
      </c>
      <c r="H117" s="748">
        <v>100.0</v>
      </c>
      <c r="I117" s="624">
        <v>40.0</v>
      </c>
      <c r="J117" s="625">
        <v>60.0</v>
      </c>
      <c r="K117" s="749">
        <v>435.0</v>
      </c>
      <c r="L117" s="627">
        <v>65.0</v>
      </c>
      <c r="M117" s="621">
        <v>55.0</v>
      </c>
      <c r="N117" s="622">
        <v>115.0</v>
      </c>
      <c r="O117" s="623">
        <v>100.0</v>
      </c>
      <c r="P117" s="624">
        <v>40.0</v>
      </c>
      <c r="Q117" s="625">
        <v>60.0</v>
      </c>
      <c r="R117" s="628">
        <v>435.0</v>
      </c>
      <c r="S117" s="629">
        <v>65.0</v>
      </c>
      <c r="T117" s="621">
        <v>55.0</v>
      </c>
      <c r="U117" s="622">
        <v>115.0</v>
      </c>
      <c r="V117" s="623">
        <v>100.0</v>
      </c>
      <c r="W117" s="624">
        <v>40.0</v>
      </c>
      <c r="X117" s="625">
        <v>60.0</v>
      </c>
      <c r="Y117" s="628">
        <f t="shared" si="1"/>
        <v>435</v>
      </c>
      <c r="Z117" s="619"/>
      <c r="AA117" s="630" t="str">
        <f t="shared" si="2"/>
        <v>#NAME?</v>
      </c>
      <c r="AB117" s="631" t="s">
        <v>6</v>
      </c>
      <c r="AC117" s="632" t="str">
        <f t="shared" si="3"/>
        <v>#NAME?</v>
      </c>
      <c r="AD117" s="639" t="s">
        <v>4428</v>
      </c>
      <c r="AE117" s="633" t="str">
        <f t="shared" si="4"/>
        <v>#NAME?</v>
      </c>
      <c r="AF117" s="631" t="s">
        <v>6</v>
      </c>
      <c r="AG117" s="632" t="str">
        <f t="shared" si="5"/>
        <v>#NAME?</v>
      </c>
      <c r="AH117" s="634" t="s">
        <v>4428</v>
      </c>
      <c r="AI117" s="635" t="str">
        <f t="shared" si="6"/>
        <v>#NAME?</v>
      </c>
      <c r="AJ117" s="634" t="s">
        <v>6</v>
      </c>
      <c r="AK117" s="636" t="str">
        <f t="shared" si="7"/>
        <v>#NAME?</v>
      </c>
      <c r="AL117" s="637" t="s">
        <v>4428</v>
      </c>
      <c r="AM117" s="619"/>
      <c r="AN117" s="638" t="s">
        <v>43</v>
      </c>
      <c r="AO117" s="639" t="s">
        <v>1194</v>
      </c>
      <c r="AP117" s="712" t="s">
        <v>43</v>
      </c>
      <c r="AQ117" s="639" t="s">
        <v>1194</v>
      </c>
      <c r="AR117" s="712" t="s">
        <v>43</v>
      </c>
      <c r="AS117" s="639" t="s">
        <v>1194</v>
      </c>
      <c r="AT117" s="644"/>
      <c r="AU117" s="645"/>
      <c r="AV117" s="646"/>
      <c r="AW117" s="692"/>
      <c r="AX117" s="693"/>
      <c r="AY117" s="619"/>
      <c r="AZ117" s="648" t="s">
        <v>101</v>
      </c>
      <c r="BA117" s="694"/>
      <c r="BB117" s="690"/>
      <c r="BC117" s="619"/>
      <c r="BD117" s="651" t="s">
        <v>150</v>
      </c>
      <c r="BE117" s="653">
        <v>166.0</v>
      </c>
      <c r="BF117" s="653">
        <v>45.0</v>
      </c>
      <c r="BG117" s="654">
        <v>70.0</v>
      </c>
      <c r="BH117" s="653">
        <v>60.0</v>
      </c>
      <c r="BI117" s="607"/>
      <c r="BJ117" s="655" t="s">
        <v>149</v>
      </c>
      <c r="BK117" s="703" t="s">
        <v>149</v>
      </c>
      <c r="BL117" s="610"/>
      <c r="BM117" s="657" t="s">
        <v>6</v>
      </c>
      <c r="BN117" s="704"/>
      <c r="BO117" s="607"/>
      <c r="BP117" s="659" t="s">
        <v>1196</v>
      </c>
      <c r="BQ117" s="614"/>
      <c r="BR117" s="660" t="s">
        <v>4430</v>
      </c>
      <c r="BS117" s="614"/>
    </row>
    <row r="118" ht="15.75" customHeight="1">
      <c r="A118" s="616"/>
      <c r="B118" s="661" t="s">
        <v>1200</v>
      </c>
      <c r="C118" s="662"/>
      <c r="D118" s="571"/>
      <c r="E118" s="672">
        <v>105.0</v>
      </c>
      <c r="F118" s="664">
        <v>95.0</v>
      </c>
      <c r="G118" s="665">
        <v>80.0</v>
      </c>
      <c r="H118" s="666">
        <v>40.0</v>
      </c>
      <c r="I118" s="667">
        <v>80.0</v>
      </c>
      <c r="J118" s="668">
        <v>90.0</v>
      </c>
      <c r="K118" s="669">
        <v>490.0</v>
      </c>
      <c r="L118" s="670">
        <v>105.0</v>
      </c>
      <c r="M118" s="664">
        <v>95.0</v>
      </c>
      <c r="N118" s="665">
        <v>80.0</v>
      </c>
      <c r="O118" s="666">
        <v>40.0</v>
      </c>
      <c r="P118" s="667">
        <v>80.0</v>
      </c>
      <c r="Q118" s="668">
        <v>90.0</v>
      </c>
      <c r="R118" s="671">
        <v>490.0</v>
      </c>
      <c r="S118" s="672">
        <v>105.0</v>
      </c>
      <c r="T118" s="664">
        <v>95.0</v>
      </c>
      <c r="U118" s="665">
        <v>80.0</v>
      </c>
      <c r="V118" s="666">
        <v>40.0</v>
      </c>
      <c r="W118" s="667">
        <v>80.0</v>
      </c>
      <c r="X118" s="668">
        <v>90.0</v>
      </c>
      <c r="Y118" s="671">
        <f t="shared" si="1"/>
        <v>490</v>
      </c>
      <c r="Z118" s="571"/>
      <c r="AA118" s="673" t="str">
        <f t="shared" si="2"/>
        <v>#NAME?</v>
      </c>
      <c r="AB118" s="674" t="s">
        <v>156</v>
      </c>
      <c r="AC118" s="675" t="str">
        <f t="shared" si="3"/>
        <v>#NAME?</v>
      </c>
      <c r="AD118" s="680" t="s">
        <v>4428</v>
      </c>
      <c r="AE118" s="676" t="str">
        <f t="shared" si="4"/>
        <v>#NAME?</v>
      </c>
      <c r="AF118" s="674" t="s">
        <v>156</v>
      </c>
      <c r="AG118" s="675" t="str">
        <f t="shared" si="5"/>
        <v>#NAME?</v>
      </c>
      <c r="AH118" s="586" t="s">
        <v>4428</v>
      </c>
      <c r="AI118" s="677" t="str">
        <f t="shared" si="6"/>
        <v>#NAME?</v>
      </c>
      <c r="AJ118" s="586" t="s">
        <v>156</v>
      </c>
      <c r="AK118" s="584" t="str">
        <f t="shared" si="7"/>
        <v>#NAME?</v>
      </c>
      <c r="AL118" s="678" t="s">
        <v>4428</v>
      </c>
      <c r="AM118" s="571"/>
      <c r="AN118" s="679" t="s">
        <v>924</v>
      </c>
      <c r="AO118" s="680" t="s">
        <v>1203</v>
      </c>
      <c r="AP118" s="715" t="s">
        <v>1203</v>
      </c>
      <c r="AQ118" s="776" t="s">
        <v>924</v>
      </c>
      <c r="AR118" s="717" t="s">
        <v>1204</v>
      </c>
      <c r="AS118" s="772" t="s">
        <v>924</v>
      </c>
      <c r="AT118" s="595"/>
      <c r="AU118" s="685"/>
      <c r="AV118" s="686"/>
      <c r="AW118" s="687"/>
      <c r="AX118" s="688"/>
      <c r="AY118" s="571"/>
      <c r="AZ118" s="689" t="s">
        <v>409</v>
      </c>
      <c r="BA118" s="690"/>
      <c r="BB118" s="696"/>
      <c r="BC118" s="571"/>
      <c r="BD118" s="651" t="s">
        <v>150</v>
      </c>
      <c r="BE118" s="653">
        <v>175.0</v>
      </c>
      <c r="BF118" s="653">
        <v>45.0</v>
      </c>
      <c r="BG118" s="654">
        <v>70.0</v>
      </c>
      <c r="BH118" s="653">
        <v>80.0</v>
      </c>
      <c r="BI118" s="607"/>
      <c r="BJ118" s="724">
        <v>0.0</v>
      </c>
      <c r="BK118" s="703" t="s">
        <v>397</v>
      </c>
      <c r="BL118" s="610"/>
      <c r="BM118" s="657" t="s">
        <v>14</v>
      </c>
      <c r="BN118" s="704"/>
      <c r="BO118" s="607"/>
      <c r="BP118" s="659" t="s">
        <v>914</v>
      </c>
      <c r="BQ118" s="614"/>
      <c r="BR118" s="660" t="s">
        <v>4432</v>
      </c>
      <c r="BS118" s="614"/>
    </row>
    <row r="119" ht="15.75" customHeight="1">
      <c r="A119" s="616"/>
      <c r="B119" s="617" t="s">
        <v>1209</v>
      </c>
      <c r="C119" s="618"/>
      <c r="D119" s="619"/>
      <c r="E119" s="629">
        <v>30.0</v>
      </c>
      <c r="F119" s="621">
        <v>40.0</v>
      </c>
      <c r="G119" s="622">
        <v>70.0</v>
      </c>
      <c r="H119" s="623">
        <v>70.0</v>
      </c>
      <c r="I119" s="624">
        <v>25.0</v>
      </c>
      <c r="J119" s="625">
        <v>60.0</v>
      </c>
      <c r="K119" s="626">
        <v>295.0</v>
      </c>
      <c r="L119" s="627">
        <v>30.0</v>
      </c>
      <c r="M119" s="621">
        <v>40.0</v>
      </c>
      <c r="N119" s="622">
        <v>70.0</v>
      </c>
      <c r="O119" s="623">
        <v>70.0</v>
      </c>
      <c r="P119" s="624">
        <v>25.0</v>
      </c>
      <c r="Q119" s="625">
        <v>60.0</v>
      </c>
      <c r="R119" s="628">
        <v>295.0</v>
      </c>
      <c r="S119" s="629">
        <v>30.0</v>
      </c>
      <c r="T119" s="621">
        <v>40.0</v>
      </c>
      <c r="U119" s="622">
        <v>70.0</v>
      </c>
      <c r="V119" s="623">
        <v>70.0</v>
      </c>
      <c r="W119" s="624">
        <v>25.0</v>
      </c>
      <c r="X119" s="625">
        <v>60.0</v>
      </c>
      <c r="Y119" s="628">
        <f t="shared" si="1"/>
        <v>295</v>
      </c>
      <c r="Z119" s="619"/>
      <c r="AA119" s="630" t="str">
        <f t="shared" si="2"/>
        <v>#NAME?</v>
      </c>
      <c r="AB119" s="631" t="s">
        <v>32</v>
      </c>
      <c r="AC119" s="632" t="str">
        <f t="shared" si="3"/>
        <v>#NAME?</v>
      </c>
      <c r="AD119" s="639" t="s">
        <v>4428</v>
      </c>
      <c r="AE119" s="633" t="str">
        <f t="shared" si="4"/>
        <v>#NAME?</v>
      </c>
      <c r="AF119" s="631" t="s">
        <v>32</v>
      </c>
      <c r="AG119" s="632" t="str">
        <f t="shared" si="5"/>
        <v>#NAME?</v>
      </c>
      <c r="AH119" s="634" t="s">
        <v>4428</v>
      </c>
      <c r="AI119" s="635" t="str">
        <f t="shared" si="6"/>
        <v>#NAME?</v>
      </c>
      <c r="AJ119" s="634" t="s">
        <v>32</v>
      </c>
      <c r="AK119" s="636" t="str">
        <f t="shared" si="7"/>
        <v>#NAME?</v>
      </c>
      <c r="AL119" s="637" t="s">
        <v>4428</v>
      </c>
      <c r="AM119" s="619"/>
      <c r="AN119" s="638" t="s">
        <v>1212</v>
      </c>
      <c r="AO119" s="639" t="s">
        <v>301</v>
      </c>
      <c r="AP119" s="712" t="s">
        <v>1212</v>
      </c>
      <c r="AQ119" s="639" t="s">
        <v>301</v>
      </c>
      <c r="AR119" s="712" t="s">
        <v>1212</v>
      </c>
      <c r="AS119" s="639" t="s">
        <v>301</v>
      </c>
      <c r="AT119" s="644"/>
      <c r="AU119" s="645" t="str">
        <f t="shared" ref="AU119:AU120" si="27">image("https://www.pokebip.com/pages/icones/objets/ecaille-draco.png", 3)</f>
        <v/>
      </c>
      <c r="AV119" s="646" t="s">
        <v>1215</v>
      </c>
      <c r="AW119" s="692"/>
      <c r="AX119" s="693"/>
      <c r="AY119" s="619"/>
      <c r="AZ119" s="648" t="s">
        <v>4</v>
      </c>
      <c r="BA119" s="694"/>
      <c r="BB119" s="690"/>
      <c r="BC119" s="619"/>
      <c r="BD119" s="651" t="s">
        <v>150</v>
      </c>
      <c r="BE119" s="653">
        <v>83.0</v>
      </c>
      <c r="BF119" s="653">
        <v>225.0</v>
      </c>
      <c r="BG119" s="654">
        <v>70.0</v>
      </c>
      <c r="BH119" s="653">
        <v>20.0</v>
      </c>
      <c r="BI119" s="607"/>
      <c r="BJ119" s="655" t="s">
        <v>149</v>
      </c>
      <c r="BK119" s="703" t="s">
        <v>149</v>
      </c>
      <c r="BL119" s="610"/>
      <c r="BM119" s="657" t="s">
        <v>106</v>
      </c>
      <c r="BN119" s="658" t="s">
        <v>61</v>
      </c>
      <c r="BO119" s="607"/>
      <c r="BP119" s="659" t="s">
        <v>1214</v>
      </c>
      <c r="BQ119" s="614"/>
      <c r="BR119" s="660" t="s">
        <v>4430</v>
      </c>
      <c r="BS119" s="614"/>
    </row>
    <row r="120" ht="15.75" customHeight="1">
      <c r="A120" s="616"/>
      <c r="B120" s="661" t="s">
        <v>1219</v>
      </c>
      <c r="C120" s="662"/>
      <c r="D120" s="571"/>
      <c r="E120" s="672">
        <v>55.0</v>
      </c>
      <c r="F120" s="664">
        <v>65.0</v>
      </c>
      <c r="G120" s="665">
        <v>95.0</v>
      </c>
      <c r="H120" s="666">
        <v>95.0</v>
      </c>
      <c r="I120" s="667">
        <v>45.0</v>
      </c>
      <c r="J120" s="668">
        <v>85.0</v>
      </c>
      <c r="K120" s="669">
        <v>440.0</v>
      </c>
      <c r="L120" s="670">
        <v>55.0</v>
      </c>
      <c r="M120" s="664">
        <v>65.0</v>
      </c>
      <c r="N120" s="665">
        <v>95.0</v>
      </c>
      <c r="O120" s="666">
        <v>95.0</v>
      </c>
      <c r="P120" s="667">
        <v>45.0</v>
      </c>
      <c r="Q120" s="668">
        <v>85.0</v>
      </c>
      <c r="R120" s="671">
        <v>440.0</v>
      </c>
      <c r="S120" s="672">
        <v>55.0</v>
      </c>
      <c r="T120" s="664">
        <v>65.0</v>
      </c>
      <c r="U120" s="665">
        <v>95.0</v>
      </c>
      <c r="V120" s="666">
        <v>95.0</v>
      </c>
      <c r="W120" s="667">
        <v>45.0</v>
      </c>
      <c r="X120" s="668">
        <v>85.0</v>
      </c>
      <c r="Y120" s="671">
        <f t="shared" si="1"/>
        <v>440</v>
      </c>
      <c r="Z120" s="571"/>
      <c r="AA120" s="673" t="str">
        <f t="shared" si="2"/>
        <v>#NAME?</v>
      </c>
      <c r="AB120" s="674" t="s">
        <v>32</v>
      </c>
      <c r="AC120" s="675" t="str">
        <f t="shared" si="3"/>
        <v>#NAME?</v>
      </c>
      <c r="AD120" s="680" t="s">
        <v>4428</v>
      </c>
      <c r="AE120" s="676" t="str">
        <f t="shared" si="4"/>
        <v>#NAME?</v>
      </c>
      <c r="AF120" s="674" t="s">
        <v>32</v>
      </c>
      <c r="AG120" s="675" t="str">
        <f t="shared" si="5"/>
        <v>#NAME?</v>
      </c>
      <c r="AH120" s="586" t="s">
        <v>4428</v>
      </c>
      <c r="AI120" s="677" t="str">
        <f t="shared" si="6"/>
        <v>#NAME?</v>
      </c>
      <c r="AJ120" s="586" t="s">
        <v>32</v>
      </c>
      <c r="AK120" s="584" t="str">
        <f t="shared" si="7"/>
        <v>#NAME?</v>
      </c>
      <c r="AL120" s="678" t="s">
        <v>4428</v>
      </c>
      <c r="AM120" s="571"/>
      <c r="AN120" s="679" t="s">
        <v>394</v>
      </c>
      <c r="AO120" s="680" t="s">
        <v>301</v>
      </c>
      <c r="AP120" s="705" t="s">
        <v>394</v>
      </c>
      <c r="AQ120" s="680" t="s">
        <v>301</v>
      </c>
      <c r="AR120" s="705" t="s">
        <v>394</v>
      </c>
      <c r="AS120" s="680" t="s">
        <v>301</v>
      </c>
      <c r="AT120" s="595"/>
      <c r="AU120" s="685" t="str">
        <f t="shared" si="27"/>
        <v/>
      </c>
      <c r="AV120" s="686" t="s">
        <v>1215</v>
      </c>
      <c r="AW120" s="687"/>
      <c r="AX120" s="688"/>
      <c r="AY120" s="571"/>
      <c r="AZ120" s="695" t="s">
        <v>101</v>
      </c>
      <c r="BA120" s="691" t="s">
        <v>4</v>
      </c>
      <c r="BB120" s="696"/>
      <c r="BC120" s="571"/>
      <c r="BD120" s="651" t="s">
        <v>150</v>
      </c>
      <c r="BE120" s="653">
        <v>155.0</v>
      </c>
      <c r="BF120" s="653">
        <v>75.0</v>
      </c>
      <c r="BG120" s="654">
        <v>70.0</v>
      </c>
      <c r="BH120" s="653">
        <v>40.0</v>
      </c>
      <c r="BI120" s="607"/>
      <c r="BJ120" s="655" t="s">
        <v>149</v>
      </c>
      <c r="BK120" s="703" t="s">
        <v>149</v>
      </c>
      <c r="BL120" s="610"/>
      <c r="BM120" s="657" t="s">
        <v>106</v>
      </c>
      <c r="BN120" s="658" t="s">
        <v>61</v>
      </c>
      <c r="BO120" s="607"/>
      <c r="BP120" s="659" t="s">
        <v>1224</v>
      </c>
      <c r="BQ120" s="614"/>
      <c r="BR120" s="660" t="s">
        <v>4430</v>
      </c>
      <c r="BS120" s="614"/>
    </row>
    <row r="121" ht="15.75" customHeight="1">
      <c r="A121" s="616"/>
      <c r="B121" s="617" t="s">
        <v>1228</v>
      </c>
      <c r="C121" s="618"/>
      <c r="D121" s="619"/>
      <c r="E121" s="629">
        <v>45.0</v>
      </c>
      <c r="F121" s="621">
        <v>67.0</v>
      </c>
      <c r="G121" s="622">
        <v>60.0</v>
      </c>
      <c r="H121" s="748">
        <v>35.0</v>
      </c>
      <c r="I121" s="624">
        <v>50.0</v>
      </c>
      <c r="J121" s="625">
        <v>63.0</v>
      </c>
      <c r="K121" s="749">
        <v>320.0</v>
      </c>
      <c r="L121" s="627">
        <v>45.0</v>
      </c>
      <c r="M121" s="621">
        <v>67.0</v>
      </c>
      <c r="N121" s="622">
        <v>60.0</v>
      </c>
      <c r="O121" s="623">
        <v>35.0</v>
      </c>
      <c r="P121" s="624">
        <v>50.0</v>
      </c>
      <c r="Q121" s="625">
        <v>63.0</v>
      </c>
      <c r="R121" s="628">
        <v>320.0</v>
      </c>
      <c r="S121" s="629">
        <v>45.0</v>
      </c>
      <c r="T121" s="750">
        <v>77.0</v>
      </c>
      <c r="U121" s="622">
        <v>60.0</v>
      </c>
      <c r="V121" s="748">
        <v>25.0</v>
      </c>
      <c r="W121" s="624">
        <v>50.0</v>
      </c>
      <c r="X121" s="753">
        <v>73.0</v>
      </c>
      <c r="Y121" s="628">
        <f t="shared" si="1"/>
        <v>330</v>
      </c>
      <c r="Z121" s="619"/>
      <c r="AA121" s="630" t="str">
        <f t="shared" si="2"/>
        <v>#NAME?</v>
      </c>
      <c r="AB121" s="631" t="s">
        <v>32</v>
      </c>
      <c r="AC121" s="632" t="str">
        <f t="shared" si="3"/>
        <v>#NAME?</v>
      </c>
      <c r="AD121" s="639" t="s">
        <v>4428</v>
      </c>
      <c r="AE121" s="633" t="str">
        <f t="shared" si="4"/>
        <v>#NAME?</v>
      </c>
      <c r="AF121" s="631" t="s">
        <v>32</v>
      </c>
      <c r="AG121" s="632" t="str">
        <f t="shared" si="5"/>
        <v>#NAME?</v>
      </c>
      <c r="AH121" s="634" t="s">
        <v>4428</v>
      </c>
      <c r="AI121" s="635" t="str">
        <f t="shared" si="6"/>
        <v>#NAME?</v>
      </c>
      <c r="AJ121" s="634" t="s">
        <v>32</v>
      </c>
      <c r="AK121" s="636" t="str">
        <f t="shared" si="7"/>
        <v>#NAME?</v>
      </c>
      <c r="AL121" s="637" t="s">
        <v>4428</v>
      </c>
      <c r="AM121" s="619"/>
      <c r="AN121" s="638" t="s">
        <v>1212</v>
      </c>
      <c r="AO121" s="639" t="s">
        <v>1235</v>
      </c>
      <c r="AP121" s="712" t="s">
        <v>1212</v>
      </c>
      <c r="AQ121" s="639" t="s">
        <v>1235</v>
      </c>
      <c r="AR121" s="712" t="s">
        <v>1212</v>
      </c>
      <c r="AS121" s="639" t="s">
        <v>1235</v>
      </c>
      <c r="AT121" s="644"/>
      <c r="AU121" s="645" t="str">
        <f t="shared" ref="AU121:AU122" si="28">image("https://www.pokebip.com/pages/icones/objets/eau-mystique.png", 3)</f>
        <v/>
      </c>
      <c r="AV121" s="646" t="s">
        <v>1238</v>
      </c>
      <c r="AW121" s="692"/>
      <c r="AX121" s="693"/>
      <c r="AY121" s="619"/>
      <c r="AZ121" s="648" t="s">
        <v>325</v>
      </c>
      <c r="BA121" s="694"/>
      <c r="BB121" s="690"/>
      <c r="BC121" s="619"/>
      <c r="BD121" s="651" t="s">
        <v>150</v>
      </c>
      <c r="BE121" s="653">
        <v>111.0</v>
      </c>
      <c r="BF121" s="653">
        <v>225.0</v>
      </c>
      <c r="BG121" s="654">
        <v>70.0</v>
      </c>
      <c r="BH121" s="653">
        <v>40.0</v>
      </c>
      <c r="BI121" s="607"/>
      <c r="BJ121" s="764" t="s">
        <v>149</v>
      </c>
      <c r="BK121" s="703" t="s">
        <v>149</v>
      </c>
      <c r="BL121" s="610"/>
      <c r="BM121" s="657" t="s">
        <v>1236</v>
      </c>
      <c r="BN121" s="704"/>
      <c r="BO121" s="607"/>
      <c r="BP121" s="659" t="s">
        <v>1237</v>
      </c>
      <c r="BQ121" s="614"/>
      <c r="BR121" s="660" t="s">
        <v>4429</v>
      </c>
      <c r="BS121" s="614"/>
    </row>
    <row r="122" ht="15.75" customHeight="1">
      <c r="A122" s="616"/>
      <c r="B122" s="661" t="s">
        <v>1242</v>
      </c>
      <c r="C122" s="662"/>
      <c r="D122" s="571"/>
      <c r="E122" s="672">
        <v>80.0</v>
      </c>
      <c r="F122" s="664">
        <v>92.0</v>
      </c>
      <c r="G122" s="665">
        <v>65.0</v>
      </c>
      <c r="H122" s="666">
        <v>65.0</v>
      </c>
      <c r="I122" s="667">
        <v>80.0</v>
      </c>
      <c r="J122" s="668">
        <v>68.0</v>
      </c>
      <c r="K122" s="669">
        <v>450.0</v>
      </c>
      <c r="L122" s="670">
        <v>80.0</v>
      </c>
      <c r="M122" s="664">
        <v>92.0</v>
      </c>
      <c r="N122" s="665">
        <v>65.0</v>
      </c>
      <c r="O122" s="666">
        <v>65.0</v>
      </c>
      <c r="P122" s="667">
        <v>80.0</v>
      </c>
      <c r="Q122" s="668">
        <v>68.0</v>
      </c>
      <c r="R122" s="671">
        <v>450.0</v>
      </c>
      <c r="S122" s="672">
        <v>80.0</v>
      </c>
      <c r="T122" s="741">
        <v>122.0</v>
      </c>
      <c r="U122" s="742">
        <v>80.0</v>
      </c>
      <c r="V122" s="743">
        <v>45.0</v>
      </c>
      <c r="W122" s="667">
        <v>80.0</v>
      </c>
      <c r="X122" s="745">
        <v>78.0</v>
      </c>
      <c r="Y122" s="671">
        <f t="shared" si="1"/>
        <v>485</v>
      </c>
      <c r="Z122" s="571"/>
      <c r="AA122" s="673" t="str">
        <f t="shared" si="2"/>
        <v>#NAME?</v>
      </c>
      <c r="AB122" s="674" t="s">
        <v>32</v>
      </c>
      <c r="AC122" s="675" t="str">
        <f t="shared" si="3"/>
        <v>#NAME?</v>
      </c>
      <c r="AD122" s="680" t="s">
        <v>4428</v>
      </c>
      <c r="AE122" s="676" t="str">
        <f t="shared" si="4"/>
        <v>#NAME?</v>
      </c>
      <c r="AF122" s="674" t="s">
        <v>32</v>
      </c>
      <c r="AG122" s="675" t="str">
        <f t="shared" si="5"/>
        <v>#NAME?</v>
      </c>
      <c r="AH122" s="586" t="s">
        <v>4428</v>
      </c>
      <c r="AI122" s="677" t="str">
        <f t="shared" si="6"/>
        <v>#NAME?</v>
      </c>
      <c r="AJ122" s="586" t="s">
        <v>32</v>
      </c>
      <c r="AK122" s="584" t="str">
        <f t="shared" si="7"/>
        <v>#NAME?</v>
      </c>
      <c r="AL122" s="678" t="s">
        <v>4428</v>
      </c>
      <c r="AM122" s="571"/>
      <c r="AN122" s="679" t="s">
        <v>1212</v>
      </c>
      <c r="AO122" s="680" t="s">
        <v>1235</v>
      </c>
      <c r="AP122" s="705" t="s">
        <v>1212</v>
      </c>
      <c r="AQ122" s="680" t="s">
        <v>1235</v>
      </c>
      <c r="AR122" s="705" t="s">
        <v>1212</v>
      </c>
      <c r="AS122" s="680" t="s">
        <v>1235</v>
      </c>
      <c r="AT122" s="595"/>
      <c r="AU122" s="685" t="str">
        <f t="shared" si="28"/>
        <v/>
      </c>
      <c r="AV122" s="686" t="s">
        <v>1238</v>
      </c>
      <c r="AW122" s="687"/>
      <c r="AX122" s="688"/>
      <c r="AY122" s="571"/>
      <c r="AZ122" s="695" t="s">
        <v>216</v>
      </c>
      <c r="BA122" s="700"/>
      <c r="BB122" s="690"/>
      <c r="BC122" s="571"/>
      <c r="BD122" s="651" t="s">
        <v>150</v>
      </c>
      <c r="BE122" s="653">
        <v>170.0</v>
      </c>
      <c r="BF122" s="653">
        <v>60.0</v>
      </c>
      <c r="BG122" s="654">
        <v>70.0</v>
      </c>
      <c r="BH122" s="653">
        <v>60.0</v>
      </c>
      <c r="BI122" s="607"/>
      <c r="BJ122" s="764" t="s">
        <v>149</v>
      </c>
      <c r="BK122" s="703" t="s">
        <v>149</v>
      </c>
      <c r="BL122" s="610"/>
      <c r="BM122" s="657" t="s">
        <v>1236</v>
      </c>
      <c r="BN122" s="704"/>
      <c r="BO122" s="607"/>
      <c r="BP122" s="659" t="s">
        <v>1248</v>
      </c>
      <c r="BQ122" s="614"/>
      <c r="BR122" s="660" t="s">
        <v>4429</v>
      </c>
      <c r="BS122" s="614"/>
    </row>
    <row r="123" ht="15.75" customHeight="1">
      <c r="A123" s="616"/>
      <c r="B123" s="617" t="s">
        <v>1253</v>
      </c>
      <c r="C123" s="618"/>
      <c r="D123" s="619"/>
      <c r="E123" s="629">
        <v>30.0</v>
      </c>
      <c r="F123" s="621">
        <v>45.0</v>
      </c>
      <c r="G123" s="622">
        <v>55.0</v>
      </c>
      <c r="H123" s="623">
        <v>70.0</v>
      </c>
      <c r="I123" s="624">
        <v>55.0</v>
      </c>
      <c r="J123" s="625">
        <v>85.0</v>
      </c>
      <c r="K123" s="626">
        <v>340.0</v>
      </c>
      <c r="L123" s="627">
        <v>30.0</v>
      </c>
      <c r="M123" s="621">
        <v>45.0</v>
      </c>
      <c r="N123" s="622">
        <v>55.0</v>
      </c>
      <c r="O123" s="623">
        <v>70.0</v>
      </c>
      <c r="P123" s="624">
        <v>55.0</v>
      </c>
      <c r="Q123" s="625">
        <v>85.0</v>
      </c>
      <c r="R123" s="628">
        <v>340.0</v>
      </c>
      <c r="S123" s="629">
        <v>30.0</v>
      </c>
      <c r="T123" s="621">
        <v>45.0</v>
      </c>
      <c r="U123" s="622">
        <v>55.0</v>
      </c>
      <c r="V123" s="623">
        <v>70.0</v>
      </c>
      <c r="W123" s="624">
        <v>55.0</v>
      </c>
      <c r="X123" s="625">
        <v>85.0</v>
      </c>
      <c r="Y123" s="628">
        <f t="shared" si="1"/>
        <v>340</v>
      </c>
      <c r="Z123" s="619"/>
      <c r="AA123" s="630" t="str">
        <f t="shared" si="2"/>
        <v>#NAME?</v>
      </c>
      <c r="AB123" s="631" t="s">
        <v>32</v>
      </c>
      <c r="AC123" s="632" t="str">
        <f t="shared" si="3"/>
        <v>#NAME?</v>
      </c>
      <c r="AD123" s="639" t="s">
        <v>4428</v>
      </c>
      <c r="AE123" s="633" t="str">
        <f t="shared" si="4"/>
        <v>#NAME?</v>
      </c>
      <c r="AF123" s="631" t="s">
        <v>32</v>
      </c>
      <c r="AG123" s="632" t="str">
        <f t="shared" si="5"/>
        <v>#NAME?</v>
      </c>
      <c r="AH123" s="634" t="s">
        <v>4428</v>
      </c>
      <c r="AI123" s="635" t="str">
        <f t="shared" si="6"/>
        <v>#NAME?</v>
      </c>
      <c r="AJ123" s="634" t="s">
        <v>32</v>
      </c>
      <c r="AK123" s="636" t="str">
        <f t="shared" si="7"/>
        <v>#NAME?</v>
      </c>
      <c r="AL123" s="637" t="s">
        <v>4428</v>
      </c>
      <c r="AM123" s="619"/>
      <c r="AN123" s="638" t="s">
        <v>1256</v>
      </c>
      <c r="AO123" s="639" t="s">
        <v>1182</v>
      </c>
      <c r="AP123" s="712" t="s">
        <v>1256</v>
      </c>
      <c r="AQ123" s="639" t="s">
        <v>1182</v>
      </c>
      <c r="AR123" s="712" t="s">
        <v>1256</v>
      </c>
      <c r="AS123" s="639" t="s">
        <v>1182</v>
      </c>
      <c r="AT123" s="644"/>
      <c r="AU123" s="645" t="str">
        <f t="shared" ref="AU123:AU124" si="29">image("https://www.pokebip.com/pages/icones/objets/poussiere-etoile.png", 3)</f>
        <v/>
      </c>
      <c r="AV123" s="646" t="s">
        <v>1259</v>
      </c>
      <c r="AW123" s="692" t="str">
        <f t="shared" ref="AW123:AW124" si="30">image("https://www.pokebip.com/pages/icones/objets/morceau-etoile.png", 3)</f>
        <v/>
      </c>
      <c r="AX123" s="693" t="s">
        <v>1260</v>
      </c>
      <c r="AY123" s="619"/>
      <c r="AZ123" s="648" t="s">
        <v>56</v>
      </c>
      <c r="BA123" s="694"/>
      <c r="BB123" s="690"/>
      <c r="BC123" s="619"/>
      <c r="BD123" s="651" t="s">
        <v>683</v>
      </c>
      <c r="BE123" s="653">
        <v>106.0</v>
      </c>
      <c r="BF123" s="653">
        <v>225.0</v>
      </c>
      <c r="BG123" s="654">
        <v>70.0</v>
      </c>
      <c r="BH123" s="653">
        <v>60.0</v>
      </c>
      <c r="BI123" s="607"/>
      <c r="BJ123" s="768" t="s">
        <v>890</v>
      </c>
      <c r="BK123" s="766"/>
      <c r="BL123" s="610"/>
      <c r="BM123" s="767" t="s">
        <v>807</v>
      </c>
      <c r="BN123" s="704"/>
      <c r="BO123" s="607"/>
      <c r="BP123" s="659" t="s">
        <v>1258</v>
      </c>
      <c r="BQ123" s="614"/>
      <c r="BR123" s="660" t="s">
        <v>4432</v>
      </c>
      <c r="BS123" s="614"/>
    </row>
    <row r="124" ht="15.75" customHeight="1">
      <c r="A124" s="616"/>
      <c r="B124" s="661" t="s">
        <v>1264</v>
      </c>
      <c r="C124" s="662"/>
      <c r="D124" s="571"/>
      <c r="E124" s="672">
        <v>60.0</v>
      </c>
      <c r="F124" s="664">
        <v>75.0</v>
      </c>
      <c r="G124" s="665">
        <v>85.0</v>
      </c>
      <c r="H124" s="666">
        <v>100.0</v>
      </c>
      <c r="I124" s="667">
        <v>85.0</v>
      </c>
      <c r="J124" s="668">
        <v>115.0</v>
      </c>
      <c r="K124" s="669">
        <v>520.0</v>
      </c>
      <c r="L124" s="670">
        <v>60.0</v>
      </c>
      <c r="M124" s="664">
        <v>75.0</v>
      </c>
      <c r="N124" s="665">
        <v>85.0</v>
      </c>
      <c r="O124" s="666">
        <v>100.0</v>
      </c>
      <c r="P124" s="667">
        <v>85.0</v>
      </c>
      <c r="Q124" s="668">
        <v>115.0</v>
      </c>
      <c r="R124" s="671">
        <v>520.0</v>
      </c>
      <c r="S124" s="672">
        <v>60.0</v>
      </c>
      <c r="T124" s="664">
        <v>75.0</v>
      </c>
      <c r="U124" s="665">
        <v>85.0</v>
      </c>
      <c r="V124" s="666">
        <v>100.0</v>
      </c>
      <c r="W124" s="667">
        <v>85.0</v>
      </c>
      <c r="X124" s="668">
        <v>115.0</v>
      </c>
      <c r="Y124" s="671">
        <f t="shared" si="1"/>
        <v>520</v>
      </c>
      <c r="Z124" s="571"/>
      <c r="AA124" s="673" t="str">
        <f t="shared" si="2"/>
        <v>#NAME?</v>
      </c>
      <c r="AB124" s="674" t="s">
        <v>32</v>
      </c>
      <c r="AC124" s="675" t="str">
        <f t="shared" si="3"/>
        <v>#NAME?</v>
      </c>
      <c r="AD124" s="673" t="s">
        <v>122</v>
      </c>
      <c r="AE124" s="676" t="str">
        <f t="shared" si="4"/>
        <v>#NAME?</v>
      </c>
      <c r="AF124" s="674" t="s">
        <v>32</v>
      </c>
      <c r="AG124" s="675" t="str">
        <f t="shared" si="5"/>
        <v>#NAME?</v>
      </c>
      <c r="AH124" s="586" t="s">
        <v>122</v>
      </c>
      <c r="AI124" s="677" t="str">
        <f t="shared" si="6"/>
        <v>#NAME?</v>
      </c>
      <c r="AJ124" s="586" t="s">
        <v>32</v>
      </c>
      <c r="AK124" s="584" t="str">
        <f t="shared" si="7"/>
        <v>#NAME?</v>
      </c>
      <c r="AL124" s="678" t="s">
        <v>122</v>
      </c>
      <c r="AM124" s="571"/>
      <c r="AN124" s="679" t="s">
        <v>1256</v>
      </c>
      <c r="AO124" s="680" t="s">
        <v>1182</v>
      </c>
      <c r="AP124" s="705" t="s">
        <v>1256</v>
      </c>
      <c r="AQ124" s="680" t="s">
        <v>1182</v>
      </c>
      <c r="AR124" s="705" t="s">
        <v>1256</v>
      </c>
      <c r="AS124" s="680" t="s">
        <v>1182</v>
      </c>
      <c r="AT124" s="595"/>
      <c r="AU124" s="685" t="str">
        <f t="shared" si="29"/>
        <v/>
      </c>
      <c r="AV124" s="686" t="s">
        <v>1259</v>
      </c>
      <c r="AW124" s="687" t="str">
        <f t="shared" si="30"/>
        <v/>
      </c>
      <c r="AX124" s="688" t="s">
        <v>1260</v>
      </c>
      <c r="AY124" s="571"/>
      <c r="AZ124" s="689" t="s">
        <v>248</v>
      </c>
      <c r="BA124" s="690"/>
      <c r="BB124" s="696"/>
      <c r="BC124" s="571"/>
      <c r="BD124" s="651" t="s">
        <v>683</v>
      </c>
      <c r="BE124" s="653">
        <v>207.0</v>
      </c>
      <c r="BF124" s="653">
        <v>60.0</v>
      </c>
      <c r="BG124" s="654">
        <v>70.0</v>
      </c>
      <c r="BH124" s="653">
        <v>80.0</v>
      </c>
      <c r="BI124" s="607"/>
      <c r="BJ124" s="765" t="s">
        <v>890</v>
      </c>
      <c r="BK124" s="766"/>
      <c r="BL124" s="610"/>
      <c r="BM124" s="767" t="s">
        <v>807</v>
      </c>
      <c r="BN124" s="704"/>
      <c r="BO124" s="607"/>
      <c r="BP124" s="659" t="s">
        <v>1267</v>
      </c>
      <c r="BQ124" s="614"/>
      <c r="BR124" s="660" t="s">
        <v>4434</v>
      </c>
      <c r="BS124" s="614"/>
    </row>
    <row r="125" ht="15.75" customHeight="1">
      <c r="A125" s="616"/>
      <c r="B125" s="617" t="s">
        <v>1272</v>
      </c>
      <c r="C125" s="618"/>
      <c r="D125" s="619"/>
      <c r="E125" s="629">
        <v>40.0</v>
      </c>
      <c r="F125" s="621">
        <v>45.0</v>
      </c>
      <c r="G125" s="622">
        <v>65.0</v>
      </c>
      <c r="H125" s="623">
        <v>100.0</v>
      </c>
      <c r="I125" s="624">
        <v>120.0</v>
      </c>
      <c r="J125" s="625">
        <v>90.0</v>
      </c>
      <c r="K125" s="626">
        <v>460.0</v>
      </c>
      <c r="L125" s="627">
        <v>40.0</v>
      </c>
      <c r="M125" s="621">
        <v>45.0</v>
      </c>
      <c r="N125" s="622">
        <v>65.0</v>
      </c>
      <c r="O125" s="623">
        <v>100.0</v>
      </c>
      <c r="P125" s="624">
        <v>120.0</v>
      </c>
      <c r="Q125" s="625">
        <v>90.0</v>
      </c>
      <c r="R125" s="628">
        <v>460.0</v>
      </c>
      <c r="S125" s="629">
        <v>40.0</v>
      </c>
      <c r="T125" s="750">
        <v>35.0</v>
      </c>
      <c r="U125" s="622">
        <v>65.0</v>
      </c>
      <c r="V125" s="748">
        <v>110.0</v>
      </c>
      <c r="W125" s="624">
        <v>120.0</v>
      </c>
      <c r="X125" s="753">
        <v>95.0</v>
      </c>
      <c r="Y125" s="628">
        <f t="shared" si="1"/>
        <v>465</v>
      </c>
      <c r="Z125" s="619"/>
      <c r="AA125" s="630" t="str">
        <f t="shared" si="2"/>
        <v>#NAME?</v>
      </c>
      <c r="AB125" s="631" t="s">
        <v>122</v>
      </c>
      <c r="AC125" s="632" t="str">
        <f t="shared" si="3"/>
        <v>#NAME?</v>
      </c>
      <c r="AD125" s="639" t="s">
        <v>4428</v>
      </c>
      <c r="AE125" s="633" t="str">
        <f t="shared" si="4"/>
        <v>#NAME?</v>
      </c>
      <c r="AF125" s="631" t="s">
        <v>122</v>
      </c>
      <c r="AG125" s="777" t="str">
        <f t="shared" si="5"/>
        <v>#NAME?</v>
      </c>
      <c r="AH125" s="634" t="s">
        <v>3017</v>
      </c>
      <c r="AI125" s="635" t="str">
        <f t="shared" si="6"/>
        <v>#NAME?</v>
      </c>
      <c r="AJ125" s="634" t="s">
        <v>122</v>
      </c>
      <c r="AK125" s="697" t="str">
        <f t="shared" si="7"/>
        <v>#NAME?</v>
      </c>
      <c r="AL125" s="637" t="s">
        <v>3017</v>
      </c>
      <c r="AM125" s="619"/>
      <c r="AN125" s="638" t="s">
        <v>1067</v>
      </c>
      <c r="AO125" s="639" t="s">
        <v>1276</v>
      </c>
      <c r="AP125" s="708" t="s">
        <v>1276</v>
      </c>
      <c r="AQ125" s="757" t="s">
        <v>1278</v>
      </c>
      <c r="AR125" s="709" t="s">
        <v>1277</v>
      </c>
      <c r="AS125" s="758" t="s">
        <v>1278</v>
      </c>
      <c r="AT125" s="644"/>
      <c r="AU125" s="645"/>
      <c r="AV125" s="646"/>
      <c r="AW125" s="692"/>
      <c r="AX125" s="693"/>
      <c r="AY125" s="619"/>
      <c r="AZ125" s="698" t="s">
        <v>815</v>
      </c>
      <c r="BA125" s="690"/>
      <c r="BB125" s="650"/>
      <c r="BC125" s="619"/>
      <c r="BD125" s="651" t="s">
        <v>150</v>
      </c>
      <c r="BE125" s="653">
        <v>136.0</v>
      </c>
      <c r="BF125" s="653">
        <v>45.0</v>
      </c>
      <c r="BG125" s="654">
        <v>70.0</v>
      </c>
      <c r="BH125" s="653">
        <v>80.0</v>
      </c>
      <c r="BI125" s="607"/>
      <c r="BJ125" s="655" t="s">
        <v>149</v>
      </c>
      <c r="BK125" s="703" t="s">
        <v>149</v>
      </c>
      <c r="BL125" s="610"/>
      <c r="BM125" s="657" t="s">
        <v>728</v>
      </c>
      <c r="BN125" s="704"/>
      <c r="BO125" s="607"/>
      <c r="BP125" s="659" t="s">
        <v>1280</v>
      </c>
      <c r="BQ125" s="614"/>
      <c r="BR125" s="660" t="s">
        <v>4435</v>
      </c>
      <c r="BS125" s="614"/>
    </row>
    <row r="126" ht="15.75" customHeight="1">
      <c r="A126" s="616"/>
      <c r="B126" s="661" t="s">
        <v>1284</v>
      </c>
      <c r="C126" s="662"/>
      <c r="D126" s="571"/>
      <c r="E126" s="672">
        <v>70.0</v>
      </c>
      <c r="F126" s="664">
        <v>110.0</v>
      </c>
      <c r="G126" s="665">
        <v>80.0</v>
      </c>
      <c r="H126" s="666">
        <v>55.0</v>
      </c>
      <c r="I126" s="667">
        <v>80.0</v>
      </c>
      <c r="J126" s="668">
        <v>105.0</v>
      </c>
      <c r="K126" s="669">
        <v>500.0</v>
      </c>
      <c r="L126" s="670">
        <v>70.0</v>
      </c>
      <c r="M126" s="664">
        <v>110.0</v>
      </c>
      <c r="N126" s="665">
        <v>80.0</v>
      </c>
      <c r="O126" s="666">
        <v>55.0</v>
      </c>
      <c r="P126" s="667">
        <v>80.0</v>
      </c>
      <c r="Q126" s="668">
        <v>105.0</v>
      </c>
      <c r="R126" s="671">
        <v>500.0</v>
      </c>
      <c r="S126" s="672">
        <v>70.0</v>
      </c>
      <c r="T126" s="664">
        <v>110.0</v>
      </c>
      <c r="U126" s="665">
        <v>80.0</v>
      </c>
      <c r="V126" s="666">
        <v>55.0</v>
      </c>
      <c r="W126" s="667">
        <v>80.0</v>
      </c>
      <c r="X126" s="668">
        <v>105.0</v>
      </c>
      <c r="Y126" s="671">
        <f t="shared" si="1"/>
        <v>500</v>
      </c>
      <c r="Z126" s="571"/>
      <c r="AA126" s="673" t="str">
        <f t="shared" si="2"/>
        <v>#NAME?</v>
      </c>
      <c r="AB126" s="674" t="s">
        <v>109</v>
      </c>
      <c r="AC126" s="675" t="str">
        <f t="shared" si="3"/>
        <v>#NAME?</v>
      </c>
      <c r="AD126" s="673" t="s">
        <v>18</v>
      </c>
      <c r="AE126" s="676" t="str">
        <f t="shared" si="4"/>
        <v>#NAME?</v>
      </c>
      <c r="AF126" s="674" t="s">
        <v>109</v>
      </c>
      <c r="AG126" s="675" t="str">
        <f t="shared" si="5"/>
        <v>#NAME?</v>
      </c>
      <c r="AH126" s="586" t="s">
        <v>18</v>
      </c>
      <c r="AI126" s="677" t="str">
        <f t="shared" si="6"/>
        <v>#NAME?</v>
      </c>
      <c r="AJ126" s="586" t="s">
        <v>109</v>
      </c>
      <c r="AK126" s="584" t="str">
        <f t="shared" si="7"/>
        <v>#NAME?</v>
      </c>
      <c r="AL126" s="678" t="s">
        <v>18</v>
      </c>
      <c r="AM126" s="571"/>
      <c r="AN126" s="679" t="s">
        <v>217</v>
      </c>
      <c r="AO126" s="680" t="s">
        <v>627</v>
      </c>
      <c r="AP126" s="681" t="s">
        <v>627</v>
      </c>
      <c r="AQ126" s="716" t="s">
        <v>217</v>
      </c>
      <c r="AR126" s="683" t="s">
        <v>628</v>
      </c>
      <c r="AS126" s="718" t="s">
        <v>217</v>
      </c>
      <c r="AT126" s="595"/>
      <c r="AU126" s="685"/>
      <c r="AV126" s="686"/>
      <c r="AW126" s="687"/>
      <c r="AX126" s="688"/>
      <c r="AY126" s="571"/>
      <c r="AZ126" s="695" t="s">
        <v>325</v>
      </c>
      <c r="BA126" s="700"/>
      <c r="BB126" s="690"/>
      <c r="BC126" s="571"/>
      <c r="BD126" s="651" t="s">
        <v>150</v>
      </c>
      <c r="BE126" s="653">
        <v>187.0</v>
      </c>
      <c r="BF126" s="653">
        <v>45.0</v>
      </c>
      <c r="BG126" s="654">
        <v>70.0</v>
      </c>
      <c r="BH126" s="653">
        <v>80.0</v>
      </c>
      <c r="BI126" s="607"/>
      <c r="BJ126" s="655" t="s">
        <v>149</v>
      </c>
      <c r="BK126" s="703" t="s">
        <v>149</v>
      </c>
      <c r="BL126" s="610"/>
      <c r="BM126" s="657" t="s">
        <v>109</v>
      </c>
      <c r="BN126" s="704"/>
      <c r="BO126" s="607"/>
      <c r="BP126" s="659" t="s">
        <v>1288</v>
      </c>
      <c r="BQ126" s="614"/>
      <c r="BR126" s="660" t="s">
        <v>4427</v>
      </c>
      <c r="BS126" s="614"/>
    </row>
    <row r="127" ht="15.75" customHeight="1">
      <c r="A127" s="616"/>
      <c r="B127" s="617" t="s">
        <v>1292</v>
      </c>
      <c r="C127" s="618"/>
      <c r="D127" s="619"/>
      <c r="E127" s="629">
        <v>65.0</v>
      </c>
      <c r="F127" s="621">
        <v>50.0</v>
      </c>
      <c r="G127" s="622">
        <v>35.0</v>
      </c>
      <c r="H127" s="623">
        <v>115.0</v>
      </c>
      <c r="I127" s="624">
        <v>95.0</v>
      </c>
      <c r="J127" s="625">
        <v>95.0</v>
      </c>
      <c r="K127" s="626">
        <v>455.0</v>
      </c>
      <c r="L127" s="627">
        <v>65.0</v>
      </c>
      <c r="M127" s="621">
        <v>50.0</v>
      </c>
      <c r="N127" s="622">
        <v>35.0</v>
      </c>
      <c r="O127" s="623">
        <v>115.0</v>
      </c>
      <c r="P127" s="624">
        <v>95.0</v>
      </c>
      <c r="Q127" s="625">
        <v>95.0</v>
      </c>
      <c r="R127" s="628">
        <v>455.0</v>
      </c>
      <c r="S127" s="778">
        <v>75.0</v>
      </c>
      <c r="T127" s="750">
        <v>40.0</v>
      </c>
      <c r="U127" s="622">
        <v>35.0</v>
      </c>
      <c r="V127" s="748">
        <v>125.0</v>
      </c>
      <c r="W127" s="624">
        <v>95.0</v>
      </c>
      <c r="X127" s="625">
        <v>95.0</v>
      </c>
      <c r="Y127" s="628">
        <f t="shared" si="1"/>
        <v>465</v>
      </c>
      <c r="Z127" s="619"/>
      <c r="AA127" s="630" t="str">
        <f t="shared" si="2"/>
        <v>#NAME?</v>
      </c>
      <c r="AB127" s="631" t="s">
        <v>120</v>
      </c>
      <c r="AC127" s="632" t="str">
        <f t="shared" si="3"/>
        <v>#NAME?</v>
      </c>
      <c r="AD127" s="630" t="s">
        <v>122</v>
      </c>
      <c r="AE127" s="633" t="str">
        <f t="shared" si="4"/>
        <v>#NAME?</v>
      </c>
      <c r="AF127" s="631" t="s">
        <v>120</v>
      </c>
      <c r="AG127" s="632" t="str">
        <f t="shared" si="5"/>
        <v>#NAME?</v>
      </c>
      <c r="AH127" s="634" t="s">
        <v>122</v>
      </c>
      <c r="AI127" s="635" t="str">
        <f t="shared" si="6"/>
        <v>#NAME?</v>
      </c>
      <c r="AJ127" s="634" t="s">
        <v>120</v>
      </c>
      <c r="AK127" s="636" t="str">
        <f t="shared" si="7"/>
        <v>#NAME?</v>
      </c>
      <c r="AL127" s="637" t="s">
        <v>122</v>
      </c>
      <c r="AM127" s="619"/>
      <c r="AN127" s="638" t="s">
        <v>870</v>
      </c>
      <c r="AO127" s="639" t="s">
        <v>1033</v>
      </c>
      <c r="AP127" s="721" t="s">
        <v>1297</v>
      </c>
      <c r="AQ127" s="639" t="s">
        <v>1033</v>
      </c>
      <c r="AR127" s="721" t="s">
        <v>1297</v>
      </c>
      <c r="AS127" s="639" t="s">
        <v>1033</v>
      </c>
      <c r="AT127" s="644"/>
      <c r="AU127" s="645"/>
      <c r="AV127" s="646"/>
      <c r="AW127" s="692"/>
      <c r="AX127" s="693"/>
      <c r="AY127" s="619"/>
      <c r="AZ127" s="698" t="s">
        <v>42</v>
      </c>
      <c r="BA127" s="690"/>
      <c r="BB127" s="650"/>
      <c r="BC127" s="619"/>
      <c r="BD127" s="651" t="s">
        <v>150</v>
      </c>
      <c r="BE127" s="653">
        <v>137.0</v>
      </c>
      <c r="BF127" s="653">
        <v>45.0</v>
      </c>
      <c r="BG127" s="654">
        <v>70.0</v>
      </c>
      <c r="BH127" s="653">
        <v>60.0</v>
      </c>
      <c r="BI127" s="607"/>
      <c r="BJ127" s="724">
        <v>0.0</v>
      </c>
      <c r="BK127" s="703" t="s">
        <v>397</v>
      </c>
      <c r="BL127" s="610"/>
      <c r="BM127" s="657" t="s">
        <v>728</v>
      </c>
      <c r="BN127" s="704"/>
      <c r="BO127" s="607"/>
      <c r="BP127" s="659" t="s">
        <v>4446</v>
      </c>
      <c r="BQ127" s="614"/>
      <c r="BR127" s="660" t="s">
        <v>4429</v>
      </c>
      <c r="BS127" s="614"/>
    </row>
    <row r="128" ht="15.75" customHeight="1">
      <c r="A128" s="616"/>
      <c r="B128" s="661" t="s">
        <v>1303</v>
      </c>
      <c r="C128" s="662"/>
      <c r="D128" s="571"/>
      <c r="E128" s="672">
        <v>65.0</v>
      </c>
      <c r="F128" s="664">
        <v>83.0</v>
      </c>
      <c r="G128" s="665">
        <v>57.0</v>
      </c>
      <c r="H128" s="666">
        <v>95.0</v>
      </c>
      <c r="I128" s="667">
        <v>85.0</v>
      </c>
      <c r="J128" s="668">
        <v>105.0</v>
      </c>
      <c r="K128" s="669">
        <v>490.0</v>
      </c>
      <c r="L128" s="670">
        <v>65.0</v>
      </c>
      <c r="M128" s="664">
        <v>83.0</v>
      </c>
      <c r="N128" s="665">
        <v>57.0</v>
      </c>
      <c r="O128" s="666">
        <v>95.0</v>
      </c>
      <c r="P128" s="667">
        <v>85.0</v>
      </c>
      <c r="Q128" s="668">
        <v>105.0</v>
      </c>
      <c r="R128" s="671">
        <v>490.0</v>
      </c>
      <c r="S128" s="672">
        <v>65.0</v>
      </c>
      <c r="T128" s="664">
        <v>83.0</v>
      </c>
      <c r="U128" s="665">
        <v>57.0</v>
      </c>
      <c r="V128" s="666">
        <v>95.0</v>
      </c>
      <c r="W128" s="667">
        <v>85.0</v>
      </c>
      <c r="X128" s="668">
        <v>105.0</v>
      </c>
      <c r="Y128" s="671">
        <f t="shared" si="1"/>
        <v>490</v>
      </c>
      <c r="Z128" s="571"/>
      <c r="AA128" s="673" t="str">
        <f t="shared" si="2"/>
        <v>#NAME?</v>
      </c>
      <c r="AB128" s="674" t="s">
        <v>197</v>
      </c>
      <c r="AC128" s="675" t="str">
        <f t="shared" si="3"/>
        <v>#NAME?</v>
      </c>
      <c r="AD128" s="680" t="s">
        <v>4428</v>
      </c>
      <c r="AE128" s="676" t="str">
        <f t="shared" si="4"/>
        <v>#NAME?</v>
      </c>
      <c r="AF128" s="674" t="s">
        <v>197</v>
      </c>
      <c r="AG128" s="675" t="str">
        <f t="shared" si="5"/>
        <v>#NAME?</v>
      </c>
      <c r="AH128" s="586" t="s">
        <v>4428</v>
      </c>
      <c r="AI128" s="677" t="str">
        <f t="shared" si="6"/>
        <v>#NAME?</v>
      </c>
      <c r="AJ128" s="586" t="s">
        <v>197</v>
      </c>
      <c r="AK128" s="584" t="str">
        <f t="shared" si="7"/>
        <v>#NAME?</v>
      </c>
      <c r="AL128" s="678" t="s">
        <v>4428</v>
      </c>
      <c r="AM128" s="571"/>
      <c r="AN128" s="679" t="s">
        <v>352</v>
      </c>
      <c r="AO128" s="680"/>
      <c r="AP128" s="705" t="s">
        <v>352</v>
      </c>
      <c r="AQ128" s="722" t="s">
        <v>1306</v>
      </c>
      <c r="AR128" s="705" t="s">
        <v>352</v>
      </c>
      <c r="AS128" s="722" t="s">
        <v>1306</v>
      </c>
      <c r="AT128" s="595"/>
      <c r="AU128" s="685" t="str">
        <f>image("https://www.pokebip.com/pages/icones/objets/electriseur.png", 3)</f>
        <v/>
      </c>
      <c r="AV128" s="686" t="s">
        <v>1308</v>
      </c>
      <c r="AW128" s="687"/>
      <c r="AX128" s="688"/>
      <c r="AY128" s="571"/>
      <c r="AZ128" s="689" t="s">
        <v>248</v>
      </c>
      <c r="BA128" s="690"/>
      <c r="BB128" s="696"/>
      <c r="BC128" s="571"/>
      <c r="BD128" s="651" t="s">
        <v>150</v>
      </c>
      <c r="BE128" s="653">
        <v>156.0</v>
      </c>
      <c r="BF128" s="653">
        <v>45.0</v>
      </c>
      <c r="BG128" s="654">
        <v>70.0</v>
      </c>
      <c r="BH128" s="653">
        <v>60.0</v>
      </c>
      <c r="BI128" s="607"/>
      <c r="BJ128" s="655" t="s">
        <v>467</v>
      </c>
      <c r="BK128" s="703" t="s">
        <v>466</v>
      </c>
      <c r="BL128" s="610"/>
      <c r="BM128" s="657" t="s">
        <v>728</v>
      </c>
      <c r="BN128" s="704"/>
      <c r="BO128" s="607"/>
      <c r="BP128" s="659" t="s">
        <v>1307</v>
      </c>
      <c r="BQ128" s="614"/>
      <c r="BR128" s="660" t="s">
        <v>4433</v>
      </c>
      <c r="BS128" s="614"/>
    </row>
    <row r="129" ht="15.75" customHeight="1">
      <c r="A129" s="616"/>
      <c r="B129" s="617" t="s">
        <v>1312</v>
      </c>
      <c r="C129" s="618"/>
      <c r="D129" s="619"/>
      <c r="E129" s="629">
        <v>65.0</v>
      </c>
      <c r="F129" s="621">
        <v>95.0</v>
      </c>
      <c r="G129" s="622">
        <v>57.0</v>
      </c>
      <c r="H129" s="623">
        <v>100.0</v>
      </c>
      <c r="I129" s="624">
        <v>85.0</v>
      </c>
      <c r="J129" s="625">
        <v>93.0</v>
      </c>
      <c r="K129" s="626">
        <v>495.0</v>
      </c>
      <c r="L129" s="627">
        <v>65.0</v>
      </c>
      <c r="M129" s="621">
        <v>95.0</v>
      </c>
      <c r="N129" s="622">
        <v>57.0</v>
      </c>
      <c r="O129" s="623">
        <v>100.0</v>
      </c>
      <c r="P129" s="624">
        <v>85.0</v>
      </c>
      <c r="Q129" s="625">
        <v>93.0</v>
      </c>
      <c r="R129" s="628">
        <v>495.0</v>
      </c>
      <c r="S129" s="629">
        <v>65.0</v>
      </c>
      <c r="T129" s="621">
        <v>95.0</v>
      </c>
      <c r="U129" s="622">
        <v>57.0</v>
      </c>
      <c r="V129" s="623">
        <v>100.0</v>
      </c>
      <c r="W129" s="624">
        <v>85.0</v>
      </c>
      <c r="X129" s="625">
        <v>93.0</v>
      </c>
      <c r="Y129" s="628">
        <f t="shared" si="1"/>
        <v>495</v>
      </c>
      <c r="Z129" s="619"/>
      <c r="AA129" s="630" t="str">
        <f t="shared" si="2"/>
        <v>#NAME?</v>
      </c>
      <c r="AB129" s="631" t="s">
        <v>34</v>
      </c>
      <c r="AC129" s="632" t="str">
        <f t="shared" si="3"/>
        <v>#NAME?</v>
      </c>
      <c r="AD129" s="639" t="s">
        <v>4428</v>
      </c>
      <c r="AE129" s="633" t="str">
        <f t="shared" si="4"/>
        <v>#NAME?</v>
      </c>
      <c r="AF129" s="631" t="s">
        <v>34</v>
      </c>
      <c r="AG129" s="632" t="str">
        <f t="shared" si="5"/>
        <v>#NAME?</v>
      </c>
      <c r="AH129" s="634" t="s">
        <v>4428</v>
      </c>
      <c r="AI129" s="635" t="str">
        <f t="shared" si="6"/>
        <v>#NAME?</v>
      </c>
      <c r="AJ129" s="634" t="s">
        <v>34</v>
      </c>
      <c r="AK129" s="636" t="str">
        <f t="shared" si="7"/>
        <v>#NAME?</v>
      </c>
      <c r="AL129" s="637" t="s">
        <v>4428</v>
      </c>
      <c r="AM129" s="619"/>
      <c r="AN129" s="638" t="s">
        <v>1315</v>
      </c>
      <c r="AO129" s="639"/>
      <c r="AP129" s="712" t="s">
        <v>1315</v>
      </c>
      <c r="AQ129" s="723" t="s">
        <v>1306</v>
      </c>
      <c r="AR129" s="712" t="s">
        <v>1315</v>
      </c>
      <c r="AS129" s="723" t="s">
        <v>1306</v>
      </c>
      <c r="AT129" s="644"/>
      <c r="AU129" s="645" t="str">
        <f>image("https://www.pokebip.com/pages/icones/objets/magmariseur.png", 3)</f>
        <v/>
      </c>
      <c r="AV129" s="646" t="s">
        <v>1318</v>
      </c>
      <c r="AW129" s="692"/>
      <c r="AX129" s="693"/>
      <c r="AY129" s="619"/>
      <c r="AZ129" s="698" t="s">
        <v>42</v>
      </c>
      <c r="BA129" s="690"/>
      <c r="BB129" s="650"/>
      <c r="BC129" s="619"/>
      <c r="BD129" s="651" t="s">
        <v>150</v>
      </c>
      <c r="BE129" s="653">
        <v>167.0</v>
      </c>
      <c r="BF129" s="653">
        <v>45.0</v>
      </c>
      <c r="BG129" s="654">
        <v>70.0</v>
      </c>
      <c r="BH129" s="653">
        <v>60.0</v>
      </c>
      <c r="BI129" s="607"/>
      <c r="BJ129" s="655" t="s">
        <v>467</v>
      </c>
      <c r="BK129" s="703" t="s">
        <v>466</v>
      </c>
      <c r="BL129" s="610"/>
      <c r="BM129" s="657" t="s">
        <v>728</v>
      </c>
      <c r="BN129" s="704"/>
      <c r="BO129" s="607"/>
      <c r="BP129" s="659" t="s">
        <v>1317</v>
      </c>
      <c r="BQ129" s="614"/>
      <c r="BR129" s="660" t="s">
        <v>4429</v>
      </c>
      <c r="BS129" s="614"/>
    </row>
    <row r="130" ht="15.75" customHeight="1">
      <c r="A130" s="616"/>
      <c r="B130" s="661" t="s">
        <v>1321</v>
      </c>
      <c r="C130" s="662"/>
      <c r="D130" s="571"/>
      <c r="E130" s="672">
        <v>65.0</v>
      </c>
      <c r="F130" s="664">
        <v>125.0</v>
      </c>
      <c r="G130" s="665">
        <v>100.0</v>
      </c>
      <c r="H130" s="666">
        <v>55.0</v>
      </c>
      <c r="I130" s="667">
        <v>70.0</v>
      </c>
      <c r="J130" s="668">
        <v>85.0</v>
      </c>
      <c r="K130" s="669">
        <v>500.0</v>
      </c>
      <c r="L130" s="670">
        <v>65.0</v>
      </c>
      <c r="M130" s="664">
        <v>125.0</v>
      </c>
      <c r="N130" s="665">
        <v>100.0</v>
      </c>
      <c r="O130" s="666">
        <v>55.0</v>
      </c>
      <c r="P130" s="667">
        <v>70.0</v>
      </c>
      <c r="Q130" s="668">
        <v>85.0</v>
      </c>
      <c r="R130" s="671">
        <v>500.0</v>
      </c>
      <c r="S130" s="672">
        <v>65.0</v>
      </c>
      <c r="T130" s="664">
        <v>125.0</v>
      </c>
      <c r="U130" s="665">
        <v>100.0</v>
      </c>
      <c r="V130" s="666">
        <v>55.0</v>
      </c>
      <c r="W130" s="667">
        <v>70.0</v>
      </c>
      <c r="X130" s="668">
        <v>85.0</v>
      </c>
      <c r="Y130" s="671">
        <f t="shared" si="1"/>
        <v>500</v>
      </c>
      <c r="Z130" s="571"/>
      <c r="AA130" s="673" t="str">
        <f t="shared" si="2"/>
        <v>#NAME?</v>
      </c>
      <c r="AB130" s="674" t="s">
        <v>109</v>
      </c>
      <c r="AC130" s="675" t="str">
        <f t="shared" si="3"/>
        <v>#NAME?</v>
      </c>
      <c r="AD130" s="680" t="s">
        <v>4428</v>
      </c>
      <c r="AE130" s="676" t="str">
        <f t="shared" si="4"/>
        <v>#NAME?</v>
      </c>
      <c r="AF130" s="674" t="s">
        <v>109</v>
      </c>
      <c r="AG130" s="675" t="str">
        <f t="shared" si="5"/>
        <v>#NAME?</v>
      </c>
      <c r="AH130" s="586" t="s">
        <v>4428</v>
      </c>
      <c r="AI130" s="677" t="str">
        <f t="shared" si="6"/>
        <v>#NAME?</v>
      </c>
      <c r="AJ130" s="586" t="s">
        <v>109</v>
      </c>
      <c r="AK130" s="584" t="str">
        <f t="shared" si="7"/>
        <v>#NAME?</v>
      </c>
      <c r="AL130" s="678" t="s">
        <v>4428</v>
      </c>
      <c r="AM130" s="571"/>
      <c r="AN130" s="679" t="s">
        <v>1050</v>
      </c>
      <c r="AO130" s="680" t="s">
        <v>1324</v>
      </c>
      <c r="AP130" s="705" t="s">
        <v>1050</v>
      </c>
      <c r="AQ130" s="680" t="s">
        <v>1324</v>
      </c>
      <c r="AR130" s="705" t="s">
        <v>1050</v>
      </c>
      <c r="AS130" s="680" t="s">
        <v>1324</v>
      </c>
      <c r="AT130" s="595"/>
      <c r="AU130" s="685"/>
      <c r="AV130" s="686"/>
      <c r="AW130" s="687"/>
      <c r="AX130" s="688"/>
      <c r="AY130" s="571"/>
      <c r="AZ130" s="689" t="s">
        <v>216</v>
      </c>
      <c r="BA130" s="690"/>
      <c r="BB130" s="696"/>
      <c r="BC130" s="571"/>
      <c r="BD130" s="651" t="s">
        <v>683</v>
      </c>
      <c r="BE130" s="653">
        <v>200.0</v>
      </c>
      <c r="BF130" s="653">
        <v>45.0</v>
      </c>
      <c r="BG130" s="654">
        <v>70.0</v>
      </c>
      <c r="BH130" s="653">
        <v>80.0</v>
      </c>
      <c r="BI130" s="607"/>
      <c r="BJ130" s="655" t="s">
        <v>149</v>
      </c>
      <c r="BK130" s="703" t="s">
        <v>149</v>
      </c>
      <c r="BL130" s="610"/>
      <c r="BM130" s="657" t="s">
        <v>109</v>
      </c>
      <c r="BN130" s="704"/>
      <c r="BO130" s="607"/>
      <c r="BP130" s="659" t="s">
        <v>914</v>
      </c>
      <c r="BQ130" s="614"/>
      <c r="BR130" s="660" t="s">
        <v>4432</v>
      </c>
      <c r="BS130" s="614"/>
    </row>
    <row r="131" ht="15.75" customHeight="1">
      <c r="A131" s="616"/>
      <c r="B131" s="617" t="s">
        <v>1328</v>
      </c>
      <c r="C131" s="618"/>
      <c r="D131" s="619"/>
      <c r="E131" s="629">
        <v>75.0</v>
      </c>
      <c r="F131" s="621">
        <v>100.0</v>
      </c>
      <c r="G131" s="622">
        <v>95.0</v>
      </c>
      <c r="H131" s="748">
        <v>40.0</v>
      </c>
      <c r="I131" s="624">
        <v>70.0</v>
      </c>
      <c r="J131" s="625">
        <v>110.0</v>
      </c>
      <c r="K131" s="749">
        <v>490.0</v>
      </c>
      <c r="L131" s="627">
        <v>75.0</v>
      </c>
      <c r="M131" s="621">
        <v>100.0</v>
      </c>
      <c r="N131" s="622">
        <v>95.0</v>
      </c>
      <c r="O131" s="623">
        <v>40.0</v>
      </c>
      <c r="P131" s="624">
        <v>70.0</v>
      </c>
      <c r="Q131" s="625">
        <v>110.0</v>
      </c>
      <c r="R131" s="628">
        <v>490.0</v>
      </c>
      <c r="S131" s="629">
        <v>75.0</v>
      </c>
      <c r="T131" s="621">
        <v>100.0</v>
      </c>
      <c r="U131" s="622">
        <v>95.0</v>
      </c>
      <c r="V131" s="623">
        <v>40.0</v>
      </c>
      <c r="W131" s="624">
        <v>70.0</v>
      </c>
      <c r="X131" s="625">
        <v>110.0</v>
      </c>
      <c r="Y131" s="628">
        <f t="shared" si="1"/>
        <v>490</v>
      </c>
      <c r="Z131" s="619"/>
      <c r="AA131" s="630" t="str">
        <f t="shared" si="2"/>
        <v>#NAME?</v>
      </c>
      <c r="AB131" s="631" t="s">
        <v>156</v>
      </c>
      <c r="AC131" s="632" t="str">
        <f t="shared" si="3"/>
        <v>#NAME?</v>
      </c>
      <c r="AD131" s="639" t="s">
        <v>4428</v>
      </c>
      <c r="AE131" s="633" t="str">
        <f t="shared" si="4"/>
        <v>#NAME?</v>
      </c>
      <c r="AF131" s="631" t="s">
        <v>156</v>
      </c>
      <c r="AG131" s="632" t="str">
        <f t="shared" si="5"/>
        <v>#NAME?</v>
      </c>
      <c r="AH131" s="634" t="s">
        <v>4428</v>
      </c>
      <c r="AI131" s="635" t="str">
        <f t="shared" si="6"/>
        <v>#NAME?</v>
      </c>
      <c r="AJ131" s="634" t="s">
        <v>156</v>
      </c>
      <c r="AK131" s="636" t="str">
        <f t="shared" si="7"/>
        <v>#NAME?</v>
      </c>
      <c r="AL131" s="637" t="s">
        <v>4428</v>
      </c>
      <c r="AM131" s="619"/>
      <c r="AN131" s="638" t="s">
        <v>326</v>
      </c>
      <c r="AO131" s="639" t="s">
        <v>667</v>
      </c>
      <c r="AP131" s="712" t="s">
        <v>326</v>
      </c>
      <c r="AQ131" s="639" t="s">
        <v>667</v>
      </c>
      <c r="AR131" s="712" t="s">
        <v>326</v>
      </c>
      <c r="AS131" s="639" t="s">
        <v>667</v>
      </c>
      <c r="AT131" s="644"/>
      <c r="AU131" s="645"/>
      <c r="AV131" s="646"/>
      <c r="AW131" s="692"/>
      <c r="AX131" s="693"/>
      <c r="AY131" s="619"/>
      <c r="AZ131" s="648" t="s">
        <v>325</v>
      </c>
      <c r="BA131" s="649" t="s">
        <v>56</v>
      </c>
      <c r="BB131" s="650"/>
      <c r="BC131" s="619"/>
      <c r="BD131" s="651" t="s">
        <v>683</v>
      </c>
      <c r="BE131" s="653">
        <v>211.0</v>
      </c>
      <c r="BF131" s="653">
        <v>45.0</v>
      </c>
      <c r="BG131" s="654">
        <v>70.0</v>
      </c>
      <c r="BH131" s="653">
        <v>80.0</v>
      </c>
      <c r="BI131" s="607"/>
      <c r="BJ131" s="655" t="s">
        <v>397</v>
      </c>
      <c r="BK131" s="725">
        <v>0.0</v>
      </c>
      <c r="BL131" s="610"/>
      <c r="BM131" s="657" t="s">
        <v>277</v>
      </c>
      <c r="BN131" s="704"/>
      <c r="BO131" s="607"/>
      <c r="BP131" s="659" t="s">
        <v>914</v>
      </c>
      <c r="BQ131" s="614"/>
      <c r="BR131" s="660" t="s">
        <v>4432</v>
      </c>
      <c r="BS131" s="614"/>
    </row>
    <row r="132" ht="15.75" customHeight="1">
      <c r="A132" s="616"/>
      <c r="B132" s="661" t="s">
        <v>1336</v>
      </c>
      <c r="C132" s="662"/>
      <c r="D132" s="571"/>
      <c r="E132" s="672">
        <v>20.0</v>
      </c>
      <c r="F132" s="664">
        <v>10.0</v>
      </c>
      <c r="G132" s="665">
        <v>55.0</v>
      </c>
      <c r="H132" s="666">
        <v>15.0</v>
      </c>
      <c r="I132" s="667">
        <v>20.0</v>
      </c>
      <c r="J132" s="668">
        <v>80.0</v>
      </c>
      <c r="K132" s="669">
        <v>200.0</v>
      </c>
      <c r="L132" s="670">
        <v>20.0</v>
      </c>
      <c r="M132" s="664">
        <v>10.0</v>
      </c>
      <c r="N132" s="665">
        <v>55.0</v>
      </c>
      <c r="O132" s="666">
        <v>15.0</v>
      </c>
      <c r="P132" s="667">
        <v>20.0</v>
      </c>
      <c r="Q132" s="668">
        <v>80.0</v>
      </c>
      <c r="R132" s="671">
        <v>200.0</v>
      </c>
      <c r="S132" s="672">
        <v>20.0</v>
      </c>
      <c r="T132" s="664">
        <v>10.0</v>
      </c>
      <c r="U132" s="665">
        <v>55.0</v>
      </c>
      <c r="V132" s="666">
        <v>15.0</v>
      </c>
      <c r="W132" s="667">
        <v>20.0</v>
      </c>
      <c r="X132" s="668">
        <v>80.0</v>
      </c>
      <c r="Y132" s="671">
        <f t="shared" si="1"/>
        <v>200</v>
      </c>
      <c r="Z132" s="571"/>
      <c r="AA132" s="673" t="str">
        <f t="shared" si="2"/>
        <v>#NAME?</v>
      </c>
      <c r="AB132" s="674" t="s">
        <v>32</v>
      </c>
      <c r="AC132" s="675" t="str">
        <f t="shared" si="3"/>
        <v>#NAME?</v>
      </c>
      <c r="AD132" s="680" t="s">
        <v>4428</v>
      </c>
      <c r="AE132" s="676" t="str">
        <f t="shared" si="4"/>
        <v>#NAME?</v>
      </c>
      <c r="AF132" s="674" t="s">
        <v>32</v>
      </c>
      <c r="AG132" s="675" t="str">
        <f t="shared" si="5"/>
        <v>#NAME?</v>
      </c>
      <c r="AH132" s="586" t="s">
        <v>4428</v>
      </c>
      <c r="AI132" s="677" t="str">
        <f t="shared" si="6"/>
        <v>#NAME?</v>
      </c>
      <c r="AJ132" s="586" t="s">
        <v>32</v>
      </c>
      <c r="AK132" s="584" t="str">
        <f t="shared" si="7"/>
        <v>#NAME?</v>
      </c>
      <c r="AL132" s="678" t="s">
        <v>4428</v>
      </c>
      <c r="AM132" s="571"/>
      <c r="AN132" s="679" t="s">
        <v>1212</v>
      </c>
      <c r="AO132" s="680"/>
      <c r="AP132" s="705" t="s">
        <v>1212</v>
      </c>
      <c r="AQ132" s="680"/>
      <c r="AR132" s="705" t="s">
        <v>1212</v>
      </c>
      <c r="AS132" s="680"/>
      <c r="AT132" s="595"/>
      <c r="AU132" s="685"/>
      <c r="AV132" s="686"/>
      <c r="AW132" s="687"/>
      <c r="AX132" s="688"/>
      <c r="AY132" s="571"/>
      <c r="AZ132" s="695" t="s">
        <v>56</v>
      </c>
      <c r="BA132" s="700"/>
      <c r="BB132" s="690"/>
      <c r="BC132" s="571"/>
      <c r="BD132" s="651" t="s">
        <v>683</v>
      </c>
      <c r="BE132" s="653">
        <v>20.0</v>
      </c>
      <c r="BF132" s="653">
        <v>255.0</v>
      </c>
      <c r="BG132" s="654">
        <v>70.0</v>
      </c>
      <c r="BH132" s="653">
        <v>20.0</v>
      </c>
      <c r="BI132" s="607"/>
      <c r="BJ132" s="655" t="s">
        <v>149</v>
      </c>
      <c r="BK132" s="703" t="s">
        <v>149</v>
      </c>
      <c r="BL132" s="610"/>
      <c r="BM132" s="657" t="s">
        <v>1236</v>
      </c>
      <c r="BN132" s="658" t="s">
        <v>61</v>
      </c>
      <c r="BO132" s="607"/>
      <c r="BP132" s="659" t="s">
        <v>1339</v>
      </c>
      <c r="BQ132" s="614"/>
      <c r="BR132" s="660" t="s">
        <v>4429</v>
      </c>
      <c r="BS132" s="614"/>
    </row>
    <row r="133" ht="15.75" customHeight="1">
      <c r="A133" s="616"/>
      <c r="B133" s="617" t="s">
        <v>1343</v>
      </c>
      <c r="C133" s="618"/>
      <c r="D133" s="619"/>
      <c r="E133" s="629">
        <v>95.0</v>
      </c>
      <c r="F133" s="621">
        <v>125.0</v>
      </c>
      <c r="G133" s="622">
        <v>79.0</v>
      </c>
      <c r="H133" s="623">
        <v>60.0</v>
      </c>
      <c r="I133" s="624">
        <v>100.0</v>
      </c>
      <c r="J133" s="625">
        <v>81.0</v>
      </c>
      <c r="K133" s="626">
        <v>540.0</v>
      </c>
      <c r="L133" s="627">
        <v>95.0</v>
      </c>
      <c r="M133" s="621">
        <v>125.0</v>
      </c>
      <c r="N133" s="622">
        <v>79.0</v>
      </c>
      <c r="O133" s="623">
        <v>60.0</v>
      </c>
      <c r="P133" s="624">
        <v>100.0</v>
      </c>
      <c r="Q133" s="625">
        <v>81.0</v>
      </c>
      <c r="R133" s="628">
        <v>540.0</v>
      </c>
      <c r="S133" s="629">
        <v>95.0</v>
      </c>
      <c r="T133" s="621">
        <v>125.0</v>
      </c>
      <c r="U133" s="622">
        <v>79.0</v>
      </c>
      <c r="V133" s="623">
        <v>60.0</v>
      </c>
      <c r="W133" s="624">
        <v>100.0</v>
      </c>
      <c r="X133" s="625">
        <v>81.0</v>
      </c>
      <c r="Y133" s="628">
        <f t="shared" si="1"/>
        <v>540</v>
      </c>
      <c r="Z133" s="619"/>
      <c r="AA133" s="630" t="str">
        <f t="shared" si="2"/>
        <v>#NAME?</v>
      </c>
      <c r="AB133" s="631" t="s">
        <v>32</v>
      </c>
      <c r="AC133" s="632" t="str">
        <f t="shared" si="3"/>
        <v>#NAME?</v>
      </c>
      <c r="AD133" s="630" t="s">
        <v>18</v>
      </c>
      <c r="AE133" s="633" t="str">
        <f t="shared" si="4"/>
        <v>#NAME?</v>
      </c>
      <c r="AF133" s="631" t="s">
        <v>32</v>
      </c>
      <c r="AG133" s="632" t="str">
        <f t="shared" si="5"/>
        <v>#NAME?</v>
      </c>
      <c r="AH133" s="634" t="s">
        <v>18</v>
      </c>
      <c r="AI133" s="635" t="str">
        <f t="shared" si="6"/>
        <v>#NAME?</v>
      </c>
      <c r="AJ133" s="634" t="s">
        <v>32</v>
      </c>
      <c r="AK133" s="636" t="str">
        <f t="shared" si="7"/>
        <v>#NAME?</v>
      </c>
      <c r="AL133" s="637" t="s">
        <v>18</v>
      </c>
      <c r="AM133" s="619"/>
      <c r="AN133" s="638" t="s">
        <v>326</v>
      </c>
      <c r="AO133" s="639"/>
      <c r="AP133" s="712" t="s">
        <v>326</v>
      </c>
      <c r="AQ133" s="639"/>
      <c r="AR133" s="712" t="s">
        <v>326</v>
      </c>
      <c r="AS133" s="639"/>
      <c r="AT133" s="644"/>
      <c r="AU133" s="645"/>
      <c r="AV133" s="646"/>
      <c r="AW133" s="692"/>
      <c r="AX133" s="693"/>
      <c r="AY133" s="619"/>
      <c r="AZ133" s="698" t="s">
        <v>216</v>
      </c>
      <c r="BA133" s="690"/>
      <c r="BB133" s="650"/>
      <c r="BC133" s="619"/>
      <c r="BD133" s="651" t="s">
        <v>683</v>
      </c>
      <c r="BE133" s="653">
        <v>214.0</v>
      </c>
      <c r="BF133" s="653">
        <v>45.0</v>
      </c>
      <c r="BG133" s="654">
        <v>70.0</v>
      </c>
      <c r="BH133" s="653">
        <v>120.0</v>
      </c>
      <c r="BI133" s="607"/>
      <c r="BJ133" s="764" t="s">
        <v>149</v>
      </c>
      <c r="BK133" s="703" t="s">
        <v>149</v>
      </c>
      <c r="BL133" s="610"/>
      <c r="BM133" s="657" t="s">
        <v>1236</v>
      </c>
      <c r="BN133" s="658" t="s">
        <v>61</v>
      </c>
      <c r="BO133" s="607"/>
      <c r="BP133" s="659" t="s">
        <v>1348</v>
      </c>
      <c r="BQ133" s="614"/>
      <c r="BR133" s="660" t="s">
        <v>4430</v>
      </c>
      <c r="BS133" s="614"/>
    </row>
    <row r="134" ht="15.75" customHeight="1">
      <c r="A134" s="616"/>
      <c r="B134" s="661" t="s">
        <v>1352</v>
      </c>
      <c r="C134" s="662"/>
      <c r="D134" s="571"/>
      <c r="E134" s="672">
        <v>130.0</v>
      </c>
      <c r="F134" s="664">
        <v>85.0</v>
      </c>
      <c r="G134" s="665">
        <v>80.0</v>
      </c>
      <c r="H134" s="666">
        <v>85.0</v>
      </c>
      <c r="I134" s="667">
        <v>95.0</v>
      </c>
      <c r="J134" s="668">
        <v>60.0</v>
      </c>
      <c r="K134" s="669">
        <v>535.0</v>
      </c>
      <c r="L134" s="670">
        <v>130.0</v>
      </c>
      <c r="M134" s="664">
        <v>85.0</v>
      </c>
      <c r="N134" s="665">
        <v>80.0</v>
      </c>
      <c r="O134" s="666">
        <v>85.0</v>
      </c>
      <c r="P134" s="667">
        <v>95.0</v>
      </c>
      <c r="Q134" s="668">
        <v>60.0</v>
      </c>
      <c r="R134" s="671">
        <v>535.0</v>
      </c>
      <c r="S134" s="672">
        <v>130.0</v>
      </c>
      <c r="T134" s="664">
        <v>85.0</v>
      </c>
      <c r="U134" s="665">
        <v>80.0</v>
      </c>
      <c r="V134" s="666">
        <v>85.0</v>
      </c>
      <c r="W134" s="667">
        <v>95.0</v>
      </c>
      <c r="X134" s="668">
        <v>60.0</v>
      </c>
      <c r="Y134" s="671">
        <f t="shared" si="1"/>
        <v>535</v>
      </c>
      <c r="Z134" s="571"/>
      <c r="AA134" s="673" t="str">
        <f t="shared" si="2"/>
        <v>#NAME?</v>
      </c>
      <c r="AB134" s="674" t="s">
        <v>32</v>
      </c>
      <c r="AC134" s="675" t="str">
        <f t="shared" si="3"/>
        <v>#NAME?</v>
      </c>
      <c r="AD134" s="673" t="s">
        <v>120</v>
      </c>
      <c r="AE134" s="676" t="str">
        <f t="shared" si="4"/>
        <v>#NAME?</v>
      </c>
      <c r="AF134" s="674" t="s">
        <v>32</v>
      </c>
      <c r="AG134" s="675" t="str">
        <f t="shared" si="5"/>
        <v>#NAME?</v>
      </c>
      <c r="AH134" s="586" t="s">
        <v>120</v>
      </c>
      <c r="AI134" s="677" t="str">
        <f t="shared" si="6"/>
        <v>#NAME?</v>
      </c>
      <c r="AJ134" s="586" t="s">
        <v>32</v>
      </c>
      <c r="AK134" s="584" t="str">
        <f t="shared" si="7"/>
        <v>#NAME?</v>
      </c>
      <c r="AL134" s="678" t="s">
        <v>120</v>
      </c>
      <c r="AM134" s="571"/>
      <c r="AN134" s="679" t="s">
        <v>698</v>
      </c>
      <c r="AO134" s="680" t="s">
        <v>981</v>
      </c>
      <c r="AP134" s="705" t="s">
        <v>698</v>
      </c>
      <c r="AQ134" s="680" t="s">
        <v>981</v>
      </c>
      <c r="AR134" s="705" t="s">
        <v>698</v>
      </c>
      <c r="AS134" s="680" t="s">
        <v>981</v>
      </c>
      <c r="AT134" s="595"/>
      <c r="AU134" s="685" t="str">
        <f>image("https://www.pokebip.com/pages/icones/objets/eau-mystique.png", 3)</f>
        <v/>
      </c>
      <c r="AV134" s="686" t="s">
        <v>1356</v>
      </c>
      <c r="AW134" s="687"/>
      <c r="AX134" s="688"/>
      <c r="AY134" s="571"/>
      <c r="AZ134" s="689" t="s">
        <v>409</v>
      </c>
      <c r="BA134" s="690"/>
      <c r="BB134" s="696"/>
      <c r="BC134" s="571"/>
      <c r="BD134" s="651" t="s">
        <v>683</v>
      </c>
      <c r="BE134" s="653">
        <v>219.0</v>
      </c>
      <c r="BF134" s="653">
        <v>45.0</v>
      </c>
      <c r="BG134" s="654">
        <v>70.0</v>
      </c>
      <c r="BH134" s="653">
        <v>120.0</v>
      </c>
      <c r="BI134" s="607"/>
      <c r="BJ134" s="655" t="s">
        <v>149</v>
      </c>
      <c r="BK134" s="703" t="s">
        <v>149</v>
      </c>
      <c r="BL134" s="610"/>
      <c r="BM134" s="657" t="s">
        <v>14</v>
      </c>
      <c r="BN134" s="658" t="s">
        <v>106</v>
      </c>
      <c r="BO134" s="607"/>
      <c r="BP134" s="659" t="s">
        <v>914</v>
      </c>
      <c r="BQ134" s="614"/>
      <c r="BR134" s="660" t="s">
        <v>4430</v>
      </c>
      <c r="BS134" s="614"/>
    </row>
    <row r="135" ht="15.75" customHeight="1">
      <c r="A135" s="616"/>
      <c r="B135" s="617" t="s">
        <v>1360</v>
      </c>
      <c r="C135" s="618"/>
      <c r="D135" s="619"/>
      <c r="E135" s="629">
        <v>48.0</v>
      </c>
      <c r="F135" s="621">
        <v>48.0</v>
      </c>
      <c r="G135" s="622">
        <v>48.0</v>
      </c>
      <c r="H135" s="623">
        <v>48.0</v>
      </c>
      <c r="I135" s="624">
        <v>48.0</v>
      </c>
      <c r="J135" s="625">
        <v>48.0</v>
      </c>
      <c r="K135" s="626">
        <v>288.0</v>
      </c>
      <c r="L135" s="627">
        <v>48.0</v>
      </c>
      <c r="M135" s="621">
        <v>48.0</v>
      </c>
      <c r="N135" s="622">
        <v>48.0</v>
      </c>
      <c r="O135" s="623">
        <v>48.0</v>
      </c>
      <c r="P135" s="624">
        <v>48.0</v>
      </c>
      <c r="Q135" s="625">
        <v>48.0</v>
      </c>
      <c r="R135" s="628">
        <v>288.0</v>
      </c>
      <c r="S135" s="629">
        <v>48.0</v>
      </c>
      <c r="T135" s="621">
        <v>48.0</v>
      </c>
      <c r="U135" s="622">
        <v>48.0</v>
      </c>
      <c r="V135" s="623">
        <v>48.0</v>
      </c>
      <c r="W135" s="624">
        <v>48.0</v>
      </c>
      <c r="X135" s="625">
        <v>48.0</v>
      </c>
      <c r="Y135" s="628">
        <f t="shared" si="1"/>
        <v>288</v>
      </c>
      <c r="Z135" s="619"/>
      <c r="AA135" s="630" t="str">
        <f t="shared" si="2"/>
        <v>#NAME?</v>
      </c>
      <c r="AB135" s="631" t="s">
        <v>156</v>
      </c>
      <c r="AC135" s="632" t="str">
        <f t="shared" si="3"/>
        <v>#NAME?</v>
      </c>
      <c r="AD135" s="639" t="s">
        <v>4428</v>
      </c>
      <c r="AE135" s="633" t="str">
        <f t="shared" si="4"/>
        <v>#NAME?</v>
      </c>
      <c r="AF135" s="631" t="s">
        <v>156</v>
      </c>
      <c r="AG135" s="632" t="str">
        <f t="shared" si="5"/>
        <v>#NAME?</v>
      </c>
      <c r="AH135" s="634" t="s">
        <v>4428</v>
      </c>
      <c r="AI135" s="635" t="str">
        <f t="shared" si="6"/>
        <v>#NAME?</v>
      </c>
      <c r="AJ135" s="634" t="s">
        <v>156</v>
      </c>
      <c r="AK135" s="636" t="str">
        <f t="shared" si="7"/>
        <v>#NAME?</v>
      </c>
      <c r="AL135" s="637" t="s">
        <v>4428</v>
      </c>
      <c r="AM135" s="619"/>
      <c r="AN135" s="638" t="s">
        <v>639</v>
      </c>
      <c r="AO135" s="639"/>
      <c r="AP135" s="712" t="s">
        <v>639</v>
      </c>
      <c r="AQ135" s="639"/>
      <c r="AR135" s="712" t="s">
        <v>639</v>
      </c>
      <c r="AS135" s="639"/>
      <c r="AT135" s="644"/>
      <c r="AU135" s="645" t="str">
        <f>image("https://www.pokebip.com/pages/icones/objets/poudre-vite.png", 3)</f>
        <v/>
      </c>
      <c r="AV135" s="646" t="s">
        <v>1363</v>
      </c>
      <c r="AW135" s="692" t="str">
        <f>image("https://www.pokebip.com/pages/icones/objets/poudre-metal.png", 3)</f>
        <v/>
      </c>
      <c r="AX135" s="693" t="s">
        <v>1364</v>
      </c>
      <c r="AY135" s="619"/>
      <c r="AZ135" s="648" t="s">
        <v>144</v>
      </c>
      <c r="BA135" s="694"/>
      <c r="BB135" s="690"/>
      <c r="BC135" s="619"/>
      <c r="BD135" s="651" t="s">
        <v>150</v>
      </c>
      <c r="BE135" s="653">
        <v>61.0</v>
      </c>
      <c r="BF135" s="653">
        <v>35.0</v>
      </c>
      <c r="BG135" s="654">
        <v>70.0</v>
      </c>
      <c r="BH135" s="653">
        <v>20.0</v>
      </c>
      <c r="BI135" s="607"/>
      <c r="BJ135" s="768" t="s">
        <v>890</v>
      </c>
      <c r="BK135" s="766"/>
      <c r="BL135" s="610"/>
      <c r="BM135" s="657" t="s">
        <v>1359</v>
      </c>
      <c r="BN135" s="704"/>
      <c r="BO135" s="607"/>
      <c r="BP135" s="659" t="s">
        <v>914</v>
      </c>
      <c r="BQ135" s="614"/>
      <c r="BR135" s="660" t="s">
        <v>4434</v>
      </c>
      <c r="BS135" s="614"/>
    </row>
    <row r="136" ht="15.75" customHeight="1">
      <c r="A136" s="616"/>
      <c r="B136" s="661" t="s">
        <v>1368</v>
      </c>
      <c r="C136" s="662"/>
      <c r="D136" s="571"/>
      <c r="E136" s="672">
        <v>55.0</v>
      </c>
      <c r="F136" s="664">
        <v>55.0</v>
      </c>
      <c r="G136" s="665">
        <v>50.0</v>
      </c>
      <c r="H136" s="666">
        <v>45.0</v>
      </c>
      <c r="I136" s="667">
        <v>65.0</v>
      </c>
      <c r="J136" s="668">
        <v>55.0</v>
      </c>
      <c r="K136" s="669">
        <v>325.0</v>
      </c>
      <c r="L136" s="670">
        <v>55.0</v>
      </c>
      <c r="M136" s="664">
        <v>55.0</v>
      </c>
      <c r="N136" s="665">
        <v>50.0</v>
      </c>
      <c r="O136" s="666">
        <v>45.0</v>
      </c>
      <c r="P136" s="667">
        <v>65.0</v>
      </c>
      <c r="Q136" s="668">
        <v>55.0</v>
      </c>
      <c r="R136" s="671">
        <v>325.0</v>
      </c>
      <c r="S136" s="672">
        <v>55.0</v>
      </c>
      <c r="T136" s="664">
        <v>55.0</v>
      </c>
      <c r="U136" s="665">
        <v>50.0</v>
      </c>
      <c r="V136" s="666">
        <v>45.0</v>
      </c>
      <c r="W136" s="667">
        <v>65.0</v>
      </c>
      <c r="X136" s="668">
        <v>55.0</v>
      </c>
      <c r="Y136" s="671">
        <f t="shared" si="1"/>
        <v>325</v>
      </c>
      <c r="Z136" s="571"/>
      <c r="AA136" s="673" t="str">
        <f t="shared" si="2"/>
        <v>#NAME?</v>
      </c>
      <c r="AB136" s="674" t="s">
        <v>156</v>
      </c>
      <c r="AC136" s="675" t="str">
        <f t="shared" si="3"/>
        <v>#NAME?</v>
      </c>
      <c r="AD136" s="680" t="s">
        <v>4428</v>
      </c>
      <c r="AE136" s="676" t="str">
        <f t="shared" si="4"/>
        <v>#NAME?</v>
      </c>
      <c r="AF136" s="674" t="s">
        <v>156</v>
      </c>
      <c r="AG136" s="675" t="str">
        <f t="shared" si="5"/>
        <v>#NAME?</v>
      </c>
      <c r="AH136" s="586" t="s">
        <v>4428</v>
      </c>
      <c r="AI136" s="677" t="str">
        <f t="shared" si="6"/>
        <v>#NAME?</v>
      </c>
      <c r="AJ136" s="586" t="s">
        <v>156</v>
      </c>
      <c r="AK136" s="584" t="str">
        <f t="shared" si="7"/>
        <v>#NAME?</v>
      </c>
      <c r="AL136" s="678" t="s">
        <v>4428</v>
      </c>
      <c r="AM136" s="571"/>
      <c r="AN136" s="679" t="s">
        <v>146</v>
      </c>
      <c r="AO136" s="680" t="s">
        <v>1371</v>
      </c>
      <c r="AP136" s="705" t="s">
        <v>146</v>
      </c>
      <c r="AQ136" s="680" t="s">
        <v>1371</v>
      </c>
      <c r="AR136" s="705" t="s">
        <v>146</v>
      </c>
      <c r="AS136" s="680" t="s">
        <v>1371</v>
      </c>
      <c r="AT136" s="595"/>
      <c r="AU136" s="685"/>
      <c r="AV136" s="686"/>
      <c r="AW136" s="687"/>
      <c r="AX136" s="688"/>
      <c r="AY136" s="571"/>
      <c r="AZ136" s="695" t="s">
        <v>27</v>
      </c>
      <c r="BA136" s="700"/>
      <c r="BB136" s="690"/>
      <c r="BC136" s="571"/>
      <c r="BD136" s="651" t="s">
        <v>150</v>
      </c>
      <c r="BE136" s="653">
        <v>92.0</v>
      </c>
      <c r="BF136" s="653">
        <v>45.0</v>
      </c>
      <c r="BG136" s="654">
        <v>70.0</v>
      </c>
      <c r="BH136" s="653">
        <v>20.0</v>
      </c>
      <c r="BI136" s="607"/>
      <c r="BJ136" s="655" t="s">
        <v>13</v>
      </c>
      <c r="BK136" s="779">
        <v>0.125</v>
      </c>
      <c r="BL136" s="610"/>
      <c r="BM136" s="657" t="s">
        <v>277</v>
      </c>
      <c r="BN136" s="704"/>
      <c r="BO136" s="607"/>
      <c r="BP136" s="659" t="s">
        <v>1372</v>
      </c>
      <c r="BQ136" s="614"/>
      <c r="BR136" s="660" t="s">
        <v>4432</v>
      </c>
      <c r="BS136" s="614"/>
    </row>
    <row r="137" ht="15.75" customHeight="1">
      <c r="A137" s="616"/>
      <c r="B137" s="617" t="s">
        <v>1376</v>
      </c>
      <c r="C137" s="618"/>
      <c r="D137" s="619"/>
      <c r="E137" s="629">
        <v>130.0</v>
      </c>
      <c r="F137" s="621">
        <v>65.0</v>
      </c>
      <c r="G137" s="622">
        <v>60.0</v>
      </c>
      <c r="H137" s="623">
        <v>110.0</v>
      </c>
      <c r="I137" s="624">
        <v>95.0</v>
      </c>
      <c r="J137" s="625">
        <v>65.0</v>
      </c>
      <c r="K137" s="626">
        <v>525.0</v>
      </c>
      <c r="L137" s="627">
        <v>130.0</v>
      </c>
      <c r="M137" s="621">
        <v>65.0</v>
      </c>
      <c r="N137" s="622">
        <v>60.0</v>
      </c>
      <c r="O137" s="623">
        <v>110.0</v>
      </c>
      <c r="P137" s="624">
        <v>95.0</v>
      </c>
      <c r="Q137" s="625">
        <v>65.0</v>
      </c>
      <c r="R137" s="628">
        <v>525.0</v>
      </c>
      <c r="S137" s="629">
        <v>130.0</v>
      </c>
      <c r="T137" s="621">
        <v>65.0</v>
      </c>
      <c r="U137" s="622">
        <v>60.0</v>
      </c>
      <c r="V137" s="623">
        <v>110.0</v>
      </c>
      <c r="W137" s="624">
        <v>95.0</v>
      </c>
      <c r="X137" s="625">
        <v>65.0</v>
      </c>
      <c r="Y137" s="628">
        <f t="shared" si="1"/>
        <v>525</v>
      </c>
      <c r="Z137" s="619"/>
      <c r="AA137" s="630" t="str">
        <f t="shared" si="2"/>
        <v>#NAME?</v>
      </c>
      <c r="AB137" s="631" t="s">
        <v>32</v>
      </c>
      <c r="AC137" s="632" t="str">
        <f t="shared" si="3"/>
        <v>#NAME?</v>
      </c>
      <c r="AD137" s="639" t="s">
        <v>4428</v>
      </c>
      <c r="AE137" s="633" t="str">
        <f t="shared" si="4"/>
        <v>#NAME?</v>
      </c>
      <c r="AF137" s="631" t="s">
        <v>32</v>
      </c>
      <c r="AG137" s="632" t="str">
        <f t="shared" si="5"/>
        <v>#NAME?</v>
      </c>
      <c r="AH137" s="634" t="s">
        <v>4428</v>
      </c>
      <c r="AI137" s="635" t="str">
        <f t="shared" si="6"/>
        <v>#NAME?</v>
      </c>
      <c r="AJ137" s="634" t="s">
        <v>32</v>
      </c>
      <c r="AK137" s="636" t="str">
        <f t="shared" si="7"/>
        <v>#NAME?</v>
      </c>
      <c r="AL137" s="637" t="s">
        <v>4428</v>
      </c>
      <c r="AM137" s="619"/>
      <c r="AN137" s="638" t="s">
        <v>698</v>
      </c>
      <c r="AO137" s="639"/>
      <c r="AP137" s="712" t="s">
        <v>698</v>
      </c>
      <c r="AQ137" s="639"/>
      <c r="AR137" s="712" t="s">
        <v>698</v>
      </c>
      <c r="AS137" s="639"/>
      <c r="AT137" s="644"/>
      <c r="AU137" s="645"/>
      <c r="AV137" s="646"/>
      <c r="AW137" s="692"/>
      <c r="AX137" s="693"/>
      <c r="AY137" s="619"/>
      <c r="AZ137" s="698" t="s">
        <v>409</v>
      </c>
      <c r="BA137" s="690"/>
      <c r="BB137" s="650"/>
      <c r="BC137" s="619"/>
      <c r="BD137" s="651" t="s">
        <v>150</v>
      </c>
      <c r="BE137" s="653">
        <v>196.0</v>
      </c>
      <c r="BF137" s="653">
        <v>45.0</v>
      </c>
      <c r="BG137" s="654">
        <v>70.0</v>
      </c>
      <c r="BH137" s="653">
        <v>60.0</v>
      </c>
      <c r="BI137" s="607"/>
      <c r="BJ137" s="655" t="s">
        <v>13</v>
      </c>
      <c r="BK137" s="780">
        <v>0.125</v>
      </c>
      <c r="BL137" s="610"/>
      <c r="BM137" s="657" t="s">
        <v>277</v>
      </c>
      <c r="BN137" s="704"/>
      <c r="BO137" s="607"/>
      <c r="BP137" s="659" t="s">
        <v>1380</v>
      </c>
      <c r="BQ137" s="614"/>
      <c r="BR137" s="660" t="s">
        <v>4430</v>
      </c>
      <c r="BS137" s="614"/>
    </row>
    <row r="138" ht="15.75" customHeight="1">
      <c r="A138" s="616"/>
      <c r="B138" s="661" t="s">
        <v>1384</v>
      </c>
      <c r="C138" s="662"/>
      <c r="D138" s="571"/>
      <c r="E138" s="672">
        <v>65.0</v>
      </c>
      <c r="F138" s="664">
        <v>65.0</v>
      </c>
      <c r="G138" s="665">
        <v>60.0</v>
      </c>
      <c r="H138" s="666">
        <v>110.0</v>
      </c>
      <c r="I138" s="667">
        <v>95.0</v>
      </c>
      <c r="J138" s="668">
        <v>130.0</v>
      </c>
      <c r="K138" s="669">
        <v>525.0</v>
      </c>
      <c r="L138" s="670">
        <v>65.0</v>
      </c>
      <c r="M138" s="664">
        <v>65.0</v>
      </c>
      <c r="N138" s="665">
        <v>60.0</v>
      </c>
      <c r="O138" s="666">
        <v>110.0</v>
      </c>
      <c r="P138" s="667">
        <v>95.0</v>
      </c>
      <c r="Q138" s="668">
        <v>130.0</v>
      </c>
      <c r="R138" s="671">
        <v>525.0</v>
      </c>
      <c r="S138" s="672">
        <v>65.0</v>
      </c>
      <c r="T138" s="664">
        <v>65.0</v>
      </c>
      <c r="U138" s="665">
        <v>60.0</v>
      </c>
      <c r="V138" s="666">
        <v>110.0</v>
      </c>
      <c r="W138" s="667">
        <v>95.0</v>
      </c>
      <c r="X138" s="668">
        <v>130.0</v>
      </c>
      <c r="Y138" s="671">
        <f t="shared" si="1"/>
        <v>525</v>
      </c>
      <c r="Z138" s="571"/>
      <c r="AA138" s="673" t="str">
        <f t="shared" si="2"/>
        <v>#NAME?</v>
      </c>
      <c r="AB138" s="674" t="s">
        <v>197</v>
      </c>
      <c r="AC138" s="675" t="str">
        <f t="shared" si="3"/>
        <v>#NAME?</v>
      </c>
      <c r="AD138" s="680" t="s">
        <v>4428</v>
      </c>
      <c r="AE138" s="676" t="str">
        <f t="shared" si="4"/>
        <v>#NAME?</v>
      </c>
      <c r="AF138" s="674" t="s">
        <v>197</v>
      </c>
      <c r="AG138" s="675" t="str">
        <f t="shared" si="5"/>
        <v>#NAME?</v>
      </c>
      <c r="AH138" s="586" t="s">
        <v>4428</v>
      </c>
      <c r="AI138" s="677" t="str">
        <f t="shared" si="6"/>
        <v>#NAME?</v>
      </c>
      <c r="AJ138" s="586" t="s">
        <v>197</v>
      </c>
      <c r="AK138" s="584" t="str">
        <f t="shared" si="7"/>
        <v>#NAME?</v>
      </c>
      <c r="AL138" s="678" t="s">
        <v>4428</v>
      </c>
      <c r="AM138" s="571"/>
      <c r="AN138" s="679" t="s">
        <v>1387</v>
      </c>
      <c r="AO138" s="680"/>
      <c r="AP138" s="705" t="s">
        <v>1387</v>
      </c>
      <c r="AQ138" s="680"/>
      <c r="AR138" s="705" t="s">
        <v>1387</v>
      </c>
      <c r="AS138" s="680"/>
      <c r="AT138" s="595"/>
      <c r="AU138" s="685"/>
      <c r="AV138" s="686"/>
      <c r="AW138" s="687"/>
      <c r="AX138" s="688"/>
      <c r="AY138" s="571"/>
      <c r="AZ138" s="689" t="s">
        <v>248</v>
      </c>
      <c r="BA138" s="690"/>
      <c r="BB138" s="696"/>
      <c r="BC138" s="571"/>
      <c r="BD138" s="651" t="s">
        <v>150</v>
      </c>
      <c r="BE138" s="653">
        <v>197.0</v>
      </c>
      <c r="BF138" s="653">
        <v>45.0</v>
      </c>
      <c r="BG138" s="654">
        <v>70.0</v>
      </c>
      <c r="BH138" s="653">
        <v>40.0</v>
      </c>
      <c r="BI138" s="607"/>
      <c r="BJ138" s="764" t="s">
        <v>13</v>
      </c>
      <c r="BK138" s="779">
        <v>0.125</v>
      </c>
      <c r="BL138" s="610"/>
      <c r="BM138" s="657" t="s">
        <v>277</v>
      </c>
      <c r="BN138" s="704"/>
      <c r="BO138" s="607"/>
      <c r="BP138" s="659" t="s">
        <v>1389</v>
      </c>
      <c r="BQ138" s="614"/>
      <c r="BR138" s="660" t="s">
        <v>4433</v>
      </c>
      <c r="BS138" s="614"/>
    </row>
    <row r="139" ht="15.75" customHeight="1">
      <c r="A139" s="616"/>
      <c r="B139" s="617" t="s">
        <v>1393</v>
      </c>
      <c r="C139" s="618"/>
      <c r="D139" s="619"/>
      <c r="E139" s="629">
        <v>65.0</v>
      </c>
      <c r="F139" s="621">
        <v>130.0</v>
      </c>
      <c r="G139" s="622">
        <v>60.0</v>
      </c>
      <c r="H139" s="623">
        <v>95.0</v>
      </c>
      <c r="I139" s="624">
        <v>110.0</v>
      </c>
      <c r="J139" s="625">
        <v>65.0</v>
      </c>
      <c r="K139" s="626">
        <v>525.0</v>
      </c>
      <c r="L139" s="627">
        <v>65.0</v>
      </c>
      <c r="M139" s="621">
        <v>130.0</v>
      </c>
      <c r="N139" s="622">
        <v>60.0</v>
      </c>
      <c r="O139" s="623">
        <v>95.0</v>
      </c>
      <c r="P139" s="624">
        <v>110.0</v>
      </c>
      <c r="Q139" s="625">
        <v>65.0</v>
      </c>
      <c r="R139" s="628">
        <v>525.0</v>
      </c>
      <c r="S139" s="778">
        <v>110.0</v>
      </c>
      <c r="T139" s="750">
        <v>130.0</v>
      </c>
      <c r="U139" s="622">
        <v>60.0</v>
      </c>
      <c r="V139" s="748">
        <v>65.0</v>
      </c>
      <c r="W139" s="752">
        <v>65.0</v>
      </c>
      <c r="X139" s="753">
        <v>95.0</v>
      </c>
      <c r="Y139" s="628">
        <f t="shared" si="1"/>
        <v>525</v>
      </c>
      <c r="Z139" s="619"/>
      <c r="AA139" s="630" t="str">
        <f t="shared" si="2"/>
        <v>#NAME?</v>
      </c>
      <c r="AB139" s="631" t="s">
        <v>34</v>
      </c>
      <c r="AC139" s="632" t="str">
        <f t="shared" si="3"/>
        <v>#NAME?</v>
      </c>
      <c r="AD139" s="639" t="s">
        <v>4428</v>
      </c>
      <c r="AE139" s="633" t="str">
        <f t="shared" si="4"/>
        <v>#NAME?</v>
      </c>
      <c r="AF139" s="631" t="s">
        <v>34</v>
      </c>
      <c r="AG139" s="632" t="str">
        <f t="shared" si="5"/>
        <v>#NAME?</v>
      </c>
      <c r="AH139" s="634" t="s">
        <v>4428</v>
      </c>
      <c r="AI139" s="635" t="str">
        <f t="shared" si="6"/>
        <v>#NAME?</v>
      </c>
      <c r="AJ139" s="634" t="s">
        <v>34</v>
      </c>
      <c r="AK139" s="636" t="str">
        <f t="shared" si="7"/>
        <v>#NAME?</v>
      </c>
      <c r="AL139" s="637" t="s">
        <v>4428</v>
      </c>
      <c r="AM139" s="619"/>
      <c r="AN139" s="638" t="s">
        <v>486</v>
      </c>
      <c r="AO139" s="639"/>
      <c r="AP139" s="712" t="s">
        <v>486</v>
      </c>
      <c r="AQ139" s="639"/>
      <c r="AR139" s="712" t="s">
        <v>486</v>
      </c>
      <c r="AS139" s="639"/>
      <c r="AT139" s="644"/>
      <c r="AU139" s="645"/>
      <c r="AV139" s="646"/>
      <c r="AW139" s="692"/>
      <c r="AX139" s="693"/>
      <c r="AY139" s="619"/>
      <c r="AZ139" s="698" t="s">
        <v>216</v>
      </c>
      <c r="BA139" s="690"/>
      <c r="BB139" s="650"/>
      <c r="BC139" s="619"/>
      <c r="BD139" s="651" t="s">
        <v>150</v>
      </c>
      <c r="BE139" s="653">
        <v>198.0</v>
      </c>
      <c r="BF139" s="653">
        <v>45.0</v>
      </c>
      <c r="BG139" s="654">
        <v>70.0</v>
      </c>
      <c r="BH139" s="653">
        <v>40.0</v>
      </c>
      <c r="BI139" s="607"/>
      <c r="BJ139" s="655" t="s">
        <v>13</v>
      </c>
      <c r="BK139" s="780">
        <v>0.125</v>
      </c>
      <c r="BL139" s="610"/>
      <c r="BM139" s="657" t="s">
        <v>277</v>
      </c>
      <c r="BN139" s="704"/>
      <c r="BO139" s="607"/>
      <c r="BP139" s="659" t="s">
        <v>1397</v>
      </c>
      <c r="BQ139" s="614"/>
      <c r="BR139" s="660" t="s">
        <v>4429</v>
      </c>
      <c r="BS139" s="614"/>
    </row>
    <row r="140" ht="15.75" customHeight="1">
      <c r="A140" s="616"/>
      <c r="B140" s="661" t="s">
        <v>1401</v>
      </c>
      <c r="C140" s="662"/>
      <c r="D140" s="571"/>
      <c r="E140" s="672">
        <v>65.0</v>
      </c>
      <c r="F140" s="664">
        <v>60.0</v>
      </c>
      <c r="G140" s="665">
        <v>70.0</v>
      </c>
      <c r="H140" s="666">
        <v>85.0</v>
      </c>
      <c r="I140" s="667">
        <v>75.0</v>
      </c>
      <c r="J140" s="668">
        <v>40.0</v>
      </c>
      <c r="K140" s="669">
        <v>395.0</v>
      </c>
      <c r="L140" s="670">
        <v>65.0</v>
      </c>
      <c r="M140" s="664">
        <v>60.0</v>
      </c>
      <c r="N140" s="665">
        <v>70.0</v>
      </c>
      <c r="O140" s="666">
        <v>85.0</v>
      </c>
      <c r="P140" s="667">
        <v>75.0</v>
      </c>
      <c r="Q140" s="668">
        <v>40.0</v>
      </c>
      <c r="R140" s="671">
        <v>395.0</v>
      </c>
      <c r="S140" s="672">
        <v>65.0</v>
      </c>
      <c r="T140" s="664">
        <v>60.0</v>
      </c>
      <c r="U140" s="665">
        <v>70.0</v>
      </c>
      <c r="V140" s="666">
        <v>85.0</v>
      </c>
      <c r="W140" s="667">
        <v>75.0</v>
      </c>
      <c r="X140" s="668">
        <v>40.0</v>
      </c>
      <c r="Y140" s="671">
        <f t="shared" si="1"/>
        <v>395</v>
      </c>
      <c r="Z140" s="571"/>
      <c r="AA140" s="673" t="str">
        <f t="shared" si="2"/>
        <v>#NAME?</v>
      </c>
      <c r="AB140" s="674" t="s">
        <v>156</v>
      </c>
      <c r="AC140" s="675" t="str">
        <f t="shared" si="3"/>
        <v>#NAME?</v>
      </c>
      <c r="AD140" s="680" t="s">
        <v>4428</v>
      </c>
      <c r="AE140" s="676" t="str">
        <f t="shared" si="4"/>
        <v>#NAME?</v>
      </c>
      <c r="AF140" s="674" t="s">
        <v>156</v>
      </c>
      <c r="AG140" s="675" t="str">
        <f t="shared" si="5"/>
        <v>#NAME?</v>
      </c>
      <c r="AH140" s="586" t="s">
        <v>4428</v>
      </c>
      <c r="AI140" s="677" t="str">
        <f t="shared" si="6"/>
        <v>#NAME?</v>
      </c>
      <c r="AJ140" s="586" t="s">
        <v>156</v>
      </c>
      <c r="AK140" s="584" t="str">
        <f t="shared" si="7"/>
        <v>#NAME?</v>
      </c>
      <c r="AL140" s="678" t="s">
        <v>4428</v>
      </c>
      <c r="AM140" s="571"/>
      <c r="AN140" s="679" t="s">
        <v>1404</v>
      </c>
      <c r="AO140" s="680" t="s">
        <v>1405</v>
      </c>
      <c r="AP140" s="705" t="s">
        <v>1404</v>
      </c>
      <c r="AQ140" s="680" t="s">
        <v>1405</v>
      </c>
      <c r="AR140" s="705" t="s">
        <v>1404</v>
      </c>
      <c r="AS140" s="680" t="s">
        <v>1405</v>
      </c>
      <c r="AT140" s="595"/>
      <c r="AU140" s="685"/>
      <c r="AV140" s="686"/>
      <c r="AW140" s="687"/>
      <c r="AX140" s="688"/>
      <c r="AY140" s="571"/>
      <c r="AZ140" s="695" t="s">
        <v>4</v>
      </c>
      <c r="BA140" s="700"/>
      <c r="BB140" s="690"/>
      <c r="BC140" s="571"/>
      <c r="BD140" s="651" t="s">
        <v>150</v>
      </c>
      <c r="BE140" s="653">
        <v>130.0</v>
      </c>
      <c r="BF140" s="653">
        <v>45.0</v>
      </c>
      <c r="BG140" s="654">
        <v>70.0</v>
      </c>
      <c r="BH140" s="653">
        <v>60.0</v>
      </c>
      <c r="BI140" s="607"/>
      <c r="BJ140" s="765" t="s">
        <v>890</v>
      </c>
      <c r="BK140" s="766"/>
      <c r="BL140" s="610"/>
      <c r="BM140" s="767" t="s">
        <v>826</v>
      </c>
      <c r="BN140" s="704"/>
      <c r="BO140" s="607"/>
      <c r="BP140" s="659" t="s">
        <v>1407</v>
      </c>
      <c r="BQ140" s="614"/>
      <c r="BR140" s="660" t="s">
        <v>4435</v>
      </c>
      <c r="BS140" s="614"/>
    </row>
    <row r="141" ht="15.75" customHeight="1">
      <c r="A141" s="616"/>
      <c r="B141" s="617" t="s">
        <v>1411</v>
      </c>
      <c r="C141" s="618"/>
      <c r="D141" s="619"/>
      <c r="E141" s="629">
        <v>35.0</v>
      </c>
      <c r="F141" s="621">
        <v>40.0</v>
      </c>
      <c r="G141" s="622">
        <v>100.0</v>
      </c>
      <c r="H141" s="623">
        <v>90.0</v>
      </c>
      <c r="I141" s="624">
        <v>55.0</v>
      </c>
      <c r="J141" s="625">
        <v>35.0</v>
      </c>
      <c r="K141" s="626">
        <v>355.0</v>
      </c>
      <c r="L141" s="627">
        <v>35.0</v>
      </c>
      <c r="M141" s="621">
        <v>40.0</v>
      </c>
      <c r="N141" s="622">
        <v>100.0</v>
      </c>
      <c r="O141" s="623">
        <v>90.0</v>
      </c>
      <c r="P141" s="624">
        <v>55.0</v>
      </c>
      <c r="Q141" s="625">
        <v>35.0</v>
      </c>
      <c r="R141" s="628">
        <v>355.0</v>
      </c>
      <c r="S141" s="629">
        <v>35.0</v>
      </c>
      <c r="T141" s="621">
        <v>40.0</v>
      </c>
      <c r="U141" s="622">
        <v>100.0</v>
      </c>
      <c r="V141" s="623">
        <v>90.0</v>
      </c>
      <c r="W141" s="624">
        <v>55.0</v>
      </c>
      <c r="X141" s="625">
        <v>35.0</v>
      </c>
      <c r="Y141" s="628">
        <f t="shared" si="1"/>
        <v>355</v>
      </c>
      <c r="Z141" s="619"/>
      <c r="AA141" s="630" t="str">
        <f t="shared" si="2"/>
        <v>#NAME?</v>
      </c>
      <c r="AB141" s="631" t="s">
        <v>66</v>
      </c>
      <c r="AC141" s="632" t="str">
        <f t="shared" si="3"/>
        <v>#NAME?</v>
      </c>
      <c r="AD141" s="630" t="s">
        <v>32</v>
      </c>
      <c r="AE141" s="633" t="str">
        <f t="shared" si="4"/>
        <v>#NAME?</v>
      </c>
      <c r="AF141" s="631" t="s">
        <v>66</v>
      </c>
      <c r="AG141" s="632" t="str">
        <f t="shared" si="5"/>
        <v>#NAME?</v>
      </c>
      <c r="AH141" s="634" t="s">
        <v>32</v>
      </c>
      <c r="AI141" s="635" t="str">
        <f t="shared" si="6"/>
        <v>#NAME?</v>
      </c>
      <c r="AJ141" s="634" t="s">
        <v>66</v>
      </c>
      <c r="AK141" s="636" t="str">
        <f t="shared" si="7"/>
        <v>#NAME?</v>
      </c>
      <c r="AL141" s="637" t="s">
        <v>32</v>
      </c>
      <c r="AM141" s="619"/>
      <c r="AN141" s="638" t="s">
        <v>1212</v>
      </c>
      <c r="AO141" s="639" t="s">
        <v>981</v>
      </c>
      <c r="AP141" s="712" t="s">
        <v>1212</v>
      </c>
      <c r="AQ141" s="639" t="s">
        <v>981</v>
      </c>
      <c r="AR141" s="712" t="s">
        <v>1212</v>
      </c>
      <c r="AS141" s="639" t="s">
        <v>981</v>
      </c>
      <c r="AT141" s="644"/>
      <c r="AU141" s="645"/>
      <c r="AV141" s="646"/>
      <c r="AW141" s="692"/>
      <c r="AX141" s="693"/>
      <c r="AY141" s="619"/>
      <c r="AZ141" s="648" t="s">
        <v>101</v>
      </c>
      <c r="BA141" s="694"/>
      <c r="BB141" s="690"/>
      <c r="BC141" s="619"/>
      <c r="BD141" s="651" t="s">
        <v>150</v>
      </c>
      <c r="BE141" s="653">
        <v>99.0</v>
      </c>
      <c r="BF141" s="653">
        <v>45.0</v>
      </c>
      <c r="BG141" s="654">
        <v>70.0</v>
      </c>
      <c r="BH141" s="653">
        <v>20.0</v>
      </c>
      <c r="BI141" s="607"/>
      <c r="BJ141" s="655" t="s">
        <v>13</v>
      </c>
      <c r="BK141" s="780">
        <v>0.125</v>
      </c>
      <c r="BL141" s="610"/>
      <c r="BM141" s="657" t="s">
        <v>106</v>
      </c>
      <c r="BN141" s="658" t="s">
        <v>807</v>
      </c>
      <c r="BO141" s="607"/>
      <c r="BP141" s="659" t="s">
        <v>1415</v>
      </c>
      <c r="BQ141" s="614"/>
      <c r="BR141" s="660" t="s">
        <v>4430</v>
      </c>
      <c r="BS141" s="614"/>
    </row>
    <row r="142" ht="15.75" customHeight="1">
      <c r="A142" s="616"/>
      <c r="B142" s="661" t="s">
        <v>1419</v>
      </c>
      <c r="C142" s="662"/>
      <c r="D142" s="571"/>
      <c r="E142" s="672">
        <v>70.0</v>
      </c>
      <c r="F142" s="664">
        <v>60.0</v>
      </c>
      <c r="G142" s="665">
        <v>125.0</v>
      </c>
      <c r="H142" s="666">
        <v>115.0</v>
      </c>
      <c r="I142" s="667">
        <v>70.0</v>
      </c>
      <c r="J142" s="668">
        <v>55.0</v>
      </c>
      <c r="K142" s="669">
        <v>495.0</v>
      </c>
      <c r="L142" s="670">
        <v>70.0</v>
      </c>
      <c r="M142" s="664">
        <v>60.0</v>
      </c>
      <c r="N142" s="665">
        <v>125.0</v>
      </c>
      <c r="O142" s="666">
        <v>115.0</v>
      </c>
      <c r="P142" s="667">
        <v>70.0</v>
      </c>
      <c r="Q142" s="668">
        <v>55.0</v>
      </c>
      <c r="R142" s="671">
        <v>495.0</v>
      </c>
      <c r="S142" s="672">
        <v>70.0</v>
      </c>
      <c r="T142" s="664">
        <v>60.0</v>
      </c>
      <c r="U142" s="665">
        <v>125.0</v>
      </c>
      <c r="V142" s="666">
        <v>115.0</v>
      </c>
      <c r="W142" s="667">
        <v>70.0</v>
      </c>
      <c r="X142" s="668">
        <v>55.0</v>
      </c>
      <c r="Y142" s="671">
        <f t="shared" si="1"/>
        <v>495</v>
      </c>
      <c r="Z142" s="571"/>
      <c r="AA142" s="673" t="str">
        <f t="shared" si="2"/>
        <v>#NAME?</v>
      </c>
      <c r="AB142" s="674" t="s">
        <v>66</v>
      </c>
      <c r="AC142" s="675" t="str">
        <f t="shared" si="3"/>
        <v>#NAME?</v>
      </c>
      <c r="AD142" s="673" t="s">
        <v>32</v>
      </c>
      <c r="AE142" s="676" t="str">
        <f t="shared" si="4"/>
        <v>#NAME?</v>
      </c>
      <c r="AF142" s="674" t="s">
        <v>66</v>
      </c>
      <c r="AG142" s="675" t="str">
        <f t="shared" si="5"/>
        <v>#NAME?</v>
      </c>
      <c r="AH142" s="586" t="s">
        <v>32</v>
      </c>
      <c r="AI142" s="677" t="str">
        <f t="shared" si="6"/>
        <v>#NAME?</v>
      </c>
      <c r="AJ142" s="586" t="s">
        <v>66</v>
      </c>
      <c r="AK142" s="584" t="str">
        <f t="shared" si="7"/>
        <v>#NAME?</v>
      </c>
      <c r="AL142" s="678" t="s">
        <v>32</v>
      </c>
      <c r="AM142" s="571"/>
      <c r="AN142" s="679" t="s">
        <v>1212</v>
      </c>
      <c r="AO142" s="680" t="s">
        <v>981</v>
      </c>
      <c r="AP142" s="705" t="s">
        <v>1212</v>
      </c>
      <c r="AQ142" s="680" t="s">
        <v>981</v>
      </c>
      <c r="AR142" s="705" t="s">
        <v>1212</v>
      </c>
      <c r="AS142" s="680" t="s">
        <v>981</v>
      </c>
      <c r="AT142" s="595"/>
      <c r="AU142" s="685"/>
      <c r="AV142" s="686"/>
      <c r="AW142" s="687"/>
      <c r="AX142" s="688"/>
      <c r="AY142" s="571"/>
      <c r="AZ142" s="689" t="s">
        <v>162</v>
      </c>
      <c r="BA142" s="690"/>
      <c r="BB142" s="696"/>
      <c r="BC142" s="571"/>
      <c r="BD142" s="651" t="s">
        <v>150</v>
      </c>
      <c r="BE142" s="653">
        <v>199.0</v>
      </c>
      <c r="BF142" s="653">
        <v>45.0</v>
      </c>
      <c r="BG142" s="654">
        <v>70.0</v>
      </c>
      <c r="BH142" s="653">
        <v>60.0</v>
      </c>
      <c r="BI142" s="607"/>
      <c r="BJ142" s="655" t="s">
        <v>13</v>
      </c>
      <c r="BK142" s="779">
        <v>0.125</v>
      </c>
      <c r="BL142" s="610"/>
      <c r="BM142" s="657" t="s">
        <v>106</v>
      </c>
      <c r="BN142" s="658" t="s">
        <v>807</v>
      </c>
      <c r="BO142" s="607"/>
      <c r="BP142" s="659" t="s">
        <v>4447</v>
      </c>
      <c r="BQ142" s="614"/>
      <c r="BR142" s="660" t="s">
        <v>4430</v>
      </c>
      <c r="BS142" s="614"/>
    </row>
    <row r="143" ht="15.75" customHeight="1">
      <c r="A143" s="616"/>
      <c r="B143" s="617" t="s">
        <v>1427</v>
      </c>
      <c r="C143" s="618"/>
      <c r="D143" s="619"/>
      <c r="E143" s="629">
        <v>30.0</v>
      </c>
      <c r="F143" s="750">
        <v>80.0</v>
      </c>
      <c r="G143" s="622">
        <v>90.0</v>
      </c>
      <c r="H143" s="623">
        <v>55.0</v>
      </c>
      <c r="I143" s="624">
        <v>45.0</v>
      </c>
      <c r="J143" s="625">
        <v>55.0</v>
      </c>
      <c r="K143" s="749">
        <v>355.0</v>
      </c>
      <c r="L143" s="627">
        <v>30.0</v>
      </c>
      <c r="M143" s="621">
        <v>80.0</v>
      </c>
      <c r="N143" s="622">
        <v>90.0</v>
      </c>
      <c r="O143" s="623">
        <v>55.0</v>
      </c>
      <c r="P143" s="624">
        <v>45.0</v>
      </c>
      <c r="Q143" s="625">
        <v>55.0</v>
      </c>
      <c r="R143" s="628">
        <v>355.0</v>
      </c>
      <c r="S143" s="629">
        <v>30.0</v>
      </c>
      <c r="T143" s="621">
        <v>80.0</v>
      </c>
      <c r="U143" s="622">
        <v>90.0</v>
      </c>
      <c r="V143" s="623">
        <v>55.0</v>
      </c>
      <c r="W143" s="624">
        <v>45.0</v>
      </c>
      <c r="X143" s="625">
        <v>55.0</v>
      </c>
      <c r="Y143" s="628">
        <f t="shared" si="1"/>
        <v>355</v>
      </c>
      <c r="Z143" s="619"/>
      <c r="AA143" s="630" t="str">
        <f t="shared" si="2"/>
        <v>#NAME?</v>
      </c>
      <c r="AB143" s="631" t="s">
        <v>66</v>
      </c>
      <c r="AC143" s="632" t="str">
        <f t="shared" si="3"/>
        <v>#NAME?</v>
      </c>
      <c r="AD143" s="630" t="s">
        <v>32</v>
      </c>
      <c r="AE143" s="633" t="str">
        <f t="shared" si="4"/>
        <v>#NAME?</v>
      </c>
      <c r="AF143" s="631" t="s">
        <v>66</v>
      </c>
      <c r="AG143" s="632" t="str">
        <f t="shared" si="5"/>
        <v>#NAME?</v>
      </c>
      <c r="AH143" s="634" t="s">
        <v>32</v>
      </c>
      <c r="AI143" s="635" t="str">
        <f t="shared" si="6"/>
        <v>#NAME?</v>
      </c>
      <c r="AJ143" s="634" t="s">
        <v>66</v>
      </c>
      <c r="AK143" s="636" t="str">
        <f t="shared" si="7"/>
        <v>#NAME?</v>
      </c>
      <c r="AL143" s="637" t="s">
        <v>32</v>
      </c>
      <c r="AM143" s="619"/>
      <c r="AN143" s="638" t="s">
        <v>1212</v>
      </c>
      <c r="AO143" s="639" t="s">
        <v>1430</v>
      </c>
      <c r="AP143" s="712" t="s">
        <v>1212</v>
      </c>
      <c r="AQ143" s="639" t="s">
        <v>1430</v>
      </c>
      <c r="AR143" s="712" t="s">
        <v>1212</v>
      </c>
      <c r="AS143" s="639" t="s">
        <v>1430</v>
      </c>
      <c r="AT143" s="644"/>
      <c r="AU143" s="645"/>
      <c r="AV143" s="646"/>
      <c r="AW143" s="692"/>
      <c r="AX143" s="693"/>
      <c r="AY143" s="619"/>
      <c r="AZ143" s="648" t="s">
        <v>101</v>
      </c>
      <c r="BA143" s="694"/>
      <c r="BB143" s="690"/>
      <c r="BC143" s="619"/>
      <c r="BD143" s="651" t="s">
        <v>150</v>
      </c>
      <c r="BE143" s="653">
        <v>99.0</v>
      </c>
      <c r="BF143" s="653">
        <v>45.0</v>
      </c>
      <c r="BG143" s="654">
        <v>70.0</v>
      </c>
      <c r="BH143" s="653">
        <v>40.0</v>
      </c>
      <c r="BI143" s="607"/>
      <c r="BJ143" s="655" t="s">
        <v>13</v>
      </c>
      <c r="BK143" s="780">
        <v>0.125</v>
      </c>
      <c r="BL143" s="610"/>
      <c r="BM143" s="657" t="s">
        <v>106</v>
      </c>
      <c r="BN143" s="658" t="s">
        <v>807</v>
      </c>
      <c r="BO143" s="607"/>
      <c r="BP143" s="659" t="s">
        <v>1432</v>
      </c>
      <c r="BQ143" s="614"/>
      <c r="BR143" s="660" t="s">
        <v>4432</v>
      </c>
      <c r="BS143" s="614"/>
    </row>
    <row r="144" ht="15.75" customHeight="1">
      <c r="A144" s="616"/>
      <c r="B144" s="661" t="s">
        <v>1436</v>
      </c>
      <c r="C144" s="662"/>
      <c r="D144" s="571"/>
      <c r="E144" s="672">
        <v>60.0</v>
      </c>
      <c r="F144" s="664">
        <v>115.0</v>
      </c>
      <c r="G144" s="665">
        <v>105.0</v>
      </c>
      <c r="H144" s="666">
        <v>65.0</v>
      </c>
      <c r="I144" s="667">
        <v>70.0</v>
      </c>
      <c r="J144" s="668">
        <v>80.0</v>
      </c>
      <c r="K144" s="669">
        <v>495.0</v>
      </c>
      <c r="L144" s="670">
        <v>60.0</v>
      </c>
      <c r="M144" s="664">
        <v>115.0</v>
      </c>
      <c r="N144" s="665">
        <v>105.0</v>
      </c>
      <c r="O144" s="666">
        <v>65.0</v>
      </c>
      <c r="P144" s="667">
        <v>70.0</v>
      </c>
      <c r="Q144" s="668">
        <v>80.0</v>
      </c>
      <c r="R144" s="671">
        <v>495.0</v>
      </c>
      <c r="S144" s="672">
        <v>60.0</v>
      </c>
      <c r="T144" s="664">
        <v>115.0</v>
      </c>
      <c r="U144" s="665">
        <v>105.0</v>
      </c>
      <c r="V144" s="666">
        <v>65.0</v>
      </c>
      <c r="W144" s="667">
        <v>70.0</v>
      </c>
      <c r="X144" s="668">
        <v>80.0</v>
      </c>
      <c r="Y144" s="671">
        <f t="shared" si="1"/>
        <v>495</v>
      </c>
      <c r="Z144" s="571"/>
      <c r="AA144" s="673" t="str">
        <f t="shared" si="2"/>
        <v>#NAME?</v>
      </c>
      <c r="AB144" s="674" t="s">
        <v>66</v>
      </c>
      <c r="AC144" s="675" t="str">
        <f t="shared" si="3"/>
        <v>#NAME?</v>
      </c>
      <c r="AD144" s="673" t="s">
        <v>32</v>
      </c>
      <c r="AE144" s="676" t="str">
        <f t="shared" si="4"/>
        <v>#NAME?</v>
      </c>
      <c r="AF144" s="674" t="s">
        <v>66</v>
      </c>
      <c r="AG144" s="675" t="str">
        <f t="shared" si="5"/>
        <v>#NAME?</v>
      </c>
      <c r="AH144" s="586" t="s">
        <v>32</v>
      </c>
      <c r="AI144" s="677" t="str">
        <f t="shared" si="6"/>
        <v>#NAME?</v>
      </c>
      <c r="AJ144" s="586" t="s">
        <v>66</v>
      </c>
      <c r="AK144" s="584" t="str">
        <f t="shared" si="7"/>
        <v>#NAME?</v>
      </c>
      <c r="AL144" s="678" t="s">
        <v>32</v>
      </c>
      <c r="AM144" s="571"/>
      <c r="AN144" s="679" t="s">
        <v>1212</v>
      </c>
      <c r="AO144" s="680" t="s">
        <v>1430</v>
      </c>
      <c r="AP144" s="705" t="s">
        <v>1212</v>
      </c>
      <c r="AQ144" s="680" t="s">
        <v>1430</v>
      </c>
      <c r="AR144" s="705" t="s">
        <v>1212</v>
      </c>
      <c r="AS144" s="680" t="s">
        <v>1430</v>
      </c>
      <c r="AT144" s="595"/>
      <c r="AU144" s="685"/>
      <c r="AV144" s="686"/>
      <c r="AW144" s="687"/>
      <c r="AX144" s="688"/>
      <c r="AY144" s="571"/>
      <c r="AZ144" s="689" t="s">
        <v>216</v>
      </c>
      <c r="BA144" s="690"/>
      <c r="BB144" s="696"/>
      <c r="BC144" s="571"/>
      <c r="BD144" s="651" t="s">
        <v>150</v>
      </c>
      <c r="BE144" s="653">
        <v>199.0</v>
      </c>
      <c r="BF144" s="653">
        <v>45.0</v>
      </c>
      <c r="BG144" s="654">
        <v>70.0</v>
      </c>
      <c r="BH144" s="653">
        <v>60.0</v>
      </c>
      <c r="BI144" s="607"/>
      <c r="BJ144" s="655" t="s">
        <v>13</v>
      </c>
      <c r="BK144" s="779">
        <v>0.125</v>
      </c>
      <c r="BL144" s="610"/>
      <c r="BM144" s="657" t="s">
        <v>106</v>
      </c>
      <c r="BN144" s="658" t="s">
        <v>807</v>
      </c>
      <c r="BO144" s="607"/>
      <c r="BP144" s="659" t="s">
        <v>4448</v>
      </c>
      <c r="BQ144" s="614"/>
      <c r="BR144" s="660" t="s">
        <v>4432</v>
      </c>
      <c r="BS144" s="614"/>
    </row>
    <row r="145" ht="15.75" customHeight="1">
      <c r="A145" s="616"/>
      <c r="B145" s="617" t="s">
        <v>1443</v>
      </c>
      <c r="C145" s="618"/>
      <c r="D145" s="619"/>
      <c r="E145" s="629">
        <v>80.0</v>
      </c>
      <c r="F145" s="621">
        <v>105.0</v>
      </c>
      <c r="G145" s="622">
        <v>65.0</v>
      </c>
      <c r="H145" s="623">
        <v>60.0</v>
      </c>
      <c r="I145" s="624">
        <v>75.0</v>
      </c>
      <c r="J145" s="753">
        <v>130.0</v>
      </c>
      <c r="K145" s="749">
        <v>515.0</v>
      </c>
      <c r="L145" s="627">
        <v>80.0</v>
      </c>
      <c r="M145" s="621">
        <v>105.0</v>
      </c>
      <c r="N145" s="622">
        <v>65.0</v>
      </c>
      <c r="O145" s="623">
        <v>60.0</v>
      </c>
      <c r="P145" s="624">
        <v>75.0</v>
      </c>
      <c r="Q145" s="625">
        <v>130.0</v>
      </c>
      <c r="R145" s="628">
        <v>515.0</v>
      </c>
      <c r="S145" s="629">
        <v>80.0</v>
      </c>
      <c r="T145" s="621">
        <v>105.0</v>
      </c>
      <c r="U145" s="622">
        <v>65.0</v>
      </c>
      <c r="V145" s="623">
        <v>60.0</v>
      </c>
      <c r="W145" s="624">
        <v>75.0</v>
      </c>
      <c r="X145" s="625">
        <v>130.0</v>
      </c>
      <c r="Y145" s="628">
        <f t="shared" si="1"/>
        <v>515</v>
      </c>
      <c r="Z145" s="619"/>
      <c r="AA145" s="630" t="str">
        <f t="shared" si="2"/>
        <v>#NAME?</v>
      </c>
      <c r="AB145" s="631" t="s">
        <v>66</v>
      </c>
      <c r="AC145" s="632" t="str">
        <f t="shared" si="3"/>
        <v>#NAME?</v>
      </c>
      <c r="AD145" s="630" t="s">
        <v>18</v>
      </c>
      <c r="AE145" s="633" t="str">
        <f t="shared" si="4"/>
        <v>#NAME?</v>
      </c>
      <c r="AF145" s="631" t="s">
        <v>66</v>
      </c>
      <c r="AG145" s="632" t="str">
        <f t="shared" si="5"/>
        <v>#NAME?</v>
      </c>
      <c r="AH145" s="634" t="s">
        <v>18</v>
      </c>
      <c r="AI145" s="635" t="str">
        <f t="shared" si="6"/>
        <v>#NAME?</v>
      </c>
      <c r="AJ145" s="634" t="s">
        <v>66</v>
      </c>
      <c r="AK145" s="636" t="str">
        <f t="shared" si="7"/>
        <v>#NAME?</v>
      </c>
      <c r="AL145" s="637" t="s">
        <v>18</v>
      </c>
      <c r="AM145" s="619"/>
      <c r="AN145" s="638" t="s">
        <v>824</v>
      </c>
      <c r="AO145" s="639" t="s">
        <v>1447</v>
      </c>
      <c r="AP145" s="712" t="s">
        <v>824</v>
      </c>
      <c r="AQ145" s="639" t="s">
        <v>1447</v>
      </c>
      <c r="AR145" s="712" t="s">
        <v>824</v>
      </c>
      <c r="AS145" s="639" t="s">
        <v>1447</v>
      </c>
      <c r="AT145" s="644"/>
      <c r="AU145" s="645"/>
      <c r="AV145" s="646"/>
      <c r="AW145" s="692"/>
      <c r="AX145" s="693"/>
      <c r="AY145" s="619"/>
      <c r="AZ145" s="698" t="s">
        <v>248</v>
      </c>
      <c r="BA145" s="690"/>
      <c r="BB145" s="650"/>
      <c r="BC145" s="619"/>
      <c r="BD145" s="651" t="s">
        <v>683</v>
      </c>
      <c r="BE145" s="653">
        <v>202.0</v>
      </c>
      <c r="BF145" s="653">
        <v>45.0</v>
      </c>
      <c r="BG145" s="654">
        <v>70.0</v>
      </c>
      <c r="BH145" s="653">
        <v>80.0</v>
      </c>
      <c r="BI145" s="607"/>
      <c r="BJ145" s="764" t="s">
        <v>13</v>
      </c>
      <c r="BK145" s="780">
        <v>0.125</v>
      </c>
      <c r="BL145" s="610"/>
      <c r="BM145" s="657" t="s">
        <v>18</v>
      </c>
      <c r="BN145" s="704"/>
      <c r="BO145" s="607"/>
      <c r="BP145" s="659" t="s">
        <v>914</v>
      </c>
      <c r="BQ145" s="614"/>
      <c r="BR145" s="660" t="s">
        <v>4434</v>
      </c>
      <c r="BS145" s="614"/>
    </row>
    <row r="146" ht="15.75" customHeight="1">
      <c r="A146" s="616"/>
      <c r="B146" s="661" t="s">
        <v>1452</v>
      </c>
      <c r="C146" s="662"/>
      <c r="D146" s="571"/>
      <c r="E146" s="672">
        <v>160.0</v>
      </c>
      <c r="F146" s="664">
        <v>110.0</v>
      </c>
      <c r="G146" s="665">
        <v>65.0</v>
      </c>
      <c r="H146" s="666">
        <v>65.0</v>
      </c>
      <c r="I146" s="667">
        <v>110.0</v>
      </c>
      <c r="J146" s="668">
        <v>30.0</v>
      </c>
      <c r="K146" s="669">
        <v>540.0</v>
      </c>
      <c r="L146" s="670">
        <v>160.0</v>
      </c>
      <c r="M146" s="664">
        <v>110.0</v>
      </c>
      <c r="N146" s="665">
        <v>65.0</v>
      </c>
      <c r="O146" s="666">
        <v>65.0</v>
      </c>
      <c r="P146" s="667">
        <v>110.0</v>
      </c>
      <c r="Q146" s="668">
        <v>30.0</v>
      </c>
      <c r="R146" s="671">
        <v>540.0</v>
      </c>
      <c r="S146" s="672">
        <v>160.0</v>
      </c>
      <c r="T146" s="664">
        <v>110.0</v>
      </c>
      <c r="U146" s="665">
        <v>65.0</v>
      </c>
      <c r="V146" s="666">
        <v>65.0</v>
      </c>
      <c r="W146" s="667">
        <v>110.0</v>
      </c>
      <c r="X146" s="668">
        <v>30.0</v>
      </c>
      <c r="Y146" s="671">
        <f t="shared" si="1"/>
        <v>540</v>
      </c>
      <c r="Z146" s="571"/>
      <c r="AA146" s="673" t="str">
        <f t="shared" si="2"/>
        <v>#NAME?</v>
      </c>
      <c r="AB146" s="674" t="s">
        <v>156</v>
      </c>
      <c r="AC146" s="675" t="str">
        <f t="shared" si="3"/>
        <v>#NAME?</v>
      </c>
      <c r="AD146" s="680" t="s">
        <v>4428</v>
      </c>
      <c r="AE146" s="676" t="str">
        <f t="shared" si="4"/>
        <v>#NAME?</v>
      </c>
      <c r="AF146" s="674" t="s">
        <v>156</v>
      </c>
      <c r="AG146" s="675" t="str">
        <f t="shared" si="5"/>
        <v>#NAME?</v>
      </c>
      <c r="AH146" s="586" t="s">
        <v>4428</v>
      </c>
      <c r="AI146" s="677" t="str">
        <f t="shared" si="6"/>
        <v>#NAME?</v>
      </c>
      <c r="AJ146" s="586" t="s">
        <v>156</v>
      </c>
      <c r="AK146" s="584" t="str">
        <f t="shared" si="7"/>
        <v>#NAME?</v>
      </c>
      <c r="AL146" s="678" t="s">
        <v>4428</v>
      </c>
      <c r="AM146" s="571"/>
      <c r="AN146" s="679" t="s">
        <v>1455</v>
      </c>
      <c r="AO146" s="680" t="s">
        <v>944</v>
      </c>
      <c r="AP146" s="715" t="s">
        <v>944</v>
      </c>
      <c r="AQ146" s="735" t="s">
        <v>1455</v>
      </c>
      <c r="AR146" s="717" t="s">
        <v>1456</v>
      </c>
      <c r="AS146" s="737" t="s">
        <v>1455</v>
      </c>
      <c r="AT146" s="595"/>
      <c r="AU146" s="685" t="str">
        <f>image("https://www.pokebip.com/pages/icones/objets/restes.png", 3)</f>
        <v/>
      </c>
      <c r="AV146" s="686" t="s">
        <v>1459</v>
      </c>
      <c r="AW146" s="687"/>
      <c r="AX146" s="688"/>
      <c r="AY146" s="571"/>
      <c r="AZ146" s="689" t="s">
        <v>409</v>
      </c>
      <c r="BA146" s="690"/>
      <c r="BB146" s="696"/>
      <c r="BC146" s="571"/>
      <c r="BD146" s="651" t="s">
        <v>683</v>
      </c>
      <c r="BE146" s="653">
        <v>154.0</v>
      </c>
      <c r="BF146" s="653">
        <v>25.0</v>
      </c>
      <c r="BG146" s="654">
        <v>70.0</v>
      </c>
      <c r="BH146" s="653">
        <v>120.0</v>
      </c>
      <c r="BI146" s="607"/>
      <c r="BJ146" s="764" t="s">
        <v>13</v>
      </c>
      <c r="BK146" s="779">
        <v>0.125</v>
      </c>
      <c r="BL146" s="610"/>
      <c r="BM146" s="657" t="s">
        <v>14</v>
      </c>
      <c r="BN146" s="704"/>
      <c r="BO146" s="607"/>
      <c r="BP146" s="659" t="s">
        <v>1458</v>
      </c>
      <c r="BQ146" s="614"/>
      <c r="BR146" s="660" t="s">
        <v>4449</v>
      </c>
      <c r="BS146" s="614"/>
    </row>
    <row r="147" ht="15.75" customHeight="1">
      <c r="A147" s="616"/>
      <c r="B147" s="617" t="s">
        <v>1463</v>
      </c>
      <c r="C147" s="618"/>
      <c r="D147" s="619"/>
      <c r="E147" s="629">
        <v>90.0</v>
      </c>
      <c r="F147" s="621">
        <v>85.0</v>
      </c>
      <c r="G147" s="622">
        <v>100.0</v>
      </c>
      <c r="H147" s="623">
        <v>95.0</v>
      </c>
      <c r="I147" s="624">
        <v>125.0</v>
      </c>
      <c r="J147" s="625">
        <v>85.0</v>
      </c>
      <c r="K147" s="626">
        <v>580.0</v>
      </c>
      <c r="L147" s="627">
        <v>90.0</v>
      </c>
      <c r="M147" s="621">
        <v>85.0</v>
      </c>
      <c r="N147" s="622">
        <v>100.0</v>
      </c>
      <c r="O147" s="623">
        <v>95.0</v>
      </c>
      <c r="P147" s="624">
        <v>125.0</v>
      </c>
      <c r="Q147" s="625">
        <v>85.0</v>
      </c>
      <c r="R147" s="628">
        <v>580.0</v>
      </c>
      <c r="S147" s="629">
        <v>90.0</v>
      </c>
      <c r="T147" s="621">
        <v>85.0</v>
      </c>
      <c r="U147" s="622">
        <v>100.0</v>
      </c>
      <c r="V147" s="623">
        <v>95.0</v>
      </c>
      <c r="W147" s="624">
        <v>125.0</v>
      </c>
      <c r="X147" s="625">
        <v>85.0</v>
      </c>
      <c r="Y147" s="628">
        <f t="shared" si="1"/>
        <v>580</v>
      </c>
      <c r="Z147" s="619"/>
      <c r="AA147" s="630" t="str">
        <f t="shared" si="2"/>
        <v>#NAME?</v>
      </c>
      <c r="AB147" s="631" t="s">
        <v>120</v>
      </c>
      <c r="AC147" s="632" t="str">
        <f t="shared" si="3"/>
        <v>#NAME?</v>
      </c>
      <c r="AD147" s="630" t="s">
        <v>18</v>
      </c>
      <c r="AE147" s="633" t="str">
        <f t="shared" si="4"/>
        <v>#NAME?</v>
      </c>
      <c r="AF147" s="631" t="s">
        <v>120</v>
      </c>
      <c r="AG147" s="632" t="str">
        <f t="shared" si="5"/>
        <v>#NAME?</v>
      </c>
      <c r="AH147" s="634" t="s">
        <v>18</v>
      </c>
      <c r="AI147" s="635" t="str">
        <f t="shared" si="6"/>
        <v>#NAME?</v>
      </c>
      <c r="AJ147" s="634" t="s">
        <v>120</v>
      </c>
      <c r="AK147" s="636" t="str">
        <f t="shared" si="7"/>
        <v>#NAME?</v>
      </c>
      <c r="AL147" s="637" t="s">
        <v>18</v>
      </c>
      <c r="AM147" s="619"/>
      <c r="AN147" s="638" t="s">
        <v>1447</v>
      </c>
      <c r="AO147" s="639"/>
      <c r="AP147" s="712" t="s">
        <v>1447</v>
      </c>
      <c r="AQ147" s="714" t="s">
        <v>1468</v>
      </c>
      <c r="AR147" s="712" t="s">
        <v>1447</v>
      </c>
      <c r="AS147" s="714" t="s">
        <v>1468</v>
      </c>
      <c r="AT147" s="644"/>
      <c r="AU147" s="645"/>
      <c r="AV147" s="646"/>
      <c r="AW147" s="692"/>
      <c r="AX147" s="693"/>
      <c r="AY147" s="619"/>
      <c r="AZ147" s="698" t="s">
        <v>129</v>
      </c>
      <c r="BA147" s="699"/>
      <c r="BB147" s="690"/>
      <c r="BC147" s="619"/>
      <c r="BD147" s="651" t="s">
        <v>683</v>
      </c>
      <c r="BE147" s="653">
        <v>215.0</v>
      </c>
      <c r="BF147" s="653">
        <v>3.0</v>
      </c>
      <c r="BG147" s="654">
        <v>35.0</v>
      </c>
      <c r="BH147" s="653">
        <v>80.0</v>
      </c>
      <c r="BI147" s="607"/>
      <c r="BJ147" s="768" t="s">
        <v>890</v>
      </c>
      <c r="BK147" s="766"/>
      <c r="BL147" s="610"/>
      <c r="BM147" s="657" t="s">
        <v>411</v>
      </c>
      <c r="BN147" s="704"/>
      <c r="BO147" s="607"/>
      <c r="BP147" s="659" t="s">
        <v>914</v>
      </c>
      <c r="BQ147" s="614"/>
      <c r="BR147" s="660" t="s">
        <v>4430</v>
      </c>
      <c r="BS147" s="614"/>
    </row>
    <row r="148" ht="15.75" customHeight="1">
      <c r="A148" s="616"/>
      <c r="B148" s="661" t="s">
        <v>1473</v>
      </c>
      <c r="C148" s="662"/>
      <c r="D148" s="571"/>
      <c r="E148" s="672">
        <v>90.0</v>
      </c>
      <c r="F148" s="664">
        <v>90.0</v>
      </c>
      <c r="G148" s="665">
        <v>85.0</v>
      </c>
      <c r="H148" s="666">
        <v>125.0</v>
      </c>
      <c r="I148" s="667">
        <v>90.0</v>
      </c>
      <c r="J148" s="668">
        <v>100.0</v>
      </c>
      <c r="K148" s="669">
        <v>580.0</v>
      </c>
      <c r="L148" s="670">
        <v>90.0</v>
      </c>
      <c r="M148" s="664">
        <v>90.0</v>
      </c>
      <c r="N148" s="665">
        <v>85.0</v>
      </c>
      <c r="O148" s="666">
        <v>125.0</v>
      </c>
      <c r="P148" s="667">
        <v>90.0</v>
      </c>
      <c r="Q148" s="668">
        <v>100.0</v>
      </c>
      <c r="R148" s="671">
        <v>580.0</v>
      </c>
      <c r="S148" s="672">
        <v>90.0</v>
      </c>
      <c r="T148" s="664">
        <v>90.0</v>
      </c>
      <c r="U148" s="665">
        <v>85.0</v>
      </c>
      <c r="V148" s="666">
        <v>125.0</v>
      </c>
      <c r="W148" s="667">
        <v>90.0</v>
      </c>
      <c r="X148" s="668">
        <v>100.0</v>
      </c>
      <c r="Y148" s="671">
        <f t="shared" si="1"/>
        <v>580</v>
      </c>
      <c r="Z148" s="571"/>
      <c r="AA148" s="673" t="str">
        <f t="shared" si="2"/>
        <v>#NAME?</v>
      </c>
      <c r="AB148" s="674" t="s">
        <v>197</v>
      </c>
      <c r="AC148" s="675" t="str">
        <f t="shared" si="3"/>
        <v>#NAME?</v>
      </c>
      <c r="AD148" s="673" t="s">
        <v>18</v>
      </c>
      <c r="AE148" s="676" t="str">
        <f t="shared" si="4"/>
        <v>#NAME?</v>
      </c>
      <c r="AF148" s="674" t="s">
        <v>197</v>
      </c>
      <c r="AG148" s="675" t="str">
        <f t="shared" si="5"/>
        <v>#NAME?</v>
      </c>
      <c r="AH148" s="586" t="s">
        <v>18</v>
      </c>
      <c r="AI148" s="677" t="str">
        <f t="shared" si="6"/>
        <v>#NAME?</v>
      </c>
      <c r="AJ148" s="586" t="s">
        <v>197</v>
      </c>
      <c r="AK148" s="584" t="str">
        <f t="shared" si="7"/>
        <v>#NAME?</v>
      </c>
      <c r="AL148" s="678" t="s">
        <v>18</v>
      </c>
      <c r="AM148" s="571"/>
      <c r="AN148" s="679" t="s">
        <v>1447</v>
      </c>
      <c r="AO148" s="680"/>
      <c r="AP148" s="705" t="s">
        <v>1447</v>
      </c>
      <c r="AQ148" s="707" t="s">
        <v>1477</v>
      </c>
      <c r="AR148" s="705" t="s">
        <v>1447</v>
      </c>
      <c r="AS148" s="707" t="s">
        <v>1477</v>
      </c>
      <c r="AT148" s="595"/>
      <c r="AU148" s="685"/>
      <c r="AV148" s="686"/>
      <c r="AW148" s="687"/>
      <c r="AX148" s="688"/>
      <c r="AY148" s="571"/>
      <c r="AZ148" s="689" t="s">
        <v>85</v>
      </c>
      <c r="BA148" s="699"/>
      <c r="BB148" s="690"/>
      <c r="BC148" s="571"/>
      <c r="BD148" s="651" t="s">
        <v>683</v>
      </c>
      <c r="BE148" s="653">
        <v>216.0</v>
      </c>
      <c r="BF148" s="653">
        <v>3.0</v>
      </c>
      <c r="BG148" s="654">
        <v>35.0</v>
      </c>
      <c r="BH148" s="653">
        <v>80.0</v>
      </c>
      <c r="BI148" s="607"/>
      <c r="BJ148" s="765" t="s">
        <v>890</v>
      </c>
      <c r="BK148" s="766"/>
      <c r="BL148" s="610"/>
      <c r="BM148" s="657" t="s">
        <v>411</v>
      </c>
      <c r="BN148" s="704"/>
      <c r="BO148" s="607"/>
      <c r="BP148" s="659" t="s">
        <v>914</v>
      </c>
      <c r="BQ148" s="614"/>
      <c r="BR148" s="660" t="s">
        <v>4433</v>
      </c>
      <c r="BS148" s="614"/>
    </row>
    <row r="149" ht="15.75" customHeight="1">
      <c r="A149" s="616"/>
      <c r="B149" s="617" t="s">
        <v>1482</v>
      </c>
      <c r="C149" s="618"/>
      <c r="D149" s="619"/>
      <c r="E149" s="629">
        <v>90.0</v>
      </c>
      <c r="F149" s="621">
        <v>100.0</v>
      </c>
      <c r="G149" s="622">
        <v>90.0</v>
      </c>
      <c r="H149" s="623">
        <v>125.0</v>
      </c>
      <c r="I149" s="624">
        <v>85.0</v>
      </c>
      <c r="J149" s="625">
        <v>90.0</v>
      </c>
      <c r="K149" s="626">
        <v>580.0</v>
      </c>
      <c r="L149" s="627">
        <v>90.0</v>
      </c>
      <c r="M149" s="621">
        <v>100.0</v>
      </c>
      <c r="N149" s="622">
        <v>90.0</v>
      </c>
      <c r="O149" s="623">
        <v>125.0</v>
      </c>
      <c r="P149" s="624">
        <v>85.0</v>
      </c>
      <c r="Q149" s="625">
        <v>90.0</v>
      </c>
      <c r="R149" s="628">
        <v>580.0</v>
      </c>
      <c r="S149" s="629">
        <v>90.0</v>
      </c>
      <c r="T149" s="621">
        <v>100.0</v>
      </c>
      <c r="U149" s="622">
        <v>90.0</v>
      </c>
      <c r="V149" s="623">
        <v>125.0</v>
      </c>
      <c r="W149" s="624">
        <v>85.0</v>
      </c>
      <c r="X149" s="625">
        <v>90.0</v>
      </c>
      <c r="Y149" s="628">
        <f t="shared" si="1"/>
        <v>580</v>
      </c>
      <c r="Z149" s="619"/>
      <c r="AA149" s="630" t="str">
        <f t="shared" si="2"/>
        <v>#NAME?</v>
      </c>
      <c r="AB149" s="631" t="s">
        <v>34</v>
      </c>
      <c r="AC149" s="632" t="str">
        <f t="shared" si="3"/>
        <v>#NAME?</v>
      </c>
      <c r="AD149" s="630" t="s">
        <v>18</v>
      </c>
      <c r="AE149" s="633" t="str">
        <f t="shared" si="4"/>
        <v>#NAME?</v>
      </c>
      <c r="AF149" s="631" t="s">
        <v>34</v>
      </c>
      <c r="AG149" s="632" t="str">
        <f t="shared" si="5"/>
        <v>#NAME?</v>
      </c>
      <c r="AH149" s="634" t="s">
        <v>18</v>
      </c>
      <c r="AI149" s="635" t="str">
        <f t="shared" si="6"/>
        <v>#NAME?</v>
      </c>
      <c r="AJ149" s="634" t="s">
        <v>34</v>
      </c>
      <c r="AK149" s="636" t="str">
        <f t="shared" si="7"/>
        <v>#NAME?</v>
      </c>
      <c r="AL149" s="637" t="s">
        <v>18</v>
      </c>
      <c r="AM149" s="619"/>
      <c r="AN149" s="638" t="s">
        <v>1447</v>
      </c>
      <c r="AO149" s="639"/>
      <c r="AP149" s="712" t="s">
        <v>1447</v>
      </c>
      <c r="AQ149" s="714" t="s">
        <v>852</v>
      </c>
      <c r="AR149" s="712" t="s">
        <v>1447</v>
      </c>
      <c r="AS149" s="714" t="s">
        <v>852</v>
      </c>
      <c r="AT149" s="644"/>
      <c r="AU149" s="645"/>
      <c r="AV149" s="646"/>
      <c r="AW149" s="692"/>
      <c r="AX149" s="693"/>
      <c r="AY149" s="619"/>
      <c r="AZ149" s="698" t="s">
        <v>85</v>
      </c>
      <c r="BA149" s="699"/>
      <c r="BB149" s="690"/>
      <c r="BC149" s="619"/>
      <c r="BD149" s="651" t="s">
        <v>683</v>
      </c>
      <c r="BE149" s="653">
        <v>217.0</v>
      </c>
      <c r="BF149" s="653">
        <v>3.0</v>
      </c>
      <c r="BG149" s="654">
        <v>35.0</v>
      </c>
      <c r="BH149" s="653">
        <v>80.0</v>
      </c>
      <c r="BI149" s="607"/>
      <c r="BJ149" s="768" t="s">
        <v>890</v>
      </c>
      <c r="BK149" s="766"/>
      <c r="BL149" s="610"/>
      <c r="BM149" s="657" t="s">
        <v>411</v>
      </c>
      <c r="BN149" s="704"/>
      <c r="BO149" s="607"/>
      <c r="BP149" s="659" t="s">
        <v>914</v>
      </c>
      <c r="BQ149" s="614"/>
      <c r="BR149" s="660" t="s">
        <v>4433</v>
      </c>
      <c r="BS149" s="614"/>
    </row>
    <row r="150" ht="15.75" customHeight="1">
      <c r="A150" s="616"/>
      <c r="B150" s="661" t="s">
        <v>1489</v>
      </c>
      <c r="C150" s="662"/>
      <c r="D150" s="571"/>
      <c r="E150" s="672">
        <v>41.0</v>
      </c>
      <c r="F150" s="664">
        <v>64.0</v>
      </c>
      <c r="G150" s="665">
        <v>45.0</v>
      </c>
      <c r="H150" s="666">
        <v>50.0</v>
      </c>
      <c r="I150" s="667">
        <v>50.0</v>
      </c>
      <c r="J150" s="668">
        <v>50.0</v>
      </c>
      <c r="K150" s="669">
        <v>300.0</v>
      </c>
      <c r="L150" s="670">
        <v>41.0</v>
      </c>
      <c r="M150" s="664">
        <v>64.0</v>
      </c>
      <c r="N150" s="665">
        <v>45.0</v>
      </c>
      <c r="O150" s="666">
        <v>50.0</v>
      </c>
      <c r="P150" s="667">
        <v>50.0</v>
      </c>
      <c r="Q150" s="668">
        <v>50.0</v>
      </c>
      <c r="R150" s="671">
        <v>300.0</v>
      </c>
      <c r="S150" s="672">
        <v>41.0</v>
      </c>
      <c r="T150" s="664">
        <v>64.0</v>
      </c>
      <c r="U150" s="665">
        <v>45.0</v>
      </c>
      <c r="V150" s="666">
        <v>50.0</v>
      </c>
      <c r="W150" s="667">
        <v>50.0</v>
      </c>
      <c r="X150" s="668">
        <v>50.0</v>
      </c>
      <c r="Y150" s="671">
        <f t="shared" si="1"/>
        <v>300</v>
      </c>
      <c r="Z150" s="571"/>
      <c r="AA150" s="673" t="str">
        <f t="shared" si="2"/>
        <v>#NAME?</v>
      </c>
      <c r="AB150" s="674" t="s">
        <v>61</v>
      </c>
      <c r="AC150" s="675" t="str">
        <f t="shared" si="3"/>
        <v>#NAME?</v>
      </c>
      <c r="AD150" s="680" t="s">
        <v>4428</v>
      </c>
      <c r="AE150" s="676" t="str">
        <f t="shared" si="4"/>
        <v>#NAME?</v>
      </c>
      <c r="AF150" s="674" t="s">
        <v>61</v>
      </c>
      <c r="AG150" s="675" t="str">
        <f t="shared" si="5"/>
        <v>#NAME?</v>
      </c>
      <c r="AH150" s="586" t="s">
        <v>4428</v>
      </c>
      <c r="AI150" s="677" t="str">
        <f t="shared" si="6"/>
        <v>#NAME?</v>
      </c>
      <c r="AJ150" s="586" t="s">
        <v>61</v>
      </c>
      <c r="AK150" s="584" t="str">
        <f t="shared" si="7"/>
        <v>#NAME?</v>
      </c>
      <c r="AL150" s="678" t="s">
        <v>4428</v>
      </c>
      <c r="AM150" s="571"/>
      <c r="AN150" s="679" t="s">
        <v>163</v>
      </c>
      <c r="AO150" s="680"/>
      <c r="AP150" s="734" t="s">
        <v>1493</v>
      </c>
      <c r="AQ150" s="682" t="s">
        <v>163</v>
      </c>
      <c r="AR150" s="736" t="s">
        <v>1493</v>
      </c>
      <c r="AS150" s="684" t="s">
        <v>163</v>
      </c>
      <c r="AT150" s="595"/>
      <c r="AU150" s="685" t="str">
        <f t="shared" ref="AU150:AU152" si="31">image("https://www.pokebip.com/pages/icones/objets/ecaille-draco.png", 3)</f>
        <v/>
      </c>
      <c r="AV150" s="686" t="s">
        <v>1215</v>
      </c>
      <c r="AW150" s="687"/>
      <c r="AX150" s="688"/>
      <c r="AY150" s="571"/>
      <c r="AZ150" s="695" t="s">
        <v>325</v>
      </c>
      <c r="BA150" s="700"/>
      <c r="BB150" s="690"/>
      <c r="BC150" s="571"/>
      <c r="BD150" s="651" t="s">
        <v>683</v>
      </c>
      <c r="BE150" s="653">
        <v>67.0</v>
      </c>
      <c r="BF150" s="653">
        <v>45.0</v>
      </c>
      <c r="BG150" s="654">
        <v>35.0</v>
      </c>
      <c r="BH150" s="653">
        <v>20.0</v>
      </c>
      <c r="BI150" s="607"/>
      <c r="BJ150" s="781" t="s">
        <v>149</v>
      </c>
      <c r="BK150" s="782" t="s">
        <v>149</v>
      </c>
      <c r="BL150" s="610"/>
      <c r="BM150" s="657" t="s">
        <v>106</v>
      </c>
      <c r="BN150" s="658" t="s">
        <v>61</v>
      </c>
      <c r="BO150" s="607"/>
      <c r="BP150" s="659" t="s">
        <v>1495</v>
      </c>
      <c r="BQ150" s="614"/>
      <c r="BR150" s="660" t="s">
        <v>4430</v>
      </c>
      <c r="BS150" s="614"/>
    </row>
    <row r="151" ht="15.75" customHeight="1">
      <c r="A151" s="616"/>
      <c r="B151" s="617" t="s">
        <v>1499</v>
      </c>
      <c r="C151" s="618"/>
      <c r="D151" s="619"/>
      <c r="E151" s="629">
        <v>61.0</v>
      </c>
      <c r="F151" s="621">
        <v>84.0</v>
      </c>
      <c r="G151" s="622">
        <v>65.0</v>
      </c>
      <c r="H151" s="623">
        <v>70.0</v>
      </c>
      <c r="I151" s="624">
        <v>70.0</v>
      </c>
      <c r="J151" s="625">
        <v>70.0</v>
      </c>
      <c r="K151" s="626">
        <v>420.0</v>
      </c>
      <c r="L151" s="627">
        <v>61.0</v>
      </c>
      <c r="M151" s="621">
        <v>84.0</v>
      </c>
      <c r="N151" s="622">
        <v>65.0</v>
      </c>
      <c r="O151" s="623">
        <v>70.0</v>
      </c>
      <c r="P151" s="624">
        <v>70.0</v>
      </c>
      <c r="Q151" s="625">
        <v>70.0</v>
      </c>
      <c r="R151" s="628">
        <v>420.0</v>
      </c>
      <c r="S151" s="629">
        <v>61.0</v>
      </c>
      <c r="T151" s="621">
        <v>84.0</v>
      </c>
      <c r="U151" s="622">
        <v>65.0</v>
      </c>
      <c r="V151" s="623">
        <v>70.0</v>
      </c>
      <c r="W151" s="624">
        <v>70.0</v>
      </c>
      <c r="X151" s="625">
        <v>70.0</v>
      </c>
      <c r="Y151" s="628">
        <f t="shared" si="1"/>
        <v>420</v>
      </c>
      <c r="Z151" s="619"/>
      <c r="AA151" s="630" t="str">
        <f t="shared" si="2"/>
        <v>#NAME?</v>
      </c>
      <c r="AB151" s="631" t="s">
        <v>61</v>
      </c>
      <c r="AC151" s="632" t="str">
        <f t="shared" si="3"/>
        <v>#NAME?</v>
      </c>
      <c r="AD151" s="639" t="s">
        <v>4428</v>
      </c>
      <c r="AE151" s="633" t="str">
        <f t="shared" si="4"/>
        <v>#NAME?</v>
      </c>
      <c r="AF151" s="631" t="s">
        <v>61</v>
      </c>
      <c r="AG151" s="632" t="str">
        <f t="shared" si="5"/>
        <v>#NAME?</v>
      </c>
      <c r="AH151" s="634" t="s">
        <v>4428</v>
      </c>
      <c r="AI151" s="635" t="str">
        <f t="shared" si="6"/>
        <v>#NAME?</v>
      </c>
      <c r="AJ151" s="634" t="s">
        <v>61</v>
      </c>
      <c r="AK151" s="636" t="str">
        <f t="shared" si="7"/>
        <v>#NAME?</v>
      </c>
      <c r="AL151" s="637" t="s">
        <v>4428</v>
      </c>
      <c r="AM151" s="619"/>
      <c r="AN151" s="638" t="s">
        <v>163</v>
      </c>
      <c r="AO151" s="639"/>
      <c r="AP151" s="701" t="s">
        <v>1493</v>
      </c>
      <c r="AQ151" s="641" t="s">
        <v>163</v>
      </c>
      <c r="AR151" s="642" t="s">
        <v>1493</v>
      </c>
      <c r="AS151" s="643" t="s">
        <v>163</v>
      </c>
      <c r="AT151" s="644"/>
      <c r="AU151" s="645" t="str">
        <f t="shared" si="31"/>
        <v/>
      </c>
      <c r="AV151" s="646" t="s">
        <v>1215</v>
      </c>
      <c r="AW151" s="692"/>
      <c r="AX151" s="693"/>
      <c r="AY151" s="619"/>
      <c r="AZ151" s="698" t="s">
        <v>216</v>
      </c>
      <c r="BA151" s="690"/>
      <c r="BB151" s="650"/>
      <c r="BC151" s="619"/>
      <c r="BD151" s="651" t="s">
        <v>683</v>
      </c>
      <c r="BE151" s="653">
        <v>144.0</v>
      </c>
      <c r="BF151" s="653">
        <v>45.0</v>
      </c>
      <c r="BG151" s="654">
        <v>35.0</v>
      </c>
      <c r="BH151" s="653">
        <v>40.0</v>
      </c>
      <c r="BI151" s="607"/>
      <c r="BJ151" s="783" t="s">
        <v>149</v>
      </c>
      <c r="BK151" s="784" t="s">
        <v>149</v>
      </c>
      <c r="BL151" s="610"/>
      <c r="BM151" s="657" t="s">
        <v>106</v>
      </c>
      <c r="BN151" s="658" t="s">
        <v>61</v>
      </c>
      <c r="BO151" s="607"/>
      <c r="BP151" s="659" t="s">
        <v>1503</v>
      </c>
      <c r="BQ151" s="614"/>
      <c r="BR151" s="660" t="s">
        <v>4430</v>
      </c>
      <c r="BS151" s="614"/>
    </row>
    <row r="152" ht="15.75" customHeight="1">
      <c r="A152" s="616"/>
      <c r="B152" s="661" t="s">
        <v>1508</v>
      </c>
      <c r="C152" s="662"/>
      <c r="D152" s="571"/>
      <c r="E152" s="672">
        <v>91.0</v>
      </c>
      <c r="F152" s="664">
        <v>134.0</v>
      </c>
      <c r="G152" s="665">
        <v>95.0</v>
      </c>
      <c r="H152" s="666">
        <v>100.0</v>
      </c>
      <c r="I152" s="667">
        <v>100.0</v>
      </c>
      <c r="J152" s="668">
        <v>80.0</v>
      </c>
      <c r="K152" s="669">
        <v>600.0</v>
      </c>
      <c r="L152" s="670">
        <v>91.0</v>
      </c>
      <c r="M152" s="664">
        <v>134.0</v>
      </c>
      <c r="N152" s="665">
        <v>95.0</v>
      </c>
      <c r="O152" s="666">
        <v>100.0</v>
      </c>
      <c r="P152" s="667">
        <v>100.0</v>
      </c>
      <c r="Q152" s="668">
        <v>80.0</v>
      </c>
      <c r="R152" s="671">
        <v>600.0</v>
      </c>
      <c r="S152" s="672">
        <v>91.0</v>
      </c>
      <c r="T152" s="664">
        <v>134.0</v>
      </c>
      <c r="U152" s="665">
        <v>95.0</v>
      </c>
      <c r="V152" s="666">
        <v>100.0</v>
      </c>
      <c r="W152" s="667">
        <v>100.0</v>
      </c>
      <c r="X152" s="668">
        <v>80.0</v>
      </c>
      <c r="Y152" s="671">
        <f t="shared" si="1"/>
        <v>600</v>
      </c>
      <c r="Z152" s="571"/>
      <c r="AA152" s="673" t="str">
        <f t="shared" si="2"/>
        <v>#NAME?</v>
      </c>
      <c r="AB152" s="674" t="s">
        <v>61</v>
      </c>
      <c r="AC152" s="675" t="str">
        <f t="shared" si="3"/>
        <v>#NAME?</v>
      </c>
      <c r="AD152" s="673" t="s">
        <v>18</v>
      </c>
      <c r="AE152" s="676" t="str">
        <f t="shared" si="4"/>
        <v>#NAME?</v>
      </c>
      <c r="AF152" s="674" t="s">
        <v>61</v>
      </c>
      <c r="AG152" s="675" t="str">
        <f t="shared" si="5"/>
        <v>#NAME?</v>
      </c>
      <c r="AH152" s="586" t="s">
        <v>18</v>
      </c>
      <c r="AI152" s="677" t="str">
        <f t="shared" si="6"/>
        <v>#NAME?</v>
      </c>
      <c r="AJ152" s="586" t="s">
        <v>61</v>
      </c>
      <c r="AK152" s="584" t="str">
        <f t="shared" si="7"/>
        <v>#NAME?</v>
      </c>
      <c r="AL152" s="678" t="s">
        <v>18</v>
      </c>
      <c r="AM152" s="571"/>
      <c r="AN152" s="679" t="s">
        <v>530</v>
      </c>
      <c r="AO152" s="680"/>
      <c r="AP152" s="705" t="s">
        <v>530</v>
      </c>
      <c r="AQ152" s="785" t="s">
        <v>530</v>
      </c>
      <c r="AR152" s="711" t="s">
        <v>1493</v>
      </c>
      <c r="AS152" s="718" t="s">
        <v>530</v>
      </c>
      <c r="AT152" s="595"/>
      <c r="AU152" s="685" t="str">
        <f t="shared" si="31"/>
        <v/>
      </c>
      <c r="AV152" s="686" t="s">
        <v>1215</v>
      </c>
      <c r="AW152" s="687"/>
      <c r="AX152" s="688"/>
      <c r="AY152" s="571"/>
      <c r="AZ152" s="689" t="s">
        <v>451</v>
      </c>
      <c r="BA152" s="699"/>
      <c r="BB152" s="690"/>
      <c r="BC152" s="571"/>
      <c r="BD152" s="651" t="s">
        <v>683</v>
      </c>
      <c r="BE152" s="653">
        <v>218.0</v>
      </c>
      <c r="BF152" s="653">
        <v>45.0</v>
      </c>
      <c r="BG152" s="654">
        <v>35.0</v>
      </c>
      <c r="BH152" s="653">
        <v>120.0</v>
      </c>
      <c r="BI152" s="607"/>
      <c r="BJ152" s="786" t="s">
        <v>149</v>
      </c>
      <c r="BK152" s="782" t="s">
        <v>149</v>
      </c>
      <c r="BL152" s="610"/>
      <c r="BM152" s="657" t="s">
        <v>106</v>
      </c>
      <c r="BN152" s="658" t="s">
        <v>61</v>
      </c>
      <c r="BO152" s="607"/>
      <c r="BP152" s="659" t="s">
        <v>1512</v>
      </c>
      <c r="BQ152" s="614"/>
      <c r="BR152" s="660" t="s">
        <v>4432</v>
      </c>
      <c r="BS152" s="614"/>
    </row>
    <row r="153" ht="15.75" customHeight="1">
      <c r="A153" s="616"/>
      <c r="B153" s="617" t="s">
        <v>1516</v>
      </c>
      <c r="C153" s="618"/>
      <c r="D153" s="619"/>
      <c r="E153" s="629">
        <v>106.0</v>
      </c>
      <c r="F153" s="750">
        <v>110.0</v>
      </c>
      <c r="G153" s="622">
        <v>90.0</v>
      </c>
      <c r="H153" s="623">
        <v>154.0</v>
      </c>
      <c r="I153" s="624">
        <v>90.0</v>
      </c>
      <c r="J153" s="625">
        <v>130.0</v>
      </c>
      <c r="K153" s="749">
        <v>680.0</v>
      </c>
      <c r="L153" s="627">
        <v>106.0</v>
      </c>
      <c r="M153" s="621">
        <v>110.0</v>
      </c>
      <c r="N153" s="622">
        <v>90.0</v>
      </c>
      <c r="O153" s="623">
        <v>154.0</v>
      </c>
      <c r="P153" s="624">
        <v>90.0</v>
      </c>
      <c r="Q153" s="625">
        <v>130.0</v>
      </c>
      <c r="R153" s="628">
        <v>680.0</v>
      </c>
      <c r="S153" s="629">
        <v>106.0</v>
      </c>
      <c r="T153" s="621">
        <v>110.0</v>
      </c>
      <c r="U153" s="622">
        <v>90.0</v>
      </c>
      <c r="V153" s="623">
        <v>154.0</v>
      </c>
      <c r="W153" s="624">
        <v>90.0</v>
      </c>
      <c r="X153" s="625">
        <v>130.0</v>
      </c>
      <c r="Y153" s="628">
        <f t="shared" si="1"/>
        <v>680</v>
      </c>
      <c r="Z153" s="619"/>
      <c r="AA153" s="630" t="str">
        <f t="shared" si="2"/>
        <v>#NAME?</v>
      </c>
      <c r="AB153" s="631" t="s">
        <v>122</v>
      </c>
      <c r="AC153" s="632" t="str">
        <f t="shared" si="3"/>
        <v>#NAME?</v>
      </c>
      <c r="AD153" s="639" t="s">
        <v>4428</v>
      </c>
      <c r="AE153" s="633" t="str">
        <f t="shared" si="4"/>
        <v>#NAME?</v>
      </c>
      <c r="AF153" s="631" t="s">
        <v>122</v>
      </c>
      <c r="AG153" s="632" t="str">
        <f t="shared" si="5"/>
        <v>#NAME?</v>
      </c>
      <c r="AH153" s="634" t="s">
        <v>4428</v>
      </c>
      <c r="AI153" s="635" t="str">
        <f t="shared" si="6"/>
        <v>#NAME?</v>
      </c>
      <c r="AJ153" s="634" t="s">
        <v>122</v>
      </c>
      <c r="AK153" s="636" t="str">
        <f t="shared" si="7"/>
        <v>#NAME?</v>
      </c>
      <c r="AL153" s="637" t="s">
        <v>4428</v>
      </c>
      <c r="AM153" s="619"/>
      <c r="AN153" s="638" t="s">
        <v>1447</v>
      </c>
      <c r="AO153" s="639"/>
      <c r="AP153" s="712" t="s">
        <v>1447</v>
      </c>
      <c r="AQ153" s="639"/>
      <c r="AR153" s="712" t="s">
        <v>1447</v>
      </c>
      <c r="AS153" s="639"/>
      <c r="AT153" s="644"/>
      <c r="AU153" s="645"/>
      <c r="AV153" s="646"/>
      <c r="AW153" s="692"/>
      <c r="AX153" s="693"/>
      <c r="AY153" s="619"/>
      <c r="AZ153" s="698" t="s">
        <v>85</v>
      </c>
      <c r="BA153" s="699"/>
      <c r="BB153" s="690"/>
      <c r="BC153" s="619"/>
      <c r="BD153" s="651" t="s">
        <v>683</v>
      </c>
      <c r="BE153" s="653">
        <v>220.0</v>
      </c>
      <c r="BF153" s="653">
        <v>3.0</v>
      </c>
      <c r="BG153" s="654">
        <v>0.0</v>
      </c>
      <c r="BH153" s="653">
        <v>100.0</v>
      </c>
      <c r="BI153" s="607"/>
      <c r="BJ153" s="768" t="s">
        <v>890</v>
      </c>
      <c r="BK153" s="766"/>
      <c r="BL153" s="610"/>
      <c r="BM153" s="657" t="s">
        <v>411</v>
      </c>
      <c r="BN153" s="704"/>
      <c r="BO153" s="607"/>
      <c r="BP153" s="659" t="s">
        <v>914</v>
      </c>
      <c r="BQ153" s="614"/>
      <c r="BR153" s="660" t="s">
        <v>4434</v>
      </c>
      <c r="BS153" s="614"/>
    </row>
    <row r="154" ht="15.75" customHeight="1">
      <c r="A154" s="787"/>
      <c r="B154" s="788" t="s">
        <v>1523</v>
      </c>
      <c r="C154" s="789"/>
      <c r="D154" s="571"/>
      <c r="E154" s="672">
        <v>100.0</v>
      </c>
      <c r="F154" s="664">
        <v>100.0</v>
      </c>
      <c r="G154" s="665">
        <v>100.0</v>
      </c>
      <c r="H154" s="666">
        <v>100.0</v>
      </c>
      <c r="I154" s="667">
        <v>100.0</v>
      </c>
      <c r="J154" s="668">
        <v>100.0</v>
      </c>
      <c r="K154" s="669">
        <v>600.0</v>
      </c>
      <c r="L154" s="670">
        <v>100.0</v>
      </c>
      <c r="M154" s="664">
        <v>100.0</v>
      </c>
      <c r="N154" s="665">
        <v>100.0</v>
      </c>
      <c r="O154" s="666">
        <v>100.0</v>
      </c>
      <c r="P154" s="667">
        <v>100.0</v>
      </c>
      <c r="Q154" s="668">
        <v>100.0</v>
      </c>
      <c r="R154" s="671">
        <v>600.0</v>
      </c>
      <c r="S154" s="672">
        <v>100.0</v>
      </c>
      <c r="T154" s="664">
        <v>100.0</v>
      </c>
      <c r="U154" s="665">
        <v>100.0</v>
      </c>
      <c r="V154" s="666">
        <v>100.0</v>
      </c>
      <c r="W154" s="667">
        <v>100.0</v>
      </c>
      <c r="X154" s="668">
        <v>100.0</v>
      </c>
      <c r="Y154" s="671">
        <f t="shared" si="1"/>
        <v>600</v>
      </c>
      <c r="Z154" s="571"/>
      <c r="AA154" s="790" t="str">
        <f t="shared" si="2"/>
        <v>#NAME?</v>
      </c>
      <c r="AB154" s="791" t="s">
        <v>122</v>
      </c>
      <c r="AC154" s="792" t="str">
        <f t="shared" si="3"/>
        <v>#NAME?</v>
      </c>
      <c r="AD154" s="793" t="s">
        <v>4428</v>
      </c>
      <c r="AE154" s="794" t="str">
        <f t="shared" si="4"/>
        <v>#NAME?</v>
      </c>
      <c r="AF154" s="791" t="s">
        <v>122</v>
      </c>
      <c r="AG154" s="792" t="str">
        <f t="shared" si="5"/>
        <v>#NAME?</v>
      </c>
      <c r="AH154" s="795" t="s">
        <v>4428</v>
      </c>
      <c r="AI154" s="796" t="str">
        <f t="shared" si="6"/>
        <v>#NAME?</v>
      </c>
      <c r="AJ154" s="795" t="s">
        <v>122</v>
      </c>
      <c r="AK154" s="797" t="str">
        <f t="shared" si="7"/>
        <v>#NAME?</v>
      </c>
      <c r="AL154" s="798" t="s">
        <v>4428</v>
      </c>
      <c r="AM154" s="571"/>
      <c r="AN154" s="799" t="s">
        <v>727</v>
      </c>
      <c r="AO154" s="793"/>
      <c r="AP154" s="800" t="s">
        <v>727</v>
      </c>
      <c r="AQ154" s="793"/>
      <c r="AR154" s="800" t="s">
        <v>727</v>
      </c>
      <c r="AS154" s="793"/>
      <c r="AT154" s="595"/>
      <c r="AU154" s="801" t="str">
        <f>image("https://www.serebii.net/diamondpearl/berries/09.png", 3)</f>
        <v/>
      </c>
      <c r="AV154" s="802" t="s">
        <v>1526</v>
      </c>
      <c r="AW154" s="803"/>
      <c r="AX154" s="804"/>
      <c r="AY154" s="571"/>
      <c r="AZ154" s="689" t="s">
        <v>422</v>
      </c>
      <c r="BA154" s="699"/>
      <c r="BB154" s="690"/>
      <c r="BC154" s="571"/>
      <c r="BD154" s="805" t="s">
        <v>15</v>
      </c>
      <c r="BE154" s="806">
        <v>64.0</v>
      </c>
      <c r="BF154" s="806">
        <v>45.0</v>
      </c>
      <c r="BG154" s="807">
        <v>100.0</v>
      </c>
      <c r="BH154" s="806">
        <v>20.0</v>
      </c>
      <c r="BI154" s="607"/>
      <c r="BJ154" s="765" t="s">
        <v>890</v>
      </c>
      <c r="BK154" s="766"/>
      <c r="BL154" s="610"/>
      <c r="BM154" s="808" t="s">
        <v>411</v>
      </c>
      <c r="BN154" s="809"/>
      <c r="BO154" s="607"/>
      <c r="BP154" s="810" t="s">
        <v>914</v>
      </c>
      <c r="BQ154" s="614"/>
      <c r="BR154" s="811" t="s">
        <v>4435</v>
      </c>
      <c r="BS154" s="614"/>
    </row>
    <row r="155" ht="15.75" customHeight="1">
      <c r="A155" s="812" t="s">
        <v>4450</v>
      </c>
      <c r="B155" s="813" t="s">
        <v>1530</v>
      </c>
      <c r="C155" s="814"/>
      <c r="D155" s="619"/>
      <c r="E155" s="629">
        <v>45.0</v>
      </c>
      <c r="F155" s="621">
        <v>49.0</v>
      </c>
      <c r="G155" s="622">
        <v>65.0</v>
      </c>
      <c r="H155" s="748">
        <v>49.0</v>
      </c>
      <c r="I155" s="624">
        <v>65.0</v>
      </c>
      <c r="J155" s="625">
        <v>45.0</v>
      </c>
      <c r="K155" s="749">
        <v>318.0</v>
      </c>
      <c r="L155" s="627">
        <v>45.0</v>
      </c>
      <c r="M155" s="621">
        <v>49.0</v>
      </c>
      <c r="N155" s="622">
        <v>65.0</v>
      </c>
      <c r="O155" s="623">
        <v>49.0</v>
      </c>
      <c r="P155" s="624">
        <v>65.0</v>
      </c>
      <c r="Q155" s="625">
        <v>45.0</v>
      </c>
      <c r="R155" s="628">
        <v>318.0</v>
      </c>
      <c r="S155" s="629">
        <v>45.0</v>
      </c>
      <c r="T155" s="621">
        <v>49.0</v>
      </c>
      <c r="U155" s="622">
        <v>65.0</v>
      </c>
      <c r="V155" s="623">
        <v>49.0</v>
      </c>
      <c r="W155" s="624">
        <v>65.0</v>
      </c>
      <c r="X155" s="625">
        <v>45.0</v>
      </c>
      <c r="Y155" s="628">
        <f t="shared" si="1"/>
        <v>318</v>
      </c>
      <c r="Z155" s="619"/>
      <c r="AA155" s="815" t="str">
        <f t="shared" si="2"/>
        <v>#NAME?</v>
      </c>
      <c r="AB155" s="816" t="s">
        <v>6</v>
      </c>
      <c r="AC155" s="817" t="str">
        <f t="shared" si="3"/>
        <v>#NAME?</v>
      </c>
      <c r="AD155" s="818" t="s">
        <v>4428</v>
      </c>
      <c r="AE155" s="819" t="str">
        <f t="shared" si="4"/>
        <v>#NAME?</v>
      </c>
      <c r="AF155" s="816" t="s">
        <v>6</v>
      </c>
      <c r="AG155" s="817" t="str">
        <f t="shared" si="5"/>
        <v>#NAME?</v>
      </c>
      <c r="AH155" s="820" t="s">
        <v>4428</v>
      </c>
      <c r="AI155" s="821" t="str">
        <f t="shared" si="6"/>
        <v>#NAME?</v>
      </c>
      <c r="AJ155" s="820" t="s">
        <v>6</v>
      </c>
      <c r="AK155" s="817" t="str">
        <f t="shared" si="7"/>
        <v>#NAME?</v>
      </c>
      <c r="AL155" s="822" t="s">
        <v>4428</v>
      </c>
      <c r="AM155" s="619"/>
      <c r="AN155" s="823" t="s">
        <v>9</v>
      </c>
      <c r="AO155" s="818"/>
      <c r="AP155" s="824" t="s">
        <v>9</v>
      </c>
      <c r="AQ155" s="825" t="s">
        <v>4451</v>
      </c>
      <c r="AR155" s="826" t="s">
        <v>1533</v>
      </c>
      <c r="AS155" s="827" t="s">
        <v>9</v>
      </c>
      <c r="AT155" s="644"/>
      <c r="AU155" s="828"/>
      <c r="AV155" s="829"/>
      <c r="AW155" s="830"/>
      <c r="AX155" s="831"/>
      <c r="AY155" s="619"/>
      <c r="AZ155" s="648" t="s">
        <v>27</v>
      </c>
      <c r="BA155" s="694"/>
      <c r="BB155" s="690"/>
      <c r="BC155" s="619"/>
      <c r="BD155" s="832" t="s">
        <v>15</v>
      </c>
      <c r="BE155" s="833">
        <v>64.0</v>
      </c>
      <c r="BF155" s="833">
        <v>45.0</v>
      </c>
      <c r="BG155" s="834">
        <v>70.0</v>
      </c>
      <c r="BH155" s="833">
        <v>20.0</v>
      </c>
      <c r="BI155" s="607"/>
      <c r="BJ155" s="835" t="s">
        <v>13</v>
      </c>
      <c r="BK155" s="836">
        <v>0.125</v>
      </c>
      <c r="BL155" s="610"/>
      <c r="BM155" s="837" t="s">
        <v>14</v>
      </c>
      <c r="BN155" s="838" t="s">
        <v>6</v>
      </c>
      <c r="BO155" s="607"/>
      <c r="BP155" s="839" t="s">
        <v>1534</v>
      </c>
      <c r="BQ155" s="614"/>
      <c r="BR155" s="840" t="s">
        <v>4427</v>
      </c>
      <c r="BS155" s="614"/>
    </row>
    <row r="156" ht="15.75" customHeight="1">
      <c r="A156" s="841"/>
      <c r="B156" s="661" t="s">
        <v>1538</v>
      </c>
      <c r="C156" s="662"/>
      <c r="D156" s="571"/>
      <c r="E156" s="672">
        <v>60.0</v>
      </c>
      <c r="F156" s="664">
        <v>62.0</v>
      </c>
      <c r="G156" s="665">
        <v>80.0</v>
      </c>
      <c r="H156" s="666">
        <v>63.0</v>
      </c>
      <c r="I156" s="667">
        <v>80.0</v>
      </c>
      <c r="J156" s="668">
        <v>60.0</v>
      </c>
      <c r="K156" s="669">
        <v>405.0</v>
      </c>
      <c r="L156" s="670">
        <v>60.0</v>
      </c>
      <c r="M156" s="664">
        <v>62.0</v>
      </c>
      <c r="N156" s="665">
        <v>80.0</v>
      </c>
      <c r="O156" s="666">
        <v>63.0</v>
      </c>
      <c r="P156" s="667">
        <v>80.0</v>
      </c>
      <c r="Q156" s="668">
        <v>60.0</v>
      </c>
      <c r="R156" s="671">
        <v>405.0</v>
      </c>
      <c r="S156" s="672">
        <v>60.0</v>
      </c>
      <c r="T156" s="664">
        <v>62.0</v>
      </c>
      <c r="U156" s="665">
        <v>80.0</v>
      </c>
      <c r="V156" s="666">
        <v>63.0</v>
      </c>
      <c r="W156" s="667">
        <v>80.0</v>
      </c>
      <c r="X156" s="668">
        <v>60.0</v>
      </c>
      <c r="Y156" s="671">
        <f t="shared" si="1"/>
        <v>405</v>
      </c>
      <c r="Z156" s="571"/>
      <c r="AA156" s="673" t="str">
        <f t="shared" si="2"/>
        <v>#NAME?</v>
      </c>
      <c r="AB156" s="674" t="s">
        <v>6</v>
      </c>
      <c r="AC156" s="675" t="str">
        <f t="shared" si="3"/>
        <v>#NAME?</v>
      </c>
      <c r="AD156" s="680" t="s">
        <v>4428</v>
      </c>
      <c r="AE156" s="676" t="str">
        <f t="shared" si="4"/>
        <v>#NAME?</v>
      </c>
      <c r="AF156" s="674" t="s">
        <v>6</v>
      </c>
      <c r="AG156" s="675" t="str">
        <f t="shared" si="5"/>
        <v>#NAME?</v>
      </c>
      <c r="AH156" s="586" t="s">
        <v>4428</v>
      </c>
      <c r="AI156" s="677" t="str">
        <f t="shared" si="6"/>
        <v>#NAME?</v>
      </c>
      <c r="AJ156" s="586" t="s">
        <v>6</v>
      </c>
      <c r="AK156" s="584" t="str">
        <f t="shared" si="7"/>
        <v>#NAME?</v>
      </c>
      <c r="AL156" s="678" t="s">
        <v>4428</v>
      </c>
      <c r="AM156" s="571"/>
      <c r="AN156" s="679" t="s">
        <v>9</v>
      </c>
      <c r="AO156" s="680"/>
      <c r="AP156" s="705" t="s">
        <v>9</v>
      </c>
      <c r="AQ156" s="706" t="s">
        <v>4451</v>
      </c>
      <c r="AR156" s="683" t="s">
        <v>1533</v>
      </c>
      <c r="AS156" s="684" t="s">
        <v>9</v>
      </c>
      <c r="AT156" s="595"/>
      <c r="AU156" s="685"/>
      <c r="AV156" s="686"/>
      <c r="AW156" s="687"/>
      <c r="AX156" s="688"/>
      <c r="AY156" s="571"/>
      <c r="AZ156" s="695" t="s">
        <v>101</v>
      </c>
      <c r="BA156" s="691" t="s">
        <v>27</v>
      </c>
      <c r="BB156" s="696"/>
      <c r="BC156" s="571"/>
      <c r="BD156" s="651" t="s">
        <v>15</v>
      </c>
      <c r="BE156" s="653">
        <v>141.0</v>
      </c>
      <c r="BF156" s="653">
        <v>45.0</v>
      </c>
      <c r="BG156" s="654">
        <v>70.0</v>
      </c>
      <c r="BH156" s="653">
        <v>40.0</v>
      </c>
      <c r="BI156" s="607"/>
      <c r="BJ156" s="655" t="s">
        <v>13</v>
      </c>
      <c r="BK156" s="656">
        <v>0.125</v>
      </c>
      <c r="BL156" s="610"/>
      <c r="BM156" s="657" t="s">
        <v>14</v>
      </c>
      <c r="BN156" s="658" t="s">
        <v>6</v>
      </c>
      <c r="BO156" s="607"/>
      <c r="BP156" s="659" t="s">
        <v>1542</v>
      </c>
      <c r="BQ156" s="614"/>
      <c r="BR156" s="660" t="s">
        <v>4427</v>
      </c>
      <c r="BS156" s="614"/>
    </row>
    <row r="157" ht="15.75" customHeight="1">
      <c r="A157" s="841"/>
      <c r="B157" s="617" t="s">
        <v>1546</v>
      </c>
      <c r="C157" s="618"/>
      <c r="D157" s="619"/>
      <c r="E157" s="629">
        <v>80.0</v>
      </c>
      <c r="F157" s="621">
        <v>82.0</v>
      </c>
      <c r="G157" s="622">
        <v>100.0</v>
      </c>
      <c r="H157" s="623">
        <v>83.0</v>
      </c>
      <c r="I157" s="624">
        <v>100.0</v>
      </c>
      <c r="J157" s="625">
        <v>80.0</v>
      </c>
      <c r="K157" s="626">
        <v>525.0</v>
      </c>
      <c r="L157" s="627">
        <v>80.0</v>
      </c>
      <c r="M157" s="621">
        <v>82.0</v>
      </c>
      <c r="N157" s="622">
        <v>100.0</v>
      </c>
      <c r="O157" s="623">
        <v>83.0</v>
      </c>
      <c r="P157" s="624">
        <v>100.0</v>
      </c>
      <c r="Q157" s="625">
        <v>80.0</v>
      </c>
      <c r="R157" s="628">
        <v>525.0</v>
      </c>
      <c r="S157" s="629">
        <v>80.0</v>
      </c>
      <c r="T157" s="621">
        <v>82.0</v>
      </c>
      <c r="U157" s="622">
        <v>100.0</v>
      </c>
      <c r="V157" s="748">
        <v>93.0</v>
      </c>
      <c r="W157" s="624">
        <v>100.0</v>
      </c>
      <c r="X157" s="625">
        <v>80.0</v>
      </c>
      <c r="Y157" s="628">
        <f t="shared" si="1"/>
        <v>535</v>
      </c>
      <c r="Z157" s="619"/>
      <c r="AA157" s="630" t="str">
        <f t="shared" si="2"/>
        <v>#NAME?</v>
      </c>
      <c r="AB157" s="631" t="s">
        <v>6</v>
      </c>
      <c r="AC157" s="632" t="str">
        <f t="shared" si="3"/>
        <v>#NAME?</v>
      </c>
      <c r="AD157" s="639" t="s">
        <v>4428</v>
      </c>
      <c r="AE157" s="633" t="str">
        <f t="shared" si="4"/>
        <v>#NAME?</v>
      </c>
      <c r="AF157" s="631" t="s">
        <v>6</v>
      </c>
      <c r="AG157" s="632" t="str">
        <f t="shared" si="5"/>
        <v>#NAME?</v>
      </c>
      <c r="AH157" s="634" t="s">
        <v>4428</v>
      </c>
      <c r="AI157" s="635" t="str">
        <f t="shared" si="6"/>
        <v>#NAME?</v>
      </c>
      <c r="AJ157" s="634" t="s">
        <v>6</v>
      </c>
      <c r="AK157" s="697" t="str">
        <f t="shared" si="7"/>
        <v>#NAME?</v>
      </c>
      <c r="AL157" s="637" t="s">
        <v>3017</v>
      </c>
      <c r="AM157" s="619"/>
      <c r="AN157" s="638" t="s">
        <v>9</v>
      </c>
      <c r="AO157" s="639"/>
      <c r="AP157" s="712" t="s">
        <v>9</v>
      </c>
      <c r="AQ157" s="713" t="s">
        <v>4451</v>
      </c>
      <c r="AR157" s="642" t="s">
        <v>1533</v>
      </c>
      <c r="AS157" s="643" t="s">
        <v>9</v>
      </c>
      <c r="AT157" s="644"/>
      <c r="AU157" s="645"/>
      <c r="AV157" s="646"/>
      <c r="AW157" s="692"/>
      <c r="AX157" s="693"/>
      <c r="AY157" s="619"/>
      <c r="AZ157" s="648" t="s">
        <v>101</v>
      </c>
      <c r="BA157" s="842" t="s">
        <v>815</v>
      </c>
      <c r="BB157" s="690"/>
      <c r="BC157" s="619"/>
      <c r="BD157" s="651" t="s">
        <v>15</v>
      </c>
      <c r="BE157" s="653">
        <v>208.0</v>
      </c>
      <c r="BF157" s="653">
        <v>45.0</v>
      </c>
      <c r="BG157" s="654">
        <v>70.0</v>
      </c>
      <c r="BH157" s="653">
        <v>100.0</v>
      </c>
      <c r="BI157" s="607"/>
      <c r="BJ157" s="655" t="s">
        <v>13</v>
      </c>
      <c r="BK157" s="656">
        <v>0.125</v>
      </c>
      <c r="BL157" s="610"/>
      <c r="BM157" s="657" t="s">
        <v>14</v>
      </c>
      <c r="BN157" s="658" t="s">
        <v>6</v>
      </c>
      <c r="BO157" s="607"/>
      <c r="BP157" s="659" t="s">
        <v>1553</v>
      </c>
      <c r="BQ157" s="614"/>
      <c r="BR157" s="660" t="s">
        <v>4427</v>
      </c>
      <c r="BS157" s="614"/>
    </row>
    <row r="158" ht="15.75" customHeight="1">
      <c r="A158" s="841"/>
      <c r="B158" s="661" t="s">
        <v>1557</v>
      </c>
      <c r="C158" s="662"/>
      <c r="D158" s="571"/>
      <c r="E158" s="672">
        <v>39.0</v>
      </c>
      <c r="F158" s="664">
        <v>52.0</v>
      </c>
      <c r="G158" s="665">
        <v>43.0</v>
      </c>
      <c r="H158" s="666">
        <v>60.0</v>
      </c>
      <c r="I158" s="667">
        <v>50.0</v>
      </c>
      <c r="J158" s="668">
        <v>65.0</v>
      </c>
      <c r="K158" s="669">
        <v>309.0</v>
      </c>
      <c r="L158" s="670">
        <v>39.0</v>
      </c>
      <c r="M158" s="664">
        <v>52.0</v>
      </c>
      <c r="N158" s="665">
        <v>43.0</v>
      </c>
      <c r="O158" s="666">
        <v>60.0</v>
      </c>
      <c r="P158" s="667">
        <v>50.0</v>
      </c>
      <c r="Q158" s="668">
        <v>65.0</v>
      </c>
      <c r="R158" s="671">
        <v>309.0</v>
      </c>
      <c r="S158" s="672">
        <v>39.0</v>
      </c>
      <c r="T158" s="664">
        <v>52.0</v>
      </c>
      <c r="U158" s="665">
        <v>43.0</v>
      </c>
      <c r="V158" s="666">
        <v>60.0</v>
      </c>
      <c r="W158" s="667">
        <v>50.0</v>
      </c>
      <c r="X158" s="668">
        <v>65.0</v>
      </c>
      <c r="Y158" s="671">
        <f t="shared" si="1"/>
        <v>309</v>
      </c>
      <c r="Z158" s="571"/>
      <c r="AA158" s="673" t="str">
        <f t="shared" si="2"/>
        <v>#NAME?</v>
      </c>
      <c r="AB158" s="674" t="s">
        <v>34</v>
      </c>
      <c r="AC158" s="675" t="str">
        <f t="shared" si="3"/>
        <v>#NAME?</v>
      </c>
      <c r="AD158" s="680" t="s">
        <v>4428</v>
      </c>
      <c r="AE158" s="676" t="str">
        <f t="shared" si="4"/>
        <v>#NAME?</v>
      </c>
      <c r="AF158" s="674" t="s">
        <v>34</v>
      </c>
      <c r="AG158" s="675" t="str">
        <f t="shared" si="5"/>
        <v>#NAME?</v>
      </c>
      <c r="AH158" s="586" t="s">
        <v>4428</v>
      </c>
      <c r="AI158" s="677" t="str">
        <f t="shared" si="6"/>
        <v>#NAME?</v>
      </c>
      <c r="AJ158" s="586" t="s">
        <v>34</v>
      </c>
      <c r="AK158" s="584" t="str">
        <f t="shared" si="7"/>
        <v>#NAME?</v>
      </c>
      <c r="AL158" s="678" t="s">
        <v>4428</v>
      </c>
      <c r="AM158" s="571"/>
      <c r="AN158" s="679" t="s">
        <v>57</v>
      </c>
      <c r="AO158" s="680"/>
      <c r="AP158" s="734" t="s">
        <v>4452</v>
      </c>
      <c r="AQ158" s="682" t="s">
        <v>57</v>
      </c>
      <c r="AR158" s="683" t="s">
        <v>219</v>
      </c>
      <c r="AS158" s="684" t="s">
        <v>57</v>
      </c>
      <c r="AT158" s="595"/>
      <c r="AU158" s="685"/>
      <c r="AV158" s="686"/>
      <c r="AW158" s="687"/>
      <c r="AX158" s="688"/>
      <c r="AY158" s="571"/>
      <c r="AZ158" s="695" t="s">
        <v>56</v>
      </c>
      <c r="BA158" s="700"/>
      <c r="BB158" s="690"/>
      <c r="BC158" s="571"/>
      <c r="BD158" s="651" t="s">
        <v>15</v>
      </c>
      <c r="BE158" s="653">
        <v>65.0</v>
      </c>
      <c r="BF158" s="653">
        <v>45.0</v>
      </c>
      <c r="BG158" s="654">
        <v>70.0</v>
      </c>
      <c r="BH158" s="653">
        <v>20.0</v>
      </c>
      <c r="BI158" s="607"/>
      <c r="BJ158" s="655" t="s">
        <v>13</v>
      </c>
      <c r="BK158" s="656">
        <v>0.125</v>
      </c>
      <c r="BL158" s="610"/>
      <c r="BM158" s="657" t="s">
        <v>277</v>
      </c>
      <c r="BN158" s="704"/>
      <c r="BO158" s="607"/>
      <c r="BP158" s="659" t="s">
        <v>1561</v>
      </c>
      <c r="BQ158" s="614"/>
      <c r="BR158" s="660" t="s">
        <v>4433</v>
      </c>
      <c r="BS158" s="614"/>
    </row>
    <row r="159" ht="15.75" customHeight="1">
      <c r="A159" s="841"/>
      <c r="B159" s="617" t="s">
        <v>1565</v>
      </c>
      <c r="C159" s="618"/>
      <c r="D159" s="619"/>
      <c r="E159" s="629">
        <v>58.0</v>
      </c>
      <c r="F159" s="621">
        <v>64.0</v>
      </c>
      <c r="G159" s="622">
        <v>58.0</v>
      </c>
      <c r="H159" s="748">
        <v>80.0</v>
      </c>
      <c r="I159" s="624">
        <v>65.0</v>
      </c>
      <c r="J159" s="625">
        <v>80.0</v>
      </c>
      <c r="K159" s="749">
        <v>405.0</v>
      </c>
      <c r="L159" s="627">
        <v>58.0</v>
      </c>
      <c r="M159" s="621">
        <v>64.0</v>
      </c>
      <c r="N159" s="622">
        <v>58.0</v>
      </c>
      <c r="O159" s="623">
        <v>80.0</v>
      </c>
      <c r="P159" s="624">
        <v>65.0</v>
      </c>
      <c r="Q159" s="625">
        <v>80.0</v>
      </c>
      <c r="R159" s="628">
        <v>405.0</v>
      </c>
      <c r="S159" s="629">
        <v>58.0</v>
      </c>
      <c r="T159" s="621">
        <v>64.0</v>
      </c>
      <c r="U159" s="622">
        <v>58.0</v>
      </c>
      <c r="V159" s="623">
        <v>80.0</v>
      </c>
      <c r="W159" s="624">
        <v>65.0</v>
      </c>
      <c r="X159" s="625">
        <v>80.0</v>
      </c>
      <c r="Y159" s="628">
        <f t="shared" si="1"/>
        <v>405</v>
      </c>
      <c r="Z159" s="619"/>
      <c r="AA159" s="630" t="str">
        <f t="shared" si="2"/>
        <v>#NAME?</v>
      </c>
      <c r="AB159" s="631" t="s">
        <v>34</v>
      </c>
      <c r="AC159" s="632" t="str">
        <f t="shared" si="3"/>
        <v>#NAME?</v>
      </c>
      <c r="AD159" s="639" t="s">
        <v>4428</v>
      </c>
      <c r="AE159" s="633" t="str">
        <f t="shared" si="4"/>
        <v>#NAME?</v>
      </c>
      <c r="AF159" s="631" t="s">
        <v>34</v>
      </c>
      <c r="AG159" s="632" t="str">
        <f t="shared" si="5"/>
        <v>#NAME?</v>
      </c>
      <c r="AH159" s="634" t="s">
        <v>4428</v>
      </c>
      <c r="AI159" s="635" t="str">
        <f t="shared" si="6"/>
        <v>#NAME?</v>
      </c>
      <c r="AJ159" s="634" t="s">
        <v>34</v>
      </c>
      <c r="AK159" s="636" t="str">
        <f t="shared" si="7"/>
        <v>#NAME?</v>
      </c>
      <c r="AL159" s="637" t="s">
        <v>4428</v>
      </c>
      <c r="AM159" s="619"/>
      <c r="AN159" s="638" t="s">
        <v>57</v>
      </c>
      <c r="AO159" s="639"/>
      <c r="AP159" s="640" t="s">
        <v>4452</v>
      </c>
      <c r="AQ159" s="641" t="s">
        <v>57</v>
      </c>
      <c r="AR159" s="642" t="s">
        <v>219</v>
      </c>
      <c r="AS159" s="643" t="s">
        <v>57</v>
      </c>
      <c r="AT159" s="644"/>
      <c r="AU159" s="645"/>
      <c r="AV159" s="646"/>
      <c r="AW159" s="692"/>
      <c r="AX159" s="693"/>
      <c r="AY159" s="619"/>
      <c r="AZ159" s="648" t="s">
        <v>4</v>
      </c>
      <c r="BA159" s="649" t="s">
        <v>56</v>
      </c>
      <c r="BB159" s="650"/>
      <c r="BC159" s="619"/>
      <c r="BD159" s="651" t="s">
        <v>15</v>
      </c>
      <c r="BE159" s="653">
        <v>142.0</v>
      </c>
      <c r="BF159" s="653">
        <v>45.0</v>
      </c>
      <c r="BG159" s="654">
        <v>70.0</v>
      </c>
      <c r="BH159" s="653">
        <v>40.0</v>
      </c>
      <c r="BI159" s="607"/>
      <c r="BJ159" s="655" t="s">
        <v>13</v>
      </c>
      <c r="BK159" s="656">
        <v>0.125</v>
      </c>
      <c r="BL159" s="610"/>
      <c r="BM159" s="657" t="s">
        <v>277</v>
      </c>
      <c r="BN159" s="704"/>
      <c r="BO159" s="607"/>
      <c r="BP159" s="659" t="s">
        <v>1568</v>
      </c>
      <c r="BQ159" s="614"/>
      <c r="BR159" s="660" t="s">
        <v>4433</v>
      </c>
      <c r="BS159" s="614"/>
    </row>
    <row r="160" ht="15.75" customHeight="1">
      <c r="A160" s="841"/>
      <c r="B160" s="661" t="s">
        <v>1572</v>
      </c>
      <c r="C160" s="662"/>
      <c r="D160" s="571"/>
      <c r="E160" s="672">
        <v>78.0</v>
      </c>
      <c r="F160" s="664">
        <v>84.0</v>
      </c>
      <c r="G160" s="665">
        <v>78.0</v>
      </c>
      <c r="H160" s="666">
        <v>109.0</v>
      </c>
      <c r="I160" s="667">
        <v>85.0</v>
      </c>
      <c r="J160" s="668">
        <v>100.0</v>
      </c>
      <c r="K160" s="669">
        <v>534.0</v>
      </c>
      <c r="L160" s="670">
        <v>78.0</v>
      </c>
      <c r="M160" s="664">
        <v>84.0</v>
      </c>
      <c r="N160" s="665">
        <v>78.0</v>
      </c>
      <c r="O160" s="666">
        <v>109.0</v>
      </c>
      <c r="P160" s="667">
        <v>85.0</v>
      </c>
      <c r="Q160" s="668">
        <v>100.0</v>
      </c>
      <c r="R160" s="671">
        <v>534.0</v>
      </c>
      <c r="S160" s="672">
        <v>78.0</v>
      </c>
      <c r="T160" s="741">
        <v>79.0</v>
      </c>
      <c r="U160" s="742">
        <v>73.0</v>
      </c>
      <c r="V160" s="743">
        <v>124.0</v>
      </c>
      <c r="W160" s="744">
        <v>80.0</v>
      </c>
      <c r="X160" s="745">
        <v>101.0</v>
      </c>
      <c r="Y160" s="671">
        <f t="shared" si="1"/>
        <v>535</v>
      </c>
      <c r="Z160" s="571"/>
      <c r="AA160" s="673" t="str">
        <f t="shared" si="2"/>
        <v>#NAME?</v>
      </c>
      <c r="AB160" s="674" t="s">
        <v>34</v>
      </c>
      <c r="AC160" s="675" t="str">
        <f t="shared" si="3"/>
        <v>#NAME?</v>
      </c>
      <c r="AD160" s="680" t="s">
        <v>4428</v>
      </c>
      <c r="AE160" s="676" t="str">
        <f t="shared" si="4"/>
        <v>#NAME?</v>
      </c>
      <c r="AF160" s="674" t="s">
        <v>34</v>
      </c>
      <c r="AG160" s="675" t="str">
        <f t="shared" si="5"/>
        <v>#NAME?</v>
      </c>
      <c r="AH160" s="586" t="s">
        <v>4428</v>
      </c>
      <c r="AI160" s="677" t="str">
        <f t="shared" si="6"/>
        <v>#NAME?</v>
      </c>
      <c r="AJ160" s="586" t="s">
        <v>34</v>
      </c>
      <c r="AK160" s="584" t="str">
        <f t="shared" si="7"/>
        <v>#NAME?</v>
      </c>
      <c r="AL160" s="678" t="s">
        <v>4428</v>
      </c>
      <c r="AM160" s="571"/>
      <c r="AN160" s="679" t="s">
        <v>57</v>
      </c>
      <c r="AO160" s="680"/>
      <c r="AP160" s="710" t="s">
        <v>4452</v>
      </c>
      <c r="AQ160" s="716" t="s">
        <v>57</v>
      </c>
      <c r="AR160" s="683" t="s">
        <v>219</v>
      </c>
      <c r="AS160" s="684" t="s">
        <v>57</v>
      </c>
      <c r="AT160" s="595"/>
      <c r="AU160" s="685"/>
      <c r="AV160" s="686"/>
      <c r="AW160" s="687"/>
      <c r="AX160" s="688"/>
      <c r="AY160" s="571"/>
      <c r="AZ160" s="689" t="s">
        <v>85</v>
      </c>
      <c r="BA160" s="699"/>
      <c r="BB160" s="690"/>
      <c r="BC160" s="571"/>
      <c r="BD160" s="651" t="s">
        <v>15</v>
      </c>
      <c r="BE160" s="653">
        <v>209.0</v>
      </c>
      <c r="BF160" s="653">
        <v>45.0</v>
      </c>
      <c r="BG160" s="654">
        <v>70.0</v>
      </c>
      <c r="BH160" s="653">
        <v>80.0</v>
      </c>
      <c r="BI160" s="607"/>
      <c r="BJ160" s="655" t="s">
        <v>13</v>
      </c>
      <c r="BK160" s="656">
        <v>0.125</v>
      </c>
      <c r="BL160" s="610"/>
      <c r="BM160" s="657" t="s">
        <v>277</v>
      </c>
      <c r="BN160" s="704"/>
      <c r="BO160" s="607"/>
      <c r="BP160" s="659" t="s">
        <v>1580</v>
      </c>
      <c r="BQ160" s="614"/>
      <c r="BR160" s="660" t="s">
        <v>4433</v>
      </c>
      <c r="BS160" s="614"/>
    </row>
    <row r="161" ht="15.75" customHeight="1">
      <c r="A161" s="841"/>
      <c r="B161" s="617" t="s">
        <v>1584</v>
      </c>
      <c r="C161" s="618"/>
      <c r="D161" s="619"/>
      <c r="E161" s="629">
        <v>50.0</v>
      </c>
      <c r="F161" s="621">
        <v>65.0</v>
      </c>
      <c r="G161" s="622">
        <v>64.0</v>
      </c>
      <c r="H161" s="623">
        <v>44.0</v>
      </c>
      <c r="I161" s="624">
        <v>48.0</v>
      </c>
      <c r="J161" s="625">
        <v>43.0</v>
      </c>
      <c r="K161" s="626">
        <v>314.0</v>
      </c>
      <c r="L161" s="627">
        <v>50.0</v>
      </c>
      <c r="M161" s="621">
        <v>65.0</v>
      </c>
      <c r="N161" s="622">
        <v>64.0</v>
      </c>
      <c r="O161" s="623">
        <v>44.0</v>
      </c>
      <c r="P161" s="624">
        <v>48.0</v>
      </c>
      <c r="Q161" s="625">
        <v>43.0</v>
      </c>
      <c r="R161" s="628">
        <v>314.0</v>
      </c>
      <c r="S161" s="629">
        <v>50.0</v>
      </c>
      <c r="T161" s="621">
        <v>65.0</v>
      </c>
      <c r="U161" s="622">
        <v>64.0</v>
      </c>
      <c r="V161" s="623">
        <v>44.0</v>
      </c>
      <c r="W161" s="624">
        <v>48.0</v>
      </c>
      <c r="X161" s="625">
        <v>43.0</v>
      </c>
      <c r="Y161" s="628">
        <f t="shared" si="1"/>
        <v>314</v>
      </c>
      <c r="Z161" s="619"/>
      <c r="AA161" s="630" t="str">
        <f t="shared" si="2"/>
        <v>#NAME?</v>
      </c>
      <c r="AB161" s="631" t="s">
        <v>32</v>
      </c>
      <c r="AC161" s="632" t="str">
        <f t="shared" si="3"/>
        <v>#NAME?</v>
      </c>
      <c r="AD161" s="639" t="s">
        <v>4428</v>
      </c>
      <c r="AE161" s="633" t="str">
        <f t="shared" si="4"/>
        <v>#NAME?</v>
      </c>
      <c r="AF161" s="631" t="s">
        <v>32</v>
      </c>
      <c r="AG161" s="632" t="str">
        <f t="shared" si="5"/>
        <v>#NAME?</v>
      </c>
      <c r="AH161" s="634" t="s">
        <v>4428</v>
      </c>
      <c r="AI161" s="635" t="str">
        <f t="shared" si="6"/>
        <v>#NAME?</v>
      </c>
      <c r="AJ161" s="634" t="s">
        <v>32</v>
      </c>
      <c r="AK161" s="636" t="str">
        <f t="shared" si="7"/>
        <v>#NAME?</v>
      </c>
      <c r="AL161" s="637" t="s">
        <v>4428</v>
      </c>
      <c r="AM161" s="619"/>
      <c r="AN161" s="638" t="s">
        <v>102</v>
      </c>
      <c r="AO161" s="639"/>
      <c r="AP161" s="712" t="s">
        <v>102</v>
      </c>
      <c r="AQ161" s="639"/>
      <c r="AR161" s="640" t="s">
        <v>1587</v>
      </c>
      <c r="AS161" s="643" t="s">
        <v>102</v>
      </c>
      <c r="AT161" s="644"/>
      <c r="AU161" s="645"/>
      <c r="AV161" s="646"/>
      <c r="AW161" s="692"/>
      <c r="AX161" s="693"/>
      <c r="AY161" s="619"/>
      <c r="AZ161" s="648" t="s">
        <v>325</v>
      </c>
      <c r="BA161" s="694"/>
      <c r="BB161" s="690"/>
      <c r="BC161" s="619"/>
      <c r="BD161" s="651" t="s">
        <v>15</v>
      </c>
      <c r="BE161" s="653">
        <v>66.0</v>
      </c>
      <c r="BF161" s="653">
        <v>45.0</v>
      </c>
      <c r="BG161" s="654">
        <v>70.0</v>
      </c>
      <c r="BH161" s="653">
        <v>20.0</v>
      </c>
      <c r="BI161" s="607"/>
      <c r="BJ161" s="655" t="s">
        <v>13</v>
      </c>
      <c r="BK161" s="656">
        <v>0.125</v>
      </c>
      <c r="BL161" s="610"/>
      <c r="BM161" s="657" t="s">
        <v>14</v>
      </c>
      <c r="BN161" s="658" t="s">
        <v>106</v>
      </c>
      <c r="BO161" s="607"/>
      <c r="BP161" s="659" t="s">
        <v>1588</v>
      </c>
      <c r="BQ161" s="614"/>
      <c r="BR161" s="660" t="s">
        <v>4430</v>
      </c>
      <c r="BS161" s="614"/>
    </row>
    <row r="162" ht="15.75" customHeight="1">
      <c r="A162" s="841"/>
      <c r="B162" s="661" t="s">
        <v>1592</v>
      </c>
      <c r="C162" s="662"/>
      <c r="D162" s="571"/>
      <c r="E162" s="672">
        <v>65.0</v>
      </c>
      <c r="F162" s="664">
        <v>80.0</v>
      </c>
      <c r="G162" s="665">
        <v>80.0</v>
      </c>
      <c r="H162" s="666">
        <v>59.0</v>
      </c>
      <c r="I162" s="667">
        <v>63.0</v>
      </c>
      <c r="J162" s="668">
        <v>58.0</v>
      </c>
      <c r="K162" s="669">
        <v>405.0</v>
      </c>
      <c r="L162" s="670">
        <v>65.0</v>
      </c>
      <c r="M162" s="664">
        <v>80.0</v>
      </c>
      <c r="N162" s="665">
        <v>80.0</v>
      </c>
      <c r="O162" s="666">
        <v>59.0</v>
      </c>
      <c r="P162" s="667">
        <v>63.0</v>
      </c>
      <c r="Q162" s="668">
        <v>58.0</v>
      </c>
      <c r="R162" s="671">
        <v>405.0</v>
      </c>
      <c r="S162" s="672">
        <v>65.0</v>
      </c>
      <c r="T162" s="664">
        <v>80.0</v>
      </c>
      <c r="U162" s="665">
        <v>80.0</v>
      </c>
      <c r="V162" s="666">
        <v>59.0</v>
      </c>
      <c r="W162" s="667">
        <v>63.0</v>
      </c>
      <c r="X162" s="668">
        <v>58.0</v>
      </c>
      <c r="Y162" s="671">
        <f t="shared" si="1"/>
        <v>405</v>
      </c>
      <c r="Z162" s="571"/>
      <c r="AA162" s="673" t="str">
        <f t="shared" si="2"/>
        <v>#NAME?</v>
      </c>
      <c r="AB162" s="674" t="s">
        <v>32</v>
      </c>
      <c r="AC162" s="675" t="str">
        <f t="shared" si="3"/>
        <v>#NAME?</v>
      </c>
      <c r="AD162" s="680" t="s">
        <v>4428</v>
      </c>
      <c r="AE162" s="676" t="str">
        <f t="shared" si="4"/>
        <v>#NAME?</v>
      </c>
      <c r="AF162" s="674" t="s">
        <v>32</v>
      </c>
      <c r="AG162" s="675" t="str">
        <f t="shared" si="5"/>
        <v>#NAME?</v>
      </c>
      <c r="AH162" s="586" t="s">
        <v>4428</v>
      </c>
      <c r="AI162" s="677" t="str">
        <f t="shared" si="6"/>
        <v>#NAME?</v>
      </c>
      <c r="AJ162" s="586" t="s">
        <v>32</v>
      </c>
      <c r="AK162" s="584" t="str">
        <f t="shared" si="7"/>
        <v>#NAME?</v>
      </c>
      <c r="AL162" s="678" t="s">
        <v>4428</v>
      </c>
      <c r="AM162" s="571"/>
      <c r="AN162" s="679" t="s">
        <v>102</v>
      </c>
      <c r="AO162" s="680"/>
      <c r="AP162" s="705" t="s">
        <v>102</v>
      </c>
      <c r="AQ162" s="680"/>
      <c r="AR162" s="681" t="s">
        <v>1587</v>
      </c>
      <c r="AS162" s="684" t="s">
        <v>102</v>
      </c>
      <c r="AT162" s="595"/>
      <c r="AU162" s="685"/>
      <c r="AV162" s="686"/>
      <c r="AW162" s="687"/>
      <c r="AX162" s="688"/>
      <c r="AY162" s="571"/>
      <c r="AZ162" s="695" t="s">
        <v>325</v>
      </c>
      <c r="BA162" s="691" t="s">
        <v>101</v>
      </c>
      <c r="BB162" s="696"/>
      <c r="BC162" s="571"/>
      <c r="BD162" s="651" t="s">
        <v>15</v>
      </c>
      <c r="BE162" s="653">
        <v>143.0</v>
      </c>
      <c r="BF162" s="653">
        <v>45.0</v>
      </c>
      <c r="BG162" s="654">
        <v>70.0</v>
      </c>
      <c r="BH162" s="653">
        <v>40.0</v>
      </c>
      <c r="BI162" s="607"/>
      <c r="BJ162" s="655" t="s">
        <v>13</v>
      </c>
      <c r="BK162" s="656">
        <v>0.125</v>
      </c>
      <c r="BL162" s="610"/>
      <c r="BM162" s="657" t="s">
        <v>14</v>
      </c>
      <c r="BN162" s="658" t="s">
        <v>106</v>
      </c>
      <c r="BO162" s="607"/>
      <c r="BP162" s="659" t="s">
        <v>1596</v>
      </c>
      <c r="BQ162" s="614"/>
      <c r="BR162" s="660" t="s">
        <v>4430</v>
      </c>
      <c r="BS162" s="614"/>
    </row>
    <row r="163" ht="15.75" customHeight="1">
      <c r="A163" s="841"/>
      <c r="B163" s="617" t="s">
        <v>1600</v>
      </c>
      <c r="C163" s="618"/>
      <c r="D163" s="619"/>
      <c r="E163" s="629">
        <v>85.0</v>
      </c>
      <c r="F163" s="750">
        <v>105.0</v>
      </c>
      <c r="G163" s="622">
        <v>100.0</v>
      </c>
      <c r="H163" s="623">
        <v>79.0</v>
      </c>
      <c r="I163" s="624">
        <v>83.0</v>
      </c>
      <c r="J163" s="625">
        <v>78.0</v>
      </c>
      <c r="K163" s="749">
        <v>530.0</v>
      </c>
      <c r="L163" s="627">
        <v>85.0</v>
      </c>
      <c r="M163" s="621">
        <v>105.0</v>
      </c>
      <c r="N163" s="622">
        <v>100.0</v>
      </c>
      <c r="O163" s="623">
        <v>79.0</v>
      </c>
      <c r="P163" s="624">
        <v>83.0</v>
      </c>
      <c r="Q163" s="625">
        <v>78.0</v>
      </c>
      <c r="R163" s="628">
        <v>530.0</v>
      </c>
      <c r="S163" s="629">
        <v>85.0</v>
      </c>
      <c r="T163" s="750">
        <v>110.0</v>
      </c>
      <c r="U163" s="622">
        <v>100.0</v>
      </c>
      <c r="V163" s="623">
        <v>79.0</v>
      </c>
      <c r="W163" s="624">
        <v>83.0</v>
      </c>
      <c r="X163" s="625">
        <v>78.0</v>
      </c>
      <c r="Y163" s="628">
        <f t="shared" si="1"/>
        <v>535</v>
      </c>
      <c r="Z163" s="619"/>
      <c r="AA163" s="630" t="str">
        <f t="shared" si="2"/>
        <v>#NAME?</v>
      </c>
      <c r="AB163" s="631" t="s">
        <v>32</v>
      </c>
      <c r="AC163" s="632" t="str">
        <f t="shared" si="3"/>
        <v>#NAME?</v>
      </c>
      <c r="AD163" s="639" t="s">
        <v>4428</v>
      </c>
      <c r="AE163" s="633" t="str">
        <f t="shared" si="4"/>
        <v>#NAME?</v>
      </c>
      <c r="AF163" s="631" t="s">
        <v>32</v>
      </c>
      <c r="AG163" s="632" t="str">
        <f t="shared" si="5"/>
        <v>#NAME?</v>
      </c>
      <c r="AH163" s="634" t="s">
        <v>4428</v>
      </c>
      <c r="AI163" s="635" t="str">
        <f t="shared" si="6"/>
        <v>#NAME?</v>
      </c>
      <c r="AJ163" s="634" t="s">
        <v>32</v>
      </c>
      <c r="AK163" s="697" t="str">
        <f t="shared" si="7"/>
        <v>#NAME?</v>
      </c>
      <c r="AL163" s="637" t="s">
        <v>4453</v>
      </c>
      <c r="AM163" s="619"/>
      <c r="AN163" s="638" t="s">
        <v>102</v>
      </c>
      <c r="AO163" s="639"/>
      <c r="AP163" s="712" t="s">
        <v>102</v>
      </c>
      <c r="AQ163" s="639"/>
      <c r="AR163" s="701" t="s">
        <v>1587</v>
      </c>
      <c r="AS163" s="843" t="s">
        <v>102</v>
      </c>
      <c r="AT163" s="644"/>
      <c r="AU163" s="645"/>
      <c r="AV163" s="646"/>
      <c r="AW163" s="692"/>
      <c r="AX163" s="693"/>
      <c r="AY163" s="619"/>
      <c r="AZ163" s="698" t="s">
        <v>216</v>
      </c>
      <c r="BA163" s="690"/>
      <c r="BB163" s="649" t="s">
        <v>101</v>
      </c>
      <c r="BC163" s="619"/>
      <c r="BD163" s="651" t="s">
        <v>15</v>
      </c>
      <c r="BE163" s="653">
        <v>210.0</v>
      </c>
      <c r="BF163" s="653">
        <v>45.0</v>
      </c>
      <c r="BG163" s="654">
        <v>70.0</v>
      </c>
      <c r="BH163" s="653">
        <v>80.0</v>
      </c>
      <c r="BI163" s="607"/>
      <c r="BJ163" s="655" t="s">
        <v>13</v>
      </c>
      <c r="BK163" s="656">
        <v>0.125</v>
      </c>
      <c r="BL163" s="610"/>
      <c r="BM163" s="657" t="s">
        <v>14</v>
      </c>
      <c r="BN163" s="658" t="s">
        <v>106</v>
      </c>
      <c r="BO163" s="607"/>
      <c r="BP163" s="659" t="s">
        <v>1605</v>
      </c>
      <c r="BQ163" s="614"/>
      <c r="BR163" s="660" t="s">
        <v>4430</v>
      </c>
      <c r="BS163" s="614"/>
    </row>
    <row r="164" ht="15.75" customHeight="1">
      <c r="A164" s="841"/>
      <c r="B164" s="661" t="s">
        <v>1609</v>
      </c>
      <c r="C164" s="662"/>
      <c r="D164" s="571"/>
      <c r="E164" s="672">
        <v>35.0</v>
      </c>
      <c r="F164" s="664">
        <v>46.0</v>
      </c>
      <c r="G164" s="665">
        <v>34.0</v>
      </c>
      <c r="H164" s="666">
        <v>35.0</v>
      </c>
      <c r="I164" s="667">
        <v>45.0</v>
      </c>
      <c r="J164" s="668">
        <v>20.0</v>
      </c>
      <c r="K164" s="669">
        <v>215.0</v>
      </c>
      <c r="L164" s="670">
        <v>35.0</v>
      </c>
      <c r="M164" s="664">
        <v>46.0</v>
      </c>
      <c r="N164" s="665">
        <v>34.0</v>
      </c>
      <c r="O164" s="666">
        <v>35.0</v>
      </c>
      <c r="P164" s="667">
        <v>45.0</v>
      </c>
      <c r="Q164" s="668">
        <v>20.0</v>
      </c>
      <c r="R164" s="671">
        <v>215.0</v>
      </c>
      <c r="S164" s="769">
        <v>45.0</v>
      </c>
      <c r="T164" s="741">
        <v>45.0</v>
      </c>
      <c r="U164" s="742">
        <v>35.0</v>
      </c>
      <c r="V164" s="666">
        <v>35.0</v>
      </c>
      <c r="W164" s="667">
        <v>45.0</v>
      </c>
      <c r="X164" s="745">
        <v>40.0</v>
      </c>
      <c r="Y164" s="671">
        <f t="shared" si="1"/>
        <v>245</v>
      </c>
      <c r="Z164" s="571"/>
      <c r="AA164" s="673" t="str">
        <f t="shared" si="2"/>
        <v>#NAME?</v>
      </c>
      <c r="AB164" s="674" t="s">
        <v>156</v>
      </c>
      <c r="AC164" s="675" t="str">
        <f t="shared" si="3"/>
        <v>#NAME?</v>
      </c>
      <c r="AD164" s="680" t="s">
        <v>4428</v>
      </c>
      <c r="AE164" s="676" t="str">
        <f t="shared" si="4"/>
        <v>#NAME?</v>
      </c>
      <c r="AF164" s="674" t="s">
        <v>156</v>
      </c>
      <c r="AG164" s="675" t="str">
        <f t="shared" si="5"/>
        <v>#NAME?</v>
      </c>
      <c r="AH164" s="586" t="s">
        <v>4428</v>
      </c>
      <c r="AI164" s="677" t="str">
        <f t="shared" si="6"/>
        <v>#NAME?</v>
      </c>
      <c r="AJ164" s="586" t="s">
        <v>156</v>
      </c>
      <c r="AK164" s="584" t="str">
        <f t="shared" si="7"/>
        <v>#NAME?</v>
      </c>
      <c r="AL164" s="678" t="s">
        <v>4428</v>
      </c>
      <c r="AM164" s="571"/>
      <c r="AN164" s="679" t="s">
        <v>146</v>
      </c>
      <c r="AO164" s="680" t="s">
        <v>235</v>
      </c>
      <c r="AP164" s="705" t="s">
        <v>146</v>
      </c>
      <c r="AQ164" s="680" t="s">
        <v>235</v>
      </c>
      <c r="AR164" s="705" t="s">
        <v>146</v>
      </c>
      <c r="AS164" s="680" t="s">
        <v>235</v>
      </c>
      <c r="AT164" s="595"/>
      <c r="AU164" s="685"/>
      <c r="AV164" s="686"/>
      <c r="AW164" s="687"/>
      <c r="AX164" s="688"/>
      <c r="AY164" s="571"/>
      <c r="AZ164" s="695" t="s">
        <v>325</v>
      </c>
      <c r="BA164" s="700"/>
      <c r="BB164" s="690"/>
      <c r="BC164" s="571"/>
      <c r="BD164" s="651" t="s">
        <v>150</v>
      </c>
      <c r="BE164" s="653">
        <v>57.0</v>
      </c>
      <c r="BF164" s="653">
        <v>255.0</v>
      </c>
      <c r="BG164" s="654">
        <v>70.0</v>
      </c>
      <c r="BH164" s="653">
        <v>20.0</v>
      </c>
      <c r="BI164" s="607"/>
      <c r="BJ164" s="655" t="s">
        <v>149</v>
      </c>
      <c r="BK164" s="703" t="s">
        <v>149</v>
      </c>
      <c r="BL164" s="610"/>
      <c r="BM164" s="657" t="s">
        <v>277</v>
      </c>
      <c r="BN164" s="704"/>
      <c r="BO164" s="607"/>
      <c r="BP164" s="659" t="s">
        <v>1614</v>
      </c>
      <c r="BQ164" s="614"/>
      <c r="BR164" s="660" t="s">
        <v>4432</v>
      </c>
      <c r="BS164" s="614"/>
    </row>
    <row r="165" ht="15.75" customHeight="1">
      <c r="A165" s="841"/>
      <c r="B165" s="617" t="s">
        <v>1618</v>
      </c>
      <c r="C165" s="618"/>
      <c r="D165" s="619"/>
      <c r="E165" s="629">
        <v>85.0</v>
      </c>
      <c r="F165" s="621">
        <v>76.0</v>
      </c>
      <c r="G165" s="622">
        <v>64.0</v>
      </c>
      <c r="H165" s="623">
        <v>45.0</v>
      </c>
      <c r="I165" s="624">
        <v>55.0</v>
      </c>
      <c r="J165" s="753">
        <v>90.0</v>
      </c>
      <c r="K165" s="749">
        <v>415.0</v>
      </c>
      <c r="L165" s="627">
        <v>85.0</v>
      </c>
      <c r="M165" s="621">
        <v>76.0</v>
      </c>
      <c r="N165" s="622">
        <v>64.0</v>
      </c>
      <c r="O165" s="623">
        <v>45.0</v>
      </c>
      <c r="P165" s="624">
        <v>55.0</v>
      </c>
      <c r="Q165" s="625">
        <v>90.0</v>
      </c>
      <c r="R165" s="628">
        <v>415.0</v>
      </c>
      <c r="S165" s="778">
        <v>95.0</v>
      </c>
      <c r="T165" s="750">
        <v>85.0</v>
      </c>
      <c r="U165" s="751">
        <v>65.0</v>
      </c>
      <c r="V165" s="623">
        <v>45.0</v>
      </c>
      <c r="W165" s="624">
        <v>55.0</v>
      </c>
      <c r="X165" s="753">
        <v>105.0</v>
      </c>
      <c r="Y165" s="628">
        <f t="shared" si="1"/>
        <v>450</v>
      </c>
      <c r="Z165" s="619"/>
      <c r="AA165" s="630" t="str">
        <f t="shared" si="2"/>
        <v>#NAME?</v>
      </c>
      <c r="AB165" s="631" t="s">
        <v>156</v>
      </c>
      <c r="AC165" s="632" t="str">
        <f t="shared" si="3"/>
        <v>#NAME?</v>
      </c>
      <c r="AD165" s="639" t="s">
        <v>4428</v>
      </c>
      <c r="AE165" s="633" t="str">
        <f t="shared" si="4"/>
        <v>#NAME?</v>
      </c>
      <c r="AF165" s="631" t="s">
        <v>156</v>
      </c>
      <c r="AG165" s="632" t="str">
        <f t="shared" si="5"/>
        <v>#NAME?</v>
      </c>
      <c r="AH165" s="634" t="s">
        <v>4428</v>
      </c>
      <c r="AI165" s="635" t="str">
        <f t="shared" si="6"/>
        <v>#NAME?</v>
      </c>
      <c r="AJ165" s="634" t="s">
        <v>156</v>
      </c>
      <c r="AK165" s="636" t="str">
        <f t="shared" si="7"/>
        <v>#NAME?</v>
      </c>
      <c r="AL165" s="637" t="s">
        <v>4428</v>
      </c>
      <c r="AM165" s="619"/>
      <c r="AN165" s="638" t="s">
        <v>146</v>
      </c>
      <c r="AO165" s="639" t="s">
        <v>235</v>
      </c>
      <c r="AP165" s="712" t="s">
        <v>146</v>
      </c>
      <c r="AQ165" s="639" t="s">
        <v>235</v>
      </c>
      <c r="AR165" s="708" t="s">
        <v>1623</v>
      </c>
      <c r="AS165" s="758" t="s">
        <v>146</v>
      </c>
      <c r="AT165" s="644"/>
      <c r="AU165" s="645"/>
      <c r="AV165" s="646"/>
      <c r="AW165" s="692"/>
      <c r="AX165" s="693"/>
      <c r="AY165" s="619"/>
      <c r="AZ165" s="698" t="s">
        <v>248</v>
      </c>
      <c r="BA165" s="690"/>
      <c r="BB165" s="650"/>
      <c r="BC165" s="619"/>
      <c r="BD165" s="651" t="s">
        <v>150</v>
      </c>
      <c r="BE165" s="653">
        <v>116.0</v>
      </c>
      <c r="BF165" s="653">
        <v>90.0</v>
      </c>
      <c r="BG165" s="654">
        <v>70.0</v>
      </c>
      <c r="BH165" s="653">
        <v>60.0</v>
      </c>
      <c r="BI165" s="607"/>
      <c r="BJ165" s="655" t="s">
        <v>149</v>
      </c>
      <c r="BK165" s="703" t="s">
        <v>149</v>
      </c>
      <c r="BL165" s="610"/>
      <c r="BM165" s="657" t="s">
        <v>277</v>
      </c>
      <c r="BN165" s="704"/>
      <c r="BO165" s="607"/>
      <c r="BP165" s="659" t="s">
        <v>1625</v>
      </c>
      <c r="BQ165" s="614"/>
      <c r="BR165" s="660" t="s">
        <v>4432</v>
      </c>
      <c r="BS165" s="614"/>
    </row>
    <row r="166" ht="15.75" customHeight="1">
      <c r="A166" s="841"/>
      <c r="B166" s="661" t="s">
        <v>1629</v>
      </c>
      <c r="C166" s="662"/>
      <c r="D166" s="571"/>
      <c r="E166" s="672">
        <v>60.0</v>
      </c>
      <c r="F166" s="664">
        <v>30.0</v>
      </c>
      <c r="G166" s="665">
        <v>30.0</v>
      </c>
      <c r="H166" s="666">
        <v>36.0</v>
      </c>
      <c r="I166" s="667">
        <v>56.0</v>
      </c>
      <c r="J166" s="668">
        <v>50.0</v>
      </c>
      <c r="K166" s="669">
        <v>262.0</v>
      </c>
      <c r="L166" s="670">
        <v>60.0</v>
      </c>
      <c r="M166" s="664">
        <v>30.0</v>
      </c>
      <c r="N166" s="665">
        <v>30.0</v>
      </c>
      <c r="O166" s="666">
        <v>36.0</v>
      </c>
      <c r="P166" s="667">
        <v>56.0</v>
      </c>
      <c r="Q166" s="668">
        <v>50.0</v>
      </c>
      <c r="R166" s="671">
        <v>262.0</v>
      </c>
      <c r="S166" s="672">
        <v>60.0</v>
      </c>
      <c r="T166" s="664">
        <v>30.0</v>
      </c>
      <c r="U166" s="665">
        <v>30.0</v>
      </c>
      <c r="V166" s="666">
        <v>36.0</v>
      </c>
      <c r="W166" s="667">
        <v>56.0</v>
      </c>
      <c r="X166" s="668">
        <v>50.0</v>
      </c>
      <c r="Y166" s="671">
        <f t="shared" si="1"/>
        <v>262</v>
      </c>
      <c r="Z166" s="571"/>
      <c r="AA166" s="673" t="str">
        <f t="shared" si="2"/>
        <v>#NAME?</v>
      </c>
      <c r="AB166" s="674" t="s">
        <v>156</v>
      </c>
      <c r="AC166" s="675" t="str">
        <f t="shared" si="3"/>
        <v>#NAME?</v>
      </c>
      <c r="AD166" s="673" t="s">
        <v>18</v>
      </c>
      <c r="AE166" s="676" t="str">
        <f t="shared" si="4"/>
        <v>#NAME?</v>
      </c>
      <c r="AF166" s="674" t="s">
        <v>156</v>
      </c>
      <c r="AG166" s="675" t="str">
        <f t="shared" si="5"/>
        <v>#NAME?</v>
      </c>
      <c r="AH166" s="586" t="s">
        <v>18</v>
      </c>
      <c r="AI166" s="677" t="str">
        <f t="shared" si="6"/>
        <v>#NAME?</v>
      </c>
      <c r="AJ166" s="586" t="s">
        <v>156</v>
      </c>
      <c r="AK166" s="584" t="str">
        <f t="shared" si="7"/>
        <v>#NAME?</v>
      </c>
      <c r="AL166" s="678" t="s">
        <v>18</v>
      </c>
      <c r="AM166" s="571"/>
      <c r="AN166" s="679" t="s">
        <v>1032</v>
      </c>
      <c r="AO166" s="680" t="s">
        <v>235</v>
      </c>
      <c r="AP166" s="734" t="s">
        <v>180</v>
      </c>
      <c r="AQ166" s="735" t="s">
        <v>1032</v>
      </c>
      <c r="AR166" s="683" t="s">
        <v>180</v>
      </c>
      <c r="AS166" s="684" t="s">
        <v>1032</v>
      </c>
      <c r="AT166" s="595"/>
      <c r="AU166" s="685"/>
      <c r="AV166" s="686"/>
      <c r="AW166" s="687"/>
      <c r="AX166" s="688"/>
      <c r="AY166" s="571"/>
      <c r="AZ166" s="695" t="s">
        <v>144</v>
      </c>
      <c r="BA166" s="700"/>
      <c r="BB166" s="690"/>
      <c r="BC166" s="571"/>
      <c r="BD166" s="651" t="s">
        <v>150</v>
      </c>
      <c r="BE166" s="653">
        <v>58.0</v>
      </c>
      <c r="BF166" s="653">
        <v>255.0</v>
      </c>
      <c r="BG166" s="654">
        <v>70.0</v>
      </c>
      <c r="BH166" s="653">
        <v>40.0</v>
      </c>
      <c r="BI166" s="607"/>
      <c r="BJ166" s="655" t="s">
        <v>149</v>
      </c>
      <c r="BK166" s="703" t="s">
        <v>149</v>
      </c>
      <c r="BL166" s="610"/>
      <c r="BM166" s="657" t="s">
        <v>18</v>
      </c>
      <c r="BN166" s="704"/>
      <c r="BO166" s="607"/>
      <c r="BP166" s="659" t="s">
        <v>1633</v>
      </c>
      <c r="BQ166" s="614"/>
      <c r="BR166" s="660" t="s">
        <v>4432</v>
      </c>
      <c r="BS166" s="614"/>
    </row>
    <row r="167" ht="15.75" customHeight="1">
      <c r="A167" s="841"/>
      <c r="B167" s="617" t="s">
        <v>1637</v>
      </c>
      <c r="C167" s="844"/>
      <c r="D167" s="619"/>
      <c r="E167" s="629">
        <v>100.0</v>
      </c>
      <c r="F167" s="621">
        <v>50.0</v>
      </c>
      <c r="G167" s="622">
        <v>50.0</v>
      </c>
      <c r="H167" s="623">
        <v>76.0</v>
      </c>
      <c r="I167" s="624">
        <v>96.0</v>
      </c>
      <c r="J167" s="625">
        <v>70.0</v>
      </c>
      <c r="K167" s="626">
        <v>442.0</v>
      </c>
      <c r="L167" s="627">
        <v>100.0</v>
      </c>
      <c r="M167" s="621">
        <v>50.0</v>
      </c>
      <c r="N167" s="622">
        <v>50.0</v>
      </c>
      <c r="O167" s="623">
        <v>86.0</v>
      </c>
      <c r="P167" s="624">
        <v>96.0</v>
      </c>
      <c r="Q167" s="625">
        <v>70.0</v>
      </c>
      <c r="R167" s="628">
        <v>452.0</v>
      </c>
      <c r="S167" s="629">
        <v>100.0</v>
      </c>
      <c r="T167" s="750">
        <v>40.0</v>
      </c>
      <c r="U167" s="751">
        <v>40.0</v>
      </c>
      <c r="V167" s="748">
        <v>106.0</v>
      </c>
      <c r="W167" s="752">
        <v>116.0</v>
      </c>
      <c r="X167" s="753">
        <v>60.0</v>
      </c>
      <c r="Y167" s="628">
        <f t="shared" si="1"/>
        <v>462</v>
      </c>
      <c r="Z167" s="619"/>
      <c r="AA167" s="630" t="str">
        <f t="shared" si="2"/>
        <v>#NAME?</v>
      </c>
      <c r="AB167" s="631" t="s">
        <v>156</v>
      </c>
      <c r="AC167" s="632" t="str">
        <f t="shared" si="3"/>
        <v>#NAME?</v>
      </c>
      <c r="AD167" s="630" t="s">
        <v>18</v>
      </c>
      <c r="AE167" s="633" t="str">
        <f t="shared" si="4"/>
        <v>#NAME?</v>
      </c>
      <c r="AF167" s="631" t="s">
        <v>156</v>
      </c>
      <c r="AG167" s="632" t="str">
        <f t="shared" si="5"/>
        <v>#NAME?</v>
      </c>
      <c r="AH167" s="634" t="s">
        <v>18</v>
      </c>
      <c r="AI167" s="770" t="str">
        <f t="shared" si="6"/>
        <v>#NAME?</v>
      </c>
      <c r="AJ167" s="771" t="s">
        <v>656</v>
      </c>
      <c r="AK167" s="636" t="str">
        <f t="shared" si="7"/>
        <v>#NAME?</v>
      </c>
      <c r="AL167" s="637" t="s">
        <v>18</v>
      </c>
      <c r="AM167" s="619"/>
      <c r="AN167" s="638" t="s">
        <v>1032</v>
      </c>
      <c r="AO167" s="639" t="s">
        <v>235</v>
      </c>
      <c r="AP167" s="701" t="s">
        <v>180</v>
      </c>
      <c r="AQ167" s="740" t="s">
        <v>1032</v>
      </c>
      <c r="AR167" s="642" t="s">
        <v>180</v>
      </c>
      <c r="AS167" s="643" t="s">
        <v>1032</v>
      </c>
      <c r="AT167" s="644"/>
      <c r="AU167" s="645"/>
      <c r="AV167" s="646"/>
      <c r="AW167" s="692"/>
      <c r="AX167" s="693"/>
      <c r="AY167" s="619"/>
      <c r="AZ167" s="698" t="s">
        <v>409</v>
      </c>
      <c r="BA167" s="690"/>
      <c r="BB167" s="650"/>
      <c r="BC167" s="619"/>
      <c r="BD167" s="651" t="s">
        <v>150</v>
      </c>
      <c r="BE167" s="653">
        <v>162.0</v>
      </c>
      <c r="BF167" s="653">
        <v>90.0</v>
      </c>
      <c r="BG167" s="654">
        <v>70.0</v>
      </c>
      <c r="BH167" s="653">
        <v>60.0</v>
      </c>
      <c r="BI167" s="607"/>
      <c r="BJ167" s="655" t="s">
        <v>149</v>
      </c>
      <c r="BK167" s="703" t="s">
        <v>149</v>
      </c>
      <c r="BL167" s="610"/>
      <c r="BM167" s="657" t="s">
        <v>18</v>
      </c>
      <c r="BN167" s="704"/>
      <c r="BO167" s="607"/>
      <c r="BP167" s="659" t="s">
        <v>1644</v>
      </c>
      <c r="BQ167" s="614"/>
      <c r="BR167" s="660" t="s">
        <v>4432</v>
      </c>
      <c r="BS167" s="614"/>
    </row>
    <row r="168" ht="15.75" customHeight="1">
      <c r="A168" s="841"/>
      <c r="B168" s="661" t="s">
        <v>1647</v>
      </c>
      <c r="C168" s="662"/>
      <c r="D168" s="571"/>
      <c r="E168" s="672">
        <v>40.0</v>
      </c>
      <c r="F168" s="664">
        <v>20.0</v>
      </c>
      <c r="G168" s="665">
        <v>30.0</v>
      </c>
      <c r="H168" s="666">
        <v>40.0</v>
      </c>
      <c r="I168" s="667">
        <v>80.0</v>
      </c>
      <c r="J168" s="668">
        <v>55.0</v>
      </c>
      <c r="K168" s="669">
        <v>265.0</v>
      </c>
      <c r="L168" s="670">
        <v>40.0</v>
      </c>
      <c r="M168" s="664">
        <v>20.0</v>
      </c>
      <c r="N168" s="665">
        <v>30.0</v>
      </c>
      <c r="O168" s="666">
        <v>40.0</v>
      </c>
      <c r="P168" s="667">
        <v>80.0</v>
      </c>
      <c r="Q168" s="668">
        <v>55.0</v>
      </c>
      <c r="R168" s="671">
        <v>265.0</v>
      </c>
      <c r="S168" s="672">
        <v>40.0</v>
      </c>
      <c r="T168" s="741">
        <v>50.0</v>
      </c>
      <c r="U168" s="665">
        <v>30.0</v>
      </c>
      <c r="V168" s="743">
        <v>20.0</v>
      </c>
      <c r="W168" s="667">
        <v>80.0</v>
      </c>
      <c r="X168" s="668">
        <v>55.0</v>
      </c>
      <c r="Y168" s="671">
        <f t="shared" si="1"/>
        <v>275</v>
      </c>
      <c r="Z168" s="571"/>
      <c r="AA168" s="673" t="str">
        <f t="shared" si="2"/>
        <v>#NAME?</v>
      </c>
      <c r="AB168" s="674" t="s">
        <v>109</v>
      </c>
      <c r="AC168" s="675" t="str">
        <f t="shared" si="3"/>
        <v>#NAME?</v>
      </c>
      <c r="AD168" s="673" t="s">
        <v>18</v>
      </c>
      <c r="AE168" s="676" t="str">
        <f t="shared" si="4"/>
        <v>#NAME?</v>
      </c>
      <c r="AF168" s="674" t="s">
        <v>109</v>
      </c>
      <c r="AG168" s="675" t="str">
        <f t="shared" si="5"/>
        <v>#NAME?</v>
      </c>
      <c r="AH168" s="586" t="s">
        <v>18</v>
      </c>
      <c r="AI168" s="677" t="str">
        <f t="shared" si="6"/>
        <v>#NAME?</v>
      </c>
      <c r="AJ168" s="586" t="s">
        <v>109</v>
      </c>
      <c r="AK168" s="584" t="str">
        <f t="shared" si="7"/>
        <v>#NAME?</v>
      </c>
      <c r="AL168" s="678" t="s">
        <v>18</v>
      </c>
      <c r="AM168" s="571"/>
      <c r="AN168" s="679" t="s">
        <v>217</v>
      </c>
      <c r="AO168" s="680" t="s">
        <v>924</v>
      </c>
      <c r="AP168" s="705" t="s">
        <v>217</v>
      </c>
      <c r="AQ168" s="680" t="s">
        <v>924</v>
      </c>
      <c r="AR168" s="681" t="s">
        <v>1278</v>
      </c>
      <c r="AS168" s="684" t="s">
        <v>1652</v>
      </c>
      <c r="AT168" s="595"/>
      <c r="AU168" s="685"/>
      <c r="AV168" s="686"/>
      <c r="AW168" s="687"/>
      <c r="AX168" s="688"/>
      <c r="AY168" s="571"/>
      <c r="AZ168" s="695" t="s">
        <v>27</v>
      </c>
      <c r="BA168" s="700"/>
      <c r="BB168" s="690"/>
      <c r="BC168" s="571"/>
      <c r="BD168" s="651" t="s">
        <v>468</v>
      </c>
      <c r="BE168" s="653">
        <v>54.0</v>
      </c>
      <c r="BF168" s="653">
        <v>255.0</v>
      </c>
      <c r="BG168" s="654">
        <v>70.0</v>
      </c>
      <c r="BH168" s="653">
        <v>40.0</v>
      </c>
      <c r="BI168" s="607"/>
      <c r="BJ168" s="655" t="s">
        <v>149</v>
      </c>
      <c r="BK168" s="703" t="s">
        <v>149</v>
      </c>
      <c r="BL168" s="610"/>
      <c r="BM168" s="657" t="s">
        <v>109</v>
      </c>
      <c r="BN168" s="704"/>
      <c r="BO168" s="607"/>
      <c r="BP168" s="659" t="s">
        <v>1654</v>
      </c>
      <c r="BQ168" s="614"/>
      <c r="BR168" s="660" t="s">
        <v>4429</v>
      </c>
      <c r="BS168" s="614"/>
    </row>
    <row r="169" ht="15.75" customHeight="1">
      <c r="A169" s="841"/>
      <c r="B169" s="617" t="s">
        <v>1657</v>
      </c>
      <c r="C169" s="618"/>
      <c r="D169" s="619"/>
      <c r="E169" s="629">
        <v>55.0</v>
      </c>
      <c r="F169" s="621">
        <v>35.0</v>
      </c>
      <c r="G169" s="622">
        <v>50.0</v>
      </c>
      <c r="H169" s="623">
        <v>55.0</v>
      </c>
      <c r="I169" s="624">
        <v>110.0</v>
      </c>
      <c r="J169" s="625">
        <v>85.0</v>
      </c>
      <c r="K169" s="626">
        <v>390.0</v>
      </c>
      <c r="L169" s="627">
        <v>55.0</v>
      </c>
      <c r="M169" s="621">
        <v>35.0</v>
      </c>
      <c r="N169" s="622">
        <v>50.0</v>
      </c>
      <c r="O169" s="623">
        <v>55.0</v>
      </c>
      <c r="P169" s="624">
        <v>110.0</v>
      </c>
      <c r="Q169" s="625">
        <v>85.0</v>
      </c>
      <c r="R169" s="628">
        <v>390.0</v>
      </c>
      <c r="S169" s="778">
        <v>65.0</v>
      </c>
      <c r="T169" s="750">
        <v>105.0</v>
      </c>
      <c r="U169" s="622">
        <v>50.0</v>
      </c>
      <c r="V169" s="748">
        <v>35.0</v>
      </c>
      <c r="W169" s="624">
        <v>110.0</v>
      </c>
      <c r="X169" s="625">
        <v>85.0</v>
      </c>
      <c r="Y169" s="628">
        <f t="shared" si="1"/>
        <v>450</v>
      </c>
      <c r="Z169" s="619"/>
      <c r="AA169" s="630" t="str">
        <f t="shared" si="2"/>
        <v>#NAME?</v>
      </c>
      <c r="AB169" s="631" t="s">
        <v>109</v>
      </c>
      <c r="AC169" s="632" t="str">
        <f t="shared" si="3"/>
        <v>#NAME?</v>
      </c>
      <c r="AD169" s="630" t="s">
        <v>18</v>
      </c>
      <c r="AE169" s="633" t="str">
        <f t="shared" si="4"/>
        <v>#NAME?</v>
      </c>
      <c r="AF169" s="631" t="s">
        <v>109</v>
      </c>
      <c r="AG169" s="632" t="str">
        <f t="shared" si="5"/>
        <v>#NAME?</v>
      </c>
      <c r="AH169" s="634" t="s">
        <v>18</v>
      </c>
      <c r="AI169" s="635" t="str">
        <f t="shared" si="6"/>
        <v>#NAME?</v>
      </c>
      <c r="AJ169" s="634" t="s">
        <v>109</v>
      </c>
      <c r="AK169" s="636" t="str">
        <f t="shared" si="7"/>
        <v>#NAME?</v>
      </c>
      <c r="AL169" s="637" t="s">
        <v>18</v>
      </c>
      <c r="AM169" s="619"/>
      <c r="AN169" s="638" t="s">
        <v>217</v>
      </c>
      <c r="AO169" s="639" t="s">
        <v>924</v>
      </c>
      <c r="AP169" s="712" t="s">
        <v>217</v>
      </c>
      <c r="AQ169" s="639" t="s">
        <v>924</v>
      </c>
      <c r="AR169" s="701" t="s">
        <v>1278</v>
      </c>
      <c r="AS169" s="843" t="s">
        <v>1652</v>
      </c>
      <c r="AT169" s="644"/>
      <c r="AU169" s="645"/>
      <c r="AV169" s="646"/>
      <c r="AW169" s="692"/>
      <c r="AX169" s="693"/>
      <c r="AY169" s="619"/>
      <c r="AZ169" s="698" t="s">
        <v>815</v>
      </c>
      <c r="BA169" s="690"/>
      <c r="BB169" s="650"/>
      <c r="BC169" s="619"/>
      <c r="BD169" s="651" t="s">
        <v>468</v>
      </c>
      <c r="BE169" s="653">
        <v>134.0</v>
      </c>
      <c r="BF169" s="653">
        <v>90.0</v>
      </c>
      <c r="BG169" s="654">
        <v>70.0</v>
      </c>
      <c r="BH169" s="653">
        <v>60.0</v>
      </c>
      <c r="BI169" s="607"/>
      <c r="BJ169" s="655" t="s">
        <v>149</v>
      </c>
      <c r="BK169" s="703" t="s">
        <v>149</v>
      </c>
      <c r="BL169" s="610"/>
      <c r="BM169" s="657" t="s">
        <v>109</v>
      </c>
      <c r="BN169" s="704"/>
      <c r="BO169" s="607"/>
      <c r="BP169" s="659" t="s">
        <v>1661</v>
      </c>
      <c r="BQ169" s="614"/>
      <c r="BR169" s="660" t="s">
        <v>4429</v>
      </c>
      <c r="BS169" s="614"/>
    </row>
    <row r="170" ht="15.75" customHeight="1">
      <c r="A170" s="841"/>
      <c r="B170" s="661" t="s">
        <v>1665</v>
      </c>
      <c r="C170" s="662"/>
      <c r="D170" s="571"/>
      <c r="E170" s="672">
        <v>40.0</v>
      </c>
      <c r="F170" s="664">
        <v>60.0</v>
      </c>
      <c r="G170" s="665">
        <v>40.0</v>
      </c>
      <c r="H170" s="666">
        <v>40.0</v>
      </c>
      <c r="I170" s="667">
        <v>40.0</v>
      </c>
      <c r="J170" s="668">
        <v>30.0</v>
      </c>
      <c r="K170" s="669">
        <v>250.0</v>
      </c>
      <c r="L170" s="670">
        <v>40.0</v>
      </c>
      <c r="M170" s="664">
        <v>60.0</v>
      </c>
      <c r="N170" s="665">
        <v>40.0</v>
      </c>
      <c r="O170" s="666">
        <v>40.0</v>
      </c>
      <c r="P170" s="667">
        <v>40.0</v>
      </c>
      <c r="Q170" s="668">
        <v>30.0</v>
      </c>
      <c r="R170" s="671">
        <v>250.0</v>
      </c>
      <c r="S170" s="672">
        <v>40.0</v>
      </c>
      <c r="T170" s="741">
        <v>70.0</v>
      </c>
      <c r="U170" s="665">
        <v>40.0</v>
      </c>
      <c r="V170" s="666">
        <v>40.0</v>
      </c>
      <c r="W170" s="667">
        <v>40.0</v>
      </c>
      <c r="X170" s="745">
        <v>45.0</v>
      </c>
      <c r="Y170" s="671">
        <f t="shared" si="1"/>
        <v>275</v>
      </c>
      <c r="Z170" s="571"/>
      <c r="AA170" s="673" t="str">
        <f t="shared" si="2"/>
        <v>#NAME?</v>
      </c>
      <c r="AB170" s="674" t="s">
        <v>109</v>
      </c>
      <c r="AC170" s="675" t="str">
        <f t="shared" si="3"/>
        <v>#NAME?</v>
      </c>
      <c r="AD170" s="673" t="s">
        <v>7</v>
      </c>
      <c r="AE170" s="676" t="str">
        <f t="shared" si="4"/>
        <v>#NAME?</v>
      </c>
      <c r="AF170" s="674" t="s">
        <v>109</v>
      </c>
      <c r="AG170" s="675" t="str">
        <f t="shared" si="5"/>
        <v>#NAME?</v>
      </c>
      <c r="AH170" s="586" t="s">
        <v>7</v>
      </c>
      <c r="AI170" s="677" t="str">
        <f t="shared" si="6"/>
        <v>#NAME?</v>
      </c>
      <c r="AJ170" s="586" t="s">
        <v>109</v>
      </c>
      <c r="AK170" s="584" t="str">
        <f t="shared" si="7"/>
        <v>#NAME?</v>
      </c>
      <c r="AL170" s="678" t="s">
        <v>7</v>
      </c>
      <c r="AM170" s="571"/>
      <c r="AN170" s="679" t="s">
        <v>217</v>
      </c>
      <c r="AO170" s="680" t="s">
        <v>1032</v>
      </c>
      <c r="AP170" s="705" t="s">
        <v>217</v>
      </c>
      <c r="AQ170" s="680" t="s">
        <v>1032</v>
      </c>
      <c r="AR170" s="705" t="s">
        <v>217</v>
      </c>
      <c r="AS170" s="680" t="s">
        <v>1032</v>
      </c>
      <c r="AT170" s="595"/>
      <c r="AU170" s="685"/>
      <c r="AV170" s="686"/>
      <c r="AW170" s="687"/>
      <c r="AX170" s="688"/>
      <c r="AY170" s="571"/>
      <c r="AZ170" s="695" t="s">
        <v>325</v>
      </c>
      <c r="BA170" s="700"/>
      <c r="BB170" s="690"/>
      <c r="BC170" s="571"/>
      <c r="BD170" s="651" t="s">
        <v>468</v>
      </c>
      <c r="BE170" s="653">
        <v>54.0</v>
      </c>
      <c r="BF170" s="653">
        <v>255.0</v>
      </c>
      <c r="BG170" s="654">
        <v>70.0</v>
      </c>
      <c r="BH170" s="653">
        <v>20.0</v>
      </c>
      <c r="BI170" s="607"/>
      <c r="BJ170" s="655" t="s">
        <v>149</v>
      </c>
      <c r="BK170" s="703" t="s">
        <v>149</v>
      </c>
      <c r="BL170" s="610"/>
      <c r="BM170" s="657" t="s">
        <v>109</v>
      </c>
      <c r="BN170" s="704"/>
      <c r="BO170" s="607"/>
      <c r="BP170" s="659" t="s">
        <v>1668</v>
      </c>
      <c r="BQ170" s="614"/>
      <c r="BR170" s="660" t="s">
        <v>4427</v>
      </c>
      <c r="BS170" s="614"/>
    </row>
    <row r="171" ht="15.75" customHeight="1">
      <c r="A171" s="841"/>
      <c r="B171" s="617" t="s">
        <v>1672</v>
      </c>
      <c r="C171" s="618"/>
      <c r="D171" s="619"/>
      <c r="E171" s="629">
        <v>70.0</v>
      </c>
      <c r="F171" s="621">
        <v>90.0</v>
      </c>
      <c r="G171" s="622">
        <v>70.0</v>
      </c>
      <c r="H171" s="623">
        <v>60.0</v>
      </c>
      <c r="I171" s="624">
        <v>60.0</v>
      </c>
      <c r="J171" s="625">
        <v>40.0</v>
      </c>
      <c r="K171" s="626">
        <v>390.0</v>
      </c>
      <c r="L171" s="627">
        <v>70.0</v>
      </c>
      <c r="M171" s="621">
        <v>90.0</v>
      </c>
      <c r="N171" s="622">
        <v>70.0</v>
      </c>
      <c r="O171" s="623">
        <v>60.0</v>
      </c>
      <c r="P171" s="624">
        <v>70.0</v>
      </c>
      <c r="Q171" s="625">
        <v>40.0</v>
      </c>
      <c r="R171" s="628">
        <v>400.0</v>
      </c>
      <c r="S171" s="629">
        <v>70.0</v>
      </c>
      <c r="T171" s="750">
        <v>110.0</v>
      </c>
      <c r="U171" s="622">
        <v>70.0</v>
      </c>
      <c r="V171" s="748">
        <v>50.0</v>
      </c>
      <c r="W171" s="624">
        <v>70.0</v>
      </c>
      <c r="X171" s="753">
        <v>80.0</v>
      </c>
      <c r="Y171" s="628">
        <f t="shared" si="1"/>
        <v>450</v>
      </c>
      <c r="Z171" s="619"/>
      <c r="AA171" s="630" t="str">
        <f t="shared" si="2"/>
        <v>#NAME?</v>
      </c>
      <c r="AB171" s="631" t="s">
        <v>109</v>
      </c>
      <c r="AC171" s="632" t="str">
        <f t="shared" si="3"/>
        <v>#NAME?</v>
      </c>
      <c r="AD171" s="630" t="s">
        <v>7</v>
      </c>
      <c r="AE171" s="633" t="str">
        <f t="shared" si="4"/>
        <v>#NAME?</v>
      </c>
      <c r="AF171" s="631" t="s">
        <v>109</v>
      </c>
      <c r="AG171" s="632" t="str">
        <f t="shared" si="5"/>
        <v>#NAME?</v>
      </c>
      <c r="AH171" s="634" t="s">
        <v>7</v>
      </c>
      <c r="AI171" s="635" t="str">
        <f t="shared" si="6"/>
        <v>#NAME?</v>
      </c>
      <c r="AJ171" s="634" t="s">
        <v>109</v>
      </c>
      <c r="AK171" s="636" t="str">
        <f t="shared" si="7"/>
        <v>#NAME?</v>
      </c>
      <c r="AL171" s="637" t="s">
        <v>7</v>
      </c>
      <c r="AM171" s="619"/>
      <c r="AN171" s="638" t="s">
        <v>217</v>
      </c>
      <c r="AO171" s="639" t="s">
        <v>1032</v>
      </c>
      <c r="AP171" s="712" t="s">
        <v>217</v>
      </c>
      <c r="AQ171" s="639" t="s">
        <v>1032</v>
      </c>
      <c r="AR171" s="712" t="s">
        <v>217</v>
      </c>
      <c r="AS171" s="639" t="s">
        <v>1032</v>
      </c>
      <c r="AT171" s="644"/>
      <c r="AU171" s="645"/>
      <c r="AV171" s="646"/>
      <c r="AW171" s="692"/>
      <c r="AX171" s="693"/>
      <c r="AY171" s="619"/>
      <c r="AZ171" s="698" t="s">
        <v>216</v>
      </c>
      <c r="BA171" s="690"/>
      <c r="BB171" s="650"/>
      <c r="BC171" s="619"/>
      <c r="BD171" s="651" t="s">
        <v>468</v>
      </c>
      <c r="BE171" s="653">
        <v>134.0</v>
      </c>
      <c r="BF171" s="653">
        <v>90.0</v>
      </c>
      <c r="BG171" s="654">
        <v>70.0</v>
      </c>
      <c r="BH171" s="653">
        <v>60.0</v>
      </c>
      <c r="BI171" s="607"/>
      <c r="BJ171" s="655" t="s">
        <v>149</v>
      </c>
      <c r="BK171" s="703" t="s">
        <v>149</v>
      </c>
      <c r="BL171" s="610"/>
      <c r="BM171" s="657" t="s">
        <v>109</v>
      </c>
      <c r="BN171" s="704"/>
      <c r="BO171" s="607"/>
      <c r="BP171" s="659" t="s">
        <v>1676</v>
      </c>
      <c r="BQ171" s="614"/>
      <c r="BR171" s="660" t="s">
        <v>4429</v>
      </c>
      <c r="BS171" s="614"/>
    </row>
    <row r="172" ht="15.75" customHeight="1">
      <c r="A172" s="841"/>
      <c r="B172" s="661" t="s">
        <v>1680</v>
      </c>
      <c r="C172" s="662"/>
      <c r="D172" s="571"/>
      <c r="E172" s="672">
        <v>85.0</v>
      </c>
      <c r="F172" s="664">
        <v>90.0</v>
      </c>
      <c r="G172" s="665">
        <v>80.0</v>
      </c>
      <c r="H172" s="666">
        <v>70.0</v>
      </c>
      <c r="I172" s="667">
        <v>80.0</v>
      </c>
      <c r="J172" s="668">
        <v>130.0</v>
      </c>
      <c r="K172" s="669">
        <v>535.0</v>
      </c>
      <c r="L172" s="670">
        <v>85.0</v>
      </c>
      <c r="M172" s="664">
        <v>90.0</v>
      </c>
      <c r="N172" s="665">
        <v>80.0</v>
      </c>
      <c r="O172" s="666">
        <v>70.0</v>
      </c>
      <c r="P172" s="667">
        <v>80.0</v>
      </c>
      <c r="Q172" s="668">
        <v>130.0</v>
      </c>
      <c r="R172" s="671">
        <v>535.0</v>
      </c>
      <c r="S172" s="672">
        <v>85.0</v>
      </c>
      <c r="T172" s="664">
        <v>90.0</v>
      </c>
      <c r="U172" s="665">
        <v>80.0</v>
      </c>
      <c r="V172" s="666">
        <v>70.0</v>
      </c>
      <c r="W172" s="667">
        <v>80.0</v>
      </c>
      <c r="X172" s="668">
        <v>130.0</v>
      </c>
      <c r="Y172" s="671">
        <f t="shared" si="1"/>
        <v>535</v>
      </c>
      <c r="Z172" s="571"/>
      <c r="AA172" s="673" t="str">
        <f t="shared" si="2"/>
        <v>#NAME?</v>
      </c>
      <c r="AB172" s="674" t="s">
        <v>7</v>
      </c>
      <c r="AC172" s="675" t="str">
        <f t="shared" si="3"/>
        <v>#NAME?</v>
      </c>
      <c r="AD172" s="673" t="s">
        <v>18</v>
      </c>
      <c r="AE172" s="676" t="str">
        <f t="shared" si="4"/>
        <v>#NAME?</v>
      </c>
      <c r="AF172" s="674" t="s">
        <v>7</v>
      </c>
      <c r="AG172" s="675" t="str">
        <f t="shared" si="5"/>
        <v>#NAME?</v>
      </c>
      <c r="AH172" s="586" t="s">
        <v>18</v>
      </c>
      <c r="AI172" s="677" t="str">
        <f t="shared" si="6"/>
        <v>#NAME?</v>
      </c>
      <c r="AJ172" s="586" t="s">
        <v>7</v>
      </c>
      <c r="AK172" s="584" t="str">
        <f t="shared" si="7"/>
        <v>#NAME?</v>
      </c>
      <c r="AL172" s="678" t="s">
        <v>18</v>
      </c>
      <c r="AM172" s="571"/>
      <c r="AN172" s="679" t="s">
        <v>530</v>
      </c>
      <c r="AO172" s="680"/>
      <c r="AP172" s="705" t="s">
        <v>530</v>
      </c>
      <c r="AQ172" s="680"/>
      <c r="AR172" s="705" t="s">
        <v>530</v>
      </c>
      <c r="AS172" s="680"/>
      <c r="AT172" s="595"/>
      <c r="AU172" s="685"/>
      <c r="AV172" s="686"/>
      <c r="AW172" s="687"/>
      <c r="AX172" s="688"/>
      <c r="AY172" s="571"/>
      <c r="AZ172" s="689" t="s">
        <v>261</v>
      </c>
      <c r="BA172" s="699"/>
      <c r="BB172" s="690"/>
      <c r="BC172" s="571"/>
      <c r="BD172" s="651" t="s">
        <v>150</v>
      </c>
      <c r="BE172" s="653">
        <v>204.0</v>
      </c>
      <c r="BF172" s="653">
        <v>90.0</v>
      </c>
      <c r="BG172" s="654">
        <v>70.0</v>
      </c>
      <c r="BH172" s="653">
        <v>80.0</v>
      </c>
      <c r="BI172" s="607"/>
      <c r="BJ172" s="655" t="s">
        <v>149</v>
      </c>
      <c r="BK172" s="703" t="s">
        <v>149</v>
      </c>
      <c r="BL172" s="610"/>
      <c r="BM172" s="657" t="s">
        <v>18</v>
      </c>
      <c r="BN172" s="704"/>
      <c r="BO172" s="607"/>
      <c r="BP172" s="659" t="s">
        <v>1684</v>
      </c>
      <c r="BQ172" s="614"/>
      <c r="BR172" s="660" t="s">
        <v>4434</v>
      </c>
      <c r="BS172" s="614"/>
    </row>
    <row r="173" ht="15.75" customHeight="1">
      <c r="A173" s="841"/>
      <c r="B173" s="617" t="s">
        <v>1687</v>
      </c>
      <c r="C173" s="618"/>
      <c r="D173" s="619"/>
      <c r="E173" s="629">
        <v>75.0</v>
      </c>
      <c r="F173" s="750">
        <v>38.0</v>
      </c>
      <c r="G173" s="622">
        <v>38.0</v>
      </c>
      <c r="H173" s="623">
        <v>56.0</v>
      </c>
      <c r="I173" s="624">
        <v>56.0</v>
      </c>
      <c r="J173" s="625">
        <v>67.0</v>
      </c>
      <c r="K173" s="749">
        <v>330.0</v>
      </c>
      <c r="L173" s="627">
        <v>75.0</v>
      </c>
      <c r="M173" s="621">
        <v>38.0</v>
      </c>
      <c r="N173" s="622">
        <v>38.0</v>
      </c>
      <c r="O173" s="623">
        <v>56.0</v>
      </c>
      <c r="P173" s="624">
        <v>56.0</v>
      </c>
      <c r="Q173" s="625">
        <v>67.0</v>
      </c>
      <c r="R173" s="628">
        <v>330.0</v>
      </c>
      <c r="S173" s="629">
        <v>75.0</v>
      </c>
      <c r="T173" s="621">
        <v>38.0</v>
      </c>
      <c r="U173" s="622">
        <v>38.0</v>
      </c>
      <c r="V173" s="623">
        <v>56.0</v>
      </c>
      <c r="W173" s="624">
        <v>56.0</v>
      </c>
      <c r="X173" s="625">
        <v>67.0</v>
      </c>
      <c r="Y173" s="628">
        <f t="shared" si="1"/>
        <v>330</v>
      </c>
      <c r="Z173" s="619"/>
      <c r="AA173" s="630" t="str">
        <f t="shared" si="2"/>
        <v>#NAME?</v>
      </c>
      <c r="AB173" s="631" t="s">
        <v>32</v>
      </c>
      <c r="AC173" s="632" t="str">
        <f t="shared" si="3"/>
        <v>#NAME?</v>
      </c>
      <c r="AD173" s="630" t="s">
        <v>197</v>
      </c>
      <c r="AE173" s="633" t="str">
        <f t="shared" si="4"/>
        <v>#NAME?</v>
      </c>
      <c r="AF173" s="631" t="s">
        <v>32</v>
      </c>
      <c r="AG173" s="632" t="str">
        <f t="shared" si="5"/>
        <v>#NAME?</v>
      </c>
      <c r="AH173" s="634" t="s">
        <v>197</v>
      </c>
      <c r="AI173" s="635" t="str">
        <f t="shared" si="6"/>
        <v>#NAME?</v>
      </c>
      <c r="AJ173" s="634" t="s">
        <v>32</v>
      </c>
      <c r="AK173" s="636" t="str">
        <f t="shared" si="7"/>
        <v>#NAME?</v>
      </c>
      <c r="AL173" s="637" t="s">
        <v>197</v>
      </c>
      <c r="AM173" s="619"/>
      <c r="AN173" s="638" t="s">
        <v>1387</v>
      </c>
      <c r="AO173" s="639" t="s">
        <v>1256</v>
      </c>
      <c r="AP173" s="712" t="s">
        <v>1387</v>
      </c>
      <c r="AQ173" s="845" t="s">
        <v>1691</v>
      </c>
      <c r="AR173" s="712" t="s">
        <v>1387</v>
      </c>
      <c r="AS173" s="845" t="s">
        <v>1691</v>
      </c>
      <c r="AT173" s="644"/>
      <c r="AU173" s="645" t="str">
        <f t="shared" ref="AU173:AU174" si="32">image("https://www.pokebip.com/pages/icones/objets/ecaille-ocean.png", 3)</f>
        <v/>
      </c>
      <c r="AV173" s="646" t="s">
        <v>1693</v>
      </c>
      <c r="AW173" s="692"/>
      <c r="AX173" s="693"/>
      <c r="AY173" s="619"/>
      <c r="AZ173" s="648" t="s">
        <v>144</v>
      </c>
      <c r="BA173" s="694"/>
      <c r="BB173" s="690"/>
      <c r="BC173" s="619"/>
      <c r="BD173" s="651" t="s">
        <v>683</v>
      </c>
      <c r="BE173" s="653">
        <v>90.0</v>
      </c>
      <c r="BF173" s="653">
        <v>190.0</v>
      </c>
      <c r="BG173" s="654">
        <v>70.0</v>
      </c>
      <c r="BH173" s="653">
        <v>40.0</v>
      </c>
      <c r="BI173" s="607"/>
      <c r="BJ173" s="655" t="s">
        <v>149</v>
      </c>
      <c r="BK173" s="703" t="s">
        <v>149</v>
      </c>
      <c r="BL173" s="610"/>
      <c r="BM173" s="657" t="s">
        <v>1236</v>
      </c>
      <c r="BN173" s="704"/>
      <c r="BO173" s="607"/>
      <c r="BP173" s="659" t="s">
        <v>1692</v>
      </c>
      <c r="BQ173" s="614"/>
      <c r="BR173" s="660" t="s">
        <v>4430</v>
      </c>
      <c r="BS173" s="614"/>
    </row>
    <row r="174" ht="15.75" customHeight="1">
      <c r="A174" s="841"/>
      <c r="B174" s="661" t="s">
        <v>1697</v>
      </c>
      <c r="C174" s="662"/>
      <c r="D174" s="571"/>
      <c r="E174" s="672">
        <v>125.0</v>
      </c>
      <c r="F174" s="664">
        <v>58.0</v>
      </c>
      <c r="G174" s="665">
        <v>58.0</v>
      </c>
      <c r="H174" s="666">
        <v>76.0</v>
      </c>
      <c r="I174" s="667">
        <v>76.0</v>
      </c>
      <c r="J174" s="668">
        <v>67.0</v>
      </c>
      <c r="K174" s="669">
        <v>460.0</v>
      </c>
      <c r="L174" s="670">
        <v>125.0</v>
      </c>
      <c r="M174" s="664">
        <v>58.0</v>
      </c>
      <c r="N174" s="665">
        <v>58.0</v>
      </c>
      <c r="O174" s="666">
        <v>76.0</v>
      </c>
      <c r="P174" s="667">
        <v>76.0</v>
      </c>
      <c r="Q174" s="668">
        <v>67.0</v>
      </c>
      <c r="R174" s="671">
        <v>460.0</v>
      </c>
      <c r="S174" s="672">
        <v>125.0</v>
      </c>
      <c r="T174" s="664">
        <v>58.0</v>
      </c>
      <c r="U174" s="665">
        <v>58.0</v>
      </c>
      <c r="V174" s="666">
        <v>76.0</v>
      </c>
      <c r="W174" s="667">
        <v>76.0</v>
      </c>
      <c r="X174" s="668">
        <v>67.0</v>
      </c>
      <c r="Y174" s="671">
        <f t="shared" si="1"/>
        <v>460</v>
      </c>
      <c r="Z174" s="571"/>
      <c r="AA174" s="673" t="str">
        <f t="shared" si="2"/>
        <v>#NAME?</v>
      </c>
      <c r="AB174" s="674" t="s">
        <v>32</v>
      </c>
      <c r="AC174" s="675" t="str">
        <f t="shared" si="3"/>
        <v>#NAME?</v>
      </c>
      <c r="AD174" s="673" t="s">
        <v>197</v>
      </c>
      <c r="AE174" s="676" t="str">
        <f t="shared" si="4"/>
        <v>#NAME?</v>
      </c>
      <c r="AF174" s="674" t="s">
        <v>32</v>
      </c>
      <c r="AG174" s="675" t="str">
        <f t="shared" si="5"/>
        <v>#NAME?</v>
      </c>
      <c r="AH174" s="586" t="s">
        <v>197</v>
      </c>
      <c r="AI174" s="677" t="str">
        <f t="shared" si="6"/>
        <v>#NAME?</v>
      </c>
      <c r="AJ174" s="586" t="s">
        <v>32</v>
      </c>
      <c r="AK174" s="584" t="str">
        <f t="shared" si="7"/>
        <v>#NAME?</v>
      </c>
      <c r="AL174" s="678" t="s">
        <v>197</v>
      </c>
      <c r="AM174" s="571"/>
      <c r="AN174" s="679" t="s">
        <v>1387</v>
      </c>
      <c r="AO174" s="680" t="s">
        <v>1256</v>
      </c>
      <c r="AP174" s="705" t="s">
        <v>1387</v>
      </c>
      <c r="AQ174" s="707" t="s">
        <v>1691</v>
      </c>
      <c r="AR174" s="705" t="s">
        <v>1387</v>
      </c>
      <c r="AS174" s="707" t="s">
        <v>1691</v>
      </c>
      <c r="AT174" s="595"/>
      <c r="AU174" s="685" t="str">
        <f t="shared" si="32"/>
        <v/>
      </c>
      <c r="AV174" s="686" t="s">
        <v>1693</v>
      </c>
      <c r="AW174" s="687"/>
      <c r="AX174" s="688"/>
      <c r="AY174" s="571"/>
      <c r="AZ174" s="689" t="s">
        <v>409</v>
      </c>
      <c r="BA174" s="690"/>
      <c r="BB174" s="696"/>
      <c r="BC174" s="571"/>
      <c r="BD174" s="651" t="s">
        <v>683</v>
      </c>
      <c r="BE174" s="653">
        <v>156.0</v>
      </c>
      <c r="BF174" s="653">
        <v>75.0</v>
      </c>
      <c r="BG174" s="654">
        <v>70.0</v>
      </c>
      <c r="BH174" s="653">
        <v>40.0</v>
      </c>
      <c r="BI174" s="607"/>
      <c r="BJ174" s="655" t="s">
        <v>149</v>
      </c>
      <c r="BK174" s="703" t="s">
        <v>149</v>
      </c>
      <c r="BL174" s="610"/>
      <c r="BM174" s="657" t="s">
        <v>1236</v>
      </c>
      <c r="BN174" s="704"/>
      <c r="BO174" s="607"/>
      <c r="BP174" s="659" t="s">
        <v>1700</v>
      </c>
      <c r="BQ174" s="614"/>
      <c r="BR174" s="660" t="s">
        <v>4430</v>
      </c>
      <c r="BS174" s="614"/>
    </row>
    <row r="175" ht="15.75" customHeight="1">
      <c r="A175" s="841"/>
      <c r="B175" s="617" t="s">
        <v>1705</v>
      </c>
      <c r="C175" s="618"/>
      <c r="D175" s="619"/>
      <c r="E175" s="629">
        <v>20.0</v>
      </c>
      <c r="F175" s="621">
        <v>40.0</v>
      </c>
      <c r="G175" s="622">
        <v>15.0</v>
      </c>
      <c r="H175" s="623">
        <v>35.0</v>
      </c>
      <c r="I175" s="624">
        <v>35.0</v>
      </c>
      <c r="J175" s="625">
        <v>60.0</v>
      </c>
      <c r="K175" s="626">
        <v>205.0</v>
      </c>
      <c r="L175" s="627">
        <v>20.0</v>
      </c>
      <c r="M175" s="621">
        <v>40.0</v>
      </c>
      <c r="N175" s="622">
        <v>15.0</v>
      </c>
      <c r="O175" s="623">
        <v>35.0</v>
      </c>
      <c r="P175" s="624">
        <v>35.0</v>
      </c>
      <c r="Q175" s="625">
        <v>60.0</v>
      </c>
      <c r="R175" s="628">
        <v>205.0</v>
      </c>
      <c r="S175" s="629">
        <v>20.0</v>
      </c>
      <c r="T175" s="621">
        <v>40.0</v>
      </c>
      <c r="U175" s="622">
        <v>15.0</v>
      </c>
      <c r="V175" s="623">
        <v>35.0</v>
      </c>
      <c r="W175" s="624">
        <v>35.0</v>
      </c>
      <c r="X175" s="625">
        <v>60.0</v>
      </c>
      <c r="Y175" s="628">
        <f t="shared" si="1"/>
        <v>205</v>
      </c>
      <c r="Z175" s="619"/>
      <c r="AA175" s="630" t="str">
        <f t="shared" si="2"/>
        <v>#NAME?</v>
      </c>
      <c r="AB175" s="631" t="s">
        <v>197</v>
      </c>
      <c r="AC175" s="632" t="str">
        <f t="shared" si="3"/>
        <v>#NAME?</v>
      </c>
      <c r="AD175" s="639" t="s">
        <v>4428</v>
      </c>
      <c r="AE175" s="633" t="str">
        <f t="shared" si="4"/>
        <v>#NAME?</v>
      </c>
      <c r="AF175" s="631" t="s">
        <v>197</v>
      </c>
      <c r="AG175" s="632" t="str">
        <f t="shared" si="5"/>
        <v>#NAME?</v>
      </c>
      <c r="AH175" s="634" t="s">
        <v>4428</v>
      </c>
      <c r="AI175" s="635" t="str">
        <f t="shared" si="6"/>
        <v>#NAME?</v>
      </c>
      <c r="AJ175" s="634" t="s">
        <v>197</v>
      </c>
      <c r="AK175" s="636" t="str">
        <f t="shared" si="7"/>
        <v>#NAME?</v>
      </c>
      <c r="AL175" s="637" t="s">
        <v>4428</v>
      </c>
      <c r="AM175" s="619"/>
      <c r="AN175" s="638" t="s">
        <v>352</v>
      </c>
      <c r="AO175" s="639"/>
      <c r="AP175" s="712" t="s">
        <v>352</v>
      </c>
      <c r="AQ175" s="723" t="s">
        <v>354</v>
      </c>
      <c r="AR175" s="712" t="s">
        <v>352</v>
      </c>
      <c r="AS175" s="723" t="s">
        <v>354</v>
      </c>
      <c r="AT175" s="644"/>
      <c r="AU175" s="645"/>
      <c r="AV175" s="646"/>
      <c r="AW175" s="692"/>
      <c r="AX175" s="693"/>
      <c r="AY175" s="619"/>
      <c r="AZ175" s="648" t="s">
        <v>56</v>
      </c>
      <c r="BA175" s="694"/>
      <c r="BB175" s="690"/>
      <c r="BC175" s="619"/>
      <c r="BD175" s="651" t="s">
        <v>150</v>
      </c>
      <c r="BE175" s="653">
        <v>42.0</v>
      </c>
      <c r="BF175" s="653">
        <v>190.0</v>
      </c>
      <c r="BG175" s="846" t="s">
        <v>4454</v>
      </c>
      <c r="BH175" s="653">
        <v>20.0</v>
      </c>
      <c r="BI175" s="607"/>
      <c r="BJ175" s="655" t="s">
        <v>149</v>
      </c>
      <c r="BK175" s="703" t="s">
        <v>149</v>
      </c>
      <c r="BL175" s="610"/>
      <c r="BM175" s="657" t="s">
        <v>411</v>
      </c>
      <c r="BN175" s="704"/>
      <c r="BO175" s="607"/>
      <c r="BP175" s="659" t="s">
        <v>1708</v>
      </c>
      <c r="BQ175" s="614"/>
      <c r="BR175" s="660" t="s">
        <v>4433</v>
      </c>
      <c r="BS175" s="614"/>
    </row>
    <row r="176" ht="15.75" customHeight="1">
      <c r="A176" s="841"/>
      <c r="B176" s="661" t="s">
        <v>1714</v>
      </c>
      <c r="C176" s="662"/>
      <c r="D176" s="571"/>
      <c r="E176" s="672">
        <v>50.0</v>
      </c>
      <c r="F176" s="664">
        <v>25.0</v>
      </c>
      <c r="G176" s="665">
        <v>28.0</v>
      </c>
      <c r="H176" s="666">
        <v>45.0</v>
      </c>
      <c r="I176" s="667">
        <v>55.0</v>
      </c>
      <c r="J176" s="668">
        <v>15.0</v>
      </c>
      <c r="K176" s="669">
        <v>218.0</v>
      </c>
      <c r="L176" s="670">
        <v>50.0</v>
      </c>
      <c r="M176" s="664">
        <v>25.0</v>
      </c>
      <c r="N176" s="665">
        <v>28.0</v>
      </c>
      <c r="O176" s="666">
        <v>45.0</v>
      </c>
      <c r="P176" s="667">
        <v>55.0</v>
      </c>
      <c r="Q176" s="668">
        <v>15.0</v>
      </c>
      <c r="R176" s="671">
        <v>218.0</v>
      </c>
      <c r="S176" s="672">
        <v>50.0</v>
      </c>
      <c r="T176" s="664">
        <v>25.0</v>
      </c>
      <c r="U176" s="665">
        <v>28.0</v>
      </c>
      <c r="V176" s="666">
        <v>45.0</v>
      </c>
      <c r="W176" s="667">
        <v>55.0</v>
      </c>
      <c r="X176" s="668">
        <v>15.0</v>
      </c>
      <c r="Y176" s="671">
        <f t="shared" si="1"/>
        <v>218</v>
      </c>
      <c r="Z176" s="571"/>
      <c r="AA176" s="673" t="str">
        <f t="shared" si="2"/>
        <v>#NAME?</v>
      </c>
      <c r="AB176" s="674" t="s">
        <v>156</v>
      </c>
      <c r="AC176" s="675" t="str">
        <f t="shared" si="3"/>
        <v>#NAME?</v>
      </c>
      <c r="AD176" s="680" t="s">
        <v>4428</v>
      </c>
      <c r="AE176" s="847" t="str">
        <f t="shared" si="4"/>
        <v>#NAME?</v>
      </c>
      <c r="AF176" s="674" t="s">
        <v>3017</v>
      </c>
      <c r="AG176" s="675" t="str">
        <f t="shared" si="5"/>
        <v>#NAME?</v>
      </c>
      <c r="AH176" s="586" t="s">
        <v>4428</v>
      </c>
      <c r="AI176" s="770" t="str">
        <f t="shared" si="6"/>
        <v>#NAME?</v>
      </c>
      <c r="AJ176" s="771" t="s">
        <v>3017</v>
      </c>
      <c r="AK176" s="584" t="str">
        <f t="shared" si="7"/>
        <v>#NAME?</v>
      </c>
      <c r="AL176" s="678" t="s">
        <v>4428</v>
      </c>
      <c r="AM176" s="571"/>
      <c r="AN176" s="679" t="s">
        <v>463</v>
      </c>
      <c r="AO176" s="680" t="s">
        <v>464</v>
      </c>
      <c r="AP176" s="705" t="s">
        <v>463</v>
      </c>
      <c r="AQ176" s="680" t="s">
        <v>464</v>
      </c>
      <c r="AR176" s="705" t="s">
        <v>463</v>
      </c>
      <c r="AS176" s="680" t="s">
        <v>464</v>
      </c>
      <c r="AT176" s="595"/>
      <c r="AU176" s="685" t="str">
        <f>image("https://www.pokebip.com/pages/icones/objets/pierre-lune.png", 3)</f>
        <v/>
      </c>
      <c r="AV176" s="686" t="s">
        <v>470</v>
      </c>
      <c r="AW176" s="687"/>
      <c r="AX176" s="688"/>
      <c r="AY176" s="571"/>
      <c r="AZ176" s="689" t="s">
        <v>815</v>
      </c>
      <c r="BA176" s="690"/>
      <c r="BB176" s="696"/>
      <c r="BC176" s="571"/>
      <c r="BD176" s="651" t="s">
        <v>468</v>
      </c>
      <c r="BE176" s="653">
        <v>37.0</v>
      </c>
      <c r="BF176" s="653">
        <v>150.0</v>
      </c>
      <c r="BG176" s="848" t="s">
        <v>4454</v>
      </c>
      <c r="BH176" s="653">
        <v>20.0</v>
      </c>
      <c r="BI176" s="607"/>
      <c r="BJ176" s="655" t="s">
        <v>466</v>
      </c>
      <c r="BK176" s="656">
        <v>0.75</v>
      </c>
      <c r="BL176" s="610"/>
      <c r="BM176" s="657" t="s">
        <v>411</v>
      </c>
      <c r="BN176" s="704"/>
      <c r="BO176" s="607"/>
      <c r="BP176" s="659" t="s">
        <v>1718</v>
      </c>
      <c r="BQ176" s="614"/>
      <c r="BR176" s="660" t="s">
        <v>4435</v>
      </c>
      <c r="BS176" s="614"/>
    </row>
    <row r="177" ht="15.75" customHeight="1">
      <c r="A177" s="841"/>
      <c r="B177" s="617" t="s">
        <v>1722</v>
      </c>
      <c r="C177" s="618"/>
      <c r="D177" s="619"/>
      <c r="E177" s="629">
        <v>90.0</v>
      </c>
      <c r="F177" s="621">
        <v>30.0</v>
      </c>
      <c r="G177" s="622">
        <v>15.0</v>
      </c>
      <c r="H177" s="623">
        <v>40.0</v>
      </c>
      <c r="I177" s="624">
        <v>20.0</v>
      </c>
      <c r="J177" s="625">
        <v>15.0</v>
      </c>
      <c r="K177" s="626">
        <v>210.0</v>
      </c>
      <c r="L177" s="627">
        <v>90.0</v>
      </c>
      <c r="M177" s="621">
        <v>30.0</v>
      </c>
      <c r="N177" s="622">
        <v>15.0</v>
      </c>
      <c r="O177" s="623">
        <v>40.0</v>
      </c>
      <c r="P177" s="624">
        <v>20.0</v>
      </c>
      <c r="Q177" s="625">
        <v>15.0</v>
      </c>
      <c r="R177" s="628">
        <v>210.0</v>
      </c>
      <c r="S177" s="629">
        <v>90.0</v>
      </c>
      <c r="T177" s="621">
        <v>30.0</v>
      </c>
      <c r="U177" s="622">
        <v>15.0</v>
      </c>
      <c r="V177" s="623">
        <v>40.0</v>
      </c>
      <c r="W177" s="624">
        <v>20.0</v>
      </c>
      <c r="X177" s="625">
        <v>15.0</v>
      </c>
      <c r="Y177" s="628">
        <f t="shared" si="1"/>
        <v>210</v>
      </c>
      <c r="Z177" s="619"/>
      <c r="AA177" s="630" t="str">
        <f t="shared" si="2"/>
        <v>#NAME?</v>
      </c>
      <c r="AB177" s="631" t="s">
        <v>156</v>
      </c>
      <c r="AC177" s="632" t="str">
        <f t="shared" si="3"/>
        <v>#NAME?</v>
      </c>
      <c r="AD177" s="639" t="s">
        <v>4428</v>
      </c>
      <c r="AE177" s="633" t="str">
        <f t="shared" si="4"/>
        <v>#NAME?</v>
      </c>
      <c r="AF177" s="631" t="s">
        <v>156</v>
      </c>
      <c r="AG177" s="777" t="str">
        <f t="shared" si="5"/>
        <v>#NAME?</v>
      </c>
      <c r="AH177" s="634" t="s">
        <v>3017</v>
      </c>
      <c r="AI177" s="635" t="str">
        <f t="shared" si="6"/>
        <v>#NAME?</v>
      </c>
      <c r="AJ177" s="634" t="s">
        <v>156</v>
      </c>
      <c r="AK177" s="697" t="str">
        <f t="shared" si="7"/>
        <v>#NAME?</v>
      </c>
      <c r="AL177" s="637" t="s">
        <v>3017</v>
      </c>
      <c r="AM177" s="619"/>
      <c r="AN177" s="638" t="s">
        <v>463</v>
      </c>
      <c r="AO177" s="639"/>
      <c r="AP177" s="712" t="s">
        <v>463</v>
      </c>
      <c r="AQ177" s="639"/>
      <c r="AR177" s="712" t="s">
        <v>463</v>
      </c>
      <c r="AS177" s="845" t="s">
        <v>511</v>
      </c>
      <c r="AT177" s="644"/>
      <c r="AU177" s="645"/>
      <c r="AV177" s="646"/>
      <c r="AW177" s="692"/>
      <c r="AX177" s="693"/>
      <c r="AY177" s="619"/>
      <c r="AZ177" s="648" t="s">
        <v>144</v>
      </c>
      <c r="BA177" s="694"/>
      <c r="BB177" s="690"/>
      <c r="BC177" s="619"/>
      <c r="BD177" s="651" t="s">
        <v>468</v>
      </c>
      <c r="BE177" s="653">
        <v>39.0</v>
      </c>
      <c r="BF177" s="653">
        <v>170.0</v>
      </c>
      <c r="BG177" s="848" t="s">
        <v>4454</v>
      </c>
      <c r="BH177" s="653">
        <v>20.0</v>
      </c>
      <c r="BI177" s="607"/>
      <c r="BJ177" s="655" t="s">
        <v>466</v>
      </c>
      <c r="BK177" s="656">
        <v>0.75</v>
      </c>
      <c r="BL177" s="610"/>
      <c r="BM177" s="657" t="s">
        <v>411</v>
      </c>
      <c r="BN177" s="704"/>
      <c r="BO177" s="607"/>
      <c r="BP177" s="659" t="s">
        <v>1726</v>
      </c>
      <c r="BQ177" s="614"/>
      <c r="BR177" s="660" t="s">
        <v>4435</v>
      </c>
      <c r="BS177" s="614"/>
    </row>
    <row r="178" ht="15.75" customHeight="1">
      <c r="A178" s="841"/>
      <c r="B178" s="661" t="s">
        <v>1730</v>
      </c>
      <c r="C178" s="662"/>
      <c r="D178" s="571"/>
      <c r="E178" s="672">
        <v>35.0</v>
      </c>
      <c r="F178" s="664">
        <v>20.0</v>
      </c>
      <c r="G178" s="665">
        <v>65.0</v>
      </c>
      <c r="H178" s="666">
        <v>40.0</v>
      </c>
      <c r="I178" s="667">
        <v>65.0</v>
      </c>
      <c r="J178" s="668">
        <v>20.0</v>
      </c>
      <c r="K178" s="669">
        <v>245.0</v>
      </c>
      <c r="L178" s="670">
        <v>35.0</v>
      </c>
      <c r="M178" s="664">
        <v>20.0</v>
      </c>
      <c r="N178" s="665">
        <v>65.0</v>
      </c>
      <c r="O178" s="666">
        <v>40.0</v>
      </c>
      <c r="P178" s="667">
        <v>65.0</v>
      </c>
      <c r="Q178" s="668">
        <v>20.0</v>
      </c>
      <c r="R178" s="671">
        <v>245.0</v>
      </c>
      <c r="S178" s="672">
        <v>35.0</v>
      </c>
      <c r="T178" s="664">
        <v>20.0</v>
      </c>
      <c r="U178" s="665">
        <v>65.0</v>
      </c>
      <c r="V178" s="666">
        <v>40.0</v>
      </c>
      <c r="W178" s="667">
        <v>65.0</v>
      </c>
      <c r="X178" s="668">
        <v>20.0</v>
      </c>
      <c r="Y178" s="671">
        <f t="shared" si="1"/>
        <v>245</v>
      </c>
      <c r="Z178" s="571"/>
      <c r="AA178" s="673" t="str">
        <f t="shared" si="2"/>
        <v>#NAME?</v>
      </c>
      <c r="AB178" s="674" t="s">
        <v>156</v>
      </c>
      <c r="AC178" s="675" t="str">
        <f t="shared" si="3"/>
        <v>#NAME?</v>
      </c>
      <c r="AD178" s="680" t="s">
        <v>4428</v>
      </c>
      <c r="AE178" s="726" t="str">
        <f t="shared" si="4"/>
        <v>#NAME?</v>
      </c>
      <c r="AF178" s="727" t="s">
        <v>3017</v>
      </c>
      <c r="AG178" s="675" t="str">
        <f t="shared" si="5"/>
        <v>#NAME?</v>
      </c>
      <c r="AH178" s="586" t="s">
        <v>4428</v>
      </c>
      <c r="AI178" s="728" t="str">
        <f t="shared" si="6"/>
        <v>#NAME?</v>
      </c>
      <c r="AJ178" s="729" t="s">
        <v>3017</v>
      </c>
      <c r="AK178" s="584" t="str">
        <f t="shared" si="7"/>
        <v>#NAME?</v>
      </c>
      <c r="AL178" s="678" t="s">
        <v>4428</v>
      </c>
      <c r="AM178" s="571"/>
      <c r="AN178" s="679" t="s">
        <v>1733</v>
      </c>
      <c r="AO178" s="680" t="s">
        <v>1183</v>
      </c>
      <c r="AP178" s="734" t="s">
        <v>1183</v>
      </c>
      <c r="AQ178" s="735" t="s">
        <v>912</v>
      </c>
      <c r="AR178" s="736" t="s">
        <v>1184</v>
      </c>
      <c r="AS178" s="684" t="s">
        <v>912</v>
      </c>
      <c r="AT178" s="595"/>
      <c r="AU178" s="685"/>
      <c r="AV178" s="686"/>
      <c r="AW178" s="687"/>
      <c r="AX178" s="688"/>
      <c r="AY178" s="571"/>
      <c r="AZ178" s="695" t="s">
        <v>27</v>
      </c>
      <c r="BA178" s="700"/>
      <c r="BB178" s="690"/>
      <c r="BC178" s="571"/>
      <c r="BD178" s="651" t="s">
        <v>468</v>
      </c>
      <c r="BE178" s="653">
        <v>74.0</v>
      </c>
      <c r="BF178" s="653">
        <v>190.0</v>
      </c>
      <c r="BG178" s="849" t="s">
        <v>4454</v>
      </c>
      <c r="BH178" s="653">
        <v>20.0</v>
      </c>
      <c r="BI178" s="607"/>
      <c r="BJ178" s="655" t="s">
        <v>13</v>
      </c>
      <c r="BK178" s="656">
        <v>0.125</v>
      </c>
      <c r="BL178" s="610"/>
      <c r="BM178" s="657" t="s">
        <v>411</v>
      </c>
      <c r="BN178" s="704"/>
      <c r="BO178" s="607"/>
      <c r="BP178" s="659" t="s">
        <v>1736</v>
      </c>
      <c r="BQ178" s="614"/>
      <c r="BR178" s="660" t="s">
        <v>4431</v>
      </c>
      <c r="BS178" s="614"/>
    </row>
    <row r="179" ht="15.75" customHeight="1">
      <c r="A179" s="841"/>
      <c r="B179" s="617" t="s">
        <v>1740</v>
      </c>
      <c r="C179" s="618"/>
      <c r="D179" s="619"/>
      <c r="E179" s="629">
        <v>55.0</v>
      </c>
      <c r="F179" s="621">
        <v>40.0</v>
      </c>
      <c r="G179" s="622">
        <v>85.0</v>
      </c>
      <c r="H179" s="623">
        <v>80.0</v>
      </c>
      <c r="I179" s="624">
        <v>105.0</v>
      </c>
      <c r="J179" s="625">
        <v>40.0</v>
      </c>
      <c r="K179" s="626">
        <v>405.0</v>
      </c>
      <c r="L179" s="627">
        <v>55.0</v>
      </c>
      <c r="M179" s="621">
        <v>40.0</v>
      </c>
      <c r="N179" s="622">
        <v>85.0</v>
      </c>
      <c r="O179" s="623">
        <v>80.0</v>
      </c>
      <c r="P179" s="624">
        <v>105.0</v>
      </c>
      <c r="Q179" s="625">
        <v>40.0</v>
      </c>
      <c r="R179" s="628">
        <v>405.0</v>
      </c>
      <c r="S179" s="629">
        <v>55.0</v>
      </c>
      <c r="T179" s="621">
        <v>40.0</v>
      </c>
      <c r="U179" s="622">
        <v>85.0</v>
      </c>
      <c r="V179" s="623">
        <v>80.0</v>
      </c>
      <c r="W179" s="624">
        <v>105.0</v>
      </c>
      <c r="X179" s="625">
        <v>40.0</v>
      </c>
      <c r="Y179" s="628">
        <f t="shared" si="1"/>
        <v>405</v>
      </c>
      <c r="Z179" s="619"/>
      <c r="AA179" s="630" t="str">
        <f t="shared" si="2"/>
        <v>#NAME?</v>
      </c>
      <c r="AB179" s="631" t="s">
        <v>156</v>
      </c>
      <c r="AC179" s="632" t="str">
        <f t="shared" si="3"/>
        <v>#NAME?</v>
      </c>
      <c r="AD179" s="630" t="s">
        <v>18</v>
      </c>
      <c r="AE179" s="730" t="str">
        <f t="shared" si="4"/>
        <v>#NAME?</v>
      </c>
      <c r="AF179" s="731" t="s">
        <v>3017</v>
      </c>
      <c r="AG179" s="632" t="str">
        <f t="shared" si="5"/>
        <v>#NAME?</v>
      </c>
      <c r="AH179" s="634" t="s">
        <v>18</v>
      </c>
      <c r="AI179" s="732" t="str">
        <f t="shared" si="6"/>
        <v>#NAME?</v>
      </c>
      <c r="AJ179" s="733" t="s">
        <v>3017</v>
      </c>
      <c r="AK179" s="636" t="str">
        <f t="shared" si="7"/>
        <v>#NAME?</v>
      </c>
      <c r="AL179" s="637" t="s">
        <v>18</v>
      </c>
      <c r="AM179" s="619"/>
      <c r="AN179" s="638" t="s">
        <v>1733</v>
      </c>
      <c r="AO179" s="639" t="s">
        <v>1183</v>
      </c>
      <c r="AP179" s="701" t="s">
        <v>1183</v>
      </c>
      <c r="AQ179" s="740" t="s">
        <v>912</v>
      </c>
      <c r="AR179" s="702" t="s">
        <v>1184</v>
      </c>
      <c r="AS179" s="843" t="s">
        <v>912</v>
      </c>
      <c r="AT179" s="644"/>
      <c r="AU179" s="645"/>
      <c r="AV179" s="646"/>
      <c r="AW179" s="692"/>
      <c r="AX179" s="693"/>
      <c r="AY179" s="619"/>
      <c r="AZ179" s="698" t="s">
        <v>815</v>
      </c>
      <c r="BA179" s="690"/>
      <c r="BB179" s="650"/>
      <c r="BC179" s="619"/>
      <c r="BD179" s="651" t="s">
        <v>468</v>
      </c>
      <c r="BE179" s="653">
        <v>114.0</v>
      </c>
      <c r="BF179" s="653">
        <v>75.0</v>
      </c>
      <c r="BG179" s="654">
        <v>70.0</v>
      </c>
      <c r="BH179" s="653">
        <v>20.0</v>
      </c>
      <c r="BI179" s="607"/>
      <c r="BJ179" s="655" t="s">
        <v>13</v>
      </c>
      <c r="BK179" s="656">
        <v>0.125</v>
      </c>
      <c r="BL179" s="610"/>
      <c r="BM179" s="657" t="s">
        <v>18</v>
      </c>
      <c r="BN179" s="658" t="s">
        <v>153</v>
      </c>
      <c r="BO179" s="607"/>
      <c r="BP179" s="659" t="s">
        <v>1744</v>
      </c>
      <c r="BQ179" s="614"/>
      <c r="BR179" s="660" t="s">
        <v>4431</v>
      </c>
      <c r="BS179" s="614"/>
    </row>
    <row r="180" ht="15.75" customHeight="1">
      <c r="A180" s="841"/>
      <c r="B180" s="661" t="s">
        <v>1748</v>
      </c>
      <c r="C180" s="662"/>
      <c r="D180" s="571"/>
      <c r="E180" s="672">
        <v>40.0</v>
      </c>
      <c r="F180" s="664">
        <v>50.0</v>
      </c>
      <c r="G180" s="665">
        <v>45.0</v>
      </c>
      <c r="H180" s="666">
        <v>70.0</v>
      </c>
      <c r="I180" s="667">
        <v>45.0</v>
      </c>
      <c r="J180" s="668">
        <v>70.0</v>
      </c>
      <c r="K180" s="669">
        <v>320.0</v>
      </c>
      <c r="L180" s="670">
        <v>40.0</v>
      </c>
      <c r="M180" s="664">
        <v>50.0</v>
      </c>
      <c r="N180" s="665">
        <v>45.0</v>
      </c>
      <c r="O180" s="666">
        <v>70.0</v>
      </c>
      <c r="P180" s="667">
        <v>45.0</v>
      </c>
      <c r="Q180" s="668">
        <v>70.0</v>
      </c>
      <c r="R180" s="671">
        <v>320.0</v>
      </c>
      <c r="S180" s="672">
        <v>40.0</v>
      </c>
      <c r="T180" s="664">
        <v>50.0</v>
      </c>
      <c r="U180" s="665">
        <v>45.0</v>
      </c>
      <c r="V180" s="666">
        <v>70.0</v>
      </c>
      <c r="W180" s="667">
        <v>45.0</v>
      </c>
      <c r="X180" s="668">
        <v>70.0</v>
      </c>
      <c r="Y180" s="671">
        <f t="shared" si="1"/>
        <v>320</v>
      </c>
      <c r="Z180" s="571"/>
      <c r="AA180" s="673" t="str">
        <f t="shared" si="2"/>
        <v>#NAME?</v>
      </c>
      <c r="AB180" s="674" t="s">
        <v>122</v>
      </c>
      <c r="AC180" s="675" t="str">
        <f t="shared" si="3"/>
        <v>#NAME?</v>
      </c>
      <c r="AD180" s="673" t="s">
        <v>18</v>
      </c>
      <c r="AE180" s="676" t="str">
        <f t="shared" si="4"/>
        <v>#NAME?</v>
      </c>
      <c r="AF180" s="674" t="s">
        <v>122</v>
      </c>
      <c r="AG180" s="675" t="str">
        <f t="shared" si="5"/>
        <v>#NAME?</v>
      </c>
      <c r="AH180" s="586" t="s">
        <v>18</v>
      </c>
      <c r="AI180" s="677" t="str">
        <f t="shared" si="6"/>
        <v>#NAME?</v>
      </c>
      <c r="AJ180" s="586" t="s">
        <v>122</v>
      </c>
      <c r="AK180" s="584" t="str">
        <f t="shared" si="7"/>
        <v>#NAME?</v>
      </c>
      <c r="AL180" s="678" t="s">
        <v>18</v>
      </c>
      <c r="AM180" s="571"/>
      <c r="AN180" s="679" t="s">
        <v>727</v>
      </c>
      <c r="AO180" s="680" t="s">
        <v>924</v>
      </c>
      <c r="AP180" s="705" t="s">
        <v>727</v>
      </c>
      <c r="AQ180" s="680" t="s">
        <v>924</v>
      </c>
      <c r="AR180" s="705" t="s">
        <v>727</v>
      </c>
      <c r="AS180" s="680" t="s">
        <v>924</v>
      </c>
      <c r="AT180" s="595"/>
      <c r="AU180" s="685"/>
      <c r="AV180" s="686"/>
      <c r="AW180" s="687"/>
      <c r="AX180" s="688"/>
      <c r="AY180" s="571"/>
      <c r="AZ180" s="695" t="s">
        <v>4</v>
      </c>
      <c r="BA180" s="700"/>
      <c r="BB180" s="690"/>
      <c r="BC180" s="571"/>
      <c r="BD180" s="651" t="s">
        <v>150</v>
      </c>
      <c r="BE180" s="653">
        <v>73.0</v>
      </c>
      <c r="BF180" s="653">
        <v>190.0</v>
      </c>
      <c r="BG180" s="654">
        <v>70.0</v>
      </c>
      <c r="BH180" s="653">
        <v>20.0</v>
      </c>
      <c r="BI180" s="607"/>
      <c r="BJ180" s="655" t="s">
        <v>149</v>
      </c>
      <c r="BK180" s="703" t="s">
        <v>149</v>
      </c>
      <c r="BL180" s="610"/>
      <c r="BM180" s="657" t="s">
        <v>18</v>
      </c>
      <c r="BN180" s="704"/>
      <c r="BO180" s="607"/>
      <c r="BP180" s="659" t="s">
        <v>1752</v>
      </c>
      <c r="BQ180" s="614"/>
      <c r="BR180" s="660" t="s">
        <v>4427</v>
      </c>
      <c r="BS180" s="614"/>
    </row>
    <row r="181" ht="15.75" customHeight="1">
      <c r="A181" s="841"/>
      <c r="B181" s="617" t="s">
        <v>1756</v>
      </c>
      <c r="C181" s="618"/>
      <c r="D181" s="619"/>
      <c r="E181" s="629">
        <v>65.0</v>
      </c>
      <c r="F181" s="621">
        <v>75.0</v>
      </c>
      <c r="G181" s="622">
        <v>70.0</v>
      </c>
      <c r="H181" s="623">
        <v>95.0</v>
      </c>
      <c r="I181" s="624">
        <v>70.0</v>
      </c>
      <c r="J181" s="625">
        <v>95.0</v>
      </c>
      <c r="K181" s="626">
        <v>470.0</v>
      </c>
      <c r="L181" s="627">
        <v>65.0</v>
      </c>
      <c r="M181" s="621">
        <v>75.0</v>
      </c>
      <c r="N181" s="622">
        <v>70.0</v>
      </c>
      <c r="O181" s="623">
        <v>95.0</v>
      </c>
      <c r="P181" s="624">
        <v>70.0</v>
      </c>
      <c r="Q181" s="625">
        <v>95.0</v>
      </c>
      <c r="R181" s="628">
        <v>470.0</v>
      </c>
      <c r="S181" s="629">
        <v>65.0</v>
      </c>
      <c r="T181" s="621">
        <v>75.0</v>
      </c>
      <c r="U181" s="622">
        <v>70.0</v>
      </c>
      <c r="V181" s="623">
        <v>95.0</v>
      </c>
      <c r="W181" s="624">
        <v>70.0</v>
      </c>
      <c r="X181" s="625">
        <v>95.0</v>
      </c>
      <c r="Y181" s="628">
        <f t="shared" si="1"/>
        <v>470</v>
      </c>
      <c r="Z181" s="619"/>
      <c r="AA181" s="630" t="str">
        <f t="shared" si="2"/>
        <v>#NAME?</v>
      </c>
      <c r="AB181" s="631" t="s">
        <v>122</v>
      </c>
      <c r="AC181" s="632" t="str">
        <f t="shared" si="3"/>
        <v>#NAME?</v>
      </c>
      <c r="AD181" s="630" t="s">
        <v>18</v>
      </c>
      <c r="AE181" s="633" t="str">
        <f t="shared" si="4"/>
        <v>#NAME?</v>
      </c>
      <c r="AF181" s="631" t="s">
        <v>122</v>
      </c>
      <c r="AG181" s="632" t="str">
        <f t="shared" si="5"/>
        <v>#NAME?</v>
      </c>
      <c r="AH181" s="634" t="s">
        <v>18</v>
      </c>
      <c r="AI181" s="635" t="str">
        <f t="shared" si="6"/>
        <v>#NAME?</v>
      </c>
      <c r="AJ181" s="634" t="s">
        <v>122</v>
      </c>
      <c r="AK181" s="636" t="str">
        <f t="shared" si="7"/>
        <v>#NAME?</v>
      </c>
      <c r="AL181" s="637" t="s">
        <v>18</v>
      </c>
      <c r="AM181" s="619"/>
      <c r="AN181" s="638" t="s">
        <v>727</v>
      </c>
      <c r="AO181" s="639" t="s">
        <v>924</v>
      </c>
      <c r="AP181" s="712" t="s">
        <v>727</v>
      </c>
      <c r="AQ181" s="639" t="s">
        <v>924</v>
      </c>
      <c r="AR181" s="712" t="s">
        <v>727</v>
      </c>
      <c r="AS181" s="639" t="s">
        <v>924</v>
      </c>
      <c r="AT181" s="644"/>
      <c r="AU181" s="645"/>
      <c r="AV181" s="646"/>
      <c r="AW181" s="692"/>
      <c r="AX181" s="693"/>
      <c r="AY181" s="619"/>
      <c r="AZ181" s="648" t="s">
        <v>4</v>
      </c>
      <c r="BA181" s="649" t="s">
        <v>56</v>
      </c>
      <c r="BB181" s="650"/>
      <c r="BC181" s="619"/>
      <c r="BD181" s="651" t="s">
        <v>150</v>
      </c>
      <c r="BE181" s="653">
        <v>171.0</v>
      </c>
      <c r="BF181" s="653">
        <v>75.0</v>
      </c>
      <c r="BG181" s="654">
        <v>70.0</v>
      </c>
      <c r="BH181" s="653">
        <v>40.0</v>
      </c>
      <c r="BI181" s="607"/>
      <c r="BJ181" s="655" t="s">
        <v>149</v>
      </c>
      <c r="BK181" s="703" t="s">
        <v>149</v>
      </c>
      <c r="BL181" s="610"/>
      <c r="BM181" s="657" t="s">
        <v>18</v>
      </c>
      <c r="BN181" s="704"/>
      <c r="BO181" s="607"/>
      <c r="BP181" s="659" t="s">
        <v>1759</v>
      </c>
      <c r="BQ181" s="614"/>
      <c r="BR181" s="660" t="s">
        <v>4427</v>
      </c>
      <c r="BS181" s="614"/>
    </row>
    <row r="182" ht="15.75" customHeight="1">
      <c r="A182" s="841"/>
      <c r="B182" s="661" t="s">
        <v>1763</v>
      </c>
      <c r="C182" s="662"/>
      <c r="D182" s="571"/>
      <c r="E182" s="672">
        <v>55.0</v>
      </c>
      <c r="F182" s="664">
        <v>40.0</v>
      </c>
      <c r="G182" s="665">
        <v>40.0</v>
      </c>
      <c r="H182" s="666">
        <v>65.0</v>
      </c>
      <c r="I182" s="667">
        <v>45.0</v>
      </c>
      <c r="J182" s="668">
        <v>35.0</v>
      </c>
      <c r="K182" s="669">
        <v>280.0</v>
      </c>
      <c r="L182" s="670">
        <v>55.0</v>
      </c>
      <c r="M182" s="664">
        <v>40.0</v>
      </c>
      <c r="N182" s="665">
        <v>40.0</v>
      </c>
      <c r="O182" s="666">
        <v>65.0</v>
      </c>
      <c r="P182" s="667">
        <v>45.0</v>
      </c>
      <c r="Q182" s="668">
        <v>35.0</v>
      </c>
      <c r="R182" s="671">
        <v>280.0</v>
      </c>
      <c r="S182" s="672">
        <v>55.0</v>
      </c>
      <c r="T182" s="664">
        <v>40.0</v>
      </c>
      <c r="U182" s="665">
        <v>40.0</v>
      </c>
      <c r="V182" s="666">
        <v>65.0</v>
      </c>
      <c r="W182" s="667">
        <v>45.0</v>
      </c>
      <c r="X182" s="668">
        <v>35.0</v>
      </c>
      <c r="Y182" s="671">
        <f t="shared" si="1"/>
        <v>280</v>
      </c>
      <c r="Z182" s="571"/>
      <c r="AA182" s="673" t="str">
        <f t="shared" si="2"/>
        <v>#NAME?</v>
      </c>
      <c r="AB182" s="674" t="s">
        <v>197</v>
      </c>
      <c r="AC182" s="675" t="str">
        <f t="shared" si="3"/>
        <v>#NAME?</v>
      </c>
      <c r="AD182" s="680" t="s">
        <v>4428</v>
      </c>
      <c r="AE182" s="676" t="str">
        <f t="shared" si="4"/>
        <v>#NAME?</v>
      </c>
      <c r="AF182" s="674" t="s">
        <v>197</v>
      </c>
      <c r="AG182" s="675" t="str">
        <f t="shared" si="5"/>
        <v>#NAME?</v>
      </c>
      <c r="AH182" s="586" t="s">
        <v>4428</v>
      </c>
      <c r="AI182" s="677" t="str">
        <f t="shared" si="6"/>
        <v>#NAME?</v>
      </c>
      <c r="AJ182" s="586" t="s">
        <v>197</v>
      </c>
      <c r="AK182" s="584" t="str">
        <f t="shared" si="7"/>
        <v>#NAME?</v>
      </c>
      <c r="AL182" s="678" t="s">
        <v>4428</v>
      </c>
      <c r="AM182" s="571"/>
      <c r="AN182" s="679" t="s">
        <v>352</v>
      </c>
      <c r="AO182" s="680"/>
      <c r="AP182" s="705" t="s">
        <v>352</v>
      </c>
      <c r="AQ182" s="680"/>
      <c r="AR182" s="705" t="s">
        <v>352</v>
      </c>
      <c r="AS182" s="680"/>
      <c r="AT182" s="595"/>
      <c r="AU182" s="685"/>
      <c r="AV182" s="686"/>
      <c r="AW182" s="687"/>
      <c r="AX182" s="688"/>
      <c r="AY182" s="571"/>
      <c r="AZ182" s="695" t="s">
        <v>4</v>
      </c>
      <c r="BA182" s="700"/>
      <c r="BB182" s="690"/>
      <c r="BC182" s="571"/>
      <c r="BD182" s="651" t="s">
        <v>15</v>
      </c>
      <c r="BE182" s="653">
        <v>59.0</v>
      </c>
      <c r="BF182" s="653">
        <v>235.0</v>
      </c>
      <c r="BG182" s="654">
        <v>70.0</v>
      </c>
      <c r="BH182" s="653">
        <v>20.0</v>
      </c>
      <c r="BI182" s="607"/>
      <c r="BJ182" s="655" t="s">
        <v>149</v>
      </c>
      <c r="BK182" s="703" t="s">
        <v>149</v>
      </c>
      <c r="BL182" s="610"/>
      <c r="BM182" s="657" t="s">
        <v>14</v>
      </c>
      <c r="BN182" s="658" t="s">
        <v>277</v>
      </c>
      <c r="BO182" s="607"/>
      <c r="BP182" s="659" t="s">
        <v>1767</v>
      </c>
      <c r="BQ182" s="614"/>
      <c r="BR182" s="660" t="s">
        <v>4431</v>
      </c>
      <c r="BS182" s="614"/>
    </row>
    <row r="183" ht="15.75" customHeight="1">
      <c r="A183" s="841"/>
      <c r="B183" s="617" t="s">
        <v>1770</v>
      </c>
      <c r="C183" s="618"/>
      <c r="D183" s="619"/>
      <c r="E183" s="629">
        <v>70.0</v>
      </c>
      <c r="F183" s="621">
        <v>55.0</v>
      </c>
      <c r="G183" s="622">
        <v>55.0</v>
      </c>
      <c r="H183" s="748">
        <v>80.0</v>
      </c>
      <c r="I183" s="624">
        <v>60.0</v>
      </c>
      <c r="J183" s="625">
        <v>45.0</v>
      </c>
      <c r="K183" s="749">
        <v>365.0</v>
      </c>
      <c r="L183" s="627">
        <v>70.0</v>
      </c>
      <c r="M183" s="621">
        <v>55.0</v>
      </c>
      <c r="N183" s="622">
        <v>55.0</v>
      </c>
      <c r="O183" s="623">
        <v>80.0</v>
      </c>
      <c r="P183" s="624">
        <v>60.0</v>
      </c>
      <c r="Q183" s="625">
        <v>45.0</v>
      </c>
      <c r="R183" s="628">
        <v>365.0</v>
      </c>
      <c r="S183" s="629">
        <v>70.0</v>
      </c>
      <c r="T183" s="621">
        <v>55.0</v>
      </c>
      <c r="U183" s="622">
        <v>55.0</v>
      </c>
      <c r="V183" s="623">
        <v>80.0</v>
      </c>
      <c r="W183" s="624">
        <v>60.0</v>
      </c>
      <c r="X183" s="625">
        <v>45.0</v>
      </c>
      <c r="Y183" s="628">
        <f t="shared" si="1"/>
        <v>365</v>
      </c>
      <c r="Z183" s="619"/>
      <c r="AA183" s="630" t="str">
        <f t="shared" si="2"/>
        <v>#NAME?</v>
      </c>
      <c r="AB183" s="631" t="s">
        <v>197</v>
      </c>
      <c r="AC183" s="632" t="str">
        <f t="shared" si="3"/>
        <v>#NAME?</v>
      </c>
      <c r="AD183" s="639" t="s">
        <v>4428</v>
      </c>
      <c r="AE183" s="633" t="str">
        <f t="shared" si="4"/>
        <v>#NAME?</v>
      </c>
      <c r="AF183" s="631" t="s">
        <v>197</v>
      </c>
      <c r="AG183" s="632" t="str">
        <f t="shared" si="5"/>
        <v>#NAME?</v>
      </c>
      <c r="AH183" s="634" t="s">
        <v>4428</v>
      </c>
      <c r="AI183" s="635" t="str">
        <f t="shared" si="6"/>
        <v>#NAME?</v>
      </c>
      <c r="AJ183" s="634" t="s">
        <v>197</v>
      </c>
      <c r="AK183" s="636" t="str">
        <f t="shared" si="7"/>
        <v>#NAME?</v>
      </c>
      <c r="AL183" s="637" t="s">
        <v>4428</v>
      </c>
      <c r="AM183" s="619"/>
      <c r="AN183" s="638" t="s">
        <v>352</v>
      </c>
      <c r="AO183" s="639"/>
      <c r="AP183" s="712" t="s">
        <v>352</v>
      </c>
      <c r="AQ183" s="639"/>
      <c r="AR183" s="712" t="s">
        <v>352</v>
      </c>
      <c r="AS183" s="639"/>
      <c r="AT183" s="644"/>
      <c r="AU183" s="645"/>
      <c r="AV183" s="646"/>
      <c r="AW183" s="692"/>
      <c r="AX183" s="693"/>
      <c r="AY183" s="619"/>
      <c r="AZ183" s="698" t="s">
        <v>42</v>
      </c>
      <c r="BA183" s="690"/>
      <c r="BB183" s="650"/>
      <c r="BC183" s="619"/>
      <c r="BD183" s="651" t="s">
        <v>15</v>
      </c>
      <c r="BE183" s="653">
        <v>117.0</v>
      </c>
      <c r="BF183" s="653">
        <v>120.0</v>
      </c>
      <c r="BG183" s="654">
        <v>70.0</v>
      </c>
      <c r="BH183" s="653">
        <v>40.0</v>
      </c>
      <c r="BI183" s="607"/>
      <c r="BJ183" s="655" t="s">
        <v>149</v>
      </c>
      <c r="BK183" s="703" t="s">
        <v>149</v>
      </c>
      <c r="BL183" s="610"/>
      <c r="BM183" s="657" t="s">
        <v>14</v>
      </c>
      <c r="BN183" s="658" t="s">
        <v>277</v>
      </c>
      <c r="BO183" s="607"/>
      <c r="BP183" s="659" t="s">
        <v>1774</v>
      </c>
      <c r="BQ183" s="614"/>
      <c r="BR183" s="660" t="s">
        <v>4435</v>
      </c>
      <c r="BS183" s="614"/>
    </row>
    <row r="184" ht="15.75" customHeight="1">
      <c r="A184" s="841"/>
      <c r="B184" s="661" t="s">
        <v>1778</v>
      </c>
      <c r="C184" s="662"/>
      <c r="D184" s="571"/>
      <c r="E184" s="672">
        <v>90.0</v>
      </c>
      <c r="F184" s="664">
        <v>75.0</v>
      </c>
      <c r="G184" s="665">
        <v>75.0</v>
      </c>
      <c r="H184" s="666">
        <v>115.0</v>
      </c>
      <c r="I184" s="667">
        <v>90.0</v>
      </c>
      <c r="J184" s="668">
        <v>55.0</v>
      </c>
      <c r="K184" s="669">
        <v>500.0</v>
      </c>
      <c r="L184" s="670">
        <v>90.0</v>
      </c>
      <c r="M184" s="664">
        <v>75.0</v>
      </c>
      <c r="N184" s="665">
        <v>85.0</v>
      </c>
      <c r="O184" s="666">
        <v>115.0</v>
      </c>
      <c r="P184" s="667">
        <v>90.0</v>
      </c>
      <c r="Q184" s="668">
        <v>55.0</v>
      </c>
      <c r="R184" s="671">
        <v>510.0</v>
      </c>
      <c r="S184" s="672">
        <v>90.0</v>
      </c>
      <c r="T184" s="664">
        <v>75.0</v>
      </c>
      <c r="U184" s="665">
        <v>85.0</v>
      </c>
      <c r="V184" s="666">
        <v>115.0</v>
      </c>
      <c r="W184" s="667">
        <v>90.0</v>
      </c>
      <c r="X184" s="668">
        <v>55.0</v>
      </c>
      <c r="Y184" s="671">
        <f t="shared" si="1"/>
        <v>510</v>
      </c>
      <c r="Z184" s="571"/>
      <c r="AA184" s="673" t="str">
        <f t="shared" si="2"/>
        <v>#NAME?</v>
      </c>
      <c r="AB184" s="674" t="s">
        <v>197</v>
      </c>
      <c r="AC184" s="675" t="str">
        <f t="shared" si="3"/>
        <v>#NAME?</v>
      </c>
      <c r="AD184" s="680" t="s">
        <v>4428</v>
      </c>
      <c r="AE184" s="676" t="str">
        <f t="shared" si="4"/>
        <v>#NAME?</v>
      </c>
      <c r="AF184" s="674" t="s">
        <v>197</v>
      </c>
      <c r="AG184" s="675" t="str">
        <f t="shared" si="5"/>
        <v>#NAME?</v>
      </c>
      <c r="AH184" s="586" t="s">
        <v>4428</v>
      </c>
      <c r="AI184" s="677" t="str">
        <f t="shared" si="6"/>
        <v>#NAME?</v>
      </c>
      <c r="AJ184" s="586" t="s">
        <v>197</v>
      </c>
      <c r="AK184" s="697" t="str">
        <f t="shared" si="7"/>
        <v>#NAME?</v>
      </c>
      <c r="AL184" s="678" t="s">
        <v>86</v>
      </c>
      <c r="AM184" s="571"/>
      <c r="AN184" s="679" t="s">
        <v>352</v>
      </c>
      <c r="AO184" s="680"/>
      <c r="AP184" s="705" t="s">
        <v>352</v>
      </c>
      <c r="AQ184" s="680"/>
      <c r="AR184" s="705" t="s">
        <v>352</v>
      </c>
      <c r="AS184" s="680"/>
      <c r="AT184" s="595"/>
      <c r="AU184" s="685"/>
      <c r="AV184" s="686"/>
      <c r="AW184" s="687"/>
      <c r="AX184" s="688"/>
      <c r="AY184" s="571"/>
      <c r="AZ184" s="689" t="s">
        <v>85</v>
      </c>
      <c r="BA184" s="699"/>
      <c r="BB184" s="690"/>
      <c r="BC184" s="571"/>
      <c r="BD184" s="651" t="s">
        <v>15</v>
      </c>
      <c r="BE184" s="653">
        <v>194.0</v>
      </c>
      <c r="BF184" s="653">
        <v>45.0</v>
      </c>
      <c r="BG184" s="654">
        <v>70.0</v>
      </c>
      <c r="BH184" s="653">
        <v>80.0</v>
      </c>
      <c r="BI184" s="607"/>
      <c r="BJ184" s="655" t="s">
        <v>149</v>
      </c>
      <c r="BK184" s="703" t="s">
        <v>149</v>
      </c>
      <c r="BL184" s="610"/>
      <c r="BM184" s="657" t="s">
        <v>14</v>
      </c>
      <c r="BN184" s="658" t="s">
        <v>277</v>
      </c>
      <c r="BO184" s="607"/>
      <c r="BP184" s="659" t="s">
        <v>1784</v>
      </c>
      <c r="BQ184" s="614"/>
      <c r="BR184" s="660" t="s">
        <v>4433</v>
      </c>
      <c r="BS184" s="614"/>
    </row>
    <row r="185" ht="15.75" customHeight="1">
      <c r="A185" s="841"/>
      <c r="B185" s="617" t="s">
        <v>1788</v>
      </c>
      <c r="C185" s="618"/>
      <c r="D185" s="619"/>
      <c r="E185" s="629">
        <v>75.0</v>
      </c>
      <c r="F185" s="621">
        <v>80.0</v>
      </c>
      <c r="G185" s="622">
        <v>85.0</v>
      </c>
      <c r="H185" s="623">
        <v>90.0</v>
      </c>
      <c r="I185" s="624">
        <v>100.0</v>
      </c>
      <c r="J185" s="625">
        <v>50.0</v>
      </c>
      <c r="K185" s="626">
        <v>480.0</v>
      </c>
      <c r="L185" s="627">
        <v>75.0</v>
      </c>
      <c r="M185" s="621">
        <v>80.0</v>
      </c>
      <c r="N185" s="622">
        <v>95.0</v>
      </c>
      <c r="O185" s="623">
        <v>90.0</v>
      </c>
      <c r="P185" s="624">
        <v>100.0</v>
      </c>
      <c r="Q185" s="625">
        <v>50.0</v>
      </c>
      <c r="R185" s="628">
        <v>490.0</v>
      </c>
      <c r="S185" s="629">
        <v>75.0</v>
      </c>
      <c r="T185" s="621">
        <v>80.0</v>
      </c>
      <c r="U185" s="622">
        <v>95.0</v>
      </c>
      <c r="V185" s="623">
        <v>90.0</v>
      </c>
      <c r="W185" s="624">
        <v>100.0</v>
      </c>
      <c r="X185" s="625">
        <v>50.0</v>
      </c>
      <c r="Y185" s="628">
        <f t="shared" si="1"/>
        <v>490</v>
      </c>
      <c r="Z185" s="619"/>
      <c r="AA185" s="630" t="str">
        <f t="shared" si="2"/>
        <v>#NAME?</v>
      </c>
      <c r="AB185" s="631" t="s">
        <v>6</v>
      </c>
      <c r="AC185" s="632" t="str">
        <f t="shared" si="3"/>
        <v>#NAME?</v>
      </c>
      <c r="AD185" s="639" t="s">
        <v>4428</v>
      </c>
      <c r="AE185" s="633" t="str">
        <f t="shared" si="4"/>
        <v>#NAME?</v>
      </c>
      <c r="AF185" s="631" t="s">
        <v>6</v>
      </c>
      <c r="AG185" s="632" t="str">
        <f t="shared" si="5"/>
        <v>#NAME?</v>
      </c>
      <c r="AH185" s="634" t="s">
        <v>4428</v>
      </c>
      <c r="AI185" s="635" t="str">
        <f t="shared" si="6"/>
        <v>#NAME?</v>
      </c>
      <c r="AJ185" s="634" t="s">
        <v>6</v>
      </c>
      <c r="AK185" s="636" t="str">
        <f t="shared" si="7"/>
        <v>#NAME?</v>
      </c>
      <c r="AL185" s="637" t="s">
        <v>4428</v>
      </c>
      <c r="AM185" s="619"/>
      <c r="AN185" s="638" t="s">
        <v>43</v>
      </c>
      <c r="AO185" s="639"/>
      <c r="AP185" s="712" t="s">
        <v>43</v>
      </c>
      <c r="AQ185" s="845" t="s">
        <v>43</v>
      </c>
      <c r="AR185" s="712" t="s">
        <v>43</v>
      </c>
      <c r="AS185" s="845" t="s">
        <v>1791</v>
      </c>
      <c r="AT185" s="644"/>
      <c r="AU185" s="645"/>
      <c r="AV185" s="646"/>
      <c r="AW185" s="692"/>
      <c r="AX185" s="693"/>
      <c r="AY185" s="619"/>
      <c r="AZ185" s="698" t="s">
        <v>129</v>
      </c>
      <c r="BA185" s="699"/>
      <c r="BB185" s="690"/>
      <c r="BC185" s="619"/>
      <c r="BD185" s="651" t="s">
        <v>15</v>
      </c>
      <c r="BE185" s="653">
        <v>184.0</v>
      </c>
      <c r="BF185" s="653">
        <v>45.0</v>
      </c>
      <c r="BG185" s="654">
        <v>70.0</v>
      </c>
      <c r="BH185" s="653">
        <v>20.0</v>
      </c>
      <c r="BI185" s="607"/>
      <c r="BJ185" s="655" t="s">
        <v>149</v>
      </c>
      <c r="BK185" s="703" t="s">
        <v>149</v>
      </c>
      <c r="BL185" s="610"/>
      <c r="BM185" s="657" t="s">
        <v>6</v>
      </c>
      <c r="BN185" s="704"/>
      <c r="BO185" s="607"/>
      <c r="BP185" s="659" t="s">
        <v>1793</v>
      </c>
      <c r="BQ185" s="614"/>
      <c r="BR185" s="660" t="s">
        <v>4427</v>
      </c>
      <c r="BS185" s="614"/>
    </row>
    <row r="186" ht="15.75" customHeight="1">
      <c r="A186" s="841"/>
      <c r="B186" s="661" t="s">
        <v>1797</v>
      </c>
      <c r="C186" s="662"/>
      <c r="D186" s="571"/>
      <c r="E186" s="672">
        <v>70.0</v>
      </c>
      <c r="F186" s="664">
        <v>20.0</v>
      </c>
      <c r="G186" s="665">
        <v>50.0</v>
      </c>
      <c r="H186" s="666">
        <v>20.0</v>
      </c>
      <c r="I186" s="667">
        <v>50.0</v>
      </c>
      <c r="J186" s="668">
        <v>40.0</v>
      </c>
      <c r="K186" s="669">
        <v>250.0</v>
      </c>
      <c r="L186" s="670">
        <v>70.0</v>
      </c>
      <c r="M186" s="664">
        <v>20.0</v>
      </c>
      <c r="N186" s="665">
        <v>50.0</v>
      </c>
      <c r="O186" s="666">
        <v>20.0</v>
      </c>
      <c r="P186" s="667">
        <v>50.0</v>
      </c>
      <c r="Q186" s="668">
        <v>40.0</v>
      </c>
      <c r="R186" s="671">
        <v>250.0</v>
      </c>
      <c r="S186" s="672">
        <v>70.0</v>
      </c>
      <c r="T186" s="664">
        <v>20.0</v>
      </c>
      <c r="U186" s="665">
        <v>50.0</v>
      </c>
      <c r="V186" s="743">
        <v>40.0</v>
      </c>
      <c r="W186" s="667">
        <v>50.0</v>
      </c>
      <c r="X186" s="668">
        <v>40.0</v>
      </c>
      <c r="Y186" s="671">
        <f t="shared" si="1"/>
        <v>270</v>
      </c>
      <c r="Z186" s="571"/>
      <c r="AA186" s="673" t="str">
        <f t="shared" si="2"/>
        <v>#NAME?</v>
      </c>
      <c r="AB186" s="674" t="s">
        <v>32</v>
      </c>
      <c r="AC186" s="675" t="str">
        <f t="shared" si="3"/>
        <v>#NAME?</v>
      </c>
      <c r="AD186" s="680" t="s">
        <v>4428</v>
      </c>
      <c r="AE186" s="676" t="str">
        <f t="shared" si="4"/>
        <v>#NAME?</v>
      </c>
      <c r="AF186" s="674" t="s">
        <v>32</v>
      </c>
      <c r="AG186" s="850" t="str">
        <f t="shared" si="5"/>
        <v>#NAME?</v>
      </c>
      <c r="AH186" s="851" t="s">
        <v>3017</v>
      </c>
      <c r="AI186" s="677" t="str">
        <f t="shared" si="6"/>
        <v>#NAME?</v>
      </c>
      <c r="AJ186" s="586" t="s">
        <v>32</v>
      </c>
      <c r="AK186" s="738" t="str">
        <f t="shared" si="7"/>
        <v>#NAME?</v>
      </c>
      <c r="AL186" s="852" t="s">
        <v>3017</v>
      </c>
      <c r="AM186" s="571"/>
      <c r="AN186" s="679" t="s">
        <v>944</v>
      </c>
      <c r="AO186" s="680" t="s">
        <v>1802</v>
      </c>
      <c r="AP186" s="734" t="s">
        <v>1802</v>
      </c>
      <c r="AQ186" s="682" t="s">
        <v>944</v>
      </c>
      <c r="AR186" s="736" t="s">
        <v>1803</v>
      </c>
      <c r="AS186" s="684" t="s">
        <v>944</v>
      </c>
      <c r="AT186" s="595"/>
      <c r="AU186" s="685"/>
      <c r="AV186" s="686"/>
      <c r="AW186" s="687"/>
      <c r="AX186" s="688"/>
      <c r="AY186" s="571"/>
      <c r="AZ186" s="689" t="s">
        <v>409</v>
      </c>
      <c r="BA186" s="690"/>
      <c r="BB186" s="696"/>
      <c r="BC186" s="571"/>
      <c r="BD186" s="651" t="s">
        <v>468</v>
      </c>
      <c r="BE186" s="653">
        <v>58.0</v>
      </c>
      <c r="BF186" s="653">
        <v>190.0</v>
      </c>
      <c r="BG186" s="654">
        <v>70.0</v>
      </c>
      <c r="BH186" s="653">
        <v>20.0</v>
      </c>
      <c r="BI186" s="607"/>
      <c r="BJ186" s="655" t="s">
        <v>149</v>
      </c>
      <c r="BK186" s="703" t="s">
        <v>149</v>
      </c>
      <c r="BL186" s="610"/>
      <c r="BM186" s="657" t="s">
        <v>106</v>
      </c>
      <c r="BN186" s="658" t="s">
        <v>153</v>
      </c>
      <c r="BO186" s="607"/>
      <c r="BP186" s="659" t="s">
        <v>1804</v>
      </c>
      <c r="BQ186" s="614"/>
      <c r="BR186" s="660" t="s">
        <v>4430</v>
      </c>
      <c r="BS186" s="614"/>
    </row>
    <row r="187" ht="15.75" customHeight="1">
      <c r="A187" s="841"/>
      <c r="B187" s="617" t="s">
        <v>1808</v>
      </c>
      <c r="C187" s="618"/>
      <c r="D187" s="619"/>
      <c r="E187" s="629">
        <v>100.0</v>
      </c>
      <c r="F187" s="621">
        <v>50.0</v>
      </c>
      <c r="G187" s="622">
        <v>80.0</v>
      </c>
      <c r="H187" s="623">
        <v>50.0</v>
      </c>
      <c r="I187" s="624">
        <v>80.0</v>
      </c>
      <c r="J187" s="625">
        <v>50.0</v>
      </c>
      <c r="K187" s="626">
        <v>410.0</v>
      </c>
      <c r="L187" s="627">
        <v>100.0</v>
      </c>
      <c r="M187" s="621">
        <v>50.0</v>
      </c>
      <c r="N187" s="622">
        <v>80.0</v>
      </c>
      <c r="O187" s="623">
        <v>60.0</v>
      </c>
      <c r="P187" s="624">
        <v>80.0</v>
      </c>
      <c r="Q187" s="625">
        <v>50.0</v>
      </c>
      <c r="R187" s="628">
        <v>420.0</v>
      </c>
      <c r="S187" s="778">
        <v>110.0</v>
      </c>
      <c r="T187" s="621">
        <v>50.0</v>
      </c>
      <c r="U187" s="622">
        <v>80.0</v>
      </c>
      <c r="V187" s="748">
        <v>80.0</v>
      </c>
      <c r="W187" s="624">
        <v>80.0</v>
      </c>
      <c r="X187" s="625">
        <v>50.0</v>
      </c>
      <c r="Y187" s="628">
        <f t="shared" si="1"/>
        <v>450</v>
      </c>
      <c r="Z187" s="619"/>
      <c r="AA187" s="630" t="str">
        <f t="shared" si="2"/>
        <v>#NAME?</v>
      </c>
      <c r="AB187" s="631" t="s">
        <v>32</v>
      </c>
      <c r="AC187" s="632" t="str">
        <f t="shared" si="3"/>
        <v>#NAME?</v>
      </c>
      <c r="AD187" s="639" t="s">
        <v>4428</v>
      </c>
      <c r="AE187" s="633" t="str">
        <f t="shared" si="4"/>
        <v>#NAME?</v>
      </c>
      <c r="AF187" s="631" t="s">
        <v>32</v>
      </c>
      <c r="AG187" s="754" t="str">
        <f t="shared" si="5"/>
        <v>#NAME?</v>
      </c>
      <c r="AH187" s="853" t="s">
        <v>3017</v>
      </c>
      <c r="AI187" s="635" t="str">
        <f t="shared" si="6"/>
        <v>#NAME?</v>
      </c>
      <c r="AJ187" s="634" t="s">
        <v>32</v>
      </c>
      <c r="AK187" s="754" t="str">
        <f t="shared" si="7"/>
        <v>#NAME?</v>
      </c>
      <c r="AL187" s="755" t="s">
        <v>3017</v>
      </c>
      <c r="AM187" s="619"/>
      <c r="AN187" s="638" t="s">
        <v>944</v>
      </c>
      <c r="AO187" s="639" t="s">
        <v>1802</v>
      </c>
      <c r="AP187" s="640" t="s">
        <v>1802</v>
      </c>
      <c r="AQ187" s="641" t="s">
        <v>944</v>
      </c>
      <c r="AR187" s="642" t="s">
        <v>1803</v>
      </c>
      <c r="AS187" s="643" t="s">
        <v>944</v>
      </c>
      <c r="AT187" s="644"/>
      <c r="AU187" s="645"/>
      <c r="AV187" s="646"/>
      <c r="AW187" s="692"/>
      <c r="AX187" s="693"/>
      <c r="AY187" s="619"/>
      <c r="AZ187" s="698" t="s">
        <v>422</v>
      </c>
      <c r="BA187" s="699"/>
      <c r="BB187" s="690"/>
      <c r="BC187" s="619"/>
      <c r="BD187" s="651" t="s">
        <v>468</v>
      </c>
      <c r="BE187" s="653">
        <v>153.0</v>
      </c>
      <c r="BF187" s="653">
        <v>75.0</v>
      </c>
      <c r="BG187" s="654">
        <v>70.0</v>
      </c>
      <c r="BH187" s="653">
        <v>60.0</v>
      </c>
      <c r="BI187" s="607"/>
      <c r="BJ187" s="655" t="s">
        <v>149</v>
      </c>
      <c r="BK187" s="703" t="s">
        <v>149</v>
      </c>
      <c r="BL187" s="610"/>
      <c r="BM187" s="657" t="s">
        <v>106</v>
      </c>
      <c r="BN187" s="658" t="s">
        <v>153</v>
      </c>
      <c r="BO187" s="607"/>
      <c r="BP187" s="659" t="s">
        <v>1812</v>
      </c>
      <c r="BQ187" s="614"/>
      <c r="BR187" s="660" t="s">
        <v>4430</v>
      </c>
      <c r="BS187" s="614"/>
    </row>
    <row r="188" ht="15.75" customHeight="1">
      <c r="A188" s="841"/>
      <c r="B188" s="661" t="s">
        <v>1816</v>
      </c>
      <c r="C188" s="662"/>
      <c r="D188" s="571"/>
      <c r="E188" s="672">
        <v>70.0</v>
      </c>
      <c r="F188" s="664">
        <v>100.0</v>
      </c>
      <c r="G188" s="665">
        <v>115.0</v>
      </c>
      <c r="H188" s="666">
        <v>30.0</v>
      </c>
      <c r="I188" s="667">
        <v>65.0</v>
      </c>
      <c r="J188" s="668">
        <v>30.0</v>
      </c>
      <c r="K188" s="669">
        <v>410.0</v>
      </c>
      <c r="L188" s="670">
        <v>70.0</v>
      </c>
      <c r="M188" s="664">
        <v>100.0</v>
      </c>
      <c r="N188" s="665">
        <v>115.0</v>
      </c>
      <c r="O188" s="666">
        <v>30.0</v>
      </c>
      <c r="P188" s="667">
        <v>65.0</v>
      </c>
      <c r="Q188" s="668">
        <v>30.0</v>
      </c>
      <c r="R188" s="671">
        <v>410.0</v>
      </c>
      <c r="S188" s="769">
        <v>90.0</v>
      </c>
      <c r="T188" s="741">
        <v>115.0</v>
      </c>
      <c r="U188" s="742">
        <v>125.0</v>
      </c>
      <c r="V188" s="666">
        <v>30.0</v>
      </c>
      <c r="W188" s="744">
        <v>75.0</v>
      </c>
      <c r="X188" s="668">
        <v>30.0</v>
      </c>
      <c r="Y188" s="671">
        <f t="shared" si="1"/>
        <v>465</v>
      </c>
      <c r="Z188" s="571"/>
      <c r="AA188" s="673" t="str">
        <f t="shared" si="2"/>
        <v>#NAME?</v>
      </c>
      <c r="AB188" s="674" t="s">
        <v>66</v>
      </c>
      <c r="AC188" s="675" t="str">
        <f t="shared" si="3"/>
        <v>#NAME?</v>
      </c>
      <c r="AD188" s="680" t="s">
        <v>4428</v>
      </c>
      <c r="AE188" s="676" t="str">
        <f t="shared" si="4"/>
        <v>#NAME?</v>
      </c>
      <c r="AF188" s="674" t="s">
        <v>66</v>
      </c>
      <c r="AG188" s="675" t="str">
        <f t="shared" si="5"/>
        <v>#NAME?</v>
      </c>
      <c r="AH188" s="586" t="s">
        <v>4428</v>
      </c>
      <c r="AI188" s="677" t="str">
        <f t="shared" si="6"/>
        <v>#NAME?</v>
      </c>
      <c r="AJ188" s="586" t="s">
        <v>66</v>
      </c>
      <c r="AK188" s="584" t="str">
        <f t="shared" si="7"/>
        <v>#NAME?</v>
      </c>
      <c r="AL188" s="678" t="s">
        <v>4428</v>
      </c>
      <c r="AM188" s="571"/>
      <c r="AN188" s="679" t="s">
        <v>825</v>
      </c>
      <c r="AO188" s="680" t="s">
        <v>824</v>
      </c>
      <c r="AP188" s="681" t="s">
        <v>824</v>
      </c>
      <c r="AQ188" s="716" t="s">
        <v>825</v>
      </c>
      <c r="AR188" s="683" t="s">
        <v>1165</v>
      </c>
      <c r="AS188" s="718" t="s">
        <v>825</v>
      </c>
      <c r="AT188" s="595"/>
      <c r="AU188" s="685"/>
      <c r="AV188" s="686"/>
      <c r="AW188" s="687"/>
      <c r="AX188" s="688"/>
      <c r="AY188" s="571"/>
      <c r="AZ188" s="689" t="s">
        <v>162</v>
      </c>
      <c r="BA188" s="690"/>
      <c r="BB188" s="696"/>
      <c r="BC188" s="571"/>
      <c r="BD188" s="651" t="s">
        <v>150</v>
      </c>
      <c r="BE188" s="653">
        <v>135.0</v>
      </c>
      <c r="BF188" s="653">
        <v>65.0</v>
      </c>
      <c r="BG188" s="654">
        <v>70.0</v>
      </c>
      <c r="BH188" s="653">
        <v>60.0</v>
      </c>
      <c r="BI188" s="607"/>
      <c r="BJ188" s="655" t="s">
        <v>149</v>
      </c>
      <c r="BK188" s="703" t="s">
        <v>149</v>
      </c>
      <c r="BL188" s="610"/>
      <c r="BM188" s="657" t="s">
        <v>826</v>
      </c>
      <c r="BN188" s="704"/>
      <c r="BO188" s="607"/>
      <c r="BP188" s="659" t="s">
        <v>1819</v>
      </c>
      <c r="BQ188" s="614"/>
      <c r="BR188" s="660" t="s">
        <v>4432</v>
      </c>
      <c r="BS188" s="614"/>
    </row>
    <row r="189" ht="15.75" customHeight="1">
      <c r="A189" s="841"/>
      <c r="B189" s="617" t="s">
        <v>1823</v>
      </c>
      <c r="C189" s="618"/>
      <c r="D189" s="619"/>
      <c r="E189" s="629">
        <v>90.0</v>
      </c>
      <c r="F189" s="621">
        <v>75.0</v>
      </c>
      <c r="G189" s="622">
        <v>75.0</v>
      </c>
      <c r="H189" s="623">
        <v>90.0</v>
      </c>
      <c r="I189" s="624">
        <v>100.0</v>
      </c>
      <c r="J189" s="625">
        <v>70.0</v>
      </c>
      <c r="K189" s="626">
        <v>500.0</v>
      </c>
      <c r="L189" s="627">
        <v>90.0</v>
      </c>
      <c r="M189" s="621">
        <v>75.0</v>
      </c>
      <c r="N189" s="622">
        <v>75.0</v>
      </c>
      <c r="O189" s="623">
        <v>90.0</v>
      </c>
      <c r="P189" s="624">
        <v>100.0</v>
      </c>
      <c r="Q189" s="625">
        <v>70.0</v>
      </c>
      <c r="R189" s="628">
        <v>500.0</v>
      </c>
      <c r="S189" s="629">
        <v>90.0</v>
      </c>
      <c r="T189" s="621">
        <v>75.0</v>
      </c>
      <c r="U189" s="622">
        <v>75.0</v>
      </c>
      <c r="V189" s="623">
        <v>90.0</v>
      </c>
      <c r="W189" s="624">
        <v>100.0</v>
      </c>
      <c r="X189" s="625">
        <v>70.0</v>
      </c>
      <c r="Y189" s="628">
        <f t="shared" si="1"/>
        <v>500</v>
      </c>
      <c r="Z189" s="619"/>
      <c r="AA189" s="630" t="str">
        <f t="shared" si="2"/>
        <v>#NAME?</v>
      </c>
      <c r="AB189" s="631" t="s">
        <v>32</v>
      </c>
      <c r="AC189" s="632" t="str">
        <f t="shared" si="3"/>
        <v>#NAME?</v>
      </c>
      <c r="AD189" s="639" t="s">
        <v>4428</v>
      </c>
      <c r="AE189" s="633" t="str">
        <f t="shared" si="4"/>
        <v>#NAME?</v>
      </c>
      <c r="AF189" s="631" t="s">
        <v>32</v>
      </c>
      <c r="AG189" s="632" t="str">
        <f t="shared" si="5"/>
        <v>#NAME?</v>
      </c>
      <c r="AH189" s="634" t="s">
        <v>4428</v>
      </c>
      <c r="AI189" s="635" t="str">
        <f t="shared" si="6"/>
        <v>#NAME?</v>
      </c>
      <c r="AJ189" s="634" t="s">
        <v>32</v>
      </c>
      <c r="AK189" s="636" t="str">
        <f t="shared" si="7"/>
        <v>#NAME?</v>
      </c>
      <c r="AL189" s="637" t="s">
        <v>4428</v>
      </c>
      <c r="AM189" s="619"/>
      <c r="AN189" s="638" t="s">
        <v>698</v>
      </c>
      <c r="AO189" s="639" t="s">
        <v>646</v>
      </c>
      <c r="AP189" s="721" t="s">
        <v>130</v>
      </c>
      <c r="AQ189" s="639" t="s">
        <v>646</v>
      </c>
      <c r="AR189" s="721" t="s">
        <v>130</v>
      </c>
      <c r="AS189" s="639" t="s">
        <v>646</v>
      </c>
      <c r="AT189" s="644"/>
      <c r="AU189" s="645" t="str">
        <f>image("https://www.pokebip.com/pages/icones/objets/roche-royale.png", 3)</f>
        <v/>
      </c>
      <c r="AV189" s="646" t="s">
        <v>709</v>
      </c>
      <c r="AW189" s="692"/>
      <c r="AX189" s="693"/>
      <c r="AY189" s="619"/>
      <c r="AZ189" s="698" t="s">
        <v>129</v>
      </c>
      <c r="BA189" s="699"/>
      <c r="BB189" s="690"/>
      <c r="BC189" s="619"/>
      <c r="BD189" s="651" t="s">
        <v>15</v>
      </c>
      <c r="BE189" s="653">
        <v>185.0</v>
      </c>
      <c r="BF189" s="653">
        <v>45.0</v>
      </c>
      <c r="BG189" s="654">
        <v>70.0</v>
      </c>
      <c r="BH189" s="653">
        <v>60.0</v>
      </c>
      <c r="BI189" s="607"/>
      <c r="BJ189" s="655" t="s">
        <v>149</v>
      </c>
      <c r="BK189" s="703" t="s">
        <v>149</v>
      </c>
      <c r="BL189" s="610"/>
      <c r="BM189" s="657" t="s">
        <v>106</v>
      </c>
      <c r="BN189" s="704"/>
      <c r="BO189" s="607"/>
      <c r="BP189" s="659" t="s">
        <v>4455</v>
      </c>
      <c r="BQ189" s="614"/>
      <c r="BR189" s="660" t="s">
        <v>4427</v>
      </c>
      <c r="BS189" s="614"/>
    </row>
    <row r="190" ht="15.75" customHeight="1">
      <c r="A190" s="841"/>
      <c r="B190" s="661" t="s">
        <v>1832</v>
      </c>
      <c r="C190" s="662"/>
      <c r="D190" s="571"/>
      <c r="E190" s="672">
        <v>35.0</v>
      </c>
      <c r="F190" s="664">
        <v>35.0</v>
      </c>
      <c r="G190" s="665">
        <v>40.0</v>
      </c>
      <c r="H190" s="666">
        <v>35.0</v>
      </c>
      <c r="I190" s="667">
        <v>55.0</v>
      </c>
      <c r="J190" s="668">
        <v>50.0</v>
      </c>
      <c r="K190" s="669">
        <v>250.0</v>
      </c>
      <c r="L190" s="670">
        <v>35.0</v>
      </c>
      <c r="M190" s="664">
        <v>35.0</v>
      </c>
      <c r="N190" s="665">
        <v>40.0</v>
      </c>
      <c r="O190" s="666">
        <v>35.0</v>
      </c>
      <c r="P190" s="667">
        <v>55.0</v>
      </c>
      <c r="Q190" s="668">
        <v>50.0</v>
      </c>
      <c r="R190" s="671">
        <v>250.0</v>
      </c>
      <c r="S190" s="672">
        <v>35.0</v>
      </c>
      <c r="T190" s="664">
        <v>35.0</v>
      </c>
      <c r="U190" s="665">
        <v>40.0</v>
      </c>
      <c r="V190" s="743">
        <v>45.0</v>
      </c>
      <c r="W190" s="667">
        <v>55.0</v>
      </c>
      <c r="X190" s="668">
        <v>50.0</v>
      </c>
      <c r="Y190" s="671">
        <f t="shared" si="1"/>
        <v>260</v>
      </c>
      <c r="Z190" s="571"/>
      <c r="AA190" s="673" t="str">
        <f t="shared" si="2"/>
        <v>#NAME?</v>
      </c>
      <c r="AB190" s="674" t="s">
        <v>6</v>
      </c>
      <c r="AC190" s="675" t="str">
        <f t="shared" si="3"/>
        <v>#NAME?</v>
      </c>
      <c r="AD190" s="673" t="s">
        <v>18</v>
      </c>
      <c r="AE190" s="676" t="str">
        <f t="shared" si="4"/>
        <v>#NAME?</v>
      </c>
      <c r="AF190" s="674" t="s">
        <v>6</v>
      </c>
      <c r="AG190" s="675" t="str">
        <f t="shared" si="5"/>
        <v>#NAME?</v>
      </c>
      <c r="AH190" s="586" t="s">
        <v>18</v>
      </c>
      <c r="AI190" s="677" t="str">
        <f t="shared" si="6"/>
        <v>#NAME?</v>
      </c>
      <c r="AJ190" s="586" t="s">
        <v>6</v>
      </c>
      <c r="AK190" s="584" t="str">
        <f t="shared" si="7"/>
        <v>#NAME?</v>
      </c>
      <c r="AL190" s="678" t="s">
        <v>18</v>
      </c>
      <c r="AM190" s="571"/>
      <c r="AN190" s="679" t="s">
        <v>43</v>
      </c>
      <c r="AO190" s="680" t="s">
        <v>1194</v>
      </c>
      <c r="AP190" s="705" t="s">
        <v>43</v>
      </c>
      <c r="AQ190" s="680" t="s">
        <v>1194</v>
      </c>
      <c r="AR190" s="705" t="s">
        <v>43</v>
      </c>
      <c r="AS190" s="680" t="s">
        <v>1194</v>
      </c>
      <c r="AT190" s="595"/>
      <c r="AU190" s="685"/>
      <c r="AV190" s="686"/>
      <c r="AW190" s="687"/>
      <c r="AX190" s="688"/>
      <c r="AY190" s="571"/>
      <c r="AZ190" s="695" t="s">
        <v>27</v>
      </c>
      <c r="BA190" s="700"/>
      <c r="BB190" s="690"/>
      <c r="BC190" s="571"/>
      <c r="BD190" s="651" t="s">
        <v>15</v>
      </c>
      <c r="BE190" s="653">
        <v>74.0</v>
      </c>
      <c r="BF190" s="653">
        <v>255.0</v>
      </c>
      <c r="BG190" s="654">
        <v>70.0</v>
      </c>
      <c r="BH190" s="653">
        <v>20.0</v>
      </c>
      <c r="BI190" s="607"/>
      <c r="BJ190" s="655" t="s">
        <v>149</v>
      </c>
      <c r="BK190" s="703" t="s">
        <v>149</v>
      </c>
      <c r="BL190" s="610"/>
      <c r="BM190" s="657" t="s">
        <v>153</v>
      </c>
      <c r="BN190" s="658" t="s">
        <v>6</v>
      </c>
      <c r="BO190" s="607"/>
      <c r="BP190" s="659" t="s">
        <v>1838</v>
      </c>
      <c r="BQ190" s="614"/>
      <c r="BR190" s="660" t="s">
        <v>4435</v>
      </c>
      <c r="BS190" s="614"/>
    </row>
    <row r="191" ht="15.75" customHeight="1">
      <c r="A191" s="841"/>
      <c r="B191" s="617" t="s">
        <v>1842</v>
      </c>
      <c r="C191" s="618"/>
      <c r="D191" s="619"/>
      <c r="E191" s="629">
        <v>55.0</v>
      </c>
      <c r="F191" s="621">
        <v>45.0</v>
      </c>
      <c r="G191" s="622">
        <v>50.0</v>
      </c>
      <c r="H191" s="623">
        <v>45.0</v>
      </c>
      <c r="I191" s="624">
        <v>65.0</v>
      </c>
      <c r="J191" s="625">
        <v>80.0</v>
      </c>
      <c r="K191" s="626">
        <v>340.0</v>
      </c>
      <c r="L191" s="627">
        <v>55.0</v>
      </c>
      <c r="M191" s="621">
        <v>45.0</v>
      </c>
      <c r="N191" s="622">
        <v>50.0</v>
      </c>
      <c r="O191" s="623">
        <v>45.0</v>
      </c>
      <c r="P191" s="624">
        <v>65.0</v>
      </c>
      <c r="Q191" s="625">
        <v>80.0</v>
      </c>
      <c r="R191" s="628">
        <v>340.0</v>
      </c>
      <c r="S191" s="629">
        <v>55.0</v>
      </c>
      <c r="T191" s="621">
        <v>45.0</v>
      </c>
      <c r="U191" s="622">
        <v>50.0</v>
      </c>
      <c r="V191" s="748">
        <v>65.0</v>
      </c>
      <c r="W191" s="624">
        <v>65.0</v>
      </c>
      <c r="X191" s="625">
        <v>80.0</v>
      </c>
      <c r="Y191" s="628">
        <f t="shared" si="1"/>
        <v>360</v>
      </c>
      <c r="Z191" s="619"/>
      <c r="AA191" s="630" t="str">
        <f t="shared" si="2"/>
        <v>#NAME?</v>
      </c>
      <c r="AB191" s="631" t="s">
        <v>6</v>
      </c>
      <c r="AC191" s="632" t="str">
        <f t="shared" si="3"/>
        <v>#NAME?</v>
      </c>
      <c r="AD191" s="630" t="s">
        <v>18</v>
      </c>
      <c r="AE191" s="633" t="str">
        <f t="shared" si="4"/>
        <v>#NAME?</v>
      </c>
      <c r="AF191" s="631" t="s">
        <v>6</v>
      </c>
      <c r="AG191" s="632" t="str">
        <f t="shared" si="5"/>
        <v>#NAME?</v>
      </c>
      <c r="AH191" s="634" t="s">
        <v>18</v>
      </c>
      <c r="AI191" s="635" t="str">
        <f t="shared" si="6"/>
        <v>#NAME?</v>
      </c>
      <c r="AJ191" s="634" t="s">
        <v>6</v>
      </c>
      <c r="AK191" s="636" t="str">
        <f t="shared" si="7"/>
        <v>#NAME?</v>
      </c>
      <c r="AL191" s="637" t="s">
        <v>18</v>
      </c>
      <c r="AM191" s="619"/>
      <c r="AN191" s="638" t="s">
        <v>43</v>
      </c>
      <c r="AO191" s="639" t="s">
        <v>1194</v>
      </c>
      <c r="AP191" s="712" t="s">
        <v>43</v>
      </c>
      <c r="AQ191" s="639" t="s">
        <v>1194</v>
      </c>
      <c r="AR191" s="712" t="s">
        <v>43</v>
      </c>
      <c r="AS191" s="639" t="s">
        <v>1194</v>
      </c>
      <c r="AT191" s="644"/>
      <c r="AU191" s="645"/>
      <c r="AV191" s="646"/>
      <c r="AW191" s="692"/>
      <c r="AX191" s="693"/>
      <c r="AY191" s="619"/>
      <c r="AZ191" s="698" t="s">
        <v>248</v>
      </c>
      <c r="BA191" s="690"/>
      <c r="BB191" s="650"/>
      <c r="BC191" s="619"/>
      <c r="BD191" s="651" t="s">
        <v>15</v>
      </c>
      <c r="BE191" s="653">
        <v>136.0</v>
      </c>
      <c r="BF191" s="653">
        <v>120.0</v>
      </c>
      <c r="BG191" s="654">
        <v>70.0</v>
      </c>
      <c r="BH191" s="653">
        <v>20.0</v>
      </c>
      <c r="BI191" s="607"/>
      <c r="BJ191" s="655" t="s">
        <v>149</v>
      </c>
      <c r="BK191" s="703" t="s">
        <v>149</v>
      </c>
      <c r="BL191" s="610"/>
      <c r="BM191" s="657" t="s">
        <v>153</v>
      </c>
      <c r="BN191" s="658" t="s">
        <v>6</v>
      </c>
      <c r="BO191" s="607"/>
      <c r="BP191" s="659" t="s">
        <v>1846</v>
      </c>
      <c r="BQ191" s="614"/>
      <c r="BR191" s="660" t="s">
        <v>4427</v>
      </c>
      <c r="BS191" s="614"/>
    </row>
    <row r="192" ht="15.75" customHeight="1">
      <c r="A192" s="841"/>
      <c r="B192" s="661" t="s">
        <v>1849</v>
      </c>
      <c r="C192" s="662"/>
      <c r="D192" s="571"/>
      <c r="E192" s="672">
        <v>75.0</v>
      </c>
      <c r="F192" s="664">
        <v>55.0</v>
      </c>
      <c r="G192" s="665">
        <v>70.0</v>
      </c>
      <c r="H192" s="666">
        <v>55.0</v>
      </c>
      <c r="I192" s="667">
        <v>85.0</v>
      </c>
      <c r="J192" s="668">
        <v>110.0</v>
      </c>
      <c r="K192" s="669">
        <v>450.0</v>
      </c>
      <c r="L192" s="670">
        <v>75.0</v>
      </c>
      <c r="M192" s="664">
        <v>55.0</v>
      </c>
      <c r="N192" s="665">
        <v>70.0</v>
      </c>
      <c r="O192" s="666">
        <v>55.0</v>
      </c>
      <c r="P192" s="667">
        <v>95.0</v>
      </c>
      <c r="Q192" s="668">
        <v>110.0</v>
      </c>
      <c r="R192" s="671">
        <v>460.0</v>
      </c>
      <c r="S192" s="672">
        <v>75.0</v>
      </c>
      <c r="T192" s="664">
        <v>55.0</v>
      </c>
      <c r="U192" s="665">
        <v>70.0</v>
      </c>
      <c r="V192" s="743">
        <v>85.0</v>
      </c>
      <c r="W192" s="667">
        <v>95.0</v>
      </c>
      <c r="X192" s="668">
        <v>110.0</v>
      </c>
      <c r="Y192" s="671">
        <f t="shared" si="1"/>
        <v>490</v>
      </c>
      <c r="Z192" s="571"/>
      <c r="AA192" s="673" t="str">
        <f t="shared" si="2"/>
        <v>#NAME?</v>
      </c>
      <c r="AB192" s="674" t="s">
        <v>6</v>
      </c>
      <c r="AC192" s="675" t="str">
        <f t="shared" si="3"/>
        <v>#NAME?</v>
      </c>
      <c r="AD192" s="673" t="s">
        <v>18</v>
      </c>
      <c r="AE192" s="676" t="str">
        <f t="shared" si="4"/>
        <v>#NAME?</v>
      </c>
      <c r="AF192" s="674" t="s">
        <v>6</v>
      </c>
      <c r="AG192" s="675" t="str">
        <f t="shared" si="5"/>
        <v>#NAME?</v>
      </c>
      <c r="AH192" s="586" t="s">
        <v>18</v>
      </c>
      <c r="AI192" s="677" t="str">
        <f t="shared" si="6"/>
        <v>#NAME?</v>
      </c>
      <c r="AJ192" s="586" t="s">
        <v>6</v>
      </c>
      <c r="AK192" s="584" t="str">
        <f t="shared" si="7"/>
        <v>#NAME?</v>
      </c>
      <c r="AL192" s="678" t="s">
        <v>18</v>
      </c>
      <c r="AM192" s="571"/>
      <c r="AN192" s="679" t="s">
        <v>43</v>
      </c>
      <c r="AO192" s="680" t="s">
        <v>1194</v>
      </c>
      <c r="AP192" s="705" t="s">
        <v>43</v>
      </c>
      <c r="AQ192" s="680" t="s">
        <v>1194</v>
      </c>
      <c r="AR192" s="705" t="s">
        <v>43</v>
      </c>
      <c r="AS192" s="680" t="s">
        <v>1194</v>
      </c>
      <c r="AT192" s="595"/>
      <c r="AU192" s="685"/>
      <c r="AV192" s="686"/>
      <c r="AW192" s="687"/>
      <c r="AX192" s="688"/>
      <c r="AY192" s="571"/>
      <c r="AZ192" s="689" t="s">
        <v>261</v>
      </c>
      <c r="BA192" s="699"/>
      <c r="BB192" s="690"/>
      <c r="BC192" s="571"/>
      <c r="BD192" s="651" t="s">
        <v>15</v>
      </c>
      <c r="BE192" s="653">
        <v>176.0</v>
      </c>
      <c r="BF192" s="653">
        <v>45.0</v>
      </c>
      <c r="BG192" s="654">
        <v>70.0</v>
      </c>
      <c r="BH192" s="653">
        <v>20.0</v>
      </c>
      <c r="BI192" s="607"/>
      <c r="BJ192" s="655" t="s">
        <v>149</v>
      </c>
      <c r="BK192" s="703" t="s">
        <v>149</v>
      </c>
      <c r="BL192" s="610"/>
      <c r="BM192" s="657" t="s">
        <v>153</v>
      </c>
      <c r="BN192" s="658" t="s">
        <v>6</v>
      </c>
      <c r="BO192" s="607"/>
      <c r="BP192" s="659" t="s">
        <v>1852</v>
      </c>
      <c r="BQ192" s="614"/>
      <c r="BR192" s="660" t="s">
        <v>4430</v>
      </c>
      <c r="BS192" s="614"/>
    </row>
    <row r="193" ht="15.75" customHeight="1">
      <c r="A193" s="841"/>
      <c r="B193" s="617" t="s">
        <v>1858</v>
      </c>
      <c r="C193" s="618"/>
      <c r="D193" s="619"/>
      <c r="E193" s="629">
        <v>55.0</v>
      </c>
      <c r="F193" s="621">
        <v>70.0</v>
      </c>
      <c r="G193" s="622">
        <v>55.0</v>
      </c>
      <c r="H193" s="623">
        <v>40.0</v>
      </c>
      <c r="I193" s="624">
        <v>55.0</v>
      </c>
      <c r="J193" s="625">
        <v>85.0</v>
      </c>
      <c r="K193" s="626">
        <v>360.0</v>
      </c>
      <c r="L193" s="627">
        <v>55.0</v>
      </c>
      <c r="M193" s="621">
        <v>70.0</v>
      </c>
      <c r="N193" s="622">
        <v>55.0</v>
      </c>
      <c r="O193" s="623">
        <v>40.0</v>
      </c>
      <c r="P193" s="624">
        <v>55.0</v>
      </c>
      <c r="Q193" s="625">
        <v>85.0</v>
      </c>
      <c r="R193" s="628">
        <v>360.0</v>
      </c>
      <c r="S193" s="629">
        <v>55.0</v>
      </c>
      <c r="T193" s="621">
        <v>70.0</v>
      </c>
      <c r="U193" s="622">
        <v>55.0</v>
      </c>
      <c r="V193" s="623">
        <v>40.0</v>
      </c>
      <c r="W193" s="624">
        <v>55.0</v>
      </c>
      <c r="X193" s="625">
        <v>85.0</v>
      </c>
      <c r="Y193" s="628">
        <f t="shared" si="1"/>
        <v>360</v>
      </c>
      <c r="Z193" s="619"/>
      <c r="AA193" s="630" t="str">
        <f t="shared" si="2"/>
        <v>#NAME?</v>
      </c>
      <c r="AB193" s="631" t="s">
        <v>156</v>
      </c>
      <c r="AC193" s="632" t="str">
        <f t="shared" si="3"/>
        <v>#NAME?</v>
      </c>
      <c r="AD193" s="639" t="s">
        <v>4428</v>
      </c>
      <c r="AE193" s="633" t="str">
        <f t="shared" si="4"/>
        <v>#NAME?</v>
      </c>
      <c r="AF193" s="631" t="s">
        <v>156</v>
      </c>
      <c r="AG193" s="632" t="str">
        <f t="shared" si="5"/>
        <v>#NAME?</v>
      </c>
      <c r="AH193" s="634" t="s">
        <v>4428</v>
      </c>
      <c r="AI193" s="635" t="str">
        <f t="shared" si="6"/>
        <v>#NAME?</v>
      </c>
      <c r="AJ193" s="634" t="s">
        <v>156</v>
      </c>
      <c r="AK193" s="636" t="str">
        <f t="shared" si="7"/>
        <v>#NAME?</v>
      </c>
      <c r="AL193" s="637" t="s">
        <v>4428</v>
      </c>
      <c r="AM193" s="619"/>
      <c r="AN193" s="638" t="s">
        <v>146</v>
      </c>
      <c r="AO193" s="639" t="s">
        <v>626</v>
      </c>
      <c r="AP193" s="712" t="s">
        <v>146</v>
      </c>
      <c r="AQ193" s="639" t="s">
        <v>626</v>
      </c>
      <c r="AR193" s="712" t="s">
        <v>146</v>
      </c>
      <c r="AS193" s="639" t="s">
        <v>626</v>
      </c>
      <c r="AT193" s="644"/>
      <c r="AU193" s="645"/>
      <c r="AV193" s="646"/>
      <c r="AW193" s="692"/>
      <c r="AX193" s="693"/>
      <c r="AY193" s="619"/>
      <c r="AZ193" s="648" t="s">
        <v>56</v>
      </c>
      <c r="BA193" s="694"/>
      <c r="BB193" s="690"/>
      <c r="BC193" s="619"/>
      <c r="BD193" s="651" t="s">
        <v>468</v>
      </c>
      <c r="BE193" s="653">
        <v>94.0</v>
      </c>
      <c r="BF193" s="653">
        <v>45.0</v>
      </c>
      <c r="BG193" s="654">
        <v>70.0</v>
      </c>
      <c r="BH193" s="653">
        <v>40.0</v>
      </c>
      <c r="BI193" s="607"/>
      <c r="BJ193" s="655" t="s">
        <v>149</v>
      </c>
      <c r="BK193" s="703" t="s">
        <v>149</v>
      </c>
      <c r="BL193" s="610"/>
      <c r="BM193" s="657" t="s">
        <v>277</v>
      </c>
      <c r="BN193" s="704"/>
      <c r="BO193" s="607"/>
      <c r="BP193" s="659" t="s">
        <v>1861</v>
      </c>
      <c r="BQ193" s="614"/>
      <c r="BR193" s="660" t="s">
        <v>4434</v>
      </c>
      <c r="BS193" s="614"/>
    </row>
    <row r="194" ht="15.75" customHeight="1">
      <c r="A194" s="841"/>
      <c r="B194" s="661" t="s">
        <v>1865</v>
      </c>
      <c r="C194" s="662"/>
      <c r="D194" s="571"/>
      <c r="E194" s="672">
        <v>30.0</v>
      </c>
      <c r="F194" s="664">
        <v>30.0</v>
      </c>
      <c r="G194" s="665">
        <v>30.0</v>
      </c>
      <c r="H194" s="666">
        <v>30.0</v>
      </c>
      <c r="I194" s="667">
        <v>30.0</v>
      </c>
      <c r="J194" s="668">
        <v>30.0</v>
      </c>
      <c r="K194" s="669">
        <v>180.0</v>
      </c>
      <c r="L194" s="670">
        <v>30.0</v>
      </c>
      <c r="M194" s="664">
        <v>30.0</v>
      </c>
      <c r="N194" s="665">
        <v>30.0</v>
      </c>
      <c r="O194" s="666">
        <v>30.0</v>
      </c>
      <c r="P194" s="667">
        <v>30.0</v>
      </c>
      <c r="Q194" s="668">
        <v>30.0</v>
      </c>
      <c r="R194" s="671">
        <v>180.0</v>
      </c>
      <c r="S194" s="672">
        <v>30.0</v>
      </c>
      <c r="T194" s="664">
        <v>30.0</v>
      </c>
      <c r="U194" s="665">
        <v>30.0</v>
      </c>
      <c r="V194" s="666">
        <v>30.0</v>
      </c>
      <c r="W194" s="667">
        <v>30.0</v>
      </c>
      <c r="X194" s="668">
        <v>30.0</v>
      </c>
      <c r="Y194" s="671">
        <f t="shared" si="1"/>
        <v>180</v>
      </c>
      <c r="Z194" s="571"/>
      <c r="AA194" s="673" t="str">
        <f t="shared" si="2"/>
        <v>#NAME?</v>
      </c>
      <c r="AB194" s="674" t="s">
        <v>6</v>
      </c>
      <c r="AC194" s="675" t="str">
        <f t="shared" si="3"/>
        <v>#NAME?</v>
      </c>
      <c r="AD194" s="680" t="s">
        <v>4428</v>
      </c>
      <c r="AE194" s="676" t="str">
        <f t="shared" si="4"/>
        <v>#NAME?</v>
      </c>
      <c r="AF194" s="674" t="s">
        <v>6</v>
      </c>
      <c r="AG194" s="675" t="str">
        <f t="shared" si="5"/>
        <v>#NAME?</v>
      </c>
      <c r="AH194" s="586" t="s">
        <v>4428</v>
      </c>
      <c r="AI194" s="677" t="str">
        <f t="shared" si="6"/>
        <v>#NAME?</v>
      </c>
      <c r="AJ194" s="586" t="s">
        <v>6</v>
      </c>
      <c r="AK194" s="584" t="str">
        <f t="shared" si="7"/>
        <v>#NAME?</v>
      </c>
      <c r="AL194" s="678" t="s">
        <v>4428</v>
      </c>
      <c r="AM194" s="571"/>
      <c r="AN194" s="679" t="s">
        <v>43</v>
      </c>
      <c r="AO194" s="680" t="s">
        <v>58</v>
      </c>
      <c r="AP194" s="705" t="s">
        <v>43</v>
      </c>
      <c r="AQ194" s="680" t="s">
        <v>58</v>
      </c>
      <c r="AR194" s="705" t="s">
        <v>43</v>
      </c>
      <c r="AS194" s="680" t="s">
        <v>58</v>
      </c>
      <c r="AT194" s="595"/>
      <c r="AU194" s="685"/>
      <c r="AV194" s="686"/>
      <c r="AW194" s="687"/>
      <c r="AX194" s="688"/>
      <c r="AY194" s="571"/>
      <c r="AZ194" s="695" t="s">
        <v>4</v>
      </c>
      <c r="BA194" s="700"/>
      <c r="BB194" s="690"/>
      <c r="BC194" s="571"/>
      <c r="BD194" s="651" t="s">
        <v>15</v>
      </c>
      <c r="BE194" s="653">
        <v>52.0</v>
      </c>
      <c r="BF194" s="653">
        <v>235.0</v>
      </c>
      <c r="BG194" s="654">
        <v>70.0</v>
      </c>
      <c r="BH194" s="653">
        <v>20.0</v>
      </c>
      <c r="BI194" s="607"/>
      <c r="BJ194" s="655" t="s">
        <v>149</v>
      </c>
      <c r="BK194" s="703" t="s">
        <v>149</v>
      </c>
      <c r="BL194" s="610"/>
      <c r="BM194" s="657" t="s">
        <v>6</v>
      </c>
      <c r="BN194" s="704"/>
      <c r="BO194" s="607"/>
      <c r="BP194" s="659" t="s">
        <v>1868</v>
      </c>
      <c r="BQ194" s="614"/>
      <c r="BR194" s="660" t="s">
        <v>4433</v>
      </c>
      <c r="BS194" s="614"/>
    </row>
    <row r="195" ht="15.75" customHeight="1">
      <c r="A195" s="841"/>
      <c r="B195" s="617" t="s">
        <v>1872</v>
      </c>
      <c r="C195" s="618"/>
      <c r="D195" s="619"/>
      <c r="E195" s="629">
        <v>75.0</v>
      </c>
      <c r="F195" s="750">
        <v>75.0</v>
      </c>
      <c r="G195" s="622">
        <v>55.0</v>
      </c>
      <c r="H195" s="623">
        <v>105.0</v>
      </c>
      <c r="I195" s="624">
        <v>85.0</v>
      </c>
      <c r="J195" s="625">
        <v>30.0</v>
      </c>
      <c r="K195" s="749">
        <v>425.0</v>
      </c>
      <c r="L195" s="627">
        <v>75.0</v>
      </c>
      <c r="M195" s="621">
        <v>75.0</v>
      </c>
      <c r="N195" s="622">
        <v>55.0</v>
      </c>
      <c r="O195" s="623">
        <v>105.0</v>
      </c>
      <c r="P195" s="624">
        <v>85.0</v>
      </c>
      <c r="Q195" s="625">
        <v>30.0</v>
      </c>
      <c r="R195" s="628">
        <v>425.0</v>
      </c>
      <c r="S195" s="778">
        <v>85.0</v>
      </c>
      <c r="T195" s="750">
        <v>55.0</v>
      </c>
      <c r="U195" s="751">
        <v>85.0</v>
      </c>
      <c r="V195" s="748">
        <v>125.0</v>
      </c>
      <c r="W195" s="752">
        <v>95.0</v>
      </c>
      <c r="X195" s="625">
        <v>30.0</v>
      </c>
      <c r="Y195" s="628">
        <f t="shared" si="1"/>
        <v>475</v>
      </c>
      <c r="Z195" s="619"/>
      <c r="AA195" s="630" t="str">
        <f t="shared" si="2"/>
        <v>#NAME?</v>
      </c>
      <c r="AB195" s="631" t="s">
        <v>6</v>
      </c>
      <c r="AC195" s="632" t="str">
        <f t="shared" si="3"/>
        <v>#NAME?</v>
      </c>
      <c r="AD195" s="639" t="s">
        <v>4428</v>
      </c>
      <c r="AE195" s="633" t="str">
        <f t="shared" si="4"/>
        <v>#NAME?</v>
      </c>
      <c r="AF195" s="631" t="s">
        <v>6</v>
      </c>
      <c r="AG195" s="632" t="str">
        <f t="shared" si="5"/>
        <v>#NAME?</v>
      </c>
      <c r="AH195" s="634" t="s">
        <v>4428</v>
      </c>
      <c r="AI195" s="635" t="str">
        <f t="shared" si="6"/>
        <v>#NAME?</v>
      </c>
      <c r="AJ195" s="634" t="s">
        <v>6</v>
      </c>
      <c r="AK195" s="636" t="str">
        <f t="shared" si="7"/>
        <v>#NAME?</v>
      </c>
      <c r="AL195" s="637" t="s">
        <v>4428</v>
      </c>
      <c r="AM195" s="619"/>
      <c r="AN195" s="638" t="s">
        <v>43</v>
      </c>
      <c r="AO195" s="639" t="s">
        <v>58</v>
      </c>
      <c r="AP195" s="712" t="s">
        <v>43</v>
      </c>
      <c r="AQ195" s="639" t="s">
        <v>58</v>
      </c>
      <c r="AR195" s="712" t="s">
        <v>43</v>
      </c>
      <c r="AS195" s="639" t="s">
        <v>58</v>
      </c>
      <c r="AT195" s="644"/>
      <c r="AU195" s="645"/>
      <c r="AV195" s="646"/>
      <c r="AW195" s="692"/>
      <c r="AX195" s="693"/>
      <c r="AY195" s="619"/>
      <c r="AZ195" s="698" t="s">
        <v>42</v>
      </c>
      <c r="BA195" s="690"/>
      <c r="BB195" s="650"/>
      <c r="BC195" s="619"/>
      <c r="BD195" s="651" t="s">
        <v>15</v>
      </c>
      <c r="BE195" s="653">
        <v>146.0</v>
      </c>
      <c r="BF195" s="653">
        <v>120.0</v>
      </c>
      <c r="BG195" s="654">
        <v>70.0</v>
      </c>
      <c r="BH195" s="653">
        <v>20.0</v>
      </c>
      <c r="BI195" s="607"/>
      <c r="BJ195" s="655" t="s">
        <v>149</v>
      </c>
      <c r="BK195" s="703" t="s">
        <v>149</v>
      </c>
      <c r="BL195" s="610"/>
      <c r="BM195" s="657" t="s">
        <v>6</v>
      </c>
      <c r="BN195" s="704"/>
      <c r="BO195" s="607"/>
      <c r="BP195" s="659" t="s">
        <v>1876</v>
      </c>
      <c r="BQ195" s="614"/>
      <c r="BR195" s="660" t="s">
        <v>4433</v>
      </c>
      <c r="BS195" s="614"/>
    </row>
    <row r="196" ht="15.75" customHeight="1">
      <c r="A196" s="841"/>
      <c r="B196" s="661" t="s">
        <v>1880</v>
      </c>
      <c r="C196" s="662"/>
      <c r="D196" s="571"/>
      <c r="E196" s="672">
        <v>65.0</v>
      </c>
      <c r="F196" s="664">
        <v>65.0</v>
      </c>
      <c r="G196" s="665">
        <v>45.0</v>
      </c>
      <c r="H196" s="666">
        <v>75.0</v>
      </c>
      <c r="I196" s="667">
        <v>45.0</v>
      </c>
      <c r="J196" s="668">
        <v>95.0</v>
      </c>
      <c r="K196" s="669">
        <v>390.0</v>
      </c>
      <c r="L196" s="670">
        <v>65.0</v>
      </c>
      <c r="M196" s="664">
        <v>65.0</v>
      </c>
      <c r="N196" s="665">
        <v>45.0</v>
      </c>
      <c r="O196" s="666">
        <v>75.0</v>
      </c>
      <c r="P196" s="667">
        <v>45.0</v>
      </c>
      <c r="Q196" s="668">
        <v>95.0</v>
      </c>
      <c r="R196" s="671">
        <v>390.0</v>
      </c>
      <c r="S196" s="672">
        <v>65.0</v>
      </c>
      <c r="T196" s="664">
        <v>65.0</v>
      </c>
      <c r="U196" s="665">
        <v>45.0</v>
      </c>
      <c r="V196" s="666">
        <v>75.0</v>
      </c>
      <c r="W196" s="667">
        <v>45.0</v>
      </c>
      <c r="X196" s="668">
        <v>95.0</v>
      </c>
      <c r="Y196" s="671">
        <f t="shared" si="1"/>
        <v>390</v>
      </c>
      <c r="Z196" s="571"/>
      <c r="AA196" s="673" t="str">
        <f t="shared" si="2"/>
        <v>#NAME?</v>
      </c>
      <c r="AB196" s="674" t="s">
        <v>109</v>
      </c>
      <c r="AC196" s="675" t="str">
        <f t="shared" si="3"/>
        <v>#NAME?</v>
      </c>
      <c r="AD196" s="673" t="s">
        <v>18</v>
      </c>
      <c r="AE196" s="676" t="str">
        <f t="shared" si="4"/>
        <v>#NAME?</v>
      </c>
      <c r="AF196" s="674" t="s">
        <v>109</v>
      </c>
      <c r="AG196" s="675" t="str">
        <f t="shared" si="5"/>
        <v>#NAME?</v>
      </c>
      <c r="AH196" s="586" t="s">
        <v>18</v>
      </c>
      <c r="AI196" s="677" t="str">
        <f t="shared" si="6"/>
        <v>#NAME?</v>
      </c>
      <c r="AJ196" s="586" t="s">
        <v>109</v>
      </c>
      <c r="AK196" s="584" t="str">
        <f t="shared" si="7"/>
        <v>#NAME?</v>
      </c>
      <c r="AL196" s="678" t="s">
        <v>18</v>
      </c>
      <c r="AM196" s="571"/>
      <c r="AN196" s="679" t="s">
        <v>1883</v>
      </c>
      <c r="AO196" s="680" t="s">
        <v>178</v>
      </c>
      <c r="AP196" s="705" t="s">
        <v>1883</v>
      </c>
      <c r="AQ196" s="680" t="s">
        <v>178</v>
      </c>
      <c r="AR196" s="705" t="s">
        <v>1883</v>
      </c>
      <c r="AS196" s="680" t="s">
        <v>178</v>
      </c>
      <c r="AT196" s="595"/>
      <c r="AU196" s="685" t="str">
        <f>image("https://www.pokebip.com/pages/icones/objets/loupe.png", 3)</f>
        <v/>
      </c>
      <c r="AV196" s="686" t="s">
        <v>1885</v>
      </c>
      <c r="AW196" s="687"/>
      <c r="AX196" s="688"/>
      <c r="AY196" s="571"/>
      <c r="AZ196" s="689" t="s">
        <v>248</v>
      </c>
      <c r="BA196" s="690"/>
      <c r="BB196" s="696"/>
      <c r="BC196" s="571"/>
      <c r="BD196" s="651" t="s">
        <v>150</v>
      </c>
      <c r="BE196" s="653">
        <v>147.0</v>
      </c>
      <c r="BF196" s="653">
        <v>75.0</v>
      </c>
      <c r="BG196" s="654">
        <v>70.0</v>
      </c>
      <c r="BH196" s="653">
        <v>60.0</v>
      </c>
      <c r="BI196" s="607"/>
      <c r="BJ196" s="655" t="s">
        <v>149</v>
      </c>
      <c r="BK196" s="703" t="s">
        <v>149</v>
      </c>
      <c r="BL196" s="610"/>
      <c r="BM196" s="657" t="s">
        <v>109</v>
      </c>
      <c r="BN196" s="704"/>
      <c r="BO196" s="607"/>
      <c r="BP196" s="659" t="s">
        <v>1884</v>
      </c>
      <c r="BQ196" s="614"/>
      <c r="BR196" s="660" t="s">
        <v>4429</v>
      </c>
      <c r="BS196" s="614"/>
    </row>
    <row r="197" ht="15.75" customHeight="1">
      <c r="A197" s="841"/>
      <c r="B197" s="617" t="s">
        <v>1889</v>
      </c>
      <c r="C197" s="618"/>
      <c r="D197" s="619"/>
      <c r="E197" s="629">
        <v>55.0</v>
      </c>
      <c r="F197" s="621">
        <v>45.0</v>
      </c>
      <c r="G197" s="622">
        <v>45.0</v>
      </c>
      <c r="H197" s="623">
        <v>25.0</v>
      </c>
      <c r="I197" s="624">
        <v>25.0</v>
      </c>
      <c r="J197" s="753">
        <v>15.0</v>
      </c>
      <c r="K197" s="749">
        <v>210.0</v>
      </c>
      <c r="L197" s="627">
        <v>55.0</v>
      </c>
      <c r="M197" s="621">
        <v>45.0</v>
      </c>
      <c r="N197" s="622">
        <v>45.0</v>
      </c>
      <c r="O197" s="623">
        <v>25.0</v>
      </c>
      <c r="P197" s="624">
        <v>25.0</v>
      </c>
      <c r="Q197" s="625">
        <v>15.0</v>
      </c>
      <c r="R197" s="628">
        <v>210.0</v>
      </c>
      <c r="S197" s="629">
        <v>55.0</v>
      </c>
      <c r="T197" s="750">
        <v>55.0</v>
      </c>
      <c r="U197" s="751">
        <v>55.0</v>
      </c>
      <c r="V197" s="623">
        <v>25.0</v>
      </c>
      <c r="W197" s="624">
        <v>25.0</v>
      </c>
      <c r="X197" s="625">
        <v>15.0</v>
      </c>
      <c r="Y197" s="628">
        <f t="shared" si="1"/>
        <v>230</v>
      </c>
      <c r="Z197" s="619"/>
      <c r="AA197" s="630" t="str">
        <f t="shared" si="2"/>
        <v>#NAME?</v>
      </c>
      <c r="AB197" s="631" t="s">
        <v>32</v>
      </c>
      <c r="AC197" s="632" t="str">
        <f t="shared" si="3"/>
        <v>#NAME?</v>
      </c>
      <c r="AD197" s="630" t="s">
        <v>79</v>
      </c>
      <c r="AE197" s="633" t="str">
        <f t="shared" si="4"/>
        <v>#NAME?</v>
      </c>
      <c r="AF197" s="631" t="s">
        <v>32</v>
      </c>
      <c r="AG197" s="632" t="str">
        <f t="shared" si="5"/>
        <v>#NAME?</v>
      </c>
      <c r="AH197" s="634" t="s">
        <v>79</v>
      </c>
      <c r="AI197" s="635" t="str">
        <f t="shared" si="6"/>
        <v>#NAME?</v>
      </c>
      <c r="AJ197" s="634" t="s">
        <v>32</v>
      </c>
      <c r="AK197" s="636" t="str">
        <f t="shared" si="7"/>
        <v>#NAME?</v>
      </c>
      <c r="AL197" s="637" t="s">
        <v>79</v>
      </c>
      <c r="AM197" s="619"/>
      <c r="AN197" s="638" t="s">
        <v>646</v>
      </c>
      <c r="AO197" s="639" t="s">
        <v>698</v>
      </c>
      <c r="AP197" s="708" t="s">
        <v>698</v>
      </c>
      <c r="AQ197" s="757" t="s">
        <v>1896</v>
      </c>
      <c r="AR197" s="709" t="s">
        <v>1895</v>
      </c>
      <c r="AS197" s="758" t="s">
        <v>1896</v>
      </c>
      <c r="AT197" s="644"/>
      <c r="AU197" s="645"/>
      <c r="AV197" s="646"/>
      <c r="AW197" s="692"/>
      <c r="AX197" s="693"/>
      <c r="AY197" s="619"/>
      <c r="AZ197" s="648" t="s">
        <v>144</v>
      </c>
      <c r="BA197" s="694"/>
      <c r="BB197" s="690"/>
      <c r="BC197" s="619"/>
      <c r="BD197" s="651" t="s">
        <v>150</v>
      </c>
      <c r="BE197" s="653">
        <v>52.0</v>
      </c>
      <c r="BF197" s="653">
        <v>255.0</v>
      </c>
      <c r="BG197" s="654">
        <v>70.0</v>
      </c>
      <c r="BH197" s="653">
        <v>20.0</v>
      </c>
      <c r="BI197" s="607"/>
      <c r="BJ197" s="655" t="s">
        <v>149</v>
      </c>
      <c r="BK197" s="703" t="s">
        <v>149</v>
      </c>
      <c r="BL197" s="610"/>
      <c r="BM197" s="657" t="s">
        <v>106</v>
      </c>
      <c r="BN197" s="658" t="s">
        <v>277</v>
      </c>
      <c r="BO197" s="607"/>
      <c r="BP197" s="659" t="s">
        <v>1897</v>
      </c>
      <c r="BQ197" s="614"/>
      <c r="BR197" s="660" t="s">
        <v>4430</v>
      </c>
      <c r="BS197" s="614"/>
    </row>
    <row r="198" ht="15.75" customHeight="1">
      <c r="A198" s="841"/>
      <c r="B198" s="661" t="s">
        <v>1901</v>
      </c>
      <c r="C198" s="662"/>
      <c r="D198" s="571"/>
      <c r="E198" s="672">
        <v>95.0</v>
      </c>
      <c r="F198" s="664">
        <v>85.0</v>
      </c>
      <c r="G198" s="665">
        <v>85.0</v>
      </c>
      <c r="H198" s="666">
        <v>65.0</v>
      </c>
      <c r="I198" s="667">
        <v>65.0</v>
      </c>
      <c r="J198" s="668">
        <v>35.0</v>
      </c>
      <c r="K198" s="669">
        <v>430.0</v>
      </c>
      <c r="L198" s="670">
        <v>95.0</v>
      </c>
      <c r="M198" s="664">
        <v>85.0</v>
      </c>
      <c r="N198" s="665">
        <v>85.0</v>
      </c>
      <c r="O198" s="666">
        <v>65.0</v>
      </c>
      <c r="P198" s="667">
        <v>65.0</v>
      </c>
      <c r="Q198" s="668">
        <v>35.0</v>
      </c>
      <c r="R198" s="671">
        <v>430.0</v>
      </c>
      <c r="S198" s="672">
        <v>95.0</v>
      </c>
      <c r="T198" s="741">
        <v>95.0</v>
      </c>
      <c r="U198" s="742">
        <v>95.0</v>
      </c>
      <c r="V198" s="666">
        <v>65.0</v>
      </c>
      <c r="W198" s="667">
        <v>65.0</v>
      </c>
      <c r="X198" s="668">
        <v>35.0</v>
      </c>
      <c r="Y198" s="671">
        <f t="shared" si="1"/>
        <v>450</v>
      </c>
      <c r="Z198" s="571"/>
      <c r="AA198" s="673" t="str">
        <f t="shared" si="2"/>
        <v>#NAME?</v>
      </c>
      <c r="AB198" s="674" t="s">
        <v>32</v>
      </c>
      <c r="AC198" s="675" t="str">
        <f t="shared" si="3"/>
        <v>#NAME?</v>
      </c>
      <c r="AD198" s="673" t="s">
        <v>79</v>
      </c>
      <c r="AE198" s="676" t="str">
        <f t="shared" si="4"/>
        <v>#NAME?</v>
      </c>
      <c r="AF198" s="674" t="s">
        <v>32</v>
      </c>
      <c r="AG198" s="675" t="str">
        <f t="shared" si="5"/>
        <v>#NAME?</v>
      </c>
      <c r="AH198" s="586" t="s">
        <v>79</v>
      </c>
      <c r="AI198" s="677" t="str">
        <f t="shared" si="6"/>
        <v>#NAME?</v>
      </c>
      <c r="AJ198" s="586" t="s">
        <v>32</v>
      </c>
      <c r="AK198" s="584" t="str">
        <f t="shared" si="7"/>
        <v>#NAME?</v>
      </c>
      <c r="AL198" s="678" t="s">
        <v>79</v>
      </c>
      <c r="AM198" s="571"/>
      <c r="AN198" s="679" t="s">
        <v>646</v>
      </c>
      <c r="AO198" s="680" t="s">
        <v>698</v>
      </c>
      <c r="AP198" s="710" t="s">
        <v>698</v>
      </c>
      <c r="AQ198" s="716" t="s">
        <v>1896</v>
      </c>
      <c r="AR198" s="711" t="s">
        <v>1895</v>
      </c>
      <c r="AS198" s="718" t="s">
        <v>1896</v>
      </c>
      <c r="AT198" s="595"/>
      <c r="AU198" s="685"/>
      <c r="AV198" s="686"/>
      <c r="AW198" s="687"/>
      <c r="AX198" s="688"/>
      <c r="AY198" s="571"/>
      <c r="AZ198" s="689" t="s">
        <v>409</v>
      </c>
      <c r="BA198" s="690"/>
      <c r="BB198" s="696"/>
      <c r="BC198" s="571"/>
      <c r="BD198" s="651" t="s">
        <v>150</v>
      </c>
      <c r="BE198" s="653">
        <v>137.0</v>
      </c>
      <c r="BF198" s="653">
        <v>90.0</v>
      </c>
      <c r="BG198" s="654">
        <v>70.0</v>
      </c>
      <c r="BH198" s="653">
        <v>80.0</v>
      </c>
      <c r="BI198" s="607"/>
      <c r="BJ198" s="655" t="s">
        <v>149</v>
      </c>
      <c r="BK198" s="703" t="s">
        <v>149</v>
      </c>
      <c r="BL198" s="610"/>
      <c r="BM198" s="657" t="s">
        <v>106</v>
      </c>
      <c r="BN198" s="658" t="s">
        <v>277</v>
      </c>
      <c r="BO198" s="607"/>
      <c r="BP198" s="659" t="s">
        <v>1904</v>
      </c>
      <c r="BQ198" s="614"/>
      <c r="BR198" s="660" t="s">
        <v>4430</v>
      </c>
      <c r="BS198" s="614"/>
    </row>
    <row r="199" ht="15.75" customHeight="1">
      <c r="A199" s="841"/>
      <c r="B199" s="617" t="s">
        <v>1908</v>
      </c>
      <c r="C199" s="618"/>
      <c r="D199" s="619"/>
      <c r="E199" s="629">
        <v>65.0</v>
      </c>
      <c r="F199" s="621">
        <v>65.0</v>
      </c>
      <c r="G199" s="622">
        <v>60.0</v>
      </c>
      <c r="H199" s="623">
        <v>130.0</v>
      </c>
      <c r="I199" s="624">
        <v>95.0</v>
      </c>
      <c r="J199" s="625">
        <v>110.0</v>
      </c>
      <c r="K199" s="626">
        <v>525.0</v>
      </c>
      <c r="L199" s="627">
        <v>65.0</v>
      </c>
      <c r="M199" s="621">
        <v>65.0</v>
      </c>
      <c r="N199" s="622">
        <v>60.0</v>
      </c>
      <c r="O199" s="623">
        <v>130.0</v>
      </c>
      <c r="P199" s="624">
        <v>95.0</v>
      </c>
      <c r="Q199" s="625">
        <v>110.0</v>
      </c>
      <c r="R199" s="628">
        <v>525.0</v>
      </c>
      <c r="S199" s="629">
        <v>65.0</v>
      </c>
      <c r="T199" s="621">
        <v>65.0</v>
      </c>
      <c r="U199" s="622">
        <v>60.0</v>
      </c>
      <c r="V199" s="623">
        <v>130.0</v>
      </c>
      <c r="W199" s="624">
        <v>95.0</v>
      </c>
      <c r="X199" s="625">
        <v>110.0</v>
      </c>
      <c r="Y199" s="628">
        <f t="shared" si="1"/>
        <v>525</v>
      </c>
      <c r="Z199" s="619"/>
      <c r="AA199" s="630" t="str">
        <f t="shared" si="2"/>
        <v>#NAME?</v>
      </c>
      <c r="AB199" s="631" t="s">
        <v>122</v>
      </c>
      <c r="AC199" s="632" t="str">
        <f t="shared" si="3"/>
        <v>#NAME?</v>
      </c>
      <c r="AD199" s="639" t="s">
        <v>4428</v>
      </c>
      <c r="AE199" s="633" t="str">
        <f t="shared" si="4"/>
        <v>#NAME?</v>
      </c>
      <c r="AF199" s="631" t="s">
        <v>122</v>
      </c>
      <c r="AG199" s="632" t="str">
        <f t="shared" si="5"/>
        <v>#NAME?</v>
      </c>
      <c r="AH199" s="634" t="s">
        <v>4428</v>
      </c>
      <c r="AI199" s="635" t="str">
        <f t="shared" si="6"/>
        <v>#NAME?</v>
      </c>
      <c r="AJ199" s="634" t="s">
        <v>122</v>
      </c>
      <c r="AK199" s="636" t="str">
        <f t="shared" si="7"/>
        <v>#NAME?</v>
      </c>
      <c r="AL199" s="637" t="s">
        <v>4428</v>
      </c>
      <c r="AM199" s="619"/>
      <c r="AN199" s="638" t="s">
        <v>727</v>
      </c>
      <c r="AO199" s="639"/>
      <c r="AP199" s="712" t="s">
        <v>727</v>
      </c>
      <c r="AQ199" s="639"/>
      <c r="AR199" s="712" t="s">
        <v>727</v>
      </c>
      <c r="AS199" s="639"/>
      <c r="AT199" s="644"/>
      <c r="AU199" s="645"/>
      <c r="AV199" s="646"/>
      <c r="AW199" s="692"/>
      <c r="AX199" s="693"/>
      <c r="AY199" s="619"/>
      <c r="AZ199" s="698" t="s">
        <v>42</v>
      </c>
      <c r="BA199" s="690"/>
      <c r="BB199" s="650"/>
      <c r="BC199" s="619"/>
      <c r="BD199" s="651" t="s">
        <v>150</v>
      </c>
      <c r="BE199" s="653">
        <v>197.0</v>
      </c>
      <c r="BF199" s="653">
        <v>45.0</v>
      </c>
      <c r="BG199" s="654">
        <v>70.0</v>
      </c>
      <c r="BH199" s="653">
        <v>60.0</v>
      </c>
      <c r="BI199" s="607"/>
      <c r="BJ199" s="655" t="s">
        <v>13</v>
      </c>
      <c r="BK199" s="656">
        <v>0.125</v>
      </c>
      <c r="BL199" s="610"/>
      <c r="BM199" s="657" t="s">
        <v>277</v>
      </c>
      <c r="BN199" s="704"/>
      <c r="BO199" s="607"/>
      <c r="BP199" s="659" t="s">
        <v>4456</v>
      </c>
      <c r="BQ199" s="614"/>
      <c r="BR199" s="660" t="s">
        <v>4434</v>
      </c>
      <c r="BS199" s="614"/>
    </row>
    <row r="200" ht="15.75" customHeight="1">
      <c r="A200" s="841"/>
      <c r="B200" s="661" t="s">
        <v>1916</v>
      </c>
      <c r="C200" s="662"/>
      <c r="D200" s="571"/>
      <c r="E200" s="672">
        <v>95.0</v>
      </c>
      <c r="F200" s="664">
        <v>65.0</v>
      </c>
      <c r="G200" s="665">
        <v>110.0</v>
      </c>
      <c r="H200" s="666">
        <v>60.0</v>
      </c>
      <c r="I200" s="667">
        <v>130.0</v>
      </c>
      <c r="J200" s="668">
        <v>65.0</v>
      </c>
      <c r="K200" s="669">
        <v>525.0</v>
      </c>
      <c r="L200" s="670">
        <v>95.0</v>
      </c>
      <c r="M200" s="664">
        <v>65.0</v>
      </c>
      <c r="N200" s="665">
        <v>110.0</v>
      </c>
      <c r="O200" s="666">
        <v>60.0</v>
      </c>
      <c r="P200" s="667">
        <v>130.0</v>
      </c>
      <c r="Q200" s="668">
        <v>65.0</v>
      </c>
      <c r="R200" s="671">
        <v>525.0</v>
      </c>
      <c r="S200" s="672">
        <v>95.0</v>
      </c>
      <c r="T200" s="664">
        <v>65.0</v>
      </c>
      <c r="U200" s="665">
        <v>110.0</v>
      </c>
      <c r="V200" s="666">
        <v>60.0</v>
      </c>
      <c r="W200" s="667">
        <v>130.0</v>
      </c>
      <c r="X200" s="668">
        <v>65.0</v>
      </c>
      <c r="Y200" s="671">
        <f t="shared" si="1"/>
        <v>525</v>
      </c>
      <c r="Z200" s="571"/>
      <c r="AA200" s="673" t="str">
        <f t="shared" si="2"/>
        <v>#NAME?</v>
      </c>
      <c r="AB200" s="674" t="s">
        <v>76</v>
      </c>
      <c r="AC200" s="675" t="str">
        <f t="shared" si="3"/>
        <v>#NAME?</v>
      </c>
      <c r="AD200" s="680" t="s">
        <v>4428</v>
      </c>
      <c r="AE200" s="676" t="str">
        <f t="shared" si="4"/>
        <v>#NAME?</v>
      </c>
      <c r="AF200" s="674" t="s">
        <v>76</v>
      </c>
      <c r="AG200" s="675" t="str">
        <f t="shared" si="5"/>
        <v>#NAME?</v>
      </c>
      <c r="AH200" s="586" t="s">
        <v>4428</v>
      </c>
      <c r="AI200" s="677" t="str">
        <f t="shared" si="6"/>
        <v>#NAME?</v>
      </c>
      <c r="AJ200" s="586" t="s">
        <v>76</v>
      </c>
      <c r="AK200" s="584" t="str">
        <f t="shared" si="7"/>
        <v>#NAME?</v>
      </c>
      <c r="AL200" s="678" t="s">
        <v>4428</v>
      </c>
      <c r="AM200" s="571"/>
      <c r="AN200" s="679" t="s">
        <v>727</v>
      </c>
      <c r="AO200" s="680"/>
      <c r="AP200" s="705" t="s">
        <v>727</v>
      </c>
      <c r="AQ200" s="680"/>
      <c r="AR200" s="705" t="s">
        <v>727</v>
      </c>
      <c r="AS200" s="680"/>
      <c r="AT200" s="595"/>
      <c r="AU200" s="685"/>
      <c r="AV200" s="686"/>
      <c r="AW200" s="687"/>
      <c r="AX200" s="688"/>
      <c r="AY200" s="571"/>
      <c r="AZ200" s="689" t="s">
        <v>815</v>
      </c>
      <c r="BA200" s="690"/>
      <c r="BB200" s="696"/>
      <c r="BC200" s="571"/>
      <c r="BD200" s="651" t="s">
        <v>150</v>
      </c>
      <c r="BE200" s="653">
        <v>197.0</v>
      </c>
      <c r="BF200" s="653">
        <v>45.0</v>
      </c>
      <c r="BG200" s="654">
        <v>35.0</v>
      </c>
      <c r="BH200" s="653">
        <v>60.0</v>
      </c>
      <c r="BI200" s="607"/>
      <c r="BJ200" s="655" t="s">
        <v>13</v>
      </c>
      <c r="BK200" s="656">
        <v>0.125</v>
      </c>
      <c r="BL200" s="610"/>
      <c r="BM200" s="657" t="s">
        <v>277</v>
      </c>
      <c r="BN200" s="704"/>
      <c r="BO200" s="607"/>
      <c r="BP200" s="659" t="s">
        <v>4457</v>
      </c>
      <c r="BQ200" s="614"/>
      <c r="BR200" s="660" t="s">
        <v>4449</v>
      </c>
      <c r="BS200" s="614"/>
    </row>
    <row r="201" ht="15.75" customHeight="1">
      <c r="A201" s="841"/>
      <c r="B201" s="617" t="s">
        <v>1924</v>
      </c>
      <c r="C201" s="618"/>
      <c r="D201" s="619"/>
      <c r="E201" s="629">
        <v>60.0</v>
      </c>
      <c r="F201" s="621">
        <v>85.0</v>
      </c>
      <c r="G201" s="622">
        <v>42.0</v>
      </c>
      <c r="H201" s="623">
        <v>85.0</v>
      </c>
      <c r="I201" s="624">
        <v>42.0</v>
      </c>
      <c r="J201" s="625">
        <v>91.0</v>
      </c>
      <c r="K201" s="626">
        <v>405.0</v>
      </c>
      <c r="L201" s="627">
        <v>60.0</v>
      </c>
      <c r="M201" s="621">
        <v>85.0</v>
      </c>
      <c r="N201" s="622">
        <v>42.0</v>
      </c>
      <c r="O201" s="623">
        <v>85.0</v>
      </c>
      <c r="P201" s="624">
        <v>42.0</v>
      </c>
      <c r="Q201" s="625">
        <v>91.0</v>
      </c>
      <c r="R201" s="628">
        <v>405.0</v>
      </c>
      <c r="S201" s="629">
        <v>60.0</v>
      </c>
      <c r="T201" s="621">
        <v>85.0</v>
      </c>
      <c r="U201" s="622">
        <v>42.0</v>
      </c>
      <c r="V201" s="623">
        <v>85.0</v>
      </c>
      <c r="W201" s="624">
        <v>42.0</v>
      </c>
      <c r="X201" s="625">
        <v>91.0</v>
      </c>
      <c r="Y201" s="628">
        <f t="shared" si="1"/>
        <v>405</v>
      </c>
      <c r="Z201" s="619"/>
      <c r="AA201" s="630" t="str">
        <f t="shared" si="2"/>
        <v>#NAME?</v>
      </c>
      <c r="AB201" s="631" t="s">
        <v>76</v>
      </c>
      <c r="AC201" s="632" t="str">
        <f t="shared" si="3"/>
        <v>#NAME?</v>
      </c>
      <c r="AD201" s="630" t="s">
        <v>18</v>
      </c>
      <c r="AE201" s="633" t="str">
        <f t="shared" si="4"/>
        <v>#NAME?</v>
      </c>
      <c r="AF201" s="631" t="s">
        <v>76</v>
      </c>
      <c r="AG201" s="632" t="str">
        <f t="shared" si="5"/>
        <v>#NAME?</v>
      </c>
      <c r="AH201" s="634" t="s">
        <v>18</v>
      </c>
      <c r="AI201" s="635" t="str">
        <f t="shared" si="6"/>
        <v>#NAME?</v>
      </c>
      <c r="AJ201" s="634" t="s">
        <v>76</v>
      </c>
      <c r="AK201" s="636" t="str">
        <f t="shared" si="7"/>
        <v>#NAME?</v>
      </c>
      <c r="AL201" s="637" t="s">
        <v>18</v>
      </c>
      <c r="AM201" s="619"/>
      <c r="AN201" s="638" t="s">
        <v>1032</v>
      </c>
      <c r="AO201" s="639" t="s">
        <v>1734</v>
      </c>
      <c r="AP201" s="854" t="s">
        <v>1734</v>
      </c>
      <c r="AQ201" s="855" t="s">
        <v>1032</v>
      </c>
      <c r="AR201" s="856" t="s">
        <v>1928</v>
      </c>
      <c r="AS201" s="857" t="s">
        <v>1032</v>
      </c>
      <c r="AT201" s="644"/>
      <c r="AU201" s="645"/>
      <c r="AV201" s="646"/>
      <c r="AW201" s="692"/>
      <c r="AX201" s="693"/>
      <c r="AY201" s="619"/>
      <c r="AZ201" s="648" t="s">
        <v>56</v>
      </c>
      <c r="BA201" s="694"/>
      <c r="BB201" s="690"/>
      <c r="BC201" s="619"/>
      <c r="BD201" s="651" t="s">
        <v>15</v>
      </c>
      <c r="BE201" s="653">
        <v>107.0</v>
      </c>
      <c r="BF201" s="653">
        <v>30.0</v>
      </c>
      <c r="BG201" s="654">
        <v>35.0</v>
      </c>
      <c r="BH201" s="653">
        <v>20.0</v>
      </c>
      <c r="BI201" s="607"/>
      <c r="BJ201" s="655" t="s">
        <v>149</v>
      </c>
      <c r="BK201" s="703" t="s">
        <v>149</v>
      </c>
      <c r="BL201" s="610"/>
      <c r="BM201" s="657" t="s">
        <v>18</v>
      </c>
      <c r="BN201" s="704"/>
      <c r="BO201" s="607"/>
      <c r="BP201" s="659" t="s">
        <v>1930</v>
      </c>
      <c r="BQ201" s="614"/>
      <c r="BR201" s="660" t="s">
        <v>4449</v>
      </c>
      <c r="BS201" s="614"/>
    </row>
    <row r="202" ht="15.75" customHeight="1">
      <c r="A202" s="841"/>
      <c r="B202" s="661" t="s">
        <v>1934</v>
      </c>
      <c r="C202" s="662"/>
      <c r="D202" s="571"/>
      <c r="E202" s="672">
        <v>95.0</v>
      </c>
      <c r="F202" s="664">
        <v>75.0</v>
      </c>
      <c r="G202" s="665">
        <v>80.0</v>
      </c>
      <c r="H202" s="666">
        <v>100.0</v>
      </c>
      <c r="I202" s="667">
        <v>110.0</v>
      </c>
      <c r="J202" s="668">
        <v>30.0</v>
      </c>
      <c r="K202" s="669">
        <v>490.0</v>
      </c>
      <c r="L202" s="670">
        <v>95.0</v>
      </c>
      <c r="M202" s="664">
        <v>75.0</v>
      </c>
      <c r="N202" s="665">
        <v>80.0</v>
      </c>
      <c r="O202" s="666">
        <v>100.0</v>
      </c>
      <c r="P202" s="667">
        <v>110.0</v>
      </c>
      <c r="Q202" s="668">
        <v>30.0</v>
      </c>
      <c r="R202" s="671">
        <v>490.0</v>
      </c>
      <c r="S202" s="672">
        <v>95.0</v>
      </c>
      <c r="T202" s="664">
        <v>75.0</v>
      </c>
      <c r="U202" s="665">
        <v>80.0</v>
      </c>
      <c r="V202" s="666">
        <v>100.0</v>
      </c>
      <c r="W202" s="667">
        <v>110.0</v>
      </c>
      <c r="X202" s="668">
        <v>30.0</v>
      </c>
      <c r="Y202" s="671">
        <f t="shared" si="1"/>
        <v>490</v>
      </c>
      <c r="Z202" s="571"/>
      <c r="AA202" s="673" t="str">
        <f t="shared" si="2"/>
        <v>#NAME?</v>
      </c>
      <c r="AB202" s="674" t="s">
        <v>32</v>
      </c>
      <c r="AC202" s="675" t="str">
        <f t="shared" si="3"/>
        <v>#NAME?</v>
      </c>
      <c r="AD202" s="673" t="s">
        <v>122</v>
      </c>
      <c r="AE202" s="676" t="str">
        <f t="shared" si="4"/>
        <v>#NAME?</v>
      </c>
      <c r="AF202" s="674" t="s">
        <v>32</v>
      </c>
      <c r="AG202" s="675" t="str">
        <f t="shared" si="5"/>
        <v>#NAME?</v>
      </c>
      <c r="AH202" s="586" t="s">
        <v>122</v>
      </c>
      <c r="AI202" s="677" t="str">
        <f t="shared" si="6"/>
        <v>#NAME?</v>
      </c>
      <c r="AJ202" s="586" t="s">
        <v>32</v>
      </c>
      <c r="AK202" s="584" t="str">
        <f t="shared" si="7"/>
        <v>#NAME?</v>
      </c>
      <c r="AL202" s="678" t="s">
        <v>122</v>
      </c>
      <c r="AM202" s="571"/>
      <c r="AN202" s="679" t="s">
        <v>870</v>
      </c>
      <c r="AO202" s="680" t="s">
        <v>871</v>
      </c>
      <c r="AP202" s="705" t="s">
        <v>870</v>
      </c>
      <c r="AQ202" s="680" t="s">
        <v>871</v>
      </c>
      <c r="AR202" s="705" t="s">
        <v>870</v>
      </c>
      <c r="AS202" s="680" t="s">
        <v>871</v>
      </c>
      <c r="AT202" s="595"/>
      <c r="AU202" s="685" t="str">
        <f>image("https://www.pokebip.com/pages/icones/objets/roche-royale.png", 3)</f>
        <v/>
      </c>
      <c r="AV202" s="686" t="s">
        <v>709</v>
      </c>
      <c r="AW202" s="687"/>
      <c r="AX202" s="688"/>
      <c r="AY202" s="571"/>
      <c r="AZ202" s="689" t="s">
        <v>129</v>
      </c>
      <c r="BA202" s="699"/>
      <c r="BB202" s="690"/>
      <c r="BC202" s="571"/>
      <c r="BD202" s="651" t="s">
        <v>150</v>
      </c>
      <c r="BE202" s="653">
        <v>164.0</v>
      </c>
      <c r="BF202" s="653">
        <v>70.0</v>
      </c>
      <c r="BG202" s="654">
        <v>70.0</v>
      </c>
      <c r="BH202" s="653">
        <v>80.0</v>
      </c>
      <c r="BI202" s="607"/>
      <c r="BJ202" s="764" t="s">
        <v>149</v>
      </c>
      <c r="BK202" s="703" t="s">
        <v>149</v>
      </c>
      <c r="BL202" s="610"/>
      <c r="BM202" s="657" t="s">
        <v>14</v>
      </c>
      <c r="BN202" s="658" t="s">
        <v>106</v>
      </c>
      <c r="BO202" s="607"/>
      <c r="BP202" s="659" t="s">
        <v>4458</v>
      </c>
      <c r="BQ202" s="614"/>
      <c r="BR202" s="660" t="s">
        <v>4435</v>
      </c>
      <c r="BS202" s="614"/>
    </row>
    <row r="203" ht="15.75" customHeight="1">
      <c r="A203" s="841"/>
      <c r="B203" s="617" t="s">
        <v>1941</v>
      </c>
      <c r="C203" s="618"/>
      <c r="D203" s="619"/>
      <c r="E203" s="629">
        <v>60.0</v>
      </c>
      <c r="F203" s="621">
        <v>60.0</v>
      </c>
      <c r="G203" s="622">
        <v>60.0</v>
      </c>
      <c r="H203" s="623">
        <v>85.0</v>
      </c>
      <c r="I203" s="624">
        <v>85.0</v>
      </c>
      <c r="J203" s="625">
        <v>85.0</v>
      </c>
      <c r="K203" s="626">
        <v>435.0</v>
      </c>
      <c r="L203" s="627">
        <v>60.0</v>
      </c>
      <c r="M203" s="621">
        <v>60.0</v>
      </c>
      <c r="N203" s="622">
        <v>60.0</v>
      </c>
      <c r="O203" s="623">
        <v>85.0</v>
      </c>
      <c r="P203" s="624">
        <v>85.0</v>
      </c>
      <c r="Q203" s="625">
        <v>85.0</v>
      </c>
      <c r="R203" s="628">
        <v>435.0</v>
      </c>
      <c r="S203" s="629">
        <v>60.0</v>
      </c>
      <c r="T203" s="621">
        <v>60.0</v>
      </c>
      <c r="U203" s="622">
        <v>60.0</v>
      </c>
      <c r="V203" s="623">
        <v>85.0</v>
      </c>
      <c r="W203" s="624">
        <v>85.0</v>
      </c>
      <c r="X203" s="625">
        <v>85.0</v>
      </c>
      <c r="Y203" s="628">
        <f t="shared" si="1"/>
        <v>435</v>
      </c>
      <c r="Z203" s="619"/>
      <c r="AA203" s="630" t="str">
        <f t="shared" si="2"/>
        <v>#NAME?</v>
      </c>
      <c r="AB203" s="631" t="s">
        <v>92</v>
      </c>
      <c r="AC203" s="632" t="str">
        <f t="shared" si="3"/>
        <v>#NAME?</v>
      </c>
      <c r="AD203" s="639" t="s">
        <v>4428</v>
      </c>
      <c r="AE203" s="633" t="str">
        <f t="shared" si="4"/>
        <v>#NAME?</v>
      </c>
      <c r="AF203" s="631" t="s">
        <v>92</v>
      </c>
      <c r="AG203" s="632" t="str">
        <f t="shared" si="5"/>
        <v>#NAME?</v>
      </c>
      <c r="AH203" s="634" t="s">
        <v>4428</v>
      </c>
      <c r="AI203" s="635" t="str">
        <f t="shared" si="6"/>
        <v>#NAME?</v>
      </c>
      <c r="AJ203" s="634" t="s">
        <v>92</v>
      </c>
      <c r="AK203" s="697" t="str">
        <f t="shared" si="7"/>
        <v>#NAME?</v>
      </c>
      <c r="AL203" s="637" t="s">
        <v>3017</v>
      </c>
      <c r="AM203" s="619"/>
      <c r="AN203" s="638" t="s">
        <v>1001</v>
      </c>
      <c r="AO203" s="639"/>
      <c r="AP203" s="712" t="s">
        <v>1001</v>
      </c>
      <c r="AQ203" s="639"/>
      <c r="AR203" s="712" t="s">
        <v>1001</v>
      </c>
      <c r="AS203" s="639"/>
      <c r="AT203" s="644"/>
      <c r="AU203" s="645"/>
      <c r="AV203" s="646"/>
      <c r="AW203" s="692"/>
      <c r="AX203" s="693"/>
      <c r="AY203" s="619"/>
      <c r="AZ203" s="648" t="s">
        <v>27</v>
      </c>
      <c r="BA203" s="694"/>
      <c r="BB203" s="690"/>
      <c r="BC203" s="619"/>
      <c r="BD203" s="651" t="s">
        <v>468</v>
      </c>
      <c r="BE203" s="653">
        <v>147.0</v>
      </c>
      <c r="BF203" s="653">
        <v>45.0</v>
      </c>
      <c r="BG203" s="654">
        <v>35.0</v>
      </c>
      <c r="BH203" s="653">
        <v>20.0</v>
      </c>
      <c r="BI203" s="607"/>
      <c r="BJ203" s="655" t="s">
        <v>149</v>
      </c>
      <c r="BK203" s="703" t="s">
        <v>149</v>
      </c>
      <c r="BL203" s="610"/>
      <c r="BM203" s="657" t="s">
        <v>964</v>
      </c>
      <c r="BN203" s="704"/>
      <c r="BO203" s="607"/>
      <c r="BP203" s="659" t="s">
        <v>1945</v>
      </c>
      <c r="BQ203" s="614"/>
      <c r="BR203" s="660" t="s">
        <v>4437</v>
      </c>
      <c r="BS203" s="614"/>
    </row>
    <row r="204" ht="15.75" customHeight="1">
      <c r="A204" s="841"/>
      <c r="B204" s="661" t="s">
        <v>1949</v>
      </c>
      <c r="C204" s="662"/>
      <c r="D204" s="571"/>
      <c r="E204" s="672">
        <v>48.0</v>
      </c>
      <c r="F204" s="664">
        <v>72.0</v>
      </c>
      <c r="G204" s="665">
        <v>48.0</v>
      </c>
      <c r="H204" s="666">
        <v>72.0</v>
      </c>
      <c r="I204" s="667">
        <v>48.0</v>
      </c>
      <c r="J204" s="668">
        <v>48.0</v>
      </c>
      <c r="K204" s="669">
        <v>336.0</v>
      </c>
      <c r="L204" s="670">
        <v>48.0</v>
      </c>
      <c r="M204" s="664">
        <v>72.0</v>
      </c>
      <c r="N204" s="665">
        <v>48.0</v>
      </c>
      <c r="O204" s="666">
        <v>72.0</v>
      </c>
      <c r="P204" s="667">
        <v>48.0</v>
      </c>
      <c r="Q204" s="668">
        <v>48.0</v>
      </c>
      <c r="R204" s="671">
        <v>336.0</v>
      </c>
      <c r="S204" s="769">
        <v>54.0</v>
      </c>
      <c r="T204" s="741">
        <v>108.0</v>
      </c>
      <c r="U204" s="742">
        <v>54.0</v>
      </c>
      <c r="V204" s="743">
        <v>108.0</v>
      </c>
      <c r="W204" s="744">
        <v>54.0</v>
      </c>
      <c r="X204" s="745">
        <v>54.0</v>
      </c>
      <c r="Y204" s="671">
        <f t="shared" si="1"/>
        <v>432</v>
      </c>
      <c r="Z204" s="571"/>
      <c r="AA204" s="673" t="str">
        <f t="shared" si="2"/>
        <v>#NAME?</v>
      </c>
      <c r="AB204" s="674" t="s">
        <v>122</v>
      </c>
      <c r="AC204" s="675" t="str">
        <f t="shared" si="3"/>
        <v>#NAME?</v>
      </c>
      <c r="AD204" s="680" t="s">
        <v>4428</v>
      </c>
      <c r="AE204" s="676" t="str">
        <f t="shared" si="4"/>
        <v>#NAME?</v>
      </c>
      <c r="AF204" s="674" t="s">
        <v>122</v>
      </c>
      <c r="AG204" s="675" t="str">
        <f t="shared" si="5"/>
        <v>#NAME?</v>
      </c>
      <c r="AH204" s="586" t="s">
        <v>4428</v>
      </c>
      <c r="AI204" s="677" t="str">
        <f t="shared" si="6"/>
        <v>#NAME?</v>
      </c>
      <c r="AJ204" s="586" t="s">
        <v>122</v>
      </c>
      <c r="AK204" s="584" t="str">
        <f t="shared" si="7"/>
        <v>#NAME?</v>
      </c>
      <c r="AL204" s="678" t="s">
        <v>4428</v>
      </c>
      <c r="AM204" s="571"/>
      <c r="AN204" s="679" t="s">
        <v>1001</v>
      </c>
      <c r="AO204" s="680"/>
      <c r="AP204" s="705" t="s">
        <v>1001</v>
      </c>
      <c r="AQ204" s="680"/>
      <c r="AR204" s="705" t="s">
        <v>1001</v>
      </c>
      <c r="AS204" s="680"/>
      <c r="AT204" s="595"/>
      <c r="AU204" s="685"/>
      <c r="AV204" s="686"/>
      <c r="AW204" s="687"/>
      <c r="AX204" s="688"/>
      <c r="AY204" s="571"/>
      <c r="AZ204" s="695" t="s">
        <v>325</v>
      </c>
      <c r="BA204" s="691" t="s">
        <v>4</v>
      </c>
      <c r="BB204" s="696"/>
      <c r="BC204" s="571"/>
      <c r="BD204" s="651" t="s">
        <v>150</v>
      </c>
      <c r="BE204" s="653">
        <v>61.0</v>
      </c>
      <c r="BF204" s="858" t="s">
        <v>4459</v>
      </c>
      <c r="BG204" s="654">
        <v>70.0</v>
      </c>
      <c r="BH204" s="653">
        <v>20.0</v>
      </c>
      <c r="BI204" s="607"/>
      <c r="BJ204" s="765" t="s">
        <v>890</v>
      </c>
      <c r="BK204" s="766"/>
      <c r="BL204" s="610"/>
      <c r="BM204" s="657" t="s">
        <v>411</v>
      </c>
      <c r="BN204" s="704"/>
      <c r="BO204" s="607"/>
      <c r="BP204" s="659" t="s">
        <v>914</v>
      </c>
      <c r="BQ204" s="614"/>
      <c r="BR204" s="660" t="s">
        <v>4449</v>
      </c>
      <c r="BS204" s="614"/>
    </row>
    <row r="205" ht="15.75" customHeight="1">
      <c r="A205" s="841"/>
      <c r="B205" s="617" t="s">
        <v>1960</v>
      </c>
      <c r="C205" s="618"/>
      <c r="D205" s="619"/>
      <c r="E205" s="629">
        <v>190.0</v>
      </c>
      <c r="F205" s="750">
        <v>33.0</v>
      </c>
      <c r="G205" s="622">
        <v>58.0</v>
      </c>
      <c r="H205" s="623">
        <v>33.0</v>
      </c>
      <c r="I205" s="624">
        <v>58.0</v>
      </c>
      <c r="J205" s="625">
        <v>33.0</v>
      </c>
      <c r="K205" s="749">
        <v>405.0</v>
      </c>
      <c r="L205" s="627">
        <v>190.0</v>
      </c>
      <c r="M205" s="621">
        <v>33.0</v>
      </c>
      <c r="N205" s="622">
        <v>58.0</v>
      </c>
      <c r="O205" s="623">
        <v>33.0</v>
      </c>
      <c r="P205" s="624">
        <v>58.0</v>
      </c>
      <c r="Q205" s="625">
        <v>33.0</v>
      </c>
      <c r="R205" s="628">
        <v>405.0</v>
      </c>
      <c r="S205" s="629">
        <v>190.0</v>
      </c>
      <c r="T205" s="621">
        <v>33.0</v>
      </c>
      <c r="U205" s="622">
        <v>58.0</v>
      </c>
      <c r="V205" s="623">
        <v>33.0</v>
      </c>
      <c r="W205" s="624">
        <v>58.0</v>
      </c>
      <c r="X205" s="625">
        <v>33.0</v>
      </c>
      <c r="Y205" s="628">
        <f t="shared" si="1"/>
        <v>405</v>
      </c>
      <c r="Z205" s="619"/>
      <c r="AA205" s="630" t="str">
        <f t="shared" si="2"/>
        <v>#NAME?</v>
      </c>
      <c r="AB205" s="631" t="s">
        <v>122</v>
      </c>
      <c r="AC205" s="632" t="str">
        <f t="shared" si="3"/>
        <v>#NAME?</v>
      </c>
      <c r="AD205" s="639" t="s">
        <v>4428</v>
      </c>
      <c r="AE205" s="633" t="str">
        <f t="shared" si="4"/>
        <v>#NAME?</v>
      </c>
      <c r="AF205" s="631" t="s">
        <v>122</v>
      </c>
      <c r="AG205" s="632" t="str">
        <f t="shared" si="5"/>
        <v>#NAME?</v>
      </c>
      <c r="AH205" s="634" t="s">
        <v>4428</v>
      </c>
      <c r="AI205" s="635" t="str">
        <f t="shared" si="6"/>
        <v>#NAME?</v>
      </c>
      <c r="AJ205" s="634" t="s">
        <v>122</v>
      </c>
      <c r="AK205" s="636" t="str">
        <f t="shared" si="7"/>
        <v>#NAME?</v>
      </c>
      <c r="AL205" s="637" t="s">
        <v>4428</v>
      </c>
      <c r="AM205" s="619"/>
      <c r="AN205" s="638" t="s">
        <v>1963</v>
      </c>
      <c r="AO205" s="639"/>
      <c r="AP205" s="712" t="s">
        <v>1963</v>
      </c>
      <c r="AQ205" s="639"/>
      <c r="AR205" s="712" t="s">
        <v>1963</v>
      </c>
      <c r="AS205" s="639"/>
      <c r="AT205" s="644"/>
      <c r="AU205" s="645"/>
      <c r="AV205" s="646"/>
      <c r="AW205" s="692"/>
      <c r="AX205" s="693"/>
      <c r="AY205" s="619"/>
      <c r="AZ205" s="698" t="s">
        <v>409</v>
      </c>
      <c r="BA205" s="690"/>
      <c r="BB205" s="650"/>
      <c r="BC205" s="619"/>
      <c r="BD205" s="651" t="s">
        <v>150</v>
      </c>
      <c r="BE205" s="653">
        <v>177.0</v>
      </c>
      <c r="BF205" s="653">
        <v>45.0</v>
      </c>
      <c r="BG205" s="654">
        <v>70.0</v>
      </c>
      <c r="BH205" s="653">
        <v>60.0</v>
      </c>
      <c r="BI205" s="607"/>
      <c r="BJ205" s="655" t="s">
        <v>149</v>
      </c>
      <c r="BK205" s="703" t="s">
        <v>149</v>
      </c>
      <c r="BL205" s="610"/>
      <c r="BM205" s="657" t="s">
        <v>964</v>
      </c>
      <c r="BN205" s="704"/>
      <c r="BO205" s="607"/>
      <c r="BP205" s="659" t="s">
        <v>1964</v>
      </c>
      <c r="BQ205" s="614"/>
      <c r="BR205" s="660" t="s">
        <v>4430</v>
      </c>
      <c r="BS205" s="614"/>
    </row>
    <row r="206" ht="15.75" customHeight="1">
      <c r="A206" s="841"/>
      <c r="B206" s="661" t="s">
        <v>1968</v>
      </c>
      <c r="C206" s="662"/>
      <c r="D206" s="571"/>
      <c r="E206" s="672">
        <v>70.0</v>
      </c>
      <c r="F206" s="664">
        <v>80.0</v>
      </c>
      <c r="G206" s="665">
        <v>65.0</v>
      </c>
      <c r="H206" s="666">
        <v>90.0</v>
      </c>
      <c r="I206" s="667">
        <v>65.0</v>
      </c>
      <c r="J206" s="668">
        <v>85.0</v>
      </c>
      <c r="K206" s="669">
        <v>455.0</v>
      </c>
      <c r="L206" s="670">
        <v>70.0</v>
      </c>
      <c r="M206" s="664">
        <v>80.0</v>
      </c>
      <c r="N206" s="665">
        <v>65.0</v>
      </c>
      <c r="O206" s="666">
        <v>90.0</v>
      </c>
      <c r="P206" s="667">
        <v>65.0</v>
      </c>
      <c r="Q206" s="668">
        <v>85.0</v>
      </c>
      <c r="R206" s="671">
        <v>455.0</v>
      </c>
      <c r="S206" s="672">
        <v>70.0</v>
      </c>
      <c r="T206" s="664">
        <v>80.0</v>
      </c>
      <c r="U206" s="665">
        <v>65.0</v>
      </c>
      <c r="V206" s="666">
        <v>90.0</v>
      </c>
      <c r="W206" s="667">
        <v>65.0</v>
      </c>
      <c r="X206" s="668">
        <v>85.0</v>
      </c>
      <c r="Y206" s="671">
        <f t="shared" si="1"/>
        <v>455</v>
      </c>
      <c r="Z206" s="571"/>
      <c r="AA206" s="673" t="str">
        <f t="shared" si="2"/>
        <v>#NAME?</v>
      </c>
      <c r="AB206" s="674" t="s">
        <v>156</v>
      </c>
      <c r="AC206" s="675" t="str">
        <f t="shared" si="3"/>
        <v>#NAME?</v>
      </c>
      <c r="AD206" s="673" t="s">
        <v>122</v>
      </c>
      <c r="AE206" s="676" t="str">
        <f t="shared" si="4"/>
        <v>#NAME?</v>
      </c>
      <c r="AF206" s="674" t="s">
        <v>156</v>
      </c>
      <c r="AG206" s="675" t="str">
        <f t="shared" si="5"/>
        <v>#NAME?</v>
      </c>
      <c r="AH206" s="586" t="s">
        <v>122</v>
      </c>
      <c r="AI206" s="677" t="str">
        <f t="shared" si="6"/>
        <v>#NAME?</v>
      </c>
      <c r="AJ206" s="586" t="s">
        <v>156</v>
      </c>
      <c r="AK206" s="584" t="str">
        <f t="shared" si="7"/>
        <v>#NAME?</v>
      </c>
      <c r="AL206" s="678" t="s">
        <v>122</v>
      </c>
      <c r="AM206" s="571"/>
      <c r="AN206" s="679" t="s">
        <v>530</v>
      </c>
      <c r="AO206" s="680" t="s">
        <v>924</v>
      </c>
      <c r="AP206" s="705" t="s">
        <v>530</v>
      </c>
      <c r="AQ206" s="680" t="s">
        <v>924</v>
      </c>
      <c r="AR206" s="705" t="s">
        <v>530</v>
      </c>
      <c r="AS206" s="680" t="s">
        <v>924</v>
      </c>
      <c r="AT206" s="595"/>
      <c r="AU206" s="685"/>
      <c r="AV206" s="686"/>
      <c r="AW206" s="687"/>
      <c r="AX206" s="688"/>
      <c r="AY206" s="571"/>
      <c r="AZ206" s="689" t="s">
        <v>42</v>
      </c>
      <c r="BA206" s="690"/>
      <c r="BB206" s="696"/>
      <c r="BC206" s="571"/>
      <c r="BD206" s="651" t="s">
        <v>150</v>
      </c>
      <c r="BE206" s="653">
        <v>149.0</v>
      </c>
      <c r="BF206" s="653">
        <v>60.0</v>
      </c>
      <c r="BG206" s="654">
        <v>70.0</v>
      </c>
      <c r="BH206" s="653">
        <v>60.0</v>
      </c>
      <c r="BI206" s="607"/>
      <c r="BJ206" s="655" t="s">
        <v>149</v>
      </c>
      <c r="BK206" s="703" t="s">
        <v>149</v>
      </c>
      <c r="BL206" s="610"/>
      <c r="BM206" s="657" t="s">
        <v>277</v>
      </c>
      <c r="BN206" s="704"/>
      <c r="BO206" s="607"/>
      <c r="BP206" s="659" t="s">
        <v>914</v>
      </c>
      <c r="BQ206" s="614"/>
      <c r="BR206" s="660" t="s">
        <v>4433</v>
      </c>
      <c r="BS206" s="614"/>
    </row>
    <row r="207" ht="15.75" customHeight="1">
      <c r="A207" s="841"/>
      <c r="B207" s="617" t="s">
        <v>1976</v>
      </c>
      <c r="C207" s="618"/>
      <c r="D207" s="619"/>
      <c r="E207" s="629">
        <v>50.0</v>
      </c>
      <c r="F207" s="621">
        <v>65.0</v>
      </c>
      <c r="G207" s="622">
        <v>90.0</v>
      </c>
      <c r="H207" s="748">
        <v>35.0</v>
      </c>
      <c r="I207" s="624">
        <v>35.0</v>
      </c>
      <c r="J207" s="625">
        <v>15.0</v>
      </c>
      <c r="K207" s="749">
        <v>290.0</v>
      </c>
      <c r="L207" s="627">
        <v>50.0</v>
      </c>
      <c r="M207" s="621">
        <v>65.0</v>
      </c>
      <c r="N207" s="622">
        <v>90.0</v>
      </c>
      <c r="O207" s="623">
        <v>35.0</v>
      </c>
      <c r="P207" s="624">
        <v>35.0</v>
      </c>
      <c r="Q207" s="625">
        <v>15.0</v>
      </c>
      <c r="R207" s="628">
        <v>290.0</v>
      </c>
      <c r="S207" s="629">
        <v>50.0</v>
      </c>
      <c r="T207" s="621">
        <v>65.0</v>
      </c>
      <c r="U207" s="622">
        <v>90.0</v>
      </c>
      <c r="V207" s="623">
        <v>35.0</v>
      </c>
      <c r="W207" s="624">
        <v>35.0</v>
      </c>
      <c r="X207" s="625">
        <v>15.0</v>
      </c>
      <c r="Y207" s="628">
        <f t="shared" si="1"/>
        <v>290</v>
      </c>
      <c r="Z207" s="619"/>
      <c r="AA207" s="630" t="str">
        <f t="shared" si="2"/>
        <v>#NAME?</v>
      </c>
      <c r="AB207" s="631" t="s">
        <v>109</v>
      </c>
      <c r="AC207" s="632" t="str">
        <f t="shared" si="3"/>
        <v>#NAME?</v>
      </c>
      <c r="AD207" s="639" t="s">
        <v>4428</v>
      </c>
      <c r="AE207" s="633" t="str">
        <f t="shared" si="4"/>
        <v>#NAME?</v>
      </c>
      <c r="AF207" s="631" t="s">
        <v>109</v>
      </c>
      <c r="AG207" s="632" t="str">
        <f t="shared" si="5"/>
        <v>#NAME?</v>
      </c>
      <c r="AH207" s="634" t="s">
        <v>4428</v>
      </c>
      <c r="AI207" s="635" t="str">
        <f t="shared" si="6"/>
        <v>#NAME?</v>
      </c>
      <c r="AJ207" s="634" t="s">
        <v>109</v>
      </c>
      <c r="AK207" s="636" t="str">
        <f t="shared" si="7"/>
        <v>#NAME?</v>
      </c>
      <c r="AL207" s="637" t="s">
        <v>4428</v>
      </c>
      <c r="AM207" s="619"/>
      <c r="AN207" s="638" t="s">
        <v>825</v>
      </c>
      <c r="AO207" s="639"/>
      <c r="AP207" s="712" t="s">
        <v>825</v>
      </c>
      <c r="AQ207" s="639"/>
      <c r="AR207" s="712" t="s">
        <v>825</v>
      </c>
      <c r="AS207" s="639"/>
      <c r="AT207" s="644"/>
      <c r="AU207" s="645"/>
      <c r="AV207" s="646"/>
      <c r="AW207" s="692"/>
      <c r="AX207" s="693"/>
      <c r="AY207" s="619"/>
      <c r="AZ207" s="648" t="s">
        <v>101</v>
      </c>
      <c r="BA207" s="694"/>
      <c r="BB207" s="690"/>
      <c r="BC207" s="619"/>
      <c r="BD207" s="651" t="s">
        <v>150</v>
      </c>
      <c r="BE207" s="653">
        <v>60.0</v>
      </c>
      <c r="BF207" s="653">
        <v>190.0</v>
      </c>
      <c r="BG207" s="654">
        <v>70.0</v>
      </c>
      <c r="BH207" s="653">
        <v>20.0</v>
      </c>
      <c r="BI207" s="607"/>
      <c r="BJ207" s="655" t="s">
        <v>149</v>
      </c>
      <c r="BK207" s="703" t="s">
        <v>149</v>
      </c>
      <c r="BL207" s="610"/>
      <c r="BM207" s="657" t="s">
        <v>109</v>
      </c>
      <c r="BN207" s="704"/>
      <c r="BO207" s="607"/>
      <c r="BP207" s="659" t="s">
        <v>1980</v>
      </c>
      <c r="BQ207" s="614"/>
      <c r="BR207" s="660" t="s">
        <v>4437</v>
      </c>
      <c r="BS207" s="614"/>
    </row>
    <row r="208" ht="15.75" customHeight="1">
      <c r="A208" s="841"/>
      <c r="B208" s="661" t="s">
        <v>1984</v>
      </c>
      <c r="C208" s="662"/>
      <c r="D208" s="571"/>
      <c r="E208" s="672">
        <v>75.0</v>
      </c>
      <c r="F208" s="664">
        <v>90.0</v>
      </c>
      <c r="G208" s="665">
        <v>140.0</v>
      </c>
      <c r="H208" s="666">
        <v>60.0</v>
      </c>
      <c r="I208" s="667">
        <v>60.0</v>
      </c>
      <c r="J208" s="668">
        <v>40.0</v>
      </c>
      <c r="K208" s="669">
        <v>465.0</v>
      </c>
      <c r="L208" s="670">
        <v>75.0</v>
      </c>
      <c r="M208" s="664">
        <v>90.0</v>
      </c>
      <c r="N208" s="665">
        <v>140.0</v>
      </c>
      <c r="O208" s="666">
        <v>60.0</v>
      </c>
      <c r="P208" s="667">
        <v>60.0</v>
      </c>
      <c r="Q208" s="668">
        <v>40.0</v>
      </c>
      <c r="R208" s="671">
        <v>465.0</v>
      </c>
      <c r="S208" s="672">
        <v>75.0</v>
      </c>
      <c r="T208" s="664">
        <v>90.0</v>
      </c>
      <c r="U208" s="665">
        <v>140.0</v>
      </c>
      <c r="V208" s="666">
        <v>60.0</v>
      </c>
      <c r="W208" s="667">
        <v>60.0</v>
      </c>
      <c r="X208" s="668">
        <v>40.0</v>
      </c>
      <c r="Y208" s="671">
        <f t="shared" si="1"/>
        <v>465</v>
      </c>
      <c r="Z208" s="571"/>
      <c r="AA208" s="673" t="str">
        <f t="shared" si="2"/>
        <v>#NAME?</v>
      </c>
      <c r="AB208" s="674" t="s">
        <v>109</v>
      </c>
      <c r="AC208" s="675" t="str">
        <f t="shared" si="3"/>
        <v>#NAME?</v>
      </c>
      <c r="AD208" s="673" t="s">
        <v>95</v>
      </c>
      <c r="AE208" s="676" t="str">
        <f t="shared" si="4"/>
        <v>#NAME?</v>
      </c>
      <c r="AF208" s="674" t="s">
        <v>109</v>
      </c>
      <c r="AG208" s="675" t="str">
        <f t="shared" si="5"/>
        <v>#NAME?</v>
      </c>
      <c r="AH208" s="586" t="s">
        <v>95</v>
      </c>
      <c r="AI208" s="677" t="str">
        <f t="shared" si="6"/>
        <v>#NAME?</v>
      </c>
      <c r="AJ208" s="586" t="s">
        <v>109</v>
      </c>
      <c r="AK208" s="584" t="str">
        <f t="shared" si="7"/>
        <v>#NAME?</v>
      </c>
      <c r="AL208" s="678" t="s">
        <v>95</v>
      </c>
      <c r="AM208" s="571"/>
      <c r="AN208" s="679" t="s">
        <v>825</v>
      </c>
      <c r="AO208" s="680"/>
      <c r="AP208" s="705" t="s">
        <v>825</v>
      </c>
      <c r="AQ208" s="680"/>
      <c r="AR208" s="705" t="s">
        <v>825</v>
      </c>
      <c r="AS208" s="680"/>
      <c r="AT208" s="595"/>
      <c r="AU208" s="685"/>
      <c r="AV208" s="686"/>
      <c r="AW208" s="687"/>
      <c r="AX208" s="688"/>
      <c r="AY208" s="571"/>
      <c r="AZ208" s="689" t="s">
        <v>162</v>
      </c>
      <c r="BA208" s="690"/>
      <c r="BB208" s="696"/>
      <c r="BC208" s="571"/>
      <c r="BD208" s="651" t="s">
        <v>150</v>
      </c>
      <c r="BE208" s="653">
        <v>118.0</v>
      </c>
      <c r="BF208" s="653">
        <v>75.0</v>
      </c>
      <c r="BG208" s="654">
        <v>70.0</v>
      </c>
      <c r="BH208" s="653">
        <v>100.0</v>
      </c>
      <c r="BI208" s="607"/>
      <c r="BJ208" s="655" t="s">
        <v>149</v>
      </c>
      <c r="BK208" s="703" t="s">
        <v>149</v>
      </c>
      <c r="BL208" s="610"/>
      <c r="BM208" s="657" t="s">
        <v>109</v>
      </c>
      <c r="BN208" s="704"/>
      <c r="BO208" s="607"/>
      <c r="BP208" s="659" t="s">
        <v>1989</v>
      </c>
      <c r="BQ208" s="614"/>
      <c r="BR208" s="660" t="s">
        <v>4434</v>
      </c>
      <c r="BS208" s="614"/>
    </row>
    <row r="209" ht="15.75" customHeight="1">
      <c r="A209" s="841"/>
      <c r="B209" s="617" t="s">
        <v>1993</v>
      </c>
      <c r="C209" s="618"/>
      <c r="D209" s="619"/>
      <c r="E209" s="629">
        <v>100.0</v>
      </c>
      <c r="F209" s="621">
        <v>70.0</v>
      </c>
      <c r="G209" s="622">
        <v>70.0</v>
      </c>
      <c r="H209" s="623">
        <v>65.0</v>
      </c>
      <c r="I209" s="624">
        <v>65.0</v>
      </c>
      <c r="J209" s="625">
        <v>45.0</v>
      </c>
      <c r="K209" s="626">
        <v>415.0</v>
      </c>
      <c r="L209" s="627">
        <v>100.0</v>
      </c>
      <c r="M209" s="621">
        <v>70.0</v>
      </c>
      <c r="N209" s="622">
        <v>70.0</v>
      </c>
      <c r="O209" s="623">
        <v>65.0</v>
      </c>
      <c r="P209" s="624">
        <v>65.0</v>
      </c>
      <c r="Q209" s="625">
        <v>45.0</v>
      </c>
      <c r="R209" s="628">
        <v>415.0</v>
      </c>
      <c r="S209" s="778">
        <v>105.0</v>
      </c>
      <c r="T209" s="750">
        <v>95.0</v>
      </c>
      <c r="U209" s="751">
        <v>95.0</v>
      </c>
      <c r="V209" s="748">
        <v>55.0</v>
      </c>
      <c r="W209" s="752">
        <v>55.0</v>
      </c>
      <c r="X209" s="625">
        <v>45.0</v>
      </c>
      <c r="Y209" s="628">
        <f t="shared" si="1"/>
        <v>450</v>
      </c>
      <c r="Z209" s="619"/>
      <c r="AA209" s="630" t="str">
        <f t="shared" si="2"/>
        <v>#NAME?</v>
      </c>
      <c r="AB209" s="631" t="s">
        <v>156</v>
      </c>
      <c r="AC209" s="632" t="str">
        <f t="shared" si="3"/>
        <v>#NAME?</v>
      </c>
      <c r="AD209" s="639" t="s">
        <v>4428</v>
      </c>
      <c r="AE209" s="633" t="str">
        <f t="shared" si="4"/>
        <v>#NAME?</v>
      </c>
      <c r="AF209" s="631" t="s">
        <v>156</v>
      </c>
      <c r="AG209" s="632" t="str">
        <f t="shared" si="5"/>
        <v>#NAME?</v>
      </c>
      <c r="AH209" s="634" t="s">
        <v>4428</v>
      </c>
      <c r="AI209" s="635" t="str">
        <f t="shared" si="6"/>
        <v>#NAME?</v>
      </c>
      <c r="AJ209" s="634" t="s">
        <v>156</v>
      </c>
      <c r="AK209" s="636" t="str">
        <f t="shared" si="7"/>
        <v>#NAME?</v>
      </c>
      <c r="AL209" s="637" t="s">
        <v>4428</v>
      </c>
      <c r="AM209" s="619"/>
      <c r="AN209" s="638" t="s">
        <v>1183</v>
      </c>
      <c r="AO209" s="639" t="s">
        <v>146</v>
      </c>
      <c r="AP209" s="712" t="s">
        <v>1183</v>
      </c>
      <c r="AQ209" s="639" t="s">
        <v>146</v>
      </c>
      <c r="AR209" s="712" t="s">
        <v>1183</v>
      </c>
      <c r="AS209" s="639" t="s">
        <v>146</v>
      </c>
      <c r="AT209" s="644"/>
      <c r="AU209" s="645"/>
      <c r="AV209" s="646"/>
      <c r="AW209" s="692"/>
      <c r="AX209" s="693"/>
      <c r="AY209" s="619"/>
      <c r="AZ209" s="648" t="s">
        <v>144</v>
      </c>
      <c r="BA209" s="694"/>
      <c r="BB209" s="690"/>
      <c r="BC209" s="619"/>
      <c r="BD209" s="651" t="s">
        <v>150</v>
      </c>
      <c r="BE209" s="653">
        <v>125.0</v>
      </c>
      <c r="BF209" s="653">
        <v>190.0</v>
      </c>
      <c r="BG209" s="654">
        <v>70.0</v>
      </c>
      <c r="BH209" s="653">
        <v>40.0</v>
      </c>
      <c r="BI209" s="607"/>
      <c r="BJ209" s="655" t="s">
        <v>149</v>
      </c>
      <c r="BK209" s="703" t="s">
        <v>149</v>
      </c>
      <c r="BL209" s="610"/>
      <c r="BM209" s="657" t="s">
        <v>277</v>
      </c>
      <c r="BN209" s="704"/>
      <c r="BO209" s="607"/>
      <c r="BP209" s="659" t="s">
        <v>914</v>
      </c>
      <c r="BQ209" s="614"/>
      <c r="BR209" s="660" t="s">
        <v>4433</v>
      </c>
      <c r="BS209" s="614"/>
    </row>
    <row r="210" ht="15.75" customHeight="1">
      <c r="A210" s="841"/>
      <c r="B210" s="661" t="s">
        <v>2000</v>
      </c>
      <c r="C210" s="662"/>
      <c r="D210" s="571"/>
      <c r="E210" s="672">
        <v>65.0</v>
      </c>
      <c r="F210" s="664">
        <v>75.0</v>
      </c>
      <c r="G210" s="665">
        <v>105.0</v>
      </c>
      <c r="H210" s="666">
        <v>35.0</v>
      </c>
      <c r="I210" s="667">
        <v>65.0</v>
      </c>
      <c r="J210" s="668">
        <v>85.0</v>
      </c>
      <c r="K210" s="669">
        <v>430.0</v>
      </c>
      <c r="L210" s="670">
        <v>65.0</v>
      </c>
      <c r="M210" s="664">
        <v>75.0</v>
      </c>
      <c r="N210" s="665">
        <v>105.0</v>
      </c>
      <c r="O210" s="666">
        <v>35.0</v>
      </c>
      <c r="P210" s="667">
        <v>65.0</v>
      </c>
      <c r="Q210" s="668">
        <v>85.0</v>
      </c>
      <c r="R210" s="671">
        <v>430.0</v>
      </c>
      <c r="S210" s="672">
        <v>65.0</v>
      </c>
      <c r="T210" s="664">
        <v>75.0</v>
      </c>
      <c r="U210" s="665">
        <v>105.0</v>
      </c>
      <c r="V210" s="666">
        <v>35.0</v>
      </c>
      <c r="W210" s="667">
        <v>65.0</v>
      </c>
      <c r="X210" s="668">
        <v>85.0</v>
      </c>
      <c r="Y210" s="671">
        <f t="shared" si="1"/>
        <v>430</v>
      </c>
      <c r="Z210" s="571"/>
      <c r="AA210" s="673" t="str">
        <f t="shared" si="2"/>
        <v>#NAME?</v>
      </c>
      <c r="AB210" s="674" t="s">
        <v>79</v>
      </c>
      <c r="AC210" s="675" t="str">
        <f t="shared" si="3"/>
        <v>#NAME?</v>
      </c>
      <c r="AD210" s="673" t="s">
        <v>18</v>
      </c>
      <c r="AE210" s="676" t="str">
        <f t="shared" si="4"/>
        <v>#NAME?</v>
      </c>
      <c r="AF210" s="674" t="s">
        <v>79</v>
      </c>
      <c r="AG210" s="675" t="str">
        <f t="shared" si="5"/>
        <v>#NAME?</v>
      </c>
      <c r="AH210" s="586" t="s">
        <v>18</v>
      </c>
      <c r="AI210" s="677" t="str">
        <f t="shared" si="6"/>
        <v>#NAME?</v>
      </c>
      <c r="AJ210" s="586" t="s">
        <v>79</v>
      </c>
      <c r="AK210" s="584" t="str">
        <f t="shared" si="7"/>
        <v>#NAME?</v>
      </c>
      <c r="AL210" s="678" t="s">
        <v>18</v>
      </c>
      <c r="AM210" s="571"/>
      <c r="AN210" s="679" t="s">
        <v>1050</v>
      </c>
      <c r="AO210" s="680" t="s">
        <v>376</v>
      </c>
      <c r="AP210" s="715" t="s">
        <v>2005</v>
      </c>
      <c r="AQ210" s="776" t="s">
        <v>1050</v>
      </c>
      <c r="AR210" s="717" t="s">
        <v>2005</v>
      </c>
      <c r="AS210" s="772" t="s">
        <v>1050</v>
      </c>
      <c r="AT210" s="595"/>
      <c r="AU210" s="685"/>
      <c r="AV210" s="686"/>
      <c r="AW210" s="687"/>
      <c r="AX210" s="688"/>
      <c r="AY210" s="571"/>
      <c r="AZ210" s="695" t="s">
        <v>101</v>
      </c>
      <c r="BA210" s="700"/>
      <c r="BB210" s="690"/>
      <c r="BC210" s="571"/>
      <c r="BD210" s="651" t="s">
        <v>15</v>
      </c>
      <c r="BE210" s="653">
        <v>108.0</v>
      </c>
      <c r="BF210" s="653">
        <v>60.0</v>
      </c>
      <c r="BG210" s="654">
        <v>70.0</v>
      </c>
      <c r="BH210" s="653">
        <v>80.0</v>
      </c>
      <c r="BI210" s="607"/>
      <c r="BJ210" s="655" t="s">
        <v>149</v>
      </c>
      <c r="BK210" s="703" t="s">
        <v>149</v>
      </c>
      <c r="BL210" s="610"/>
      <c r="BM210" s="657" t="s">
        <v>109</v>
      </c>
      <c r="BN210" s="704"/>
      <c r="BO210" s="607"/>
      <c r="BP210" s="659" t="s">
        <v>2007</v>
      </c>
      <c r="BQ210" s="614"/>
      <c r="BR210" s="660" t="s">
        <v>4434</v>
      </c>
      <c r="BS210" s="614"/>
    </row>
    <row r="211" ht="15.75" customHeight="1">
      <c r="A211" s="841"/>
      <c r="B211" s="617" t="s">
        <v>2012</v>
      </c>
      <c r="C211" s="618"/>
      <c r="D211" s="619"/>
      <c r="E211" s="629">
        <v>75.0</v>
      </c>
      <c r="F211" s="621">
        <v>85.0</v>
      </c>
      <c r="G211" s="622">
        <v>200.0</v>
      </c>
      <c r="H211" s="748">
        <v>55.0</v>
      </c>
      <c r="I211" s="624">
        <v>65.0</v>
      </c>
      <c r="J211" s="625">
        <v>30.0</v>
      </c>
      <c r="K211" s="749">
        <v>510.0</v>
      </c>
      <c r="L211" s="627">
        <v>75.0</v>
      </c>
      <c r="M211" s="621">
        <v>85.0</v>
      </c>
      <c r="N211" s="622">
        <v>200.0</v>
      </c>
      <c r="O211" s="623">
        <v>55.0</v>
      </c>
      <c r="P211" s="624">
        <v>65.0</v>
      </c>
      <c r="Q211" s="625">
        <v>30.0</v>
      </c>
      <c r="R211" s="628">
        <v>510.0</v>
      </c>
      <c r="S211" s="629">
        <v>75.0</v>
      </c>
      <c r="T211" s="750">
        <v>105.0</v>
      </c>
      <c r="U211" s="622">
        <v>200.0</v>
      </c>
      <c r="V211" s="748">
        <v>45.0</v>
      </c>
      <c r="W211" s="624">
        <v>65.0</v>
      </c>
      <c r="X211" s="625">
        <v>30.0</v>
      </c>
      <c r="Y211" s="628">
        <f t="shared" si="1"/>
        <v>520</v>
      </c>
      <c r="Z211" s="619"/>
      <c r="AA211" s="630" t="str">
        <f t="shared" si="2"/>
        <v>#NAME?</v>
      </c>
      <c r="AB211" s="631" t="s">
        <v>95</v>
      </c>
      <c r="AC211" s="632" t="str">
        <f t="shared" si="3"/>
        <v>#NAME?</v>
      </c>
      <c r="AD211" s="630" t="s">
        <v>79</v>
      </c>
      <c r="AE211" s="633" t="str">
        <f t="shared" si="4"/>
        <v>#NAME?</v>
      </c>
      <c r="AF211" s="631" t="s">
        <v>95</v>
      </c>
      <c r="AG211" s="632" t="str">
        <f t="shared" si="5"/>
        <v>#NAME?</v>
      </c>
      <c r="AH211" s="634" t="s">
        <v>79</v>
      </c>
      <c r="AI211" s="635" t="str">
        <f t="shared" si="6"/>
        <v>#NAME?</v>
      </c>
      <c r="AJ211" s="634" t="s">
        <v>95</v>
      </c>
      <c r="AK211" s="636" t="str">
        <f t="shared" si="7"/>
        <v>#NAME?</v>
      </c>
      <c r="AL211" s="637" t="s">
        <v>79</v>
      </c>
      <c r="AM211" s="619"/>
      <c r="AN211" s="638" t="s">
        <v>824</v>
      </c>
      <c r="AO211" s="639" t="s">
        <v>825</v>
      </c>
      <c r="AP211" s="712" t="s">
        <v>824</v>
      </c>
      <c r="AQ211" s="639" t="s">
        <v>825</v>
      </c>
      <c r="AR211" s="712" t="s">
        <v>824</v>
      </c>
      <c r="AS211" s="639" t="s">
        <v>825</v>
      </c>
      <c r="AT211" s="644"/>
      <c r="AU211" s="645" t="str">
        <f>image("https://www.pokebip.com/pages/icones/objets/peau-metal.png", 3)</f>
        <v/>
      </c>
      <c r="AV211" s="646" t="s">
        <v>892</v>
      </c>
      <c r="AW211" s="692"/>
      <c r="AX211" s="693"/>
      <c r="AY211" s="619"/>
      <c r="AZ211" s="698" t="s">
        <v>162</v>
      </c>
      <c r="BA211" s="690"/>
      <c r="BB211" s="650"/>
      <c r="BC211" s="619"/>
      <c r="BD211" s="651" t="s">
        <v>150</v>
      </c>
      <c r="BE211" s="653">
        <v>196.0</v>
      </c>
      <c r="BF211" s="653">
        <v>25.0</v>
      </c>
      <c r="BG211" s="654">
        <v>70.0</v>
      </c>
      <c r="BH211" s="653">
        <v>120.0</v>
      </c>
      <c r="BI211" s="607"/>
      <c r="BJ211" s="655" t="s">
        <v>149</v>
      </c>
      <c r="BK211" s="703" t="s">
        <v>149</v>
      </c>
      <c r="BL211" s="610"/>
      <c r="BM211" s="657" t="s">
        <v>826</v>
      </c>
      <c r="BN211" s="704"/>
      <c r="BO211" s="607"/>
      <c r="BP211" s="659" t="s">
        <v>4460</v>
      </c>
      <c r="BQ211" s="614"/>
      <c r="BR211" s="660" t="s">
        <v>4437</v>
      </c>
      <c r="BS211" s="614"/>
    </row>
    <row r="212" ht="15.75" customHeight="1">
      <c r="A212" s="841"/>
      <c r="B212" s="661" t="s">
        <v>2023</v>
      </c>
      <c r="C212" s="662"/>
      <c r="D212" s="571"/>
      <c r="E212" s="672">
        <v>60.0</v>
      </c>
      <c r="F212" s="664">
        <v>80.0</v>
      </c>
      <c r="G212" s="665">
        <v>50.0</v>
      </c>
      <c r="H212" s="666">
        <v>40.0</v>
      </c>
      <c r="I212" s="667">
        <v>40.0</v>
      </c>
      <c r="J212" s="668">
        <v>30.0</v>
      </c>
      <c r="K212" s="669">
        <v>300.0</v>
      </c>
      <c r="L212" s="670">
        <v>60.0</v>
      </c>
      <c r="M212" s="664">
        <v>80.0</v>
      </c>
      <c r="N212" s="665">
        <v>50.0</v>
      </c>
      <c r="O212" s="666">
        <v>40.0</v>
      </c>
      <c r="P212" s="667">
        <v>40.0</v>
      </c>
      <c r="Q212" s="668">
        <v>30.0</v>
      </c>
      <c r="R212" s="671">
        <v>300.0</v>
      </c>
      <c r="S212" s="672">
        <v>60.0</v>
      </c>
      <c r="T212" s="664">
        <v>80.0</v>
      </c>
      <c r="U212" s="665">
        <v>50.0</v>
      </c>
      <c r="V212" s="666">
        <v>40.0</v>
      </c>
      <c r="W212" s="667">
        <v>40.0</v>
      </c>
      <c r="X212" s="668">
        <v>30.0</v>
      </c>
      <c r="Y212" s="671">
        <f t="shared" si="1"/>
        <v>300</v>
      </c>
      <c r="Z212" s="571"/>
      <c r="AA212" s="673" t="str">
        <f t="shared" si="2"/>
        <v>#NAME?</v>
      </c>
      <c r="AB212" s="674" t="s">
        <v>156</v>
      </c>
      <c r="AC212" s="675" t="str">
        <f t="shared" si="3"/>
        <v>#NAME?</v>
      </c>
      <c r="AD212" s="680" t="s">
        <v>4428</v>
      </c>
      <c r="AE212" s="726" t="str">
        <f t="shared" si="4"/>
        <v>#NAME?</v>
      </c>
      <c r="AF212" s="727" t="s">
        <v>3017</v>
      </c>
      <c r="AG212" s="675" t="str">
        <f t="shared" si="5"/>
        <v>#NAME?</v>
      </c>
      <c r="AH212" s="586" t="s">
        <v>4428</v>
      </c>
      <c r="AI212" s="728" t="str">
        <f t="shared" si="6"/>
        <v>#NAME?</v>
      </c>
      <c r="AJ212" s="729" t="s">
        <v>3017</v>
      </c>
      <c r="AK212" s="584" t="str">
        <f t="shared" si="7"/>
        <v>#NAME?</v>
      </c>
      <c r="AL212" s="678" t="s">
        <v>4428</v>
      </c>
      <c r="AM212" s="571"/>
      <c r="AN212" s="679" t="s">
        <v>326</v>
      </c>
      <c r="AO212" s="680" t="s">
        <v>146</v>
      </c>
      <c r="AP212" s="705" t="s">
        <v>326</v>
      </c>
      <c r="AQ212" s="680" t="s">
        <v>146</v>
      </c>
      <c r="AR212" s="705" t="s">
        <v>326</v>
      </c>
      <c r="AS212" s="680" t="s">
        <v>146</v>
      </c>
      <c r="AT212" s="595"/>
      <c r="AU212" s="685"/>
      <c r="AV212" s="686"/>
      <c r="AW212" s="687"/>
      <c r="AX212" s="688"/>
      <c r="AY212" s="571"/>
      <c r="AZ212" s="695" t="s">
        <v>325</v>
      </c>
      <c r="BA212" s="700"/>
      <c r="BB212" s="690"/>
      <c r="BC212" s="571"/>
      <c r="BD212" s="651" t="s">
        <v>468</v>
      </c>
      <c r="BE212" s="653">
        <v>63.0</v>
      </c>
      <c r="BF212" s="653">
        <v>190.0</v>
      </c>
      <c r="BG212" s="654">
        <v>70.0</v>
      </c>
      <c r="BH212" s="653">
        <v>20.0</v>
      </c>
      <c r="BI212" s="607"/>
      <c r="BJ212" s="655" t="s">
        <v>466</v>
      </c>
      <c r="BK212" s="656">
        <v>0.75</v>
      </c>
      <c r="BL212" s="610"/>
      <c r="BM212" s="657" t="s">
        <v>277</v>
      </c>
      <c r="BN212" s="658" t="s">
        <v>153</v>
      </c>
      <c r="BO212" s="607"/>
      <c r="BP212" s="659" t="s">
        <v>2026</v>
      </c>
      <c r="BQ212" s="614"/>
      <c r="BR212" s="660" t="s">
        <v>4435</v>
      </c>
      <c r="BS212" s="614"/>
    </row>
    <row r="213" ht="15.75" customHeight="1">
      <c r="A213" s="841"/>
      <c r="B213" s="617" t="s">
        <v>2030</v>
      </c>
      <c r="C213" s="618"/>
      <c r="D213" s="619"/>
      <c r="E213" s="629">
        <v>90.0</v>
      </c>
      <c r="F213" s="621">
        <v>120.0</v>
      </c>
      <c r="G213" s="622">
        <v>75.0</v>
      </c>
      <c r="H213" s="623">
        <v>60.0</v>
      </c>
      <c r="I213" s="624">
        <v>60.0</v>
      </c>
      <c r="J213" s="625">
        <v>45.0</v>
      </c>
      <c r="K213" s="626">
        <v>450.0</v>
      </c>
      <c r="L213" s="627">
        <v>90.0</v>
      </c>
      <c r="M213" s="621">
        <v>120.0</v>
      </c>
      <c r="N213" s="622">
        <v>75.0</v>
      </c>
      <c r="O213" s="623">
        <v>60.0</v>
      </c>
      <c r="P213" s="624">
        <v>60.0</v>
      </c>
      <c r="Q213" s="625">
        <v>45.0</v>
      </c>
      <c r="R213" s="628">
        <v>450.0</v>
      </c>
      <c r="S213" s="629">
        <v>90.0</v>
      </c>
      <c r="T213" s="621">
        <v>120.0</v>
      </c>
      <c r="U213" s="622">
        <v>75.0</v>
      </c>
      <c r="V213" s="623">
        <v>60.0</v>
      </c>
      <c r="W213" s="624">
        <v>60.0</v>
      </c>
      <c r="X213" s="625">
        <v>45.0</v>
      </c>
      <c r="Y213" s="628">
        <f t="shared" si="1"/>
        <v>450</v>
      </c>
      <c r="Z213" s="619"/>
      <c r="AA213" s="630" t="str">
        <f t="shared" si="2"/>
        <v>#NAME?</v>
      </c>
      <c r="AB213" s="631" t="s">
        <v>156</v>
      </c>
      <c r="AC213" s="632" t="str">
        <f t="shared" si="3"/>
        <v>#NAME?</v>
      </c>
      <c r="AD213" s="639" t="s">
        <v>4428</v>
      </c>
      <c r="AE213" s="730" t="str">
        <f t="shared" si="4"/>
        <v>#NAME?</v>
      </c>
      <c r="AF213" s="731" t="s">
        <v>3017</v>
      </c>
      <c r="AG213" s="632" t="str">
        <f t="shared" si="5"/>
        <v>#NAME?</v>
      </c>
      <c r="AH213" s="634" t="s">
        <v>4428</v>
      </c>
      <c r="AI213" s="732" t="str">
        <f t="shared" si="6"/>
        <v>#NAME?</v>
      </c>
      <c r="AJ213" s="733" t="s">
        <v>3017</v>
      </c>
      <c r="AK213" s="636" t="str">
        <f t="shared" si="7"/>
        <v>#NAME?</v>
      </c>
      <c r="AL213" s="637" t="s">
        <v>4428</v>
      </c>
      <c r="AM213" s="619"/>
      <c r="AN213" s="638" t="s">
        <v>326</v>
      </c>
      <c r="AO213" s="639" t="s">
        <v>2033</v>
      </c>
      <c r="AP213" s="712" t="s">
        <v>326</v>
      </c>
      <c r="AQ213" s="639" t="s">
        <v>2033</v>
      </c>
      <c r="AR213" s="712" t="s">
        <v>326</v>
      </c>
      <c r="AS213" s="639" t="s">
        <v>2033</v>
      </c>
      <c r="AT213" s="644"/>
      <c r="AU213" s="645"/>
      <c r="AV213" s="646"/>
      <c r="AW213" s="692"/>
      <c r="AX213" s="693"/>
      <c r="AY213" s="619"/>
      <c r="AZ213" s="698" t="s">
        <v>216</v>
      </c>
      <c r="BA213" s="690"/>
      <c r="BB213" s="650"/>
      <c r="BC213" s="619"/>
      <c r="BD213" s="651" t="s">
        <v>468</v>
      </c>
      <c r="BE213" s="653">
        <v>178.0</v>
      </c>
      <c r="BF213" s="653">
        <v>75.0</v>
      </c>
      <c r="BG213" s="654">
        <v>70.0</v>
      </c>
      <c r="BH213" s="653">
        <v>60.0</v>
      </c>
      <c r="BI213" s="607"/>
      <c r="BJ213" s="655" t="s">
        <v>466</v>
      </c>
      <c r="BK213" s="656">
        <v>0.75</v>
      </c>
      <c r="BL213" s="610"/>
      <c r="BM213" s="657" t="s">
        <v>277</v>
      </c>
      <c r="BN213" s="658" t="s">
        <v>153</v>
      </c>
      <c r="BO213" s="607"/>
      <c r="BP213" s="659" t="s">
        <v>2035</v>
      </c>
      <c r="BQ213" s="614"/>
      <c r="BR213" s="660" t="s">
        <v>4434</v>
      </c>
      <c r="BS213" s="614"/>
    </row>
    <row r="214" ht="15.75" customHeight="1">
      <c r="A214" s="841"/>
      <c r="B214" s="661" t="s">
        <v>2039</v>
      </c>
      <c r="C214" s="662"/>
      <c r="D214" s="571"/>
      <c r="E214" s="672">
        <v>65.0</v>
      </c>
      <c r="F214" s="664">
        <v>95.0</v>
      </c>
      <c r="G214" s="665">
        <v>75.0</v>
      </c>
      <c r="H214" s="666">
        <v>55.0</v>
      </c>
      <c r="I214" s="667">
        <v>55.0</v>
      </c>
      <c r="J214" s="668">
        <v>85.0</v>
      </c>
      <c r="K214" s="669">
        <v>430.0</v>
      </c>
      <c r="L214" s="670">
        <v>65.0</v>
      </c>
      <c r="M214" s="664">
        <v>95.0</v>
      </c>
      <c r="N214" s="665">
        <v>85.0</v>
      </c>
      <c r="O214" s="666">
        <v>55.0</v>
      </c>
      <c r="P214" s="667">
        <v>55.0</v>
      </c>
      <c r="Q214" s="668">
        <v>85.0</v>
      </c>
      <c r="R214" s="671">
        <v>440.0</v>
      </c>
      <c r="S214" s="672">
        <v>65.0</v>
      </c>
      <c r="T214" s="664">
        <v>95.0</v>
      </c>
      <c r="U214" s="742">
        <v>95.0</v>
      </c>
      <c r="V214" s="743">
        <v>45.0</v>
      </c>
      <c r="W214" s="667">
        <v>55.0</v>
      </c>
      <c r="X214" s="745">
        <v>95.0</v>
      </c>
      <c r="Y214" s="671">
        <f t="shared" si="1"/>
        <v>450</v>
      </c>
      <c r="Z214" s="571"/>
      <c r="AA214" s="673" t="str">
        <f t="shared" si="2"/>
        <v>#NAME?</v>
      </c>
      <c r="AB214" s="674" t="s">
        <v>32</v>
      </c>
      <c r="AC214" s="675" t="str">
        <f t="shared" si="3"/>
        <v>#NAME?</v>
      </c>
      <c r="AD214" s="673" t="s">
        <v>7</v>
      </c>
      <c r="AE214" s="676" t="str">
        <f t="shared" si="4"/>
        <v>#NAME?</v>
      </c>
      <c r="AF214" s="674" t="s">
        <v>32</v>
      </c>
      <c r="AG214" s="675" t="str">
        <f t="shared" si="5"/>
        <v>#NAME?</v>
      </c>
      <c r="AH214" s="586" t="s">
        <v>7</v>
      </c>
      <c r="AI214" s="677" t="str">
        <f t="shared" si="6"/>
        <v>#NAME?</v>
      </c>
      <c r="AJ214" s="586" t="s">
        <v>32</v>
      </c>
      <c r="AK214" s="584" t="str">
        <f t="shared" si="7"/>
        <v>#NAME?</v>
      </c>
      <c r="AL214" s="678" t="s">
        <v>7</v>
      </c>
      <c r="AM214" s="571"/>
      <c r="AN214" s="679" t="s">
        <v>394</v>
      </c>
      <c r="AO214" s="680" t="s">
        <v>1212</v>
      </c>
      <c r="AP214" s="705" t="s">
        <v>394</v>
      </c>
      <c r="AQ214" s="680" t="s">
        <v>1212</v>
      </c>
      <c r="AR214" s="705" t="s">
        <v>394</v>
      </c>
      <c r="AS214" s="680" t="s">
        <v>1212</v>
      </c>
      <c r="AT214" s="595"/>
      <c r="AU214" s="685" t="str">
        <f>image("https://www.pokebip.com/pages/icones/objets/pic-venin.png", 3)</f>
        <v/>
      </c>
      <c r="AV214" s="686" t="s">
        <v>223</v>
      </c>
      <c r="AW214" s="687"/>
      <c r="AX214" s="688"/>
      <c r="AY214" s="571"/>
      <c r="AZ214" s="695" t="s">
        <v>325</v>
      </c>
      <c r="BA214" s="700"/>
      <c r="BB214" s="690"/>
      <c r="BC214" s="571"/>
      <c r="BD214" s="651" t="s">
        <v>150</v>
      </c>
      <c r="BE214" s="653">
        <v>100.0</v>
      </c>
      <c r="BF214" s="653">
        <v>45.0</v>
      </c>
      <c r="BG214" s="654">
        <v>70.0</v>
      </c>
      <c r="BH214" s="653">
        <v>20.0</v>
      </c>
      <c r="BI214" s="607"/>
      <c r="BJ214" s="655" t="s">
        <v>149</v>
      </c>
      <c r="BK214" s="703" t="s">
        <v>149</v>
      </c>
      <c r="BL214" s="610"/>
      <c r="BM214" s="657" t="s">
        <v>1236</v>
      </c>
      <c r="BN214" s="704"/>
      <c r="BO214" s="607"/>
      <c r="BP214" s="659" t="s">
        <v>914</v>
      </c>
      <c r="BQ214" s="614"/>
      <c r="BR214" s="660" t="s">
        <v>4437</v>
      </c>
      <c r="BS214" s="614"/>
    </row>
    <row r="215" ht="15.75" customHeight="1">
      <c r="A215" s="841"/>
      <c r="B215" s="617" t="s">
        <v>2046</v>
      </c>
      <c r="C215" s="618"/>
      <c r="D215" s="619"/>
      <c r="E215" s="629">
        <v>70.0</v>
      </c>
      <c r="F215" s="750">
        <v>130.0</v>
      </c>
      <c r="G215" s="622">
        <v>100.0</v>
      </c>
      <c r="H215" s="623">
        <v>55.0</v>
      </c>
      <c r="I215" s="624">
        <v>80.0</v>
      </c>
      <c r="J215" s="625">
        <v>65.0</v>
      </c>
      <c r="K215" s="749">
        <v>500.0</v>
      </c>
      <c r="L215" s="627">
        <v>70.0</v>
      </c>
      <c r="M215" s="621">
        <v>130.0</v>
      </c>
      <c r="N215" s="622">
        <v>100.0</v>
      </c>
      <c r="O215" s="623">
        <v>55.0</v>
      </c>
      <c r="P215" s="624">
        <v>80.0</v>
      </c>
      <c r="Q215" s="625">
        <v>65.0</v>
      </c>
      <c r="R215" s="628">
        <v>500.0</v>
      </c>
      <c r="S215" s="629">
        <v>70.0</v>
      </c>
      <c r="T215" s="621">
        <v>130.0</v>
      </c>
      <c r="U215" s="622">
        <v>100.0</v>
      </c>
      <c r="V215" s="623">
        <v>55.0</v>
      </c>
      <c r="W215" s="624">
        <v>80.0</v>
      </c>
      <c r="X215" s="625">
        <v>65.0</v>
      </c>
      <c r="Y215" s="628">
        <f t="shared" si="1"/>
        <v>500</v>
      </c>
      <c r="Z215" s="619"/>
      <c r="AA215" s="630" t="str">
        <f t="shared" si="2"/>
        <v>#NAME?</v>
      </c>
      <c r="AB215" s="631" t="s">
        <v>109</v>
      </c>
      <c r="AC215" s="632" t="str">
        <f t="shared" si="3"/>
        <v>#NAME?</v>
      </c>
      <c r="AD215" s="630" t="s">
        <v>95</v>
      </c>
      <c r="AE215" s="633" t="str">
        <f t="shared" si="4"/>
        <v>#NAME?</v>
      </c>
      <c r="AF215" s="631" t="s">
        <v>109</v>
      </c>
      <c r="AG215" s="632" t="str">
        <f t="shared" si="5"/>
        <v>#NAME?</v>
      </c>
      <c r="AH215" s="634" t="s">
        <v>95</v>
      </c>
      <c r="AI215" s="635" t="str">
        <f t="shared" si="6"/>
        <v>#NAME?</v>
      </c>
      <c r="AJ215" s="634" t="s">
        <v>109</v>
      </c>
      <c r="AK215" s="636" t="str">
        <f t="shared" si="7"/>
        <v>#NAME?</v>
      </c>
      <c r="AL215" s="637" t="s">
        <v>95</v>
      </c>
      <c r="AM215" s="619"/>
      <c r="AN215" s="638" t="s">
        <v>217</v>
      </c>
      <c r="AO215" s="639" t="s">
        <v>627</v>
      </c>
      <c r="AP215" s="854" t="s">
        <v>2049</v>
      </c>
      <c r="AQ215" s="855" t="s">
        <v>217</v>
      </c>
      <c r="AR215" s="856" t="s">
        <v>2050</v>
      </c>
      <c r="AS215" s="857" t="s">
        <v>217</v>
      </c>
      <c r="AT215" s="644"/>
      <c r="AU215" s="645"/>
      <c r="AV215" s="646"/>
      <c r="AW215" s="692"/>
      <c r="AX215" s="693"/>
      <c r="AY215" s="619"/>
      <c r="AZ215" s="698" t="s">
        <v>216</v>
      </c>
      <c r="BA215" s="690"/>
      <c r="BB215" s="650"/>
      <c r="BC215" s="619"/>
      <c r="BD215" s="651" t="s">
        <v>150</v>
      </c>
      <c r="BE215" s="653">
        <v>200.0</v>
      </c>
      <c r="BF215" s="653">
        <v>25.0</v>
      </c>
      <c r="BG215" s="654">
        <v>70.0</v>
      </c>
      <c r="BH215" s="653">
        <v>100.0</v>
      </c>
      <c r="BI215" s="607"/>
      <c r="BJ215" s="655" t="s">
        <v>149</v>
      </c>
      <c r="BK215" s="703" t="s">
        <v>149</v>
      </c>
      <c r="BL215" s="610"/>
      <c r="BM215" s="657" t="s">
        <v>109</v>
      </c>
      <c r="BN215" s="704"/>
      <c r="BO215" s="607"/>
      <c r="BP215" s="659" t="s">
        <v>4461</v>
      </c>
      <c r="BQ215" s="614"/>
      <c r="BR215" s="660" t="s">
        <v>4429</v>
      </c>
      <c r="BS215" s="614"/>
    </row>
    <row r="216" ht="15.75" customHeight="1">
      <c r="A216" s="841"/>
      <c r="B216" s="661" t="s">
        <v>2056</v>
      </c>
      <c r="C216" s="662"/>
      <c r="D216" s="571"/>
      <c r="E216" s="672">
        <v>20.0</v>
      </c>
      <c r="F216" s="664">
        <v>10.0</v>
      </c>
      <c r="G216" s="665">
        <v>230.0</v>
      </c>
      <c r="H216" s="666">
        <v>10.0</v>
      </c>
      <c r="I216" s="667">
        <v>230.0</v>
      </c>
      <c r="J216" s="668">
        <v>5.0</v>
      </c>
      <c r="K216" s="669">
        <v>505.0</v>
      </c>
      <c r="L216" s="670">
        <v>20.0</v>
      </c>
      <c r="M216" s="664">
        <v>10.0</v>
      </c>
      <c r="N216" s="665">
        <v>230.0</v>
      </c>
      <c r="O216" s="666">
        <v>10.0</v>
      </c>
      <c r="P216" s="667">
        <v>230.0</v>
      </c>
      <c r="Q216" s="668">
        <v>5.0</v>
      </c>
      <c r="R216" s="671">
        <v>505.0</v>
      </c>
      <c r="S216" s="672">
        <v>20.0</v>
      </c>
      <c r="T216" s="664">
        <v>10.0</v>
      </c>
      <c r="U216" s="665">
        <v>230.0</v>
      </c>
      <c r="V216" s="666">
        <v>10.0</v>
      </c>
      <c r="W216" s="667">
        <v>230.0</v>
      </c>
      <c r="X216" s="668">
        <v>5.0</v>
      </c>
      <c r="Y216" s="671">
        <f t="shared" si="1"/>
        <v>505</v>
      </c>
      <c r="Z216" s="571"/>
      <c r="AA216" s="673" t="str">
        <f t="shared" si="2"/>
        <v>#NAME?</v>
      </c>
      <c r="AB216" s="674" t="s">
        <v>109</v>
      </c>
      <c r="AC216" s="675" t="str">
        <f t="shared" si="3"/>
        <v>#NAME?</v>
      </c>
      <c r="AD216" s="673" t="s">
        <v>66</v>
      </c>
      <c r="AE216" s="676" t="str">
        <f t="shared" si="4"/>
        <v>#NAME?</v>
      </c>
      <c r="AF216" s="674" t="s">
        <v>109</v>
      </c>
      <c r="AG216" s="675" t="str">
        <f t="shared" si="5"/>
        <v>#NAME?</v>
      </c>
      <c r="AH216" s="586" t="s">
        <v>66</v>
      </c>
      <c r="AI216" s="677" t="str">
        <f t="shared" si="6"/>
        <v>#NAME?</v>
      </c>
      <c r="AJ216" s="586" t="s">
        <v>109</v>
      </c>
      <c r="AK216" s="584" t="str">
        <f t="shared" si="7"/>
        <v>#NAME?</v>
      </c>
      <c r="AL216" s="678" t="s">
        <v>66</v>
      </c>
      <c r="AM216" s="571"/>
      <c r="AN216" s="679" t="s">
        <v>825</v>
      </c>
      <c r="AO216" s="680" t="s">
        <v>778</v>
      </c>
      <c r="AP216" s="705" t="s">
        <v>825</v>
      </c>
      <c r="AQ216" s="680" t="s">
        <v>778</v>
      </c>
      <c r="AR216" s="705" t="s">
        <v>825</v>
      </c>
      <c r="AS216" s="680" t="s">
        <v>778</v>
      </c>
      <c r="AT216" s="595"/>
      <c r="AU216" s="685" t="str">
        <f>image("https://www.pokebip.com/pages/icones/objets/jus-de-baie.png", 3)</f>
        <v/>
      </c>
      <c r="AV216" s="686" t="s">
        <v>2061</v>
      </c>
      <c r="AW216" s="687"/>
      <c r="AX216" s="688"/>
      <c r="AY216" s="571"/>
      <c r="AZ216" s="695" t="s">
        <v>101</v>
      </c>
      <c r="BA216" s="691" t="s">
        <v>27</v>
      </c>
      <c r="BB216" s="696"/>
      <c r="BC216" s="571"/>
      <c r="BD216" s="651" t="s">
        <v>15</v>
      </c>
      <c r="BE216" s="653">
        <v>80.0</v>
      </c>
      <c r="BF216" s="653">
        <v>190.0</v>
      </c>
      <c r="BG216" s="654">
        <v>70.0</v>
      </c>
      <c r="BH216" s="653">
        <v>40.0</v>
      </c>
      <c r="BI216" s="607"/>
      <c r="BJ216" s="655" t="s">
        <v>149</v>
      </c>
      <c r="BK216" s="703" t="s">
        <v>149</v>
      </c>
      <c r="BL216" s="610"/>
      <c r="BM216" s="657" t="s">
        <v>109</v>
      </c>
      <c r="BN216" s="704"/>
      <c r="BO216" s="607"/>
      <c r="BP216" s="659" t="s">
        <v>914</v>
      </c>
      <c r="BQ216" s="614"/>
      <c r="BR216" s="660" t="s">
        <v>4433</v>
      </c>
      <c r="BS216" s="614"/>
    </row>
    <row r="217" ht="15.75" customHeight="1">
      <c r="A217" s="841"/>
      <c r="B217" s="617" t="s">
        <v>2065</v>
      </c>
      <c r="C217" s="618"/>
      <c r="D217" s="619"/>
      <c r="E217" s="629">
        <v>80.0</v>
      </c>
      <c r="F217" s="621">
        <v>125.0</v>
      </c>
      <c r="G217" s="622">
        <v>75.0</v>
      </c>
      <c r="H217" s="623">
        <v>40.0</v>
      </c>
      <c r="I217" s="624">
        <v>95.0</v>
      </c>
      <c r="J217" s="753">
        <v>85.0</v>
      </c>
      <c r="K217" s="749">
        <v>500.0</v>
      </c>
      <c r="L217" s="627">
        <v>80.0</v>
      </c>
      <c r="M217" s="621">
        <v>125.0</v>
      </c>
      <c r="N217" s="622">
        <v>75.0</v>
      </c>
      <c r="O217" s="623">
        <v>40.0</v>
      </c>
      <c r="P217" s="624">
        <v>95.0</v>
      </c>
      <c r="Q217" s="625">
        <v>85.0</v>
      </c>
      <c r="R217" s="628">
        <v>500.0</v>
      </c>
      <c r="S217" s="629">
        <v>80.0</v>
      </c>
      <c r="T217" s="621">
        <v>125.0</v>
      </c>
      <c r="U217" s="622">
        <v>75.0</v>
      </c>
      <c r="V217" s="623">
        <v>40.0</v>
      </c>
      <c r="W217" s="624">
        <v>95.0</v>
      </c>
      <c r="X217" s="625">
        <v>85.0</v>
      </c>
      <c r="Y217" s="628">
        <f t="shared" si="1"/>
        <v>500</v>
      </c>
      <c r="Z217" s="619"/>
      <c r="AA217" s="630" t="str">
        <f t="shared" si="2"/>
        <v>#NAME?</v>
      </c>
      <c r="AB217" s="631" t="s">
        <v>109</v>
      </c>
      <c r="AC217" s="632" t="str">
        <f t="shared" si="3"/>
        <v>#NAME?</v>
      </c>
      <c r="AD217" s="630" t="s">
        <v>64</v>
      </c>
      <c r="AE217" s="633" t="str">
        <f t="shared" si="4"/>
        <v>#NAME?</v>
      </c>
      <c r="AF217" s="631" t="s">
        <v>109</v>
      </c>
      <c r="AG217" s="632" t="str">
        <f t="shared" si="5"/>
        <v>#NAME?</v>
      </c>
      <c r="AH217" s="634" t="s">
        <v>64</v>
      </c>
      <c r="AI217" s="635" t="str">
        <f t="shared" si="6"/>
        <v>#NAME?</v>
      </c>
      <c r="AJ217" s="634" t="s">
        <v>109</v>
      </c>
      <c r="AK217" s="636" t="str">
        <f t="shared" si="7"/>
        <v>#NAME?</v>
      </c>
      <c r="AL217" s="637" t="s">
        <v>64</v>
      </c>
      <c r="AM217" s="619"/>
      <c r="AN217" s="638" t="s">
        <v>217</v>
      </c>
      <c r="AO217" s="639" t="s">
        <v>273</v>
      </c>
      <c r="AP217" s="854" t="s">
        <v>2069</v>
      </c>
      <c r="AQ217" s="855" t="s">
        <v>217</v>
      </c>
      <c r="AR217" s="709" t="s">
        <v>2070</v>
      </c>
      <c r="AS217" s="758" t="s">
        <v>2071</v>
      </c>
      <c r="AT217" s="644"/>
      <c r="AU217" s="645"/>
      <c r="AV217" s="646"/>
      <c r="AW217" s="692"/>
      <c r="AX217" s="693"/>
      <c r="AY217" s="619"/>
      <c r="AZ217" s="698" t="s">
        <v>216</v>
      </c>
      <c r="BA217" s="690"/>
      <c r="BB217" s="650"/>
      <c r="BC217" s="619"/>
      <c r="BD217" s="651" t="s">
        <v>683</v>
      </c>
      <c r="BE217" s="653">
        <v>200.0</v>
      </c>
      <c r="BF217" s="653">
        <v>45.0</v>
      </c>
      <c r="BG217" s="654">
        <v>70.0</v>
      </c>
      <c r="BH217" s="653">
        <v>80.0</v>
      </c>
      <c r="BI217" s="607"/>
      <c r="BJ217" s="655" t="s">
        <v>149</v>
      </c>
      <c r="BK217" s="703" t="s">
        <v>149</v>
      </c>
      <c r="BL217" s="610"/>
      <c r="BM217" s="657" t="s">
        <v>109</v>
      </c>
      <c r="BN217" s="704"/>
      <c r="BO217" s="607"/>
      <c r="BP217" s="659" t="s">
        <v>914</v>
      </c>
      <c r="BQ217" s="614"/>
      <c r="BR217" s="660" t="s">
        <v>4430</v>
      </c>
      <c r="BS217" s="614"/>
    </row>
    <row r="218" ht="15.75" customHeight="1">
      <c r="A218" s="841"/>
      <c r="B218" s="661" t="s">
        <v>2075</v>
      </c>
      <c r="C218" s="662"/>
      <c r="D218" s="571"/>
      <c r="E218" s="672">
        <v>55.0</v>
      </c>
      <c r="F218" s="664">
        <v>95.0</v>
      </c>
      <c r="G218" s="665">
        <v>55.0</v>
      </c>
      <c r="H218" s="666">
        <v>35.0</v>
      </c>
      <c r="I218" s="667">
        <v>75.0</v>
      </c>
      <c r="J218" s="668">
        <v>115.0</v>
      </c>
      <c r="K218" s="669">
        <v>430.0</v>
      </c>
      <c r="L218" s="670">
        <v>55.0</v>
      </c>
      <c r="M218" s="664">
        <v>95.0</v>
      </c>
      <c r="N218" s="665">
        <v>55.0</v>
      </c>
      <c r="O218" s="666">
        <v>35.0</v>
      </c>
      <c r="P218" s="667">
        <v>75.0</v>
      </c>
      <c r="Q218" s="668">
        <v>115.0</v>
      </c>
      <c r="R218" s="671">
        <v>430.0</v>
      </c>
      <c r="S218" s="672">
        <v>55.0</v>
      </c>
      <c r="T218" s="664">
        <v>95.0</v>
      </c>
      <c r="U218" s="665">
        <v>55.0</v>
      </c>
      <c r="V218" s="666">
        <v>35.0</v>
      </c>
      <c r="W218" s="667">
        <v>75.0</v>
      </c>
      <c r="X218" s="668">
        <v>115.0</v>
      </c>
      <c r="Y218" s="671">
        <f t="shared" si="1"/>
        <v>430</v>
      </c>
      <c r="Z218" s="571"/>
      <c r="AA218" s="673" t="str">
        <f t="shared" si="2"/>
        <v>#NAME?</v>
      </c>
      <c r="AB218" s="674" t="s">
        <v>76</v>
      </c>
      <c r="AC218" s="675" t="str">
        <f t="shared" si="3"/>
        <v>#NAME?</v>
      </c>
      <c r="AD218" s="673" t="s">
        <v>120</v>
      </c>
      <c r="AE218" s="676" t="str">
        <f t="shared" si="4"/>
        <v>#NAME?</v>
      </c>
      <c r="AF218" s="674" t="s">
        <v>76</v>
      </c>
      <c r="AG218" s="675" t="str">
        <f t="shared" si="5"/>
        <v>#NAME?</v>
      </c>
      <c r="AH218" s="586" t="s">
        <v>120</v>
      </c>
      <c r="AI218" s="677" t="str">
        <f t="shared" si="6"/>
        <v>#NAME?</v>
      </c>
      <c r="AJ218" s="586" t="s">
        <v>76</v>
      </c>
      <c r="AK218" s="584" t="str">
        <f t="shared" si="7"/>
        <v>#NAME?</v>
      </c>
      <c r="AL218" s="678" t="s">
        <v>120</v>
      </c>
      <c r="AM218" s="571"/>
      <c r="AN218" s="679" t="s">
        <v>530</v>
      </c>
      <c r="AO218" s="680" t="s">
        <v>235</v>
      </c>
      <c r="AP218" s="705" t="s">
        <v>530</v>
      </c>
      <c r="AQ218" s="680" t="s">
        <v>235</v>
      </c>
      <c r="AR218" s="710" t="s">
        <v>1278</v>
      </c>
      <c r="AS218" s="718" t="s">
        <v>530</v>
      </c>
      <c r="AT218" s="595"/>
      <c r="AU218" s="685" t="str">
        <f>image("https://www.pokebip.com/pages/icones/objets/vive-griffe.png", 3)</f>
        <v/>
      </c>
      <c r="AV218" s="686" t="s">
        <v>631</v>
      </c>
      <c r="AW218" s="687"/>
      <c r="AX218" s="688"/>
      <c r="AY218" s="571"/>
      <c r="AZ218" s="695" t="s">
        <v>56</v>
      </c>
      <c r="BA218" s="700"/>
      <c r="BB218" s="690"/>
      <c r="BC218" s="571"/>
      <c r="BD218" s="651" t="s">
        <v>15</v>
      </c>
      <c r="BE218" s="653">
        <v>132.0</v>
      </c>
      <c r="BF218" s="653">
        <v>60.0</v>
      </c>
      <c r="BG218" s="654">
        <v>35.0</v>
      </c>
      <c r="BH218" s="653">
        <v>60.0</v>
      </c>
      <c r="BI218" s="607"/>
      <c r="BJ218" s="655" t="s">
        <v>149</v>
      </c>
      <c r="BK218" s="703" t="s">
        <v>149</v>
      </c>
      <c r="BL218" s="610"/>
      <c r="BM218" s="657" t="s">
        <v>277</v>
      </c>
      <c r="BN218" s="704"/>
      <c r="BO218" s="607"/>
      <c r="BP218" s="659" t="s">
        <v>2079</v>
      </c>
      <c r="BQ218" s="614"/>
      <c r="BR218" s="660" t="s">
        <v>4449</v>
      </c>
      <c r="BS218" s="614"/>
    </row>
    <row r="219" ht="15.75" customHeight="1">
      <c r="A219" s="841"/>
      <c r="B219" s="617" t="s">
        <v>2083</v>
      </c>
      <c r="C219" s="618"/>
      <c r="D219" s="619"/>
      <c r="E219" s="629">
        <v>60.0</v>
      </c>
      <c r="F219" s="621">
        <v>80.0</v>
      </c>
      <c r="G219" s="622">
        <v>50.0</v>
      </c>
      <c r="H219" s="623">
        <v>50.0</v>
      </c>
      <c r="I219" s="624">
        <v>50.0</v>
      </c>
      <c r="J219" s="625">
        <v>40.0</v>
      </c>
      <c r="K219" s="626">
        <v>330.0</v>
      </c>
      <c r="L219" s="627">
        <v>60.0</v>
      </c>
      <c r="M219" s="621">
        <v>80.0</v>
      </c>
      <c r="N219" s="622">
        <v>50.0</v>
      </c>
      <c r="O219" s="623">
        <v>50.0</v>
      </c>
      <c r="P219" s="624">
        <v>50.0</v>
      </c>
      <c r="Q219" s="625">
        <v>40.0</v>
      </c>
      <c r="R219" s="628">
        <v>330.0</v>
      </c>
      <c r="S219" s="629">
        <v>60.0</v>
      </c>
      <c r="T219" s="621">
        <v>80.0</v>
      </c>
      <c r="U219" s="622">
        <v>50.0</v>
      </c>
      <c r="V219" s="623">
        <v>50.0</v>
      </c>
      <c r="W219" s="624">
        <v>50.0</v>
      </c>
      <c r="X219" s="625">
        <v>40.0</v>
      </c>
      <c r="Y219" s="628">
        <f t="shared" si="1"/>
        <v>330</v>
      </c>
      <c r="Z219" s="619"/>
      <c r="AA219" s="630" t="str">
        <f t="shared" si="2"/>
        <v>#NAME?</v>
      </c>
      <c r="AB219" s="631" t="s">
        <v>156</v>
      </c>
      <c r="AC219" s="632" t="str">
        <f t="shared" si="3"/>
        <v>#NAME?</v>
      </c>
      <c r="AD219" s="639" t="s">
        <v>4428</v>
      </c>
      <c r="AE219" s="633" t="str">
        <f t="shared" si="4"/>
        <v>#NAME?</v>
      </c>
      <c r="AF219" s="631" t="s">
        <v>156</v>
      </c>
      <c r="AG219" s="632" t="str">
        <f t="shared" si="5"/>
        <v>#NAME?</v>
      </c>
      <c r="AH219" s="634" t="s">
        <v>4428</v>
      </c>
      <c r="AI219" s="635" t="str">
        <f t="shared" si="6"/>
        <v>#NAME?</v>
      </c>
      <c r="AJ219" s="634" t="s">
        <v>156</v>
      </c>
      <c r="AK219" s="636" t="str">
        <f t="shared" si="7"/>
        <v>#NAME?</v>
      </c>
      <c r="AL219" s="637" t="s">
        <v>4428</v>
      </c>
      <c r="AM219" s="619"/>
      <c r="AN219" s="638" t="s">
        <v>626</v>
      </c>
      <c r="AO219" s="639" t="s">
        <v>2033</v>
      </c>
      <c r="AP219" s="712" t="s">
        <v>626</v>
      </c>
      <c r="AQ219" s="639" t="s">
        <v>2033</v>
      </c>
      <c r="AR219" s="712" t="s">
        <v>626</v>
      </c>
      <c r="AS219" s="639" t="s">
        <v>2033</v>
      </c>
      <c r="AT219" s="644"/>
      <c r="AU219" s="645"/>
      <c r="AV219" s="646"/>
      <c r="AW219" s="692"/>
      <c r="AX219" s="693"/>
      <c r="AY219" s="619"/>
      <c r="AZ219" s="648" t="s">
        <v>325</v>
      </c>
      <c r="BA219" s="694"/>
      <c r="BB219" s="690"/>
      <c r="BC219" s="619"/>
      <c r="BD219" s="651" t="s">
        <v>150</v>
      </c>
      <c r="BE219" s="653">
        <v>124.0</v>
      </c>
      <c r="BF219" s="653">
        <v>120.0</v>
      </c>
      <c r="BG219" s="654">
        <v>70.0</v>
      </c>
      <c r="BH219" s="653">
        <v>20.0</v>
      </c>
      <c r="BI219" s="607"/>
      <c r="BJ219" s="655" t="s">
        <v>149</v>
      </c>
      <c r="BK219" s="703" t="s">
        <v>149</v>
      </c>
      <c r="BL219" s="610"/>
      <c r="BM219" s="657" t="s">
        <v>277</v>
      </c>
      <c r="BN219" s="704"/>
      <c r="BO219" s="607"/>
      <c r="BP219" s="659" t="s">
        <v>2087</v>
      </c>
      <c r="BQ219" s="614"/>
      <c r="BR219" s="660" t="s">
        <v>4432</v>
      </c>
      <c r="BS219" s="614"/>
    </row>
    <row r="220" ht="15.75" customHeight="1">
      <c r="A220" s="841"/>
      <c r="B220" s="661" t="s">
        <v>2091</v>
      </c>
      <c r="C220" s="662"/>
      <c r="D220" s="571"/>
      <c r="E220" s="672">
        <v>90.0</v>
      </c>
      <c r="F220" s="664">
        <v>130.0</v>
      </c>
      <c r="G220" s="665">
        <v>75.0</v>
      </c>
      <c r="H220" s="666">
        <v>75.0</v>
      </c>
      <c r="I220" s="667">
        <v>75.0</v>
      </c>
      <c r="J220" s="668">
        <v>55.0</v>
      </c>
      <c r="K220" s="669">
        <v>500.0</v>
      </c>
      <c r="L220" s="670">
        <v>90.0</v>
      </c>
      <c r="M220" s="664">
        <v>130.0</v>
      </c>
      <c r="N220" s="665">
        <v>75.0</v>
      </c>
      <c r="O220" s="666">
        <v>75.0</v>
      </c>
      <c r="P220" s="667">
        <v>75.0</v>
      </c>
      <c r="Q220" s="668">
        <v>55.0</v>
      </c>
      <c r="R220" s="671">
        <v>500.0</v>
      </c>
      <c r="S220" s="672">
        <v>90.0</v>
      </c>
      <c r="T220" s="664">
        <v>130.0</v>
      </c>
      <c r="U220" s="665">
        <v>75.0</v>
      </c>
      <c r="V220" s="666">
        <v>75.0</v>
      </c>
      <c r="W220" s="667">
        <v>75.0</v>
      </c>
      <c r="X220" s="668">
        <v>55.0</v>
      </c>
      <c r="Y220" s="671">
        <f t="shared" si="1"/>
        <v>500</v>
      </c>
      <c r="Z220" s="571"/>
      <c r="AA220" s="673" t="str">
        <f t="shared" si="2"/>
        <v>#NAME?</v>
      </c>
      <c r="AB220" s="674" t="s">
        <v>156</v>
      </c>
      <c r="AC220" s="675" t="str">
        <f t="shared" si="3"/>
        <v>#NAME?</v>
      </c>
      <c r="AD220" s="680" t="s">
        <v>4428</v>
      </c>
      <c r="AE220" s="676" t="str">
        <f t="shared" si="4"/>
        <v>#NAME?</v>
      </c>
      <c r="AF220" s="674" t="s">
        <v>156</v>
      </c>
      <c r="AG220" s="675" t="str">
        <f t="shared" si="5"/>
        <v>#NAME?</v>
      </c>
      <c r="AH220" s="586" t="s">
        <v>4428</v>
      </c>
      <c r="AI220" s="677" t="str">
        <f t="shared" si="6"/>
        <v>#NAME?</v>
      </c>
      <c r="AJ220" s="586" t="s">
        <v>156</v>
      </c>
      <c r="AK220" s="584" t="str">
        <f t="shared" si="7"/>
        <v>#NAME?</v>
      </c>
      <c r="AL220" s="678" t="s">
        <v>4428</v>
      </c>
      <c r="AM220" s="571"/>
      <c r="AN220" s="679" t="s">
        <v>273</v>
      </c>
      <c r="AO220" s="680" t="s">
        <v>2033</v>
      </c>
      <c r="AP220" s="705" t="s">
        <v>273</v>
      </c>
      <c r="AQ220" s="680" t="s">
        <v>2033</v>
      </c>
      <c r="AR220" s="705" t="s">
        <v>273</v>
      </c>
      <c r="AS220" s="680" t="s">
        <v>2033</v>
      </c>
      <c r="AT220" s="595"/>
      <c r="AU220" s="685"/>
      <c r="AV220" s="686"/>
      <c r="AW220" s="687"/>
      <c r="AX220" s="688"/>
      <c r="AY220" s="571"/>
      <c r="AZ220" s="689" t="s">
        <v>216</v>
      </c>
      <c r="BA220" s="690"/>
      <c r="BB220" s="696"/>
      <c r="BC220" s="571"/>
      <c r="BD220" s="651" t="s">
        <v>150</v>
      </c>
      <c r="BE220" s="653">
        <v>189.0</v>
      </c>
      <c r="BF220" s="653">
        <v>60.0</v>
      </c>
      <c r="BG220" s="654">
        <v>70.0</v>
      </c>
      <c r="BH220" s="653">
        <v>100.0</v>
      </c>
      <c r="BI220" s="607"/>
      <c r="BJ220" s="655" t="s">
        <v>149</v>
      </c>
      <c r="BK220" s="703" t="s">
        <v>149</v>
      </c>
      <c r="BL220" s="610"/>
      <c r="BM220" s="657" t="s">
        <v>277</v>
      </c>
      <c r="BN220" s="704"/>
      <c r="BO220" s="607"/>
      <c r="BP220" s="659" t="s">
        <v>2094</v>
      </c>
      <c r="BQ220" s="614"/>
      <c r="BR220" s="660" t="s">
        <v>4432</v>
      </c>
      <c r="BS220" s="614"/>
    </row>
    <row r="221" ht="15.75" customHeight="1">
      <c r="A221" s="841"/>
      <c r="B221" s="617" t="s">
        <v>2098</v>
      </c>
      <c r="C221" s="618"/>
      <c r="D221" s="619"/>
      <c r="E221" s="629">
        <v>40.0</v>
      </c>
      <c r="F221" s="621">
        <v>40.0</v>
      </c>
      <c r="G221" s="622">
        <v>40.0</v>
      </c>
      <c r="H221" s="623">
        <v>70.0</v>
      </c>
      <c r="I221" s="624">
        <v>40.0</v>
      </c>
      <c r="J221" s="625">
        <v>20.0</v>
      </c>
      <c r="K221" s="626">
        <v>250.0</v>
      </c>
      <c r="L221" s="627">
        <v>40.0</v>
      </c>
      <c r="M221" s="621">
        <v>40.0</v>
      </c>
      <c r="N221" s="622">
        <v>40.0</v>
      </c>
      <c r="O221" s="623">
        <v>70.0</v>
      </c>
      <c r="P221" s="624">
        <v>40.0</v>
      </c>
      <c r="Q221" s="625">
        <v>20.0</v>
      </c>
      <c r="R221" s="628">
        <v>250.0</v>
      </c>
      <c r="S221" s="778">
        <v>50.0</v>
      </c>
      <c r="T221" s="750">
        <v>50.0</v>
      </c>
      <c r="U221" s="751">
        <v>50.0</v>
      </c>
      <c r="V221" s="748">
        <v>90.0</v>
      </c>
      <c r="W221" s="752">
        <v>50.0</v>
      </c>
      <c r="X221" s="625">
        <v>20.0</v>
      </c>
      <c r="Y221" s="628">
        <f t="shared" si="1"/>
        <v>310</v>
      </c>
      <c r="Z221" s="619"/>
      <c r="AA221" s="630" t="str">
        <f t="shared" si="2"/>
        <v>#NAME?</v>
      </c>
      <c r="AB221" s="631" t="s">
        <v>34</v>
      </c>
      <c r="AC221" s="632" t="str">
        <f t="shared" si="3"/>
        <v>#NAME?</v>
      </c>
      <c r="AD221" s="639" t="s">
        <v>4428</v>
      </c>
      <c r="AE221" s="633" t="str">
        <f t="shared" si="4"/>
        <v>#NAME?</v>
      </c>
      <c r="AF221" s="631" t="s">
        <v>34</v>
      </c>
      <c r="AG221" s="632" t="str">
        <f t="shared" si="5"/>
        <v>#NAME?</v>
      </c>
      <c r="AH221" s="634" t="s">
        <v>4428</v>
      </c>
      <c r="AI221" s="635" t="str">
        <f t="shared" si="6"/>
        <v>#NAME?</v>
      </c>
      <c r="AJ221" s="634" t="s">
        <v>34</v>
      </c>
      <c r="AK221" s="636" t="str">
        <f t="shared" si="7"/>
        <v>#NAME?</v>
      </c>
      <c r="AL221" s="637" t="s">
        <v>4428</v>
      </c>
      <c r="AM221" s="619"/>
      <c r="AN221" s="638" t="s">
        <v>2102</v>
      </c>
      <c r="AO221" s="639" t="s">
        <v>1315</v>
      </c>
      <c r="AP221" s="712" t="s">
        <v>2102</v>
      </c>
      <c r="AQ221" s="639" t="s">
        <v>1315</v>
      </c>
      <c r="AR221" s="712" t="s">
        <v>2102</v>
      </c>
      <c r="AS221" s="639" t="s">
        <v>1315</v>
      </c>
      <c r="AT221" s="644"/>
      <c r="AU221" s="645"/>
      <c r="AV221" s="646"/>
      <c r="AW221" s="692"/>
      <c r="AX221" s="693"/>
      <c r="AY221" s="619"/>
      <c r="AZ221" s="648" t="s">
        <v>4</v>
      </c>
      <c r="BA221" s="694"/>
      <c r="BB221" s="690"/>
      <c r="BC221" s="619"/>
      <c r="BD221" s="651" t="s">
        <v>150</v>
      </c>
      <c r="BE221" s="653">
        <v>78.0</v>
      </c>
      <c r="BF221" s="653">
        <v>190.0</v>
      </c>
      <c r="BG221" s="654">
        <v>70.0</v>
      </c>
      <c r="BH221" s="653">
        <v>60.0</v>
      </c>
      <c r="BI221" s="607"/>
      <c r="BJ221" s="655" t="s">
        <v>149</v>
      </c>
      <c r="BK221" s="703" t="s">
        <v>149</v>
      </c>
      <c r="BL221" s="610"/>
      <c r="BM221" s="657" t="s">
        <v>964</v>
      </c>
      <c r="BN221" s="704"/>
      <c r="BO221" s="607"/>
      <c r="BP221" s="659" t="s">
        <v>2103</v>
      </c>
      <c r="BQ221" s="614"/>
      <c r="BR221" s="660" t="s">
        <v>4429</v>
      </c>
      <c r="BS221" s="614"/>
    </row>
    <row r="222" ht="15.75" customHeight="1">
      <c r="A222" s="841"/>
      <c r="B222" s="661" t="s">
        <v>2106</v>
      </c>
      <c r="C222" s="662"/>
      <c r="D222" s="571"/>
      <c r="E222" s="672">
        <v>50.0</v>
      </c>
      <c r="F222" s="664">
        <v>50.0</v>
      </c>
      <c r="G222" s="665">
        <v>120.0</v>
      </c>
      <c r="H222" s="666">
        <v>80.0</v>
      </c>
      <c r="I222" s="667">
        <v>80.0</v>
      </c>
      <c r="J222" s="668">
        <v>30.0</v>
      </c>
      <c r="K222" s="669">
        <v>410.0</v>
      </c>
      <c r="L222" s="670">
        <v>60.0</v>
      </c>
      <c r="M222" s="664">
        <v>50.0</v>
      </c>
      <c r="N222" s="665">
        <v>120.0</v>
      </c>
      <c r="O222" s="666">
        <v>90.0</v>
      </c>
      <c r="P222" s="667">
        <v>80.0</v>
      </c>
      <c r="Q222" s="668">
        <v>30.0</v>
      </c>
      <c r="R222" s="671">
        <v>430.0</v>
      </c>
      <c r="S222" s="672">
        <v>60.0</v>
      </c>
      <c r="T222" s="664">
        <v>50.0</v>
      </c>
      <c r="U222" s="742">
        <v>150.0</v>
      </c>
      <c r="V222" s="743">
        <v>110.0</v>
      </c>
      <c r="W222" s="744">
        <v>100.0</v>
      </c>
      <c r="X222" s="668">
        <v>30.0</v>
      </c>
      <c r="Y222" s="671">
        <f t="shared" si="1"/>
        <v>500</v>
      </c>
      <c r="Z222" s="571"/>
      <c r="AA222" s="673" t="str">
        <f t="shared" si="2"/>
        <v>#NAME?</v>
      </c>
      <c r="AB222" s="674" t="s">
        <v>34</v>
      </c>
      <c r="AC222" s="675" t="str">
        <f t="shared" si="3"/>
        <v>#NAME?</v>
      </c>
      <c r="AD222" s="673" t="s">
        <v>66</v>
      </c>
      <c r="AE222" s="676" t="str">
        <f t="shared" si="4"/>
        <v>#NAME?</v>
      </c>
      <c r="AF222" s="674" t="s">
        <v>34</v>
      </c>
      <c r="AG222" s="675" t="str">
        <f t="shared" si="5"/>
        <v>#NAME?</v>
      </c>
      <c r="AH222" s="586" t="s">
        <v>66</v>
      </c>
      <c r="AI222" s="677" t="str">
        <f t="shared" si="6"/>
        <v>#NAME?</v>
      </c>
      <c r="AJ222" s="586" t="s">
        <v>34</v>
      </c>
      <c r="AK222" s="584" t="str">
        <f t="shared" si="7"/>
        <v>#NAME?</v>
      </c>
      <c r="AL222" s="678" t="s">
        <v>66</v>
      </c>
      <c r="AM222" s="571"/>
      <c r="AN222" s="679" t="s">
        <v>2102</v>
      </c>
      <c r="AO222" s="680" t="s">
        <v>1315</v>
      </c>
      <c r="AP222" s="705" t="s">
        <v>2102</v>
      </c>
      <c r="AQ222" s="680" t="s">
        <v>1315</v>
      </c>
      <c r="AR222" s="763" t="s">
        <v>2110</v>
      </c>
      <c r="AS222" s="680" t="s">
        <v>1315</v>
      </c>
      <c r="AT222" s="595"/>
      <c r="AU222" s="685"/>
      <c r="AV222" s="686"/>
      <c r="AW222" s="687"/>
      <c r="AX222" s="688"/>
      <c r="AY222" s="571"/>
      <c r="AZ222" s="689" t="s">
        <v>162</v>
      </c>
      <c r="BA222" s="690"/>
      <c r="BB222" s="696"/>
      <c r="BC222" s="571"/>
      <c r="BD222" s="651" t="s">
        <v>150</v>
      </c>
      <c r="BE222" s="653">
        <v>154.0</v>
      </c>
      <c r="BF222" s="653">
        <v>75.0</v>
      </c>
      <c r="BG222" s="654">
        <v>70.0</v>
      </c>
      <c r="BH222" s="653">
        <v>80.0</v>
      </c>
      <c r="BI222" s="607"/>
      <c r="BJ222" s="655" t="s">
        <v>149</v>
      </c>
      <c r="BK222" s="703" t="s">
        <v>149</v>
      </c>
      <c r="BL222" s="610"/>
      <c r="BM222" s="657" t="s">
        <v>964</v>
      </c>
      <c r="BN222" s="704"/>
      <c r="BO222" s="607"/>
      <c r="BP222" s="659" t="s">
        <v>4462</v>
      </c>
      <c r="BQ222" s="614"/>
      <c r="BR222" s="660" t="s">
        <v>4429</v>
      </c>
      <c r="BS222" s="614"/>
    </row>
    <row r="223" ht="15.75" customHeight="1">
      <c r="A223" s="841"/>
      <c r="B223" s="617" t="s">
        <v>2116</v>
      </c>
      <c r="C223" s="618"/>
      <c r="D223" s="619"/>
      <c r="E223" s="629">
        <v>50.0</v>
      </c>
      <c r="F223" s="621">
        <v>50.0</v>
      </c>
      <c r="G223" s="622">
        <v>40.0</v>
      </c>
      <c r="H223" s="623">
        <v>30.0</v>
      </c>
      <c r="I223" s="624">
        <v>30.0</v>
      </c>
      <c r="J223" s="625">
        <v>50.0</v>
      </c>
      <c r="K223" s="626">
        <v>250.0</v>
      </c>
      <c r="L223" s="627">
        <v>50.0</v>
      </c>
      <c r="M223" s="621">
        <v>50.0</v>
      </c>
      <c r="N223" s="622">
        <v>40.0</v>
      </c>
      <c r="O223" s="623">
        <v>30.0</v>
      </c>
      <c r="P223" s="624">
        <v>30.0</v>
      </c>
      <c r="Q223" s="625">
        <v>50.0</v>
      </c>
      <c r="R223" s="628">
        <v>250.0</v>
      </c>
      <c r="S223" s="629">
        <v>50.0</v>
      </c>
      <c r="T223" s="621">
        <v>50.0</v>
      </c>
      <c r="U223" s="622">
        <v>40.0</v>
      </c>
      <c r="V223" s="623">
        <v>30.0</v>
      </c>
      <c r="W223" s="624">
        <v>30.0</v>
      </c>
      <c r="X223" s="625">
        <v>50.0</v>
      </c>
      <c r="Y223" s="628">
        <f t="shared" si="1"/>
        <v>250</v>
      </c>
      <c r="Z223" s="619"/>
      <c r="AA223" s="630" t="str">
        <f t="shared" si="2"/>
        <v>#NAME?</v>
      </c>
      <c r="AB223" s="631" t="s">
        <v>120</v>
      </c>
      <c r="AC223" s="632" t="str">
        <f t="shared" si="3"/>
        <v>#NAME?</v>
      </c>
      <c r="AD223" s="630" t="s">
        <v>79</v>
      </c>
      <c r="AE223" s="633" t="str">
        <f t="shared" si="4"/>
        <v>#NAME?</v>
      </c>
      <c r="AF223" s="631" t="s">
        <v>120</v>
      </c>
      <c r="AG223" s="632" t="str">
        <f t="shared" si="5"/>
        <v>#NAME?</v>
      </c>
      <c r="AH223" s="634" t="s">
        <v>79</v>
      </c>
      <c r="AI223" s="635" t="str">
        <f t="shared" si="6"/>
        <v>#NAME?</v>
      </c>
      <c r="AJ223" s="634" t="s">
        <v>120</v>
      </c>
      <c r="AK223" s="636" t="str">
        <f t="shared" si="7"/>
        <v>#NAME?</v>
      </c>
      <c r="AL223" s="637" t="s">
        <v>79</v>
      </c>
      <c r="AM223" s="619"/>
      <c r="AN223" s="638" t="s">
        <v>870</v>
      </c>
      <c r="AO223" s="639" t="s">
        <v>1467</v>
      </c>
      <c r="AP223" s="719" t="s">
        <v>44</v>
      </c>
      <c r="AQ223" s="639" t="s">
        <v>1467</v>
      </c>
      <c r="AR223" s="774" t="s">
        <v>44</v>
      </c>
      <c r="AS223" s="639" t="s">
        <v>1467</v>
      </c>
      <c r="AT223" s="644"/>
      <c r="AU223" s="645"/>
      <c r="AV223" s="646"/>
      <c r="AW223" s="692"/>
      <c r="AX223" s="693"/>
      <c r="AY223" s="619"/>
      <c r="AZ223" s="648" t="s">
        <v>325</v>
      </c>
      <c r="BA223" s="694"/>
      <c r="BB223" s="690"/>
      <c r="BC223" s="619"/>
      <c r="BD223" s="651" t="s">
        <v>683</v>
      </c>
      <c r="BE223" s="653">
        <v>78.0</v>
      </c>
      <c r="BF223" s="653">
        <v>225.0</v>
      </c>
      <c r="BG223" s="654">
        <v>70.0</v>
      </c>
      <c r="BH223" s="653">
        <v>20.0</v>
      </c>
      <c r="BI223" s="607"/>
      <c r="BJ223" s="655" t="s">
        <v>149</v>
      </c>
      <c r="BK223" s="703" t="s">
        <v>149</v>
      </c>
      <c r="BL223" s="610"/>
      <c r="BM223" s="657" t="s">
        <v>277</v>
      </c>
      <c r="BN223" s="704"/>
      <c r="BO223" s="607"/>
      <c r="BP223" s="659" t="s">
        <v>2120</v>
      </c>
      <c r="BQ223" s="614"/>
      <c r="BR223" s="660" t="s">
        <v>4432</v>
      </c>
      <c r="BS223" s="614"/>
    </row>
    <row r="224" ht="15.75" customHeight="1">
      <c r="A224" s="841"/>
      <c r="B224" s="661" t="s">
        <v>2125</v>
      </c>
      <c r="C224" s="662"/>
      <c r="D224" s="571"/>
      <c r="E224" s="672">
        <v>100.0</v>
      </c>
      <c r="F224" s="664">
        <v>100.0</v>
      </c>
      <c r="G224" s="665">
        <v>80.0</v>
      </c>
      <c r="H224" s="666">
        <v>60.0</v>
      </c>
      <c r="I224" s="667">
        <v>60.0</v>
      </c>
      <c r="J224" s="668">
        <v>50.0</v>
      </c>
      <c r="K224" s="669">
        <v>450.0</v>
      </c>
      <c r="L224" s="670">
        <v>100.0</v>
      </c>
      <c r="M224" s="664">
        <v>100.0</v>
      </c>
      <c r="N224" s="665">
        <v>80.0</v>
      </c>
      <c r="O224" s="666">
        <v>60.0</v>
      </c>
      <c r="P224" s="667">
        <v>60.0</v>
      </c>
      <c r="Q224" s="668">
        <v>50.0</v>
      </c>
      <c r="R224" s="671">
        <v>450.0</v>
      </c>
      <c r="S224" s="672">
        <v>100.0</v>
      </c>
      <c r="T224" s="664">
        <v>100.0</v>
      </c>
      <c r="U224" s="665">
        <v>80.0</v>
      </c>
      <c r="V224" s="666">
        <v>60.0</v>
      </c>
      <c r="W224" s="667">
        <v>60.0</v>
      </c>
      <c r="X224" s="668">
        <v>50.0</v>
      </c>
      <c r="Y224" s="671">
        <f t="shared" si="1"/>
        <v>450</v>
      </c>
      <c r="Z224" s="571"/>
      <c r="AA224" s="673" t="str">
        <f t="shared" si="2"/>
        <v>#NAME?</v>
      </c>
      <c r="AB224" s="674" t="s">
        <v>120</v>
      </c>
      <c r="AC224" s="675" t="str">
        <f t="shared" si="3"/>
        <v>#NAME?</v>
      </c>
      <c r="AD224" s="673" t="s">
        <v>79</v>
      </c>
      <c r="AE224" s="676" t="str">
        <f t="shared" si="4"/>
        <v>#NAME?</v>
      </c>
      <c r="AF224" s="674" t="s">
        <v>120</v>
      </c>
      <c r="AG224" s="675" t="str">
        <f t="shared" si="5"/>
        <v>#NAME?</v>
      </c>
      <c r="AH224" s="586" t="s">
        <v>79</v>
      </c>
      <c r="AI224" s="677" t="str">
        <f t="shared" si="6"/>
        <v>#NAME?</v>
      </c>
      <c r="AJ224" s="586" t="s">
        <v>120</v>
      </c>
      <c r="AK224" s="584" t="str">
        <f t="shared" si="7"/>
        <v>#NAME?</v>
      </c>
      <c r="AL224" s="678" t="s">
        <v>79</v>
      </c>
      <c r="AM224" s="571"/>
      <c r="AN224" s="679" t="s">
        <v>870</v>
      </c>
      <c r="AO224" s="680" t="s">
        <v>1467</v>
      </c>
      <c r="AP224" s="775" t="s">
        <v>44</v>
      </c>
      <c r="AQ224" s="680" t="s">
        <v>1467</v>
      </c>
      <c r="AR224" s="775" t="s">
        <v>44</v>
      </c>
      <c r="AS224" s="680" t="s">
        <v>1467</v>
      </c>
      <c r="AT224" s="595"/>
      <c r="AU224" s="685"/>
      <c r="AV224" s="686"/>
      <c r="AW224" s="687"/>
      <c r="AX224" s="688"/>
      <c r="AY224" s="571"/>
      <c r="AZ224" s="695" t="s">
        <v>144</v>
      </c>
      <c r="BA224" s="691" t="s">
        <v>325</v>
      </c>
      <c r="BB224" s="696"/>
      <c r="BC224" s="571"/>
      <c r="BD224" s="651" t="s">
        <v>683</v>
      </c>
      <c r="BE224" s="653">
        <v>160.0</v>
      </c>
      <c r="BF224" s="653">
        <v>75.0</v>
      </c>
      <c r="BG224" s="654">
        <v>70.0</v>
      </c>
      <c r="BH224" s="653">
        <v>80.0</v>
      </c>
      <c r="BI224" s="607"/>
      <c r="BJ224" s="655" t="s">
        <v>149</v>
      </c>
      <c r="BK224" s="703" t="s">
        <v>149</v>
      </c>
      <c r="BL224" s="610"/>
      <c r="BM224" s="657" t="s">
        <v>277</v>
      </c>
      <c r="BN224" s="704"/>
      <c r="BO224" s="607"/>
      <c r="BP224" s="659" t="s">
        <v>2129</v>
      </c>
      <c r="BQ224" s="614"/>
      <c r="BR224" s="660" t="s">
        <v>4432</v>
      </c>
      <c r="BS224" s="614"/>
    </row>
    <row r="225" ht="15.75" customHeight="1">
      <c r="A225" s="841"/>
      <c r="B225" s="617" t="s">
        <v>2133</v>
      </c>
      <c r="C225" s="618"/>
      <c r="D225" s="619"/>
      <c r="E225" s="629">
        <v>55.0</v>
      </c>
      <c r="F225" s="621">
        <v>55.0</v>
      </c>
      <c r="G225" s="622">
        <v>85.0</v>
      </c>
      <c r="H225" s="623">
        <v>65.0</v>
      </c>
      <c r="I225" s="624">
        <v>85.0</v>
      </c>
      <c r="J225" s="625">
        <v>35.0</v>
      </c>
      <c r="K225" s="626">
        <v>380.0</v>
      </c>
      <c r="L225" s="627">
        <v>65.0</v>
      </c>
      <c r="M225" s="621">
        <v>55.0</v>
      </c>
      <c r="N225" s="622">
        <v>95.0</v>
      </c>
      <c r="O225" s="623">
        <v>65.0</v>
      </c>
      <c r="P225" s="624">
        <v>95.0</v>
      </c>
      <c r="Q225" s="625">
        <v>35.0</v>
      </c>
      <c r="R225" s="859">
        <v>410.0</v>
      </c>
      <c r="S225" s="629">
        <v>65.0</v>
      </c>
      <c r="T225" s="750">
        <v>45.0</v>
      </c>
      <c r="U225" s="751">
        <v>115.0</v>
      </c>
      <c r="V225" s="748">
        <v>90.0</v>
      </c>
      <c r="W225" s="752">
        <v>115.0</v>
      </c>
      <c r="X225" s="625">
        <v>35.0</v>
      </c>
      <c r="Y225" s="628">
        <f t="shared" si="1"/>
        <v>465</v>
      </c>
      <c r="Z225" s="619"/>
      <c r="AA225" s="630" t="str">
        <f t="shared" si="2"/>
        <v>#NAME?</v>
      </c>
      <c r="AB225" s="631" t="s">
        <v>32</v>
      </c>
      <c r="AC225" s="632" t="str">
        <f t="shared" si="3"/>
        <v>#NAME?</v>
      </c>
      <c r="AD225" s="630" t="s">
        <v>66</v>
      </c>
      <c r="AE225" s="633" t="str">
        <f t="shared" si="4"/>
        <v>#NAME?</v>
      </c>
      <c r="AF225" s="631" t="s">
        <v>32</v>
      </c>
      <c r="AG225" s="632" t="str">
        <f t="shared" si="5"/>
        <v>#NAME?</v>
      </c>
      <c r="AH225" s="634" t="s">
        <v>66</v>
      </c>
      <c r="AI225" s="635" t="str">
        <f t="shared" si="6"/>
        <v>#NAME?</v>
      </c>
      <c r="AJ225" s="634" t="s">
        <v>32</v>
      </c>
      <c r="AK225" s="636" t="str">
        <f t="shared" si="7"/>
        <v>#NAME?</v>
      </c>
      <c r="AL225" s="637" t="s">
        <v>66</v>
      </c>
      <c r="AM225" s="619"/>
      <c r="AN225" s="638" t="s">
        <v>1733</v>
      </c>
      <c r="AO225" s="639" t="s">
        <v>1182</v>
      </c>
      <c r="AP225" s="712" t="s">
        <v>1733</v>
      </c>
      <c r="AQ225" s="639" t="s">
        <v>1182</v>
      </c>
      <c r="AR225" s="712" t="s">
        <v>1733</v>
      </c>
      <c r="AS225" s="639" t="s">
        <v>1182</v>
      </c>
      <c r="AT225" s="644"/>
      <c r="AU225" s="759" t="str">
        <f>image("https://www.pokebip.com/pages/icones/objets/pierre-dure.png", 3)</f>
        <v/>
      </c>
      <c r="AV225" s="760" t="s">
        <v>2137</v>
      </c>
      <c r="AW225" s="692"/>
      <c r="AX225" s="693"/>
      <c r="AY225" s="619"/>
      <c r="AZ225" s="648" t="s">
        <v>101</v>
      </c>
      <c r="BA225" s="649" t="s">
        <v>27</v>
      </c>
      <c r="BB225" s="650"/>
      <c r="BC225" s="619"/>
      <c r="BD225" s="651" t="s">
        <v>468</v>
      </c>
      <c r="BE225" s="653">
        <v>113.0</v>
      </c>
      <c r="BF225" s="653">
        <v>60.0</v>
      </c>
      <c r="BG225" s="654">
        <v>70.0</v>
      </c>
      <c r="BH225" s="653">
        <v>20.0</v>
      </c>
      <c r="BI225" s="607"/>
      <c r="BJ225" s="655" t="s">
        <v>466</v>
      </c>
      <c r="BK225" s="656">
        <v>0.75</v>
      </c>
      <c r="BL225" s="610"/>
      <c r="BM225" s="657" t="s">
        <v>106</v>
      </c>
      <c r="BN225" s="658" t="s">
        <v>807</v>
      </c>
      <c r="BO225" s="607"/>
      <c r="BP225" s="659" t="s">
        <v>914</v>
      </c>
      <c r="BQ225" s="614"/>
      <c r="BR225" s="660" t="s">
        <v>4435</v>
      </c>
      <c r="BS225" s="614"/>
    </row>
    <row r="226" ht="15.75" customHeight="1">
      <c r="A226" s="841"/>
      <c r="B226" s="661" t="s">
        <v>2141</v>
      </c>
      <c r="C226" s="662"/>
      <c r="D226" s="571"/>
      <c r="E226" s="672">
        <v>35.0</v>
      </c>
      <c r="F226" s="664">
        <v>65.0</v>
      </c>
      <c r="G226" s="665">
        <v>35.0</v>
      </c>
      <c r="H226" s="666">
        <v>65.0</v>
      </c>
      <c r="I226" s="667">
        <v>35.0</v>
      </c>
      <c r="J226" s="668">
        <v>65.0</v>
      </c>
      <c r="K226" s="669">
        <v>300.0</v>
      </c>
      <c r="L226" s="670">
        <v>35.0</v>
      </c>
      <c r="M226" s="664">
        <v>65.0</v>
      </c>
      <c r="N226" s="665">
        <v>35.0</v>
      </c>
      <c r="O226" s="666">
        <v>65.0</v>
      </c>
      <c r="P226" s="667">
        <v>35.0</v>
      </c>
      <c r="Q226" s="668">
        <v>65.0</v>
      </c>
      <c r="R226" s="671">
        <v>300.0</v>
      </c>
      <c r="S226" s="672">
        <v>35.0</v>
      </c>
      <c r="T226" s="664">
        <v>65.0</v>
      </c>
      <c r="U226" s="665">
        <v>35.0</v>
      </c>
      <c r="V226" s="666">
        <v>65.0</v>
      </c>
      <c r="W226" s="667">
        <v>35.0</v>
      </c>
      <c r="X226" s="668">
        <v>65.0</v>
      </c>
      <c r="Y226" s="671">
        <f t="shared" si="1"/>
        <v>300</v>
      </c>
      <c r="Z226" s="571"/>
      <c r="AA226" s="673" t="str">
        <f t="shared" si="2"/>
        <v>#NAME?</v>
      </c>
      <c r="AB226" s="674" t="s">
        <v>32</v>
      </c>
      <c r="AC226" s="675" t="str">
        <f t="shared" si="3"/>
        <v>#NAME?</v>
      </c>
      <c r="AD226" s="680" t="s">
        <v>4428</v>
      </c>
      <c r="AE226" s="676" t="str">
        <f t="shared" si="4"/>
        <v>#NAME?</v>
      </c>
      <c r="AF226" s="674" t="s">
        <v>32</v>
      </c>
      <c r="AG226" s="675" t="str">
        <f t="shared" si="5"/>
        <v>#NAME?</v>
      </c>
      <c r="AH226" s="586" t="s">
        <v>4428</v>
      </c>
      <c r="AI226" s="677" t="str">
        <f t="shared" si="6"/>
        <v>#NAME?</v>
      </c>
      <c r="AJ226" s="586" t="s">
        <v>32</v>
      </c>
      <c r="AK226" s="584" t="str">
        <f t="shared" si="7"/>
        <v>#NAME?</v>
      </c>
      <c r="AL226" s="678" t="s">
        <v>4428</v>
      </c>
      <c r="AM226" s="571"/>
      <c r="AN226" s="679" t="s">
        <v>1733</v>
      </c>
      <c r="AO226" s="680" t="s">
        <v>301</v>
      </c>
      <c r="AP226" s="705" t="s">
        <v>1733</v>
      </c>
      <c r="AQ226" s="680" t="s">
        <v>301</v>
      </c>
      <c r="AR226" s="705" t="s">
        <v>1733</v>
      </c>
      <c r="AS226" s="680" t="s">
        <v>301</v>
      </c>
      <c r="AT226" s="595"/>
      <c r="AU226" s="685"/>
      <c r="AV226" s="686"/>
      <c r="AW226" s="687"/>
      <c r="AX226" s="688"/>
      <c r="AY226" s="571"/>
      <c r="AZ226" s="695" t="s">
        <v>4</v>
      </c>
      <c r="BA226" s="700"/>
      <c r="BB226" s="690"/>
      <c r="BC226" s="571"/>
      <c r="BD226" s="651" t="s">
        <v>150</v>
      </c>
      <c r="BE226" s="653">
        <v>78.0</v>
      </c>
      <c r="BF226" s="653">
        <v>190.0</v>
      </c>
      <c r="BG226" s="654">
        <v>70.0</v>
      </c>
      <c r="BH226" s="653">
        <v>40.0</v>
      </c>
      <c r="BI226" s="607"/>
      <c r="BJ226" s="655" t="s">
        <v>149</v>
      </c>
      <c r="BK226" s="703" t="s">
        <v>149</v>
      </c>
      <c r="BL226" s="610"/>
      <c r="BM226" s="657" t="s">
        <v>106</v>
      </c>
      <c r="BN226" s="658" t="s">
        <v>1236</v>
      </c>
      <c r="BO226" s="607"/>
      <c r="BP226" s="659" t="s">
        <v>2144</v>
      </c>
      <c r="BQ226" s="614"/>
      <c r="BR226" s="660" t="s">
        <v>4437</v>
      </c>
      <c r="BS226" s="614"/>
    </row>
    <row r="227" ht="15.75" customHeight="1">
      <c r="A227" s="841"/>
      <c r="B227" s="617" t="s">
        <v>2148</v>
      </c>
      <c r="C227" s="618"/>
      <c r="D227" s="619"/>
      <c r="E227" s="629">
        <v>75.0</v>
      </c>
      <c r="F227" s="621">
        <v>105.0</v>
      </c>
      <c r="G227" s="622">
        <v>75.0</v>
      </c>
      <c r="H227" s="623">
        <v>105.0</v>
      </c>
      <c r="I227" s="624">
        <v>75.0</v>
      </c>
      <c r="J227" s="625">
        <v>45.0</v>
      </c>
      <c r="K227" s="626">
        <v>480.0</v>
      </c>
      <c r="L227" s="627">
        <v>75.0</v>
      </c>
      <c r="M227" s="621">
        <v>105.0</v>
      </c>
      <c r="N227" s="622">
        <v>75.0</v>
      </c>
      <c r="O227" s="623">
        <v>105.0</v>
      </c>
      <c r="P227" s="624">
        <v>75.0</v>
      </c>
      <c r="Q227" s="625">
        <v>45.0</v>
      </c>
      <c r="R227" s="628">
        <v>480.0</v>
      </c>
      <c r="S227" s="629">
        <v>75.0</v>
      </c>
      <c r="T227" s="621">
        <v>105.0</v>
      </c>
      <c r="U227" s="622">
        <v>75.0</v>
      </c>
      <c r="V227" s="623">
        <v>105.0</v>
      </c>
      <c r="W227" s="624">
        <v>75.0</v>
      </c>
      <c r="X227" s="625">
        <v>45.0</v>
      </c>
      <c r="Y227" s="628">
        <f t="shared" si="1"/>
        <v>480</v>
      </c>
      <c r="Z227" s="619"/>
      <c r="AA227" s="630" t="str">
        <f t="shared" si="2"/>
        <v>#NAME?</v>
      </c>
      <c r="AB227" s="631" t="s">
        <v>32</v>
      </c>
      <c r="AC227" s="632" t="str">
        <f t="shared" si="3"/>
        <v>#NAME?</v>
      </c>
      <c r="AD227" s="639" t="s">
        <v>4428</v>
      </c>
      <c r="AE227" s="633" t="str">
        <f t="shared" si="4"/>
        <v>#NAME?</v>
      </c>
      <c r="AF227" s="631" t="s">
        <v>32</v>
      </c>
      <c r="AG227" s="632" t="str">
        <f t="shared" si="5"/>
        <v>#NAME?</v>
      </c>
      <c r="AH227" s="634" t="s">
        <v>4428</v>
      </c>
      <c r="AI227" s="635" t="str">
        <f t="shared" si="6"/>
        <v>#NAME?</v>
      </c>
      <c r="AJ227" s="634" t="s">
        <v>32</v>
      </c>
      <c r="AK227" s="636" t="str">
        <f t="shared" si="7"/>
        <v>#NAME?</v>
      </c>
      <c r="AL227" s="637" t="s">
        <v>4428</v>
      </c>
      <c r="AM227" s="619"/>
      <c r="AN227" s="638" t="s">
        <v>2151</v>
      </c>
      <c r="AO227" s="639" t="s">
        <v>301</v>
      </c>
      <c r="AP227" s="712" t="s">
        <v>2151</v>
      </c>
      <c r="AQ227" s="639" t="s">
        <v>301</v>
      </c>
      <c r="AR227" s="712" t="s">
        <v>2151</v>
      </c>
      <c r="AS227" s="639" t="s">
        <v>301</v>
      </c>
      <c r="AT227" s="644"/>
      <c r="AU227" s="645"/>
      <c r="AV227" s="646"/>
      <c r="AW227" s="692"/>
      <c r="AX227" s="693"/>
      <c r="AY227" s="619"/>
      <c r="AZ227" s="648" t="s">
        <v>325</v>
      </c>
      <c r="BA227" s="649" t="s">
        <v>4</v>
      </c>
      <c r="BB227" s="650"/>
      <c r="BC227" s="619"/>
      <c r="BD227" s="651" t="s">
        <v>150</v>
      </c>
      <c r="BE227" s="653">
        <v>164.0</v>
      </c>
      <c r="BF227" s="653">
        <v>75.0</v>
      </c>
      <c r="BG227" s="654">
        <v>70.0</v>
      </c>
      <c r="BH227" s="653">
        <v>60.0</v>
      </c>
      <c r="BI227" s="607"/>
      <c r="BJ227" s="655" t="s">
        <v>149</v>
      </c>
      <c r="BK227" s="703" t="s">
        <v>149</v>
      </c>
      <c r="BL227" s="610"/>
      <c r="BM227" s="657" t="s">
        <v>106</v>
      </c>
      <c r="BN227" s="658" t="s">
        <v>1236</v>
      </c>
      <c r="BO227" s="607"/>
      <c r="BP227" s="659" t="s">
        <v>2152</v>
      </c>
      <c r="BQ227" s="614"/>
      <c r="BR227" s="660" t="s">
        <v>4429</v>
      </c>
      <c r="BS227" s="614"/>
    </row>
    <row r="228" ht="15.75" customHeight="1">
      <c r="A228" s="841"/>
      <c r="B228" s="661" t="s">
        <v>2156</v>
      </c>
      <c r="C228" s="662"/>
      <c r="D228" s="571"/>
      <c r="E228" s="672">
        <v>45.0</v>
      </c>
      <c r="F228" s="664">
        <v>55.0</v>
      </c>
      <c r="G228" s="665">
        <v>45.0</v>
      </c>
      <c r="H228" s="666">
        <v>65.0</v>
      </c>
      <c r="I228" s="667">
        <v>45.0</v>
      </c>
      <c r="J228" s="668">
        <v>75.0</v>
      </c>
      <c r="K228" s="669">
        <v>330.0</v>
      </c>
      <c r="L228" s="670">
        <v>45.0</v>
      </c>
      <c r="M228" s="664">
        <v>55.0</v>
      </c>
      <c r="N228" s="665">
        <v>45.0</v>
      </c>
      <c r="O228" s="666">
        <v>65.0</v>
      </c>
      <c r="P228" s="667">
        <v>45.0</v>
      </c>
      <c r="Q228" s="668">
        <v>75.0</v>
      </c>
      <c r="R228" s="671">
        <v>330.0</v>
      </c>
      <c r="S228" s="672">
        <v>45.0</v>
      </c>
      <c r="T228" s="741">
        <v>85.0</v>
      </c>
      <c r="U228" s="742">
        <v>50.0</v>
      </c>
      <c r="V228" s="743">
        <v>110.0</v>
      </c>
      <c r="W228" s="744">
        <v>50.0</v>
      </c>
      <c r="X228" s="745">
        <v>110.0</v>
      </c>
      <c r="Y228" s="671">
        <f t="shared" si="1"/>
        <v>450</v>
      </c>
      <c r="Z228" s="571"/>
      <c r="AA228" s="673" t="str">
        <f t="shared" si="2"/>
        <v>#NAME?</v>
      </c>
      <c r="AB228" s="674" t="s">
        <v>120</v>
      </c>
      <c r="AC228" s="675" t="str">
        <f t="shared" si="3"/>
        <v>#NAME?</v>
      </c>
      <c r="AD228" s="673" t="s">
        <v>18</v>
      </c>
      <c r="AE228" s="676" t="str">
        <f t="shared" si="4"/>
        <v>#NAME?</v>
      </c>
      <c r="AF228" s="674" t="s">
        <v>120</v>
      </c>
      <c r="AG228" s="675" t="str">
        <f t="shared" si="5"/>
        <v>#NAME?</v>
      </c>
      <c r="AH228" s="586" t="s">
        <v>18</v>
      </c>
      <c r="AI228" s="677" t="str">
        <f t="shared" si="6"/>
        <v>#NAME?</v>
      </c>
      <c r="AJ228" s="586" t="s">
        <v>120</v>
      </c>
      <c r="AK228" s="584" t="str">
        <f t="shared" si="7"/>
        <v>#NAME?</v>
      </c>
      <c r="AL228" s="678" t="s">
        <v>18</v>
      </c>
      <c r="AM228" s="571"/>
      <c r="AN228" s="679" t="s">
        <v>666</v>
      </c>
      <c r="AO228" s="680" t="s">
        <v>1733</v>
      </c>
      <c r="AP228" s="705" t="s">
        <v>666</v>
      </c>
      <c r="AQ228" s="680" t="s">
        <v>1733</v>
      </c>
      <c r="AR228" s="705" t="s">
        <v>1278</v>
      </c>
      <c r="AS228" s="680" t="s">
        <v>1733</v>
      </c>
      <c r="AT228" s="595"/>
      <c r="AU228" s="685"/>
      <c r="AV228" s="686"/>
      <c r="AW228" s="687"/>
      <c r="AX228" s="688"/>
      <c r="AY228" s="571"/>
      <c r="AZ228" s="695" t="s">
        <v>56</v>
      </c>
      <c r="BA228" s="700"/>
      <c r="BB228" s="690"/>
      <c r="BC228" s="571"/>
      <c r="BD228" s="651" t="s">
        <v>468</v>
      </c>
      <c r="BE228" s="653">
        <v>183.0</v>
      </c>
      <c r="BF228" s="653">
        <v>45.0</v>
      </c>
      <c r="BG228" s="654">
        <v>70.0</v>
      </c>
      <c r="BH228" s="653">
        <v>40.0</v>
      </c>
      <c r="BI228" s="607"/>
      <c r="BJ228" s="655" t="s">
        <v>149</v>
      </c>
      <c r="BK228" s="703" t="s">
        <v>149</v>
      </c>
      <c r="BL228" s="610"/>
      <c r="BM228" s="657" t="s">
        <v>106</v>
      </c>
      <c r="BN228" s="658" t="s">
        <v>277</v>
      </c>
      <c r="BO228" s="607"/>
      <c r="BP228" s="659" t="s">
        <v>914</v>
      </c>
      <c r="BQ228" s="614"/>
      <c r="BR228" s="660" t="s">
        <v>4429</v>
      </c>
      <c r="BS228" s="614"/>
    </row>
    <row r="229" ht="15.75" customHeight="1">
      <c r="A229" s="841"/>
      <c r="B229" s="617" t="s">
        <v>2163</v>
      </c>
      <c r="C229" s="618"/>
      <c r="D229" s="619"/>
      <c r="E229" s="629">
        <v>65.0</v>
      </c>
      <c r="F229" s="621">
        <v>40.0</v>
      </c>
      <c r="G229" s="622">
        <v>70.0</v>
      </c>
      <c r="H229" s="748">
        <v>80.0</v>
      </c>
      <c r="I229" s="624">
        <v>140.0</v>
      </c>
      <c r="J229" s="625">
        <v>70.0</v>
      </c>
      <c r="K229" s="749">
        <v>465.0</v>
      </c>
      <c r="L229" s="627">
        <v>85.0</v>
      </c>
      <c r="M229" s="621">
        <v>40.0</v>
      </c>
      <c r="N229" s="622">
        <v>70.0</v>
      </c>
      <c r="O229" s="623">
        <v>80.0</v>
      </c>
      <c r="P229" s="624">
        <v>140.0</v>
      </c>
      <c r="Q229" s="625">
        <v>70.0</v>
      </c>
      <c r="R229" s="628">
        <v>485.0</v>
      </c>
      <c r="S229" s="629">
        <v>85.0</v>
      </c>
      <c r="T229" s="621">
        <v>40.0</v>
      </c>
      <c r="U229" s="622">
        <v>70.0</v>
      </c>
      <c r="V229" s="623">
        <v>80.0</v>
      </c>
      <c r="W229" s="624">
        <v>140.0</v>
      </c>
      <c r="X229" s="625">
        <v>70.0</v>
      </c>
      <c r="Y229" s="628">
        <f t="shared" si="1"/>
        <v>485</v>
      </c>
      <c r="Z229" s="619"/>
      <c r="AA229" s="630" t="str">
        <f t="shared" si="2"/>
        <v>#NAME?</v>
      </c>
      <c r="AB229" s="631" t="s">
        <v>32</v>
      </c>
      <c r="AC229" s="632" t="str">
        <f t="shared" si="3"/>
        <v>#NAME?</v>
      </c>
      <c r="AD229" s="630" t="s">
        <v>18</v>
      </c>
      <c r="AE229" s="633" t="str">
        <f t="shared" si="4"/>
        <v>#NAME?</v>
      </c>
      <c r="AF229" s="631" t="s">
        <v>32</v>
      </c>
      <c r="AG229" s="632" t="str">
        <f t="shared" si="5"/>
        <v>#NAME?</v>
      </c>
      <c r="AH229" s="634" t="s">
        <v>18</v>
      </c>
      <c r="AI229" s="635" t="str">
        <f t="shared" si="6"/>
        <v>#NAME?</v>
      </c>
      <c r="AJ229" s="634" t="s">
        <v>32</v>
      </c>
      <c r="AK229" s="636" t="str">
        <f t="shared" si="7"/>
        <v>#NAME?</v>
      </c>
      <c r="AL229" s="637" t="s">
        <v>18</v>
      </c>
      <c r="AM229" s="619"/>
      <c r="AN229" s="638" t="s">
        <v>1212</v>
      </c>
      <c r="AO229" s="639" t="s">
        <v>698</v>
      </c>
      <c r="AP229" s="712" t="s">
        <v>1212</v>
      </c>
      <c r="AQ229" s="639" t="s">
        <v>698</v>
      </c>
      <c r="AR229" s="712" t="s">
        <v>1212</v>
      </c>
      <c r="AS229" s="639" t="s">
        <v>698</v>
      </c>
      <c r="AT229" s="644"/>
      <c r="AU229" s="645"/>
      <c r="AV229" s="646"/>
      <c r="AW229" s="692"/>
      <c r="AX229" s="693"/>
      <c r="AY229" s="619"/>
      <c r="AZ229" s="698" t="s">
        <v>815</v>
      </c>
      <c r="BA229" s="690"/>
      <c r="BB229" s="650"/>
      <c r="BC229" s="619"/>
      <c r="BD229" s="651" t="s">
        <v>683</v>
      </c>
      <c r="BE229" s="653">
        <v>168.0</v>
      </c>
      <c r="BF229" s="653">
        <v>25.0</v>
      </c>
      <c r="BG229" s="654">
        <v>70.0</v>
      </c>
      <c r="BH229" s="653">
        <v>120.0</v>
      </c>
      <c r="BI229" s="607"/>
      <c r="BJ229" s="655" t="s">
        <v>149</v>
      </c>
      <c r="BK229" s="703" t="s">
        <v>149</v>
      </c>
      <c r="BL229" s="610"/>
      <c r="BM229" s="657" t="s">
        <v>106</v>
      </c>
      <c r="BN229" s="704"/>
      <c r="BO229" s="607"/>
      <c r="BP229" s="659" t="s">
        <v>2166</v>
      </c>
      <c r="BQ229" s="614"/>
      <c r="BR229" s="660" t="s">
        <v>4434</v>
      </c>
      <c r="BS229" s="614"/>
    </row>
    <row r="230" ht="15.75" customHeight="1">
      <c r="A230" s="841"/>
      <c r="B230" s="661" t="s">
        <v>2170</v>
      </c>
      <c r="C230" s="662"/>
      <c r="D230" s="571"/>
      <c r="E230" s="672">
        <v>65.0</v>
      </c>
      <c r="F230" s="664">
        <v>80.0</v>
      </c>
      <c r="G230" s="665">
        <v>140.0</v>
      </c>
      <c r="H230" s="666">
        <v>40.0</v>
      </c>
      <c r="I230" s="667">
        <v>70.0</v>
      </c>
      <c r="J230" s="668">
        <v>70.0</v>
      </c>
      <c r="K230" s="669">
        <v>465.0</v>
      </c>
      <c r="L230" s="670">
        <v>65.0</v>
      </c>
      <c r="M230" s="664">
        <v>80.0</v>
      </c>
      <c r="N230" s="665">
        <v>140.0</v>
      </c>
      <c r="O230" s="666">
        <v>40.0</v>
      </c>
      <c r="P230" s="667">
        <v>70.0</v>
      </c>
      <c r="Q230" s="668">
        <v>70.0</v>
      </c>
      <c r="R230" s="671">
        <v>465.0</v>
      </c>
      <c r="S230" s="672">
        <v>65.0</v>
      </c>
      <c r="T230" s="664">
        <v>80.0</v>
      </c>
      <c r="U230" s="665">
        <v>140.0</v>
      </c>
      <c r="V230" s="666">
        <v>40.0</v>
      </c>
      <c r="W230" s="667">
        <v>70.0</v>
      </c>
      <c r="X230" s="668">
        <v>70.0</v>
      </c>
      <c r="Y230" s="671">
        <f t="shared" si="1"/>
        <v>465</v>
      </c>
      <c r="Z230" s="571"/>
      <c r="AA230" s="673" t="str">
        <f t="shared" si="2"/>
        <v>#NAME?</v>
      </c>
      <c r="AB230" s="674" t="s">
        <v>95</v>
      </c>
      <c r="AC230" s="675" t="str">
        <f t="shared" si="3"/>
        <v>#NAME?</v>
      </c>
      <c r="AD230" s="673" t="s">
        <v>18</v>
      </c>
      <c r="AE230" s="676" t="str">
        <f t="shared" si="4"/>
        <v>#NAME?</v>
      </c>
      <c r="AF230" s="674" t="s">
        <v>95</v>
      </c>
      <c r="AG230" s="675" t="str">
        <f t="shared" si="5"/>
        <v>#NAME?</v>
      </c>
      <c r="AH230" s="586" t="s">
        <v>18</v>
      </c>
      <c r="AI230" s="677" t="str">
        <f t="shared" si="6"/>
        <v>#NAME?</v>
      </c>
      <c r="AJ230" s="586" t="s">
        <v>95</v>
      </c>
      <c r="AK230" s="584" t="str">
        <f t="shared" si="7"/>
        <v>#NAME?</v>
      </c>
      <c r="AL230" s="678" t="s">
        <v>18</v>
      </c>
      <c r="AM230" s="571"/>
      <c r="AN230" s="679" t="s">
        <v>235</v>
      </c>
      <c r="AO230" s="680" t="s">
        <v>825</v>
      </c>
      <c r="AP230" s="705" t="s">
        <v>235</v>
      </c>
      <c r="AQ230" s="680" t="s">
        <v>825</v>
      </c>
      <c r="AR230" s="705" t="s">
        <v>235</v>
      </c>
      <c r="AS230" s="680" t="s">
        <v>825</v>
      </c>
      <c r="AT230" s="595"/>
      <c r="AU230" s="685" t="str">
        <f>image("https://www.pokebip.com/pages/icones/objets/peau-metal.png", 3)</f>
        <v/>
      </c>
      <c r="AV230" s="686" t="s">
        <v>892</v>
      </c>
      <c r="AW230" s="687"/>
      <c r="AX230" s="688"/>
      <c r="AY230" s="571"/>
      <c r="AZ230" s="689" t="s">
        <v>162</v>
      </c>
      <c r="BA230" s="690"/>
      <c r="BB230" s="696"/>
      <c r="BC230" s="571"/>
      <c r="BD230" s="651" t="s">
        <v>683</v>
      </c>
      <c r="BE230" s="653">
        <v>168.0</v>
      </c>
      <c r="BF230" s="653">
        <v>25.0</v>
      </c>
      <c r="BG230" s="654">
        <v>70.0</v>
      </c>
      <c r="BH230" s="653">
        <v>80.0</v>
      </c>
      <c r="BI230" s="607"/>
      <c r="BJ230" s="655" t="s">
        <v>149</v>
      </c>
      <c r="BK230" s="703" t="s">
        <v>149</v>
      </c>
      <c r="BL230" s="610"/>
      <c r="BM230" s="657" t="s">
        <v>18</v>
      </c>
      <c r="BN230" s="704"/>
      <c r="BO230" s="607"/>
      <c r="BP230" s="659" t="s">
        <v>914</v>
      </c>
      <c r="BQ230" s="614"/>
      <c r="BR230" s="660" t="s">
        <v>4437</v>
      </c>
      <c r="BS230" s="614"/>
    </row>
    <row r="231" ht="15.75" customHeight="1">
      <c r="A231" s="841"/>
      <c r="B231" s="617" t="s">
        <v>2178</v>
      </c>
      <c r="C231" s="618"/>
      <c r="D231" s="619"/>
      <c r="E231" s="629">
        <v>45.0</v>
      </c>
      <c r="F231" s="621">
        <v>60.0</v>
      </c>
      <c r="G231" s="622">
        <v>30.0</v>
      </c>
      <c r="H231" s="623">
        <v>80.0</v>
      </c>
      <c r="I231" s="624">
        <v>50.0</v>
      </c>
      <c r="J231" s="625">
        <v>65.0</v>
      </c>
      <c r="K231" s="626">
        <v>330.0</v>
      </c>
      <c r="L231" s="627">
        <v>45.0</v>
      </c>
      <c r="M231" s="621">
        <v>60.0</v>
      </c>
      <c r="N231" s="622">
        <v>30.0</v>
      </c>
      <c r="O231" s="623">
        <v>80.0</v>
      </c>
      <c r="P231" s="624">
        <v>50.0</v>
      </c>
      <c r="Q231" s="625">
        <v>65.0</v>
      </c>
      <c r="R231" s="628">
        <v>330.0</v>
      </c>
      <c r="S231" s="629">
        <v>45.0</v>
      </c>
      <c r="T231" s="621">
        <v>60.0</v>
      </c>
      <c r="U231" s="622">
        <v>30.0</v>
      </c>
      <c r="V231" s="623">
        <v>80.0</v>
      </c>
      <c r="W231" s="624">
        <v>50.0</v>
      </c>
      <c r="X231" s="625">
        <v>65.0</v>
      </c>
      <c r="Y231" s="628">
        <f t="shared" si="1"/>
        <v>330</v>
      </c>
      <c r="Z231" s="619"/>
      <c r="AA231" s="630" t="str">
        <f t="shared" si="2"/>
        <v>#NAME?</v>
      </c>
      <c r="AB231" s="631" t="s">
        <v>76</v>
      </c>
      <c r="AC231" s="632" t="str">
        <f t="shared" si="3"/>
        <v>#NAME?</v>
      </c>
      <c r="AD231" s="630" t="s">
        <v>34</v>
      </c>
      <c r="AE231" s="633" t="str">
        <f t="shared" si="4"/>
        <v>#NAME?</v>
      </c>
      <c r="AF231" s="631" t="s">
        <v>76</v>
      </c>
      <c r="AG231" s="632" t="str">
        <f t="shared" si="5"/>
        <v>#NAME?</v>
      </c>
      <c r="AH231" s="634" t="s">
        <v>34</v>
      </c>
      <c r="AI231" s="635" t="str">
        <f t="shared" si="6"/>
        <v>#NAME?</v>
      </c>
      <c r="AJ231" s="634" t="s">
        <v>76</v>
      </c>
      <c r="AK231" s="636" t="str">
        <f t="shared" si="7"/>
        <v>#NAME?</v>
      </c>
      <c r="AL231" s="637" t="s">
        <v>34</v>
      </c>
      <c r="AM231" s="619"/>
      <c r="AN231" s="638" t="s">
        <v>924</v>
      </c>
      <c r="AO231" s="639" t="s">
        <v>486</v>
      </c>
      <c r="AP231" s="712" t="s">
        <v>924</v>
      </c>
      <c r="AQ231" s="639" t="s">
        <v>486</v>
      </c>
      <c r="AR231" s="719" t="s">
        <v>1587</v>
      </c>
      <c r="AS231" s="639" t="s">
        <v>486</v>
      </c>
      <c r="AT231" s="644"/>
      <c r="AU231" s="645"/>
      <c r="AV231" s="646"/>
      <c r="AW231" s="692"/>
      <c r="AX231" s="693"/>
      <c r="AY231" s="619"/>
      <c r="AZ231" s="648" t="s">
        <v>4</v>
      </c>
      <c r="BA231" s="694"/>
      <c r="BB231" s="690"/>
      <c r="BC231" s="619"/>
      <c r="BD231" s="651" t="s">
        <v>683</v>
      </c>
      <c r="BE231" s="653">
        <v>114.0</v>
      </c>
      <c r="BF231" s="653">
        <v>120.0</v>
      </c>
      <c r="BG231" s="654">
        <v>35.0</v>
      </c>
      <c r="BH231" s="653">
        <v>40.0</v>
      </c>
      <c r="BI231" s="607"/>
      <c r="BJ231" s="655" t="s">
        <v>149</v>
      </c>
      <c r="BK231" s="703" t="s">
        <v>149</v>
      </c>
      <c r="BL231" s="610"/>
      <c r="BM231" s="657" t="s">
        <v>277</v>
      </c>
      <c r="BN231" s="704"/>
      <c r="BO231" s="607"/>
      <c r="BP231" s="659" t="s">
        <v>2182</v>
      </c>
      <c r="BQ231" s="614"/>
      <c r="BR231" s="660" t="s">
        <v>4449</v>
      </c>
      <c r="BS231" s="614"/>
    </row>
    <row r="232" ht="15.75" customHeight="1">
      <c r="A232" s="841"/>
      <c r="B232" s="661" t="s">
        <v>2185</v>
      </c>
      <c r="C232" s="662"/>
      <c r="D232" s="571"/>
      <c r="E232" s="672">
        <v>75.0</v>
      </c>
      <c r="F232" s="664">
        <v>90.0</v>
      </c>
      <c r="G232" s="665">
        <v>50.0</v>
      </c>
      <c r="H232" s="666">
        <v>110.0</v>
      </c>
      <c r="I232" s="667">
        <v>80.0</v>
      </c>
      <c r="J232" s="668">
        <v>95.0</v>
      </c>
      <c r="K232" s="669">
        <v>500.0</v>
      </c>
      <c r="L232" s="670">
        <v>75.0</v>
      </c>
      <c r="M232" s="664">
        <v>90.0</v>
      </c>
      <c r="N232" s="665">
        <v>50.0</v>
      </c>
      <c r="O232" s="666">
        <v>110.0</v>
      </c>
      <c r="P232" s="667">
        <v>80.0</v>
      </c>
      <c r="Q232" s="668">
        <v>95.0</v>
      </c>
      <c r="R232" s="671">
        <v>500.0</v>
      </c>
      <c r="S232" s="672">
        <v>75.0</v>
      </c>
      <c r="T232" s="664">
        <v>90.0</v>
      </c>
      <c r="U232" s="665">
        <v>50.0</v>
      </c>
      <c r="V232" s="666">
        <v>110.0</v>
      </c>
      <c r="W232" s="667">
        <v>80.0</v>
      </c>
      <c r="X232" s="668">
        <v>95.0</v>
      </c>
      <c r="Y232" s="671">
        <f t="shared" si="1"/>
        <v>500</v>
      </c>
      <c r="Z232" s="571"/>
      <c r="AA232" s="673" t="str">
        <f t="shared" si="2"/>
        <v>#NAME?</v>
      </c>
      <c r="AB232" s="674" t="s">
        <v>76</v>
      </c>
      <c r="AC232" s="675" t="str">
        <f t="shared" si="3"/>
        <v>#NAME?</v>
      </c>
      <c r="AD232" s="673" t="s">
        <v>34</v>
      </c>
      <c r="AE232" s="676" t="str">
        <f t="shared" si="4"/>
        <v>#NAME?</v>
      </c>
      <c r="AF232" s="674" t="s">
        <v>76</v>
      </c>
      <c r="AG232" s="675" t="str">
        <f t="shared" si="5"/>
        <v>#NAME?</v>
      </c>
      <c r="AH232" s="586" t="s">
        <v>34</v>
      </c>
      <c r="AI232" s="677" t="str">
        <f t="shared" si="6"/>
        <v>#NAME?</v>
      </c>
      <c r="AJ232" s="586" t="s">
        <v>76</v>
      </c>
      <c r="AK232" s="584" t="str">
        <f t="shared" si="7"/>
        <v>#NAME?</v>
      </c>
      <c r="AL232" s="678" t="s">
        <v>34</v>
      </c>
      <c r="AM232" s="571"/>
      <c r="AN232" s="679" t="s">
        <v>924</v>
      </c>
      <c r="AO232" s="680" t="s">
        <v>486</v>
      </c>
      <c r="AP232" s="705" t="s">
        <v>924</v>
      </c>
      <c r="AQ232" s="680" t="s">
        <v>486</v>
      </c>
      <c r="AR232" s="775" t="s">
        <v>1587</v>
      </c>
      <c r="AS232" s="680" t="s">
        <v>486</v>
      </c>
      <c r="AT232" s="595"/>
      <c r="AU232" s="685"/>
      <c r="AV232" s="686"/>
      <c r="AW232" s="687"/>
      <c r="AX232" s="688"/>
      <c r="AY232" s="571"/>
      <c r="AZ232" s="689" t="s">
        <v>42</v>
      </c>
      <c r="BA232" s="690"/>
      <c r="BB232" s="696"/>
      <c r="BC232" s="571"/>
      <c r="BD232" s="651" t="s">
        <v>683</v>
      </c>
      <c r="BE232" s="653">
        <v>204.0</v>
      </c>
      <c r="BF232" s="653">
        <v>45.0</v>
      </c>
      <c r="BG232" s="654">
        <v>35.0</v>
      </c>
      <c r="BH232" s="653">
        <v>60.0</v>
      </c>
      <c r="BI232" s="607"/>
      <c r="BJ232" s="655" t="s">
        <v>149</v>
      </c>
      <c r="BK232" s="703" t="s">
        <v>149</v>
      </c>
      <c r="BL232" s="610"/>
      <c r="BM232" s="657" t="s">
        <v>277</v>
      </c>
      <c r="BN232" s="704"/>
      <c r="BO232" s="607"/>
      <c r="BP232" s="659" t="s">
        <v>2188</v>
      </c>
      <c r="BQ232" s="614"/>
      <c r="BR232" s="660" t="s">
        <v>4449</v>
      </c>
      <c r="BS232" s="614"/>
    </row>
    <row r="233" ht="15.75" customHeight="1">
      <c r="A233" s="841"/>
      <c r="B233" s="617" t="s">
        <v>2192</v>
      </c>
      <c r="C233" s="618"/>
      <c r="D233" s="619"/>
      <c r="E233" s="629">
        <v>75.0</v>
      </c>
      <c r="F233" s="621">
        <v>95.0</v>
      </c>
      <c r="G233" s="622">
        <v>95.0</v>
      </c>
      <c r="H233" s="623">
        <v>95.0</v>
      </c>
      <c r="I233" s="624">
        <v>95.0</v>
      </c>
      <c r="J233" s="625">
        <v>85.0</v>
      </c>
      <c r="K233" s="626">
        <v>540.0</v>
      </c>
      <c r="L233" s="627">
        <v>75.0</v>
      </c>
      <c r="M233" s="621">
        <v>95.0</v>
      </c>
      <c r="N233" s="622">
        <v>95.0</v>
      </c>
      <c r="O233" s="623">
        <v>95.0</v>
      </c>
      <c r="P233" s="624">
        <v>95.0</v>
      </c>
      <c r="Q233" s="625">
        <v>85.0</v>
      </c>
      <c r="R233" s="628">
        <v>540.0</v>
      </c>
      <c r="S233" s="629">
        <v>75.0</v>
      </c>
      <c r="T233" s="621">
        <v>95.0</v>
      </c>
      <c r="U233" s="622">
        <v>95.0</v>
      </c>
      <c r="V233" s="623">
        <v>95.0</v>
      </c>
      <c r="W233" s="624">
        <v>95.0</v>
      </c>
      <c r="X233" s="625">
        <v>85.0</v>
      </c>
      <c r="Y233" s="628">
        <f t="shared" si="1"/>
        <v>540</v>
      </c>
      <c r="Z233" s="619"/>
      <c r="AA233" s="630" t="str">
        <f t="shared" si="2"/>
        <v>#NAME?</v>
      </c>
      <c r="AB233" s="631" t="s">
        <v>32</v>
      </c>
      <c r="AC233" s="632" t="str">
        <f t="shared" si="3"/>
        <v>#NAME?</v>
      </c>
      <c r="AD233" s="630" t="s">
        <v>61</v>
      </c>
      <c r="AE233" s="633" t="str">
        <f t="shared" si="4"/>
        <v>#NAME?</v>
      </c>
      <c r="AF233" s="631" t="s">
        <v>32</v>
      </c>
      <c r="AG233" s="632" t="str">
        <f t="shared" si="5"/>
        <v>#NAME?</v>
      </c>
      <c r="AH233" s="634" t="s">
        <v>61</v>
      </c>
      <c r="AI233" s="635" t="str">
        <f t="shared" si="6"/>
        <v>#NAME?</v>
      </c>
      <c r="AJ233" s="634" t="s">
        <v>32</v>
      </c>
      <c r="AK233" s="636" t="str">
        <f t="shared" si="7"/>
        <v>#NAME?</v>
      </c>
      <c r="AL233" s="637" t="s">
        <v>61</v>
      </c>
      <c r="AM233" s="619"/>
      <c r="AN233" s="638" t="s">
        <v>1212</v>
      </c>
      <c r="AO233" s="639" t="s">
        <v>301</v>
      </c>
      <c r="AP233" s="712" t="s">
        <v>1212</v>
      </c>
      <c r="AQ233" s="639" t="s">
        <v>301</v>
      </c>
      <c r="AR233" s="712" t="s">
        <v>1212</v>
      </c>
      <c r="AS233" s="639" t="s">
        <v>301</v>
      </c>
      <c r="AT233" s="644"/>
      <c r="AU233" s="645" t="str">
        <f>image("https://www.pokebip.com/pages/icones/objets/ecaille-draco.png", 3)</f>
        <v/>
      </c>
      <c r="AV233" s="646" t="s">
        <v>1215</v>
      </c>
      <c r="AW233" s="692"/>
      <c r="AX233" s="693"/>
      <c r="AY233" s="619"/>
      <c r="AZ233" s="648" t="s">
        <v>325</v>
      </c>
      <c r="BA233" s="649" t="s">
        <v>4</v>
      </c>
      <c r="BB233" s="649" t="s">
        <v>27</v>
      </c>
      <c r="BC233" s="619"/>
      <c r="BD233" s="651" t="s">
        <v>150</v>
      </c>
      <c r="BE233" s="653">
        <v>207.0</v>
      </c>
      <c r="BF233" s="653">
        <v>45.0</v>
      </c>
      <c r="BG233" s="654">
        <v>70.0</v>
      </c>
      <c r="BH233" s="653">
        <v>100.0</v>
      </c>
      <c r="BI233" s="607"/>
      <c r="BJ233" s="655" t="s">
        <v>149</v>
      </c>
      <c r="BK233" s="703" t="s">
        <v>149</v>
      </c>
      <c r="BL233" s="610"/>
      <c r="BM233" s="657" t="s">
        <v>106</v>
      </c>
      <c r="BN233" s="658" t="s">
        <v>61</v>
      </c>
      <c r="BO233" s="607"/>
      <c r="BP233" s="659" t="s">
        <v>4463</v>
      </c>
      <c r="BQ233" s="614"/>
      <c r="BR233" s="660" t="s">
        <v>4430</v>
      </c>
      <c r="BS233" s="614"/>
    </row>
    <row r="234" ht="15.75" customHeight="1">
      <c r="A234" s="841"/>
      <c r="B234" s="661" t="s">
        <v>2202</v>
      </c>
      <c r="C234" s="662"/>
      <c r="D234" s="571"/>
      <c r="E234" s="672">
        <v>90.0</v>
      </c>
      <c r="F234" s="664">
        <v>60.0</v>
      </c>
      <c r="G234" s="665">
        <v>60.0</v>
      </c>
      <c r="H234" s="666">
        <v>40.0</v>
      </c>
      <c r="I234" s="667">
        <v>40.0</v>
      </c>
      <c r="J234" s="668">
        <v>40.0</v>
      </c>
      <c r="K234" s="669">
        <v>330.0</v>
      </c>
      <c r="L234" s="670">
        <v>90.0</v>
      </c>
      <c r="M234" s="664">
        <v>60.0</v>
      </c>
      <c r="N234" s="665">
        <v>60.0</v>
      </c>
      <c r="O234" s="666">
        <v>40.0</v>
      </c>
      <c r="P234" s="667">
        <v>40.0</v>
      </c>
      <c r="Q234" s="668">
        <v>40.0</v>
      </c>
      <c r="R234" s="671">
        <v>330.0</v>
      </c>
      <c r="S234" s="672">
        <v>90.0</v>
      </c>
      <c r="T234" s="664">
        <v>60.0</v>
      </c>
      <c r="U234" s="665">
        <v>60.0</v>
      </c>
      <c r="V234" s="666">
        <v>40.0</v>
      </c>
      <c r="W234" s="667">
        <v>40.0</v>
      </c>
      <c r="X234" s="668">
        <v>40.0</v>
      </c>
      <c r="Y234" s="671">
        <f t="shared" si="1"/>
        <v>330</v>
      </c>
      <c r="Z234" s="571"/>
      <c r="AA234" s="673" t="str">
        <f t="shared" si="2"/>
        <v>#NAME?</v>
      </c>
      <c r="AB234" s="674" t="s">
        <v>79</v>
      </c>
      <c r="AC234" s="675" t="str">
        <f t="shared" si="3"/>
        <v>#NAME?</v>
      </c>
      <c r="AD234" s="680" t="s">
        <v>4428</v>
      </c>
      <c r="AE234" s="676" t="str">
        <f t="shared" si="4"/>
        <v>#NAME?</v>
      </c>
      <c r="AF234" s="674" t="s">
        <v>79</v>
      </c>
      <c r="AG234" s="675" t="str">
        <f t="shared" si="5"/>
        <v>#NAME?</v>
      </c>
      <c r="AH234" s="586" t="s">
        <v>4428</v>
      </c>
      <c r="AI234" s="677" t="str">
        <f t="shared" si="6"/>
        <v>#NAME?</v>
      </c>
      <c r="AJ234" s="586" t="s">
        <v>79</v>
      </c>
      <c r="AK234" s="584" t="str">
        <f t="shared" si="7"/>
        <v>#NAME?</v>
      </c>
      <c r="AL234" s="678" t="s">
        <v>4428</v>
      </c>
      <c r="AM234" s="571"/>
      <c r="AN234" s="679" t="s">
        <v>626</v>
      </c>
      <c r="AO234" s="680"/>
      <c r="AP234" s="734" t="s">
        <v>2205</v>
      </c>
      <c r="AQ234" s="735" t="s">
        <v>626</v>
      </c>
      <c r="AR234" s="736" t="s">
        <v>2205</v>
      </c>
      <c r="AS234" s="737" t="s">
        <v>626</v>
      </c>
      <c r="AT234" s="595"/>
      <c r="AU234" s="685"/>
      <c r="AV234" s="686"/>
      <c r="AW234" s="687"/>
      <c r="AX234" s="688"/>
      <c r="AY234" s="571"/>
      <c r="AZ234" s="695" t="s">
        <v>144</v>
      </c>
      <c r="BA234" s="700"/>
      <c r="BB234" s="690"/>
      <c r="BC234" s="571"/>
      <c r="BD234" s="651" t="s">
        <v>150</v>
      </c>
      <c r="BE234" s="653">
        <v>124.0</v>
      </c>
      <c r="BF234" s="653">
        <v>120.0</v>
      </c>
      <c r="BG234" s="654">
        <v>70.0</v>
      </c>
      <c r="BH234" s="653">
        <v>60.0</v>
      </c>
      <c r="BI234" s="607"/>
      <c r="BJ234" s="764" t="s">
        <v>149</v>
      </c>
      <c r="BK234" s="703" t="s">
        <v>149</v>
      </c>
      <c r="BL234" s="610"/>
      <c r="BM234" s="657" t="s">
        <v>277</v>
      </c>
      <c r="BN234" s="704"/>
      <c r="BO234" s="607"/>
      <c r="BP234" s="659" t="s">
        <v>2206</v>
      </c>
      <c r="BQ234" s="614"/>
      <c r="BR234" s="660" t="s">
        <v>4430</v>
      </c>
      <c r="BS234" s="614"/>
    </row>
    <row r="235" ht="15.75" customHeight="1">
      <c r="A235" s="841"/>
      <c r="B235" s="617" t="s">
        <v>2210</v>
      </c>
      <c r="C235" s="618"/>
      <c r="D235" s="619"/>
      <c r="E235" s="629">
        <v>90.0</v>
      </c>
      <c r="F235" s="621">
        <v>120.0</v>
      </c>
      <c r="G235" s="622">
        <v>120.0</v>
      </c>
      <c r="H235" s="623">
        <v>60.0</v>
      </c>
      <c r="I235" s="624">
        <v>60.0</v>
      </c>
      <c r="J235" s="625">
        <v>50.0</v>
      </c>
      <c r="K235" s="626">
        <v>500.0</v>
      </c>
      <c r="L235" s="627">
        <v>90.0</v>
      </c>
      <c r="M235" s="621">
        <v>120.0</v>
      </c>
      <c r="N235" s="622">
        <v>120.0</v>
      </c>
      <c r="O235" s="623">
        <v>60.0</v>
      </c>
      <c r="P235" s="624">
        <v>60.0</v>
      </c>
      <c r="Q235" s="625">
        <v>50.0</v>
      </c>
      <c r="R235" s="628">
        <v>500.0</v>
      </c>
      <c r="S235" s="629">
        <v>90.0</v>
      </c>
      <c r="T235" s="621">
        <v>120.0</v>
      </c>
      <c r="U235" s="622">
        <v>120.0</v>
      </c>
      <c r="V235" s="623">
        <v>60.0</v>
      </c>
      <c r="W235" s="624">
        <v>60.0</v>
      </c>
      <c r="X235" s="625">
        <v>50.0</v>
      </c>
      <c r="Y235" s="628">
        <f t="shared" si="1"/>
        <v>500</v>
      </c>
      <c r="Z235" s="619"/>
      <c r="AA235" s="630" t="str">
        <f t="shared" si="2"/>
        <v>#NAME?</v>
      </c>
      <c r="AB235" s="631" t="s">
        <v>79</v>
      </c>
      <c r="AC235" s="632" t="str">
        <f t="shared" si="3"/>
        <v>#NAME?</v>
      </c>
      <c r="AD235" s="639" t="s">
        <v>4428</v>
      </c>
      <c r="AE235" s="633" t="str">
        <f t="shared" si="4"/>
        <v>#NAME?</v>
      </c>
      <c r="AF235" s="631" t="s">
        <v>79</v>
      </c>
      <c r="AG235" s="632" t="str">
        <f t="shared" si="5"/>
        <v>#NAME?</v>
      </c>
      <c r="AH235" s="634" t="s">
        <v>4428</v>
      </c>
      <c r="AI235" s="635" t="str">
        <f t="shared" si="6"/>
        <v>#NAME?</v>
      </c>
      <c r="AJ235" s="634" t="s">
        <v>79</v>
      </c>
      <c r="AK235" s="636" t="str">
        <f t="shared" si="7"/>
        <v>#NAME?</v>
      </c>
      <c r="AL235" s="637" t="s">
        <v>4428</v>
      </c>
      <c r="AM235" s="619"/>
      <c r="AN235" s="638" t="s">
        <v>825</v>
      </c>
      <c r="AO235" s="639"/>
      <c r="AP235" s="701" t="s">
        <v>2205</v>
      </c>
      <c r="AQ235" s="740" t="s">
        <v>825</v>
      </c>
      <c r="AR235" s="702" t="s">
        <v>2205</v>
      </c>
      <c r="AS235" s="843" t="s">
        <v>825</v>
      </c>
      <c r="AT235" s="644"/>
      <c r="AU235" s="645"/>
      <c r="AV235" s="646"/>
      <c r="AW235" s="692"/>
      <c r="AX235" s="693"/>
      <c r="AY235" s="619"/>
      <c r="AZ235" s="648" t="s">
        <v>325</v>
      </c>
      <c r="BA235" s="649" t="s">
        <v>101</v>
      </c>
      <c r="BB235" s="650"/>
      <c r="BC235" s="619"/>
      <c r="BD235" s="651" t="s">
        <v>150</v>
      </c>
      <c r="BE235" s="653">
        <v>189.0</v>
      </c>
      <c r="BF235" s="653">
        <v>60.0</v>
      </c>
      <c r="BG235" s="654">
        <v>70.0</v>
      </c>
      <c r="BH235" s="653">
        <v>100.0</v>
      </c>
      <c r="BI235" s="607"/>
      <c r="BJ235" s="655" t="s">
        <v>149</v>
      </c>
      <c r="BK235" s="703" t="s">
        <v>149</v>
      </c>
      <c r="BL235" s="610"/>
      <c r="BM235" s="657" t="s">
        <v>277</v>
      </c>
      <c r="BN235" s="704"/>
      <c r="BO235" s="607"/>
      <c r="BP235" s="659" t="s">
        <v>2213</v>
      </c>
      <c r="BQ235" s="614"/>
      <c r="BR235" s="660" t="s">
        <v>4437</v>
      </c>
      <c r="BS235" s="614"/>
    </row>
    <row r="236" ht="15.75" customHeight="1">
      <c r="A236" s="841"/>
      <c r="B236" s="661" t="s">
        <v>2217</v>
      </c>
      <c r="C236" s="662"/>
      <c r="D236" s="571"/>
      <c r="E236" s="672">
        <v>85.0</v>
      </c>
      <c r="F236" s="664">
        <v>80.0</v>
      </c>
      <c r="G236" s="665">
        <v>90.0</v>
      </c>
      <c r="H236" s="666">
        <v>105.0</v>
      </c>
      <c r="I236" s="667">
        <v>95.0</v>
      </c>
      <c r="J236" s="668">
        <v>60.0</v>
      </c>
      <c r="K236" s="669">
        <v>515.0</v>
      </c>
      <c r="L236" s="670">
        <v>85.0</v>
      </c>
      <c r="M236" s="664">
        <v>80.0</v>
      </c>
      <c r="N236" s="665">
        <v>90.0</v>
      </c>
      <c r="O236" s="666">
        <v>105.0</v>
      </c>
      <c r="P236" s="667">
        <v>95.0</v>
      </c>
      <c r="Q236" s="668">
        <v>60.0</v>
      </c>
      <c r="R236" s="671">
        <v>515.0</v>
      </c>
      <c r="S236" s="672">
        <v>85.0</v>
      </c>
      <c r="T236" s="664">
        <v>80.0</v>
      </c>
      <c r="U236" s="665">
        <v>90.0</v>
      </c>
      <c r="V236" s="666">
        <v>105.0</v>
      </c>
      <c r="W236" s="667">
        <v>95.0</v>
      </c>
      <c r="X236" s="668">
        <v>60.0</v>
      </c>
      <c r="Y236" s="671">
        <f t="shared" si="1"/>
        <v>515</v>
      </c>
      <c r="Z236" s="571"/>
      <c r="AA236" s="673" t="str">
        <f t="shared" si="2"/>
        <v>#NAME?</v>
      </c>
      <c r="AB236" s="674" t="s">
        <v>156</v>
      </c>
      <c r="AC236" s="675" t="str">
        <f t="shared" si="3"/>
        <v>#NAME?</v>
      </c>
      <c r="AD236" s="680" t="s">
        <v>4428</v>
      </c>
      <c r="AE236" s="676" t="str">
        <f t="shared" si="4"/>
        <v>#NAME?</v>
      </c>
      <c r="AF236" s="674" t="s">
        <v>156</v>
      </c>
      <c r="AG236" s="675" t="str">
        <f t="shared" si="5"/>
        <v>#NAME?</v>
      </c>
      <c r="AH236" s="586" t="s">
        <v>4428</v>
      </c>
      <c r="AI236" s="677" t="str">
        <f t="shared" si="6"/>
        <v>#NAME?</v>
      </c>
      <c r="AJ236" s="586" t="s">
        <v>156</v>
      </c>
      <c r="AK236" s="584" t="str">
        <f t="shared" si="7"/>
        <v>#NAME?</v>
      </c>
      <c r="AL236" s="678" t="s">
        <v>4428</v>
      </c>
      <c r="AM236" s="571"/>
      <c r="AN236" s="679" t="s">
        <v>1404</v>
      </c>
      <c r="AO236" s="680" t="s">
        <v>1405</v>
      </c>
      <c r="AP236" s="705" t="s">
        <v>1404</v>
      </c>
      <c r="AQ236" s="680" t="s">
        <v>1405</v>
      </c>
      <c r="AR236" s="705" t="s">
        <v>1404</v>
      </c>
      <c r="AS236" s="680" t="s">
        <v>1405</v>
      </c>
      <c r="AT236" s="595"/>
      <c r="AU236" s="685"/>
      <c r="AV236" s="686"/>
      <c r="AW236" s="687"/>
      <c r="AX236" s="688"/>
      <c r="AY236" s="571"/>
      <c r="AZ236" s="689" t="s">
        <v>42</v>
      </c>
      <c r="BA236" s="690"/>
      <c r="BB236" s="696"/>
      <c r="BC236" s="571"/>
      <c r="BD236" s="651" t="s">
        <v>150</v>
      </c>
      <c r="BE236" s="653">
        <v>180.0</v>
      </c>
      <c r="BF236" s="653">
        <v>45.0</v>
      </c>
      <c r="BG236" s="654">
        <v>70.0</v>
      </c>
      <c r="BH236" s="653">
        <v>60.0</v>
      </c>
      <c r="BI236" s="607"/>
      <c r="BJ236" s="765" t="s">
        <v>890</v>
      </c>
      <c r="BK236" s="766"/>
      <c r="BL236" s="610"/>
      <c r="BM236" s="767" t="s">
        <v>826</v>
      </c>
      <c r="BN236" s="704"/>
      <c r="BO236" s="607"/>
      <c r="BP236" s="659" t="s">
        <v>4464</v>
      </c>
      <c r="BQ236" s="614"/>
      <c r="BR236" s="660" t="s">
        <v>4429</v>
      </c>
      <c r="BS236" s="614"/>
    </row>
    <row r="237" ht="15.75" customHeight="1">
      <c r="A237" s="841"/>
      <c r="B237" s="617" t="s">
        <v>2224</v>
      </c>
      <c r="C237" s="618"/>
      <c r="D237" s="619"/>
      <c r="E237" s="629">
        <v>73.0</v>
      </c>
      <c r="F237" s="621">
        <v>95.0</v>
      </c>
      <c r="G237" s="622">
        <v>62.0</v>
      </c>
      <c r="H237" s="623">
        <v>85.0</v>
      </c>
      <c r="I237" s="624">
        <v>65.0</v>
      </c>
      <c r="J237" s="625">
        <v>85.0</v>
      </c>
      <c r="K237" s="626">
        <v>465.0</v>
      </c>
      <c r="L237" s="627">
        <v>73.0</v>
      </c>
      <c r="M237" s="621">
        <v>95.0</v>
      </c>
      <c r="N237" s="622">
        <v>62.0</v>
      </c>
      <c r="O237" s="623">
        <v>85.0</v>
      </c>
      <c r="P237" s="624">
        <v>65.0</v>
      </c>
      <c r="Q237" s="625">
        <v>85.0</v>
      </c>
      <c r="R237" s="628">
        <v>465.0</v>
      </c>
      <c r="S237" s="629">
        <v>73.0</v>
      </c>
      <c r="T237" s="621">
        <v>95.0</v>
      </c>
      <c r="U237" s="622">
        <v>62.0</v>
      </c>
      <c r="V237" s="623">
        <v>85.0</v>
      </c>
      <c r="W237" s="624">
        <v>65.0</v>
      </c>
      <c r="X237" s="625">
        <v>85.0</v>
      </c>
      <c r="Y237" s="628">
        <f t="shared" si="1"/>
        <v>465</v>
      </c>
      <c r="Z237" s="619"/>
      <c r="AA237" s="630" t="str">
        <f t="shared" si="2"/>
        <v>#NAME?</v>
      </c>
      <c r="AB237" s="631" t="s">
        <v>156</v>
      </c>
      <c r="AC237" s="632" t="str">
        <f t="shared" si="3"/>
        <v>#NAME?</v>
      </c>
      <c r="AD237" s="639" t="s">
        <v>4428</v>
      </c>
      <c r="AE237" s="633" t="str">
        <f t="shared" si="4"/>
        <v>#NAME?</v>
      </c>
      <c r="AF237" s="631" t="s">
        <v>156</v>
      </c>
      <c r="AG237" s="632" t="str">
        <f t="shared" si="5"/>
        <v>#NAME?</v>
      </c>
      <c r="AH237" s="634" t="s">
        <v>4428</v>
      </c>
      <c r="AI237" s="635" t="str">
        <f t="shared" si="6"/>
        <v>#NAME?</v>
      </c>
      <c r="AJ237" s="634" t="s">
        <v>156</v>
      </c>
      <c r="AK237" s="636" t="str">
        <f t="shared" si="7"/>
        <v>#NAME?</v>
      </c>
      <c r="AL237" s="637" t="s">
        <v>4428</v>
      </c>
      <c r="AM237" s="619"/>
      <c r="AN237" s="638" t="s">
        <v>326</v>
      </c>
      <c r="AO237" s="639" t="s">
        <v>2227</v>
      </c>
      <c r="AP237" s="712" t="s">
        <v>326</v>
      </c>
      <c r="AQ237" s="639" t="s">
        <v>2227</v>
      </c>
      <c r="AR237" s="712" t="s">
        <v>326</v>
      </c>
      <c r="AS237" s="639" t="s">
        <v>2227</v>
      </c>
      <c r="AT237" s="644"/>
      <c r="AU237" s="645"/>
      <c r="AV237" s="646"/>
      <c r="AW237" s="692"/>
      <c r="AX237" s="693"/>
      <c r="AY237" s="619"/>
      <c r="AZ237" s="648" t="s">
        <v>325</v>
      </c>
      <c r="BA237" s="694"/>
      <c r="BB237" s="690"/>
      <c r="BC237" s="619"/>
      <c r="BD237" s="651" t="s">
        <v>683</v>
      </c>
      <c r="BE237" s="653">
        <v>165.0</v>
      </c>
      <c r="BF237" s="653">
        <v>45.0</v>
      </c>
      <c r="BG237" s="654">
        <v>70.0</v>
      </c>
      <c r="BH237" s="653">
        <v>80.0</v>
      </c>
      <c r="BI237" s="607"/>
      <c r="BJ237" s="655" t="s">
        <v>149</v>
      </c>
      <c r="BK237" s="703" t="s">
        <v>149</v>
      </c>
      <c r="BL237" s="610"/>
      <c r="BM237" s="657" t="s">
        <v>277</v>
      </c>
      <c r="BN237" s="704"/>
      <c r="BO237" s="607"/>
      <c r="BP237" s="659" t="s">
        <v>914</v>
      </c>
      <c r="BQ237" s="614"/>
      <c r="BR237" s="660" t="s">
        <v>4432</v>
      </c>
      <c r="BS237" s="614"/>
    </row>
    <row r="238" ht="15.75" customHeight="1">
      <c r="A238" s="841"/>
      <c r="B238" s="661" t="s">
        <v>2232</v>
      </c>
      <c r="C238" s="662"/>
      <c r="D238" s="571"/>
      <c r="E238" s="672">
        <v>55.0</v>
      </c>
      <c r="F238" s="664">
        <v>20.0</v>
      </c>
      <c r="G238" s="665">
        <v>35.0</v>
      </c>
      <c r="H238" s="666">
        <v>20.0</v>
      </c>
      <c r="I238" s="667">
        <v>45.0</v>
      </c>
      <c r="J238" s="668">
        <v>75.0</v>
      </c>
      <c r="K238" s="669">
        <v>250.0</v>
      </c>
      <c r="L238" s="670">
        <v>55.0</v>
      </c>
      <c r="M238" s="664">
        <v>20.0</v>
      </c>
      <c r="N238" s="665">
        <v>35.0</v>
      </c>
      <c r="O238" s="666">
        <v>20.0</v>
      </c>
      <c r="P238" s="667">
        <v>45.0</v>
      </c>
      <c r="Q238" s="668">
        <v>75.0</v>
      </c>
      <c r="R238" s="671">
        <v>250.0</v>
      </c>
      <c r="S238" s="672">
        <v>55.0</v>
      </c>
      <c r="T238" s="664">
        <v>20.0</v>
      </c>
      <c r="U238" s="665">
        <v>35.0</v>
      </c>
      <c r="V238" s="666">
        <v>20.0</v>
      </c>
      <c r="W238" s="667">
        <v>45.0</v>
      </c>
      <c r="X238" s="668">
        <v>75.0</v>
      </c>
      <c r="Y238" s="671">
        <f t="shared" si="1"/>
        <v>250</v>
      </c>
      <c r="Z238" s="571"/>
      <c r="AA238" s="673" t="str">
        <f t="shared" si="2"/>
        <v>#NAME?</v>
      </c>
      <c r="AB238" s="674" t="s">
        <v>156</v>
      </c>
      <c r="AC238" s="675" t="str">
        <f t="shared" si="3"/>
        <v>#NAME?</v>
      </c>
      <c r="AD238" s="680" t="s">
        <v>4428</v>
      </c>
      <c r="AE238" s="676" t="str">
        <f t="shared" si="4"/>
        <v>#NAME?</v>
      </c>
      <c r="AF238" s="674" t="s">
        <v>156</v>
      </c>
      <c r="AG238" s="675" t="str">
        <f t="shared" si="5"/>
        <v>#NAME?</v>
      </c>
      <c r="AH238" s="586" t="s">
        <v>4428</v>
      </c>
      <c r="AI238" s="677" t="str">
        <f t="shared" si="6"/>
        <v>#NAME?</v>
      </c>
      <c r="AJ238" s="586" t="s">
        <v>156</v>
      </c>
      <c r="AK238" s="584" t="str">
        <f t="shared" si="7"/>
        <v>#NAME?</v>
      </c>
      <c r="AL238" s="678" t="s">
        <v>4428</v>
      </c>
      <c r="AM238" s="571"/>
      <c r="AN238" s="679" t="s">
        <v>871</v>
      </c>
      <c r="AO238" s="680" t="s">
        <v>627</v>
      </c>
      <c r="AP238" s="734" t="s">
        <v>627</v>
      </c>
      <c r="AQ238" s="735" t="s">
        <v>871</v>
      </c>
      <c r="AR238" s="736" t="s">
        <v>628</v>
      </c>
      <c r="AS238" s="737" t="s">
        <v>871</v>
      </c>
      <c r="AT238" s="595"/>
      <c r="AU238" s="685"/>
      <c r="AV238" s="686"/>
      <c r="AW238" s="687"/>
      <c r="AX238" s="688"/>
      <c r="AY238" s="571"/>
      <c r="AZ238" s="695" t="s">
        <v>56</v>
      </c>
      <c r="BA238" s="700"/>
      <c r="BB238" s="690"/>
      <c r="BC238" s="571"/>
      <c r="BD238" s="651" t="s">
        <v>468</v>
      </c>
      <c r="BE238" s="653">
        <v>106.0</v>
      </c>
      <c r="BF238" s="653">
        <v>45.0</v>
      </c>
      <c r="BG238" s="654">
        <v>70.0</v>
      </c>
      <c r="BH238" s="653">
        <v>80.0</v>
      </c>
      <c r="BI238" s="607"/>
      <c r="BJ238" s="655" t="s">
        <v>149</v>
      </c>
      <c r="BK238" s="703" t="s">
        <v>149</v>
      </c>
      <c r="BL238" s="610"/>
      <c r="BM238" s="657" t="s">
        <v>277</v>
      </c>
      <c r="BN238" s="704"/>
      <c r="BO238" s="607"/>
      <c r="BP238" s="659" t="s">
        <v>914</v>
      </c>
      <c r="BQ238" s="614"/>
      <c r="BR238" s="660" t="s">
        <v>4431</v>
      </c>
      <c r="BS238" s="614"/>
    </row>
    <row r="239" ht="15.75" customHeight="1">
      <c r="A239" s="841"/>
      <c r="B239" s="617" t="s">
        <v>2239</v>
      </c>
      <c r="C239" s="618"/>
      <c r="D239" s="619"/>
      <c r="E239" s="629">
        <v>35.0</v>
      </c>
      <c r="F239" s="621">
        <v>35.0</v>
      </c>
      <c r="G239" s="622">
        <v>35.0</v>
      </c>
      <c r="H239" s="623">
        <v>35.0</v>
      </c>
      <c r="I239" s="624">
        <v>35.0</v>
      </c>
      <c r="J239" s="625">
        <v>35.0</v>
      </c>
      <c r="K239" s="626">
        <v>210.0</v>
      </c>
      <c r="L239" s="627">
        <v>35.0</v>
      </c>
      <c r="M239" s="621">
        <v>35.0</v>
      </c>
      <c r="N239" s="622">
        <v>35.0</v>
      </c>
      <c r="O239" s="623">
        <v>35.0</v>
      </c>
      <c r="P239" s="624">
        <v>35.0</v>
      </c>
      <c r="Q239" s="625">
        <v>35.0</v>
      </c>
      <c r="R239" s="628">
        <v>210.0</v>
      </c>
      <c r="S239" s="629">
        <v>35.0</v>
      </c>
      <c r="T239" s="621">
        <v>35.0</v>
      </c>
      <c r="U239" s="622">
        <v>35.0</v>
      </c>
      <c r="V239" s="623">
        <v>35.0</v>
      </c>
      <c r="W239" s="624">
        <v>35.0</v>
      </c>
      <c r="X239" s="625">
        <v>35.0</v>
      </c>
      <c r="Y239" s="628">
        <f t="shared" si="1"/>
        <v>210</v>
      </c>
      <c r="Z239" s="619"/>
      <c r="AA239" s="630" t="str">
        <f t="shared" si="2"/>
        <v>#NAME?</v>
      </c>
      <c r="AB239" s="631" t="s">
        <v>64</v>
      </c>
      <c r="AC239" s="632" t="str">
        <f t="shared" si="3"/>
        <v>#NAME?</v>
      </c>
      <c r="AD239" s="639" t="s">
        <v>4428</v>
      </c>
      <c r="AE239" s="633" t="str">
        <f t="shared" si="4"/>
        <v>#NAME?</v>
      </c>
      <c r="AF239" s="631" t="s">
        <v>64</v>
      </c>
      <c r="AG239" s="632" t="str">
        <f t="shared" si="5"/>
        <v>#NAME?</v>
      </c>
      <c r="AH239" s="634" t="s">
        <v>4428</v>
      </c>
      <c r="AI239" s="635" t="str">
        <f t="shared" si="6"/>
        <v>#NAME?</v>
      </c>
      <c r="AJ239" s="634" t="s">
        <v>64</v>
      </c>
      <c r="AK239" s="636" t="str">
        <f t="shared" si="7"/>
        <v>#NAME?</v>
      </c>
      <c r="AL239" s="637" t="s">
        <v>4428</v>
      </c>
      <c r="AM239" s="619"/>
      <c r="AN239" s="638" t="s">
        <v>273</v>
      </c>
      <c r="AO239" s="639" t="s">
        <v>2243</v>
      </c>
      <c r="AP239" s="640" t="s">
        <v>2244</v>
      </c>
      <c r="AQ239" s="641" t="s">
        <v>273</v>
      </c>
      <c r="AR239" s="642" t="s">
        <v>2245</v>
      </c>
      <c r="AS239" s="643" t="s">
        <v>273</v>
      </c>
      <c r="AT239" s="644"/>
      <c r="AU239" s="645"/>
      <c r="AV239" s="646"/>
      <c r="AW239" s="692"/>
      <c r="AX239" s="693"/>
      <c r="AY239" s="619"/>
      <c r="AZ239" s="648" t="s">
        <v>2242</v>
      </c>
      <c r="BA239" s="694"/>
      <c r="BB239" s="690"/>
      <c r="BC239" s="619"/>
      <c r="BD239" s="651" t="s">
        <v>150</v>
      </c>
      <c r="BE239" s="653">
        <v>91.0</v>
      </c>
      <c r="BF239" s="653">
        <v>75.0</v>
      </c>
      <c r="BG239" s="654">
        <v>70.0</v>
      </c>
      <c r="BH239" s="653">
        <v>40.0</v>
      </c>
      <c r="BI239" s="607"/>
      <c r="BJ239" s="655" t="s">
        <v>397</v>
      </c>
      <c r="BK239" s="725">
        <v>0.0</v>
      </c>
      <c r="BL239" s="610"/>
      <c r="BM239" s="657" t="s">
        <v>411</v>
      </c>
      <c r="BN239" s="704"/>
      <c r="BO239" s="607"/>
      <c r="BP239" s="659" t="s">
        <v>2247</v>
      </c>
      <c r="BQ239" s="614"/>
      <c r="BR239" s="660" t="s">
        <v>4434</v>
      </c>
      <c r="BS239" s="614"/>
    </row>
    <row r="240" ht="15.75" customHeight="1">
      <c r="A240" s="841"/>
      <c r="B240" s="661" t="s">
        <v>2251</v>
      </c>
      <c r="C240" s="662"/>
      <c r="D240" s="571"/>
      <c r="E240" s="672">
        <v>50.0</v>
      </c>
      <c r="F240" s="664">
        <v>95.0</v>
      </c>
      <c r="G240" s="665">
        <v>95.0</v>
      </c>
      <c r="H240" s="666">
        <v>35.0</v>
      </c>
      <c r="I240" s="667">
        <v>110.0</v>
      </c>
      <c r="J240" s="668">
        <v>70.0</v>
      </c>
      <c r="K240" s="669">
        <v>455.0</v>
      </c>
      <c r="L240" s="670">
        <v>50.0</v>
      </c>
      <c r="M240" s="664">
        <v>95.0</v>
      </c>
      <c r="N240" s="665">
        <v>95.0</v>
      </c>
      <c r="O240" s="666">
        <v>35.0</v>
      </c>
      <c r="P240" s="667">
        <v>110.0</v>
      </c>
      <c r="Q240" s="668">
        <v>70.0</v>
      </c>
      <c r="R240" s="671">
        <v>455.0</v>
      </c>
      <c r="S240" s="672">
        <v>50.0</v>
      </c>
      <c r="T240" s="664">
        <v>95.0</v>
      </c>
      <c r="U240" s="665">
        <v>95.0</v>
      </c>
      <c r="V240" s="666">
        <v>35.0</v>
      </c>
      <c r="W240" s="667">
        <v>110.0</v>
      </c>
      <c r="X240" s="668">
        <v>70.0</v>
      </c>
      <c r="Y240" s="671">
        <f t="shared" si="1"/>
        <v>455</v>
      </c>
      <c r="Z240" s="571"/>
      <c r="AA240" s="673" t="str">
        <f t="shared" si="2"/>
        <v>#NAME?</v>
      </c>
      <c r="AB240" s="674" t="s">
        <v>64</v>
      </c>
      <c r="AC240" s="675" t="str">
        <f t="shared" si="3"/>
        <v>#NAME?</v>
      </c>
      <c r="AD240" s="680" t="s">
        <v>4428</v>
      </c>
      <c r="AE240" s="676" t="str">
        <f t="shared" si="4"/>
        <v>#NAME?</v>
      </c>
      <c r="AF240" s="674" t="s">
        <v>64</v>
      </c>
      <c r="AG240" s="675" t="str">
        <f t="shared" si="5"/>
        <v>#NAME?</v>
      </c>
      <c r="AH240" s="586" t="s">
        <v>4428</v>
      </c>
      <c r="AI240" s="677" t="str">
        <f t="shared" si="6"/>
        <v>#NAME?</v>
      </c>
      <c r="AJ240" s="586" t="s">
        <v>64</v>
      </c>
      <c r="AK240" s="584" t="str">
        <f t="shared" si="7"/>
        <v>#NAME?</v>
      </c>
      <c r="AL240" s="678" t="s">
        <v>4428</v>
      </c>
      <c r="AM240" s="571"/>
      <c r="AN240" s="679" t="s">
        <v>326</v>
      </c>
      <c r="AO240" s="680" t="s">
        <v>627</v>
      </c>
      <c r="AP240" s="681" t="s">
        <v>2049</v>
      </c>
      <c r="AQ240" s="716" t="s">
        <v>326</v>
      </c>
      <c r="AR240" s="683" t="s">
        <v>2050</v>
      </c>
      <c r="AS240" s="718" t="s">
        <v>326</v>
      </c>
      <c r="AT240" s="595"/>
      <c r="AU240" s="685"/>
      <c r="AV240" s="686"/>
      <c r="AW240" s="687"/>
      <c r="AX240" s="688"/>
      <c r="AY240" s="571"/>
      <c r="AZ240" s="689" t="s">
        <v>815</v>
      </c>
      <c r="BA240" s="690"/>
      <c r="BB240" s="696"/>
      <c r="BC240" s="571"/>
      <c r="BD240" s="651" t="s">
        <v>150</v>
      </c>
      <c r="BE240" s="653">
        <v>138.0</v>
      </c>
      <c r="BF240" s="653">
        <v>45.0</v>
      </c>
      <c r="BG240" s="654">
        <v>70.0</v>
      </c>
      <c r="BH240" s="653">
        <v>60.0</v>
      </c>
      <c r="BI240" s="607"/>
      <c r="BJ240" s="655" t="s">
        <v>397</v>
      </c>
      <c r="BK240" s="725">
        <v>0.0</v>
      </c>
      <c r="BL240" s="610"/>
      <c r="BM240" s="657" t="s">
        <v>728</v>
      </c>
      <c r="BN240" s="704"/>
      <c r="BO240" s="607"/>
      <c r="BP240" s="659" t="s">
        <v>2254</v>
      </c>
      <c r="BQ240" s="614"/>
      <c r="BR240" s="660" t="s">
        <v>4432</v>
      </c>
      <c r="BS240" s="614"/>
    </row>
    <row r="241" ht="15.75" customHeight="1">
      <c r="A241" s="841"/>
      <c r="B241" s="617" t="s">
        <v>2258</v>
      </c>
      <c r="C241" s="618"/>
      <c r="D241" s="619"/>
      <c r="E241" s="629">
        <v>45.0</v>
      </c>
      <c r="F241" s="750">
        <v>30.0</v>
      </c>
      <c r="G241" s="622">
        <v>15.0</v>
      </c>
      <c r="H241" s="623">
        <v>85.0</v>
      </c>
      <c r="I241" s="624">
        <v>65.0</v>
      </c>
      <c r="J241" s="625">
        <v>65.0</v>
      </c>
      <c r="K241" s="749">
        <v>305.0</v>
      </c>
      <c r="L241" s="627">
        <v>45.0</v>
      </c>
      <c r="M241" s="621">
        <v>30.0</v>
      </c>
      <c r="N241" s="622">
        <v>15.0</v>
      </c>
      <c r="O241" s="623">
        <v>85.0</v>
      </c>
      <c r="P241" s="624">
        <v>65.0</v>
      </c>
      <c r="Q241" s="625">
        <v>65.0</v>
      </c>
      <c r="R241" s="628">
        <v>305.0</v>
      </c>
      <c r="S241" s="629">
        <v>45.0</v>
      </c>
      <c r="T241" s="621">
        <v>30.0</v>
      </c>
      <c r="U241" s="622">
        <v>15.0</v>
      </c>
      <c r="V241" s="748">
        <v>95.0</v>
      </c>
      <c r="W241" s="624">
        <v>65.0</v>
      </c>
      <c r="X241" s="625">
        <v>65.0</v>
      </c>
      <c r="Y241" s="628">
        <f t="shared" si="1"/>
        <v>315</v>
      </c>
      <c r="Z241" s="619"/>
      <c r="AA241" s="630" t="str">
        <f t="shared" si="2"/>
        <v>#NAME?</v>
      </c>
      <c r="AB241" s="631" t="s">
        <v>120</v>
      </c>
      <c r="AC241" s="632" t="str">
        <f t="shared" si="3"/>
        <v>#NAME?</v>
      </c>
      <c r="AD241" s="630" t="s">
        <v>122</v>
      </c>
      <c r="AE241" s="633" t="str">
        <f t="shared" si="4"/>
        <v>#NAME?</v>
      </c>
      <c r="AF241" s="631" t="s">
        <v>120</v>
      </c>
      <c r="AG241" s="632" t="str">
        <f t="shared" si="5"/>
        <v>#NAME?</v>
      </c>
      <c r="AH241" s="634" t="s">
        <v>122</v>
      </c>
      <c r="AI241" s="635" t="str">
        <f t="shared" si="6"/>
        <v>#NAME?</v>
      </c>
      <c r="AJ241" s="634" t="s">
        <v>120</v>
      </c>
      <c r="AK241" s="636" t="str">
        <f t="shared" si="7"/>
        <v>#NAME?</v>
      </c>
      <c r="AL241" s="637" t="s">
        <v>122</v>
      </c>
      <c r="AM241" s="619"/>
      <c r="AN241" s="638" t="s">
        <v>870</v>
      </c>
      <c r="AO241" s="639" t="s">
        <v>1033</v>
      </c>
      <c r="AP241" s="721" t="s">
        <v>2263</v>
      </c>
      <c r="AQ241" s="639" t="s">
        <v>1033</v>
      </c>
      <c r="AR241" s="721" t="s">
        <v>2263</v>
      </c>
      <c r="AS241" s="639" t="s">
        <v>1033</v>
      </c>
      <c r="AT241" s="644"/>
      <c r="AU241" s="645"/>
      <c r="AV241" s="646"/>
      <c r="AW241" s="692"/>
      <c r="AX241" s="693"/>
      <c r="AY241" s="619"/>
      <c r="AZ241" s="648" t="s">
        <v>4</v>
      </c>
      <c r="BA241" s="694"/>
      <c r="BB241" s="690"/>
      <c r="BC241" s="619"/>
      <c r="BD241" s="651" t="s">
        <v>150</v>
      </c>
      <c r="BE241" s="653">
        <v>87.0</v>
      </c>
      <c r="BF241" s="653">
        <v>45.0</v>
      </c>
      <c r="BG241" s="654">
        <v>70.0</v>
      </c>
      <c r="BH241" s="653">
        <v>20.0</v>
      </c>
      <c r="BI241" s="607"/>
      <c r="BJ241" s="724">
        <v>0.0</v>
      </c>
      <c r="BK241" s="703" t="s">
        <v>397</v>
      </c>
      <c r="BL241" s="610"/>
      <c r="BM241" s="657" t="s">
        <v>411</v>
      </c>
      <c r="BN241" s="704"/>
      <c r="BO241" s="607"/>
      <c r="BP241" s="659" t="s">
        <v>2264</v>
      </c>
      <c r="BQ241" s="614"/>
      <c r="BR241" s="660" t="s">
        <v>4435</v>
      </c>
      <c r="BS241" s="614"/>
    </row>
    <row r="242" ht="15.75" customHeight="1">
      <c r="A242" s="841"/>
      <c r="B242" s="661" t="s">
        <v>2268</v>
      </c>
      <c r="C242" s="662"/>
      <c r="D242" s="571"/>
      <c r="E242" s="672">
        <v>45.0</v>
      </c>
      <c r="F242" s="664">
        <v>63.0</v>
      </c>
      <c r="G242" s="665">
        <v>37.0</v>
      </c>
      <c r="H242" s="666">
        <v>65.0</v>
      </c>
      <c r="I242" s="667">
        <v>55.0</v>
      </c>
      <c r="J242" s="668">
        <v>95.0</v>
      </c>
      <c r="K242" s="669">
        <v>360.0</v>
      </c>
      <c r="L242" s="670">
        <v>45.0</v>
      </c>
      <c r="M242" s="664">
        <v>63.0</v>
      </c>
      <c r="N242" s="665">
        <v>37.0</v>
      </c>
      <c r="O242" s="666">
        <v>65.0</v>
      </c>
      <c r="P242" s="667">
        <v>55.0</v>
      </c>
      <c r="Q242" s="668">
        <v>95.0</v>
      </c>
      <c r="R242" s="671">
        <v>360.0</v>
      </c>
      <c r="S242" s="672">
        <v>45.0</v>
      </c>
      <c r="T242" s="664">
        <v>63.0</v>
      </c>
      <c r="U242" s="665">
        <v>37.0</v>
      </c>
      <c r="V242" s="666">
        <v>65.0</v>
      </c>
      <c r="W242" s="667">
        <v>55.0</v>
      </c>
      <c r="X242" s="668">
        <v>95.0</v>
      </c>
      <c r="Y242" s="671">
        <f t="shared" si="1"/>
        <v>360</v>
      </c>
      <c r="Z242" s="571"/>
      <c r="AA242" s="673" t="str">
        <f t="shared" si="2"/>
        <v>#NAME?</v>
      </c>
      <c r="AB242" s="674" t="s">
        <v>197</v>
      </c>
      <c r="AC242" s="675" t="str">
        <f t="shared" si="3"/>
        <v>#NAME?</v>
      </c>
      <c r="AD242" s="680" t="s">
        <v>4428</v>
      </c>
      <c r="AE242" s="676" t="str">
        <f t="shared" si="4"/>
        <v>#NAME?</v>
      </c>
      <c r="AF242" s="674" t="s">
        <v>197</v>
      </c>
      <c r="AG242" s="675" t="str">
        <f t="shared" si="5"/>
        <v>#NAME?</v>
      </c>
      <c r="AH242" s="586" t="s">
        <v>4428</v>
      </c>
      <c r="AI242" s="677" t="str">
        <f t="shared" si="6"/>
        <v>#NAME?</v>
      </c>
      <c r="AJ242" s="586" t="s">
        <v>197</v>
      </c>
      <c r="AK242" s="584" t="str">
        <f t="shared" si="7"/>
        <v>#NAME?</v>
      </c>
      <c r="AL242" s="678" t="s">
        <v>4428</v>
      </c>
      <c r="AM242" s="571"/>
      <c r="AN242" s="679" t="s">
        <v>352</v>
      </c>
      <c r="AO242" s="680"/>
      <c r="AP242" s="705" t="s">
        <v>352</v>
      </c>
      <c r="AQ242" s="722" t="s">
        <v>1306</v>
      </c>
      <c r="AR242" s="705" t="s">
        <v>352</v>
      </c>
      <c r="AS242" s="722" t="s">
        <v>1306</v>
      </c>
      <c r="AT242" s="595"/>
      <c r="AU242" s="685" t="str">
        <f>image("https://www.pokebip.com/pages/icones/objets/electriseur.png", 3)</f>
        <v/>
      </c>
      <c r="AV242" s="686" t="s">
        <v>1308</v>
      </c>
      <c r="AW242" s="687"/>
      <c r="AX242" s="688"/>
      <c r="AY242" s="571"/>
      <c r="AZ242" s="695" t="s">
        <v>56</v>
      </c>
      <c r="BA242" s="700"/>
      <c r="BB242" s="690"/>
      <c r="BC242" s="571"/>
      <c r="BD242" s="651" t="s">
        <v>150</v>
      </c>
      <c r="BE242" s="653">
        <v>106.0</v>
      </c>
      <c r="BF242" s="653">
        <v>45.0</v>
      </c>
      <c r="BG242" s="654">
        <v>70.0</v>
      </c>
      <c r="BH242" s="653">
        <v>40.0</v>
      </c>
      <c r="BI242" s="607"/>
      <c r="BJ242" s="655" t="s">
        <v>467</v>
      </c>
      <c r="BK242" s="656">
        <v>0.25</v>
      </c>
      <c r="BL242" s="610"/>
      <c r="BM242" s="657" t="s">
        <v>411</v>
      </c>
      <c r="BN242" s="704"/>
      <c r="BO242" s="607"/>
      <c r="BP242" s="659" t="s">
        <v>2272</v>
      </c>
      <c r="BQ242" s="614"/>
      <c r="BR242" s="660" t="s">
        <v>4433</v>
      </c>
      <c r="BS242" s="614"/>
    </row>
    <row r="243" ht="15.75" customHeight="1">
      <c r="A243" s="841"/>
      <c r="B243" s="617" t="s">
        <v>2277</v>
      </c>
      <c r="C243" s="618"/>
      <c r="D243" s="619"/>
      <c r="E243" s="629">
        <v>45.0</v>
      </c>
      <c r="F243" s="621">
        <v>75.0</v>
      </c>
      <c r="G243" s="622">
        <v>37.0</v>
      </c>
      <c r="H243" s="623">
        <v>70.0</v>
      </c>
      <c r="I243" s="624">
        <v>55.0</v>
      </c>
      <c r="J243" s="753">
        <v>83.0</v>
      </c>
      <c r="K243" s="749">
        <v>365.0</v>
      </c>
      <c r="L243" s="627">
        <v>45.0</v>
      </c>
      <c r="M243" s="621">
        <v>75.0</v>
      </c>
      <c r="N243" s="622">
        <v>37.0</v>
      </c>
      <c r="O243" s="623">
        <v>70.0</v>
      </c>
      <c r="P243" s="624">
        <v>55.0</v>
      </c>
      <c r="Q243" s="625">
        <v>83.0</v>
      </c>
      <c r="R243" s="628">
        <v>365.0</v>
      </c>
      <c r="S243" s="629">
        <v>45.0</v>
      </c>
      <c r="T243" s="621">
        <v>75.0</v>
      </c>
      <c r="U243" s="622">
        <v>37.0</v>
      </c>
      <c r="V243" s="623">
        <v>70.0</v>
      </c>
      <c r="W243" s="624">
        <v>55.0</v>
      </c>
      <c r="X243" s="625">
        <v>83.0</v>
      </c>
      <c r="Y243" s="628">
        <f t="shared" si="1"/>
        <v>365</v>
      </c>
      <c r="Z243" s="619"/>
      <c r="AA243" s="630" t="str">
        <f t="shared" si="2"/>
        <v>#NAME?</v>
      </c>
      <c r="AB243" s="631" t="s">
        <v>34</v>
      </c>
      <c r="AC243" s="632" t="str">
        <f t="shared" si="3"/>
        <v>#NAME?</v>
      </c>
      <c r="AD243" s="639" t="s">
        <v>4428</v>
      </c>
      <c r="AE243" s="633" t="str">
        <f t="shared" si="4"/>
        <v>#NAME?</v>
      </c>
      <c r="AF243" s="631" t="s">
        <v>34</v>
      </c>
      <c r="AG243" s="632" t="str">
        <f t="shared" si="5"/>
        <v>#NAME?</v>
      </c>
      <c r="AH243" s="634" t="s">
        <v>4428</v>
      </c>
      <c r="AI243" s="635" t="str">
        <f t="shared" si="6"/>
        <v>#NAME?</v>
      </c>
      <c r="AJ243" s="634" t="s">
        <v>34</v>
      </c>
      <c r="AK243" s="636" t="str">
        <f t="shared" si="7"/>
        <v>#NAME?</v>
      </c>
      <c r="AL243" s="637" t="s">
        <v>4428</v>
      </c>
      <c r="AM243" s="619"/>
      <c r="AN243" s="638" t="s">
        <v>1315</v>
      </c>
      <c r="AO243" s="639"/>
      <c r="AP243" s="712" t="s">
        <v>1315</v>
      </c>
      <c r="AQ243" s="723" t="s">
        <v>1306</v>
      </c>
      <c r="AR243" s="712" t="s">
        <v>1315</v>
      </c>
      <c r="AS243" s="723" t="s">
        <v>1306</v>
      </c>
      <c r="AT243" s="644"/>
      <c r="AU243" s="645" t="str">
        <f>image("https://www.pokebip.com/pages/icones/objets/magmariseur.png", 3)</f>
        <v/>
      </c>
      <c r="AV243" s="646" t="s">
        <v>1318</v>
      </c>
      <c r="AW243" s="692"/>
      <c r="AX243" s="693"/>
      <c r="AY243" s="619"/>
      <c r="AZ243" s="648" t="s">
        <v>56</v>
      </c>
      <c r="BA243" s="694"/>
      <c r="BB243" s="690"/>
      <c r="BC243" s="619"/>
      <c r="BD243" s="651" t="s">
        <v>150</v>
      </c>
      <c r="BE243" s="653">
        <v>117.0</v>
      </c>
      <c r="BF243" s="653">
        <v>45.0</v>
      </c>
      <c r="BG243" s="654">
        <v>70.0</v>
      </c>
      <c r="BH243" s="653">
        <v>40.0</v>
      </c>
      <c r="BI243" s="607"/>
      <c r="BJ243" s="655" t="s">
        <v>467</v>
      </c>
      <c r="BK243" s="656">
        <v>0.25</v>
      </c>
      <c r="BL243" s="610"/>
      <c r="BM243" s="657" t="s">
        <v>411</v>
      </c>
      <c r="BN243" s="704"/>
      <c r="BO243" s="607"/>
      <c r="BP243" s="659" t="s">
        <v>2281</v>
      </c>
      <c r="BQ243" s="614"/>
      <c r="BR243" s="660" t="s">
        <v>4429</v>
      </c>
      <c r="BS243" s="614"/>
    </row>
    <row r="244" ht="15.75" customHeight="1">
      <c r="A244" s="841"/>
      <c r="B244" s="661" t="s">
        <v>2285</v>
      </c>
      <c r="C244" s="662"/>
      <c r="D244" s="571"/>
      <c r="E244" s="672">
        <v>95.0</v>
      </c>
      <c r="F244" s="664">
        <v>80.0</v>
      </c>
      <c r="G244" s="665">
        <v>105.0</v>
      </c>
      <c r="H244" s="666">
        <v>40.0</v>
      </c>
      <c r="I244" s="667">
        <v>70.0</v>
      </c>
      <c r="J244" s="668">
        <v>100.0</v>
      </c>
      <c r="K244" s="669">
        <v>490.0</v>
      </c>
      <c r="L244" s="670">
        <v>95.0</v>
      </c>
      <c r="M244" s="664">
        <v>80.0</v>
      </c>
      <c r="N244" s="665">
        <v>105.0</v>
      </c>
      <c r="O244" s="666">
        <v>40.0</v>
      </c>
      <c r="P244" s="667">
        <v>70.0</v>
      </c>
      <c r="Q244" s="668">
        <v>100.0</v>
      </c>
      <c r="R244" s="671">
        <v>490.0</v>
      </c>
      <c r="S244" s="672">
        <v>95.0</v>
      </c>
      <c r="T244" s="664">
        <v>80.0</v>
      </c>
      <c r="U244" s="665">
        <v>105.0</v>
      </c>
      <c r="V244" s="666">
        <v>40.0</v>
      </c>
      <c r="W244" s="667">
        <v>70.0</v>
      </c>
      <c r="X244" s="668">
        <v>100.0</v>
      </c>
      <c r="Y244" s="671">
        <f t="shared" si="1"/>
        <v>490</v>
      </c>
      <c r="Z244" s="571"/>
      <c r="AA244" s="673" t="str">
        <f t="shared" si="2"/>
        <v>#NAME?</v>
      </c>
      <c r="AB244" s="674" t="s">
        <v>156</v>
      </c>
      <c r="AC244" s="675" t="str">
        <f t="shared" si="3"/>
        <v>#NAME?</v>
      </c>
      <c r="AD244" s="680" t="s">
        <v>4428</v>
      </c>
      <c r="AE244" s="676" t="str">
        <f t="shared" si="4"/>
        <v>#NAME?</v>
      </c>
      <c r="AF244" s="674" t="s">
        <v>156</v>
      </c>
      <c r="AG244" s="675" t="str">
        <f t="shared" si="5"/>
        <v>#NAME?</v>
      </c>
      <c r="AH244" s="586" t="s">
        <v>4428</v>
      </c>
      <c r="AI244" s="677" t="str">
        <f t="shared" si="6"/>
        <v>#NAME?</v>
      </c>
      <c r="AJ244" s="586" t="s">
        <v>156</v>
      </c>
      <c r="AK244" s="584" t="str">
        <f t="shared" si="7"/>
        <v>#NAME?</v>
      </c>
      <c r="AL244" s="678" t="s">
        <v>4428</v>
      </c>
      <c r="AM244" s="571"/>
      <c r="AN244" s="679" t="s">
        <v>944</v>
      </c>
      <c r="AO244" s="680" t="s">
        <v>1203</v>
      </c>
      <c r="AP244" s="705" t="s">
        <v>944</v>
      </c>
      <c r="AQ244" s="680" t="s">
        <v>1203</v>
      </c>
      <c r="AR244" s="705" t="s">
        <v>944</v>
      </c>
      <c r="AS244" s="680" t="s">
        <v>1203</v>
      </c>
      <c r="AT244" s="595"/>
      <c r="AU244" s="685" t="str">
        <f>image("https://www.pokebip.com/pages/icones/objets/lait-meumeu-3g.png", 3)</f>
        <v/>
      </c>
      <c r="AV244" s="686" t="s">
        <v>2289</v>
      </c>
      <c r="AW244" s="687"/>
      <c r="AX244" s="688"/>
      <c r="AY244" s="571"/>
      <c r="AZ244" s="689" t="s">
        <v>162</v>
      </c>
      <c r="BA244" s="690"/>
      <c r="BB244" s="696"/>
      <c r="BC244" s="571"/>
      <c r="BD244" s="651" t="s">
        <v>683</v>
      </c>
      <c r="BE244" s="653">
        <v>200.0</v>
      </c>
      <c r="BF244" s="653">
        <v>45.0</v>
      </c>
      <c r="BG244" s="654">
        <v>70.0</v>
      </c>
      <c r="BH244" s="653">
        <v>80.0</v>
      </c>
      <c r="BI244" s="607"/>
      <c r="BJ244" s="724">
        <v>0.0</v>
      </c>
      <c r="BK244" s="703" t="s">
        <v>397</v>
      </c>
      <c r="BL244" s="610"/>
      <c r="BM244" s="657" t="s">
        <v>277</v>
      </c>
      <c r="BN244" s="704"/>
      <c r="BO244" s="607"/>
      <c r="BP244" s="659" t="s">
        <v>914</v>
      </c>
      <c r="BQ244" s="614"/>
      <c r="BR244" s="660" t="s">
        <v>4435</v>
      </c>
      <c r="BS244" s="614"/>
    </row>
    <row r="245" ht="15.75" customHeight="1">
      <c r="A245" s="841"/>
      <c r="B245" s="617" t="s">
        <v>2293</v>
      </c>
      <c r="C245" s="618"/>
      <c r="D245" s="619"/>
      <c r="E245" s="629">
        <v>255.0</v>
      </c>
      <c r="F245" s="621">
        <v>10.0</v>
      </c>
      <c r="G245" s="622">
        <v>10.0</v>
      </c>
      <c r="H245" s="623">
        <v>75.0</v>
      </c>
      <c r="I245" s="624">
        <v>135.0</v>
      </c>
      <c r="J245" s="625">
        <v>55.0</v>
      </c>
      <c r="K245" s="626">
        <v>540.0</v>
      </c>
      <c r="L245" s="627">
        <v>255.0</v>
      </c>
      <c r="M245" s="621">
        <v>10.0</v>
      </c>
      <c r="N245" s="622">
        <v>10.0</v>
      </c>
      <c r="O245" s="623">
        <v>75.0</v>
      </c>
      <c r="P245" s="624">
        <v>135.0</v>
      </c>
      <c r="Q245" s="625">
        <v>55.0</v>
      </c>
      <c r="R245" s="628">
        <v>540.0</v>
      </c>
      <c r="S245" s="629">
        <v>255.0</v>
      </c>
      <c r="T245" s="621">
        <v>10.0</v>
      </c>
      <c r="U245" s="622">
        <v>10.0</v>
      </c>
      <c r="V245" s="623">
        <v>75.0</v>
      </c>
      <c r="W245" s="624">
        <v>135.0</v>
      </c>
      <c r="X245" s="625">
        <v>55.0</v>
      </c>
      <c r="Y245" s="628">
        <f t="shared" si="1"/>
        <v>540</v>
      </c>
      <c r="Z245" s="619"/>
      <c r="AA245" s="630" t="str">
        <f t="shared" si="2"/>
        <v>#NAME?</v>
      </c>
      <c r="AB245" s="631" t="s">
        <v>156</v>
      </c>
      <c r="AC245" s="632" t="str">
        <f t="shared" si="3"/>
        <v>#NAME?</v>
      </c>
      <c r="AD245" s="639" t="s">
        <v>4428</v>
      </c>
      <c r="AE245" s="633" t="str">
        <f t="shared" si="4"/>
        <v>#NAME?</v>
      </c>
      <c r="AF245" s="631" t="s">
        <v>156</v>
      </c>
      <c r="AG245" s="632" t="str">
        <f t="shared" si="5"/>
        <v>#NAME?</v>
      </c>
      <c r="AH245" s="634" t="s">
        <v>4428</v>
      </c>
      <c r="AI245" s="635" t="str">
        <f t="shared" si="6"/>
        <v>#NAME?</v>
      </c>
      <c r="AJ245" s="634" t="s">
        <v>156</v>
      </c>
      <c r="AK245" s="636" t="str">
        <f t="shared" si="7"/>
        <v>#NAME?</v>
      </c>
      <c r="AL245" s="637" t="s">
        <v>4428</v>
      </c>
      <c r="AM245" s="619"/>
      <c r="AN245" s="638" t="s">
        <v>1182</v>
      </c>
      <c r="AO245" s="639" t="s">
        <v>1183</v>
      </c>
      <c r="AP245" s="854" t="s">
        <v>1183</v>
      </c>
      <c r="AQ245" s="757" t="s">
        <v>1182</v>
      </c>
      <c r="AR245" s="856" t="s">
        <v>1184</v>
      </c>
      <c r="AS245" s="758" t="s">
        <v>1182</v>
      </c>
      <c r="AT245" s="644"/>
      <c r="AU245" s="645" t="str">
        <f>image("https://www.pokebip.com/pages/icones/objets/oeuf-chance.png", 3)</f>
        <v/>
      </c>
      <c r="AV245" s="646" t="s">
        <v>2298</v>
      </c>
      <c r="AW245" s="692"/>
      <c r="AX245" s="693"/>
      <c r="AY245" s="619"/>
      <c r="AZ245" s="698" t="s">
        <v>422</v>
      </c>
      <c r="BA245" s="699"/>
      <c r="BB245" s="690"/>
      <c r="BC245" s="619"/>
      <c r="BD245" s="651" t="s">
        <v>468</v>
      </c>
      <c r="BE245" s="653">
        <v>255.0</v>
      </c>
      <c r="BF245" s="653">
        <v>30.0</v>
      </c>
      <c r="BG245" s="654">
        <v>140.0</v>
      </c>
      <c r="BH245" s="653">
        <v>60.0</v>
      </c>
      <c r="BI245" s="607"/>
      <c r="BJ245" s="724">
        <v>0.0</v>
      </c>
      <c r="BK245" s="703" t="s">
        <v>397</v>
      </c>
      <c r="BL245" s="610"/>
      <c r="BM245" s="657" t="s">
        <v>153</v>
      </c>
      <c r="BN245" s="704"/>
      <c r="BO245" s="607"/>
      <c r="BP245" s="659" t="s">
        <v>2297</v>
      </c>
      <c r="BQ245" s="614"/>
      <c r="BR245" s="660" t="s">
        <v>4435</v>
      </c>
      <c r="BS245" s="614"/>
    </row>
    <row r="246" ht="15.75" customHeight="1">
      <c r="A246" s="841"/>
      <c r="B246" s="661" t="s">
        <v>2302</v>
      </c>
      <c r="C246" s="662"/>
      <c r="D246" s="571"/>
      <c r="E246" s="672">
        <v>90.0</v>
      </c>
      <c r="F246" s="664">
        <v>85.0</v>
      </c>
      <c r="G246" s="665">
        <v>75.0</v>
      </c>
      <c r="H246" s="666">
        <v>115.0</v>
      </c>
      <c r="I246" s="667">
        <v>100.0</v>
      </c>
      <c r="J246" s="668">
        <v>115.0</v>
      </c>
      <c r="K246" s="669">
        <v>580.0</v>
      </c>
      <c r="L246" s="670">
        <v>90.0</v>
      </c>
      <c r="M246" s="664">
        <v>85.0</v>
      </c>
      <c r="N246" s="665">
        <v>75.0</v>
      </c>
      <c r="O246" s="666">
        <v>115.0</v>
      </c>
      <c r="P246" s="667">
        <v>100.0</v>
      </c>
      <c r="Q246" s="668">
        <v>115.0</v>
      </c>
      <c r="R246" s="671">
        <v>580.0</v>
      </c>
      <c r="S246" s="672">
        <v>90.0</v>
      </c>
      <c r="T246" s="664">
        <v>85.0</v>
      </c>
      <c r="U246" s="665">
        <v>75.0</v>
      </c>
      <c r="V246" s="666">
        <v>115.0</v>
      </c>
      <c r="W246" s="667">
        <v>100.0</v>
      </c>
      <c r="X246" s="668">
        <v>115.0</v>
      </c>
      <c r="Y246" s="671">
        <f t="shared" si="1"/>
        <v>580</v>
      </c>
      <c r="Z246" s="571"/>
      <c r="AA246" s="673" t="str">
        <f t="shared" si="2"/>
        <v>#NAME?</v>
      </c>
      <c r="AB246" s="674" t="s">
        <v>197</v>
      </c>
      <c r="AC246" s="675" t="str">
        <f t="shared" si="3"/>
        <v>#NAME?</v>
      </c>
      <c r="AD246" s="680" t="s">
        <v>4428</v>
      </c>
      <c r="AE246" s="676" t="str">
        <f t="shared" si="4"/>
        <v>#NAME?</v>
      </c>
      <c r="AF246" s="674" t="s">
        <v>197</v>
      </c>
      <c r="AG246" s="675" t="str">
        <f t="shared" si="5"/>
        <v>#NAME?</v>
      </c>
      <c r="AH246" s="586" t="s">
        <v>4428</v>
      </c>
      <c r="AI246" s="677" t="str">
        <f t="shared" si="6"/>
        <v>#NAME?</v>
      </c>
      <c r="AJ246" s="586" t="s">
        <v>197</v>
      </c>
      <c r="AK246" s="584" t="str">
        <f t="shared" si="7"/>
        <v>#NAME?</v>
      </c>
      <c r="AL246" s="678" t="s">
        <v>4428</v>
      </c>
      <c r="AM246" s="571"/>
      <c r="AN246" s="679" t="s">
        <v>1447</v>
      </c>
      <c r="AO246" s="680"/>
      <c r="AP246" s="705" t="s">
        <v>1447</v>
      </c>
      <c r="AQ246" s="707" t="s">
        <v>2305</v>
      </c>
      <c r="AR246" s="705" t="s">
        <v>1447</v>
      </c>
      <c r="AS246" s="707" t="s">
        <v>2305</v>
      </c>
      <c r="AT246" s="595"/>
      <c r="AU246" s="685"/>
      <c r="AV246" s="686"/>
      <c r="AW246" s="687"/>
      <c r="AX246" s="688"/>
      <c r="AY246" s="571"/>
      <c r="AZ246" s="695" t="s">
        <v>4</v>
      </c>
      <c r="BA246" s="773" t="s">
        <v>248</v>
      </c>
      <c r="BB246" s="690"/>
      <c r="BC246" s="571"/>
      <c r="BD246" s="651" t="s">
        <v>683</v>
      </c>
      <c r="BE246" s="653">
        <v>216.0</v>
      </c>
      <c r="BF246" s="653">
        <v>3.0</v>
      </c>
      <c r="BG246" s="654">
        <v>35.0</v>
      </c>
      <c r="BH246" s="653">
        <v>100.0</v>
      </c>
      <c r="BI246" s="607"/>
      <c r="BJ246" s="765" t="s">
        <v>890</v>
      </c>
      <c r="BK246" s="766"/>
      <c r="BL246" s="610"/>
      <c r="BM246" s="657" t="s">
        <v>411</v>
      </c>
      <c r="BN246" s="704"/>
      <c r="BO246" s="607"/>
      <c r="BP246" s="659" t="s">
        <v>914</v>
      </c>
      <c r="BQ246" s="614"/>
      <c r="BR246" s="660" t="s">
        <v>4433</v>
      </c>
      <c r="BS246" s="614"/>
    </row>
    <row r="247" ht="15.75" customHeight="1">
      <c r="A247" s="841"/>
      <c r="B247" s="617" t="s">
        <v>2311</v>
      </c>
      <c r="C247" s="618"/>
      <c r="D247" s="619"/>
      <c r="E247" s="629">
        <v>115.0</v>
      </c>
      <c r="F247" s="621">
        <v>115.0</v>
      </c>
      <c r="G247" s="622">
        <v>85.0</v>
      </c>
      <c r="H247" s="623">
        <v>90.0</v>
      </c>
      <c r="I247" s="624">
        <v>75.0</v>
      </c>
      <c r="J247" s="625">
        <v>100.0</v>
      </c>
      <c r="K247" s="626">
        <v>580.0</v>
      </c>
      <c r="L247" s="627">
        <v>115.0</v>
      </c>
      <c r="M247" s="621">
        <v>115.0</v>
      </c>
      <c r="N247" s="622">
        <v>85.0</v>
      </c>
      <c r="O247" s="623">
        <v>90.0</v>
      </c>
      <c r="P247" s="624">
        <v>75.0</v>
      </c>
      <c r="Q247" s="625">
        <v>100.0</v>
      </c>
      <c r="R247" s="628">
        <v>580.0</v>
      </c>
      <c r="S247" s="629">
        <v>115.0</v>
      </c>
      <c r="T247" s="621">
        <v>115.0</v>
      </c>
      <c r="U247" s="622">
        <v>85.0</v>
      </c>
      <c r="V247" s="623">
        <v>90.0</v>
      </c>
      <c r="W247" s="624">
        <v>75.0</v>
      </c>
      <c r="X247" s="625">
        <v>100.0</v>
      </c>
      <c r="Y247" s="628">
        <f t="shared" si="1"/>
        <v>580</v>
      </c>
      <c r="Z247" s="619"/>
      <c r="AA247" s="630" t="str">
        <f t="shared" si="2"/>
        <v>#NAME?</v>
      </c>
      <c r="AB247" s="631" t="s">
        <v>34</v>
      </c>
      <c r="AC247" s="632" t="str">
        <f t="shared" si="3"/>
        <v>#NAME?</v>
      </c>
      <c r="AD247" s="639" t="s">
        <v>4428</v>
      </c>
      <c r="AE247" s="633" t="str">
        <f t="shared" si="4"/>
        <v>#NAME?</v>
      </c>
      <c r="AF247" s="631" t="s">
        <v>34</v>
      </c>
      <c r="AG247" s="632" t="str">
        <f t="shared" si="5"/>
        <v>#NAME?</v>
      </c>
      <c r="AH247" s="634" t="s">
        <v>4428</v>
      </c>
      <c r="AI247" s="635" t="str">
        <f t="shared" si="6"/>
        <v>#NAME?</v>
      </c>
      <c r="AJ247" s="634" t="s">
        <v>34</v>
      </c>
      <c r="AK247" s="636" t="str">
        <f t="shared" si="7"/>
        <v>#NAME?</v>
      </c>
      <c r="AL247" s="637" t="s">
        <v>4428</v>
      </c>
      <c r="AM247" s="619"/>
      <c r="AN247" s="638" t="s">
        <v>1447</v>
      </c>
      <c r="AO247" s="639"/>
      <c r="AP247" s="712" t="s">
        <v>1447</v>
      </c>
      <c r="AQ247" s="714" t="s">
        <v>2305</v>
      </c>
      <c r="AR247" s="712" t="s">
        <v>1447</v>
      </c>
      <c r="AS247" s="714" t="s">
        <v>2305</v>
      </c>
      <c r="AT247" s="644"/>
      <c r="AU247" s="645"/>
      <c r="AV247" s="646"/>
      <c r="AW247" s="692"/>
      <c r="AX247" s="693"/>
      <c r="AY247" s="619"/>
      <c r="AZ247" s="648" t="s">
        <v>144</v>
      </c>
      <c r="BA247" s="842" t="s">
        <v>216</v>
      </c>
      <c r="BB247" s="690"/>
      <c r="BC247" s="619"/>
      <c r="BD247" s="651" t="s">
        <v>683</v>
      </c>
      <c r="BE247" s="653">
        <v>217.0</v>
      </c>
      <c r="BF247" s="653">
        <v>3.0</v>
      </c>
      <c r="BG247" s="654">
        <v>35.0</v>
      </c>
      <c r="BH247" s="653">
        <v>100.0</v>
      </c>
      <c r="BI247" s="607"/>
      <c r="BJ247" s="768" t="s">
        <v>890</v>
      </c>
      <c r="BK247" s="766"/>
      <c r="BL247" s="610"/>
      <c r="BM247" s="657" t="s">
        <v>411</v>
      </c>
      <c r="BN247" s="704"/>
      <c r="BO247" s="607"/>
      <c r="BP247" s="659" t="s">
        <v>914</v>
      </c>
      <c r="BQ247" s="614"/>
      <c r="BR247" s="660" t="s">
        <v>4432</v>
      </c>
      <c r="BS247" s="614"/>
    </row>
    <row r="248" ht="15.75" customHeight="1">
      <c r="A248" s="841"/>
      <c r="B248" s="661" t="s">
        <v>2319</v>
      </c>
      <c r="C248" s="662"/>
      <c r="D248" s="571"/>
      <c r="E248" s="672">
        <v>100.0</v>
      </c>
      <c r="F248" s="664">
        <v>75.0</v>
      </c>
      <c r="G248" s="665">
        <v>115.0</v>
      </c>
      <c r="H248" s="666">
        <v>90.0</v>
      </c>
      <c r="I248" s="667">
        <v>115.0</v>
      </c>
      <c r="J248" s="668">
        <v>85.0</v>
      </c>
      <c r="K248" s="669">
        <v>580.0</v>
      </c>
      <c r="L248" s="670">
        <v>100.0</v>
      </c>
      <c r="M248" s="664">
        <v>75.0</v>
      </c>
      <c r="N248" s="665">
        <v>115.0</v>
      </c>
      <c r="O248" s="666">
        <v>90.0</v>
      </c>
      <c r="P248" s="667">
        <v>115.0</v>
      </c>
      <c r="Q248" s="668">
        <v>85.0</v>
      </c>
      <c r="R248" s="671">
        <v>580.0</v>
      </c>
      <c r="S248" s="672">
        <v>100.0</v>
      </c>
      <c r="T248" s="664">
        <v>75.0</v>
      </c>
      <c r="U248" s="665">
        <v>115.0</v>
      </c>
      <c r="V248" s="666">
        <v>90.0</v>
      </c>
      <c r="W248" s="667">
        <v>115.0</v>
      </c>
      <c r="X248" s="668">
        <v>85.0</v>
      </c>
      <c r="Y248" s="671">
        <f t="shared" si="1"/>
        <v>580</v>
      </c>
      <c r="Z248" s="571"/>
      <c r="AA248" s="673" t="str">
        <f t="shared" si="2"/>
        <v>#NAME?</v>
      </c>
      <c r="AB248" s="674" t="s">
        <v>32</v>
      </c>
      <c r="AC248" s="675" t="str">
        <f t="shared" si="3"/>
        <v>#NAME?</v>
      </c>
      <c r="AD248" s="680" t="s">
        <v>4428</v>
      </c>
      <c r="AE248" s="676" t="str">
        <f t="shared" si="4"/>
        <v>#NAME?</v>
      </c>
      <c r="AF248" s="674" t="s">
        <v>32</v>
      </c>
      <c r="AG248" s="675" t="str">
        <f t="shared" si="5"/>
        <v>#NAME?</v>
      </c>
      <c r="AH248" s="586" t="s">
        <v>4428</v>
      </c>
      <c r="AI248" s="677" t="str">
        <f t="shared" si="6"/>
        <v>#NAME?</v>
      </c>
      <c r="AJ248" s="586" t="s">
        <v>32</v>
      </c>
      <c r="AK248" s="584" t="str">
        <f t="shared" si="7"/>
        <v>#NAME?</v>
      </c>
      <c r="AL248" s="678" t="s">
        <v>4428</v>
      </c>
      <c r="AM248" s="571"/>
      <c r="AN248" s="679" t="s">
        <v>1447</v>
      </c>
      <c r="AO248" s="680"/>
      <c r="AP248" s="705" t="s">
        <v>1447</v>
      </c>
      <c r="AQ248" s="756" t="s">
        <v>2305</v>
      </c>
      <c r="AR248" s="705" t="s">
        <v>1447</v>
      </c>
      <c r="AS248" s="756" t="s">
        <v>2305</v>
      </c>
      <c r="AT248" s="595"/>
      <c r="AU248" s="685"/>
      <c r="AV248" s="686"/>
      <c r="AW248" s="687"/>
      <c r="AX248" s="688"/>
      <c r="AY248" s="571"/>
      <c r="AZ248" s="695" t="s">
        <v>101</v>
      </c>
      <c r="BA248" s="773" t="s">
        <v>815</v>
      </c>
      <c r="BB248" s="690"/>
      <c r="BC248" s="571"/>
      <c r="BD248" s="651" t="s">
        <v>683</v>
      </c>
      <c r="BE248" s="653">
        <v>215.0</v>
      </c>
      <c r="BF248" s="653">
        <v>3.0</v>
      </c>
      <c r="BG248" s="654">
        <v>35.0</v>
      </c>
      <c r="BH248" s="653">
        <v>100.0</v>
      </c>
      <c r="BI248" s="607"/>
      <c r="BJ248" s="765" t="s">
        <v>890</v>
      </c>
      <c r="BK248" s="766"/>
      <c r="BL248" s="610"/>
      <c r="BM248" s="657" t="s">
        <v>411</v>
      </c>
      <c r="BN248" s="704"/>
      <c r="BO248" s="607"/>
      <c r="BP248" s="659" t="s">
        <v>914</v>
      </c>
      <c r="BQ248" s="614"/>
      <c r="BR248" s="660" t="s">
        <v>4430</v>
      </c>
      <c r="BS248" s="614"/>
    </row>
    <row r="249" ht="15.75" customHeight="1">
      <c r="A249" s="841"/>
      <c r="B249" s="617" t="s">
        <v>2326</v>
      </c>
      <c r="C249" s="618"/>
      <c r="D249" s="619"/>
      <c r="E249" s="629">
        <v>50.0</v>
      </c>
      <c r="F249" s="621">
        <v>64.0</v>
      </c>
      <c r="G249" s="622">
        <v>50.0</v>
      </c>
      <c r="H249" s="623">
        <v>45.0</v>
      </c>
      <c r="I249" s="624">
        <v>50.0</v>
      </c>
      <c r="J249" s="625">
        <v>41.0</v>
      </c>
      <c r="K249" s="626">
        <v>300.0</v>
      </c>
      <c r="L249" s="627">
        <v>50.0</v>
      </c>
      <c r="M249" s="621">
        <v>64.0</v>
      </c>
      <c r="N249" s="622">
        <v>50.0</v>
      </c>
      <c r="O249" s="623">
        <v>45.0</v>
      </c>
      <c r="P249" s="624">
        <v>50.0</v>
      </c>
      <c r="Q249" s="625">
        <v>41.0</v>
      </c>
      <c r="R249" s="628">
        <v>300.0</v>
      </c>
      <c r="S249" s="629">
        <v>50.0</v>
      </c>
      <c r="T249" s="621">
        <v>64.0</v>
      </c>
      <c r="U249" s="622">
        <v>50.0</v>
      </c>
      <c r="V249" s="623">
        <v>45.0</v>
      </c>
      <c r="W249" s="624">
        <v>50.0</v>
      </c>
      <c r="X249" s="625">
        <v>41.0</v>
      </c>
      <c r="Y249" s="628">
        <f t="shared" si="1"/>
        <v>300</v>
      </c>
      <c r="Z249" s="619"/>
      <c r="AA249" s="630" t="str">
        <f t="shared" si="2"/>
        <v>#NAME?</v>
      </c>
      <c r="AB249" s="631" t="s">
        <v>66</v>
      </c>
      <c r="AC249" s="632" t="str">
        <f t="shared" si="3"/>
        <v>#NAME?</v>
      </c>
      <c r="AD249" s="630" t="s">
        <v>79</v>
      </c>
      <c r="AE249" s="633" t="str">
        <f t="shared" si="4"/>
        <v>#NAME?</v>
      </c>
      <c r="AF249" s="631" t="s">
        <v>66</v>
      </c>
      <c r="AG249" s="632" t="str">
        <f t="shared" si="5"/>
        <v>#NAME?</v>
      </c>
      <c r="AH249" s="634" t="s">
        <v>79</v>
      </c>
      <c r="AI249" s="635" t="str">
        <f t="shared" si="6"/>
        <v>#NAME?</v>
      </c>
      <c r="AJ249" s="634" t="s">
        <v>66</v>
      </c>
      <c r="AK249" s="636" t="str">
        <f t="shared" si="7"/>
        <v>#NAME?</v>
      </c>
      <c r="AL249" s="637" t="s">
        <v>79</v>
      </c>
      <c r="AM249" s="619"/>
      <c r="AN249" s="638" t="s">
        <v>273</v>
      </c>
      <c r="AO249" s="639"/>
      <c r="AP249" s="712" t="s">
        <v>273</v>
      </c>
      <c r="AQ249" s="639"/>
      <c r="AR249" s="712" t="s">
        <v>273</v>
      </c>
      <c r="AS249" s="639"/>
      <c r="AT249" s="644"/>
      <c r="AU249" s="645"/>
      <c r="AV249" s="646"/>
      <c r="AW249" s="692"/>
      <c r="AX249" s="693"/>
      <c r="AY249" s="619"/>
      <c r="AZ249" s="648" t="s">
        <v>325</v>
      </c>
      <c r="BA249" s="694"/>
      <c r="BB249" s="690"/>
      <c r="BC249" s="619"/>
      <c r="BD249" s="651" t="s">
        <v>683</v>
      </c>
      <c r="BE249" s="653">
        <v>67.0</v>
      </c>
      <c r="BF249" s="653">
        <v>45.0</v>
      </c>
      <c r="BG249" s="654">
        <v>35.0</v>
      </c>
      <c r="BH249" s="653">
        <v>80.0</v>
      </c>
      <c r="BI249" s="607"/>
      <c r="BJ249" s="860" t="s">
        <v>149</v>
      </c>
      <c r="BK249" s="784" t="s">
        <v>149</v>
      </c>
      <c r="BL249" s="610"/>
      <c r="BM249" s="657" t="s">
        <v>14</v>
      </c>
      <c r="BN249" s="704"/>
      <c r="BO249" s="607"/>
      <c r="BP249" s="659" t="s">
        <v>2330</v>
      </c>
      <c r="BQ249" s="614"/>
      <c r="BR249" s="660" t="s">
        <v>4427</v>
      </c>
      <c r="BS249" s="614"/>
    </row>
    <row r="250" ht="15.75" customHeight="1">
      <c r="A250" s="841"/>
      <c r="B250" s="661" t="s">
        <v>2334</v>
      </c>
      <c r="C250" s="662"/>
      <c r="D250" s="571"/>
      <c r="E250" s="672">
        <v>70.0</v>
      </c>
      <c r="F250" s="664">
        <v>84.0</v>
      </c>
      <c r="G250" s="665">
        <v>70.0</v>
      </c>
      <c r="H250" s="666">
        <v>65.0</v>
      </c>
      <c r="I250" s="667">
        <v>70.0</v>
      </c>
      <c r="J250" s="668">
        <v>51.0</v>
      </c>
      <c r="K250" s="669">
        <v>410.0</v>
      </c>
      <c r="L250" s="670">
        <v>70.0</v>
      </c>
      <c r="M250" s="664">
        <v>84.0</v>
      </c>
      <c r="N250" s="665">
        <v>70.0</v>
      </c>
      <c r="O250" s="666">
        <v>65.0</v>
      </c>
      <c r="P250" s="667">
        <v>70.0</v>
      </c>
      <c r="Q250" s="668">
        <v>51.0</v>
      </c>
      <c r="R250" s="671">
        <v>410.0</v>
      </c>
      <c r="S250" s="672">
        <v>70.0</v>
      </c>
      <c r="T250" s="664">
        <v>84.0</v>
      </c>
      <c r="U250" s="665">
        <v>70.0</v>
      </c>
      <c r="V250" s="666">
        <v>65.0</v>
      </c>
      <c r="W250" s="667">
        <v>70.0</v>
      </c>
      <c r="X250" s="668">
        <v>51.0</v>
      </c>
      <c r="Y250" s="671">
        <f t="shared" si="1"/>
        <v>410</v>
      </c>
      <c r="Z250" s="571"/>
      <c r="AA250" s="673" t="str">
        <f t="shared" si="2"/>
        <v>#NAME?</v>
      </c>
      <c r="AB250" s="674" t="s">
        <v>66</v>
      </c>
      <c r="AC250" s="675" t="str">
        <f t="shared" si="3"/>
        <v>#NAME?</v>
      </c>
      <c r="AD250" s="673" t="s">
        <v>79</v>
      </c>
      <c r="AE250" s="676" t="str">
        <f t="shared" si="4"/>
        <v>#NAME?</v>
      </c>
      <c r="AF250" s="674" t="s">
        <v>66</v>
      </c>
      <c r="AG250" s="675" t="str">
        <f t="shared" si="5"/>
        <v>#NAME?</v>
      </c>
      <c r="AH250" s="586" t="s">
        <v>79</v>
      </c>
      <c r="AI250" s="677" t="str">
        <f t="shared" si="6"/>
        <v>#NAME?</v>
      </c>
      <c r="AJ250" s="586" t="s">
        <v>66</v>
      </c>
      <c r="AK250" s="584" t="str">
        <f t="shared" si="7"/>
        <v>#NAME?</v>
      </c>
      <c r="AL250" s="678" t="s">
        <v>79</v>
      </c>
      <c r="AM250" s="571"/>
      <c r="AN250" s="679" t="s">
        <v>163</v>
      </c>
      <c r="AO250" s="680"/>
      <c r="AP250" s="705" t="s">
        <v>163</v>
      </c>
      <c r="AQ250" s="680"/>
      <c r="AR250" s="705" t="s">
        <v>163</v>
      </c>
      <c r="AS250" s="680"/>
      <c r="AT250" s="595"/>
      <c r="AU250" s="685"/>
      <c r="AV250" s="686"/>
      <c r="AW250" s="687"/>
      <c r="AX250" s="688"/>
      <c r="AY250" s="571"/>
      <c r="AZ250" s="695" t="s">
        <v>216</v>
      </c>
      <c r="BA250" s="700"/>
      <c r="BB250" s="690"/>
      <c r="BC250" s="571"/>
      <c r="BD250" s="651" t="s">
        <v>683</v>
      </c>
      <c r="BE250" s="653">
        <v>144.0</v>
      </c>
      <c r="BF250" s="653">
        <v>45.0</v>
      </c>
      <c r="BG250" s="654">
        <v>35.0</v>
      </c>
      <c r="BH250" s="653">
        <v>100.0</v>
      </c>
      <c r="BI250" s="607"/>
      <c r="BJ250" s="786" t="s">
        <v>149</v>
      </c>
      <c r="BK250" s="782" t="s">
        <v>149</v>
      </c>
      <c r="BL250" s="610"/>
      <c r="BM250" s="657" t="s">
        <v>14</v>
      </c>
      <c r="BN250" s="704"/>
      <c r="BO250" s="607"/>
      <c r="BP250" s="659" t="s">
        <v>2337</v>
      </c>
      <c r="BQ250" s="614"/>
      <c r="BR250" s="660" t="s">
        <v>4437</v>
      </c>
      <c r="BS250" s="614"/>
    </row>
    <row r="251" ht="15.75" customHeight="1">
      <c r="A251" s="841"/>
      <c r="B251" s="617" t="s">
        <v>2341</v>
      </c>
      <c r="C251" s="618"/>
      <c r="D251" s="619"/>
      <c r="E251" s="629">
        <v>100.0</v>
      </c>
      <c r="F251" s="750">
        <v>134.0</v>
      </c>
      <c r="G251" s="622">
        <v>110.0</v>
      </c>
      <c r="H251" s="623">
        <v>95.0</v>
      </c>
      <c r="I251" s="624">
        <v>100.0</v>
      </c>
      <c r="J251" s="625">
        <v>61.0</v>
      </c>
      <c r="K251" s="749">
        <v>600.0</v>
      </c>
      <c r="L251" s="627">
        <v>100.0</v>
      </c>
      <c r="M251" s="621">
        <v>134.0</v>
      </c>
      <c r="N251" s="622">
        <v>110.0</v>
      </c>
      <c r="O251" s="623">
        <v>95.0</v>
      </c>
      <c r="P251" s="624">
        <v>100.0</v>
      </c>
      <c r="Q251" s="625">
        <v>61.0</v>
      </c>
      <c r="R251" s="628">
        <v>600.0</v>
      </c>
      <c r="S251" s="629">
        <v>100.0</v>
      </c>
      <c r="T251" s="621">
        <v>134.0</v>
      </c>
      <c r="U251" s="622">
        <v>110.0</v>
      </c>
      <c r="V251" s="623">
        <v>95.0</v>
      </c>
      <c r="W251" s="624">
        <v>100.0</v>
      </c>
      <c r="X251" s="625">
        <v>61.0</v>
      </c>
      <c r="Y251" s="628">
        <f t="shared" si="1"/>
        <v>600</v>
      </c>
      <c r="Z251" s="619"/>
      <c r="AA251" s="630" t="str">
        <f t="shared" si="2"/>
        <v>#NAME?</v>
      </c>
      <c r="AB251" s="631" t="s">
        <v>66</v>
      </c>
      <c r="AC251" s="632" t="str">
        <f t="shared" si="3"/>
        <v>#NAME?</v>
      </c>
      <c r="AD251" s="630" t="s">
        <v>76</v>
      </c>
      <c r="AE251" s="633" t="str">
        <f t="shared" si="4"/>
        <v>#NAME?</v>
      </c>
      <c r="AF251" s="631" t="s">
        <v>66</v>
      </c>
      <c r="AG251" s="632" t="str">
        <f t="shared" si="5"/>
        <v>#NAME?</v>
      </c>
      <c r="AH251" s="634" t="s">
        <v>76</v>
      </c>
      <c r="AI251" s="635" t="str">
        <f t="shared" si="6"/>
        <v>#NAME?</v>
      </c>
      <c r="AJ251" s="634" t="s">
        <v>66</v>
      </c>
      <c r="AK251" s="636" t="str">
        <f t="shared" si="7"/>
        <v>#NAME?</v>
      </c>
      <c r="AL251" s="637" t="s">
        <v>76</v>
      </c>
      <c r="AM251" s="619"/>
      <c r="AN251" s="638" t="s">
        <v>2345</v>
      </c>
      <c r="AO251" s="639"/>
      <c r="AP251" s="712" t="s">
        <v>2345</v>
      </c>
      <c r="AQ251" s="639"/>
      <c r="AR251" s="712" t="s">
        <v>2345</v>
      </c>
      <c r="AS251" s="639"/>
      <c r="AT251" s="644"/>
      <c r="AU251" s="645"/>
      <c r="AV251" s="646"/>
      <c r="AW251" s="692"/>
      <c r="AX251" s="693"/>
      <c r="AY251" s="619"/>
      <c r="AZ251" s="698" t="s">
        <v>451</v>
      </c>
      <c r="BA251" s="699"/>
      <c r="BB251" s="690"/>
      <c r="BC251" s="619"/>
      <c r="BD251" s="651" t="s">
        <v>683</v>
      </c>
      <c r="BE251" s="653">
        <v>218.0</v>
      </c>
      <c r="BF251" s="653">
        <v>45.0</v>
      </c>
      <c r="BG251" s="654">
        <v>35.0</v>
      </c>
      <c r="BH251" s="653">
        <v>120.0</v>
      </c>
      <c r="BI251" s="607"/>
      <c r="BJ251" s="783" t="s">
        <v>149</v>
      </c>
      <c r="BK251" s="784" t="s">
        <v>149</v>
      </c>
      <c r="BL251" s="610"/>
      <c r="BM251" s="657" t="s">
        <v>14</v>
      </c>
      <c r="BN251" s="704"/>
      <c r="BO251" s="607"/>
      <c r="BP251" s="659" t="s">
        <v>2347</v>
      </c>
      <c r="BQ251" s="614"/>
      <c r="BR251" s="660" t="s">
        <v>4427</v>
      </c>
      <c r="BS251" s="614"/>
    </row>
    <row r="252" ht="15.75" customHeight="1">
      <c r="A252" s="841"/>
      <c r="B252" s="661" t="s">
        <v>2351</v>
      </c>
      <c r="C252" s="662"/>
      <c r="D252" s="571"/>
      <c r="E252" s="672">
        <v>106.0</v>
      </c>
      <c r="F252" s="664">
        <v>90.0</v>
      </c>
      <c r="G252" s="665">
        <v>130.0</v>
      </c>
      <c r="H252" s="666">
        <v>90.0</v>
      </c>
      <c r="I252" s="667">
        <v>154.0</v>
      </c>
      <c r="J252" s="668">
        <v>110.0</v>
      </c>
      <c r="K252" s="669">
        <v>680.0</v>
      </c>
      <c r="L252" s="670">
        <v>106.0</v>
      </c>
      <c r="M252" s="664">
        <v>90.0</v>
      </c>
      <c r="N252" s="665">
        <v>130.0</v>
      </c>
      <c r="O252" s="666">
        <v>90.0</v>
      </c>
      <c r="P252" s="667">
        <v>154.0</v>
      </c>
      <c r="Q252" s="668">
        <v>110.0</v>
      </c>
      <c r="R252" s="671">
        <v>680.0</v>
      </c>
      <c r="S252" s="672">
        <v>106.0</v>
      </c>
      <c r="T252" s="664">
        <v>90.0</v>
      </c>
      <c r="U252" s="665">
        <v>130.0</v>
      </c>
      <c r="V252" s="666">
        <v>90.0</v>
      </c>
      <c r="W252" s="667">
        <v>154.0</v>
      </c>
      <c r="X252" s="668">
        <v>110.0</v>
      </c>
      <c r="Y252" s="671">
        <f t="shared" si="1"/>
        <v>680</v>
      </c>
      <c r="Z252" s="571"/>
      <c r="AA252" s="673" t="str">
        <f t="shared" si="2"/>
        <v>#NAME?</v>
      </c>
      <c r="AB252" s="674" t="s">
        <v>122</v>
      </c>
      <c r="AC252" s="675" t="str">
        <f t="shared" si="3"/>
        <v>#NAME?</v>
      </c>
      <c r="AD252" s="673" t="s">
        <v>18</v>
      </c>
      <c r="AE252" s="676" t="str">
        <f t="shared" si="4"/>
        <v>#NAME?</v>
      </c>
      <c r="AF252" s="674" t="s">
        <v>122</v>
      </c>
      <c r="AG252" s="675" t="str">
        <f t="shared" si="5"/>
        <v>#NAME?</v>
      </c>
      <c r="AH252" s="586" t="s">
        <v>18</v>
      </c>
      <c r="AI252" s="677" t="str">
        <f t="shared" si="6"/>
        <v>#NAME?</v>
      </c>
      <c r="AJ252" s="586" t="s">
        <v>122</v>
      </c>
      <c r="AK252" s="584" t="str">
        <f t="shared" si="7"/>
        <v>#NAME?</v>
      </c>
      <c r="AL252" s="678" t="s">
        <v>18</v>
      </c>
      <c r="AM252" s="571"/>
      <c r="AN252" s="679" t="s">
        <v>1447</v>
      </c>
      <c r="AO252" s="680"/>
      <c r="AP252" s="705" t="s">
        <v>1447</v>
      </c>
      <c r="AQ252" s="680"/>
      <c r="AR252" s="705" t="s">
        <v>1447</v>
      </c>
      <c r="AS252" s="680"/>
      <c r="AT252" s="595"/>
      <c r="AU252" s="685"/>
      <c r="AV252" s="686"/>
      <c r="AW252" s="687"/>
      <c r="AX252" s="688"/>
      <c r="AY252" s="571"/>
      <c r="AZ252" s="689" t="s">
        <v>129</v>
      </c>
      <c r="BA252" s="699"/>
      <c r="BB252" s="690"/>
      <c r="BC252" s="571"/>
      <c r="BD252" s="651" t="s">
        <v>683</v>
      </c>
      <c r="BE252" s="653">
        <v>220.0</v>
      </c>
      <c r="BF252" s="653">
        <v>3.0</v>
      </c>
      <c r="BG252" s="654">
        <v>0.0</v>
      </c>
      <c r="BH252" s="653">
        <v>120.0</v>
      </c>
      <c r="BI252" s="607"/>
      <c r="BJ252" s="765" t="s">
        <v>890</v>
      </c>
      <c r="BK252" s="766"/>
      <c r="BL252" s="610"/>
      <c r="BM252" s="657" t="s">
        <v>411</v>
      </c>
      <c r="BN252" s="704"/>
      <c r="BO252" s="607"/>
      <c r="BP252" s="659" t="s">
        <v>914</v>
      </c>
      <c r="BQ252" s="614"/>
      <c r="BR252" s="660" t="s">
        <v>4431</v>
      </c>
      <c r="BS252" s="614"/>
    </row>
    <row r="253" ht="15.75" customHeight="1">
      <c r="A253" s="841"/>
      <c r="B253" s="617" t="s">
        <v>2358</v>
      </c>
      <c r="C253" s="618"/>
      <c r="D253" s="619"/>
      <c r="E253" s="629">
        <v>106.0</v>
      </c>
      <c r="F253" s="621">
        <v>130.0</v>
      </c>
      <c r="G253" s="622">
        <v>90.0</v>
      </c>
      <c r="H253" s="748">
        <v>110.0</v>
      </c>
      <c r="I253" s="624">
        <v>154.0</v>
      </c>
      <c r="J253" s="625">
        <v>90.0</v>
      </c>
      <c r="K253" s="749">
        <v>680.0</v>
      </c>
      <c r="L253" s="627">
        <v>106.0</v>
      </c>
      <c r="M253" s="621">
        <v>130.0</v>
      </c>
      <c r="N253" s="622">
        <v>90.0</v>
      </c>
      <c r="O253" s="623">
        <v>110.0</v>
      </c>
      <c r="P253" s="624">
        <v>154.0</v>
      </c>
      <c r="Q253" s="625">
        <v>90.0</v>
      </c>
      <c r="R253" s="628">
        <v>680.0</v>
      </c>
      <c r="S253" s="629">
        <v>106.0</v>
      </c>
      <c r="T253" s="621">
        <v>130.0</v>
      </c>
      <c r="U253" s="622">
        <v>90.0</v>
      </c>
      <c r="V253" s="623">
        <v>110.0</v>
      </c>
      <c r="W253" s="624">
        <v>154.0</v>
      </c>
      <c r="X253" s="625">
        <v>90.0</v>
      </c>
      <c r="Y253" s="628">
        <f t="shared" si="1"/>
        <v>680</v>
      </c>
      <c r="Z253" s="619"/>
      <c r="AA253" s="630" t="str">
        <f t="shared" si="2"/>
        <v>#NAME?</v>
      </c>
      <c r="AB253" s="631" t="s">
        <v>34</v>
      </c>
      <c r="AC253" s="632" t="str">
        <f t="shared" si="3"/>
        <v>#NAME?</v>
      </c>
      <c r="AD253" s="630" t="s">
        <v>18</v>
      </c>
      <c r="AE253" s="633" t="str">
        <f t="shared" si="4"/>
        <v>#NAME?</v>
      </c>
      <c r="AF253" s="631" t="s">
        <v>34</v>
      </c>
      <c r="AG253" s="632" t="str">
        <f t="shared" si="5"/>
        <v>#NAME?</v>
      </c>
      <c r="AH253" s="634" t="s">
        <v>18</v>
      </c>
      <c r="AI253" s="635" t="str">
        <f t="shared" si="6"/>
        <v>#NAME?</v>
      </c>
      <c r="AJ253" s="634" t="s">
        <v>34</v>
      </c>
      <c r="AK253" s="636" t="str">
        <f t="shared" si="7"/>
        <v>#NAME?</v>
      </c>
      <c r="AL253" s="637" t="s">
        <v>18</v>
      </c>
      <c r="AM253" s="619"/>
      <c r="AN253" s="638" t="s">
        <v>1447</v>
      </c>
      <c r="AO253" s="639"/>
      <c r="AP253" s="712" t="s">
        <v>1447</v>
      </c>
      <c r="AQ253" s="639"/>
      <c r="AR253" s="712" t="s">
        <v>1447</v>
      </c>
      <c r="AS253" s="639"/>
      <c r="AT253" s="644"/>
      <c r="AU253" s="645" t="str">
        <f>image("https://www.pokebip.com/pages/icones/objets/cendres-sacrees.png", 3)</f>
        <v/>
      </c>
      <c r="AV253" s="760" t="s">
        <v>2362</v>
      </c>
      <c r="AW253" s="692"/>
      <c r="AX253" s="693"/>
      <c r="AY253" s="619"/>
      <c r="AZ253" s="698" t="s">
        <v>129</v>
      </c>
      <c r="BA253" s="699"/>
      <c r="BB253" s="690"/>
      <c r="BC253" s="619"/>
      <c r="BD253" s="651" t="s">
        <v>683</v>
      </c>
      <c r="BE253" s="653">
        <v>220.0</v>
      </c>
      <c r="BF253" s="653">
        <v>3.0</v>
      </c>
      <c r="BG253" s="654">
        <v>0.0</v>
      </c>
      <c r="BH253" s="653">
        <v>100.0</v>
      </c>
      <c r="BI253" s="607"/>
      <c r="BJ253" s="768" t="s">
        <v>890</v>
      </c>
      <c r="BK253" s="766"/>
      <c r="BL253" s="610"/>
      <c r="BM253" s="657" t="s">
        <v>411</v>
      </c>
      <c r="BN253" s="704"/>
      <c r="BO253" s="607"/>
      <c r="BP253" s="659" t="s">
        <v>914</v>
      </c>
      <c r="BQ253" s="614"/>
      <c r="BR253" s="660" t="s">
        <v>4429</v>
      </c>
      <c r="BS253" s="614"/>
    </row>
    <row r="254" ht="15.75" customHeight="1">
      <c r="A254" s="861"/>
      <c r="B254" s="788" t="s">
        <v>2367</v>
      </c>
      <c r="C254" s="789"/>
      <c r="D254" s="571"/>
      <c r="E254" s="672">
        <v>100.0</v>
      </c>
      <c r="F254" s="664">
        <v>100.0</v>
      </c>
      <c r="G254" s="665">
        <v>100.0</v>
      </c>
      <c r="H254" s="666">
        <v>100.0</v>
      </c>
      <c r="I254" s="667">
        <v>100.0</v>
      </c>
      <c r="J254" s="668">
        <v>100.0</v>
      </c>
      <c r="K254" s="669">
        <v>600.0</v>
      </c>
      <c r="L254" s="670">
        <v>100.0</v>
      </c>
      <c r="M254" s="664">
        <v>100.0</v>
      </c>
      <c r="N254" s="665">
        <v>100.0</v>
      </c>
      <c r="O254" s="666">
        <v>100.0</v>
      </c>
      <c r="P254" s="667">
        <v>100.0</v>
      </c>
      <c r="Q254" s="668">
        <v>100.0</v>
      </c>
      <c r="R254" s="671">
        <v>600.0</v>
      </c>
      <c r="S254" s="672">
        <v>100.0</v>
      </c>
      <c r="T254" s="664">
        <v>100.0</v>
      </c>
      <c r="U254" s="665">
        <v>100.0</v>
      </c>
      <c r="V254" s="666">
        <v>100.0</v>
      </c>
      <c r="W254" s="667">
        <v>100.0</v>
      </c>
      <c r="X254" s="668">
        <v>100.0</v>
      </c>
      <c r="Y254" s="671">
        <f t="shared" si="1"/>
        <v>600</v>
      </c>
      <c r="Z254" s="571"/>
      <c r="AA254" s="790" t="str">
        <f t="shared" si="2"/>
        <v>#NAME?</v>
      </c>
      <c r="AB254" s="791" t="s">
        <v>122</v>
      </c>
      <c r="AC254" s="792" t="str">
        <f t="shared" si="3"/>
        <v>#NAME?</v>
      </c>
      <c r="AD254" s="790" t="s">
        <v>6</v>
      </c>
      <c r="AE254" s="794" t="str">
        <f t="shared" si="4"/>
        <v>#NAME?</v>
      </c>
      <c r="AF254" s="791" t="s">
        <v>122</v>
      </c>
      <c r="AG254" s="792" t="str">
        <f t="shared" si="5"/>
        <v>#NAME?</v>
      </c>
      <c r="AH254" s="795" t="s">
        <v>6</v>
      </c>
      <c r="AI254" s="796" t="str">
        <f t="shared" si="6"/>
        <v>#NAME?</v>
      </c>
      <c r="AJ254" s="795" t="s">
        <v>122</v>
      </c>
      <c r="AK254" s="797" t="str">
        <f t="shared" si="7"/>
        <v>#NAME?</v>
      </c>
      <c r="AL254" s="798" t="s">
        <v>6</v>
      </c>
      <c r="AM254" s="571"/>
      <c r="AN254" s="799" t="s">
        <v>1182</v>
      </c>
      <c r="AO254" s="793"/>
      <c r="AP254" s="800" t="s">
        <v>1182</v>
      </c>
      <c r="AQ254" s="793"/>
      <c r="AR254" s="800" t="s">
        <v>1182</v>
      </c>
      <c r="AS254" s="793"/>
      <c r="AT254" s="595"/>
      <c r="AU254" s="801" t="str">
        <f>image("https://www.serebii.net/diamondpearl/berries/09.png", 3)</f>
        <v/>
      </c>
      <c r="AV254" s="802" t="s">
        <v>1526</v>
      </c>
      <c r="AW254" s="803"/>
      <c r="AX254" s="804"/>
      <c r="AY254" s="571"/>
      <c r="AZ254" s="689" t="s">
        <v>422</v>
      </c>
      <c r="BA254" s="699"/>
      <c r="BB254" s="690"/>
      <c r="BC254" s="571"/>
      <c r="BD254" s="805" t="s">
        <v>15</v>
      </c>
      <c r="BE254" s="806">
        <v>64.0</v>
      </c>
      <c r="BF254" s="806">
        <v>45.0</v>
      </c>
      <c r="BG254" s="807">
        <v>100.0</v>
      </c>
      <c r="BH254" s="806">
        <v>20.0</v>
      </c>
      <c r="BI254" s="607"/>
      <c r="BJ254" s="765" t="s">
        <v>890</v>
      </c>
      <c r="BK254" s="766"/>
      <c r="BL254" s="610"/>
      <c r="BM254" s="808" t="s">
        <v>411</v>
      </c>
      <c r="BN254" s="809"/>
      <c r="BO254" s="607"/>
      <c r="BP254" s="810" t="s">
        <v>914</v>
      </c>
      <c r="BQ254" s="614"/>
      <c r="BR254" s="811" t="s">
        <v>4427</v>
      </c>
      <c r="BS254" s="614"/>
    </row>
    <row r="255" ht="15.75" customHeight="1">
      <c r="A255" s="862" t="s">
        <v>4465</v>
      </c>
      <c r="B255" s="813" t="s">
        <v>2374</v>
      </c>
      <c r="C255" s="814"/>
      <c r="D255" s="619"/>
      <c r="E255" s="629">
        <v>40.0</v>
      </c>
      <c r="F255" s="621">
        <v>45.0</v>
      </c>
      <c r="G255" s="622">
        <v>35.0</v>
      </c>
      <c r="H255" s="623">
        <v>65.0</v>
      </c>
      <c r="I255" s="624">
        <v>55.0</v>
      </c>
      <c r="J255" s="625">
        <v>70.0</v>
      </c>
      <c r="K255" s="626">
        <v>310.0</v>
      </c>
      <c r="L255" s="627">
        <v>40.0</v>
      </c>
      <c r="M255" s="621">
        <v>45.0</v>
      </c>
      <c r="N255" s="622">
        <v>35.0</v>
      </c>
      <c r="O255" s="623">
        <v>65.0</v>
      </c>
      <c r="P255" s="624">
        <v>55.0</v>
      </c>
      <c r="Q255" s="625">
        <v>70.0</v>
      </c>
      <c r="R255" s="628">
        <v>310.0</v>
      </c>
      <c r="S255" s="629">
        <v>40.0</v>
      </c>
      <c r="T255" s="621">
        <v>45.0</v>
      </c>
      <c r="U255" s="622">
        <v>35.0</v>
      </c>
      <c r="V255" s="623">
        <v>65.0</v>
      </c>
      <c r="W255" s="624">
        <v>55.0</v>
      </c>
      <c r="X255" s="625">
        <v>70.0</v>
      </c>
      <c r="Y255" s="628">
        <f t="shared" si="1"/>
        <v>310</v>
      </c>
      <c r="Z255" s="619"/>
      <c r="AA255" s="815" t="str">
        <f t="shared" si="2"/>
        <v>#NAME?</v>
      </c>
      <c r="AB255" s="816" t="s">
        <v>6</v>
      </c>
      <c r="AC255" s="817" t="str">
        <f t="shared" si="3"/>
        <v>#NAME?</v>
      </c>
      <c r="AD255" s="818" t="s">
        <v>4428</v>
      </c>
      <c r="AE255" s="819" t="str">
        <f t="shared" si="4"/>
        <v>#NAME?</v>
      </c>
      <c r="AF255" s="816" t="s">
        <v>6</v>
      </c>
      <c r="AG255" s="817" t="str">
        <f t="shared" si="5"/>
        <v>#NAME?</v>
      </c>
      <c r="AH255" s="820" t="s">
        <v>4428</v>
      </c>
      <c r="AI255" s="821" t="str">
        <f t="shared" si="6"/>
        <v>#NAME?</v>
      </c>
      <c r="AJ255" s="820" t="s">
        <v>6</v>
      </c>
      <c r="AK255" s="817" t="str">
        <f t="shared" si="7"/>
        <v>#NAME?</v>
      </c>
      <c r="AL255" s="822" t="s">
        <v>4428</v>
      </c>
      <c r="AM255" s="619"/>
      <c r="AN255" s="823" t="s">
        <v>9</v>
      </c>
      <c r="AO255" s="818"/>
      <c r="AP255" s="863" t="s">
        <v>2378</v>
      </c>
      <c r="AQ255" s="864" t="s">
        <v>9</v>
      </c>
      <c r="AR255" s="826" t="s">
        <v>2378</v>
      </c>
      <c r="AS255" s="827" t="s">
        <v>9</v>
      </c>
      <c r="AT255" s="644"/>
      <c r="AU255" s="819"/>
      <c r="AV255" s="823"/>
      <c r="AW255" s="815"/>
      <c r="AX255" s="865"/>
      <c r="AY255" s="619"/>
      <c r="AZ255" s="648" t="s">
        <v>56</v>
      </c>
      <c r="BA255" s="694"/>
      <c r="BB255" s="690"/>
      <c r="BC255" s="619"/>
      <c r="BD255" s="832" t="s">
        <v>15</v>
      </c>
      <c r="BE255" s="833">
        <v>65.0</v>
      </c>
      <c r="BF255" s="833">
        <v>45.0</v>
      </c>
      <c r="BG255" s="834">
        <v>70.0</v>
      </c>
      <c r="BH255" s="833">
        <v>20.0</v>
      </c>
      <c r="BI255" s="607"/>
      <c r="BJ255" s="835" t="s">
        <v>13</v>
      </c>
      <c r="BK255" s="836">
        <v>0.125</v>
      </c>
      <c r="BL255" s="610"/>
      <c r="BM255" s="837" t="s">
        <v>14</v>
      </c>
      <c r="BN255" s="838" t="s">
        <v>61</v>
      </c>
      <c r="BO255" s="607"/>
      <c r="BP255" s="839" t="s">
        <v>2379</v>
      </c>
      <c r="BQ255" s="614"/>
      <c r="BR255" s="840" t="s">
        <v>4427</v>
      </c>
      <c r="BS255" s="614"/>
    </row>
    <row r="256" ht="15.75" customHeight="1">
      <c r="A256" s="841"/>
      <c r="B256" s="661" t="s">
        <v>2383</v>
      </c>
      <c r="C256" s="662"/>
      <c r="D256" s="571"/>
      <c r="E256" s="672">
        <v>50.0</v>
      </c>
      <c r="F256" s="664">
        <v>65.0</v>
      </c>
      <c r="G256" s="665">
        <v>45.0</v>
      </c>
      <c r="H256" s="666">
        <v>85.0</v>
      </c>
      <c r="I256" s="667">
        <v>65.0</v>
      </c>
      <c r="J256" s="668">
        <v>95.0</v>
      </c>
      <c r="K256" s="669">
        <v>405.0</v>
      </c>
      <c r="L256" s="670">
        <v>50.0</v>
      </c>
      <c r="M256" s="664">
        <v>65.0</v>
      </c>
      <c r="N256" s="665">
        <v>45.0</v>
      </c>
      <c r="O256" s="666">
        <v>85.0</v>
      </c>
      <c r="P256" s="667">
        <v>65.0</v>
      </c>
      <c r="Q256" s="668">
        <v>95.0</v>
      </c>
      <c r="R256" s="671">
        <v>405.0</v>
      </c>
      <c r="S256" s="672">
        <v>50.0</v>
      </c>
      <c r="T256" s="664">
        <v>65.0</v>
      </c>
      <c r="U256" s="665">
        <v>45.0</v>
      </c>
      <c r="V256" s="666">
        <v>85.0</v>
      </c>
      <c r="W256" s="667">
        <v>65.0</v>
      </c>
      <c r="X256" s="668">
        <v>95.0</v>
      </c>
      <c r="Y256" s="671">
        <f t="shared" si="1"/>
        <v>405</v>
      </c>
      <c r="Z256" s="571"/>
      <c r="AA256" s="673" t="str">
        <f t="shared" si="2"/>
        <v>#NAME?</v>
      </c>
      <c r="AB256" s="674" t="s">
        <v>6</v>
      </c>
      <c r="AC256" s="675" t="str">
        <f t="shared" si="3"/>
        <v>#NAME?</v>
      </c>
      <c r="AD256" s="680" t="s">
        <v>4428</v>
      </c>
      <c r="AE256" s="676" t="str">
        <f t="shared" si="4"/>
        <v>#NAME?</v>
      </c>
      <c r="AF256" s="674" t="s">
        <v>6</v>
      </c>
      <c r="AG256" s="675" t="str">
        <f t="shared" si="5"/>
        <v>#NAME?</v>
      </c>
      <c r="AH256" s="586" t="s">
        <v>4428</v>
      </c>
      <c r="AI256" s="677" t="str">
        <f t="shared" si="6"/>
        <v>#NAME?</v>
      </c>
      <c r="AJ256" s="586" t="s">
        <v>6</v>
      </c>
      <c r="AK256" s="584" t="str">
        <f t="shared" si="7"/>
        <v>#NAME?</v>
      </c>
      <c r="AL256" s="678" t="s">
        <v>4428</v>
      </c>
      <c r="AM256" s="571"/>
      <c r="AN256" s="679" t="s">
        <v>9</v>
      </c>
      <c r="AO256" s="680"/>
      <c r="AP256" s="681" t="s">
        <v>2378</v>
      </c>
      <c r="AQ256" s="682" t="s">
        <v>9</v>
      </c>
      <c r="AR256" s="683" t="s">
        <v>2378</v>
      </c>
      <c r="AS256" s="684" t="s">
        <v>9</v>
      </c>
      <c r="AT256" s="595"/>
      <c r="AU256" s="676"/>
      <c r="AV256" s="679"/>
      <c r="AW256" s="673"/>
      <c r="AX256" s="866"/>
      <c r="AY256" s="571"/>
      <c r="AZ256" s="689" t="s">
        <v>248</v>
      </c>
      <c r="BA256" s="690"/>
      <c r="BB256" s="696"/>
      <c r="BC256" s="571"/>
      <c r="BD256" s="651" t="s">
        <v>15</v>
      </c>
      <c r="BE256" s="653">
        <v>141.0</v>
      </c>
      <c r="BF256" s="653">
        <v>45.0</v>
      </c>
      <c r="BG256" s="654">
        <v>70.0</v>
      </c>
      <c r="BH256" s="653">
        <v>40.0</v>
      </c>
      <c r="BI256" s="607"/>
      <c r="BJ256" s="655" t="s">
        <v>13</v>
      </c>
      <c r="BK256" s="656">
        <v>0.125</v>
      </c>
      <c r="BL256" s="610"/>
      <c r="BM256" s="657" t="s">
        <v>14</v>
      </c>
      <c r="BN256" s="658" t="s">
        <v>61</v>
      </c>
      <c r="BO256" s="607"/>
      <c r="BP256" s="659" t="s">
        <v>2387</v>
      </c>
      <c r="BQ256" s="614"/>
      <c r="BR256" s="660" t="s">
        <v>4427</v>
      </c>
      <c r="BS256" s="614"/>
    </row>
    <row r="257" ht="15.75" customHeight="1">
      <c r="A257" s="841"/>
      <c r="B257" s="617" t="s">
        <v>2393</v>
      </c>
      <c r="C257" s="618"/>
      <c r="D257" s="619"/>
      <c r="E257" s="629">
        <v>70.0</v>
      </c>
      <c r="F257" s="621">
        <v>85.0</v>
      </c>
      <c r="G257" s="622">
        <v>65.0</v>
      </c>
      <c r="H257" s="748">
        <v>105.0</v>
      </c>
      <c r="I257" s="624">
        <v>85.0</v>
      </c>
      <c r="J257" s="625">
        <v>120.0</v>
      </c>
      <c r="K257" s="749">
        <v>530.0</v>
      </c>
      <c r="L257" s="627">
        <v>70.0</v>
      </c>
      <c r="M257" s="621">
        <v>85.0</v>
      </c>
      <c r="N257" s="622">
        <v>65.0</v>
      </c>
      <c r="O257" s="623">
        <v>105.0</v>
      </c>
      <c r="P257" s="624">
        <v>85.0</v>
      </c>
      <c r="Q257" s="625">
        <v>120.0</v>
      </c>
      <c r="R257" s="628">
        <v>530.0</v>
      </c>
      <c r="S257" s="629">
        <v>70.0</v>
      </c>
      <c r="T257" s="750">
        <v>90.0</v>
      </c>
      <c r="U257" s="622">
        <v>65.0</v>
      </c>
      <c r="V257" s="748">
        <v>110.0</v>
      </c>
      <c r="W257" s="752">
        <v>80.0</v>
      </c>
      <c r="X257" s="625">
        <v>120.0</v>
      </c>
      <c r="Y257" s="628">
        <f t="shared" si="1"/>
        <v>535</v>
      </c>
      <c r="Z257" s="619"/>
      <c r="AA257" s="630" t="str">
        <f t="shared" si="2"/>
        <v>#NAME?</v>
      </c>
      <c r="AB257" s="631" t="s">
        <v>6</v>
      </c>
      <c r="AC257" s="632" t="str">
        <f t="shared" si="3"/>
        <v>#NAME?</v>
      </c>
      <c r="AD257" s="639" t="s">
        <v>4428</v>
      </c>
      <c r="AE257" s="633" t="str">
        <f t="shared" si="4"/>
        <v>#NAME?</v>
      </c>
      <c r="AF257" s="631" t="s">
        <v>6</v>
      </c>
      <c r="AG257" s="632" t="str">
        <f t="shared" si="5"/>
        <v>#NAME?</v>
      </c>
      <c r="AH257" s="634" t="s">
        <v>4428</v>
      </c>
      <c r="AI257" s="635" t="str">
        <f t="shared" si="6"/>
        <v>#NAME?</v>
      </c>
      <c r="AJ257" s="634" t="s">
        <v>6</v>
      </c>
      <c r="AK257" s="697" t="str">
        <f t="shared" si="7"/>
        <v>#NAME?</v>
      </c>
      <c r="AL257" s="637" t="s">
        <v>86</v>
      </c>
      <c r="AM257" s="619"/>
      <c r="AN257" s="638" t="s">
        <v>9</v>
      </c>
      <c r="AO257" s="639"/>
      <c r="AP257" s="640" t="s">
        <v>2378</v>
      </c>
      <c r="AQ257" s="641" t="s">
        <v>9</v>
      </c>
      <c r="AR257" s="642" t="s">
        <v>2378</v>
      </c>
      <c r="AS257" s="643" t="s">
        <v>9</v>
      </c>
      <c r="AT257" s="644"/>
      <c r="AU257" s="633"/>
      <c r="AV257" s="638"/>
      <c r="AW257" s="630"/>
      <c r="AX257" s="647"/>
      <c r="AY257" s="619"/>
      <c r="AZ257" s="698" t="s">
        <v>261</v>
      </c>
      <c r="BA257" s="699"/>
      <c r="BB257" s="690"/>
      <c r="BC257" s="619"/>
      <c r="BD257" s="651" t="s">
        <v>15</v>
      </c>
      <c r="BE257" s="653">
        <v>208.0</v>
      </c>
      <c r="BF257" s="653">
        <v>45.0</v>
      </c>
      <c r="BG257" s="654">
        <v>70.0</v>
      </c>
      <c r="BH257" s="653">
        <v>80.0</v>
      </c>
      <c r="BI257" s="607"/>
      <c r="BJ257" s="655" t="s">
        <v>13</v>
      </c>
      <c r="BK257" s="656">
        <v>0.125</v>
      </c>
      <c r="BL257" s="610"/>
      <c r="BM257" s="657" t="s">
        <v>14</v>
      </c>
      <c r="BN257" s="658" t="s">
        <v>61</v>
      </c>
      <c r="BO257" s="607"/>
      <c r="BP257" s="659" t="s">
        <v>2398</v>
      </c>
      <c r="BQ257" s="614"/>
      <c r="BR257" s="660" t="s">
        <v>4427</v>
      </c>
      <c r="BS257" s="614"/>
    </row>
    <row r="258" ht="15.75" customHeight="1">
      <c r="A258" s="841"/>
      <c r="B258" s="661" t="s">
        <v>2402</v>
      </c>
      <c r="C258" s="662"/>
      <c r="D258" s="571"/>
      <c r="E258" s="672">
        <v>45.0</v>
      </c>
      <c r="F258" s="664">
        <v>60.0</v>
      </c>
      <c r="G258" s="665">
        <v>40.0</v>
      </c>
      <c r="H258" s="666">
        <v>70.0</v>
      </c>
      <c r="I258" s="667">
        <v>50.0</v>
      </c>
      <c r="J258" s="668">
        <v>45.0</v>
      </c>
      <c r="K258" s="669">
        <v>310.0</v>
      </c>
      <c r="L258" s="670">
        <v>45.0</v>
      </c>
      <c r="M258" s="664">
        <v>60.0</v>
      </c>
      <c r="N258" s="665">
        <v>40.0</v>
      </c>
      <c r="O258" s="666">
        <v>70.0</v>
      </c>
      <c r="P258" s="667">
        <v>50.0</v>
      </c>
      <c r="Q258" s="668">
        <v>45.0</v>
      </c>
      <c r="R258" s="671">
        <v>310.0</v>
      </c>
      <c r="S258" s="672">
        <v>45.0</v>
      </c>
      <c r="T258" s="664">
        <v>60.0</v>
      </c>
      <c r="U258" s="665">
        <v>40.0</v>
      </c>
      <c r="V258" s="666">
        <v>70.0</v>
      </c>
      <c r="W258" s="667">
        <v>50.0</v>
      </c>
      <c r="X258" s="668">
        <v>45.0</v>
      </c>
      <c r="Y258" s="671">
        <f t="shared" si="1"/>
        <v>310</v>
      </c>
      <c r="Z258" s="571"/>
      <c r="AA258" s="673" t="str">
        <f t="shared" si="2"/>
        <v>#NAME?</v>
      </c>
      <c r="AB258" s="674" t="s">
        <v>34</v>
      </c>
      <c r="AC258" s="675" t="str">
        <f t="shared" si="3"/>
        <v>#NAME?</v>
      </c>
      <c r="AD258" s="680" t="s">
        <v>4428</v>
      </c>
      <c r="AE258" s="676" t="str">
        <f t="shared" si="4"/>
        <v>#NAME?</v>
      </c>
      <c r="AF258" s="674" t="s">
        <v>34</v>
      </c>
      <c r="AG258" s="675" t="str">
        <f t="shared" si="5"/>
        <v>#NAME?</v>
      </c>
      <c r="AH258" s="586" t="s">
        <v>4428</v>
      </c>
      <c r="AI258" s="677" t="str">
        <f t="shared" si="6"/>
        <v>#NAME?</v>
      </c>
      <c r="AJ258" s="586" t="s">
        <v>34</v>
      </c>
      <c r="AK258" s="584" t="str">
        <f t="shared" si="7"/>
        <v>#NAME?</v>
      </c>
      <c r="AL258" s="678" t="s">
        <v>4428</v>
      </c>
      <c r="AM258" s="571"/>
      <c r="AN258" s="679" t="s">
        <v>57</v>
      </c>
      <c r="AO258" s="680"/>
      <c r="AP258" s="681" t="s">
        <v>2405</v>
      </c>
      <c r="AQ258" s="682" t="s">
        <v>57</v>
      </c>
      <c r="AR258" s="683" t="s">
        <v>2405</v>
      </c>
      <c r="AS258" s="684" t="s">
        <v>57</v>
      </c>
      <c r="AT258" s="595"/>
      <c r="AU258" s="676"/>
      <c r="AV258" s="679"/>
      <c r="AW258" s="673"/>
      <c r="AX258" s="866"/>
      <c r="AY258" s="571"/>
      <c r="AZ258" s="695" t="s">
        <v>4</v>
      </c>
      <c r="BA258" s="700"/>
      <c r="BB258" s="690"/>
      <c r="BC258" s="571"/>
      <c r="BD258" s="651" t="s">
        <v>15</v>
      </c>
      <c r="BE258" s="653">
        <v>65.0</v>
      </c>
      <c r="BF258" s="653">
        <v>45.0</v>
      </c>
      <c r="BG258" s="654">
        <v>70.0</v>
      </c>
      <c r="BH258" s="653">
        <v>20.0</v>
      </c>
      <c r="BI258" s="607"/>
      <c r="BJ258" s="655" t="s">
        <v>13</v>
      </c>
      <c r="BK258" s="656">
        <v>0.125</v>
      </c>
      <c r="BL258" s="610"/>
      <c r="BM258" s="657" t="s">
        <v>277</v>
      </c>
      <c r="BN258" s="704"/>
      <c r="BO258" s="607"/>
      <c r="BP258" s="659" t="s">
        <v>2406</v>
      </c>
      <c r="BQ258" s="614"/>
      <c r="BR258" s="660" t="s">
        <v>4429</v>
      </c>
      <c r="BS258" s="614"/>
    </row>
    <row r="259" ht="15.75" customHeight="1">
      <c r="A259" s="841"/>
      <c r="B259" s="617" t="s">
        <v>2410</v>
      </c>
      <c r="C259" s="618"/>
      <c r="D259" s="619"/>
      <c r="E259" s="629">
        <v>60.0</v>
      </c>
      <c r="F259" s="621">
        <v>85.0</v>
      </c>
      <c r="G259" s="622">
        <v>60.0</v>
      </c>
      <c r="H259" s="623">
        <v>85.0</v>
      </c>
      <c r="I259" s="624">
        <v>60.0</v>
      </c>
      <c r="J259" s="625">
        <v>55.0</v>
      </c>
      <c r="K259" s="626">
        <v>405.0</v>
      </c>
      <c r="L259" s="627">
        <v>60.0</v>
      </c>
      <c r="M259" s="621">
        <v>85.0</v>
      </c>
      <c r="N259" s="622">
        <v>60.0</v>
      </c>
      <c r="O259" s="623">
        <v>85.0</v>
      </c>
      <c r="P259" s="624">
        <v>60.0</v>
      </c>
      <c r="Q259" s="625">
        <v>55.0</v>
      </c>
      <c r="R259" s="628">
        <v>405.0</v>
      </c>
      <c r="S259" s="629">
        <v>60.0</v>
      </c>
      <c r="T259" s="621">
        <v>85.0</v>
      </c>
      <c r="U259" s="622">
        <v>60.0</v>
      </c>
      <c r="V259" s="623">
        <v>85.0</v>
      </c>
      <c r="W259" s="624">
        <v>60.0</v>
      </c>
      <c r="X259" s="625">
        <v>55.0</v>
      </c>
      <c r="Y259" s="628">
        <f t="shared" si="1"/>
        <v>405</v>
      </c>
      <c r="Z259" s="619"/>
      <c r="AA259" s="630" t="str">
        <f t="shared" si="2"/>
        <v>#NAME?</v>
      </c>
      <c r="AB259" s="631" t="s">
        <v>34</v>
      </c>
      <c r="AC259" s="632" t="str">
        <f t="shared" si="3"/>
        <v>#NAME?</v>
      </c>
      <c r="AD259" s="630" t="s">
        <v>64</v>
      </c>
      <c r="AE259" s="633" t="str">
        <f t="shared" si="4"/>
        <v>#NAME?</v>
      </c>
      <c r="AF259" s="631" t="s">
        <v>34</v>
      </c>
      <c r="AG259" s="632" t="str">
        <f t="shared" si="5"/>
        <v>#NAME?</v>
      </c>
      <c r="AH259" s="634" t="s">
        <v>64</v>
      </c>
      <c r="AI259" s="635" t="str">
        <f t="shared" si="6"/>
        <v>#NAME?</v>
      </c>
      <c r="AJ259" s="634" t="s">
        <v>34</v>
      </c>
      <c r="AK259" s="636" t="str">
        <f t="shared" si="7"/>
        <v>#NAME?</v>
      </c>
      <c r="AL259" s="637" t="s">
        <v>64</v>
      </c>
      <c r="AM259" s="619"/>
      <c r="AN259" s="638" t="s">
        <v>57</v>
      </c>
      <c r="AO259" s="639"/>
      <c r="AP259" s="640" t="s">
        <v>2405</v>
      </c>
      <c r="AQ259" s="641" t="s">
        <v>57</v>
      </c>
      <c r="AR259" s="642" t="s">
        <v>2405</v>
      </c>
      <c r="AS259" s="643" t="s">
        <v>57</v>
      </c>
      <c r="AT259" s="644"/>
      <c r="AU259" s="633"/>
      <c r="AV259" s="638"/>
      <c r="AW259" s="630"/>
      <c r="AX259" s="647"/>
      <c r="AY259" s="619"/>
      <c r="AZ259" s="648" t="s">
        <v>325</v>
      </c>
      <c r="BA259" s="649" t="s">
        <v>4</v>
      </c>
      <c r="BB259" s="650"/>
      <c r="BC259" s="619"/>
      <c r="BD259" s="651" t="s">
        <v>15</v>
      </c>
      <c r="BE259" s="653">
        <v>142.0</v>
      </c>
      <c r="BF259" s="653">
        <v>45.0</v>
      </c>
      <c r="BG259" s="654">
        <v>70.0</v>
      </c>
      <c r="BH259" s="653">
        <v>40.0</v>
      </c>
      <c r="BI259" s="607"/>
      <c r="BJ259" s="655" t="s">
        <v>13</v>
      </c>
      <c r="BK259" s="656">
        <v>0.125</v>
      </c>
      <c r="BL259" s="610"/>
      <c r="BM259" s="657" t="s">
        <v>277</v>
      </c>
      <c r="BN259" s="704"/>
      <c r="BO259" s="607"/>
      <c r="BP259" s="659" t="s">
        <v>2414</v>
      </c>
      <c r="BQ259" s="614"/>
      <c r="BR259" s="660" t="s">
        <v>4429</v>
      </c>
      <c r="BS259" s="614"/>
    </row>
    <row r="260" ht="15.75" customHeight="1">
      <c r="A260" s="841"/>
      <c r="B260" s="661" t="s">
        <v>2418</v>
      </c>
      <c r="C260" s="662"/>
      <c r="D260" s="571"/>
      <c r="E260" s="672">
        <v>80.0</v>
      </c>
      <c r="F260" s="664">
        <v>120.0</v>
      </c>
      <c r="G260" s="665">
        <v>70.0</v>
      </c>
      <c r="H260" s="666">
        <v>110.0</v>
      </c>
      <c r="I260" s="667">
        <v>70.0</v>
      </c>
      <c r="J260" s="668">
        <v>80.0</v>
      </c>
      <c r="K260" s="669">
        <v>530.0</v>
      </c>
      <c r="L260" s="670">
        <v>80.0</v>
      </c>
      <c r="M260" s="664">
        <v>120.0</v>
      </c>
      <c r="N260" s="665">
        <v>70.0</v>
      </c>
      <c r="O260" s="666">
        <v>110.0</v>
      </c>
      <c r="P260" s="667">
        <v>70.0</v>
      </c>
      <c r="Q260" s="668">
        <v>80.0</v>
      </c>
      <c r="R260" s="671">
        <v>530.0</v>
      </c>
      <c r="S260" s="672">
        <v>80.0</v>
      </c>
      <c r="T260" s="664">
        <v>120.0</v>
      </c>
      <c r="U260" s="742">
        <v>75.0</v>
      </c>
      <c r="V260" s="666">
        <v>110.0</v>
      </c>
      <c r="W260" s="667">
        <v>70.0</v>
      </c>
      <c r="X260" s="668">
        <v>80.0</v>
      </c>
      <c r="Y260" s="671">
        <f t="shared" si="1"/>
        <v>535</v>
      </c>
      <c r="Z260" s="571"/>
      <c r="AA260" s="673" t="str">
        <f t="shared" si="2"/>
        <v>#NAME?</v>
      </c>
      <c r="AB260" s="674" t="s">
        <v>34</v>
      </c>
      <c r="AC260" s="675" t="str">
        <f t="shared" si="3"/>
        <v>#NAME?</v>
      </c>
      <c r="AD260" s="673" t="s">
        <v>64</v>
      </c>
      <c r="AE260" s="676" t="str">
        <f t="shared" si="4"/>
        <v>#NAME?</v>
      </c>
      <c r="AF260" s="674" t="s">
        <v>34</v>
      </c>
      <c r="AG260" s="675" t="str">
        <f t="shared" si="5"/>
        <v>#NAME?</v>
      </c>
      <c r="AH260" s="586" t="s">
        <v>64</v>
      </c>
      <c r="AI260" s="677" t="str">
        <f t="shared" si="6"/>
        <v>#NAME?</v>
      </c>
      <c r="AJ260" s="586" t="s">
        <v>34</v>
      </c>
      <c r="AK260" s="584" t="str">
        <f t="shared" si="7"/>
        <v>#NAME?</v>
      </c>
      <c r="AL260" s="678" t="s">
        <v>64</v>
      </c>
      <c r="AM260" s="571"/>
      <c r="AN260" s="679" t="s">
        <v>57</v>
      </c>
      <c r="AO260" s="680"/>
      <c r="AP260" s="710" t="s">
        <v>2405</v>
      </c>
      <c r="AQ260" s="682" t="s">
        <v>57</v>
      </c>
      <c r="AR260" s="711" t="s">
        <v>2405</v>
      </c>
      <c r="AS260" s="684" t="s">
        <v>57</v>
      </c>
      <c r="AT260" s="595"/>
      <c r="AU260" s="676"/>
      <c r="AV260" s="679"/>
      <c r="AW260" s="673"/>
      <c r="AX260" s="866"/>
      <c r="AY260" s="571"/>
      <c r="AZ260" s="689" t="s">
        <v>451</v>
      </c>
      <c r="BA260" s="699"/>
      <c r="BB260" s="690"/>
      <c r="BC260" s="571"/>
      <c r="BD260" s="651" t="s">
        <v>15</v>
      </c>
      <c r="BE260" s="653">
        <v>209.0</v>
      </c>
      <c r="BF260" s="653">
        <v>45.0</v>
      </c>
      <c r="BG260" s="654">
        <v>70.0</v>
      </c>
      <c r="BH260" s="653">
        <v>80.0</v>
      </c>
      <c r="BI260" s="607"/>
      <c r="BJ260" s="655" t="s">
        <v>13</v>
      </c>
      <c r="BK260" s="656">
        <v>0.125</v>
      </c>
      <c r="BL260" s="610"/>
      <c r="BM260" s="657" t="s">
        <v>277</v>
      </c>
      <c r="BN260" s="704"/>
      <c r="BO260" s="607"/>
      <c r="BP260" s="659" t="s">
        <v>2422</v>
      </c>
      <c r="BQ260" s="614"/>
      <c r="BR260" s="660" t="s">
        <v>4429</v>
      </c>
      <c r="BS260" s="614"/>
    </row>
    <row r="261" ht="15.75" customHeight="1">
      <c r="A261" s="841"/>
      <c r="B261" s="617" t="s">
        <v>2426</v>
      </c>
      <c r="C261" s="618"/>
      <c r="D261" s="619"/>
      <c r="E261" s="629">
        <v>50.0</v>
      </c>
      <c r="F261" s="750">
        <v>70.0</v>
      </c>
      <c r="G261" s="622">
        <v>50.0</v>
      </c>
      <c r="H261" s="623">
        <v>50.0</v>
      </c>
      <c r="I261" s="624">
        <v>50.0</v>
      </c>
      <c r="J261" s="625">
        <v>40.0</v>
      </c>
      <c r="K261" s="749">
        <v>310.0</v>
      </c>
      <c r="L261" s="627">
        <v>50.0</v>
      </c>
      <c r="M261" s="621">
        <v>70.0</v>
      </c>
      <c r="N261" s="622">
        <v>50.0</v>
      </c>
      <c r="O261" s="623">
        <v>50.0</v>
      </c>
      <c r="P261" s="624">
        <v>50.0</v>
      </c>
      <c r="Q261" s="625">
        <v>40.0</v>
      </c>
      <c r="R261" s="628">
        <v>310.0</v>
      </c>
      <c r="S261" s="629">
        <v>50.0</v>
      </c>
      <c r="T261" s="621">
        <v>70.0</v>
      </c>
      <c r="U261" s="622">
        <v>50.0</v>
      </c>
      <c r="V261" s="623">
        <v>50.0</v>
      </c>
      <c r="W261" s="624">
        <v>50.0</v>
      </c>
      <c r="X261" s="625">
        <v>40.0</v>
      </c>
      <c r="Y261" s="628">
        <f t="shared" si="1"/>
        <v>310</v>
      </c>
      <c r="Z261" s="619"/>
      <c r="AA261" s="630" t="str">
        <f t="shared" si="2"/>
        <v>#NAME?</v>
      </c>
      <c r="AB261" s="631" t="s">
        <v>32</v>
      </c>
      <c r="AC261" s="632" t="str">
        <f t="shared" si="3"/>
        <v>#NAME?</v>
      </c>
      <c r="AD261" s="639" t="s">
        <v>4428</v>
      </c>
      <c r="AE261" s="633" t="str">
        <f t="shared" si="4"/>
        <v>#NAME?</v>
      </c>
      <c r="AF261" s="631" t="s">
        <v>32</v>
      </c>
      <c r="AG261" s="632" t="str">
        <f t="shared" si="5"/>
        <v>#NAME?</v>
      </c>
      <c r="AH261" s="634" t="s">
        <v>4428</v>
      </c>
      <c r="AI261" s="635" t="str">
        <f t="shared" si="6"/>
        <v>#NAME?</v>
      </c>
      <c r="AJ261" s="634" t="s">
        <v>32</v>
      </c>
      <c r="AK261" s="636" t="str">
        <f t="shared" si="7"/>
        <v>#NAME?</v>
      </c>
      <c r="AL261" s="637" t="s">
        <v>4428</v>
      </c>
      <c r="AM261" s="619"/>
      <c r="AN261" s="638" t="s">
        <v>102</v>
      </c>
      <c r="AO261" s="639"/>
      <c r="AP261" s="712" t="s">
        <v>102</v>
      </c>
      <c r="AQ261" s="714" t="s">
        <v>2429</v>
      </c>
      <c r="AR261" s="712" t="s">
        <v>102</v>
      </c>
      <c r="AS261" s="714" t="s">
        <v>2429</v>
      </c>
      <c r="AT261" s="644"/>
      <c r="AU261" s="633"/>
      <c r="AV261" s="638"/>
      <c r="AW261" s="630"/>
      <c r="AX261" s="647"/>
      <c r="AY261" s="619"/>
      <c r="AZ261" s="648" t="s">
        <v>325</v>
      </c>
      <c r="BA261" s="694"/>
      <c r="BB261" s="690"/>
      <c r="BC261" s="619"/>
      <c r="BD261" s="651" t="s">
        <v>15</v>
      </c>
      <c r="BE261" s="653">
        <v>65.0</v>
      </c>
      <c r="BF261" s="653">
        <v>45.0</v>
      </c>
      <c r="BG261" s="654">
        <v>70.0</v>
      </c>
      <c r="BH261" s="653">
        <v>20.0</v>
      </c>
      <c r="BI261" s="607"/>
      <c r="BJ261" s="655" t="s">
        <v>13</v>
      </c>
      <c r="BK261" s="656">
        <v>0.125</v>
      </c>
      <c r="BL261" s="610"/>
      <c r="BM261" s="657" t="s">
        <v>14</v>
      </c>
      <c r="BN261" s="658" t="s">
        <v>106</v>
      </c>
      <c r="BO261" s="607"/>
      <c r="BP261" s="659" t="s">
        <v>2431</v>
      </c>
      <c r="BQ261" s="614"/>
      <c r="BR261" s="660" t="s">
        <v>4430</v>
      </c>
      <c r="BS261" s="614"/>
    </row>
    <row r="262" ht="15.75" customHeight="1">
      <c r="A262" s="841"/>
      <c r="B262" s="661" t="s">
        <v>2435</v>
      </c>
      <c r="C262" s="662"/>
      <c r="D262" s="571"/>
      <c r="E262" s="672">
        <v>70.0</v>
      </c>
      <c r="F262" s="664">
        <v>85.0</v>
      </c>
      <c r="G262" s="665">
        <v>70.0</v>
      </c>
      <c r="H262" s="666">
        <v>60.0</v>
      </c>
      <c r="I262" s="667">
        <v>70.0</v>
      </c>
      <c r="J262" s="668">
        <v>50.0</v>
      </c>
      <c r="K262" s="669">
        <v>405.0</v>
      </c>
      <c r="L262" s="670">
        <v>70.0</v>
      </c>
      <c r="M262" s="664">
        <v>85.0</v>
      </c>
      <c r="N262" s="665">
        <v>70.0</v>
      </c>
      <c r="O262" s="666">
        <v>60.0</v>
      </c>
      <c r="P262" s="667">
        <v>70.0</v>
      </c>
      <c r="Q262" s="668">
        <v>50.0</v>
      </c>
      <c r="R262" s="671">
        <v>405.0</v>
      </c>
      <c r="S262" s="672">
        <v>70.0</v>
      </c>
      <c r="T262" s="664">
        <v>85.0</v>
      </c>
      <c r="U262" s="665">
        <v>70.0</v>
      </c>
      <c r="V262" s="666">
        <v>60.0</v>
      </c>
      <c r="W262" s="667">
        <v>70.0</v>
      </c>
      <c r="X262" s="668">
        <v>50.0</v>
      </c>
      <c r="Y262" s="671">
        <f t="shared" si="1"/>
        <v>405</v>
      </c>
      <c r="Z262" s="571"/>
      <c r="AA262" s="673" t="str">
        <f t="shared" si="2"/>
        <v>#NAME?</v>
      </c>
      <c r="AB262" s="674" t="s">
        <v>32</v>
      </c>
      <c r="AC262" s="675" t="str">
        <f t="shared" si="3"/>
        <v>#NAME?</v>
      </c>
      <c r="AD262" s="673" t="s">
        <v>79</v>
      </c>
      <c r="AE262" s="676" t="str">
        <f t="shared" si="4"/>
        <v>#NAME?</v>
      </c>
      <c r="AF262" s="674" t="s">
        <v>32</v>
      </c>
      <c r="AG262" s="675" t="str">
        <f t="shared" si="5"/>
        <v>#NAME?</v>
      </c>
      <c r="AH262" s="586" t="s">
        <v>79</v>
      </c>
      <c r="AI262" s="677" t="str">
        <f t="shared" si="6"/>
        <v>#NAME?</v>
      </c>
      <c r="AJ262" s="586" t="s">
        <v>32</v>
      </c>
      <c r="AK262" s="584" t="str">
        <f t="shared" si="7"/>
        <v>#NAME?</v>
      </c>
      <c r="AL262" s="678" t="s">
        <v>79</v>
      </c>
      <c r="AM262" s="571"/>
      <c r="AN262" s="679" t="s">
        <v>102</v>
      </c>
      <c r="AO262" s="680"/>
      <c r="AP262" s="705" t="s">
        <v>102</v>
      </c>
      <c r="AQ262" s="707" t="s">
        <v>2429</v>
      </c>
      <c r="AR262" s="705" t="s">
        <v>102</v>
      </c>
      <c r="AS262" s="707" t="s">
        <v>2429</v>
      </c>
      <c r="AT262" s="595"/>
      <c r="AU262" s="676"/>
      <c r="AV262" s="679"/>
      <c r="AW262" s="673"/>
      <c r="AX262" s="866"/>
      <c r="AY262" s="571"/>
      <c r="AZ262" s="689" t="s">
        <v>216</v>
      </c>
      <c r="BA262" s="690"/>
      <c r="BB262" s="696"/>
      <c r="BC262" s="571"/>
      <c r="BD262" s="651" t="s">
        <v>15</v>
      </c>
      <c r="BE262" s="653">
        <v>143.0</v>
      </c>
      <c r="BF262" s="653">
        <v>45.0</v>
      </c>
      <c r="BG262" s="654">
        <v>70.0</v>
      </c>
      <c r="BH262" s="653">
        <v>60.0</v>
      </c>
      <c r="BI262" s="607"/>
      <c r="BJ262" s="655" t="s">
        <v>13</v>
      </c>
      <c r="BK262" s="656">
        <v>0.125</v>
      </c>
      <c r="BL262" s="610"/>
      <c r="BM262" s="657" t="s">
        <v>14</v>
      </c>
      <c r="BN262" s="658" t="s">
        <v>106</v>
      </c>
      <c r="BO262" s="607"/>
      <c r="BP262" s="659" t="s">
        <v>2438</v>
      </c>
      <c r="BQ262" s="614"/>
      <c r="BR262" s="660" t="s">
        <v>4430</v>
      </c>
      <c r="BS262" s="614"/>
    </row>
    <row r="263" ht="15.75" customHeight="1">
      <c r="A263" s="841"/>
      <c r="B263" s="617" t="s">
        <v>2442</v>
      </c>
      <c r="C263" s="618"/>
      <c r="D263" s="619"/>
      <c r="E263" s="629">
        <v>100.0</v>
      </c>
      <c r="F263" s="621">
        <v>110.0</v>
      </c>
      <c r="G263" s="622">
        <v>90.0</v>
      </c>
      <c r="H263" s="623">
        <v>85.0</v>
      </c>
      <c r="I263" s="624">
        <v>90.0</v>
      </c>
      <c r="J263" s="753">
        <v>60.0</v>
      </c>
      <c r="K263" s="749">
        <v>535.0</v>
      </c>
      <c r="L263" s="627">
        <v>100.0</v>
      </c>
      <c r="M263" s="621">
        <v>110.0</v>
      </c>
      <c r="N263" s="622">
        <v>90.0</v>
      </c>
      <c r="O263" s="623">
        <v>85.0</v>
      </c>
      <c r="P263" s="624">
        <v>90.0</v>
      </c>
      <c r="Q263" s="625">
        <v>60.0</v>
      </c>
      <c r="R263" s="628">
        <v>535.0</v>
      </c>
      <c r="S263" s="629">
        <v>100.0</v>
      </c>
      <c r="T263" s="621">
        <v>110.0</v>
      </c>
      <c r="U263" s="622">
        <v>90.0</v>
      </c>
      <c r="V263" s="623">
        <v>85.0</v>
      </c>
      <c r="W263" s="624">
        <v>90.0</v>
      </c>
      <c r="X263" s="625">
        <v>60.0</v>
      </c>
      <c r="Y263" s="628">
        <f t="shared" si="1"/>
        <v>535</v>
      </c>
      <c r="Z263" s="619"/>
      <c r="AA263" s="630" t="str">
        <f t="shared" si="2"/>
        <v>#NAME?</v>
      </c>
      <c r="AB263" s="631" t="s">
        <v>32</v>
      </c>
      <c r="AC263" s="632" t="str">
        <f t="shared" si="3"/>
        <v>#NAME?</v>
      </c>
      <c r="AD263" s="630" t="s">
        <v>79</v>
      </c>
      <c r="AE263" s="633" t="str">
        <f t="shared" si="4"/>
        <v>#NAME?</v>
      </c>
      <c r="AF263" s="631" t="s">
        <v>32</v>
      </c>
      <c r="AG263" s="632" t="str">
        <f t="shared" si="5"/>
        <v>#NAME?</v>
      </c>
      <c r="AH263" s="634" t="s">
        <v>79</v>
      </c>
      <c r="AI263" s="635" t="str">
        <f t="shared" si="6"/>
        <v>#NAME?</v>
      </c>
      <c r="AJ263" s="634" t="s">
        <v>32</v>
      </c>
      <c r="AK263" s="636" t="str">
        <f t="shared" si="7"/>
        <v>#NAME?</v>
      </c>
      <c r="AL263" s="637" t="s">
        <v>79</v>
      </c>
      <c r="AM263" s="619"/>
      <c r="AN263" s="638" t="s">
        <v>102</v>
      </c>
      <c r="AO263" s="639"/>
      <c r="AP263" s="712" t="s">
        <v>102</v>
      </c>
      <c r="AQ263" s="723" t="s">
        <v>2429</v>
      </c>
      <c r="AR263" s="712" t="s">
        <v>102</v>
      </c>
      <c r="AS263" s="723" t="s">
        <v>2429</v>
      </c>
      <c r="AT263" s="644"/>
      <c r="AU263" s="633"/>
      <c r="AV263" s="638"/>
      <c r="AW263" s="630"/>
      <c r="AX263" s="647"/>
      <c r="AY263" s="619"/>
      <c r="AZ263" s="698" t="s">
        <v>451</v>
      </c>
      <c r="BA263" s="699"/>
      <c r="BB263" s="690"/>
      <c r="BC263" s="619"/>
      <c r="BD263" s="651" t="s">
        <v>15</v>
      </c>
      <c r="BE263" s="653">
        <v>210.0</v>
      </c>
      <c r="BF263" s="653">
        <v>45.0</v>
      </c>
      <c r="BG263" s="654">
        <v>70.0</v>
      </c>
      <c r="BH263" s="653">
        <v>80.0</v>
      </c>
      <c r="BI263" s="607"/>
      <c r="BJ263" s="655" t="s">
        <v>13</v>
      </c>
      <c r="BK263" s="656">
        <v>0.125</v>
      </c>
      <c r="BL263" s="610"/>
      <c r="BM263" s="657" t="s">
        <v>14</v>
      </c>
      <c r="BN263" s="658" t="s">
        <v>106</v>
      </c>
      <c r="BO263" s="607"/>
      <c r="BP263" s="659" t="s">
        <v>2446</v>
      </c>
      <c r="BQ263" s="614"/>
      <c r="BR263" s="660" t="s">
        <v>4430</v>
      </c>
      <c r="BS263" s="614"/>
    </row>
    <row r="264" ht="15.75" customHeight="1">
      <c r="A264" s="841"/>
      <c r="B264" s="661" t="s">
        <v>2450</v>
      </c>
      <c r="C264" s="662"/>
      <c r="D264" s="571"/>
      <c r="E264" s="672">
        <v>35.0</v>
      </c>
      <c r="F264" s="664">
        <v>55.0</v>
      </c>
      <c r="G264" s="665">
        <v>35.0</v>
      </c>
      <c r="H264" s="666">
        <v>30.0</v>
      </c>
      <c r="I264" s="667">
        <v>30.0</v>
      </c>
      <c r="J264" s="668">
        <v>35.0</v>
      </c>
      <c r="K264" s="669">
        <v>220.0</v>
      </c>
      <c r="L264" s="670">
        <v>35.0</v>
      </c>
      <c r="M264" s="664">
        <v>55.0</v>
      </c>
      <c r="N264" s="665">
        <v>35.0</v>
      </c>
      <c r="O264" s="666">
        <v>30.0</v>
      </c>
      <c r="P264" s="667">
        <v>30.0</v>
      </c>
      <c r="Q264" s="668">
        <v>35.0</v>
      </c>
      <c r="R264" s="671">
        <v>220.0</v>
      </c>
      <c r="S264" s="672">
        <v>35.0</v>
      </c>
      <c r="T264" s="741">
        <v>75.0</v>
      </c>
      <c r="U264" s="665">
        <v>35.0</v>
      </c>
      <c r="V264" s="666">
        <v>30.0</v>
      </c>
      <c r="W264" s="667">
        <v>30.0</v>
      </c>
      <c r="X264" s="745">
        <v>65.0</v>
      </c>
      <c r="Y264" s="671">
        <f t="shared" si="1"/>
        <v>270</v>
      </c>
      <c r="Z264" s="571"/>
      <c r="AA264" s="673" t="str">
        <f t="shared" si="2"/>
        <v>#NAME?</v>
      </c>
      <c r="AB264" s="674" t="s">
        <v>76</v>
      </c>
      <c r="AC264" s="675" t="str">
        <f t="shared" si="3"/>
        <v>#NAME?</v>
      </c>
      <c r="AD264" s="680" t="s">
        <v>4428</v>
      </c>
      <c r="AE264" s="676" t="str">
        <f t="shared" si="4"/>
        <v>#NAME?</v>
      </c>
      <c r="AF264" s="674" t="s">
        <v>76</v>
      </c>
      <c r="AG264" s="675" t="str">
        <f t="shared" si="5"/>
        <v>#NAME?</v>
      </c>
      <c r="AH264" s="586" t="s">
        <v>4428</v>
      </c>
      <c r="AI264" s="677" t="str">
        <f t="shared" si="6"/>
        <v>#NAME?</v>
      </c>
      <c r="AJ264" s="586" t="s">
        <v>76</v>
      </c>
      <c r="AK264" s="584" t="str">
        <f t="shared" si="7"/>
        <v>#NAME?</v>
      </c>
      <c r="AL264" s="678" t="s">
        <v>4428</v>
      </c>
      <c r="AM264" s="571"/>
      <c r="AN264" s="679" t="s">
        <v>146</v>
      </c>
      <c r="AO264" s="680" t="s">
        <v>2033</v>
      </c>
      <c r="AP264" s="705" t="s">
        <v>146</v>
      </c>
      <c r="AQ264" s="680" t="s">
        <v>2033</v>
      </c>
      <c r="AR264" s="705" t="s">
        <v>146</v>
      </c>
      <c r="AS264" s="680" t="s">
        <v>2033</v>
      </c>
      <c r="AT264" s="595"/>
      <c r="AU264" s="676"/>
      <c r="AV264" s="679"/>
      <c r="AW264" s="673"/>
      <c r="AX264" s="866"/>
      <c r="AY264" s="571"/>
      <c r="AZ264" s="695" t="s">
        <v>325</v>
      </c>
      <c r="BA264" s="700"/>
      <c r="BB264" s="690"/>
      <c r="BC264" s="571"/>
      <c r="BD264" s="651" t="s">
        <v>150</v>
      </c>
      <c r="BE264" s="653">
        <v>55.0</v>
      </c>
      <c r="BF264" s="653">
        <v>255.0</v>
      </c>
      <c r="BG264" s="654">
        <v>70.0</v>
      </c>
      <c r="BH264" s="653">
        <v>40.0</v>
      </c>
      <c r="BI264" s="607"/>
      <c r="BJ264" s="655" t="s">
        <v>149</v>
      </c>
      <c r="BK264" s="703" t="s">
        <v>149</v>
      </c>
      <c r="BL264" s="610"/>
      <c r="BM264" s="657" t="s">
        <v>277</v>
      </c>
      <c r="BN264" s="704"/>
      <c r="BO264" s="607"/>
      <c r="BP264" s="659" t="s">
        <v>2454</v>
      </c>
      <c r="BQ264" s="614"/>
      <c r="BR264" s="660" t="s">
        <v>4437</v>
      </c>
      <c r="BS264" s="614"/>
    </row>
    <row r="265" ht="15.75" customHeight="1">
      <c r="A265" s="841"/>
      <c r="B265" s="617" t="s">
        <v>2458</v>
      </c>
      <c r="C265" s="618"/>
      <c r="D265" s="619"/>
      <c r="E265" s="629">
        <v>70.0</v>
      </c>
      <c r="F265" s="621">
        <v>90.0</v>
      </c>
      <c r="G265" s="622">
        <v>70.0</v>
      </c>
      <c r="H265" s="623">
        <v>60.0</v>
      </c>
      <c r="I265" s="624">
        <v>60.0</v>
      </c>
      <c r="J265" s="625">
        <v>70.0</v>
      </c>
      <c r="K265" s="626">
        <v>420.0</v>
      </c>
      <c r="L265" s="627">
        <v>70.0</v>
      </c>
      <c r="M265" s="621">
        <v>90.0</v>
      </c>
      <c r="N265" s="622">
        <v>70.0</v>
      </c>
      <c r="O265" s="623">
        <v>60.0</v>
      </c>
      <c r="P265" s="624">
        <v>60.0</v>
      </c>
      <c r="Q265" s="625">
        <v>70.0</v>
      </c>
      <c r="R265" s="628">
        <v>420.0</v>
      </c>
      <c r="S265" s="629">
        <v>70.0</v>
      </c>
      <c r="T265" s="750">
        <v>110.0</v>
      </c>
      <c r="U265" s="622">
        <v>70.0</v>
      </c>
      <c r="V265" s="623">
        <v>60.0</v>
      </c>
      <c r="W265" s="624">
        <v>60.0</v>
      </c>
      <c r="X265" s="753">
        <v>95.0</v>
      </c>
      <c r="Y265" s="628">
        <f t="shared" si="1"/>
        <v>465</v>
      </c>
      <c r="Z265" s="619"/>
      <c r="AA265" s="630" t="str">
        <f t="shared" si="2"/>
        <v>#NAME?</v>
      </c>
      <c r="AB265" s="631" t="s">
        <v>76</v>
      </c>
      <c r="AC265" s="632" t="str">
        <f t="shared" si="3"/>
        <v>#NAME?</v>
      </c>
      <c r="AD265" s="639" t="s">
        <v>4428</v>
      </c>
      <c r="AE265" s="633" t="str">
        <f t="shared" si="4"/>
        <v>#NAME?</v>
      </c>
      <c r="AF265" s="631" t="s">
        <v>76</v>
      </c>
      <c r="AG265" s="632" t="str">
        <f t="shared" si="5"/>
        <v>#NAME?</v>
      </c>
      <c r="AH265" s="634" t="s">
        <v>4428</v>
      </c>
      <c r="AI265" s="635" t="str">
        <f t="shared" si="6"/>
        <v>#NAME?</v>
      </c>
      <c r="AJ265" s="634" t="s">
        <v>76</v>
      </c>
      <c r="AK265" s="636" t="str">
        <f t="shared" si="7"/>
        <v>#NAME?</v>
      </c>
      <c r="AL265" s="637" t="s">
        <v>4428</v>
      </c>
      <c r="AM265" s="619"/>
      <c r="AN265" s="638" t="s">
        <v>326</v>
      </c>
      <c r="AO265" s="639" t="s">
        <v>2033</v>
      </c>
      <c r="AP265" s="712" t="s">
        <v>326</v>
      </c>
      <c r="AQ265" s="639" t="s">
        <v>2033</v>
      </c>
      <c r="AR265" s="712" t="s">
        <v>326</v>
      </c>
      <c r="AS265" s="639" t="s">
        <v>2033</v>
      </c>
      <c r="AT265" s="644"/>
      <c r="AU265" s="633"/>
      <c r="AV265" s="638"/>
      <c r="AW265" s="630"/>
      <c r="AX265" s="647"/>
      <c r="AY265" s="619"/>
      <c r="AZ265" s="698" t="s">
        <v>216</v>
      </c>
      <c r="BA265" s="690"/>
      <c r="BB265" s="650"/>
      <c r="BC265" s="619"/>
      <c r="BD265" s="651" t="s">
        <v>150</v>
      </c>
      <c r="BE265" s="653">
        <v>128.0</v>
      </c>
      <c r="BF265" s="653">
        <v>127.0</v>
      </c>
      <c r="BG265" s="654">
        <v>70.0</v>
      </c>
      <c r="BH265" s="653">
        <v>60.0</v>
      </c>
      <c r="BI265" s="607"/>
      <c r="BJ265" s="655" t="s">
        <v>149</v>
      </c>
      <c r="BK265" s="703" t="s">
        <v>149</v>
      </c>
      <c r="BL265" s="610"/>
      <c r="BM265" s="657" t="s">
        <v>277</v>
      </c>
      <c r="BN265" s="704"/>
      <c r="BO265" s="607"/>
      <c r="BP265" s="659" t="s">
        <v>2462</v>
      </c>
      <c r="BQ265" s="614"/>
      <c r="BR265" s="660" t="s">
        <v>4437</v>
      </c>
      <c r="BS265" s="614"/>
    </row>
    <row r="266" ht="15.75" customHeight="1">
      <c r="A266" s="841"/>
      <c r="B266" s="661" t="s">
        <v>2466</v>
      </c>
      <c r="C266" s="662"/>
      <c r="D266" s="571"/>
      <c r="E266" s="672">
        <v>38.0</v>
      </c>
      <c r="F266" s="664">
        <v>30.0</v>
      </c>
      <c r="G266" s="665">
        <v>41.0</v>
      </c>
      <c r="H266" s="666">
        <v>30.0</v>
      </c>
      <c r="I266" s="667">
        <v>41.0</v>
      </c>
      <c r="J266" s="668">
        <v>60.0</v>
      </c>
      <c r="K266" s="669">
        <v>240.0</v>
      </c>
      <c r="L266" s="670">
        <v>38.0</v>
      </c>
      <c r="M266" s="664">
        <v>30.0</v>
      </c>
      <c r="N266" s="665">
        <v>41.0</v>
      </c>
      <c r="O266" s="666">
        <v>30.0</v>
      </c>
      <c r="P266" s="667">
        <v>41.0</v>
      </c>
      <c r="Q266" s="668">
        <v>60.0</v>
      </c>
      <c r="R266" s="671">
        <v>240.0</v>
      </c>
      <c r="S266" s="672">
        <v>38.0</v>
      </c>
      <c r="T266" s="741">
        <v>40.0</v>
      </c>
      <c r="U266" s="665">
        <v>41.0</v>
      </c>
      <c r="V266" s="666">
        <v>30.0</v>
      </c>
      <c r="W266" s="667">
        <v>41.0</v>
      </c>
      <c r="X266" s="668">
        <v>60.0</v>
      </c>
      <c r="Y266" s="671">
        <f t="shared" si="1"/>
        <v>250</v>
      </c>
      <c r="Z266" s="571"/>
      <c r="AA266" s="673" t="str">
        <f t="shared" si="2"/>
        <v>#NAME?</v>
      </c>
      <c r="AB266" s="674" t="s">
        <v>156</v>
      </c>
      <c r="AC266" s="675" t="str">
        <f t="shared" si="3"/>
        <v>#NAME?</v>
      </c>
      <c r="AD266" s="680" t="s">
        <v>4428</v>
      </c>
      <c r="AE266" s="676" t="str">
        <f t="shared" si="4"/>
        <v>#NAME?</v>
      </c>
      <c r="AF266" s="674" t="s">
        <v>156</v>
      </c>
      <c r="AG266" s="675" t="str">
        <f t="shared" si="5"/>
        <v>#NAME?</v>
      </c>
      <c r="AH266" s="586" t="s">
        <v>4428</v>
      </c>
      <c r="AI266" s="677" t="str">
        <f t="shared" si="6"/>
        <v>#NAME?</v>
      </c>
      <c r="AJ266" s="586" t="s">
        <v>156</v>
      </c>
      <c r="AK266" s="584" t="str">
        <f t="shared" si="7"/>
        <v>#NAME?</v>
      </c>
      <c r="AL266" s="678" t="s">
        <v>4428</v>
      </c>
      <c r="AM266" s="571"/>
      <c r="AN266" s="679" t="s">
        <v>626</v>
      </c>
      <c r="AO266" s="680" t="s">
        <v>778</v>
      </c>
      <c r="AP266" s="705" t="s">
        <v>626</v>
      </c>
      <c r="AQ266" s="680" t="s">
        <v>778</v>
      </c>
      <c r="AR266" s="705" t="s">
        <v>626</v>
      </c>
      <c r="AS266" s="680" t="s">
        <v>778</v>
      </c>
      <c r="AT266" s="595"/>
      <c r="AU266" s="676" t="str">
        <f t="shared" ref="AU266:AU267" si="33">image("https://www.pokebip.com/pages/icones/objets/potion.png", 3)</f>
        <v/>
      </c>
      <c r="AV266" s="679" t="s">
        <v>2472</v>
      </c>
      <c r="AW266" s="673" t="str">
        <f>image("https://www.pokebip.com/pages/icones/objets/rappel.png", 3)</f>
        <v/>
      </c>
      <c r="AX266" s="866" t="s">
        <v>2473</v>
      </c>
      <c r="AY266" s="571"/>
      <c r="AZ266" s="695" t="s">
        <v>56</v>
      </c>
      <c r="BA266" s="700"/>
      <c r="BB266" s="690"/>
      <c r="BC266" s="571"/>
      <c r="BD266" s="651" t="s">
        <v>150</v>
      </c>
      <c r="BE266" s="653">
        <v>60.0</v>
      </c>
      <c r="BF266" s="653">
        <v>255.0</v>
      </c>
      <c r="BG266" s="654">
        <v>70.0</v>
      </c>
      <c r="BH266" s="653">
        <v>40.0</v>
      </c>
      <c r="BI266" s="607"/>
      <c r="BJ266" s="655" t="s">
        <v>149</v>
      </c>
      <c r="BK266" s="703" t="s">
        <v>149</v>
      </c>
      <c r="BL266" s="610"/>
      <c r="BM266" s="657" t="s">
        <v>277</v>
      </c>
      <c r="BN266" s="704"/>
      <c r="BO266" s="607"/>
      <c r="BP266" s="659" t="s">
        <v>2471</v>
      </c>
      <c r="BQ266" s="614"/>
      <c r="BR266" s="660" t="s">
        <v>4432</v>
      </c>
      <c r="BS266" s="614"/>
    </row>
    <row r="267" ht="15.75" customHeight="1">
      <c r="A267" s="841"/>
      <c r="B267" s="617" t="s">
        <v>2477</v>
      </c>
      <c r="C267" s="618"/>
      <c r="D267" s="619"/>
      <c r="E267" s="629">
        <v>78.0</v>
      </c>
      <c r="F267" s="621">
        <v>70.0</v>
      </c>
      <c r="G267" s="622">
        <v>61.0</v>
      </c>
      <c r="H267" s="623">
        <v>50.0</v>
      </c>
      <c r="I267" s="624">
        <v>61.0</v>
      </c>
      <c r="J267" s="625">
        <v>100.0</v>
      </c>
      <c r="K267" s="626">
        <v>420.0</v>
      </c>
      <c r="L267" s="627">
        <v>78.0</v>
      </c>
      <c r="M267" s="621">
        <v>70.0</v>
      </c>
      <c r="N267" s="622">
        <v>61.0</v>
      </c>
      <c r="O267" s="623">
        <v>50.0</v>
      </c>
      <c r="P267" s="624">
        <v>61.0</v>
      </c>
      <c r="Q267" s="625">
        <v>100.0</v>
      </c>
      <c r="R267" s="628">
        <v>420.0</v>
      </c>
      <c r="S267" s="778">
        <v>85.0</v>
      </c>
      <c r="T267" s="750">
        <v>85.0</v>
      </c>
      <c r="U267" s="751">
        <v>60.0</v>
      </c>
      <c r="V267" s="623">
        <v>50.0</v>
      </c>
      <c r="W267" s="752">
        <v>60.0</v>
      </c>
      <c r="X267" s="753">
        <v>110.0</v>
      </c>
      <c r="Y267" s="628">
        <f t="shared" si="1"/>
        <v>450</v>
      </c>
      <c r="Z267" s="619"/>
      <c r="AA267" s="630" t="str">
        <f t="shared" si="2"/>
        <v>#NAME?</v>
      </c>
      <c r="AB267" s="631" t="s">
        <v>156</v>
      </c>
      <c r="AC267" s="632" t="str">
        <f t="shared" si="3"/>
        <v>#NAME?</v>
      </c>
      <c r="AD267" s="639" t="s">
        <v>4428</v>
      </c>
      <c r="AE267" s="633" t="str">
        <f t="shared" si="4"/>
        <v>#NAME?</v>
      </c>
      <c r="AF267" s="631" t="s">
        <v>156</v>
      </c>
      <c r="AG267" s="632" t="str">
        <f t="shared" si="5"/>
        <v>#NAME?</v>
      </c>
      <c r="AH267" s="634" t="s">
        <v>4428</v>
      </c>
      <c r="AI267" s="635" t="str">
        <f t="shared" si="6"/>
        <v>#NAME?</v>
      </c>
      <c r="AJ267" s="634" t="s">
        <v>156</v>
      </c>
      <c r="AK267" s="636" t="str">
        <f t="shared" si="7"/>
        <v>#NAME?</v>
      </c>
      <c r="AL267" s="637" t="s">
        <v>4428</v>
      </c>
      <c r="AM267" s="619"/>
      <c r="AN267" s="638" t="s">
        <v>626</v>
      </c>
      <c r="AO267" s="639" t="s">
        <v>778</v>
      </c>
      <c r="AP267" s="712" t="s">
        <v>626</v>
      </c>
      <c r="AQ267" s="639" t="s">
        <v>778</v>
      </c>
      <c r="AR267" s="712" t="s">
        <v>626</v>
      </c>
      <c r="AS267" s="639" t="s">
        <v>778</v>
      </c>
      <c r="AT267" s="644"/>
      <c r="AU267" s="633" t="str">
        <f t="shared" si="33"/>
        <v/>
      </c>
      <c r="AV267" s="638" t="s">
        <v>2472</v>
      </c>
      <c r="AW267" s="630" t="str">
        <f>image("https://www.pokebip.com/pages/icones/objets/rappel-max.png", 3)</f>
        <v/>
      </c>
      <c r="AX267" s="647" t="s">
        <v>2481</v>
      </c>
      <c r="AY267" s="619"/>
      <c r="AZ267" s="698" t="s">
        <v>248</v>
      </c>
      <c r="BA267" s="690"/>
      <c r="BB267" s="650"/>
      <c r="BC267" s="619"/>
      <c r="BD267" s="651" t="s">
        <v>150</v>
      </c>
      <c r="BE267" s="653">
        <v>128.0</v>
      </c>
      <c r="BF267" s="653">
        <v>90.0</v>
      </c>
      <c r="BG267" s="654">
        <v>70.0</v>
      </c>
      <c r="BH267" s="653">
        <v>60.0</v>
      </c>
      <c r="BI267" s="607"/>
      <c r="BJ267" s="655" t="s">
        <v>149</v>
      </c>
      <c r="BK267" s="703" t="s">
        <v>149</v>
      </c>
      <c r="BL267" s="610"/>
      <c r="BM267" s="657" t="s">
        <v>277</v>
      </c>
      <c r="BN267" s="704"/>
      <c r="BO267" s="607"/>
      <c r="BP267" s="659" t="s">
        <v>2480</v>
      </c>
      <c r="BQ267" s="614"/>
      <c r="BR267" s="660" t="s">
        <v>4431</v>
      </c>
      <c r="BS267" s="614"/>
    </row>
    <row r="268" ht="15.75" customHeight="1">
      <c r="A268" s="841"/>
      <c r="B268" s="661" t="s">
        <v>2485</v>
      </c>
      <c r="C268" s="662"/>
      <c r="D268" s="571"/>
      <c r="E268" s="672">
        <v>45.0</v>
      </c>
      <c r="F268" s="664">
        <v>45.0</v>
      </c>
      <c r="G268" s="665">
        <v>35.0</v>
      </c>
      <c r="H268" s="666">
        <v>20.0</v>
      </c>
      <c r="I268" s="667">
        <v>30.0</v>
      </c>
      <c r="J268" s="668">
        <v>20.0</v>
      </c>
      <c r="K268" s="669">
        <v>195.0</v>
      </c>
      <c r="L268" s="670">
        <v>45.0</v>
      </c>
      <c r="M268" s="664">
        <v>45.0</v>
      </c>
      <c r="N268" s="665">
        <v>35.0</v>
      </c>
      <c r="O268" s="666">
        <v>20.0</v>
      </c>
      <c r="P268" s="667">
        <v>30.0</v>
      </c>
      <c r="Q268" s="668">
        <v>20.0</v>
      </c>
      <c r="R268" s="671">
        <v>195.0</v>
      </c>
      <c r="S268" s="672">
        <v>45.0</v>
      </c>
      <c r="T268" s="664">
        <v>45.0</v>
      </c>
      <c r="U268" s="665">
        <v>35.0</v>
      </c>
      <c r="V268" s="666">
        <v>20.0</v>
      </c>
      <c r="W268" s="667">
        <v>30.0</v>
      </c>
      <c r="X268" s="668">
        <v>20.0</v>
      </c>
      <c r="Y268" s="671">
        <f t="shared" si="1"/>
        <v>195</v>
      </c>
      <c r="Z268" s="571"/>
      <c r="AA268" s="673" t="str">
        <f t="shared" si="2"/>
        <v>#NAME?</v>
      </c>
      <c r="AB268" s="674" t="s">
        <v>109</v>
      </c>
      <c r="AC268" s="675" t="str">
        <f t="shared" si="3"/>
        <v>#NAME?</v>
      </c>
      <c r="AD268" s="680" t="s">
        <v>4428</v>
      </c>
      <c r="AE268" s="676" t="str">
        <f t="shared" si="4"/>
        <v>#NAME?</v>
      </c>
      <c r="AF268" s="674" t="s">
        <v>109</v>
      </c>
      <c r="AG268" s="675" t="str">
        <f t="shared" si="5"/>
        <v>#NAME?</v>
      </c>
      <c r="AH268" s="586" t="s">
        <v>4428</v>
      </c>
      <c r="AI268" s="677" t="str">
        <f t="shared" si="6"/>
        <v>#NAME?</v>
      </c>
      <c r="AJ268" s="586" t="s">
        <v>109</v>
      </c>
      <c r="AK268" s="584" t="str">
        <f t="shared" si="7"/>
        <v>#NAME?</v>
      </c>
      <c r="AL268" s="678" t="s">
        <v>4428</v>
      </c>
      <c r="AM268" s="571"/>
      <c r="AN268" s="679" t="s">
        <v>145</v>
      </c>
      <c r="AO268" s="680"/>
      <c r="AP268" s="705" t="s">
        <v>145</v>
      </c>
      <c r="AQ268" s="722" t="s">
        <v>147</v>
      </c>
      <c r="AR268" s="705" t="s">
        <v>145</v>
      </c>
      <c r="AS268" s="722" t="s">
        <v>147</v>
      </c>
      <c r="AT268" s="595"/>
      <c r="AU268" s="676" t="str">
        <f>image("https://www.serebii.net/diamondpearl/berries/03.png", 3)</f>
        <v/>
      </c>
      <c r="AV268" s="679" t="s">
        <v>2490</v>
      </c>
      <c r="AW268" s="673" t="str">
        <f>image("https://www.pokebip.com/pages/icones/objets/poudre-claire.png", 3)</f>
        <v/>
      </c>
      <c r="AX268" s="866" t="s">
        <v>2491</v>
      </c>
      <c r="AY268" s="571"/>
      <c r="AZ268" s="695" t="s">
        <v>144</v>
      </c>
      <c r="BA268" s="700"/>
      <c r="BB268" s="690"/>
      <c r="BC268" s="571"/>
      <c r="BD268" s="651" t="s">
        <v>150</v>
      </c>
      <c r="BE268" s="653">
        <v>54.0</v>
      </c>
      <c r="BF268" s="653">
        <v>255.0</v>
      </c>
      <c r="BG268" s="654">
        <v>70.0</v>
      </c>
      <c r="BH268" s="653">
        <v>20.0</v>
      </c>
      <c r="BI268" s="607"/>
      <c r="BJ268" s="655" t="s">
        <v>149</v>
      </c>
      <c r="BK268" s="703" t="s">
        <v>149</v>
      </c>
      <c r="BL268" s="610"/>
      <c r="BM268" s="657" t="s">
        <v>109</v>
      </c>
      <c r="BN268" s="704"/>
      <c r="BO268" s="607"/>
      <c r="BP268" s="659" t="s">
        <v>2489</v>
      </c>
      <c r="BQ268" s="614"/>
      <c r="BR268" s="660" t="s">
        <v>4429</v>
      </c>
      <c r="BS268" s="614"/>
    </row>
    <row r="269" ht="15.75" customHeight="1">
      <c r="A269" s="841"/>
      <c r="B269" s="617" t="s">
        <v>2495</v>
      </c>
      <c r="C269" s="618"/>
      <c r="D269" s="619"/>
      <c r="E269" s="629">
        <v>50.0</v>
      </c>
      <c r="F269" s="621">
        <v>35.0</v>
      </c>
      <c r="G269" s="622">
        <v>55.0</v>
      </c>
      <c r="H269" s="623">
        <v>25.0</v>
      </c>
      <c r="I269" s="624">
        <v>25.0</v>
      </c>
      <c r="J269" s="625">
        <v>15.0</v>
      </c>
      <c r="K269" s="626">
        <v>205.0</v>
      </c>
      <c r="L269" s="627">
        <v>50.0</v>
      </c>
      <c r="M269" s="621">
        <v>35.0</v>
      </c>
      <c r="N269" s="622">
        <v>55.0</v>
      </c>
      <c r="O269" s="623">
        <v>25.0</v>
      </c>
      <c r="P269" s="624">
        <v>25.0</v>
      </c>
      <c r="Q269" s="625">
        <v>15.0</v>
      </c>
      <c r="R269" s="628">
        <v>205.0</v>
      </c>
      <c r="S269" s="629">
        <v>50.0</v>
      </c>
      <c r="T269" s="621">
        <v>35.0</v>
      </c>
      <c r="U269" s="622">
        <v>55.0</v>
      </c>
      <c r="V269" s="623">
        <v>25.0</v>
      </c>
      <c r="W269" s="624">
        <v>25.0</v>
      </c>
      <c r="X269" s="625">
        <v>15.0</v>
      </c>
      <c r="Y269" s="628">
        <f t="shared" si="1"/>
        <v>205</v>
      </c>
      <c r="Z269" s="619"/>
      <c r="AA269" s="630" t="str">
        <f t="shared" si="2"/>
        <v>#NAME?</v>
      </c>
      <c r="AB269" s="631" t="s">
        <v>109</v>
      </c>
      <c r="AC269" s="632" t="str">
        <f t="shared" si="3"/>
        <v>#NAME?</v>
      </c>
      <c r="AD269" s="639" t="s">
        <v>4428</v>
      </c>
      <c r="AE269" s="633" t="str">
        <f t="shared" si="4"/>
        <v>#NAME?</v>
      </c>
      <c r="AF269" s="631" t="s">
        <v>109</v>
      </c>
      <c r="AG269" s="632" t="str">
        <f t="shared" si="5"/>
        <v>#NAME?</v>
      </c>
      <c r="AH269" s="634" t="s">
        <v>4428</v>
      </c>
      <c r="AI269" s="635" t="str">
        <f t="shared" si="6"/>
        <v>#NAME?</v>
      </c>
      <c r="AJ269" s="634" t="s">
        <v>109</v>
      </c>
      <c r="AK269" s="636" t="str">
        <f t="shared" si="7"/>
        <v>#NAME?</v>
      </c>
      <c r="AL269" s="637" t="s">
        <v>4428</v>
      </c>
      <c r="AM269" s="619"/>
      <c r="AN269" s="638" t="s">
        <v>163</v>
      </c>
      <c r="AO269" s="639"/>
      <c r="AP269" s="712" t="s">
        <v>163</v>
      </c>
      <c r="AQ269" s="714" t="s">
        <v>163</v>
      </c>
      <c r="AR269" s="712" t="s">
        <v>163</v>
      </c>
      <c r="AS269" s="714" t="s">
        <v>2498</v>
      </c>
      <c r="AT269" s="644"/>
      <c r="AU269" s="633"/>
      <c r="AV269" s="638"/>
      <c r="AW269" s="630"/>
      <c r="AX269" s="647"/>
      <c r="AY269" s="619"/>
      <c r="AZ269" s="698" t="s">
        <v>162</v>
      </c>
      <c r="BA269" s="690"/>
      <c r="BB269" s="650"/>
      <c r="BC269" s="619"/>
      <c r="BD269" s="651" t="s">
        <v>150</v>
      </c>
      <c r="BE269" s="653">
        <v>72.0</v>
      </c>
      <c r="BF269" s="653">
        <v>120.0</v>
      </c>
      <c r="BG269" s="654">
        <v>70.0</v>
      </c>
      <c r="BH269" s="653">
        <v>20.0</v>
      </c>
      <c r="BI269" s="607"/>
      <c r="BJ269" s="655" t="s">
        <v>149</v>
      </c>
      <c r="BK269" s="703" t="s">
        <v>149</v>
      </c>
      <c r="BL269" s="610"/>
      <c r="BM269" s="657" t="s">
        <v>109</v>
      </c>
      <c r="BN269" s="704"/>
      <c r="BO269" s="607"/>
      <c r="BP269" s="659" t="s">
        <v>2499</v>
      </c>
      <c r="BQ269" s="614"/>
      <c r="BR269" s="660" t="s">
        <v>4431</v>
      </c>
      <c r="BS269" s="614"/>
    </row>
    <row r="270" ht="15.75" customHeight="1">
      <c r="A270" s="841"/>
      <c r="B270" s="661" t="s">
        <v>2503</v>
      </c>
      <c r="C270" s="662"/>
      <c r="D270" s="571"/>
      <c r="E270" s="672">
        <v>60.0</v>
      </c>
      <c r="F270" s="664">
        <v>70.0</v>
      </c>
      <c r="G270" s="665">
        <v>50.0</v>
      </c>
      <c r="H270" s="666">
        <v>90.0</v>
      </c>
      <c r="I270" s="667">
        <v>50.0</v>
      </c>
      <c r="J270" s="668">
        <v>65.0</v>
      </c>
      <c r="K270" s="669">
        <v>385.0</v>
      </c>
      <c r="L270" s="670">
        <v>60.0</v>
      </c>
      <c r="M270" s="664">
        <v>70.0</v>
      </c>
      <c r="N270" s="665">
        <v>50.0</v>
      </c>
      <c r="O270" s="666">
        <v>100.0</v>
      </c>
      <c r="P270" s="667">
        <v>50.0</v>
      </c>
      <c r="Q270" s="668">
        <v>65.0</v>
      </c>
      <c r="R270" s="671">
        <v>395.0</v>
      </c>
      <c r="S270" s="672">
        <v>60.0</v>
      </c>
      <c r="T270" s="664">
        <v>70.0</v>
      </c>
      <c r="U270" s="742">
        <v>60.0</v>
      </c>
      <c r="V270" s="743">
        <v>125.0</v>
      </c>
      <c r="W270" s="744">
        <v>60.0</v>
      </c>
      <c r="X270" s="745">
        <v>75.0</v>
      </c>
      <c r="Y270" s="671">
        <f t="shared" si="1"/>
        <v>450</v>
      </c>
      <c r="Z270" s="571"/>
      <c r="AA270" s="673" t="str">
        <f t="shared" si="2"/>
        <v>#NAME?</v>
      </c>
      <c r="AB270" s="674" t="s">
        <v>109</v>
      </c>
      <c r="AC270" s="675" t="str">
        <f t="shared" si="3"/>
        <v>#NAME?</v>
      </c>
      <c r="AD270" s="673" t="s">
        <v>18</v>
      </c>
      <c r="AE270" s="676" t="str">
        <f t="shared" si="4"/>
        <v>#NAME?</v>
      </c>
      <c r="AF270" s="674" t="s">
        <v>109</v>
      </c>
      <c r="AG270" s="675" t="str">
        <f t="shared" si="5"/>
        <v>#NAME?</v>
      </c>
      <c r="AH270" s="586" t="s">
        <v>18</v>
      </c>
      <c r="AI270" s="677" t="str">
        <f t="shared" si="6"/>
        <v>#NAME?</v>
      </c>
      <c r="AJ270" s="586" t="s">
        <v>109</v>
      </c>
      <c r="AK270" s="584" t="str">
        <f t="shared" si="7"/>
        <v>#NAME?</v>
      </c>
      <c r="AL270" s="678" t="s">
        <v>18</v>
      </c>
      <c r="AM270" s="571"/>
      <c r="AN270" s="679" t="s">
        <v>217</v>
      </c>
      <c r="AO270" s="680"/>
      <c r="AP270" s="705" t="s">
        <v>217</v>
      </c>
      <c r="AQ270" s="707" t="s">
        <v>2506</v>
      </c>
      <c r="AR270" s="705" t="s">
        <v>217</v>
      </c>
      <c r="AS270" s="707" t="s">
        <v>2506</v>
      </c>
      <c r="AT270" s="595"/>
      <c r="AU270" s="676" t="str">
        <f t="shared" ref="AU270:AU271" si="34">image("https://www.pokebip.com/pages/icones/objets/carapace-mue.png", 3)</f>
        <v/>
      </c>
      <c r="AV270" s="679" t="s">
        <v>601</v>
      </c>
      <c r="AW270" s="673"/>
      <c r="AX270" s="866"/>
      <c r="AY270" s="571"/>
      <c r="AZ270" s="689" t="s">
        <v>85</v>
      </c>
      <c r="BA270" s="699"/>
      <c r="BB270" s="690"/>
      <c r="BC270" s="571"/>
      <c r="BD270" s="651" t="s">
        <v>150</v>
      </c>
      <c r="BE270" s="653">
        <v>161.0</v>
      </c>
      <c r="BF270" s="653">
        <v>45.0</v>
      </c>
      <c r="BG270" s="654">
        <v>70.0</v>
      </c>
      <c r="BH270" s="653">
        <v>60.0</v>
      </c>
      <c r="BI270" s="607"/>
      <c r="BJ270" s="655" t="s">
        <v>149</v>
      </c>
      <c r="BK270" s="703" t="s">
        <v>149</v>
      </c>
      <c r="BL270" s="610"/>
      <c r="BM270" s="657" t="s">
        <v>109</v>
      </c>
      <c r="BN270" s="704"/>
      <c r="BO270" s="607"/>
      <c r="BP270" s="659" t="s">
        <v>2508</v>
      </c>
      <c r="BQ270" s="614"/>
      <c r="BR270" s="660" t="s">
        <v>4433</v>
      </c>
      <c r="BS270" s="614"/>
    </row>
    <row r="271" ht="15.75" customHeight="1">
      <c r="A271" s="841"/>
      <c r="B271" s="617" t="s">
        <v>2512</v>
      </c>
      <c r="C271" s="618"/>
      <c r="D271" s="619"/>
      <c r="E271" s="629">
        <v>50.0</v>
      </c>
      <c r="F271" s="750">
        <v>35.0</v>
      </c>
      <c r="G271" s="622">
        <v>55.0</v>
      </c>
      <c r="H271" s="623">
        <v>25.0</v>
      </c>
      <c r="I271" s="624">
        <v>25.0</v>
      </c>
      <c r="J271" s="625">
        <v>15.0</v>
      </c>
      <c r="K271" s="749">
        <v>205.0</v>
      </c>
      <c r="L271" s="627">
        <v>50.0</v>
      </c>
      <c r="M271" s="621">
        <v>35.0</v>
      </c>
      <c r="N271" s="622">
        <v>55.0</v>
      </c>
      <c r="O271" s="623">
        <v>25.0</v>
      </c>
      <c r="P271" s="624">
        <v>25.0</v>
      </c>
      <c r="Q271" s="625">
        <v>15.0</v>
      </c>
      <c r="R271" s="628">
        <v>205.0</v>
      </c>
      <c r="S271" s="629">
        <v>50.0</v>
      </c>
      <c r="T271" s="621">
        <v>35.0</v>
      </c>
      <c r="U271" s="622">
        <v>55.0</v>
      </c>
      <c r="V271" s="623">
        <v>25.0</v>
      </c>
      <c r="W271" s="624">
        <v>25.0</v>
      </c>
      <c r="X271" s="625">
        <v>15.0</v>
      </c>
      <c r="Y271" s="628">
        <f t="shared" si="1"/>
        <v>205</v>
      </c>
      <c r="Z271" s="619"/>
      <c r="AA271" s="630" t="str">
        <f t="shared" si="2"/>
        <v>#NAME?</v>
      </c>
      <c r="AB271" s="631" t="s">
        <v>109</v>
      </c>
      <c r="AC271" s="632" t="str">
        <f t="shared" si="3"/>
        <v>#NAME?</v>
      </c>
      <c r="AD271" s="639" t="s">
        <v>4428</v>
      </c>
      <c r="AE271" s="633" t="str">
        <f t="shared" si="4"/>
        <v>#NAME?</v>
      </c>
      <c r="AF271" s="631" t="s">
        <v>109</v>
      </c>
      <c r="AG271" s="632" t="str">
        <f t="shared" si="5"/>
        <v>#NAME?</v>
      </c>
      <c r="AH271" s="634" t="s">
        <v>4428</v>
      </c>
      <c r="AI271" s="635" t="str">
        <f t="shared" si="6"/>
        <v>#NAME?</v>
      </c>
      <c r="AJ271" s="634" t="s">
        <v>109</v>
      </c>
      <c r="AK271" s="636" t="str">
        <f t="shared" si="7"/>
        <v>#NAME?</v>
      </c>
      <c r="AL271" s="637" t="s">
        <v>4428</v>
      </c>
      <c r="AM271" s="619"/>
      <c r="AN271" s="638" t="s">
        <v>163</v>
      </c>
      <c r="AO271" s="639"/>
      <c r="AP271" s="712" t="s">
        <v>163</v>
      </c>
      <c r="AQ271" s="714" t="s">
        <v>163</v>
      </c>
      <c r="AR271" s="712" t="s">
        <v>163</v>
      </c>
      <c r="AS271" s="714" t="s">
        <v>2498</v>
      </c>
      <c r="AT271" s="644"/>
      <c r="AU271" s="633" t="str">
        <f t="shared" si="34"/>
        <v/>
      </c>
      <c r="AV271" s="638" t="s">
        <v>601</v>
      </c>
      <c r="AW271" s="630"/>
      <c r="AX271" s="647"/>
      <c r="AY271" s="619"/>
      <c r="AZ271" s="698" t="s">
        <v>162</v>
      </c>
      <c r="BA271" s="690"/>
      <c r="BB271" s="650"/>
      <c r="BC271" s="619"/>
      <c r="BD271" s="651" t="s">
        <v>150</v>
      </c>
      <c r="BE271" s="653">
        <v>72.0</v>
      </c>
      <c r="BF271" s="653">
        <v>120.0</v>
      </c>
      <c r="BG271" s="654">
        <v>70.0</v>
      </c>
      <c r="BH271" s="653">
        <v>40.0</v>
      </c>
      <c r="BI271" s="607"/>
      <c r="BJ271" s="655" t="s">
        <v>149</v>
      </c>
      <c r="BK271" s="703" t="s">
        <v>149</v>
      </c>
      <c r="BL271" s="610"/>
      <c r="BM271" s="657" t="s">
        <v>109</v>
      </c>
      <c r="BN271" s="704"/>
      <c r="BO271" s="607"/>
      <c r="BP271" s="659" t="s">
        <v>2515</v>
      </c>
      <c r="BQ271" s="614"/>
      <c r="BR271" s="660" t="s">
        <v>4434</v>
      </c>
      <c r="BS271" s="614"/>
    </row>
    <row r="272" ht="15.75" customHeight="1">
      <c r="A272" s="841"/>
      <c r="B272" s="661" t="s">
        <v>2519</v>
      </c>
      <c r="C272" s="662"/>
      <c r="D272" s="571"/>
      <c r="E272" s="672">
        <v>60.0</v>
      </c>
      <c r="F272" s="664">
        <v>50.0</v>
      </c>
      <c r="G272" s="665">
        <v>70.0</v>
      </c>
      <c r="H272" s="666">
        <v>50.0</v>
      </c>
      <c r="I272" s="667">
        <v>90.0</v>
      </c>
      <c r="J272" s="668">
        <v>65.0</v>
      </c>
      <c r="K272" s="669">
        <v>385.0</v>
      </c>
      <c r="L272" s="670">
        <v>60.0</v>
      </c>
      <c r="M272" s="664">
        <v>50.0</v>
      </c>
      <c r="N272" s="665">
        <v>70.0</v>
      </c>
      <c r="O272" s="666">
        <v>50.0</v>
      </c>
      <c r="P272" s="667">
        <v>90.0</v>
      </c>
      <c r="Q272" s="668">
        <v>65.0</v>
      </c>
      <c r="R272" s="671">
        <v>385.0</v>
      </c>
      <c r="S272" s="672">
        <v>60.0</v>
      </c>
      <c r="T272" s="664">
        <v>50.0</v>
      </c>
      <c r="U272" s="742">
        <v>75.0</v>
      </c>
      <c r="V272" s="743">
        <v>75.0</v>
      </c>
      <c r="W272" s="744">
        <v>115.0</v>
      </c>
      <c r="X272" s="745">
        <v>75.0</v>
      </c>
      <c r="Y272" s="671">
        <f t="shared" si="1"/>
        <v>450</v>
      </c>
      <c r="Z272" s="571"/>
      <c r="AA272" s="673" t="str">
        <f t="shared" si="2"/>
        <v>#NAME?</v>
      </c>
      <c r="AB272" s="674" t="s">
        <v>109</v>
      </c>
      <c r="AC272" s="675" t="str">
        <f t="shared" si="3"/>
        <v>#NAME?</v>
      </c>
      <c r="AD272" s="673" t="s">
        <v>7</v>
      </c>
      <c r="AE272" s="676" t="str">
        <f t="shared" si="4"/>
        <v>#NAME?</v>
      </c>
      <c r="AF272" s="674" t="s">
        <v>109</v>
      </c>
      <c r="AG272" s="675" t="str">
        <f t="shared" si="5"/>
        <v>#NAME?</v>
      </c>
      <c r="AH272" s="586" t="s">
        <v>7</v>
      </c>
      <c r="AI272" s="677" t="str">
        <f t="shared" si="6"/>
        <v>#NAME?</v>
      </c>
      <c r="AJ272" s="586" t="s">
        <v>109</v>
      </c>
      <c r="AK272" s="584" t="str">
        <f t="shared" si="7"/>
        <v>#NAME?</v>
      </c>
      <c r="AL272" s="678" t="s">
        <v>7</v>
      </c>
      <c r="AM272" s="571"/>
      <c r="AN272" s="679" t="s">
        <v>145</v>
      </c>
      <c r="AO272" s="680"/>
      <c r="AP272" s="705" t="s">
        <v>145</v>
      </c>
      <c r="AQ272" s="756" t="s">
        <v>2522</v>
      </c>
      <c r="AR272" s="705" t="s">
        <v>145</v>
      </c>
      <c r="AS272" s="756" t="s">
        <v>2522</v>
      </c>
      <c r="AT272" s="595"/>
      <c r="AU272" s="676"/>
      <c r="AV272" s="679"/>
      <c r="AW272" s="673"/>
      <c r="AX272" s="866"/>
      <c r="AY272" s="571"/>
      <c r="AZ272" s="689" t="s">
        <v>129</v>
      </c>
      <c r="BA272" s="699"/>
      <c r="BB272" s="690"/>
      <c r="BC272" s="571"/>
      <c r="BD272" s="651" t="s">
        <v>150</v>
      </c>
      <c r="BE272" s="653">
        <v>161.0</v>
      </c>
      <c r="BF272" s="653">
        <v>45.0</v>
      </c>
      <c r="BG272" s="654">
        <v>70.0</v>
      </c>
      <c r="BH272" s="653">
        <v>60.0</v>
      </c>
      <c r="BI272" s="607"/>
      <c r="BJ272" s="655" t="s">
        <v>149</v>
      </c>
      <c r="BK272" s="703" t="s">
        <v>149</v>
      </c>
      <c r="BL272" s="610"/>
      <c r="BM272" s="657" t="s">
        <v>109</v>
      </c>
      <c r="BN272" s="704"/>
      <c r="BO272" s="607"/>
      <c r="BP272" s="659" t="s">
        <v>2524</v>
      </c>
      <c r="BQ272" s="614"/>
      <c r="BR272" s="660" t="s">
        <v>4427</v>
      </c>
      <c r="BS272" s="614"/>
    </row>
    <row r="273" ht="15.75" customHeight="1">
      <c r="A273" s="841"/>
      <c r="B273" s="617" t="s">
        <v>2528</v>
      </c>
      <c r="C273" s="618"/>
      <c r="D273" s="619"/>
      <c r="E273" s="629">
        <v>40.0</v>
      </c>
      <c r="F273" s="621">
        <v>30.0</v>
      </c>
      <c r="G273" s="622">
        <v>30.0</v>
      </c>
      <c r="H273" s="748">
        <v>40.0</v>
      </c>
      <c r="I273" s="624">
        <v>50.0</v>
      </c>
      <c r="J273" s="625">
        <v>30.0</v>
      </c>
      <c r="K273" s="749">
        <v>220.0</v>
      </c>
      <c r="L273" s="627">
        <v>40.0</v>
      </c>
      <c r="M273" s="621">
        <v>30.0</v>
      </c>
      <c r="N273" s="622">
        <v>30.0</v>
      </c>
      <c r="O273" s="623">
        <v>40.0</v>
      </c>
      <c r="P273" s="624">
        <v>50.0</v>
      </c>
      <c r="Q273" s="625">
        <v>30.0</v>
      </c>
      <c r="R273" s="628">
        <v>220.0</v>
      </c>
      <c r="S273" s="629">
        <v>40.0</v>
      </c>
      <c r="T273" s="621">
        <v>30.0</v>
      </c>
      <c r="U273" s="622">
        <v>30.0</v>
      </c>
      <c r="V273" s="623">
        <v>40.0</v>
      </c>
      <c r="W273" s="624">
        <v>50.0</v>
      </c>
      <c r="X273" s="625">
        <v>30.0</v>
      </c>
      <c r="Y273" s="628">
        <f t="shared" si="1"/>
        <v>220</v>
      </c>
      <c r="Z273" s="619"/>
      <c r="AA273" s="630" t="str">
        <f t="shared" si="2"/>
        <v>#NAME?</v>
      </c>
      <c r="AB273" s="631" t="s">
        <v>32</v>
      </c>
      <c r="AC273" s="632" t="str">
        <f t="shared" si="3"/>
        <v>#NAME?</v>
      </c>
      <c r="AD273" s="630" t="s">
        <v>6</v>
      </c>
      <c r="AE273" s="633" t="str">
        <f t="shared" si="4"/>
        <v>#NAME?</v>
      </c>
      <c r="AF273" s="631" t="s">
        <v>32</v>
      </c>
      <c r="AG273" s="632" t="str">
        <f t="shared" si="5"/>
        <v>#NAME?</v>
      </c>
      <c r="AH273" s="634" t="s">
        <v>6</v>
      </c>
      <c r="AI273" s="635" t="str">
        <f t="shared" si="6"/>
        <v>#NAME?</v>
      </c>
      <c r="AJ273" s="634" t="s">
        <v>32</v>
      </c>
      <c r="AK273" s="636" t="str">
        <f t="shared" si="7"/>
        <v>#NAME?</v>
      </c>
      <c r="AL273" s="637" t="s">
        <v>6</v>
      </c>
      <c r="AM273" s="619"/>
      <c r="AN273" s="638" t="s">
        <v>1212</v>
      </c>
      <c r="AO273" s="639" t="s">
        <v>103</v>
      </c>
      <c r="AP273" s="712" t="s">
        <v>1212</v>
      </c>
      <c r="AQ273" s="639" t="s">
        <v>103</v>
      </c>
      <c r="AR273" s="712" t="s">
        <v>1212</v>
      </c>
      <c r="AS273" s="639" t="s">
        <v>103</v>
      </c>
      <c r="AT273" s="644"/>
      <c r="AU273" s="633" t="str">
        <f t="shared" ref="AU273:AU275" si="35">image("https://www.pokebip.com/pages/icones/objets/herbe-mental.png", 3)</f>
        <v/>
      </c>
      <c r="AV273" s="638" t="s">
        <v>2534</v>
      </c>
      <c r="AW273" s="630"/>
      <c r="AX273" s="647"/>
      <c r="AY273" s="619"/>
      <c r="AZ273" s="648" t="s">
        <v>27</v>
      </c>
      <c r="BA273" s="694"/>
      <c r="BB273" s="690"/>
      <c r="BC273" s="619"/>
      <c r="BD273" s="651" t="s">
        <v>15</v>
      </c>
      <c r="BE273" s="653">
        <v>74.0</v>
      </c>
      <c r="BF273" s="653">
        <v>255.0</v>
      </c>
      <c r="BG273" s="654">
        <v>70.0</v>
      </c>
      <c r="BH273" s="653">
        <v>20.0</v>
      </c>
      <c r="BI273" s="607"/>
      <c r="BJ273" s="655" t="s">
        <v>149</v>
      </c>
      <c r="BK273" s="703" t="s">
        <v>149</v>
      </c>
      <c r="BL273" s="610"/>
      <c r="BM273" s="657" t="s">
        <v>106</v>
      </c>
      <c r="BN273" s="658" t="s">
        <v>6</v>
      </c>
      <c r="BO273" s="607"/>
      <c r="BP273" s="659" t="s">
        <v>2533</v>
      </c>
      <c r="BQ273" s="614"/>
      <c r="BR273" s="660" t="s">
        <v>4427</v>
      </c>
      <c r="BS273" s="614"/>
    </row>
    <row r="274" ht="15.75" customHeight="1">
      <c r="A274" s="841"/>
      <c r="B274" s="661" t="s">
        <v>2537</v>
      </c>
      <c r="C274" s="662"/>
      <c r="D274" s="571"/>
      <c r="E274" s="672">
        <v>60.0</v>
      </c>
      <c r="F274" s="664">
        <v>50.0</v>
      </c>
      <c r="G274" s="665">
        <v>50.0</v>
      </c>
      <c r="H274" s="666">
        <v>60.0</v>
      </c>
      <c r="I274" s="667">
        <v>70.0</v>
      </c>
      <c r="J274" s="668">
        <v>50.0</v>
      </c>
      <c r="K274" s="669">
        <v>340.0</v>
      </c>
      <c r="L274" s="670">
        <v>60.0</v>
      </c>
      <c r="M274" s="664">
        <v>50.0</v>
      </c>
      <c r="N274" s="665">
        <v>50.0</v>
      </c>
      <c r="O274" s="666">
        <v>60.0</v>
      </c>
      <c r="P274" s="667">
        <v>70.0</v>
      </c>
      <c r="Q274" s="668">
        <v>50.0</v>
      </c>
      <c r="R274" s="671">
        <v>340.0</v>
      </c>
      <c r="S274" s="672">
        <v>60.0</v>
      </c>
      <c r="T274" s="664">
        <v>50.0</v>
      </c>
      <c r="U274" s="665">
        <v>50.0</v>
      </c>
      <c r="V274" s="666">
        <v>60.0</v>
      </c>
      <c r="W274" s="667">
        <v>70.0</v>
      </c>
      <c r="X274" s="668">
        <v>50.0</v>
      </c>
      <c r="Y274" s="671">
        <f t="shared" si="1"/>
        <v>340</v>
      </c>
      <c r="Z274" s="571"/>
      <c r="AA274" s="673" t="str">
        <f t="shared" si="2"/>
        <v>#NAME?</v>
      </c>
      <c r="AB274" s="674" t="s">
        <v>32</v>
      </c>
      <c r="AC274" s="675" t="str">
        <f t="shared" si="3"/>
        <v>#NAME?</v>
      </c>
      <c r="AD274" s="673" t="s">
        <v>6</v>
      </c>
      <c r="AE274" s="676" t="str">
        <f t="shared" si="4"/>
        <v>#NAME?</v>
      </c>
      <c r="AF274" s="674" t="s">
        <v>32</v>
      </c>
      <c r="AG274" s="675" t="str">
        <f t="shared" si="5"/>
        <v>#NAME?</v>
      </c>
      <c r="AH274" s="586" t="s">
        <v>6</v>
      </c>
      <c r="AI274" s="677" t="str">
        <f t="shared" si="6"/>
        <v>#NAME?</v>
      </c>
      <c r="AJ274" s="586" t="s">
        <v>32</v>
      </c>
      <c r="AK274" s="584" t="str">
        <f t="shared" si="7"/>
        <v>#NAME?</v>
      </c>
      <c r="AL274" s="678" t="s">
        <v>6</v>
      </c>
      <c r="AM274" s="571"/>
      <c r="AN274" s="679" t="s">
        <v>1212</v>
      </c>
      <c r="AO274" s="680" t="s">
        <v>103</v>
      </c>
      <c r="AP274" s="705" t="s">
        <v>1212</v>
      </c>
      <c r="AQ274" s="680" t="s">
        <v>103</v>
      </c>
      <c r="AR274" s="705" t="s">
        <v>1212</v>
      </c>
      <c r="AS274" s="680" t="s">
        <v>103</v>
      </c>
      <c r="AT274" s="595"/>
      <c r="AU274" s="676" t="str">
        <f t="shared" si="35"/>
        <v/>
      </c>
      <c r="AV274" s="679" t="s">
        <v>2534</v>
      </c>
      <c r="AW274" s="673"/>
      <c r="AX274" s="866"/>
      <c r="AY274" s="571"/>
      <c r="AZ274" s="689" t="s">
        <v>815</v>
      </c>
      <c r="BA274" s="690"/>
      <c r="BB274" s="696"/>
      <c r="BC274" s="571"/>
      <c r="BD274" s="651" t="s">
        <v>15</v>
      </c>
      <c r="BE274" s="653">
        <v>141.0</v>
      </c>
      <c r="BF274" s="653">
        <v>120.0</v>
      </c>
      <c r="BG274" s="654">
        <v>70.0</v>
      </c>
      <c r="BH274" s="653">
        <v>60.0</v>
      </c>
      <c r="BI274" s="607"/>
      <c r="BJ274" s="655" t="s">
        <v>149</v>
      </c>
      <c r="BK274" s="703" t="s">
        <v>149</v>
      </c>
      <c r="BL274" s="610"/>
      <c r="BM274" s="657" t="s">
        <v>106</v>
      </c>
      <c r="BN274" s="658" t="s">
        <v>6</v>
      </c>
      <c r="BO274" s="607"/>
      <c r="BP274" s="659" t="s">
        <v>2540</v>
      </c>
      <c r="BQ274" s="614"/>
      <c r="BR274" s="660" t="s">
        <v>4427</v>
      </c>
      <c r="BS274" s="614"/>
    </row>
    <row r="275" ht="15.75" customHeight="1">
      <c r="A275" s="841"/>
      <c r="B275" s="617" t="s">
        <v>2544</v>
      </c>
      <c r="C275" s="618"/>
      <c r="D275" s="619"/>
      <c r="E275" s="629">
        <v>80.0</v>
      </c>
      <c r="F275" s="621">
        <v>70.0</v>
      </c>
      <c r="G275" s="622">
        <v>70.0</v>
      </c>
      <c r="H275" s="623">
        <v>90.0</v>
      </c>
      <c r="I275" s="624">
        <v>100.0</v>
      </c>
      <c r="J275" s="625">
        <v>70.0</v>
      </c>
      <c r="K275" s="626">
        <v>480.0</v>
      </c>
      <c r="L275" s="627">
        <v>80.0</v>
      </c>
      <c r="M275" s="621">
        <v>70.0</v>
      </c>
      <c r="N275" s="622">
        <v>70.0</v>
      </c>
      <c r="O275" s="623">
        <v>90.0</v>
      </c>
      <c r="P275" s="624">
        <v>100.0</v>
      </c>
      <c r="Q275" s="625">
        <v>70.0</v>
      </c>
      <c r="R275" s="628">
        <v>480.0</v>
      </c>
      <c r="S275" s="629">
        <v>80.0</v>
      </c>
      <c r="T275" s="621">
        <v>70.0</v>
      </c>
      <c r="U275" s="622">
        <v>70.0</v>
      </c>
      <c r="V275" s="623">
        <v>90.0</v>
      </c>
      <c r="W275" s="624">
        <v>100.0</v>
      </c>
      <c r="X275" s="625">
        <v>70.0</v>
      </c>
      <c r="Y275" s="628">
        <f t="shared" si="1"/>
        <v>480</v>
      </c>
      <c r="Z275" s="619"/>
      <c r="AA275" s="630" t="str">
        <f t="shared" si="2"/>
        <v>#NAME?</v>
      </c>
      <c r="AB275" s="631" t="s">
        <v>32</v>
      </c>
      <c r="AC275" s="632" t="str">
        <f t="shared" si="3"/>
        <v>#NAME?</v>
      </c>
      <c r="AD275" s="630" t="s">
        <v>6</v>
      </c>
      <c r="AE275" s="633" t="str">
        <f t="shared" si="4"/>
        <v>#NAME?</v>
      </c>
      <c r="AF275" s="631" t="s">
        <v>32</v>
      </c>
      <c r="AG275" s="632" t="str">
        <f t="shared" si="5"/>
        <v>#NAME?</v>
      </c>
      <c r="AH275" s="634" t="s">
        <v>6</v>
      </c>
      <c r="AI275" s="635" t="str">
        <f t="shared" si="6"/>
        <v>#NAME?</v>
      </c>
      <c r="AJ275" s="634" t="s">
        <v>32</v>
      </c>
      <c r="AK275" s="636" t="str">
        <f t="shared" si="7"/>
        <v>#NAME?</v>
      </c>
      <c r="AL275" s="637" t="s">
        <v>6</v>
      </c>
      <c r="AM275" s="619"/>
      <c r="AN275" s="638" t="s">
        <v>1212</v>
      </c>
      <c r="AO275" s="639" t="s">
        <v>103</v>
      </c>
      <c r="AP275" s="712" t="s">
        <v>1212</v>
      </c>
      <c r="AQ275" s="639" t="s">
        <v>103</v>
      </c>
      <c r="AR275" s="712" t="s">
        <v>1212</v>
      </c>
      <c r="AS275" s="639" t="s">
        <v>103</v>
      </c>
      <c r="AT275" s="644"/>
      <c r="AU275" s="633" t="str">
        <f t="shared" si="35"/>
        <v/>
      </c>
      <c r="AV275" s="638" t="s">
        <v>2534</v>
      </c>
      <c r="AW275" s="630"/>
      <c r="AX275" s="647"/>
      <c r="AY275" s="619"/>
      <c r="AZ275" s="698" t="s">
        <v>129</v>
      </c>
      <c r="BA275" s="699"/>
      <c r="BB275" s="690"/>
      <c r="BC275" s="619"/>
      <c r="BD275" s="651" t="s">
        <v>15</v>
      </c>
      <c r="BE275" s="653">
        <v>181.0</v>
      </c>
      <c r="BF275" s="653">
        <v>45.0</v>
      </c>
      <c r="BG275" s="654">
        <v>70.0</v>
      </c>
      <c r="BH275" s="653">
        <v>80.0</v>
      </c>
      <c r="BI275" s="607"/>
      <c r="BJ275" s="655" t="s">
        <v>149</v>
      </c>
      <c r="BK275" s="703" t="s">
        <v>149</v>
      </c>
      <c r="BL275" s="610"/>
      <c r="BM275" s="657" t="s">
        <v>106</v>
      </c>
      <c r="BN275" s="658" t="s">
        <v>6</v>
      </c>
      <c r="BO275" s="607"/>
      <c r="BP275" s="659" t="s">
        <v>2547</v>
      </c>
      <c r="BQ275" s="614"/>
      <c r="BR275" s="660" t="s">
        <v>4427</v>
      </c>
      <c r="BS275" s="614"/>
    </row>
    <row r="276" ht="15.75" customHeight="1">
      <c r="A276" s="841"/>
      <c r="B276" s="661" t="s">
        <v>2551</v>
      </c>
      <c r="C276" s="662"/>
      <c r="D276" s="571"/>
      <c r="E276" s="672">
        <v>40.0</v>
      </c>
      <c r="F276" s="664">
        <v>40.0</v>
      </c>
      <c r="G276" s="665">
        <v>50.0</v>
      </c>
      <c r="H276" s="666">
        <v>30.0</v>
      </c>
      <c r="I276" s="667">
        <v>30.0</v>
      </c>
      <c r="J276" s="668">
        <v>30.0</v>
      </c>
      <c r="K276" s="669">
        <v>220.0</v>
      </c>
      <c r="L276" s="670">
        <v>40.0</v>
      </c>
      <c r="M276" s="664">
        <v>40.0</v>
      </c>
      <c r="N276" s="665">
        <v>50.0</v>
      </c>
      <c r="O276" s="666">
        <v>30.0</v>
      </c>
      <c r="P276" s="667">
        <v>30.0</v>
      </c>
      <c r="Q276" s="668">
        <v>30.0</v>
      </c>
      <c r="R276" s="671">
        <v>220.0</v>
      </c>
      <c r="S276" s="672">
        <v>40.0</v>
      </c>
      <c r="T276" s="664">
        <v>40.0</v>
      </c>
      <c r="U276" s="665">
        <v>50.0</v>
      </c>
      <c r="V276" s="666">
        <v>30.0</v>
      </c>
      <c r="W276" s="667">
        <v>30.0</v>
      </c>
      <c r="X276" s="668">
        <v>30.0</v>
      </c>
      <c r="Y276" s="671">
        <f t="shared" si="1"/>
        <v>220</v>
      </c>
      <c r="Z276" s="571"/>
      <c r="AA276" s="673" t="str">
        <f t="shared" si="2"/>
        <v>#NAME?</v>
      </c>
      <c r="AB276" s="674" t="s">
        <v>6</v>
      </c>
      <c r="AC276" s="675" t="str">
        <f t="shared" si="3"/>
        <v>#NAME?</v>
      </c>
      <c r="AD276" s="680" t="s">
        <v>4428</v>
      </c>
      <c r="AE276" s="676" t="str">
        <f t="shared" si="4"/>
        <v>#NAME?</v>
      </c>
      <c r="AF276" s="674" t="s">
        <v>6</v>
      </c>
      <c r="AG276" s="675" t="str">
        <f t="shared" si="5"/>
        <v>#NAME?</v>
      </c>
      <c r="AH276" s="586" t="s">
        <v>4428</v>
      </c>
      <c r="AI276" s="677" t="str">
        <f t="shared" si="6"/>
        <v>#NAME?</v>
      </c>
      <c r="AJ276" s="586" t="s">
        <v>6</v>
      </c>
      <c r="AK276" s="584" t="str">
        <f t="shared" si="7"/>
        <v>#NAME?</v>
      </c>
      <c r="AL276" s="678" t="s">
        <v>4428</v>
      </c>
      <c r="AM276" s="571"/>
      <c r="AN276" s="679" t="s">
        <v>43</v>
      </c>
      <c r="AO276" s="680" t="s">
        <v>924</v>
      </c>
      <c r="AP276" s="705" t="s">
        <v>43</v>
      </c>
      <c r="AQ276" s="680" t="s">
        <v>924</v>
      </c>
      <c r="AR276" s="705" t="s">
        <v>43</v>
      </c>
      <c r="AS276" s="680" t="s">
        <v>924</v>
      </c>
      <c r="AT276" s="595"/>
      <c r="AU276" s="676" t="str">
        <f t="shared" ref="AU276:AU278" si="36">image("https://www.pokebip.com/pages/icones/objets/herbe-pouvoir.png", 3)</f>
        <v/>
      </c>
      <c r="AV276" s="679" t="s">
        <v>2555</v>
      </c>
      <c r="AW276" s="673"/>
      <c r="AX276" s="866"/>
      <c r="AY276" s="571"/>
      <c r="AZ276" s="695" t="s">
        <v>101</v>
      </c>
      <c r="BA276" s="700"/>
      <c r="BB276" s="690"/>
      <c r="BC276" s="571"/>
      <c r="BD276" s="651" t="s">
        <v>15</v>
      </c>
      <c r="BE276" s="653">
        <v>74.0</v>
      </c>
      <c r="BF276" s="653">
        <v>255.0</v>
      </c>
      <c r="BG276" s="654">
        <v>70.0</v>
      </c>
      <c r="BH276" s="653">
        <v>20.0</v>
      </c>
      <c r="BI276" s="607"/>
      <c r="BJ276" s="655" t="s">
        <v>149</v>
      </c>
      <c r="BK276" s="703" t="s">
        <v>149</v>
      </c>
      <c r="BL276" s="610"/>
      <c r="BM276" s="657" t="s">
        <v>277</v>
      </c>
      <c r="BN276" s="658" t="s">
        <v>6</v>
      </c>
      <c r="BO276" s="607"/>
      <c r="BP276" s="659" t="s">
        <v>2554</v>
      </c>
      <c r="BQ276" s="614"/>
      <c r="BR276" s="660" t="s">
        <v>4432</v>
      </c>
      <c r="BS276" s="614"/>
    </row>
    <row r="277" ht="15.75" customHeight="1">
      <c r="A277" s="841"/>
      <c r="B277" s="617" t="s">
        <v>2559</v>
      </c>
      <c r="C277" s="618"/>
      <c r="D277" s="619"/>
      <c r="E277" s="629">
        <v>70.0</v>
      </c>
      <c r="F277" s="621">
        <v>70.0</v>
      </c>
      <c r="G277" s="622">
        <v>40.0</v>
      </c>
      <c r="H277" s="748">
        <v>60.0</v>
      </c>
      <c r="I277" s="624">
        <v>40.0</v>
      </c>
      <c r="J277" s="625">
        <v>60.0</v>
      </c>
      <c r="K277" s="749">
        <v>340.0</v>
      </c>
      <c r="L277" s="627">
        <v>70.0</v>
      </c>
      <c r="M277" s="621">
        <v>70.0</v>
      </c>
      <c r="N277" s="622">
        <v>40.0</v>
      </c>
      <c r="O277" s="623">
        <v>60.0</v>
      </c>
      <c r="P277" s="624">
        <v>40.0</v>
      </c>
      <c r="Q277" s="625">
        <v>60.0</v>
      </c>
      <c r="R277" s="628">
        <v>340.0</v>
      </c>
      <c r="S277" s="629">
        <v>70.0</v>
      </c>
      <c r="T277" s="621">
        <v>70.0</v>
      </c>
      <c r="U277" s="622">
        <v>40.0</v>
      </c>
      <c r="V277" s="623">
        <v>60.0</v>
      </c>
      <c r="W277" s="624">
        <v>40.0</v>
      </c>
      <c r="X277" s="625">
        <v>60.0</v>
      </c>
      <c r="Y277" s="628">
        <f t="shared" si="1"/>
        <v>340</v>
      </c>
      <c r="Z277" s="619"/>
      <c r="AA277" s="630" t="str">
        <f t="shared" si="2"/>
        <v>#NAME?</v>
      </c>
      <c r="AB277" s="631" t="s">
        <v>6</v>
      </c>
      <c r="AC277" s="632" t="str">
        <f t="shared" si="3"/>
        <v>#NAME?</v>
      </c>
      <c r="AD277" s="630" t="s">
        <v>76</v>
      </c>
      <c r="AE277" s="633" t="str">
        <f t="shared" si="4"/>
        <v>#NAME?</v>
      </c>
      <c r="AF277" s="631" t="s">
        <v>6</v>
      </c>
      <c r="AG277" s="632" t="str">
        <f t="shared" si="5"/>
        <v>#NAME?</v>
      </c>
      <c r="AH277" s="634" t="s">
        <v>76</v>
      </c>
      <c r="AI277" s="635" t="str">
        <f t="shared" si="6"/>
        <v>#NAME?</v>
      </c>
      <c r="AJ277" s="634" t="s">
        <v>6</v>
      </c>
      <c r="AK277" s="636" t="str">
        <f t="shared" si="7"/>
        <v>#NAME?</v>
      </c>
      <c r="AL277" s="637" t="s">
        <v>76</v>
      </c>
      <c r="AM277" s="619"/>
      <c r="AN277" s="638" t="s">
        <v>43</v>
      </c>
      <c r="AO277" s="639" t="s">
        <v>924</v>
      </c>
      <c r="AP277" s="712" t="s">
        <v>43</v>
      </c>
      <c r="AQ277" s="639" t="s">
        <v>924</v>
      </c>
      <c r="AR277" s="712" t="s">
        <v>43</v>
      </c>
      <c r="AS277" s="639" t="s">
        <v>924</v>
      </c>
      <c r="AT277" s="644"/>
      <c r="AU277" s="633" t="str">
        <f t="shared" si="36"/>
        <v/>
      </c>
      <c r="AV277" s="638" t="s">
        <v>2555</v>
      </c>
      <c r="AW277" s="630"/>
      <c r="AX277" s="647"/>
      <c r="AY277" s="619"/>
      <c r="AZ277" s="698" t="s">
        <v>216</v>
      </c>
      <c r="BA277" s="690"/>
      <c r="BB277" s="650"/>
      <c r="BC277" s="619"/>
      <c r="BD277" s="651" t="s">
        <v>15</v>
      </c>
      <c r="BE277" s="653">
        <v>141.0</v>
      </c>
      <c r="BF277" s="653">
        <v>120.0</v>
      </c>
      <c r="BG277" s="654">
        <v>70.0</v>
      </c>
      <c r="BH277" s="653">
        <v>60.0</v>
      </c>
      <c r="BI277" s="607"/>
      <c r="BJ277" s="655" t="s">
        <v>149</v>
      </c>
      <c r="BK277" s="703" t="s">
        <v>149</v>
      </c>
      <c r="BL277" s="610"/>
      <c r="BM277" s="657" t="s">
        <v>277</v>
      </c>
      <c r="BN277" s="658" t="s">
        <v>6</v>
      </c>
      <c r="BO277" s="607"/>
      <c r="BP277" s="659" t="s">
        <v>2563</v>
      </c>
      <c r="BQ277" s="614"/>
      <c r="BR277" s="660" t="s">
        <v>4432</v>
      </c>
      <c r="BS277" s="614"/>
    </row>
    <row r="278" ht="15.75" customHeight="1">
      <c r="A278" s="841"/>
      <c r="B278" s="661" t="s">
        <v>2567</v>
      </c>
      <c r="C278" s="662"/>
      <c r="D278" s="571"/>
      <c r="E278" s="672">
        <v>90.0</v>
      </c>
      <c r="F278" s="664">
        <v>100.0</v>
      </c>
      <c r="G278" s="665">
        <v>60.0</v>
      </c>
      <c r="H278" s="666">
        <v>90.0</v>
      </c>
      <c r="I278" s="667">
        <v>60.0</v>
      </c>
      <c r="J278" s="668">
        <v>80.0</v>
      </c>
      <c r="K278" s="669">
        <v>480.0</v>
      </c>
      <c r="L278" s="670">
        <v>90.0</v>
      </c>
      <c r="M278" s="664">
        <v>100.0</v>
      </c>
      <c r="N278" s="665">
        <v>60.0</v>
      </c>
      <c r="O278" s="666">
        <v>90.0</v>
      </c>
      <c r="P278" s="667">
        <v>60.0</v>
      </c>
      <c r="Q278" s="668">
        <v>80.0</v>
      </c>
      <c r="R278" s="671">
        <v>480.0</v>
      </c>
      <c r="S278" s="672">
        <v>90.0</v>
      </c>
      <c r="T278" s="664">
        <v>100.0</v>
      </c>
      <c r="U278" s="665">
        <v>60.0</v>
      </c>
      <c r="V278" s="666">
        <v>90.0</v>
      </c>
      <c r="W278" s="667">
        <v>60.0</v>
      </c>
      <c r="X278" s="668">
        <v>80.0</v>
      </c>
      <c r="Y278" s="671">
        <f t="shared" si="1"/>
        <v>480</v>
      </c>
      <c r="Z278" s="571"/>
      <c r="AA278" s="673" t="str">
        <f t="shared" si="2"/>
        <v>#NAME?</v>
      </c>
      <c r="AB278" s="674" t="s">
        <v>6</v>
      </c>
      <c r="AC278" s="675" t="str">
        <f t="shared" si="3"/>
        <v>#NAME?</v>
      </c>
      <c r="AD278" s="673" t="s">
        <v>76</v>
      </c>
      <c r="AE278" s="676" t="str">
        <f t="shared" si="4"/>
        <v>#NAME?</v>
      </c>
      <c r="AF278" s="674" t="s">
        <v>6</v>
      </c>
      <c r="AG278" s="675" t="str">
        <f t="shared" si="5"/>
        <v>#NAME?</v>
      </c>
      <c r="AH278" s="586" t="s">
        <v>76</v>
      </c>
      <c r="AI278" s="677" t="str">
        <f t="shared" si="6"/>
        <v>#NAME?</v>
      </c>
      <c r="AJ278" s="586" t="s">
        <v>6</v>
      </c>
      <c r="AK278" s="584" t="str">
        <f t="shared" si="7"/>
        <v>#NAME?</v>
      </c>
      <c r="AL278" s="678" t="s">
        <v>76</v>
      </c>
      <c r="AM278" s="571"/>
      <c r="AN278" s="679" t="s">
        <v>43</v>
      </c>
      <c r="AO278" s="680" t="s">
        <v>924</v>
      </c>
      <c r="AP278" s="705" t="s">
        <v>43</v>
      </c>
      <c r="AQ278" s="680" t="s">
        <v>924</v>
      </c>
      <c r="AR278" s="705" t="s">
        <v>43</v>
      </c>
      <c r="AS278" s="680" t="s">
        <v>924</v>
      </c>
      <c r="AT278" s="595"/>
      <c r="AU278" s="676" t="str">
        <f t="shared" si="36"/>
        <v/>
      </c>
      <c r="AV278" s="679" t="s">
        <v>2555</v>
      </c>
      <c r="AW278" s="673"/>
      <c r="AX278" s="866"/>
      <c r="AY278" s="571"/>
      <c r="AZ278" s="689" t="s">
        <v>451</v>
      </c>
      <c r="BA278" s="699"/>
      <c r="BB278" s="690"/>
      <c r="BC278" s="571"/>
      <c r="BD278" s="651" t="s">
        <v>15</v>
      </c>
      <c r="BE278" s="653">
        <v>181.0</v>
      </c>
      <c r="BF278" s="653">
        <v>45.0</v>
      </c>
      <c r="BG278" s="654">
        <v>70.0</v>
      </c>
      <c r="BH278" s="653">
        <v>80.0</v>
      </c>
      <c r="BI278" s="607"/>
      <c r="BJ278" s="655" t="s">
        <v>149</v>
      </c>
      <c r="BK278" s="703" t="s">
        <v>149</v>
      </c>
      <c r="BL278" s="610"/>
      <c r="BM278" s="657" t="s">
        <v>277</v>
      </c>
      <c r="BN278" s="658" t="s">
        <v>6</v>
      </c>
      <c r="BO278" s="607"/>
      <c r="BP278" s="659" t="s">
        <v>2571</v>
      </c>
      <c r="BQ278" s="614"/>
      <c r="BR278" s="660" t="s">
        <v>4432</v>
      </c>
      <c r="BS278" s="614"/>
    </row>
    <row r="279" ht="15.75" customHeight="1">
      <c r="A279" s="841"/>
      <c r="B279" s="617" t="s">
        <v>2575</v>
      </c>
      <c r="C279" s="618"/>
      <c r="D279" s="619"/>
      <c r="E279" s="629">
        <v>40.0</v>
      </c>
      <c r="F279" s="621">
        <v>55.0</v>
      </c>
      <c r="G279" s="622">
        <v>30.0</v>
      </c>
      <c r="H279" s="623">
        <v>30.0</v>
      </c>
      <c r="I279" s="624">
        <v>30.0</v>
      </c>
      <c r="J279" s="625">
        <v>85.0</v>
      </c>
      <c r="K279" s="626">
        <v>270.0</v>
      </c>
      <c r="L279" s="627">
        <v>40.0</v>
      </c>
      <c r="M279" s="621">
        <v>55.0</v>
      </c>
      <c r="N279" s="622">
        <v>30.0</v>
      </c>
      <c r="O279" s="623">
        <v>30.0</v>
      </c>
      <c r="P279" s="624">
        <v>30.0</v>
      </c>
      <c r="Q279" s="625">
        <v>85.0</v>
      </c>
      <c r="R279" s="628">
        <v>270.0</v>
      </c>
      <c r="S279" s="629">
        <v>40.0</v>
      </c>
      <c r="T279" s="621">
        <v>55.0</v>
      </c>
      <c r="U279" s="622">
        <v>30.0</v>
      </c>
      <c r="V279" s="623">
        <v>30.0</v>
      </c>
      <c r="W279" s="624">
        <v>30.0</v>
      </c>
      <c r="X279" s="625">
        <v>85.0</v>
      </c>
      <c r="Y279" s="628">
        <f t="shared" si="1"/>
        <v>270</v>
      </c>
      <c r="Z279" s="619"/>
      <c r="AA279" s="630" t="str">
        <f t="shared" si="2"/>
        <v>#NAME?</v>
      </c>
      <c r="AB279" s="631" t="s">
        <v>156</v>
      </c>
      <c r="AC279" s="632" t="str">
        <f t="shared" si="3"/>
        <v>#NAME?</v>
      </c>
      <c r="AD279" s="630" t="s">
        <v>18</v>
      </c>
      <c r="AE279" s="633" t="str">
        <f t="shared" si="4"/>
        <v>#NAME?</v>
      </c>
      <c r="AF279" s="631" t="s">
        <v>156</v>
      </c>
      <c r="AG279" s="632" t="str">
        <f t="shared" si="5"/>
        <v>#NAME?</v>
      </c>
      <c r="AH279" s="634" t="s">
        <v>18</v>
      </c>
      <c r="AI279" s="635" t="str">
        <f t="shared" si="6"/>
        <v>#NAME?</v>
      </c>
      <c r="AJ279" s="634" t="s">
        <v>156</v>
      </c>
      <c r="AK279" s="636" t="str">
        <f t="shared" si="7"/>
        <v>#NAME?</v>
      </c>
      <c r="AL279" s="637" t="s">
        <v>18</v>
      </c>
      <c r="AM279" s="619"/>
      <c r="AN279" s="638" t="s">
        <v>273</v>
      </c>
      <c r="AO279" s="639"/>
      <c r="AP279" s="712" t="s">
        <v>273</v>
      </c>
      <c r="AQ279" s="845" t="s">
        <v>1623</v>
      </c>
      <c r="AR279" s="712" t="s">
        <v>273</v>
      </c>
      <c r="AS279" s="845" t="s">
        <v>1623</v>
      </c>
      <c r="AT279" s="644"/>
      <c r="AU279" s="633"/>
      <c r="AV279" s="638"/>
      <c r="AW279" s="630"/>
      <c r="AX279" s="647"/>
      <c r="AY279" s="619"/>
      <c r="AZ279" s="648" t="s">
        <v>56</v>
      </c>
      <c r="BA279" s="694"/>
      <c r="BB279" s="690"/>
      <c r="BC279" s="619"/>
      <c r="BD279" s="651" t="s">
        <v>15</v>
      </c>
      <c r="BE279" s="653">
        <v>59.0</v>
      </c>
      <c r="BF279" s="653">
        <v>200.0</v>
      </c>
      <c r="BG279" s="654">
        <v>70.0</v>
      </c>
      <c r="BH279" s="653">
        <v>20.0</v>
      </c>
      <c r="BI279" s="607"/>
      <c r="BJ279" s="655" t="s">
        <v>149</v>
      </c>
      <c r="BK279" s="703" t="s">
        <v>149</v>
      </c>
      <c r="BL279" s="610"/>
      <c r="BM279" s="657" t="s">
        <v>18</v>
      </c>
      <c r="BN279" s="704"/>
      <c r="BO279" s="607"/>
      <c r="BP279" s="659" t="s">
        <v>2579</v>
      </c>
      <c r="BQ279" s="614"/>
      <c r="BR279" s="660" t="s">
        <v>4430</v>
      </c>
      <c r="BS279" s="614"/>
    </row>
    <row r="280" ht="15.75" customHeight="1">
      <c r="A280" s="841"/>
      <c r="B280" s="661" t="s">
        <v>2583</v>
      </c>
      <c r="C280" s="662"/>
      <c r="D280" s="571"/>
      <c r="E280" s="672">
        <v>60.0</v>
      </c>
      <c r="F280" s="664">
        <v>85.0</v>
      </c>
      <c r="G280" s="665">
        <v>60.0</v>
      </c>
      <c r="H280" s="666">
        <v>50.0</v>
      </c>
      <c r="I280" s="667">
        <v>50.0</v>
      </c>
      <c r="J280" s="668">
        <v>125.0</v>
      </c>
      <c r="K280" s="669">
        <v>430.0</v>
      </c>
      <c r="L280" s="670">
        <v>60.0</v>
      </c>
      <c r="M280" s="664">
        <v>85.0</v>
      </c>
      <c r="N280" s="665">
        <v>60.0</v>
      </c>
      <c r="O280" s="666">
        <v>75.0</v>
      </c>
      <c r="P280" s="667">
        <v>50.0</v>
      </c>
      <c r="Q280" s="668">
        <v>125.0</v>
      </c>
      <c r="R280" s="671">
        <v>455.0</v>
      </c>
      <c r="S280" s="672">
        <v>60.0</v>
      </c>
      <c r="T280" s="741">
        <v>90.0</v>
      </c>
      <c r="U280" s="665">
        <v>60.0</v>
      </c>
      <c r="V280" s="743">
        <v>80.0</v>
      </c>
      <c r="W280" s="667">
        <v>50.0</v>
      </c>
      <c r="X280" s="668">
        <v>125.0</v>
      </c>
      <c r="Y280" s="671">
        <f t="shared" si="1"/>
        <v>465</v>
      </c>
      <c r="Z280" s="571"/>
      <c r="AA280" s="673" t="str">
        <f t="shared" si="2"/>
        <v>#NAME?</v>
      </c>
      <c r="AB280" s="674" t="s">
        <v>156</v>
      </c>
      <c r="AC280" s="675" t="str">
        <f t="shared" si="3"/>
        <v>#NAME?</v>
      </c>
      <c r="AD280" s="673" t="s">
        <v>18</v>
      </c>
      <c r="AE280" s="676" t="str">
        <f t="shared" si="4"/>
        <v>#NAME?</v>
      </c>
      <c r="AF280" s="674" t="s">
        <v>156</v>
      </c>
      <c r="AG280" s="675" t="str">
        <f t="shared" si="5"/>
        <v>#NAME?</v>
      </c>
      <c r="AH280" s="586" t="s">
        <v>18</v>
      </c>
      <c r="AI280" s="677" t="str">
        <f t="shared" si="6"/>
        <v>#NAME?</v>
      </c>
      <c r="AJ280" s="586" t="s">
        <v>156</v>
      </c>
      <c r="AK280" s="584" t="str">
        <f t="shared" si="7"/>
        <v>#NAME?</v>
      </c>
      <c r="AL280" s="678" t="s">
        <v>18</v>
      </c>
      <c r="AM280" s="571"/>
      <c r="AN280" s="679" t="s">
        <v>273</v>
      </c>
      <c r="AO280" s="680"/>
      <c r="AP280" s="705" t="s">
        <v>273</v>
      </c>
      <c r="AQ280" s="707" t="s">
        <v>1623</v>
      </c>
      <c r="AR280" s="705" t="s">
        <v>273</v>
      </c>
      <c r="AS280" s="707" t="s">
        <v>1623</v>
      </c>
      <c r="AT280" s="595"/>
      <c r="AU280" s="676"/>
      <c r="AV280" s="679"/>
      <c r="AW280" s="673"/>
      <c r="AX280" s="866"/>
      <c r="AY280" s="571"/>
      <c r="AZ280" s="689" t="s">
        <v>248</v>
      </c>
      <c r="BA280" s="690"/>
      <c r="BB280" s="696"/>
      <c r="BC280" s="571"/>
      <c r="BD280" s="651" t="s">
        <v>15</v>
      </c>
      <c r="BE280" s="653">
        <v>162.0</v>
      </c>
      <c r="BF280" s="653">
        <v>45.0</v>
      </c>
      <c r="BG280" s="654">
        <v>70.0</v>
      </c>
      <c r="BH280" s="653">
        <v>40.0</v>
      </c>
      <c r="BI280" s="607"/>
      <c r="BJ280" s="655" t="s">
        <v>149</v>
      </c>
      <c r="BK280" s="703" t="s">
        <v>149</v>
      </c>
      <c r="BL280" s="610"/>
      <c r="BM280" s="657" t="s">
        <v>18</v>
      </c>
      <c r="BN280" s="704"/>
      <c r="BO280" s="607"/>
      <c r="BP280" s="659" t="s">
        <v>2587</v>
      </c>
      <c r="BQ280" s="614"/>
      <c r="BR280" s="660" t="s">
        <v>4430</v>
      </c>
      <c r="BS280" s="614"/>
    </row>
    <row r="281" ht="15.75" customHeight="1">
      <c r="A281" s="841"/>
      <c r="B281" s="617" t="s">
        <v>2591</v>
      </c>
      <c r="C281" s="618"/>
      <c r="D281" s="619"/>
      <c r="E281" s="629">
        <v>40.0</v>
      </c>
      <c r="F281" s="621">
        <v>30.0</v>
      </c>
      <c r="G281" s="622">
        <v>30.0</v>
      </c>
      <c r="H281" s="623">
        <v>55.0</v>
      </c>
      <c r="I281" s="624">
        <v>30.0</v>
      </c>
      <c r="J281" s="625">
        <v>85.0</v>
      </c>
      <c r="K281" s="626">
        <v>270.0</v>
      </c>
      <c r="L281" s="627">
        <v>40.0</v>
      </c>
      <c r="M281" s="621">
        <v>30.0</v>
      </c>
      <c r="N281" s="622">
        <v>30.0</v>
      </c>
      <c r="O281" s="623">
        <v>55.0</v>
      </c>
      <c r="P281" s="624">
        <v>30.0</v>
      </c>
      <c r="Q281" s="625">
        <v>85.0</v>
      </c>
      <c r="R281" s="628">
        <v>270.0</v>
      </c>
      <c r="S281" s="629">
        <v>40.0</v>
      </c>
      <c r="T281" s="621">
        <v>30.0</v>
      </c>
      <c r="U281" s="622">
        <v>30.0</v>
      </c>
      <c r="V281" s="623">
        <v>55.0</v>
      </c>
      <c r="W281" s="624">
        <v>30.0</v>
      </c>
      <c r="X281" s="625">
        <v>85.0</v>
      </c>
      <c r="Y281" s="628">
        <f t="shared" si="1"/>
        <v>270</v>
      </c>
      <c r="Z281" s="619"/>
      <c r="AA281" s="630" t="str">
        <f t="shared" si="2"/>
        <v>#NAME?</v>
      </c>
      <c r="AB281" s="631" t="s">
        <v>32</v>
      </c>
      <c r="AC281" s="632" t="str">
        <f t="shared" si="3"/>
        <v>#NAME?</v>
      </c>
      <c r="AD281" s="630" t="s">
        <v>18</v>
      </c>
      <c r="AE281" s="633" t="str">
        <f t="shared" si="4"/>
        <v>#NAME?</v>
      </c>
      <c r="AF281" s="631" t="s">
        <v>32</v>
      </c>
      <c r="AG281" s="632" t="str">
        <f t="shared" si="5"/>
        <v>#NAME?</v>
      </c>
      <c r="AH281" s="634" t="s">
        <v>18</v>
      </c>
      <c r="AI281" s="635" t="str">
        <f t="shared" si="6"/>
        <v>#NAME?</v>
      </c>
      <c r="AJ281" s="634" t="s">
        <v>32</v>
      </c>
      <c r="AK281" s="636" t="str">
        <f t="shared" si="7"/>
        <v>#NAME?</v>
      </c>
      <c r="AL281" s="637" t="s">
        <v>18</v>
      </c>
      <c r="AM281" s="619"/>
      <c r="AN281" s="638" t="s">
        <v>235</v>
      </c>
      <c r="AO281" s="639"/>
      <c r="AP281" s="708" t="s">
        <v>2263</v>
      </c>
      <c r="AQ281" s="641" t="s">
        <v>235</v>
      </c>
      <c r="AR281" s="709" t="s">
        <v>2263</v>
      </c>
      <c r="AS281" s="643" t="s">
        <v>235</v>
      </c>
      <c r="AT281" s="644"/>
      <c r="AU281" s="633"/>
      <c r="AV281" s="638"/>
      <c r="AW281" s="630"/>
      <c r="AX281" s="647"/>
      <c r="AY281" s="619"/>
      <c r="AZ281" s="648" t="s">
        <v>56</v>
      </c>
      <c r="BA281" s="694"/>
      <c r="BB281" s="690"/>
      <c r="BC281" s="619"/>
      <c r="BD281" s="651" t="s">
        <v>150</v>
      </c>
      <c r="BE281" s="653">
        <v>64.0</v>
      </c>
      <c r="BF281" s="653">
        <v>190.0</v>
      </c>
      <c r="BG281" s="654">
        <v>70.0</v>
      </c>
      <c r="BH281" s="653">
        <v>20.0</v>
      </c>
      <c r="BI281" s="607"/>
      <c r="BJ281" s="655" t="s">
        <v>149</v>
      </c>
      <c r="BK281" s="703" t="s">
        <v>149</v>
      </c>
      <c r="BL281" s="610"/>
      <c r="BM281" s="657" t="s">
        <v>106</v>
      </c>
      <c r="BN281" s="658" t="s">
        <v>18</v>
      </c>
      <c r="BO281" s="607"/>
      <c r="BP281" s="659" t="s">
        <v>2594</v>
      </c>
      <c r="BQ281" s="614"/>
      <c r="BR281" s="660" t="s">
        <v>4431</v>
      </c>
      <c r="BS281" s="614"/>
    </row>
    <row r="282" ht="15.75" customHeight="1">
      <c r="A282" s="841"/>
      <c r="B282" s="661" t="s">
        <v>2598</v>
      </c>
      <c r="C282" s="662"/>
      <c r="D282" s="571"/>
      <c r="E282" s="672">
        <v>60.0</v>
      </c>
      <c r="F282" s="664">
        <v>50.0</v>
      </c>
      <c r="G282" s="665">
        <v>100.0</v>
      </c>
      <c r="H282" s="666">
        <v>85.0</v>
      </c>
      <c r="I282" s="667">
        <v>70.0</v>
      </c>
      <c r="J282" s="668">
        <v>65.0</v>
      </c>
      <c r="K282" s="669">
        <v>430.0</v>
      </c>
      <c r="L282" s="670">
        <v>60.0</v>
      </c>
      <c r="M282" s="664">
        <v>50.0</v>
      </c>
      <c r="N282" s="665">
        <v>100.0</v>
      </c>
      <c r="O282" s="666">
        <v>95.0</v>
      </c>
      <c r="P282" s="667">
        <v>70.0</v>
      </c>
      <c r="Q282" s="668">
        <v>65.0</v>
      </c>
      <c r="R282" s="671">
        <v>440.0</v>
      </c>
      <c r="S282" s="672">
        <v>60.0</v>
      </c>
      <c r="T282" s="664">
        <v>50.0</v>
      </c>
      <c r="U282" s="742">
        <v>110.0</v>
      </c>
      <c r="V282" s="666">
        <v>95.0</v>
      </c>
      <c r="W282" s="744">
        <v>80.0</v>
      </c>
      <c r="X282" s="668">
        <v>65.0</v>
      </c>
      <c r="Y282" s="671">
        <f t="shared" si="1"/>
        <v>460</v>
      </c>
      <c r="Z282" s="571"/>
      <c r="AA282" s="673" t="str">
        <f t="shared" si="2"/>
        <v>#NAME?</v>
      </c>
      <c r="AB282" s="674" t="s">
        <v>32</v>
      </c>
      <c r="AC282" s="675" t="str">
        <f t="shared" si="3"/>
        <v>#NAME?</v>
      </c>
      <c r="AD282" s="673" t="s">
        <v>18</v>
      </c>
      <c r="AE282" s="676" t="str">
        <f t="shared" si="4"/>
        <v>#NAME?</v>
      </c>
      <c r="AF282" s="674" t="s">
        <v>32</v>
      </c>
      <c r="AG282" s="675" t="str">
        <f t="shared" si="5"/>
        <v>#NAME?</v>
      </c>
      <c r="AH282" s="586" t="s">
        <v>18</v>
      </c>
      <c r="AI282" s="677" t="str">
        <f t="shared" si="6"/>
        <v>#NAME?</v>
      </c>
      <c r="AJ282" s="586" t="s">
        <v>32</v>
      </c>
      <c r="AK282" s="584" t="str">
        <f t="shared" si="7"/>
        <v>#NAME?</v>
      </c>
      <c r="AL282" s="678" t="s">
        <v>18</v>
      </c>
      <c r="AM282" s="571"/>
      <c r="AN282" s="679" t="s">
        <v>235</v>
      </c>
      <c r="AO282" s="680"/>
      <c r="AP282" s="710" t="s">
        <v>130</v>
      </c>
      <c r="AQ282" s="716" t="s">
        <v>235</v>
      </c>
      <c r="AR282" s="711" t="s">
        <v>130</v>
      </c>
      <c r="AS282" s="718" t="s">
        <v>235</v>
      </c>
      <c r="AT282" s="595"/>
      <c r="AU282" s="676" t="str">
        <f>image("https://www.pokebip.com/pages/icones/objets/oeuf-chance.png", 3)</f>
        <v/>
      </c>
      <c r="AV282" s="679" t="s">
        <v>2298</v>
      </c>
      <c r="AW282" s="673"/>
      <c r="AX282" s="866"/>
      <c r="AY282" s="571"/>
      <c r="AZ282" s="689" t="s">
        <v>162</v>
      </c>
      <c r="BA282" s="690"/>
      <c r="BB282" s="696"/>
      <c r="BC282" s="571"/>
      <c r="BD282" s="651" t="s">
        <v>150</v>
      </c>
      <c r="BE282" s="653">
        <v>164.0</v>
      </c>
      <c r="BF282" s="653">
        <v>45.0</v>
      </c>
      <c r="BG282" s="654">
        <v>70.0</v>
      </c>
      <c r="BH282" s="653">
        <v>60.0</v>
      </c>
      <c r="BI282" s="607"/>
      <c r="BJ282" s="655" t="s">
        <v>149</v>
      </c>
      <c r="BK282" s="703" t="s">
        <v>149</v>
      </c>
      <c r="BL282" s="610"/>
      <c r="BM282" s="657" t="s">
        <v>106</v>
      </c>
      <c r="BN282" s="658" t="s">
        <v>18</v>
      </c>
      <c r="BO282" s="607"/>
      <c r="BP282" s="659" t="s">
        <v>2603</v>
      </c>
      <c r="BQ282" s="614"/>
      <c r="BR282" s="660" t="s">
        <v>4433</v>
      </c>
      <c r="BS282" s="614"/>
    </row>
    <row r="283" ht="15.75" customHeight="1">
      <c r="A283" s="841"/>
      <c r="B283" s="617" t="s">
        <v>2607</v>
      </c>
      <c r="C283" s="618"/>
      <c r="D283" s="619"/>
      <c r="E283" s="629">
        <v>28.0</v>
      </c>
      <c r="F283" s="621">
        <v>25.0</v>
      </c>
      <c r="G283" s="622">
        <v>25.0</v>
      </c>
      <c r="H283" s="623">
        <v>45.0</v>
      </c>
      <c r="I283" s="624">
        <v>35.0</v>
      </c>
      <c r="J283" s="625">
        <v>40.0</v>
      </c>
      <c r="K283" s="626">
        <v>198.0</v>
      </c>
      <c r="L283" s="627">
        <v>28.0</v>
      </c>
      <c r="M283" s="621">
        <v>25.0</v>
      </c>
      <c r="N283" s="622">
        <v>25.0</v>
      </c>
      <c r="O283" s="623">
        <v>45.0</v>
      </c>
      <c r="P283" s="624">
        <v>35.0</v>
      </c>
      <c r="Q283" s="625">
        <v>40.0</v>
      </c>
      <c r="R283" s="628">
        <v>198.0</v>
      </c>
      <c r="S283" s="629">
        <v>28.0</v>
      </c>
      <c r="T283" s="621">
        <v>25.0</v>
      </c>
      <c r="U283" s="622">
        <v>25.0</v>
      </c>
      <c r="V283" s="748">
        <v>65.0</v>
      </c>
      <c r="W283" s="752">
        <v>55.0</v>
      </c>
      <c r="X283" s="625">
        <v>40.0</v>
      </c>
      <c r="Y283" s="628">
        <f t="shared" si="1"/>
        <v>238</v>
      </c>
      <c r="Z283" s="619"/>
      <c r="AA283" s="630" t="str">
        <f t="shared" si="2"/>
        <v>#NAME?</v>
      </c>
      <c r="AB283" s="631" t="s">
        <v>122</v>
      </c>
      <c r="AC283" s="632" t="str">
        <f t="shared" si="3"/>
        <v>#NAME?</v>
      </c>
      <c r="AD283" s="639" t="s">
        <v>4428</v>
      </c>
      <c r="AE283" s="633" t="str">
        <f t="shared" si="4"/>
        <v>#NAME?</v>
      </c>
      <c r="AF283" s="631" t="s">
        <v>122</v>
      </c>
      <c r="AG283" s="850" t="str">
        <f t="shared" si="5"/>
        <v>#NAME?</v>
      </c>
      <c r="AH283" s="867" t="s">
        <v>3017</v>
      </c>
      <c r="AI283" s="635" t="str">
        <f t="shared" si="6"/>
        <v>#NAME?</v>
      </c>
      <c r="AJ283" s="634" t="s">
        <v>122</v>
      </c>
      <c r="AK283" s="738" t="str">
        <f t="shared" si="7"/>
        <v>#NAME?</v>
      </c>
      <c r="AL283" s="739" t="s">
        <v>3017</v>
      </c>
      <c r="AM283" s="619"/>
      <c r="AN283" s="638" t="s">
        <v>727</v>
      </c>
      <c r="AO283" s="639" t="s">
        <v>1404</v>
      </c>
      <c r="AP283" s="712" t="s">
        <v>727</v>
      </c>
      <c r="AQ283" s="639" t="s">
        <v>1404</v>
      </c>
      <c r="AR283" s="712" t="s">
        <v>727</v>
      </c>
      <c r="AS283" s="639" t="s">
        <v>1404</v>
      </c>
      <c r="AT283" s="644"/>
      <c r="AU283" s="633"/>
      <c r="AV283" s="638"/>
      <c r="AW283" s="630"/>
      <c r="AX283" s="647"/>
      <c r="AY283" s="619"/>
      <c r="AZ283" s="648" t="s">
        <v>4</v>
      </c>
      <c r="BA283" s="694"/>
      <c r="BB283" s="690"/>
      <c r="BC283" s="619"/>
      <c r="BD283" s="651" t="s">
        <v>683</v>
      </c>
      <c r="BE283" s="653">
        <v>70.0</v>
      </c>
      <c r="BF283" s="653">
        <v>235.0</v>
      </c>
      <c r="BG283" s="654">
        <v>35.0</v>
      </c>
      <c r="BH283" s="653">
        <v>20.0</v>
      </c>
      <c r="BI283" s="607"/>
      <c r="BJ283" s="655" t="s">
        <v>149</v>
      </c>
      <c r="BK283" s="703" t="s">
        <v>149</v>
      </c>
      <c r="BL283" s="610"/>
      <c r="BM283" s="657" t="s">
        <v>964</v>
      </c>
      <c r="BN283" s="704"/>
      <c r="BO283" s="607"/>
      <c r="BP283" s="659" t="s">
        <v>2612</v>
      </c>
      <c r="BQ283" s="614"/>
      <c r="BR283" s="660" t="s">
        <v>4431</v>
      </c>
      <c r="BS283" s="614"/>
    </row>
    <row r="284" ht="15.75" customHeight="1">
      <c r="A284" s="841"/>
      <c r="B284" s="661" t="s">
        <v>2616</v>
      </c>
      <c r="C284" s="662"/>
      <c r="D284" s="571"/>
      <c r="E284" s="672">
        <v>38.0</v>
      </c>
      <c r="F284" s="664">
        <v>35.0</v>
      </c>
      <c r="G284" s="665">
        <v>35.0</v>
      </c>
      <c r="H284" s="666">
        <v>65.0</v>
      </c>
      <c r="I284" s="667">
        <v>55.0</v>
      </c>
      <c r="J284" s="668">
        <v>50.0</v>
      </c>
      <c r="K284" s="669">
        <v>278.0</v>
      </c>
      <c r="L284" s="670">
        <v>38.0</v>
      </c>
      <c r="M284" s="664">
        <v>35.0</v>
      </c>
      <c r="N284" s="665">
        <v>35.0</v>
      </c>
      <c r="O284" s="666">
        <v>65.0</v>
      </c>
      <c r="P284" s="667">
        <v>55.0</v>
      </c>
      <c r="Q284" s="668">
        <v>50.0</v>
      </c>
      <c r="R284" s="671">
        <v>278.0</v>
      </c>
      <c r="S284" s="672">
        <v>38.0</v>
      </c>
      <c r="T284" s="664">
        <v>35.0</v>
      </c>
      <c r="U284" s="665">
        <v>35.0</v>
      </c>
      <c r="V284" s="743">
        <v>95.0</v>
      </c>
      <c r="W284" s="744">
        <v>85.0</v>
      </c>
      <c r="X284" s="668">
        <v>50.0</v>
      </c>
      <c r="Y284" s="671">
        <f t="shared" si="1"/>
        <v>338</v>
      </c>
      <c r="Z284" s="571"/>
      <c r="AA284" s="673" t="str">
        <f t="shared" si="2"/>
        <v>#NAME?</v>
      </c>
      <c r="AB284" s="674" t="s">
        <v>122</v>
      </c>
      <c r="AC284" s="675" t="str">
        <f t="shared" si="3"/>
        <v>#NAME?</v>
      </c>
      <c r="AD284" s="680" t="s">
        <v>4428</v>
      </c>
      <c r="AE284" s="676" t="str">
        <f t="shared" si="4"/>
        <v>#NAME?</v>
      </c>
      <c r="AF284" s="674" t="s">
        <v>122</v>
      </c>
      <c r="AG284" s="746" t="str">
        <f t="shared" si="5"/>
        <v>#NAME?</v>
      </c>
      <c r="AH284" s="868" t="s">
        <v>3017</v>
      </c>
      <c r="AI284" s="677" t="str">
        <f t="shared" si="6"/>
        <v>#NAME?</v>
      </c>
      <c r="AJ284" s="586" t="s">
        <v>122</v>
      </c>
      <c r="AK284" s="746" t="str">
        <f t="shared" si="7"/>
        <v>#NAME?</v>
      </c>
      <c r="AL284" s="747" t="s">
        <v>3017</v>
      </c>
      <c r="AM284" s="571"/>
      <c r="AN284" s="679" t="s">
        <v>727</v>
      </c>
      <c r="AO284" s="680" t="s">
        <v>1404</v>
      </c>
      <c r="AP284" s="705" t="s">
        <v>727</v>
      </c>
      <c r="AQ284" s="680" t="s">
        <v>1404</v>
      </c>
      <c r="AR284" s="705" t="s">
        <v>727</v>
      </c>
      <c r="AS284" s="680" t="s">
        <v>1404</v>
      </c>
      <c r="AT284" s="595"/>
      <c r="AU284" s="676"/>
      <c r="AV284" s="679"/>
      <c r="AW284" s="673"/>
      <c r="AX284" s="866"/>
      <c r="AY284" s="571"/>
      <c r="AZ284" s="689" t="s">
        <v>42</v>
      </c>
      <c r="BA284" s="690"/>
      <c r="BB284" s="696"/>
      <c r="BC284" s="571"/>
      <c r="BD284" s="651" t="s">
        <v>683</v>
      </c>
      <c r="BE284" s="653">
        <v>140.0</v>
      </c>
      <c r="BF284" s="653">
        <v>120.0</v>
      </c>
      <c r="BG284" s="654">
        <v>35.0</v>
      </c>
      <c r="BH284" s="653">
        <v>40.0</v>
      </c>
      <c r="BI284" s="607"/>
      <c r="BJ284" s="655" t="s">
        <v>149</v>
      </c>
      <c r="BK284" s="703" t="s">
        <v>149</v>
      </c>
      <c r="BL284" s="610"/>
      <c r="BM284" s="657" t="s">
        <v>964</v>
      </c>
      <c r="BN284" s="704"/>
      <c r="BO284" s="607"/>
      <c r="BP284" s="659" t="s">
        <v>2621</v>
      </c>
      <c r="BQ284" s="614"/>
      <c r="BR284" s="660" t="s">
        <v>4431</v>
      </c>
      <c r="BS284" s="614"/>
    </row>
    <row r="285" ht="15.75" customHeight="1">
      <c r="A285" s="841"/>
      <c r="B285" s="617" t="s">
        <v>2625</v>
      </c>
      <c r="C285" s="618"/>
      <c r="D285" s="619"/>
      <c r="E285" s="629">
        <v>68.0</v>
      </c>
      <c r="F285" s="621">
        <v>65.0</v>
      </c>
      <c r="G285" s="622">
        <v>65.0</v>
      </c>
      <c r="H285" s="623">
        <v>125.0</v>
      </c>
      <c r="I285" s="624">
        <v>115.0</v>
      </c>
      <c r="J285" s="625">
        <v>80.0</v>
      </c>
      <c r="K285" s="626">
        <v>518.0</v>
      </c>
      <c r="L285" s="627">
        <v>68.0</v>
      </c>
      <c r="M285" s="621">
        <v>65.0</v>
      </c>
      <c r="N285" s="622">
        <v>65.0</v>
      </c>
      <c r="O285" s="623">
        <v>125.0</v>
      </c>
      <c r="P285" s="624">
        <v>115.0</v>
      </c>
      <c r="Q285" s="625">
        <v>80.0</v>
      </c>
      <c r="R285" s="628">
        <v>518.0</v>
      </c>
      <c r="S285" s="629">
        <v>68.0</v>
      </c>
      <c r="T285" s="621">
        <v>65.0</v>
      </c>
      <c r="U285" s="622">
        <v>65.0</v>
      </c>
      <c r="V285" s="623">
        <v>125.0</v>
      </c>
      <c r="W285" s="624">
        <v>115.0</v>
      </c>
      <c r="X285" s="625">
        <v>80.0</v>
      </c>
      <c r="Y285" s="628">
        <f t="shared" si="1"/>
        <v>518</v>
      </c>
      <c r="Z285" s="619"/>
      <c r="AA285" s="630" t="str">
        <f t="shared" si="2"/>
        <v>#NAME?</v>
      </c>
      <c r="AB285" s="631" t="s">
        <v>122</v>
      </c>
      <c r="AC285" s="632" t="str">
        <f t="shared" si="3"/>
        <v>#NAME?</v>
      </c>
      <c r="AD285" s="639" t="s">
        <v>4428</v>
      </c>
      <c r="AE285" s="633" t="str">
        <f t="shared" si="4"/>
        <v>#NAME?</v>
      </c>
      <c r="AF285" s="631" t="s">
        <v>122</v>
      </c>
      <c r="AG285" s="754" t="str">
        <f t="shared" si="5"/>
        <v>#NAME?</v>
      </c>
      <c r="AH285" s="853" t="s">
        <v>3017</v>
      </c>
      <c r="AI285" s="635" t="str">
        <f t="shared" si="6"/>
        <v>#NAME?</v>
      </c>
      <c r="AJ285" s="634" t="s">
        <v>122</v>
      </c>
      <c r="AK285" s="754" t="str">
        <f t="shared" si="7"/>
        <v>#NAME?</v>
      </c>
      <c r="AL285" s="755" t="s">
        <v>3017</v>
      </c>
      <c r="AM285" s="619"/>
      <c r="AN285" s="638" t="s">
        <v>727</v>
      </c>
      <c r="AO285" s="639" t="s">
        <v>1404</v>
      </c>
      <c r="AP285" s="712" t="s">
        <v>727</v>
      </c>
      <c r="AQ285" s="639" t="s">
        <v>1404</v>
      </c>
      <c r="AR285" s="712" t="s">
        <v>727</v>
      </c>
      <c r="AS285" s="639" t="s">
        <v>1404</v>
      </c>
      <c r="AT285" s="644"/>
      <c r="AU285" s="633"/>
      <c r="AV285" s="638"/>
      <c r="AW285" s="630"/>
      <c r="AX285" s="647"/>
      <c r="AY285" s="619"/>
      <c r="AZ285" s="698" t="s">
        <v>85</v>
      </c>
      <c r="BA285" s="699"/>
      <c r="BB285" s="690"/>
      <c r="BC285" s="619"/>
      <c r="BD285" s="651" t="s">
        <v>683</v>
      </c>
      <c r="BE285" s="653">
        <v>208.0</v>
      </c>
      <c r="BF285" s="653">
        <v>45.0</v>
      </c>
      <c r="BG285" s="654">
        <v>35.0</v>
      </c>
      <c r="BH285" s="653">
        <v>60.0</v>
      </c>
      <c r="BI285" s="607"/>
      <c r="BJ285" s="655" t="s">
        <v>149</v>
      </c>
      <c r="BK285" s="703" t="s">
        <v>149</v>
      </c>
      <c r="BL285" s="610"/>
      <c r="BM285" s="657" t="s">
        <v>964</v>
      </c>
      <c r="BN285" s="704"/>
      <c r="BO285" s="607"/>
      <c r="BP285" s="659" t="s">
        <v>2629</v>
      </c>
      <c r="BQ285" s="614"/>
      <c r="BR285" s="660" t="s">
        <v>4431</v>
      </c>
      <c r="BS285" s="614"/>
    </row>
    <row r="286" ht="15.75" customHeight="1">
      <c r="A286" s="841"/>
      <c r="B286" s="661" t="s">
        <v>2633</v>
      </c>
      <c r="C286" s="662"/>
      <c r="D286" s="571"/>
      <c r="E286" s="672">
        <v>40.0</v>
      </c>
      <c r="F286" s="664">
        <v>30.0</v>
      </c>
      <c r="G286" s="665">
        <v>32.0</v>
      </c>
      <c r="H286" s="666">
        <v>50.0</v>
      </c>
      <c r="I286" s="667">
        <v>52.0</v>
      </c>
      <c r="J286" s="668">
        <v>65.0</v>
      </c>
      <c r="K286" s="669">
        <v>269.0</v>
      </c>
      <c r="L286" s="670">
        <v>40.0</v>
      </c>
      <c r="M286" s="664">
        <v>30.0</v>
      </c>
      <c r="N286" s="665">
        <v>32.0</v>
      </c>
      <c r="O286" s="666">
        <v>50.0</v>
      </c>
      <c r="P286" s="667">
        <v>52.0</v>
      </c>
      <c r="Q286" s="668">
        <v>65.0</v>
      </c>
      <c r="R286" s="671">
        <v>269.0</v>
      </c>
      <c r="S286" s="672">
        <v>40.0</v>
      </c>
      <c r="T286" s="664">
        <v>30.0</v>
      </c>
      <c r="U286" s="742">
        <v>30.0</v>
      </c>
      <c r="V286" s="743">
        <v>55.0</v>
      </c>
      <c r="W286" s="744">
        <v>55.0</v>
      </c>
      <c r="X286" s="668">
        <v>65.0</v>
      </c>
      <c r="Y286" s="671">
        <f t="shared" si="1"/>
        <v>275</v>
      </c>
      <c r="Z286" s="571"/>
      <c r="AA286" s="673" t="str">
        <f t="shared" si="2"/>
        <v>#NAME?</v>
      </c>
      <c r="AB286" s="674" t="s">
        <v>109</v>
      </c>
      <c r="AC286" s="675" t="str">
        <f t="shared" si="3"/>
        <v>#NAME?</v>
      </c>
      <c r="AD286" s="673" t="s">
        <v>32</v>
      </c>
      <c r="AE286" s="676" t="str">
        <f t="shared" si="4"/>
        <v>#NAME?</v>
      </c>
      <c r="AF286" s="674" t="s">
        <v>109</v>
      </c>
      <c r="AG286" s="675" t="str">
        <f t="shared" si="5"/>
        <v>#NAME?</v>
      </c>
      <c r="AH286" s="586" t="s">
        <v>32</v>
      </c>
      <c r="AI286" s="677" t="str">
        <f t="shared" si="6"/>
        <v>#NAME?</v>
      </c>
      <c r="AJ286" s="586" t="s">
        <v>109</v>
      </c>
      <c r="AK286" s="584" t="str">
        <f t="shared" si="7"/>
        <v>#NAME?</v>
      </c>
      <c r="AL286" s="678" t="s">
        <v>32</v>
      </c>
      <c r="AM286" s="571"/>
      <c r="AN286" s="679" t="s">
        <v>1212</v>
      </c>
      <c r="AO286" s="680"/>
      <c r="AP286" s="705" t="s">
        <v>1212</v>
      </c>
      <c r="AQ286" s="680"/>
      <c r="AR286" s="705" t="s">
        <v>1212</v>
      </c>
      <c r="AS286" s="680"/>
      <c r="AT286" s="595"/>
      <c r="AU286" s="676" t="str">
        <f>image("https://www.pokebip.com/pages/icones/objets/miel.png", 3)</f>
        <v/>
      </c>
      <c r="AV286" s="679" t="s">
        <v>2639</v>
      </c>
      <c r="AW286" s="673"/>
      <c r="AX286" s="866"/>
      <c r="AY286" s="571"/>
      <c r="AZ286" s="695" t="s">
        <v>56</v>
      </c>
      <c r="BA286" s="700"/>
      <c r="BB286" s="690"/>
      <c r="BC286" s="571"/>
      <c r="BD286" s="651" t="s">
        <v>150</v>
      </c>
      <c r="BE286" s="653">
        <v>63.0</v>
      </c>
      <c r="BF286" s="653">
        <v>200.0</v>
      </c>
      <c r="BG286" s="654">
        <v>70.0</v>
      </c>
      <c r="BH286" s="653">
        <v>20.0</v>
      </c>
      <c r="BI286" s="607"/>
      <c r="BJ286" s="655" t="s">
        <v>149</v>
      </c>
      <c r="BK286" s="703" t="s">
        <v>149</v>
      </c>
      <c r="BL286" s="610"/>
      <c r="BM286" s="657" t="s">
        <v>106</v>
      </c>
      <c r="BN286" s="658" t="s">
        <v>109</v>
      </c>
      <c r="BO286" s="607"/>
      <c r="BP286" s="659" t="s">
        <v>2638</v>
      </c>
      <c r="BQ286" s="614"/>
      <c r="BR286" s="660" t="s">
        <v>4430</v>
      </c>
      <c r="BS286" s="614"/>
    </row>
    <row r="287" ht="15.75" customHeight="1">
      <c r="A287" s="841"/>
      <c r="B287" s="617" t="s">
        <v>2642</v>
      </c>
      <c r="C287" s="618"/>
      <c r="D287" s="619"/>
      <c r="E287" s="629">
        <v>70.0</v>
      </c>
      <c r="F287" s="621">
        <v>60.0</v>
      </c>
      <c r="G287" s="622">
        <v>62.0</v>
      </c>
      <c r="H287" s="748">
        <v>80.0</v>
      </c>
      <c r="I287" s="624">
        <v>82.0</v>
      </c>
      <c r="J287" s="625">
        <v>60.0</v>
      </c>
      <c r="K287" s="749">
        <v>414.0</v>
      </c>
      <c r="L287" s="627">
        <v>70.0</v>
      </c>
      <c r="M287" s="621">
        <v>60.0</v>
      </c>
      <c r="N287" s="622">
        <v>62.0</v>
      </c>
      <c r="O287" s="623">
        <v>100.0</v>
      </c>
      <c r="P287" s="624">
        <v>82.0</v>
      </c>
      <c r="Q287" s="625">
        <v>80.0</v>
      </c>
      <c r="R287" s="628">
        <v>454.0</v>
      </c>
      <c r="S287" s="629">
        <v>70.0</v>
      </c>
      <c r="T287" s="750">
        <v>50.0</v>
      </c>
      <c r="U287" s="751">
        <v>50.0</v>
      </c>
      <c r="V287" s="748">
        <v>110.0</v>
      </c>
      <c r="W287" s="752">
        <v>100.0</v>
      </c>
      <c r="X287" s="753">
        <v>100.0</v>
      </c>
      <c r="Y287" s="628">
        <f t="shared" si="1"/>
        <v>480</v>
      </c>
      <c r="Z287" s="619"/>
      <c r="AA287" s="630" t="str">
        <f t="shared" si="2"/>
        <v>#NAME?</v>
      </c>
      <c r="AB287" s="631" t="s">
        <v>109</v>
      </c>
      <c r="AC287" s="632" t="str">
        <f t="shared" si="3"/>
        <v>#NAME?</v>
      </c>
      <c r="AD287" s="630" t="s">
        <v>18</v>
      </c>
      <c r="AE287" s="633" t="str">
        <f t="shared" si="4"/>
        <v>#NAME?</v>
      </c>
      <c r="AF287" s="631" t="s">
        <v>109</v>
      </c>
      <c r="AG287" s="632" t="str">
        <f t="shared" si="5"/>
        <v>#NAME?</v>
      </c>
      <c r="AH287" s="634" t="s">
        <v>18</v>
      </c>
      <c r="AI287" s="635" t="str">
        <f t="shared" si="6"/>
        <v>#NAME?</v>
      </c>
      <c r="AJ287" s="634" t="s">
        <v>109</v>
      </c>
      <c r="AK287" s="697" t="str">
        <f t="shared" si="7"/>
        <v>#NAME?</v>
      </c>
      <c r="AL287" s="637" t="s">
        <v>4466</v>
      </c>
      <c r="AM287" s="619"/>
      <c r="AN287" s="638" t="s">
        <v>326</v>
      </c>
      <c r="AO287" s="639"/>
      <c r="AP287" s="712" t="s">
        <v>326</v>
      </c>
      <c r="AQ287" s="639"/>
      <c r="AR287" s="712" t="s">
        <v>326</v>
      </c>
      <c r="AS287" s="639"/>
      <c r="AT287" s="644"/>
      <c r="AU287" s="633" t="str">
        <f>image("https://www.pokebip.com/pages/icones/objets/poudre-argentee.png", 3)</f>
        <v/>
      </c>
      <c r="AV287" s="638" t="s">
        <v>183</v>
      </c>
      <c r="AW287" s="630"/>
      <c r="AX287" s="647"/>
      <c r="AY287" s="619"/>
      <c r="AZ287" s="648" t="s">
        <v>4</v>
      </c>
      <c r="BA287" s="649" t="s">
        <v>27</v>
      </c>
      <c r="BB287" s="650"/>
      <c r="BC287" s="619"/>
      <c r="BD287" s="651" t="s">
        <v>150</v>
      </c>
      <c r="BE287" s="653">
        <v>128.0</v>
      </c>
      <c r="BF287" s="653">
        <v>75.0</v>
      </c>
      <c r="BG287" s="654">
        <v>70.0</v>
      </c>
      <c r="BH287" s="653">
        <v>20.0</v>
      </c>
      <c r="BI287" s="607"/>
      <c r="BJ287" s="655" t="s">
        <v>149</v>
      </c>
      <c r="BK287" s="703" t="s">
        <v>149</v>
      </c>
      <c r="BL287" s="610"/>
      <c r="BM287" s="657" t="s">
        <v>106</v>
      </c>
      <c r="BN287" s="658" t="s">
        <v>109</v>
      </c>
      <c r="BO287" s="607"/>
      <c r="BP287" s="659" t="s">
        <v>2647</v>
      </c>
      <c r="BQ287" s="614"/>
      <c r="BR287" s="660" t="s">
        <v>4430</v>
      </c>
      <c r="BS287" s="614"/>
    </row>
    <row r="288" ht="15.75" customHeight="1">
      <c r="A288" s="841"/>
      <c r="B288" s="661" t="s">
        <v>2651</v>
      </c>
      <c r="C288" s="662"/>
      <c r="D288" s="571"/>
      <c r="E288" s="672">
        <v>60.0</v>
      </c>
      <c r="F288" s="664">
        <v>40.0</v>
      </c>
      <c r="G288" s="665">
        <v>60.0</v>
      </c>
      <c r="H288" s="666">
        <v>40.0</v>
      </c>
      <c r="I288" s="667">
        <v>60.0</v>
      </c>
      <c r="J288" s="668">
        <v>35.0</v>
      </c>
      <c r="K288" s="669">
        <v>295.0</v>
      </c>
      <c r="L288" s="670">
        <v>60.0</v>
      </c>
      <c r="M288" s="664">
        <v>40.0</v>
      </c>
      <c r="N288" s="665">
        <v>60.0</v>
      </c>
      <c r="O288" s="666">
        <v>40.0</v>
      </c>
      <c r="P288" s="667">
        <v>60.0</v>
      </c>
      <c r="Q288" s="668">
        <v>35.0</v>
      </c>
      <c r="R288" s="671">
        <v>295.0</v>
      </c>
      <c r="S288" s="672">
        <v>60.0</v>
      </c>
      <c r="T288" s="664">
        <v>40.0</v>
      </c>
      <c r="U288" s="665">
        <v>60.0</v>
      </c>
      <c r="V288" s="666">
        <v>40.0</v>
      </c>
      <c r="W288" s="667">
        <v>60.0</v>
      </c>
      <c r="X288" s="668">
        <v>35.0</v>
      </c>
      <c r="Y288" s="671">
        <f t="shared" si="1"/>
        <v>295</v>
      </c>
      <c r="Z288" s="571"/>
      <c r="AA288" s="673" t="str">
        <f t="shared" si="2"/>
        <v>#NAME?</v>
      </c>
      <c r="AB288" s="674" t="s">
        <v>6</v>
      </c>
      <c r="AC288" s="675" t="str">
        <f t="shared" si="3"/>
        <v>#NAME?</v>
      </c>
      <c r="AD288" s="680" t="s">
        <v>4428</v>
      </c>
      <c r="AE288" s="676" t="str">
        <f t="shared" si="4"/>
        <v>#NAME?</v>
      </c>
      <c r="AF288" s="674" t="s">
        <v>6</v>
      </c>
      <c r="AG288" s="675" t="str">
        <f t="shared" si="5"/>
        <v>#NAME?</v>
      </c>
      <c r="AH288" s="586" t="s">
        <v>4428</v>
      </c>
      <c r="AI288" s="677" t="str">
        <f t="shared" si="6"/>
        <v>#NAME?</v>
      </c>
      <c r="AJ288" s="586" t="s">
        <v>6</v>
      </c>
      <c r="AK288" s="584" t="str">
        <f t="shared" si="7"/>
        <v>#NAME?</v>
      </c>
      <c r="AL288" s="678" t="s">
        <v>4428</v>
      </c>
      <c r="AM288" s="571"/>
      <c r="AN288" s="679" t="s">
        <v>563</v>
      </c>
      <c r="AO288" s="680" t="s">
        <v>2654</v>
      </c>
      <c r="AP288" s="763" t="s">
        <v>1278</v>
      </c>
      <c r="AQ288" s="680" t="s">
        <v>2654</v>
      </c>
      <c r="AR288" s="763" t="s">
        <v>1278</v>
      </c>
      <c r="AS288" s="680" t="s">
        <v>2654</v>
      </c>
      <c r="AT288" s="595"/>
      <c r="AU288" s="676" t="str">
        <f t="shared" ref="AU288:AU289" si="37">image("https://www.pokebip.com/pages/icones/objets/petit-champi.png", 3)</f>
        <v/>
      </c>
      <c r="AV288" s="679" t="s">
        <v>576</v>
      </c>
      <c r="AW288" s="673" t="str">
        <f t="shared" ref="AW288:AW289" si="38">image("https://www.pokebip.com/pages/icones/objets/gros-champi.png", 3)</f>
        <v/>
      </c>
      <c r="AX288" s="866" t="s">
        <v>577</v>
      </c>
      <c r="AY288" s="571"/>
      <c r="AZ288" s="695" t="s">
        <v>144</v>
      </c>
      <c r="BA288" s="700"/>
      <c r="BB288" s="690"/>
      <c r="BC288" s="571"/>
      <c r="BD288" s="651" t="s">
        <v>2656</v>
      </c>
      <c r="BE288" s="653">
        <v>65.0</v>
      </c>
      <c r="BF288" s="653">
        <v>255.0</v>
      </c>
      <c r="BG288" s="654">
        <v>70.0</v>
      </c>
      <c r="BH288" s="653">
        <v>20.0</v>
      </c>
      <c r="BI288" s="607"/>
      <c r="BJ288" s="655" t="s">
        <v>149</v>
      </c>
      <c r="BK288" s="703" t="s">
        <v>149</v>
      </c>
      <c r="BL288" s="610"/>
      <c r="BM288" s="657" t="s">
        <v>153</v>
      </c>
      <c r="BN288" s="658" t="s">
        <v>6</v>
      </c>
      <c r="BO288" s="607"/>
      <c r="BP288" s="659" t="s">
        <v>2657</v>
      </c>
      <c r="BQ288" s="614"/>
      <c r="BR288" s="660" t="s">
        <v>4432</v>
      </c>
      <c r="BS288" s="614"/>
    </row>
    <row r="289" ht="15.75" customHeight="1">
      <c r="A289" s="841"/>
      <c r="B289" s="617" t="s">
        <v>2661</v>
      </c>
      <c r="C289" s="618"/>
      <c r="D289" s="619"/>
      <c r="E289" s="629">
        <v>60.0</v>
      </c>
      <c r="F289" s="621">
        <v>130.0</v>
      </c>
      <c r="G289" s="622">
        <v>80.0</v>
      </c>
      <c r="H289" s="623">
        <v>60.0</v>
      </c>
      <c r="I289" s="624">
        <v>60.0</v>
      </c>
      <c r="J289" s="625">
        <v>70.0</v>
      </c>
      <c r="K289" s="626">
        <v>460.0</v>
      </c>
      <c r="L289" s="627">
        <v>60.0</v>
      </c>
      <c r="M289" s="621">
        <v>130.0</v>
      </c>
      <c r="N289" s="622">
        <v>80.0</v>
      </c>
      <c r="O289" s="623">
        <v>60.0</v>
      </c>
      <c r="P289" s="624">
        <v>60.0</v>
      </c>
      <c r="Q289" s="625">
        <v>70.0</v>
      </c>
      <c r="R289" s="628">
        <v>460.0</v>
      </c>
      <c r="S289" s="629">
        <v>60.0</v>
      </c>
      <c r="T289" s="621">
        <v>130.0</v>
      </c>
      <c r="U289" s="622">
        <v>80.0</v>
      </c>
      <c r="V289" s="623">
        <v>60.0</v>
      </c>
      <c r="W289" s="624">
        <v>60.0</v>
      </c>
      <c r="X289" s="625">
        <v>70.0</v>
      </c>
      <c r="Y289" s="628">
        <f t="shared" si="1"/>
        <v>460</v>
      </c>
      <c r="Z289" s="619"/>
      <c r="AA289" s="630" t="str">
        <f t="shared" si="2"/>
        <v>#NAME?</v>
      </c>
      <c r="AB289" s="631" t="s">
        <v>6</v>
      </c>
      <c r="AC289" s="632" t="str">
        <f t="shared" si="3"/>
        <v>#NAME?</v>
      </c>
      <c r="AD289" s="630" t="s">
        <v>64</v>
      </c>
      <c r="AE289" s="633" t="str">
        <f t="shared" si="4"/>
        <v>#NAME?</v>
      </c>
      <c r="AF289" s="631" t="s">
        <v>6</v>
      </c>
      <c r="AG289" s="632" t="str">
        <f t="shared" si="5"/>
        <v>#NAME?</v>
      </c>
      <c r="AH289" s="634" t="s">
        <v>64</v>
      </c>
      <c r="AI289" s="635" t="str">
        <f t="shared" si="6"/>
        <v>#NAME?</v>
      </c>
      <c r="AJ289" s="634" t="s">
        <v>6</v>
      </c>
      <c r="AK289" s="636" t="str">
        <f t="shared" si="7"/>
        <v>#NAME?</v>
      </c>
      <c r="AL289" s="637" t="s">
        <v>64</v>
      </c>
      <c r="AM289" s="619"/>
      <c r="AN289" s="638" t="s">
        <v>563</v>
      </c>
      <c r="AO289" s="639" t="s">
        <v>2654</v>
      </c>
      <c r="AP289" s="721" t="s">
        <v>1278</v>
      </c>
      <c r="AQ289" s="639" t="s">
        <v>2654</v>
      </c>
      <c r="AR289" s="721" t="s">
        <v>1278</v>
      </c>
      <c r="AS289" s="639" t="s">
        <v>2654</v>
      </c>
      <c r="AT289" s="644"/>
      <c r="AU289" s="633" t="str">
        <f t="shared" si="37"/>
        <v/>
      </c>
      <c r="AV289" s="638" t="s">
        <v>576</v>
      </c>
      <c r="AW289" s="630" t="str">
        <f t="shared" si="38"/>
        <v/>
      </c>
      <c r="AX289" s="647" t="s">
        <v>577</v>
      </c>
      <c r="AY289" s="619"/>
      <c r="AZ289" s="698" t="s">
        <v>216</v>
      </c>
      <c r="BA289" s="690"/>
      <c r="BB289" s="650"/>
      <c r="BC289" s="619"/>
      <c r="BD289" s="651" t="s">
        <v>2656</v>
      </c>
      <c r="BE289" s="653">
        <v>165.0</v>
      </c>
      <c r="BF289" s="653">
        <v>90.0</v>
      </c>
      <c r="BG289" s="654">
        <v>70.0</v>
      </c>
      <c r="BH289" s="653">
        <v>60.0</v>
      </c>
      <c r="BI289" s="607"/>
      <c r="BJ289" s="655" t="s">
        <v>149</v>
      </c>
      <c r="BK289" s="703" t="s">
        <v>149</v>
      </c>
      <c r="BL289" s="610"/>
      <c r="BM289" s="657" t="s">
        <v>153</v>
      </c>
      <c r="BN289" s="658" t="s">
        <v>6</v>
      </c>
      <c r="BO289" s="607"/>
      <c r="BP289" s="659" t="s">
        <v>2665</v>
      </c>
      <c r="BQ289" s="614"/>
      <c r="BR289" s="660" t="s">
        <v>4427</v>
      </c>
      <c r="BS289" s="614"/>
    </row>
    <row r="290" ht="15.75" customHeight="1">
      <c r="A290" s="841"/>
      <c r="B290" s="661" t="s">
        <v>2669</v>
      </c>
      <c r="C290" s="662"/>
      <c r="D290" s="571"/>
      <c r="E290" s="672">
        <v>60.0</v>
      </c>
      <c r="F290" s="664">
        <v>60.0</v>
      </c>
      <c r="G290" s="665">
        <v>60.0</v>
      </c>
      <c r="H290" s="666">
        <v>35.0</v>
      </c>
      <c r="I290" s="667">
        <v>35.0</v>
      </c>
      <c r="J290" s="668">
        <v>30.0</v>
      </c>
      <c r="K290" s="669">
        <v>280.0</v>
      </c>
      <c r="L290" s="670">
        <v>60.0</v>
      </c>
      <c r="M290" s="664">
        <v>60.0</v>
      </c>
      <c r="N290" s="665">
        <v>60.0</v>
      </c>
      <c r="O290" s="666">
        <v>35.0</v>
      </c>
      <c r="P290" s="667">
        <v>35.0</v>
      </c>
      <c r="Q290" s="668">
        <v>30.0</v>
      </c>
      <c r="R290" s="671">
        <v>280.0</v>
      </c>
      <c r="S290" s="672">
        <v>60.0</v>
      </c>
      <c r="T290" s="664">
        <v>60.0</v>
      </c>
      <c r="U290" s="665">
        <v>60.0</v>
      </c>
      <c r="V290" s="666">
        <v>35.0</v>
      </c>
      <c r="W290" s="667">
        <v>35.0</v>
      </c>
      <c r="X290" s="668">
        <v>30.0</v>
      </c>
      <c r="Y290" s="671">
        <f t="shared" si="1"/>
        <v>280</v>
      </c>
      <c r="Z290" s="571"/>
      <c r="AA290" s="673" t="str">
        <f t="shared" si="2"/>
        <v>#NAME?</v>
      </c>
      <c r="AB290" s="674" t="s">
        <v>156</v>
      </c>
      <c r="AC290" s="675" t="str">
        <f t="shared" si="3"/>
        <v>#NAME?</v>
      </c>
      <c r="AD290" s="680" t="s">
        <v>4428</v>
      </c>
      <c r="AE290" s="676" t="str">
        <f t="shared" si="4"/>
        <v>#NAME?</v>
      </c>
      <c r="AF290" s="674" t="s">
        <v>156</v>
      </c>
      <c r="AG290" s="675" t="str">
        <f t="shared" si="5"/>
        <v>#NAME?</v>
      </c>
      <c r="AH290" s="586" t="s">
        <v>4428</v>
      </c>
      <c r="AI290" s="677" t="str">
        <f t="shared" si="6"/>
        <v>#NAME?</v>
      </c>
      <c r="AJ290" s="586" t="s">
        <v>156</v>
      </c>
      <c r="AK290" s="584" t="str">
        <f t="shared" si="7"/>
        <v>#NAME?</v>
      </c>
      <c r="AL290" s="678" t="s">
        <v>4428</v>
      </c>
      <c r="AM290" s="571"/>
      <c r="AN290" s="679" t="s">
        <v>2672</v>
      </c>
      <c r="AO290" s="680"/>
      <c r="AP290" s="705" t="s">
        <v>2672</v>
      </c>
      <c r="AQ290" s="680"/>
      <c r="AR290" s="705" t="s">
        <v>2672</v>
      </c>
      <c r="AS290" s="680"/>
      <c r="AT290" s="595"/>
      <c r="AU290" s="676"/>
      <c r="AV290" s="679"/>
      <c r="AW290" s="673"/>
      <c r="AX290" s="866"/>
      <c r="AY290" s="571"/>
      <c r="AZ290" s="695" t="s">
        <v>144</v>
      </c>
      <c r="BA290" s="700"/>
      <c r="BB290" s="690"/>
      <c r="BC290" s="571"/>
      <c r="BD290" s="651" t="s">
        <v>683</v>
      </c>
      <c r="BE290" s="653">
        <v>83.0</v>
      </c>
      <c r="BF290" s="653">
        <v>255.0</v>
      </c>
      <c r="BG290" s="654">
        <v>70.0</v>
      </c>
      <c r="BH290" s="653">
        <v>40.0</v>
      </c>
      <c r="BI290" s="607"/>
      <c r="BJ290" s="655" t="s">
        <v>149</v>
      </c>
      <c r="BK290" s="703" t="s">
        <v>149</v>
      </c>
      <c r="BL290" s="610"/>
      <c r="BM290" s="657" t="s">
        <v>277</v>
      </c>
      <c r="BN290" s="704"/>
      <c r="BO290" s="607"/>
      <c r="BP290" s="659" t="s">
        <v>2674</v>
      </c>
      <c r="BQ290" s="614"/>
      <c r="BR290" s="660" t="s">
        <v>4432</v>
      </c>
      <c r="BS290" s="614"/>
    </row>
    <row r="291" ht="15.75" customHeight="1">
      <c r="A291" s="841"/>
      <c r="B291" s="617" t="s">
        <v>2678</v>
      </c>
      <c r="C291" s="618"/>
      <c r="D291" s="619"/>
      <c r="E291" s="629">
        <v>80.0</v>
      </c>
      <c r="F291" s="621">
        <v>80.0</v>
      </c>
      <c r="G291" s="622">
        <v>80.0</v>
      </c>
      <c r="H291" s="623">
        <v>55.0</v>
      </c>
      <c r="I291" s="624">
        <v>55.0</v>
      </c>
      <c r="J291" s="625">
        <v>90.0</v>
      </c>
      <c r="K291" s="626">
        <v>440.0</v>
      </c>
      <c r="L291" s="627">
        <v>80.0</v>
      </c>
      <c r="M291" s="621">
        <v>80.0</v>
      </c>
      <c r="N291" s="622">
        <v>80.0</v>
      </c>
      <c r="O291" s="623">
        <v>55.0</v>
      </c>
      <c r="P291" s="624">
        <v>55.0</v>
      </c>
      <c r="Q291" s="625">
        <v>90.0</v>
      </c>
      <c r="R291" s="628">
        <v>440.0</v>
      </c>
      <c r="S291" s="629">
        <v>80.0</v>
      </c>
      <c r="T291" s="621">
        <v>80.0</v>
      </c>
      <c r="U291" s="622">
        <v>80.0</v>
      </c>
      <c r="V291" s="623">
        <v>55.0</v>
      </c>
      <c r="W291" s="624">
        <v>55.0</v>
      </c>
      <c r="X291" s="625">
        <v>90.0</v>
      </c>
      <c r="Y291" s="628">
        <f t="shared" si="1"/>
        <v>440</v>
      </c>
      <c r="Z291" s="619"/>
      <c r="AA291" s="630" t="str">
        <f t="shared" si="2"/>
        <v>#NAME?</v>
      </c>
      <c r="AB291" s="631" t="s">
        <v>156</v>
      </c>
      <c r="AC291" s="632" t="str">
        <f t="shared" si="3"/>
        <v>#NAME?</v>
      </c>
      <c r="AD291" s="639" t="s">
        <v>4428</v>
      </c>
      <c r="AE291" s="633" t="str">
        <f t="shared" si="4"/>
        <v>#NAME?</v>
      </c>
      <c r="AF291" s="631" t="s">
        <v>156</v>
      </c>
      <c r="AG291" s="632" t="str">
        <f t="shared" si="5"/>
        <v>#NAME?</v>
      </c>
      <c r="AH291" s="634" t="s">
        <v>4428</v>
      </c>
      <c r="AI291" s="635" t="str">
        <f t="shared" si="6"/>
        <v>#NAME?</v>
      </c>
      <c r="AJ291" s="634" t="s">
        <v>156</v>
      </c>
      <c r="AK291" s="636" t="str">
        <f t="shared" si="7"/>
        <v>#NAME?</v>
      </c>
      <c r="AL291" s="637" t="s">
        <v>4428</v>
      </c>
      <c r="AM291" s="619"/>
      <c r="AN291" s="638" t="s">
        <v>666</v>
      </c>
      <c r="AO291" s="639"/>
      <c r="AP291" s="712" t="s">
        <v>666</v>
      </c>
      <c r="AQ291" s="639"/>
      <c r="AR291" s="712" t="s">
        <v>666</v>
      </c>
      <c r="AS291" s="639"/>
      <c r="AT291" s="644"/>
      <c r="AU291" s="633"/>
      <c r="AV291" s="638"/>
      <c r="AW291" s="630"/>
      <c r="AX291" s="647"/>
      <c r="AY291" s="619"/>
      <c r="AZ291" s="698" t="s">
        <v>248</v>
      </c>
      <c r="BA291" s="690"/>
      <c r="BB291" s="650"/>
      <c r="BC291" s="619"/>
      <c r="BD291" s="651" t="s">
        <v>683</v>
      </c>
      <c r="BE291" s="653">
        <v>126.0</v>
      </c>
      <c r="BF291" s="653">
        <v>120.0</v>
      </c>
      <c r="BG291" s="654">
        <v>70.0</v>
      </c>
      <c r="BH291" s="653">
        <v>60.0</v>
      </c>
      <c r="BI291" s="607"/>
      <c r="BJ291" s="655" t="s">
        <v>149</v>
      </c>
      <c r="BK291" s="703" t="s">
        <v>149</v>
      </c>
      <c r="BL291" s="610"/>
      <c r="BM291" s="657" t="s">
        <v>277</v>
      </c>
      <c r="BN291" s="704"/>
      <c r="BO291" s="607"/>
      <c r="BP291" s="659" t="s">
        <v>2682</v>
      </c>
      <c r="BQ291" s="614"/>
      <c r="BR291" s="660" t="s">
        <v>4431</v>
      </c>
      <c r="BS291" s="614"/>
    </row>
    <row r="292" ht="15.75" customHeight="1">
      <c r="A292" s="841"/>
      <c r="B292" s="661" t="s">
        <v>2686</v>
      </c>
      <c r="C292" s="662"/>
      <c r="D292" s="571"/>
      <c r="E292" s="672">
        <v>150.0</v>
      </c>
      <c r="F292" s="664">
        <v>160.0</v>
      </c>
      <c r="G292" s="665">
        <v>100.0</v>
      </c>
      <c r="H292" s="666">
        <v>95.0</v>
      </c>
      <c r="I292" s="667">
        <v>65.0</v>
      </c>
      <c r="J292" s="668">
        <v>100.0</v>
      </c>
      <c r="K292" s="669">
        <v>670.0</v>
      </c>
      <c r="L292" s="670">
        <v>150.0</v>
      </c>
      <c r="M292" s="664">
        <v>160.0</v>
      </c>
      <c r="N292" s="665">
        <v>100.0</v>
      </c>
      <c r="O292" s="666">
        <v>95.0</v>
      </c>
      <c r="P292" s="667">
        <v>65.0</v>
      </c>
      <c r="Q292" s="668">
        <v>100.0</v>
      </c>
      <c r="R292" s="671">
        <v>670.0</v>
      </c>
      <c r="S292" s="672">
        <v>150.0</v>
      </c>
      <c r="T292" s="664">
        <v>160.0</v>
      </c>
      <c r="U292" s="665">
        <v>100.0</v>
      </c>
      <c r="V292" s="666">
        <v>95.0</v>
      </c>
      <c r="W292" s="667">
        <v>65.0</v>
      </c>
      <c r="X292" s="668">
        <v>100.0</v>
      </c>
      <c r="Y292" s="671">
        <f t="shared" si="1"/>
        <v>670</v>
      </c>
      <c r="Z292" s="571"/>
      <c r="AA292" s="673" t="str">
        <f t="shared" si="2"/>
        <v>#NAME?</v>
      </c>
      <c r="AB292" s="674" t="s">
        <v>156</v>
      </c>
      <c r="AC292" s="675" t="str">
        <f t="shared" si="3"/>
        <v>#NAME?</v>
      </c>
      <c r="AD292" s="680" t="s">
        <v>4428</v>
      </c>
      <c r="AE292" s="676" t="str">
        <f t="shared" si="4"/>
        <v>#NAME?</v>
      </c>
      <c r="AF292" s="674" t="s">
        <v>156</v>
      </c>
      <c r="AG292" s="675" t="str">
        <f t="shared" si="5"/>
        <v>#NAME?</v>
      </c>
      <c r="AH292" s="586" t="s">
        <v>4428</v>
      </c>
      <c r="AI292" s="677" t="str">
        <f t="shared" si="6"/>
        <v>#NAME?</v>
      </c>
      <c r="AJ292" s="586" t="s">
        <v>156</v>
      </c>
      <c r="AK292" s="584" t="str">
        <f t="shared" si="7"/>
        <v>#NAME?</v>
      </c>
      <c r="AL292" s="678" t="s">
        <v>4428</v>
      </c>
      <c r="AM292" s="571"/>
      <c r="AN292" s="679" t="s">
        <v>2672</v>
      </c>
      <c r="AO292" s="680"/>
      <c r="AP292" s="705" t="s">
        <v>2672</v>
      </c>
      <c r="AQ292" s="680"/>
      <c r="AR292" s="705" t="s">
        <v>2672</v>
      </c>
      <c r="AS292" s="680"/>
      <c r="AT292" s="595"/>
      <c r="AU292" s="676"/>
      <c r="AV292" s="679"/>
      <c r="AW292" s="673"/>
      <c r="AX292" s="866"/>
      <c r="AY292" s="571"/>
      <c r="AZ292" s="689" t="s">
        <v>422</v>
      </c>
      <c r="BA292" s="699"/>
      <c r="BB292" s="690"/>
      <c r="BC292" s="571"/>
      <c r="BD292" s="651" t="s">
        <v>683</v>
      </c>
      <c r="BE292" s="653">
        <v>210.0</v>
      </c>
      <c r="BF292" s="653">
        <v>45.0</v>
      </c>
      <c r="BG292" s="654">
        <v>70.0</v>
      </c>
      <c r="BH292" s="653">
        <v>100.0</v>
      </c>
      <c r="BI292" s="607"/>
      <c r="BJ292" s="655" t="s">
        <v>149</v>
      </c>
      <c r="BK292" s="703" t="s">
        <v>149</v>
      </c>
      <c r="BL292" s="610"/>
      <c r="BM292" s="657" t="s">
        <v>277</v>
      </c>
      <c r="BN292" s="704"/>
      <c r="BO292" s="607"/>
      <c r="BP292" s="659" t="s">
        <v>2690</v>
      </c>
      <c r="BQ292" s="614"/>
      <c r="BR292" s="660" t="s">
        <v>4432</v>
      </c>
      <c r="BS292" s="614"/>
    </row>
    <row r="293" ht="15.75" customHeight="1">
      <c r="A293" s="841"/>
      <c r="B293" s="617" t="s">
        <v>2694</v>
      </c>
      <c r="C293" s="618"/>
      <c r="D293" s="619"/>
      <c r="E293" s="629">
        <v>31.0</v>
      </c>
      <c r="F293" s="621">
        <v>45.0</v>
      </c>
      <c r="G293" s="622">
        <v>90.0</v>
      </c>
      <c r="H293" s="623">
        <v>30.0</v>
      </c>
      <c r="I293" s="624">
        <v>30.0</v>
      </c>
      <c r="J293" s="625">
        <v>40.0</v>
      </c>
      <c r="K293" s="626">
        <v>266.0</v>
      </c>
      <c r="L293" s="627">
        <v>31.0</v>
      </c>
      <c r="M293" s="621">
        <v>45.0</v>
      </c>
      <c r="N293" s="622">
        <v>90.0</v>
      </c>
      <c r="O293" s="623">
        <v>30.0</v>
      </c>
      <c r="P293" s="624">
        <v>30.0</v>
      </c>
      <c r="Q293" s="625">
        <v>40.0</v>
      </c>
      <c r="R293" s="628">
        <v>266.0</v>
      </c>
      <c r="S293" s="629">
        <v>31.0</v>
      </c>
      <c r="T293" s="621">
        <v>45.0</v>
      </c>
      <c r="U293" s="622">
        <v>90.0</v>
      </c>
      <c r="V293" s="623">
        <v>30.0</v>
      </c>
      <c r="W293" s="624">
        <v>30.0</v>
      </c>
      <c r="X293" s="625">
        <v>40.0</v>
      </c>
      <c r="Y293" s="628">
        <f t="shared" si="1"/>
        <v>266</v>
      </c>
      <c r="Z293" s="619"/>
      <c r="AA293" s="630" t="str">
        <f t="shared" si="2"/>
        <v>#NAME?</v>
      </c>
      <c r="AB293" s="631" t="s">
        <v>109</v>
      </c>
      <c r="AC293" s="632" t="str">
        <f t="shared" si="3"/>
        <v>#NAME?</v>
      </c>
      <c r="AD293" s="630" t="s">
        <v>79</v>
      </c>
      <c r="AE293" s="633" t="str">
        <f t="shared" si="4"/>
        <v>#NAME?</v>
      </c>
      <c r="AF293" s="631" t="s">
        <v>109</v>
      </c>
      <c r="AG293" s="632" t="str">
        <f t="shared" si="5"/>
        <v>#NAME?</v>
      </c>
      <c r="AH293" s="634" t="s">
        <v>79</v>
      </c>
      <c r="AI293" s="635" t="str">
        <f t="shared" si="6"/>
        <v>#NAME?</v>
      </c>
      <c r="AJ293" s="634" t="s">
        <v>109</v>
      </c>
      <c r="AK293" s="636" t="str">
        <f t="shared" si="7"/>
        <v>#NAME?</v>
      </c>
      <c r="AL293" s="637" t="s">
        <v>79</v>
      </c>
      <c r="AM293" s="619"/>
      <c r="AN293" s="638" t="s">
        <v>178</v>
      </c>
      <c r="AO293" s="639"/>
      <c r="AP293" s="712" t="s">
        <v>178</v>
      </c>
      <c r="AQ293" s="639"/>
      <c r="AR293" s="712" t="s">
        <v>178</v>
      </c>
      <c r="AS293" s="639"/>
      <c r="AT293" s="644"/>
      <c r="AU293" s="633" t="str">
        <f>image("https://www.pokebip.com/pages/icones/objets/sable-doux.png", 3)</f>
        <v/>
      </c>
      <c r="AV293" s="638" t="s">
        <v>611</v>
      </c>
      <c r="AW293" s="630"/>
      <c r="AX293" s="647"/>
      <c r="AY293" s="619"/>
      <c r="AZ293" s="648" t="s">
        <v>101</v>
      </c>
      <c r="BA293" s="694"/>
      <c r="BB293" s="690"/>
      <c r="BC293" s="619"/>
      <c r="BD293" s="651" t="s">
        <v>2698</v>
      </c>
      <c r="BE293" s="653">
        <v>65.0</v>
      </c>
      <c r="BF293" s="653">
        <v>255.0</v>
      </c>
      <c r="BG293" s="654">
        <v>70.0</v>
      </c>
      <c r="BH293" s="653">
        <v>20.0</v>
      </c>
      <c r="BI293" s="607"/>
      <c r="BJ293" s="764" t="s">
        <v>149</v>
      </c>
      <c r="BK293" s="703" t="s">
        <v>149</v>
      </c>
      <c r="BL293" s="610"/>
      <c r="BM293" s="657" t="s">
        <v>109</v>
      </c>
      <c r="BN293" s="704"/>
      <c r="BO293" s="607"/>
      <c r="BP293" s="659" t="s">
        <v>2699</v>
      </c>
      <c r="BQ293" s="614"/>
      <c r="BR293" s="660" t="s">
        <v>4437</v>
      </c>
      <c r="BS293" s="614"/>
    </row>
    <row r="294" ht="15.75" customHeight="1">
      <c r="A294" s="841"/>
      <c r="B294" s="661" t="s">
        <v>2703</v>
      </c>
      <c r="C294" s="662"/>
      <c r="D294" s="571"/>
      <c r="E294" s="672">
        <v>61.0</v>
      </c>
      <c r="F294" s="664">
        <v>90.0</v>
      </c>
      <c r="G294" s="665">
        <v>45.0</v>
      </c>
      <c r="H294" s="666">
        <v>50.0</v>
      </c>
      <c r="I294" s="667">
        <v>50.0</v>
      </c>
      <c r="J294" s="668">
        <v>160.0</v>
      </c>
      <c r="K294" s="669">
        <v>456.0</v>
      </c>
      <c r="L294" s="670">
        <v>61.0</v>
      </c>
      <c r="M294" s="664">
        <v>90.0</v>
      </c>
      <c r="N294" s="665">
        <v>45.0</v>
      </c>
      <c r="O294" s="666">
        <v>50.0</v>
      </c>
      <c r="P294" s="667">
        <v>50.0</v>
      </c>
      <c r="Q294" s="668">
        <v>160.0</v>
      </c>
      <c r="R294" s="671">
        <v>456.0</v>
      </c>
      <c r="S294" s="672">
        <v>61.0</v>
      </c>
      <c r="T294" s="664">
        <v>90.0</v>
      </c>
      <c r="U294" s="665">
        <v>45.0</v>
      </c>
      <c r="V294" s="666">
        <v>50.0</v>
      </c>
      <c r="W294" s="667">
        <v>50.0</v>
      </c>
      <c r="X294" s="668">
        <v>160.0</v>
      </c>
      <c r="Y294" s="671">
        <f t="shared" si="1"/>
        <v>456</v>
      </c>
      <c r="Z294" s="571"/>
      <c r="AA294" s="673" t="str">
        <f t="shared" si="2"/>
        <v>#NAME?</v>
      </c>
      <c r="AB294" s="674" t="s">
        <v>109</v>
      </c>
      <c r="AC294" s="675" t="str">
        <f t="shared" si="3"/>
        <v>#NAME?</v>
      </c>
      <c r="AD294" s="673" t="s">
        <v>18</v>
      </c>
      <c r="AE294" s="676" t="str">
        <f t="shared" si="4"/>
        <v>#NAME?</v>
      </c>
      <c r="AF294" s="674" t="s">
        <v>109</v>
      </c>
      <c r="AG294" s="675" t="str">
        <f t="shared" si="5"/>
        <v>#NAME?</v>
      </c>
      <c r="AH294" s="586" t="s">
        <v>18</v>
      </c>
      <c r="AI294" s="677" t="str">
        <f t="shared" si="6"/>
        <v>#NAME?</v>
      </c>
      <c r="AJ294" s="586" t="s">
        <v>109</v>
      </c>
      <c r="AK294" s="584" t="str">
        <f t="shared" si="7"/>
        <v>#NAME?</v>
      </c>
      <c r="AL294" s="678" t="s">
        <v>18</v>
      </c>
      <c r="AM294" s="571"/>
      <c r="AN294" s="679" t="s">
        <v>1883</v>
      </c>
      <c r="AO294" s="680"/>
      <c r="AP294" s="705" t="s">
        <v>1883</v>
      </c>
      <c r="AQ294" s="680"/>
      <c r="AR294" s="705" t="s">
        <v>1883</v>
      </c>
      <c r="AS294" s="680"/>
      <c r="AT294" s="595"/>
      <c r="AU294" s="676"/>
      <c r="AV294" s="679"/>
      <c r="AW294" s="673"/>
      <c r="AX294" s="866"/>
      <c r="AY294" s="571"/>
      <c r="AZ294" s="689" t="s">
        <v>248</v>
      </c>
      <c r="BA294" s="690"/>
      <c r="BB294" s="696"/>
      <c r="BC294" s="571"/>
      <c r="BD294" s="651" t="s">
        <v>2698</v>
      </c>
      <c r="BE294" s="653">
        <v>155.0</v>
      </c>
      <c r="BF294" s="653">
        <v>120.0</v>
      </c>
      <c r="BG294" s="654">
        <v>70.0</v>
      </c>
      <c r="BH294" s="653">
        <v>40.0</v>
      </c>
      <c r="BI294" s="607"/>
      <c r="BJ294" s="655" t="s">
        <v>149</v>
      </c>
      <c r="BK294" s="703" t="s">
        <v>149</v>
      </c>
      <c r="BL294" s="610"/>
      <c r="BM294" s="657" t="s">
        <v>109</v>
      </c>
      <c r="BN294" s="704"/>
      <c r="BO294" s="607"/>
      <c r="BP294" s="659" t="s">
        <v>2706</v>
      </c>
      <c r="BQ294" s="614"/>
      <c r="BR294" s="660" t="s">
        <v>4433</v>
      </c>
      <c r="BS294" s="614"/>
    </row>
    <row r="295" ht="15.75" customHeight="1">
      <c r="A295" s="841"/>
      <c r="B295" s="617" t="s">
        <v>2710</v>
      </c>
      <c r="C295" s="618"/>
      <c r="D295" s="619"/>
      <c r="E295" s="629">
        <v>1.0</v>
      </c>
      <c r="F295" s="621">
        <v>90.0</v>
      </c>
      <c r="G295" s="622">
        <v>45.0</v>
      </c>
      <c r="H295" s="623">
        <v>30.0</v>
      </c>
      <c r="I295" s="624">
        <v>30.0</v>
      </c>
      <c r="J295" s="625">
        <v>40.0</v>
      </c>
      <c r="K295" s="626">
        <v>236.0</v>
      </c>
      <c r="L295" s="627">
        <v>1.0</v>
      </c>
      <c r="M295" s="621">
        <v>90.0</v>
      </c>
      <c r="N295" s="622">
        <v>45.0</v>
      </c>
      <c r="O295" s="623">
        <v>30.0</v>
      </c>
      <c r="P295" s="624">
        <v>30.0</v>
      </c>
      <c r="Q295" s="625">
        <v>40.0</v>
      </c>
      <c r="R295" s="628">
        <v>236.0</v>
      </c>
      <c r="S295" s="629">
        <v>1.0</v>
      </c>
      <c r="T295" s="621">
        <v>90.0</v>
      </c>
      <c r="U295" s="622">
        <v>45.0</v>
      </c>
      <c r="V295" s="623">
        <v>30.0</v>
      </c>
      <c r="W295" s="624">
        <v>30.0</v>
      </c>
      <c r="X295" s="625">
        <v>40.0</v>
      </c>
      <c r="Y295" s="628">
        <f t="shared" si="1"/>
        <v>236</v>
      </c>
      <c r="Z295" s="619"/>
      <c r="AA295" s="630" t="str">
        <f t="shared" si="2"/>
        <v>#NAME?</v>
      </c>
      <c r="AB295" s="631" t="s">
        <v>109</v>
      </c>
      <c r="AC295" s="632" t="str">
        <f t="shared" si="3"/>
        <v>#NAME?</v>
      </c>
      <c r="AD295" s="630" t="s">
        <v>92</v>
      </c>
      <c r="AE295" s="633" t="str">
        <f t="shared" si="4"/>
        <v>#NAME?</v>
      </c>
      <c r="AF295" s="631" t="s">
        <v>109</v>
      </c>
      <c r="AG295" s="632" t="str">
        <f t="shared" si="5"/>
        <v>#NAME?</v>
      </c>
      <c r="AH295" s="634" t="s">
        <v>92</v>
      </c>
      <c r="AI295" s="635" t="str">
        <f t="shared" si="6"/>
        <v>#NAME?</v>
      </c>
      <c r="AJ295" s="634" t="s">
        <v>109</v>
      </c>
      <c r="AK295" s="636" t="str">
        <f t="shared" si="7"/>
        <v>#NAME?</v>
      </c>
      <c r="AL295" s="637" t="s">
        <v>92</v>
      </c>
      <c r="AM295" s="619"/>
      <c r="AN295" s="638" t="s">
        <v>2714</v>
      </c>
      <c r="AO295" s="639"/>
      <c r="AP295" s="712" t="s">
        <v>2714</v>
      </c>
      <c r="AQ295" s="639"/>
      <c r="AR295" s="712" t="s">
        <v>2714</v>
      </c>
      <c r="AS295" s="639"/>
      <c r="AT295" s="644"/>
      <c r="AU295" s="633"/>
      <c r="AV295" s="638"/>
      <c r="AW295" s="630"/>
      <c r="AX295" s="647"/>
      <c r="AY295" s="619"/>
      <c r="AZ295" s="698" t="s">
        <v>409</v>
      </c>
      <c r="BA295" s="690"/>
      <c r="BB295" s="650"/>
      <c r="BC295" s="619"/>
      <c r="BD295" s="651" t="s">
        <v>2698</v>
      </c>
      <c r="BE295" s="653">
        <v>95.0</v>
      </c>
      <c r="BF295" s="653">
        <v>45.0</v>
      </c>
      <c r="BG295" s="654">
        <v>70.0</v>
      </c>
      <c r="BH295" s="653">
        <v>20.0</v>
      </c>
      <c r="BI295" s="607"/>
      <c r="BJ295" s="768" t="s">
        <v>890</v>
      </c>
      <c r="BK295" s="766"/>
      <c r="BL295" s="610"/>
      <c r="BM295" s="767" t="s">
        <v>826</v>
      </c>
      <c r="BN295" s="704"/>
      <c r="BO295" s="607"/>
      <c r="BP295" s="659" t="s">
        <v>2716</v>
      </c>
      <c r="BQ295" s="614"/>
      <c r="BR295" s="660" t="s">
        <v>4432</v>
      </c>
      <c r="BS295" s="614"/>
    </row>
    <row r="296" ht="15.75" customHeight="1">
      <c r="A296" s="841"/>
      <c r="B296" s="661" t="s">
        <v>2720</v>
      </c>
      <c r="C296" s="662"/>
      <c r="D296" s="571"/>
      <c r="E296" s="672">
        <v>64.0</v>
      </c>
      <c r="F296" s="664">
        <v>51.0</v>
      </c>
      <c r="G296" s="665">
        <v>23.0</v>
      </c>
      <c r="H296" s="666">
        <v>51.0</v>
      </c>
      <c r="I296" s="667">
        <v>23.0</v>
      </c>
      <c r="J296" s="668">
        <v>28.0</v>
      </c>
      <c r="K296" s="669">
        <v>240.0</v>
      </c>
      <c r="L296" s="670">
        <v>64.0</v>
      </c>
      <c r="M296" s="664">
        <v>51.0</v>
      </c>
      <c r="N296" s="665">
        <v>23.0</v>
      </c>
      <c r="O296" s="666">
        <v>51.0</v>
      </c>
      <c r="P296" s="667">
        <v>23.0</v>
      </c>
      <c r="Q296" s="668">
        <v>28.0</v>
      </c>
      <c r="R296" s="671">
        <v>240.0</v>
      </c>
      <c r="S296" s="672">
        <v>64.0</v>
      </c>
      <c r="T296" s="664">
        <v>51.0</v>
      </c>
      <c r="U296" s="665">
        <v>23.0</v>
      </c>
      <c r="V296" s="666">
        <v>51.0</v>
      </c>
      <c r="W296" s="667">
        <v>23.0</v>
      </c>
      <c r="X296" s="668">
        <v>28.0</v>
      </c>
      <c r="Y296" s="671">
        <f t="shared" si="1"/>
        <v>240</v>
      </c>
      <c r="Z296" s="571"/>
      <c r="AA296" s="673" t="str">
        <f t="shared" si="2"/>
        <v>#NAME?</v>
      </c>
      <c r="AB296" s="674" t="s">
        <v>156</v>
      </c>
      <c r="AC296" s="675" t="str">
        <f t="shared" si="3"/>
        <v>#NAME?</v>
      </c>
      <c r="AD296" s="680" t="s">
        <v>4428</v>
      </c>
      <c r="AE296" s="676" t="str">
        <f t="shared" si="4"/>
        <v>#NAME?</v>
      </c>
      <c r="AF296" s="674" t="s">
        <v>156</v>
      </c>
      <c r="AG296" s="675" t="str">
        <f t="shared" si="5"/>
        <v>#NAME?</v>
      </c>
      <c r="AH296" s="586" t="s">
        <v>4428</v>
      </c>
      <c r="AI296" s="677" t="str">
        <f t="shared" si="6"/>
        <v>#NAME?</v>
      </c>
      <c r="AJ296" s="586" t="s">
        <v>156</v>
      </c>
      <c r="AK296" s="584" t="str">
        <f t="shared" si="7"/>
        <v>#NAME?</v>
      </c>
      <c r="AL296" s="678" t="s">
        <v>4428</v>
      </c>
      <c r="AM296" s="571"/>
      <c r="AN296" s="679" t="s">
        <v>1067</v>
      </c>
      <c r="AO296" s="680"/>
      <c r="AP296" s="705" t="s">
        <v>1067</v>
      </c>
      <c r="AQ296" s="680"/>
      <c r="AR296" s="705" t="s">
        <v>1067</v>
      </c>
      <c r="AS296" s="722" t="s">
        <v>1623</v>
      </c>
      <c r="AT296" s="595"/>
      <c r="AU296" s="676"/>
      <c r="AV296" s="679"/>
      <c r="AW296" s="673"/>
      <c r="AX296" s="866"/>
      <c r="AY296" s="571"/>
      <c r="AZ296" s="695" t="s">
        <v>144</v>
      </c>
      <c r="BA296" s="700"/>
      <c r="BB296" s="690"/>
      <c r="BC296" s="571"/>
      <c r="BD296" s="651" t="s">
        <v>15</v>
      </c>
      <c r="BE296" s="653">
        <v>68.0</v>
      </c>
      <c r="BF296" s="653">
        <v>190.0</v>
      </c>
      <c r="BG296" s="654">
        <v>70.0</v>
      </c>
      <c r="BH296" s="653">
        <v>40.0</v>
      </c>
      <c r="BI296" s="607"/>
      <c r="BJ296" s="655" t="s">
        <v>149</v>
      </c>
      <c r="BK296" s="703" t="s">
        <v>149</v>
      </c>
      <c r="BL296" s="610"/>
      <c r="BM296" s="657" t="s">
        <v>14</v>
      </c>
      <c r="BN296" s="658" t="s">
        <v>277</v>
      </c>
      <c r="BO296" s="607"/>
      <c r="BP296" s="659" t="s">
        <v>2724</v>
      </c>
      <c r="BQ296" s="614"/>
      <c r="BR296" s="660" t="s">
        <v>4435</v>
      </c>
      <c r="BS296" s="614"/>
    </row>
    <row r="297" ht="15.75" customHeight="1">
      <c r="A297" s="841"/>
      <c r="B297" s="617" t="s">
        <v>2728</v>
      </c>
      <c r="C297" s="618"/>
      <c r="D297" s="619"/>
      <c r="E297" s="629">
        <v>84.0</v>
      </c>
      <c r="F297" s="621">
        <v>71.0</v>
      </c>
      <c r="G297" s="622">
        <v>43.0</v>
      </c>
      <c r="H297" s="623">
        <v>71.0</v>
      </c>
      <c r="I297" s="624">
        <v>43.0</v>
      </c>
      <c r="J297" s="625">
        <v>48.0</v>
      </c>
      <c r="K297" s="626">
        <v>360.0</v>
      </c>
      <c r="L297" s="627">
        <v>84.0</v>
      </c>
      <c r="M297" s="621">
        <v>71.0</v>
      </c>
      <c r="N297" s="622">
        <v>43.0</v>
      </c>
      <c r="O297" s="623">
        <v>71.0</v>
      </c>
      <c r="P297" s="624">
        <v>43.0</v>
      </c>
      <c r="Q297" s="625">
        <v>48.0</v>
      </c>
      <c r="R297" s="628">
        <v>360.0</v>
      </c>
      <c r="S297" s="629">
        <v>84.0</v>
      </c>
      <c r="T297" s="621">
        <v>71.0</v>
      </c>
      <c r="U297" s="622">
        <v>43.0</v>
      </c>
      <c r="V297" s="623">
        <v>71.0</v>
      </c>
      <c r="W297" s="624">
        <v>43.0</v>
      </c>
      <c r="X297" s="625">
        <v>48.0</v>
      </c>
      <c r="Y297" s="628">
        <f t="shared" si="1"/>
        <v>360</v>
      </c>
      <c r="Z297" s="619"/>
      <c r="AA297" s="630" t="str">
        <f t="shared" si="2"/>
        <v>#NAME?</v>
      </c>
      <c r="AB297" s="869" t="s">
        <v>156</v>
      </c>
      <c r="AC297" s="632" t="str">
        <f t="shared" si="3"/>
        <v>#NAME?</v>
      </c>
      <c r="AD297" s="870" t="s">
        <v>4428</v>
      </c>
      <c r="AE297" s="633" t="str">
        <f t="shared" si="4"/>
        <v>#NAME?</v>
      </c>
      <c r="AF297" s="869" t="s">
        <v>156</v>
      </c>
      <c r="AG297" s="632" t="str">
        <f t="shared" si="5"/>
        <v>#NAME?</v>
      </c>
      <c r="AH297" s="634" t="s">
        <v>4428</v>
      </c>
      <c r="AI297" s="635" t="str">
        <f t="shared" si="6"/>
        <v>#NAME?</v>
      </c>
      <c r="AJ297" s="634" t="s">
        <v>156</v>
      </c>
      <c r="AK297" s="636" t="str">
        <f t="shared" si="7"/>
        <v>#NAME?</v>
      </c>
      <c r="AL297" s="637" t="s">
        <v>4428</v>
      </c>
      <c r="AM297" s="619"/>
      <c r="AN297" s="638" t="s">
        <v>1067</v>
      </c>
      <c r="AO297" s="639"/>
      <c r="AP297" s="712" t="s">
        <v>1067</v>
      </c>
      <c r="AQ297" s="639"/>
      <c r="AR297" s="712" t="s">
        <v>1067</v>
      </c>
      <c r="AS297" s="714" t="s">
        <v>1623</v>
      </c>
      <c r="AT297" s="644"/>
      <c r="AU297" s="633"/>
      <c r="AV297" s="638"/>
      <c r="AW297" s="630"/>
      <c r="AX297" s="647"/>
      <c r="AY297" s="619"/>
      <c r="AZ297" s="698" t="s">
        <v>409</v>
      </c>
      <c r="BA297" s="690"/>
      <c r="BB297" s="650"/>
      <c r="BC297" s="619"/>
      <c r="BD297" s="651" t="s">
        <v>15</v>
      </c>
      <c r="BE297" s="653">
        <v>126.0</v>
      </c>
      <c r="BF297" s="653">
        <v>120.0</v>
      </c>
      <c r="BG297" s="654">
        <v>70.0</v>
      </c>
      <c r="BH297" s="653">
        <v>60.0</v>
      </c>
      <c r="BI297" s="607"/>
      <c r="BJ297" s="655" t="s">
        <v>149</v>
      </c>
      <c r="BK297" s="703" t="s">
        <v>149</v>
      </c>
      <c r="BL297" s="610"/>
      <c r="BM297" s="657" t="s">
        <v>14</v>
      </c>
      <c r="BN297" s="658" t="s">
        <v>277</v>
      </c>
      <c r="BO297" s="607"/>
      <c r="BP297" s="659" t="s">
        <v>2731</v>
      </c>
      <c r="BQ297" s="614"/>
      <c r="BR297" s="660" t="s">
        <v>4430</v>
      </c>
      <c r="BS297" s="614"/>
    </row>
    <row r="298" ht="15.75" customHeight="1">
      <c r="A298" s="841"/>
      <c r="B298" s="661" t="s">
        <v>2735</v>
      </c>
      <c r="C298" s="662"/>
      <c r="D298" s="571"/>
      <c r="E298" s="672">
        <v>104.0</v>
      </c>
      <c r="F298" s="664">
        <v>91.0</v>
      </c>
      <c r="G298" s="665">
        <v>63.0</v>
      </c>
      <c r="H298" s="666">
        <v>91.0</v>
      </c>
      <c r="I298" s="667">
        <v>63.0</v>
      </c>
      <c r="J298" s="668">
        <v>68.0</v>
      </c>
      <c r="K298" s="669">
        <v>480.0</v>
      </c>
      <c r="L298" s="670">
        <v>104.0</v>
      </c>
      <c r="M298" s="664">
        <v>91.0</v>
      </c>
      <c r="N298" s="665">
        <v>63.0</v>
      </c>
      <c r="O298" s="666">
        <v>91.0</v>
      </c>
      <c r="P298" s="667">
        <v>73.0</v>
      </c>
      <c r="Q298" s="668">
        <v>68.0</v>
      </c>
      <c r="R298" s="671">
        <v>490.0</v>
      </c>
      <c r="S298" s="672">
        <v>104.0</v>
      </c>
      <c r="T298" s="664">
        <v>91.0</v>
      </c>
      <c r="U298" s="665">
        <v>63.0</v>
      </c>
      <c r="V298" s="666">
        <v>91.0</v>
      </c>
      <c r="W298" s="667">
        <v>73.0</v>
      </c>
      <c r="X298" s="668">
        <v>68.0</v>
      </c>
      <c r="Y298" s="671">
        <f t="shared" si="1"/>
        <v>490</v>
      </c>
      <c r="Z298" s="571"/>
      <c r="AA298" s="673" t="str">
        <f t="shared" si="2"/>
        <v>#NAME?</v>
      </c>
      <c r="AB298" s="871" t="s">
        <v>156</v>
      </c>
      <c r="AC298" s="675" t="str">
        <f t="shared" si="3"/>
        <v>#NAME?</v>
      </c>
      <c r="AD298" s="872" t="s">
        <v>4428</v>
      </c>
      <c r="AE298" s="676" t="str">
        <f t="shared" si="4"/>
        <v>#NAME?</v>
      </c>
      <c r="AF298" s="871" t="s">
        <v>156</v>
      </c>
      <c r="AG298" s="675" t="str">
        <f t="shared" si="5"/>
        <v>#NAME?</v>
      </c>
      <c r="AH298" s="586" t="s">
        <v>4428</v>
      </c>
      <c r="AI298" s="677" t="str">
        <f t="shared" si="6"/>
        <v>#NAME?</v>
      </c>
      <c r="AJ298" s="586" t="s">
        <v>156</v>
      </c>
      <c r="AK298" s="584" t="str">
        <f t="shared" si="7"/>
        <v>#NAME?</v>
      </c>
      <c r="AL298" s="678" t="s">
        <v>4428</v>
      </c>
      <c r="AM298" s="571"/>
      <c r="AN298" s="679" t="s">
        <v>1067</v>
      </c>
      <c r="AO298" s="680"/>
      <c r="AP298" s="705" t="s">
        <v>1067</v>
      </c>
      <c r="AQ298" s="680"/>
      <c r="AR298" s="705" t="s">
        <v>1067</v>
      </c>
      <c r="AS298" s="756" t="s">
        <v>1623</v>
      </c>
      <c r="AT298" s="595"/>
      <c r="AU298" s="676"/>
      <c r="AV298" s="679"/>
      <c r="AW298" s="673"/>
      <c r="AX298" s="866"/>
      <c r="AY298" s="571"/>
      <c r="AZ298" s="689" t="s">
        <v>422</v>
      </c>
      <c r="BA298" s="699"/>
      <c r="BB298" s="690"/>
      <c r="BC298" s="571"/>
      <c r="BD298" s="651" t="s">
        <v>15</v>
      </c>
      <c r="BE298" s="653">
        <v>184.0</v>
      </c>
      <c r="BF298" s="653">
        <v>45.0</v>
      </c>
      <c r="BG298" s="654">
        <v>70.0</v>
      </c>
      <c r="BH298" s="653">
        <v>80.0</v>
      </c>
      <c r="BI298" s="607"/>
      <c r="BJ298" s="655" t="s">
        <v>149</v>
      </c>
      <c r="BK298" s="703" t="s">
        <v>149</v>
      </c>
      <c r="BL298" s="610"/>
      <c r="BM298" s="657" t="s">
        <v>14</v>
      </c>
      <c r="BN298" s="658" t="s">
        <v>277</v>
      </c>
      <c r="BO298" s="607"/>
      <c r="BP298" s="659" t="s">
        <v>2739</v>
      </c>
      <c r="BQ298" s="614"/>
      <c r="BR298" s="660" t="s">
        <v>4430</v>
      </c>
      <c r="BS298" s="614"/>
    </row>
    <row r="299" ht="15.75" customHeight="1">
      <c r="A299" s="841"/>
      <c r="B299" s="617" t="s">
        <v>2743</v>
      </c>
      <c r="C299" s="618"/>
      <c r="D299" s="619"/>
      <c r="E299" s="629">
        <v>72.0</v>
      </c>
      <c r="F299" s="750">
        <v>60.0</v>
      </c>
      <c r="G299" s="622">
        <v>30.0</v>
      </c>
      <c r="H299" s="623">
        <v>20.0</v>
      </c>
      <c r="I299" s="624">
        <v>30.0</v>
      </c>
      <c r="J299" s="625">
        <v>25.0</v>
      </c>
      <c r="K299" s="749">
        <v>237.0</v>
      </c>
      <c r="L299" s="627">
        <v>72.0</v>
      </c>
      <c r="M299" s="621">
        <v>60.0</v>
      </c>
      <c r="N299" s="622">
        <v>30.0</v>
      </c>
      <c r="O299" s="623">
        <v>20.0</v>
      </c>
      <c r="P299" s="624">
        <v>30.0</v>
      </c>
      <c r="Q299" s="625">
        <v>25.0</v>
      </c>
      <c r="R299" s="628">
        <v>237.0</v>
      </c>
      <c r="S299" s="629">
        <v>72.0</v>
      </c>
      <c r="T299" s="621">
        <v>60.0</v>
      </c>
      <c r="U299" s="622">
        <v>30.0</v>
      </c>
      <c r="V299" s="623">
        <v>20.0</v>
      </c>
      <c r="W299" s="624">
        <v>30.0</v>
      </c>
      <c r="X299" s="625">
        <v>25.0</v>
      </c>
      <c r="Y299" s="628">
        <f t="shared" si="1"/>
        <v>237</v>
      </c>
      <c r="Z299" s="619"/>
      <c r="AA299" s="630" t="str">
        <f t="shared" si="2"/>
        <v>#NAME?</v>
      </c>
      <c r="AB299" s="869" t="s">
        <v>64</v>
      </c>
      <c r="AC299" s="632" t="str">
        <f t="shared" si="3"/>
        <v>#NAME?</v>
      </c>
      <c r="AD299" s="870" t="s">
        <v>4428</v>
      </c>
      <c r="AE299" s="633" t="str">
        <f t="shared" si="4"/>
        <v>#NAME?</v>
      </c>
      <c r="AF299" s="869" t="s">
        <v>64</v>
      </c>
      <c r="AG299" s="632" t="str">
        <f t="shared" si="5"/>
        <v>#NAME?</v>
      </c>
      <c r="AH299" s="634" t="s">
        <v>4428</v>
      </c>
      <c r="AI299" s="635" t="str">
        <f t="shared" si="6"/>
        <v>#NAME?</v>
      </c>
      <c r="AJ299" s="634" t="s">
        <v>64</v>
      </c>
      <c r="AK299" s="636" t="str">
        <f t="shared" si="7"/>
        <v>#NAME?</v>
      </c>
      <c r="AL299" s="637" t="s">
        <v>4428</v>
      </c>
      <c r="AM299" s="619"/>
      <c r="AN299" s="638" t="s">
        <v>944</v>
      </c>
      <c r="AO299" s="639" t="s">
        <v>273</v>
      </c>
      <c r="AP299" s="712" t="s">
        <v>944</v>
      </c>
      <c r="AQ299" s="639" t="s">
        <v>273</v>
      </c>
      <c r="AR299" s="712" t="s">
        <v>944</v>
      </c>
      <c r="AS299" s="639" t="s">
        <v>273</v>
      </c>
      <c r="AT299" s="644"/>
      <c r="AU299" s="633" t="str">
        <f>image("https://www.pokebip.com/pages/icones/objets/ceinture-noire.png", 3)</f>
        <v/>
      </c>
      <c r="AV299" s="638" t="s">
        <v>2748</v>
      </c>
      <c r="AW299" s="630"/>
      <c r="AX299" s="647"/>
      <c r="AY299" s="619"/>
      <c r="AZ299" s="648" t="s">
        <v>144</v>
      </c>
      <c r="BA299" s="694"/>
      <c r="BB299" s="690"/>
      <c r="BC299" s="619"/>
      <c r="BD299" s="651" t="s">
        <v>2656</v>
      </c>
      <c r="BE299" s="653">
        <v>87.0</v>
      </c>
      <c r="BF299" s="653">
        <v>180.0</v>
      </c>
      <c r="BG299" s="654">
        <v>70.0</v>
      </c>
      <c r="BH299" s="653">
        <v>80.0</v>
      </c>
      <c r="BI299" s="607"/>
      <c r="BJ299" s="655" t="s">
        <v>467</v>
      </c>
      <c r="BK299" s="656">
        <v>0.25</v>
      </c>
      <c r="BL299" s="610"/>
      <c r="BM299" s="657" t="s">
        <v>728</v>
      </c>
      <c r="BN299" s="704"/>
      <c r="BO299" s="607"/>
      <c r="BP299" s="659" t="s">
        <v>2747</v>
      </c>
      <c r="BQ299" s="614"/>
      <c r="BR299" s="660" t="s">
        <v>4433</v>
      </c>
      <c r="BS299" s="614"/>
    </row>
    <row r="300" ht="15.75" customHeight="1">
      <c r="A300" s="841"/>
      <c r="B300" s="661" t="s">
        <v>2752</v>
      </c>
      <c r="C300" s="662"/>
      <c r="D300" s="571"/>
      <c r="E300" s="672">
        <v>144.0</v>
      </c>
      <c r="F300" s="664">
        <v>120.0</v>
      </c>
      <c r="G300" s="665">
        <v>60.0</v>
      </c>
      <c r="H300" s="666">
        <v>40.0</v>
      </c>
      <c r="I300" s="667">
        <v>60.0</v>
      </c>
      <c r="J300" s="668">
        <v>50.0</v>
      </c>
      <c r="K300" s="669">
        <v>474.0</v>
      </c>
      <c r="L300" s="670">
        <v>144.0</v>
      </c>
      <c r="M300" s="664">
        <v>120.0</v>
      </c>
      <c r="N300" s="665">
        <v>60.0</v>
      </c>
      <c r="O300" s="666">
        <v>40.0</v>
      </c>
      <c r="P300" s="667">
        <v>60.0</v>
      </c>
      <c r="Q300" s="668">
        <v>50.0</v>
      </c>
      <c r="R300" s="671">
        <v>474.0</v>
      </c>
      <c r="S300" s="672">
        <v>144.0</v>
      </c>
      <c r="T300" s="664">
        <v>120.0</v>
      </c>
      <c r="U300" s="665">
        <v>60.0</v>
      </c>
      <c r="V300" s="666">
        <v>40.0</v>
      </c>
      <c r="W300" s="667">
        <v>60.0</v>
      </c>
      <c r="X300" s="668">
        <v>50.0</v>
      </c>
      <c r="Y300" s="671">
        <f t="shared" si="1"/>
        <v>474</v>
      </c>
      <c r="Z300" s="571"/>
      <c r="AA300" s="673" t="str">
        <f t="shared" si="2"/>
        <v>#NAME?</v>
      </c>
      <c r="AB300" s="871" t="s">
        <v>64</v>
      </c>
      <c r="AC300" s="675" t="str">
        <f t="shared" si="3"/>
        <v>#NAME?</v>
      </c>
      <c r="AD300" s="872" t="s">
        <v>4428</v>
      </c>
      <c r="AE300" s="676" t="str">
        <f t="shared" si="4"/>
        <v>#NAME?</v>
      </c>
      <c r="AF300" s="871" t="s">
        <v>64</v>
      </c>
      <c r="AG300" s="675" t="str">
        <f t="shared" si="5"/>
        <v>#NAME?</v>
      </c>
      <c r="AH300" s="586" t="s">
        <v>4428</v>
      </c>
      <c r="AI300" s="677" t="str">
        <f t="shared" si="6"/>
        <v>#NAME?</v>
      </c>
      <c r="AJ300" s="586" t="s">
        <v>64</v>
      </c>
      <c r="AK300" s="584" t="str">
        <f t="shared" si="7"/>
        <v>#NAME?</v>
      </c>
      <c r="AL300" s="678" t="s">
        <v>4428</v>
      </c>
      <c r="AM300" s="571"/>
      <c r="AN300" s="679" t="s">
        <v>944</v>
      </c>
      <c r="AO300" s="680" t="s">
        <v>273</v>
      </c>
      <c r="AP300" s="705" t="s">
        <v>944</v>
      </c>
      <c r="AQ300" s="680" t="s">
        <v>273</v>
      </c>
      <c r="AR300" s="705" t="s">
        <v>944</v>
      </c>
      <c r="AS300" s="680" t="s">
        <v>273</v>
      </c>
      <c r="AT300" s="595"/>
      <c r="AU300" s="676" t="str">
        <f>image("https://www.pokebip.com/pages/icones/objets/roche-royale.png", 3)</f>
        <v/>
      </c>
      <c r="AV300" s="679" t="s">
        <v>709</v>
      </c>
      <c r="AW300" s="673"/>
      <c r="AX300" s="866"/>
      <c r="AY300" s="571"/>
      <c r="AZ300" s="689" t="s">
        <v>409</v>
      </c>
      <c r="BA300" s="690"/>
      <c r="BB300" s="696"/>
      <c r="BC300" s="571"/>
      <c r="BD300" s="651" t="s">
        <v>2656</v>
      </c>
      <c r="BE300" s="653">
        <v>184.0</v>
      </c>
      <c r="BF300" s="653">
        <v>200.0</v>
      </c>
      <c r="BG300" s="654">
        <v>70.0</v>
      </c>
      <c r="BH300" s="653">
        <v>120.0</v>
      </c>
      <c r="BI300" s="607"/>
      <c r="BJ300" s="655" t="s">
        <v>467</v>
      </c>
      <c r="BK300" s="656">
        <v>0.25</v>
      </c>
      <c r="BL300" s="610"/>
      <c r="BM300" s="657" t="s">
        <v>728</v>
      </c>
      <c r="BN300" s="704"/>
      <c r="BO300" s="607"/>
      <c r="BP300" s="659" t="s">
        <v>2756</v>
      </c>
      <c r="BQ300" s="614"/>
      <c r="BR300" s="660" t="s">
        <v>4432</v>
      </c>
      <c r="BS300" s="614"/>
    </row>
    <row r="301" ht="15.75" customHeight="1">
      <c r="A301" s="841"/>
      <c r="B301" s="617" t="s">
        <v>2761</v>
      </c>
      <c r="C301" s="618"/>
      <c r="D301" s="619"/>
      <c r="E301" s="629">
        <v>50.0</v>
      </c>
      <c r="F301" s="621">
        <v>20.0</v>
      </c>
      <c r="G301" s="622">
        <v>40.0</v>
      </c>
      <c r="H301" s="623">
        <v>20.0</v>
      </c>
      <c r="I301" s="624">
        <v>40.0</v>
      </c>
      <c r="J301" s="753">
        <v>20.0</v>
      </c>
      <c r="K301" s="749">
        <v>190.0</v>
      </c>
      <c r="L301" s="627">
        <v>50.0</v>
      </c>
      <c r="M301" s="621">
        <v>20.0</v>
      </c>
      <c r="N301" s="622">
        <v>40.0</v>
      </c>
      <c r="O301" s="623">
        <v>20.0</v>
      </c>
      <c r="P301" s="624">
        <v>40.0</v>
      </c>
      <c r="Q301" s="625">
        <v>20.0</v>
      </c>
      <c r="R301" s="628">
        <v>190.0</v>
      </c>
      <c r="S301" s="629">
        <v>50.0</v>
      </c>
      <c r="T301" s="621">
        <v>20.0</v>
      </c>
      <c r="U301" s="622">
        <v>40.0</v>
      </c>
      <c r="V301" s="748">
        <v>40.0</v>
      </c>
      <c r="W301" s="624">
        <v>40.0</v>
      </c>
      <c r="X301" s="625">
        <v>20.0</v>
      </c>
      <c r="Y301" s="628">
        <f t="shared" si="1"/>
        <v>210</v>
      </c>
      <c r="Z301" s="619"/>
      <c r="AA301" s="630" t="str">
        <f t="shared" si="2"/>
        <v>#NAME?</v>
      </c>
      <c r="AB301" s="869" t="s">
        <v>156</v>
      </c>
      <c r="AC301" s="632" t="str">
        <f t="shared" si="3"/>
        <v>#NAME?</v>
      </c>
      <c r="AD301" s="870" t="s">
        <v>4428</v>
      </c>
      <c r="AE301" s="633" t="str">
        <f t="shared" si="4"/>
        <v>#NAME?</v>
      </c>
      <c r="AF301" s="869" t="s">
        <v>156</v>
      </c>
      <c r="AG301" s="777" t="str">
        <f t="shared" si="5"/>
        <v>#NAME?</v>
      </c>
      <c r="AH301" s="634" t="s">
        <v>3017</v>
      </c>
      <c r="AI301" s="635" t="str">
        <f t="shared" si="6"/>
        <v>#NAME?</v>
      </c>
      <c r="AJ301" s="634" t="s">
        <v>156</v>
      </c>
      <c r="AK301" s="697" t="str">
        <f t="shared" si="7"/>
        <v>#NAME?</v>
      </c>
      <c r="AL301" s="637" t="s">
        <v>3017</v>
      </c>
      <c r="AM301" s="619"/>
      <c r="AN301" s="638" t="s">
        <v>944</v>
      </c>
      <c r="AO301" s="639" t="s">
        <v>1802</v>
      </c>
      <c r="AP301" s="854" t="s">
        <v>1802</v>
      </c>
      <c r="AQ301" s="855" t="s">
        <v>944</v>
      </c>
      <c r="AR301" s="856" t="s">
        <v>2765</v>
      </c>
      <c r="AS301" s="857" t="s">
        <v>944</v>
      </c>
      <c r="AT301" s="644"/>
      <c r="AU301" s="633"/>
      <c r="AV301" s="638"/>
      <c r="AW301" s="630"/>
      <c r="AX301" s="647"/>
      <c r="AY301" s="619"/>
      <c r="AZ301" s="648" t="s">
        <v>144</v>
      </c>
      <c r="BA301" s="694"/>
      <c r="BB301" s="690"/>
      <c r="BC301" s="619"/>
      <c r="BD301" s="651" t="s">
        <v>468</v>
      </c>
      <c r="BE301" s="653">
        <v>33.0</v>
      </c>
      <c r="BF301" s="653">
        <v>150.0</v>
      </c>
      <c r="BG301" s="858" t="s">
        <v>4454</v>
      </c>
      <c r="BH301" s="653">
        <v>20.0</v>
      </c>
      <c r="BI301" s="607"/>
      <c r="BJ301" s="655" t="s">
        <v>466</v>
      </c>
      <c r="BK301" s="656">
        <v>0.75</v>
      </c>
      <c r="BL301" s="610"/>
      <c r="BM301" s="657" t="s">
        <v>411</v>
      </c>
      <c r="BN301" s="704"/>
      <c r="BO301" s="607"/>
      <c r="BP301" s="659" t="s">
        <v>2766</v>
      </c>
      <c r="BQ301" s="614"/>
      <c r="BR301" s="660" t="s">
        <v>4430</v>
      </c>
      <c r="BS301" s="614"/>
    </row>
    <row r="302" ht="15.75" customHeight="1">
      <c r="A302" s="841"/>
      <c r="B302" s="661" t="s">
        <v>2770</v>
      </c>
      <c r="C302" s="662"/>
      <c r="D302" s="571"/>
      <c r="E302" s="672">
        <v>30.0</v>
      </c>
      <c r="F302" s="664">
        <v>45.0</v>
      </c>
      <c r="G302" s="665">
        <v>135.0</v>
      </c>
      <c r="H302" s="666">
        <v>45.0</v>
      </c>
      <c r="I302" s="667">
        <v>90.0</v>
      </c>
      <c r="J302" s="668">
        <v>30.0</v>
      </c>
      <c r="K302" s="669">
        <v>375.0</v>
      </c>
      <c r="L302" s="670">
        <v>30.0</v>
      </c>
      <c r="M302" s="664">
        <v>45.0</v>
      </c>
      <c r="N302" s="665">
        <v>135.0</v>
      </c>
      <c r="O302" s="666">
        <v>45.0</v>
      </c>
      <c r="P302" s="667">
        <v>90.0</v>
      </c>
      <c r="Q302" s="668">
        <v>30.0</v>
      </c>
      <c r="R302" s="671">
        <v>375.0</v>
      </c>
      <c r="S302" s="672">
        <v>30.0</v>
      </c>
      <c r="T302" s="741">
        <v>35.0</v>
      </c>
      <c r="U302" s="665">
        <v>135.0</v>
      </c>
      <c r="V302" s="743">
        <v>55.0</v>
      </c>
      <c r="W302" s="667">
        <v>90.0</v>
      </c>
      <c r="X302" s="668">
        <v>30.0</v>
      </c>
      <c r="Y302" s="671">
        <f t="shared" si="1"/>
        <v>375</v>
      </c>
      <c r="Z302" s="571"/>
      <c r="AA302" s="673" t="str">
        <f t="shared" si="2"/>
        <v>#NAME?</v>
      </c>
      <c r="AB302" s="871" t="s">
        <v>66</v>
      </c>
      <c r="AC302" s="675" t="str">
        <f t="shared" si="3"/>
        <v>#NAME?</v>
      </c>
      <c r="AD302" s="872" t="s">
        <v>4428</v>
      </c>
      <c r="AE302" s="676" t="str">
        <f t="shared" si="4"/>
        <v>#NAME?</v>
      </c>
      <c r="AF302" s="871" t="s">
        <v>66</v>
      </c>
      <c r="AG302" s="675" t="str">
        <f t="shared" si="5"/>
        <v>#NAME?</v>
      </c>
      <c r="AH302" s="586" t="s">
        <v>4428</v>
      </c>
      <c r="AI302" s="677" t="str">
        <f t="shared" si="6"/>
        <v>#NAME?</v>
      </c>
      <c r="AJ302" s="586" t="s">
        <v>66</v>
      </c>
      <c r="AK302" s="584" t="str">
        <f t="shared" si="7"/>
        <v>#NAME?</v>
      </c>
      <c r="AL302" s="678" t="s">
        <v>4428</v>
      </c>
      <c r="AM302" s="571"/>
      <c r="AN302" s="679" t="s">
        <v>825</v>
      </c>
      <c r="AO302" s="680" t="s">
        <v>889</v>
      </c>
      <c r="AP302" s="705" t="s">
        <v>825</v>
      </c>
      <c r="AQ302" s="680" t="s">
        <v>889</v>
      </c>
      <c r="AR302" s="705" t="s">
        <v>825</v>
      </c>
      <c r="AS302" s="680" t="s">
        <v>889</v>
      </c>
      <c r="AT302" s="595"/>
      <c r="AU302" s="676" t="str">
        <f>image("https://www.pokebip.com/pages/icones/objets/aimant.png", 3)</f>
        <v/>
      </c>
      <c r="AV302" s="679" t="s">
        <v>2775</v>
      </c>
      <c r="AW302" s="673"/>
      <c r="AX302" s="866"/>
      <c r="AY302" s="571"/>
      <c r="AZ302" s="695" t="s">
        <v>101</v>
      </c>
      <c r="BA302" s="700"/>
      <c r="BB302" s="690"/>
      <c r="BC302" s="571"/>
      <c r="BD302" s="651" t="s">
        <v>150</v>
      </c>
      <c r="BE302" s="653">
        <v>108.0</v>
      </c>
      <c r="BF302" s="653">
        <v>255.0</v>
      </c>
      <c r="BG302" s="654">
        <v>70.0</v>
      </c>
      <c r="BH302" s="653">
        <v>80.0</v>
      </c>
      <c r="BI302" s="607"/>
      <c r="BJ302" s="655" t="s">
        <v>149</v>
      </c>
      <c r="BK302" s="703" t="s">
        <v>149</v>
      </c>
      <c r="BL302" s="610"/>
      <c r="BM302" s="657" t="s">
        <v>826</v>
      </c>
      <c r="BN302" s="704"/>
      <c r="BO302" s="607"/>
      <c r="BP302" s="659" t="s">
        <v>2774</v>
      </c>
      <c r="BQ302" s="614"/>
      <c r="BR302" s="660" t="s">
        <v>4437</v>
      </c>
      <c r="BS302" s="614"/>
    </row>
    <row r="303" ht="15.75" customHeight="1">
      <c r="A303" s="841"/>
      <c r="B303" s="617" t="s">
        <v>2779</v>
      </c>
      <c r="C303" s="618"/>
      <c r="D303" s="619"/>
      <c r="E303" s="629">
        <v>50.0</v>
      </c>
      <c r="F303" s="621">
        <v>45.0</v>
      </c>
      <c r="G303" s="622">
        <v>45.0</v>
      </c>
      <c r="H303" s="623">
        <v>35.0</v>
      </c>
      <c r="I303" s="624">
        <v>35.0</v>
      </c>
      <c r="J303" s="625">
        <v>50.0</v>
      </c>
      <c r="K303" s="626">
        <v>260.0</v>
      </c>
      <c r="L303" s="627">
        <v>50.0</v>
      </c>
      <c r="M303" s="621">
        <v>45.0</v>
      </c>
      <c r="N303" s="622">
        <v>45.0</v>
      </c>
      <c r="O303" s="623">
        <v>35.0</v>
      </c>
      <c r="P303" s="624">
        <v>35.0</v>
      </c>
      <c r="Q303" s="625">
        <v>50.0</v>
      </c>
      <c r="R303" s="628">
        <v>260.0</v>
      </c>
      <c r="S303" s="629">
        <v>50.0</v>
      </c>
      <c r="T303" s="750">
        <v>50.0</v>
      </c>
      <c r="U303" s="751">
        <v>50.0</v>
      </c>
      <c r="V303" s="748">
        <v>40.0</v>
      </c>
      <c r="W303" s="752">
        <v>40.0</v>
      </c>
      <c r="X303" s="753">
        <v>60.0</v>
      </c>
      <c r="Y303" s="628">
        <f t="shared" si="1"/>
        <v>290</v>
      </c>
      <c r="Z303" s="619"/>
      <c r="AA303" s="630" t="str">
        <f t="shared" si="2"/>
        <v>#NAME?</v>
      </c>
      <c r="AB303" s="869" t="s">
        <v>156</v>
      </c>
      <c r="AC303" s="632" t="str">
        <f t="shared" si="3"/>
        <v>#NAME?</v>
      </c>
      <c r="AD303" s="870" t="s">
        <v>4428</v>
      </c>
      <c r="AE303" s="633" t="str">
        <f t="shared" si="4"/>
        <v>#NAME?</v>
      </c>
      <c r="AF303" s="869" t="s">
        <v>156</v>
      </c>
      <c r="AG303" s="632" t="str">
        <f t="shared" si="5"/>
        <v>#NAME?</v>
      </c>
      <c r="AH303" s="634" t="s">
        <v>4428</v>
      </c>
      <c r="AI303" s="635" t="str">
        <f t="shared" si="6"/>
        <v>#NAME?</v>
      </c>
      <c r="AJ303" s="634" t="s">
        <v>156</v>
      </c>
      <c r="AK303" s="636" t="str">
        <f t="shared" si="7"/>
        <v>#NAME?</v>
      </c>
      <c r="AL303" s="637" t="s">
        <v>4428</v>
      </c>
      <c r="AM303" s="619"/>
      <c r="AN303" s="638" t="s">
        <v>463</v>
      </c>
      <c r="AO303" s="639" t="s">
        <v>2783</v>
      </c>
      <c r="AP303" s="712" t="s">
        <v>463</v>
      </c>
      <c r="AQ303" s="639" t="s">
        <v>2783</v>
      </c>
      <c r="AR303" s="712" t="s">
        <v>463</v>
      </c>
      <c r="AS303" s="639" t="s">
        <v>2783</v>
      </c>
      <c r="AT303" s="644"/>
      <c r="AU303" s="633"/>
      <c r="AV303" s="638"/>
      <c r="AW303" s="630"/>
      <c r="AX303" s="647"/>
      <c r="AY303" s="619"/>
      <c r="AZ303" s="648" t="s">
        <v>56</v>
      </c>
      <c r="BA303" s="694"/>
      <c r="BB303" s="690"/>
      <c r="BC303" s="619"/>
      <c r="BD303" s="651" t="s">
        <v>468</v>
      </c>
      <c r="BE303" s="653">
        <v>65.0</v>
      </c>
      <c r="BF303" s="653">
        <v>255.0</v>
      </c>
      <c r="BG303" s="654">
        <v>70.0</v>
      </c>
      <c r="BH303" s="653">
        <v>40.0</v>
      </c>
      <c r="BI303" s="607"/>
      <c r="BJ303" s="655" t="s">
        <v>466</v>
      </c>
      <c r="BK303" s="656">
        <v>0.75</v>
      </c>
      <c r="BL303" s="610"/>
      <c r="BM303" s="657" t="s">
        <v>277</v>
      </c>
      <c r="BN303" s="658" t="s">
        <v>153</v>
      </c>
      <c r="BO303" s="607"/>
      <c r="BP303" s="659" t="s">
        <v>2785</v>
      </c>
      <c r="BQ303" s="614"/>
      <c r="BR303" s="660" t="s">
        <v>4435</v>
      </c>
      <c r="BS303" s="614"/>
    </row>
    <row r="304" ht="15.75" customHeight="1">
      <c r="A304" s="841"/>
      <c r="B304" s="661" t="s">
        <v>2789</v>
      </c>
      <c r="C304" s="662"/>
      <c r="D304" s="571"/>
      <c r="E304" s="672">
        <v>70.0</v>
      </c>
      <c r="F304" s="664">
        <v>65.0</v>
      </c>
      <c r="G304" s="665">
        <v>65.0</v>
      </c>
      <c r="H304" s="666">
        <v>55.0</v>
      </c>
      <c r="I304" s="667">
        <v>55.0</v>
      </c>
      <c r="J304" s="668">
        <v>70.0</v>
      </c>
      <c r="K304" s="669">
        <v>380.0</v>
      </c>
      <c r="L304" s="670">
        <v>70.0</v>
      </c>
      <c r="M304" s="664">
        <v>65.0</v>
      </c>
      <c r="N304" s="665">
        <v>65.0</v>
      </c>
      <c r="O304" s="666">
        <v>55.0</v>
      </c>
      <c r="P304" s="667">
        <v>55.0</v>
      </c>
      <c r="Q304" s="668">
        <v>90.0</v>
      </c>
      <c r="R304" s="671">
        <v>400.0</v>
      </c>
      <c r="S304" s="672">
        <v>70.0</v>
      </c>
      <c r="T304" s="741">
        <v>95.0</v>
      </c>
      <c r="U304" s="665">
        <v>65.0</v>
      </c>
      <c r="V304" s="743">
        <v>85.0</v>
      </c>
      <c r="W304" s="667">
        <v>55.0</v>
      </c>
      <c r="X304" s="745">
        <v>95.0</v>
      </c>
      <c r="Y304" s="671">
        <f t="shared" si="1"/>
        <v>465</v>
      </c>
      <c r="Z304" s="571"/>
      <c r="AA304" s="673" t="str">
        <f t="shared" si="2"/>
        <v>#NAME?</v>
      </c>
      <c r="AB304" s="871" t="s">
        <v>156</v>
      </c>
      <c r="AC304" s="675" t="str">
        <f t="shared" si="3"/>
        <v>#NAME?</v>
      </c>
      <c r="AD304" s="872" t="s">
        <v>4428</v>
      </c>
      <c r="AE304" s="676" t="str">
        <f t="shared" si="4"/>
        <v>#NAME?</v>
      </c>
      <c r="AF304" s="871" t="s">
        <v>156</v>
      </c>
      <c r="AG304" s="675" t="str">
        <f t="shared" si="5"/>
        <v>#NAME?</v>
      </c>
      <c r="AH304" s="586" t="s">
        <v>4428</v>
      </c>
      <c r="AI304" s="677" t="str">
        <f t="shared" si="6"/>
        <v>#NAME?</v>
      </c>
      <c r="AJ304" s="586" t="s">
        <v>156</v>
      </c>
      <c r="AK304" s="584" t="str">
        <f t="shared" si="7"/>
        <v>#NAME?</v>
      </c>
      <c r="AL304" s="678" t="s">
        <v>4428</v>
      </c>
      <c r="AM304" s="571"/>
      <c r="AN304" s="679" t="s">
        <v>463</v>
      </c>
      <c r="AO304" s="680" t="s">
        <v>2783</v>
      </c>
      <c r="AP304" s="705" t="s">
        <v>463</v>
      </c>
      <c r="AQ304" s="680" t="s">
        <v>2783</v>
      </c>
      <c r="AR304" s="705" t="s">
        <v>463</v>
      </c>
      <c r="AS304" s="680" t="s">
        <v>2783</v>
      </c>
      <c r="AT304" s="595"/>
      <c r="AU304" s="676"/>
      <c r="AV304" s="679"/>
      <c r="AW304" s="673"/>
      <c r="AX304" s="866"/>
      <c r="AY304" s="571"/>
      <c r="AZ304" s="695" t="s">
        <v>144</v>
      </c>
      <c r="BA304" s="691" t="s">
        <v>56</v>
      </c>
      <c r="BB304" s="696"/>
      <c r="BC304" s="571"/>
      <c r="BD304" s="651" t="s">
        <v>468</v>
      </c>
      <c r="BE304" s="653">
        <v>138.0</v>
      </c>
      <c r="BF304" s="653">
        <v>60.0</v>
      </c>
      <c r="BG304" s="654">
        <v>70.0</v>
      </c>
      <c r="BH304" s="653">
        <v>60.0</v>
      </c>
      <c r="BI304" s="607"/>
      <c r="BJ304" s="655" t="s">
        <v>466</v>
      </c>
      <c r="BK304" s="656">
        <v>0.75</v>
      </c>
      <c r="BL304" s="610"/>
      <c r="BM304" s="657" t="s">
        <v>277</v>
      </c>
      <c r="BN304" s="658" t="s">
        <v>153</v>
      </c>
      <c r="BO304" s="607"/>
      <c r="BP304" s="659" t="s">
        <v>2794</v>
      </c>
      <c r="BQ304" s="614"/>
      <c r="BR304" s="660" t="s">
        <v>4434</v>
      </c>
      <c r="BS304" s="614"/>
    </row>
    <row r="305" ht="15.75" customHeight="1">
      <c r="A305" s="841"/>
      <c r="B305" s="617" t="s">
        <v>2798</v>
      </c>
      <c r="C305" s="618"/>
      <c r="D305" s="619"/>
      <c r="E305" s="629">
        <v>50.0</v>
      </c>
      <c r="F305" s="621">
        <v>75.0</v>
      </c>
      <c r="G305" s="622">
        <v>75.0</v>
      </c>
      <c r="H305" s="623">
        <v>65.0</v>
      </c>
      <c r="I305" s="624">
        <v>65.0</v>
      </c>
      <c r="J305" s="625">
        <v>50.0</v>
      </c>
      <c r="K305" s="626">
        <v>380.0</v>
      </c>
      <c r="L305" s="627">
        <v>50.0</v>
      </c>
      <c r="M305" s="621">
        <v>75.0</v>
      </c>
      <c r="N305" s="622">
        <v>75.0</v>
      </c>
      <c r="O305" s="623">
        <v>65.0</v>
      </c>
      <c r="P305" s="624">
        <v>65.0</v>
      </c>
      <c r="Q305" s="625">
        <v>50.0</v>
      </c>
      <c r="R305" s="628">
        <v>380.0</v>
      </c>
      <c r="S305" s="629">
        <v>50.0</v>
      </c>
      <c r="T305" s="750">
        <v>85.0</v>
      </c>
      <c r="U305" s="751">
        <v>95.0</v>
      </c>
      <c r="V305" s="748">
        <v>85.0</v>
      </c>
      <c r="W305" s="752">
        <v>85.0</v>
      </c>
      <c r="X305" s="625">
        <v>50.0</v>
      </c>
      <c r="Y305" s="628">
        <f t="shared" si="1"/>
        <v>450</v>
      </c>
      <c r="Z305" s="619"/>
      <c r="AA305" s="630" t="str">
        <f t="shared" si="2"/>
        <v>#NAME?</v>
      </c>
      <c r="AB305" s="869" t="s">
        <v>76</v>
      </c>
      <c r="AC305" s="632" t="str">
        <f t="shared" si="3"/>
        <v>#NAME?</v>
      </c>
      <c r="AD305" s="870" t="s">
        <v>92</v>
      </c>
      <c r="AE305" s="633" t="str">
        <f t="shared" si="4"/>
        <v>#NAME?</v>
      </c>
      <c r="AF305" s="869" t="s">
        <v>76</v>
      </c>
      <c r="AG305" s="632" t="str">
        <f t="shared" si="5"/>
        <v>#NAME?</v>
      </c>
      <c r="AH305" s="634" t="s">
        <v>92</v>
      </c>
      <c r="AI305" s="635" t="str">
        <f t="shared" si="6"/>
        <v>#NAME?</v>
      </c>
      <c r="AJ305" s="634" t="s">
        <v>76</v>
      </c>
      <c r="AK305" s="636" t="str">
        <f t="shared" si="7"/>
        <v>#NAME?</v>
      </c>
      <c r="AL305" s="637" t="s">
        <v>92</v>
      </c>
      <c r="AM305" s="619"/>
      <c r="AN305" s="638" t="s">
        <v>235</v>
      </c>
      <c r="AO305" s="639" t="s">
        <v>2802</v>
      </c>
      <c r="AP305" s="712" t="s">
        <v>235</v>
      </c>
      <c r="AQ305" s="639" t="s">
        <v>2802</v>
      </c>
      <c r="AR305" s="719" t="s">
        <v>511</v>
      </c>
      <c r="AS305" s="639" t="s">
        <v>2802</v>
      </c>
      <c r="AT305" s="644"/>
      <c r="AU305" s="633" t="str">
        <f>image("https://www.pokebip.com/pages/icones/objets/loupe.png", 3)</f>
        <v/>
      </c>
      <c r="AV305" s="638" t="s">
        <v>1885</v>
      </c>
      <c r="AW305" s="630"/>
      <c r="AX305" s="647"/>
      <c r="AY305" s="619"/>
      <c r="AZ305" s="648" t="s">
        <v>325</v>
      </c>
      <c r="BA305" s="649" t="s">
        <v>101</v>
      </c>
      <c r="BB305" s="650"/>
      <c r="BC305" s="619"/>
      <c r="BD305" s="651" t="s">
        <v>15</v>
      </c>
      <c r="BE305" s="653">
        <v>98.0</v>
      </c>
      <c r="BF305" s="653">
        <v>45.0</v>
      </c>
      <c r="BG305" s="654">
        <v>35.0</v>
      </c>
      <c r="BH305" s="653">
        <v>40.0</v>
      </c>
      <c r="BI305" s="607"/>
      <c r="BJ305" s="655" t="s">
        <v>149</v>
      </c>
      <c r="BK305" s="703" t="s">
        <v>149</v>
      </c>
      <c r="BL305" s="610"/>
      <c r="BM305" s="657" t="s">
        <v>728</v>
      </c>
      <c r="BN305" s="704"/>
      <c r="BO305" s="607"/>
      <c r="BP305" s="659" t="s">
        <v>914</v>
      </c>
      <c r="BQ305" s="614"/>
      <c r="BR305" s="660" t="s">
        <v>4434</v>
      </c>
      <c r="BS305" s="614"/>
    </row>
    <row r="306" ht="15.75" customHeight="1">
      <c r="A306" s="841"/>
      <c r="B306" s="661" t="s">
        <v>2806</v>
      </c>
      <c r="C306" s="662"/>
      <c r="D306" s="571"/>
      <c r="E306" s="672">
        <v>50.0</v>
      </c>
      <c r="F306" s="664">
        <v>85.0</v>
      </c>
      <c r="G306" s="665">
        <v>85.0</v>
      </c>
      <c r="H306" s="666">
        <v>55.0</v>
      </c>
      <c r="I306" s="667">
        <v>55.0</v>
      </c>
      <c r="J306" s="668">
        <v>50.0</v>
      </c>
      <c r="K306" s="669">
        <v>380.0</v>
      </c>
      <c r="L306" s="670">
        <v>50.0</v>
      </c>
      <c r="M306" s="664">
        <v>85.0</v>
      </c>
      <c r="N306" s="665">
        <v>85.0</v>
      </c>
      <c r="O306" s="666">
        <v>55.0</v>
      </c>
      <c r="P306" s="667">
        <v>55.0</v>
      </c>
      <c r="Q306" s="668">
        <v>50.0</v>
      </c>
      <c r="R306" s="671">
        <v>380.0</v>
      </c>
      <c r="S306" s="672">
        <v>50.0</v>
      </c>
      <c r="T306" s="741">
        <v>95.0</v>
      </c>
      <c r="U306" s="742">
        <v>115.0</v>
      </c>
      <c r="V306" s="666">
        <v>55.0</v>
      </c>
      <c r="W306" s="744">
        <v>85.0</v>
      </c>
      <c r="X306" s="668">
        <v>50.0</v>
      </c>
      <c r="Y306" s="671">
        <f t="shared" si="1"/>
        <v>450</v>
      </c>
      <c r="Z306" s="571"/>
      <c r="AA306" s="673" t="str">
        <f t="shared" si="2"/>
        <v>#NAME?</v>
      </c>
      <c r="AB306" s="871" t="s">
        <v>95</v>
      </c>
      <c r="AC306" s="675" t="str">
        <f t="shared" si="3"/>
        <v>#NAME?</v>
      </c>
      <c r="AD306" s="872" t="s">
        <v>4428</v>
      </c>
      <c r="AE306" s="676" t="str">
        <f t="shared" si="4"/>
        <v>#NAME?</v>
      </c>
      <c r="AF306" s="871" t="s">
        <v>95</v>
      </c>
      <c r="AG306" s="777" t="str">
        <f t="shared" si="5"/>
        <v>#NAME?</v>
      </c>
      <c r="AH306" s="586" t="s">
        <v>3017</v>
      </c>
      <c r="AI306" s="677" t="str">
        <f t="shared" si="6"/>
        <v>#NAME?</v>
      </c>
      <c r="AJ306" s="586" t="s">
        <v>95</v>
      </c>
      <c r="AK306" s="697" t="str">
        <f t="shared" si="7"/>
        <v>#NAME?</v>
      </c>
      <c r="AL306" s="678" t="s">
        <v>3017</v>
      </c>
      <c r="AM306" s="571"/>
      <c r="AN306" s="679" t="s">
        <v>1050</v>
      </c>
      <c r="AO306" s="680" t="s">
        <v>326</v>
      </c>
      <c r="AP306" s="734" t="s">
        <v>2810</v>
      </c>
      <c r="AQ306" s="735" t="s">
        <v>1050</v>
      </c>
      <c r="AR306" s="873" t="s">
        <v>2811</v>
      </c>
      <c r="AS306" s="680" t="s">
        <v>326</v>
      </c>
      <c r="AT306" s="595"/>
      <c r="AU306" s="676" t="str">
        <f>image("https://www.pokebip.com/pages/icones/objets/balle-fer.png", 3)</f>
        <v/>
      </c>
      <c r="AV306" s="679" t="s">
        <v>2812</v>
      </c>
      <c r="AW306" s="673"/>
      <c r="AX306" s="866"/>
      <c r="AY306" s="571"/>
      <c r="AZ306" s="695" t="s">
        <v>325</v>
      </c>
      <c r="BA306" s="691" t="s">
        <v>101</v>
      </c>
      <c r="BB306" s="696"/>
      <c r="BC306" s="571"/>
      <c r="BD306" s="651" t="s">
        <v>468</v>
      </c>
      <c r="BE306" s="653">
        <v>98.0</v>
      </c>
      <c r="BF306" s="653">
        <v>45.0</v>
      </c>
      <c r="BG306" s="654">
        <v>70.0</v>
      </c>
      <c r="BH306" s="653">
        <v>40.0</v>
      </c>
      <c r="BI306" s="607"/>
      <c r="BJ306" s="655" t="s">
        <v>149</v>
      </c>
      <c r="BK306" s="703" t="s">
        <v>149</v>
      </c>
      <c r="BL306" s="610"/>
      <c r="BM306" s="657" t="s">
        <v>277</v>
      </c>
      <c r="BN306" s="658" t="s">
        <v>153</v>
      </c>
      <c r="BO306" s="607"/>
      <c r="BP306" s="659" t="s">
        <v>914</v>
      </c>
      <c r="BQ306" s="614"/>
      <c r="BR306" s="660" t="s">
        <v>4449</v>
      </c>
      <c r="BS306" s="614"/>
    </row>
    <row r="307" ht="15.75" customHeight="1">
      <c r="A307" s="841"/>
      <c r="B307" s="617" t="s">
        <v>2816</v>
      </c>
      <c r="C307" s="618"/>
      <c r="D307" s="619"/>
      <c r="E307" s="629">
        <v>50.0</v>
      </c>
      <c r="F307" s="621">
        <v>70.0</v>
      </c>
      <c r="G307" s="622">
        <v>100.0</v>
      </c>
      <c r="H307" s="623">
        <v>40.0</v>
      </c>
      <c r="I307" s="624">
        <v>40.0</v>
      </c>
      <c r="J307" s="625">
        <v>30.0</v>
      </c>
      <c r="K307" s="626">
        <v>330.0</v>
      </c>
      <c r="L307" s="627">
        <v>50.0</v>
      </c>
      <c r="M307" s="621">
        <v>70.0</v>
      </c>
      <c r="N307" s="622">
        <v>100.0</v>
      </c>
      <c r="O307" s="623">
        <v>40.0</v>
      </c>
      <c r="P307" s="624">
        <v>40.0</v>
      </c>
      <c r="Q307" s="625">
        <v>30.0</v>
      </c>
      <c r="R307" s="628">
        <v>330.0</v>
      </c>
      <c r="S307" s="629">
        <v>50.0</v>
      </c>
      <c r="T307" s="621">
        <v>70.0</v>
      </c>
      <c r="U307" s="622">
        <v>100.0</v>
      </c>
      <c r="V307" s="623">
        <v>40.0</v>
      </c>
      <c r="W307" s="624">
        <v>40.0</v>
      </c>
      <c r="X307" s="625">
        <v>30.0</v>
      </c>
      <c r="Y307" s="628">
        <f t="shared" si="1"/>
        <v>330</v>
      </c>
      <c r="Z307" s="619"/>
      <c r="AA307" s="630" t="str">
        <f t="shared" si="2"/>
        <v>#NAME?</v>
      </c>
      <c r="AB307" s="869" t="s">
        <v>95</v>
      </c>
      <c r="AC307" s="632" t="str">
        <f t="shared" si="3"/>
        <v>#NAME?</v>
      </c>
      <c r="AD307" s="870" t="s">
        <v>66</v>
      </c>
      <c r="AE307" s="633" t="str">
        <f t="shared" si="4"/>
        <v>#NAME?</v>
      </c>
      <c r="AF307" s="869" t="s">
        <v>95</v>
      </c>
      <c r="AG307" s="632" t="str">
        <f t="shared" si="5"/>
        <v>#NAME?</v>
      </c>
      <c r="AH307" s="634" t="s">
        <v>66</v>
      </c>
      <c r="AI307" s="635" t="str">
        <f t="shared" si="6"/>
        <v>#NAME?</v>
      </c>
      <c r="AJ307" s="634" t="s">
        <v>95</v>
      </c>
      <c r="AK307" s="636" t="str">
        <f t="shared" si="7"/>
        <v>#NAME?</v>
      </c>
      <c r="AL307" s="637" t="s">
        <v>66</v>
      </c>
      <c r="AM307" s="619"/>
      <c r="AN307" s="638" t="s">
        <v>825</v>
      </c>
      <c r="AO307" s="639" t="s">
        <v>824</v>
      </c>
      <c r="AP307" s="640" t="s">
        <v>824</v>
      </c>
      <c r="AQ307" s="641" t="s">
        <v>825</v>
      </c>
      <c r="AR307" s="642" t="s">
        <v>1165</v>
      </c>
      <c r="AS307" s="758" t="s">
        <v>825</v>
      </c>
      <c r="AT307" s="644"/>
      <c r="AU307" s="633" t="str">
        <f t="shared" ref="AU307:AU309" si="39">image("https://www.pokebip.com/pages/icones/objets/pierre-dure.png", 3)</f>
        <v/>
      </c>
      <c r="AV307" s="638" t="s">
        <v>2137</v>
      </c>
      <c r="AW307" s="630"/>
      <c r="AX307" s="647"/>
      <c r="AY307" s="619"/>
      <c r="AZ307" s="648" t="s">
        <v>101</v>
      </c>
      <c r="BA307" s="694"/>
      <c r="BB307" s="690"/>
      <c r="BC307" s="619"/>
      <c r="BD307" s="651" t="s">
        <v>683</v>
      </c>
      <c r="BE307" s="653">
        <v>96.0</v>
      </c>
      <c r="BF307" s="653">
        <v>180.0</v>
      </c>
      <c r="BG307" s="654">
        <v>35.0</v>
      </c>
      <c r="BH307" s="653">
        <v>80.0</v>
      </c>
      <c r="BI307" s="607"/>
      <c r="BJ307" s="655" t="s">
        <v>149</v>
      </c>
      <c r="BK307" s="703" t="s">
        <v>149</v>
      </c>
      <c r="BL307" s="610"/>
      <c r="BM307" s="657" t="s">
        <v>14</v>
      </c>
      <c r="BN307" s="704"/>
      <c r="BO307" s="607"/>
      <c r="BP307" s="659" t="s">
        <v>2820</v>
      </c>
      <c r="BQ307" s="614"/>
      <c r="BR307" s="660" t="s">
        <v>4437</v>
      </c>
      <c r="BS307" s="614"/>
    </row>
    <row r="308" ht="15.75" customHeight="1">
      <c r="A308" s="841"/>
      <c r="B308" s="661" t="s">
        <v>2824</v>
      </c>
      <c r="C308" s="662"/>
      <c r="D308" s="571"/>
      <c r="E308" s="672">
        <v>60.0</v>
      </c>
      <c r="F308" s="664">
        <v>90.0</v>
      </c>
      <c r="G308" s="665">
        <v>140.0</v>
      </c>
      <c r="H308" s="666">
        <v>50.0</v>
      </c>
      <c r="I308" s="667">
        <v>50.0</v>
      </c>
      <c r="J308" s="668">
        <v>40.0</v>
      </c>
      <c r="K308" s="669">
        <v>430.0</v>
      </c>
      <c r="L308" s="670">
        <v>60.0</v>
      </c>
      <c r="M308" s="664">
        <v>90.0</v>
      </c>
      <c r="N308" s="665">
        <v>140.0</v>
      </c>
      <c r="O308" s="666">
        <v>50.0</v>
      </c>
      <c r="P308" s="667">
        <v>50.0</v>
      </c>
      <c r="Q308" s="668">
        <v>40.0</v>
      </c>
      <c r="R308" s="671">
        <v>430.0</v>
      </c>
      <c r="S308" s="672">
        <v>60.0</v>
      </c>
      <c r="T308" s="664">
        <v>90.0</v>
      </c>
      <c r="U308" s="665">
        <v>140.0</v>
      </c>
      <c r="V308" s="666">
        <v>50.0</v>
      </c>
      <c r="W308" s="667">
        <v>50.0</v>
      </c>
      <c r="X308" s="668">
        <v>40.0</v>
      </c>
      <c r="Y308" s="671">
        <f t="shared" si="1"/>
        <v>430</v>
      </c>
      <c r="Z308" s="571"/>
      <c r="AA308" s="673" t="str">
        <f t="shared" si="2"/>
        <v>#NAME?</v>
      </c>
      <c r="AB308" s="871" t="s">
        <v>95</v>
      </c>
      <c r="AC308" s="675" t="str">
        <f t="shared" si="3"/>
        <v>#NAME?</v>
      </c>
      <c r="AD308" s="872" t="s">
        <v>66</v>
      </c>
      <c r="AE308" s="676" t="str">
        <f t="shared" si="4"/>
        <v>#NAME?</v>
      </c>
      <c r="AF308" s="871" t="s">
        <v>95</v>
      </c>
      <c r="AG308" s="675" t="str">
        <f t="shared" si="5"/>
        <v>#NAME?</v>
      </c>
      <c r="AH308" s="586" t="s">
        <v>66</v>
      </c>
      <c r="AI308" s="677" t="str">
        <f t="shared" si="6"/>
        <v>#NAME?</v>
      </c>
      <c r="AJ308" s="586" t="s">
        <v>95</v>
      </c>
      <c r="AK308" s="584" t="str">
        <f t="shared" si="7"/>
        <v>#NAME?</v>
      </c>
      <c r="AL308" s="678" t="s">
        <v>66</v>
      </c>
      <c r="AM308" s="571"/>
      <c r="AN308" s="679" t="s">
        <v>825</v>
      </c>
      <c r="AO308" s="680" t="s">
        <v>824</v>
      </c>
      <c r="AP308" s="681" t="s">
        <v>824</v>
      </c>
      <c r="AQ308" s="682" t="s">
        <v>825</v>
      </c>
      <c r="AR308" s="683" t="s">
        <v>1165</v>
      </c>
      <c r="AS308" s="684" t="s">
        <v>825</v>
      </c>
      <c r="AT308" s="595"/>
      <c r="AU308" s="676" t="str">
        <f t="shared" si="39"/>
        <v/>
      </c>
      <c r="AV308" s="679" t="s">
        <v>2137</v>
      </c>
      <c r="AW308" s="673"/>
      <c r="AX308" s="866"/>
      <c r="AY308" s="571"/>
      <c r="AZ308" s="689" t="s">
        <v>162</v>
      </c>
      <c r="BA308" s="690"/>
      <c r="BB308" s="696"/>
      <c r="BC308" s="571"/>
      <c r="BD308" s="651" t="s">
        <v>683</v>
      </c>
      <c r="BE308" s="653">
        <v>152.0</v>
      </c>
      <c r="BF308" s="653">
        <v>90.0</v>
      </c>
      <c r="BG308" s="654">
        <v>35.0</v>
      </c>
      <c r="BH308" s="653">
        <v>100.0</v>
      </c>
      <c r="BI308" s="607"/>
      <c r="BJ308" s="655" t="s">
        <v>149</v>
      </c>
      <c r="BK308" s="703" t="s">
        <v>149</v>
      </c>
      <c r="BL308" s="610"/>
      <c r="BM308" s="657" t="s">
        <v>14</v>
      </c>
      <c r="BN308" s="704"/>
      <c r="BO308" s="607"/>
      <c r="BP308" s="659" t="s">
        <v>4467</v>
      </c>
      <c r="BQ308" s="614"/>
      <c r="BR308" s="660" t="s">
        <v>4437</v>
      </c>
      <c r="BS308" s="614"/>
    </row>
    <row r="309" ht="15.75" customHeight="1">
      <c r="A309" s="841"/>
      <c r="B309" s="617" t="s">
        <v>2831</v>
      </c>
      <c r="C309" s="618"/>
      <c r="D309" s="619"/>
      <c r="E309" s="629">
        <v>70.0</v>
      </c>
      <c r="F309" s="750">
        <v>110.0</v>
      </c>
      <c r="G309" s="622">
        <v>180.0</v>
      </c>
      <c r="H309" s="623">
        <v>60.0</v>
      </c>
      <c r="I309" s="624">
        <v>60.0</v>
      </c>
      <c r="J309" s="625">
        <v>50.0</v>
      </c>
      <c r="K309" s="749">
        <v>530.0</v>
      </c>
      <c r="L309" s="627">
        <v>70.0</v>
      </c>
      <c r="M309" s="621">
        <v>110.0</v>
      </c>
      <c r="N309" s="622">
        <v>180.0</v>
      </c>
      <c r="O309" s="623">
        <v>60.0</v>
      </c>
      <c r="P309" s="624">
        <v>60.0</v>
      </c>
      <c r="Q309" s="625">
        <v>50.0</v>
      </c>
      <c r="R309" s="628">
        <v>530.0</v>
      </c>
      <c r="S309" s="629">
        <v>70.0</v>
      </c>
      <c r="T309" s="621">
        <v>110.0</v>
      </c>
      <c r="U309" s="622">
        <v>180.0</v>
      </c>
      <c r="V309" s="623">
        <v>60.0</v>
      </c>
      <c r="W309" s="624">
        <v>60.0</v>
      </c>
      <c r="X309" s="625">
        <v>50.0</v>
      </c>
      <c r="Y309" s="628">
        <f t="shared" si="1"/>
        <v>530</v>
      </c>
      <c r="Z309" s="619"/>
      <c r="AA309" s="630" t="str">
        <f t="shared" si="2"/>
        <v>#NAME?</v>
      </c>
      <c r="AB309" s="869" t="s">
        <v>95</v>
      </c>
      <c r="AC309" s="632" t="str">
        <f t="shared" si="3"/>
        <v>#NAME?</v>
      </c>
      <c r="AD309" s="870" t="s">
        <v>66</v>
      </c>
      <c r="AE309" s="633" t="str">
        <f t="shared" si="4"/>
        <v>#NAME?</v>
      </c>
      <c r="AF309" s="869" t="s">
        <v>95</v>
      </c>
      <c r="AG309" s="632" t="str">
        <f t="shared" si="5"/>
        <v>#NAME?</v>
      </c>
      <c r="AH309" s="634" t="s">
        <v>66</v>
      </c>
      <c r="AI309" s="635" t="str">
        <f t="shared" si="6"/>
        <v>#NAME?</v>
      </c>
      <c r="AJ309" s="634" t="s">
        <v>95</v>
      </c>
      <c r="AK309" s="636" t="str">
        <f t="shared" si="7"/>
        <v>#NAME?</v>
      </c>
      <c r="AL309" s="637" t="s">
        <v>66</v>
      </c>
      <c r="AM309" s="619"/>
      <c r="AN309" s="638" t="s">
        <v>825</v>
      </c>
      <c r="AO309" s="639" t="s">
        <v>824</v>
      </c>
      <c r="AP309" s="701" t="s">
        <v>824</v>
      </c>
      <c r="AQ309" s="740" t="s">
        <v>825</v>
      </c>
      <c r="AR309" s="702" t="s">
        <v>1165</v>
      </c>
      <c r="AS309" s="843" t="s">
        <v>825</v>
      </c>
      <c r="AT309" s="644"/>
      <c r="AU309" s="633" t="str">
        <f t="shared" si="39"/>
        <v/>
      </c>
      <c r="AV309" s="638" t="s">
        <v>2137</v>
      </c>
      <c r="AW309" s="630"/>
      <c r="AX309" s="647"/>
      <c r="AY309" s="619"/>
      <c r="AZ309" s="698" t="s">
        <v>717</v>
      </c>
      <c r="BA309" s="699"/>
      <c r="BB309" s="690"/>
      <c r="BC309" s="619"/>
      <c r="BD309" s="651" t="s">
        <v>683</v>
      </c>
      <c r="BE309" s="653">
        <v>205.0</v>
      </c>
      <c r="BF309" s="653">
        <v>45.0</v>
      </c>
      <c r="BG309" s="654">
        <v>35.0</v>
      </c>
      <c r="BH309" s="653">
        <v>120.0</v>
      </c>
      <c r="BI309" s="607"/>
      <c r="BJ309" s="655" t="s">
        <v>149</v>
      </c>
      <c r="BK309" s="703" t="s">
        <v>149</v>
      </c>
      <c r="BL309" s="610"/>
      <c r="BM309" s="657" t="s">
        <v>14</v>
      </c>
      <c r="BN309" s="704"/>
      <c r="BO309" s="607"/>
      <c r="BP309" s="659" t="s">
        <v>4468</v>
      </c>
      <c r="BQ309" s="614"/>
      <c r="BR309" s="660" t="s">
        <v>4437</v>
      </c>
      <c r="BS309" s="614"/>
    </row>
    <row r="310" ht="15.75" customHeight="1">
      <c r="A310" s="841"/>
      <c r="B310" s="661" t="s">
        <v>2839</v>
      </c>
      <c r="C310" s="662"/>
      <c r="D310" s="571"/>
      <c r="E310" s="672">
        <v>30.0</v>
      </c>
      <c r="F310" s="664">
        <v>40.0</v>
      </c>
      <c r="G310" s="665">
        <v>55.0</v>
      </c>
      <c r="H310" s="666">
        <v>40.0</v>
      </c>
      <c r="I310" s="667">
        <v>55.0</v>
      </c>
      <c r="J310" s="668">
        <v>60.0</v>
      </c>
      <c r="K310" s="669">
        <v>280.0</v>
      </c>
      <c r="L310" s="670">
        <v>30.0</v>
      </c>
      <c r="M310" s="664">
        <v>40.0</v>
      </c>
      <c r="N310" s="665">
        <v>55.0</v>
      </c>
      <c r="O310" s="666">
        <v>40.0</v>
      </c>
      <c r="P310" s="667">
        <v>55.0</v>
      </c>
      <c r="Q310" s="668">
        <v>60.0</v>
      </c>
      <c r="R310" s="671">
        <v>280.0</v>
      </c>
      <c r="S310" s="672">
        <v>30.0</v>
      </c>
      <c r="T310" s="664">
        <v>40.0</v>
      </c>
      <c r="U310" s="665">
        <v>55.0</v>
      </c>
      <c r="V310" s="743">
        <v>60.0</v>
      </c>
      <c r="W310" s="667">
        <v>55.0</v>
      </c>
      <c r="X310" s="668">
        <v>60.0</v>
      </c>
      <c r="Y310" s="671">
        <f t="shared" si="1"/>
        <v>300</v>
      </c>
      <c r="Z310" s="571"/>
      <c r="AA310" s="673" t="str">
        <f t="shared" si="2"/>
        <v>#NAME?</v>
      </c>
      <c r="AB310" s="871" t="s">
        <v>64</v>
      </c>
      <c r="AC310" s="675" t="str">
        <f t="shared" si="3"/>
        <v>#NAME?</v>
      </c>
      <c r="AD310" s="872" t="s">
        <v>122</v>
      </c>
      <c r="AE310" s="676" t="str">
        <f t="shared" si="4"/>
        <v>#NAME?</v>
      </c>
      <c r="AF310" s="871" t="s">
        <v>64</v>
      </c>
      <c r="AG310" s="675" t="str">
        <f t="shared" si="5"/>
        <v>#NAME?</v>
      </c>
      <c r="AH310" s="586" t="s">
        <v>122</v>
      </c>
      <c r="AI310" s="677" t="str">
        <f t="shared" si="6"/>
        <v>#NAME?</v>
      </c>
      <c r="AJ310" s="586" t="s">
        <v>64</v>
      </c>
      <c r="AK310" s="584" t="str">
        <f t="shared" si="7"/>
        <v>#NAME?</v>
      </c>
      <c r="AL310" s="678" t="s">
        <v>122</v>
      </c>
      <c r="AM310" s="571"/>
      <c r="AN310" s="679" t="s">
        <v>2844</v>
      </c>
      <c r="AO310" s="680"/>
      <c r="AP310" s="705" t="s">
        <v>2844</v>
      </c>
      <c r="AQ310" s="680"/>
      <c r="AR310" s="705" t="s">
        <v>2844</v>
      </c>
      <c r="AS310" s="680"/>
      <c r="AT310" s="595"/>
      <c r="AU310" s="676"/>
      <c r="AV310" s="679"/>
      <c r="AW310" s="673"/>
      <c r="AX310" s="866"/>
      <c r="AY310" s="571"/>
      <c r="AZ310" s="695" t="s">
        <v>56</v>
      </c>
      <c r="BA310" s="700"/>
      <c r="BB310" s="690"/>
      <c r="BC310" s="571"/>
      <c r="BD310" s="651" t="s">
        <v>150</v>
      </c>
      <c r="BE310" s="653">
        <v>91.0</v>
      </c>
      <c r="BF310" s="653">
        <v>180.0</v>
      </c>
      <c r="BG310" s="654">
        <v>70.0</v>
      </c>
      <c r="BH310" s="653">
        <v>40.0</v>
      </c>
      <c r="BI310" s="607"/>
      <c r="BJ310" s="655" t="s">
        <v>149</v>
      </c>
      <c r="BK310" s="703" t="s">
        <v>149</v>
      </c>
      <c r="BL310" s="610"/>
      <c r="BM310" s="657" t="s">
        <v>728</v>
      </c>
      <c r="BN310" s="704"/>
      <c r="BO310" s="607"/>
      <c r="BP310" s="659" t="s">
        <v>2846</v>
      </c>
      <c r="BQ310" s="614"/>
      <c r="BR310" s="660" t="s">
        <v>4430</v>
      </c>
      <c r="BS310" s="614"/>
    </row>
    <row r="311" ht="15.75" customHeight="1">
      <c r="A311" s="841"/>
      <c r="B311" s="617" t="s">
        <v>2849</v>
      </c>
      <c r="C311" s="618"/>
      <c r="D311" s="619"/>
      <c r="E311" s="629">
        <v>60.0</v>
      </c>
      <c r="F311" s="621">
        <v>60.0</v>
      </c>
      <c r="G311" s="622">
        <v>75.0</v>
      </c>
      <c r="H311" s="748">
        <v>60.0</v>
      </c>
      <c r="I311" s="624">
        <v>75.0</v>
      </c>
      <c r="J311" s="625">
        <v>80.0</v>
      </c>
      <c r="K311" s="749">
        <v>410.0</v>
      </c>
      <c r="L311" s="627">
        <v>60.0</v>
      </c>
      <c r="M311" s="621">
        <v>60.0</v>
      </c>
      <c r="N311" s="622">
        <v>75.0</v>
      </c>
      <c r="O311" s="623">
        <v>60.0</v>
      </c>
      <c r="P311" s="624">
        <v>75.0</v>
      </c>
      <c r="Q311" s="625">
        <v>80.0</v>
      </c>
      <c r="R311" s="628">
        <v>410.0</v>
      </c>
      <c r="S311" s="629">
        <v>60.0</v>
      </c>
      <c r="T311" s="621">
        <v>60.0</v>
      </c>
      <c r="U311" s="751">
        <v>80.0</v>
      </c>
      <c r="V311" s="748">
        <v>80.0</v>
      </c>
      <c r="W311" s="752">
        <v>80.0</v>
      </c>
      <c r="X311" s="753">
        <v>90.0</v>
      </c>
      <c r="Y311" s="628">
        <f t="shared" si="1"/>
        <v>450</v>
      </c>
      <c r="Z311" s="619"/>
      <c r="AA311" s="630" t="str">
        <f t="shared" si="2"/>
        <v>#NAME?</v>
      </c>
      <c r="AB311" s="869" t="s">
        <v>64</v>
      </c>
      <c r="AC311" s="632" t="str">
        <f t="shared" si="3"/>
        <v>#NAME?</v>
      </c>
      <c r="AD311" s="870" t="s">
        <v>122</v>
      </c>
      <c r="AE311" s="633" t="str">
        <f t="shared" si="4"/>
        <v>#NAME?</v>
      </c>
      <c r="AF311" s="869" t="s">
        <v>64</v>
      </c>
      <c r="AG311" s="632" t="str">
        <f t="shared" si="5"/>
        <v>#NAME?</v>
      </c>
      <c r="AH311" s="634" t="s">
        <v>122</v>
      </c>
      <c r="AI311" s="635" t="str">
        <f t="shared" si="6"/>
        <v>#NAME?</v>
      </c>
      <c r="AJ311" s="634" t="s">
        <v>64</v>
      </c>
      <c r="AK311" s="636" t="str">
        <f t="shared" si="7"/>
        <v>#NAME?</v>
      </c>
      <c r="AL311" s="637" t="s">
        <v>122</v>
      </c>
      <c r="AM311" s="619"/>
      <c r="AN311" s="638" t="s">
        <v>2844</v>
      </c>
      <c r="AO311" s="639"/>
      <c r="AP311" s="712" t="s">
        <v>2844</v>
      </c>
      <c r="AQ311" s="639"/>
      <c r="AR311" s="712" t="s">
        <v>2844</v>
      </c>
      <c r="AS311" s="639"/>
      <c r="AT311" s="644"/>
      <c r="AU311" s="633"/>
      <c r="AV311" s="638"/>
      <c r="AW311" s="630"/>
      <c r="AX311" s="647"/>
      <c r="AY311" s="619"/>
      <c r="AZ311" s="698" t="s">
        <v>248</v>
      </c>
      <c r="BA311" s="690"/>
      <c r="BB311" s="650"/>
      <c r="BC311" s="619"/>
      <c r="BD311" s="651" t="s">
        <v>150</v>
      </c>
      <c r="BE311" s="653">
        <v>153.0</v>
      </c>
      <c r="BF311" s="653">
        <v>90.0</v>
      </c>
      <c r="BG311" s="654">
        <v>70.0</v>
      </c>
      <c r="BH311" s="653">
        <v>60.0</v>
      </c>
      <c r="BI311" s="607"/>
      <c r="BJ311" s="655" t="s">
        <v>149</v>
      </c>
      <c r="BK311" s="703" t="s">
        <v>149</v>
      </c>
      <c r="BL311" s="610"/>
      <c r="BM311" s="657" t="s">
        <v>728</v>
      </c>
      <c r="BN311" s="704"/>
      <c r="BO311" s="607"/>
      <c r="BP311" s="659" t="s">
        <v>4469</v>
      </c>
      <c r="BQ311" s="614"/>
      <c r="BR311" s="660" t="s">
        <v>4429</v>
      </c>
      <c r="BS311" s="614"/>
    </row>
    <row r="312" ht="15.75" customHeight="1">
      <c r="A312" s="841"/>
      <c r="B312" s="661" t="s">
        <v>2858</v>
      </c>
      <c r="C312" s="662"/>
      <c r="D312" s="571"/>
      <c r="E312" s="672">
        <v>40.0</v>
      </c>
      <c r="F312" s="664">
        <v>45.0</v>
      </c>
      <c r="G312" s="665">
        <v>40.0</v>
      </c>
      <c r="H312" s="666">
        <v>65.0</v>
      </c>
      <c r="I312" s="667">
        <v>40.0</v>
      </c>
      <c r="J312" s="668">
        <v>65.0</v>
      </c>
      <c r="K312" s="669">
        <v>295.0</v>
      </c>
      <c r="L312" s="670">
        <v>40.0</v>
      </c>
      <c r="M312" s="664">
        <v>45.0</v>
      </c>
      <c r="N312" s="665">
        <v>40.0</v>
      </c>
      <c r="O312" s="666">
        <v>65.0</v>
      </c>
      <c r="P312" s="667">
        <v>40.0</v>
      </c>
      <c r="Q312" s="668">
        <v>65.0</v>
      </c>
      <c r="R312" s="671">
        <v>295.0</v>
      </c>
      <c r="S312" s="672">
        <v>40.0</v>
      </c>
      <c r="T312" s="664">
        <v>45.0</v>
      </c>
      <c r="U312" s="665">
        <v>40.0</v>
      </c>
      <c r="V312" s="666">
        <v>65.0</v>
      </c>
      <c r="W312" s="667">
        <v>40.0</v>
      </c>
      <c r="X312" s="668">
        <v>65.0</v>
      </c>
      <c r="Y312" s="671">
        <f t="shared" si="1"/>
        <v>295</v>
      </c>
      <c r="Z312" s="571"/>
      <c r="AA312" s="673" t="str">
        <f t="shared" si="2"/>
        <v>#NAME?</v>
      </c>
      <c r="AB312" s="871" t="s">
        <v>197</v>
      </c>
      <c r="AC312" s="675" t="str">
        <f t="shared" si="3"/>
        <v>#NAME?</v>
      </c>
      <c r="AD312" s="872" t="s">
        <v>4428</v>
      </c>
      <c r="AE312" s="676" t="str">
        <f t="shared" si="4"/>
        <v>#NAME?</v>
      </c>
      <c r="AF312" s="871" t="s">
        <v>197</v>
      </c>
      <c r="AG312" s="675" t="str">
        <f t="shared" si="5"/>
        <v>#NAME?</v>
      </c>
      <c r="AH312" s="586" t="s">
        <v>4428</v>
      </c>
      <c r="AI312" s="677" t="str">
        <f t="shared" si="6"/>
        <v>#NAME?</v>
      </c>
      <c r="AJ312" s="586" t="s">
        <v>197</v>
      </c>
      <c r="AK312" s="584" t="str">
        <f t="shared" si="7"/>
        <v>#NAME?</v>
      </c>
      <c r="AL312" s="678" t="s">
        <v>4428</v>
      </c>
      <c r="AM312" s="571"/>
      <c r="AN312" s="679" t="s">
        <v>352</v>
      </c>
      <c r="AO312" s="680" t="s">
        <v>353</v>
      </c>
      <c r="AP312" s="705" t="s">
        <v>352</v>
      </c>
      <c r="AQ312" s="680" t="s">
        <v>353</v>
      </c>
      <c r="AR312" s="705" t="s">
        <v>352</v>
      </c>
      <c r="AS312" s="680" t="s">
        <v>353</v>
      </c>
      <c r="AT312" s="595"/>
      <c r="AU312" s="676"/>
      <c r="AV312" s="679"/>
      <c r="AW312" s="673"/>
      <c r="AX312" s="866"/>
      <c r="AY312" s="571"/>
      <c r="AZ312" s="695" t="s">
        <v>56</v>
      </c>
      <c r="BA312" s="700"/>
      <c r="BB312" s="690"/>
      <c r="BC312" s="571"/>
      <c r="BD312" s="651" t="s">
        <v>683</v>
      </c>
      <c r="BE312" s="653">
        <v>104.0</v>
      </c>
      <c r="BF312" s="653">
        <v>120.0</v>
      </c>
      <c r="BG312" s="654">
        <v>70.0</v>
      </c>
      <c r="BH312" s="653">
        <v>40.0</v>
      </c>
      <c r="BI312" s="607"/>
      <c r="BJ312" s="655" t="s">
        <v>149</v>
      </c>
      <c r="BK312" s="703" t="s">
        <v>149</v>
      </c>
      <c r="BL312" s="610"/>
      <c r="BM312" s="657" t="s">
        <v>277</v>
      </c>
      <c r="BN312" s="704"/>
      <c r="BO312" s="607"/>
      <c r="BP312" s="659" t="s">
        <v>2862</v>
      </c>
      <c r="BQ312" s="614"/>
      <c r="BR312" s="660" t="s">
        <v>4427</v>
      </c>
      <c r="BS312" s="614"/>
    </row>
    <row r="313" ht="15.75" customHeight="1">
      <c r="A313" s="841"/>
      <c r="B313" s="617" t="s">
        <v>2867</v>
      </c>
      <c r="C313" s="618"/>
      <c r="D313" s="619"/>
      <c r="E313" s="629">
        <v>70.0</v>
      </c>
      <c r="F313" s="621">
        <v>75.0</v>
      </c>
      <c r="G313" s="622">
        <v>60.0</v>
      </c>
      <c r="H313" s="623">
        <v>105.0</v>
      </c>
      <c r="I313" s="624">
        <v>60.0</v>
      </c>
      <c r="J313" s="625">
        <v>105.0</v>
      </c>
      <c r="K313" s="626">
        <v>475.0</v>
      </c>
      <c r="L313" s="627">
        <v>70.0</v>
      </c>
      <c r="M313" s="621">
        <v>75.0</v>
      </c>
      <c r="N313" s="622">
        <v>60.0</v>
      </c>
      <c r="O313" s="623">
        <v>105.0</v>
      </c>
      <c r="P313" s="624">
        <v>60.0</v>
      </c>
      <c r="Q313" s="625">
        <v>105.0</v>
      </c>
      <c r="R313" s="628">
        <v>475.0</v>
      </c>
      <c r="S313" s="629">
        <v>70.0</v>
      </c>
      <c r="T313" s="621">
        <v>75.0</v>
      </c>
      <c r="U313" s="622">
        <v>60.0</v>
      </c>
      <c r="V313" s="623">
        <v>105.0</v>
      </c>
      <c r="W313" s="624">
        <v>60.0</v>
      </c>
      <c r="X313" s="625">
        <v>105.0</v>
      </c>
      <c r="Y313" s="628">
        <f t="shared" si="1"/>
        <v>475</v>
      </c>
      <c r="Z313" s="619"/>
      <c r="AA313" s="630" t="str">
        <f t="shared" si="2"/>
        <v>#NAME?</v>
      </c>
      <c r="AB313" s="869" t="s">
        <v>197</v>
      </c>
      <c r="AC313" s="632" t="str">
        <f t="shared" si="3"/>
        <v>#NAME?</v>
      </c>
      <c r="AD313" s="870" t="s">
        <v>4428</v>
      </c>
      <c r="AE313" s="633" t="str">
        <f t="shared" si="4"/>
        <v>#NAME?</v>
      </c>
      <c r="AF313" s="869" t="s">
        <v>197</v>
      </c>
      <c r="AG313" s="632" t="str">
        <f t="shared" si="5"/>
        <v>#NAME?</v>
      </c>
      <c r="AH313" s="634" t="s">
        <v>4428</v>
      </c>
      <c r="AI313" s="635" t="str">
        <f t="shared" si="6"/>
        <v>#NAME?</v>
      </c>
      <c r="AJ313" s="634" t="s">
        <v>197</v>
      </c>
      <c r="AK313" s="636" t="str">
        <f t="shared" si="7"/>
        <v>#NAME?</v>
      </c>
      <c r="AL313" s="637" t="s">
        <v>4428</v>
      </c>
      <c r="AM313" s="619"/>
      <c r="AN313" s="638" t="s">
        <v>352</v>
      </c>
      <c r="AO313" s="639" t="s">
        <v>353</v>
      </c>
      <c r="AP313" s="712" t="s">
        <v>352</v>
      </c>
      <c r="AQ313" s="639" t="s">
        <v>353</v>
      </c>
      <c r="AR313" s="712" t="s">
        <v>352</v>
      </c>
      <c r="AS313" s="639" t="s">
        <v>353</v>
      </c>
      <c r="AT313" s="644"/>
      <c r="AU313" s="633"/>
      <c r="AV313" s="638"/>
      <c r="AW313" s="630"/>
      <c r="AX313" s="647"/>
      <c r="AY313" s="619"/>
      <c r="AZ313" s="698" t="s">
        <v>248</v>
      </c>
      <c r="BA313" s="690"/>
      <c r="BB313" s="650"/>
      <c r="BC313" s="619"/>
      <c r="BD313" s="651" t="s">
        <v>683</v>
      </c>
      <c r="BE313" s="653">
        <v>168.0</v>
      </c>
      <c r="BF313" s="653">
        <v>45.0</v>
      </c>
      <c r="BG313" s="654">
        <v>70.0</v>
      </c>
      <c r="BH313" s="653">
        <v>60.0</v>
      </c>
      <c r="BI313" s="607"/>
      <c r="BJ313" s="655" t="s">
        <v>149</v>
      </c>
      <c r="BK313" s="703" t="s">
        <v>149</v>
      </c>
      <c r="BL313" s="610"/>
      <c r="BM313" s="657" t="s">
        <v>277</v>
      </c>
      <c r="BN313" s="704"/>
      <c r="BO313" s="607"/>
      <c r="BP313" s="659" t="s">
        <v>2871</v>
      </c>
      <c r="BQ313" s="614"/>
      <c r="BR313" s="660" t="s">
        <v>4433</v>
      </c>
      <c r="BS313" s="614"/>
    </row>
    <row r="314" ht="15.75" customHeight="1">
      <c r="A314" s="841"/>
      <c r="B314" s="661" t="s">
        <v>2876</v>
      </c>
      <c r="C314" s="662"/>
      <c r="D314" s="571"/>
      <c r="E314" s="672">
        <v>60.0</v>
      </c>
      <c r="F314" s="664">
        <v>50.0</v>
      </c>
      <c r="G314" s="665">
        <v>40.0</v>
      </c>
      <c r="H314" s="666">
        <v>85.0</v>
      </c>
      <c r="I314" s="667">
        <v>75.0</v>
      </c>
      <c r="J314" s="668">
        <v>95.0</v>
      </c>
      <c r="K314" s="669">
        <v>405.0</v>
      </c>
      <c r="L314" s="670">
        <v>60.0</v>
      </c>
      <c r="M314" s="664">
        <v>50.0</v>
      </c>
      <c r="N314" s="665">
        <v>40.0</v>
      </c>
      <c r="O314" s="666">
        <v>85.0</v>
      </c>
      <c r="P314" s="667">
        <v>75.0</v>
      </c>
      <c r="Q314" s="668">
        <v>95.0</v>
      </c>
      <c r="R314" s="671">
        <v>405.0</v>
      </c>
      <c r="S314" s="672">
        <v>60.0</v>
      </c>
      <c r="T314" s="664">
        <v>50.0</v>
      </c>
      <c r="U314" s="742">
        <v>50.0</v>
      </c>
      <c r="V314" s="743">
        <v>95.0</v>
      </c>
      <c r="W314" s="744">
        <v>85.0</v>
      </c>
      <c r="X314" s="745">
        <v>110.0</v>
      </c>
      <c r="Y314" s="671">
        <f t="shared" si="1"/>
        <v>450</v>
      </c>
      <c r="Z314" s="571"/>
      <c r="AA314" s="673" t="str">
        <f t="shared" si="2"/>
        <v>#NAME?</v>
      </c>
      <c r="AB314" s="871" t="s">
        <v>197</v>
      </c>
      <c r="AC314" s="675" t="str">
        <f t="shared" si="3"/>
        <v>#NAME?</v>
      </c>
      <c r="AD314" s="872" t="s">
        <v>4428</v>
      </c>
      <c r="AE314" s="676" t="str">
        <f t="shared" si="4"/>
        <v>#NAME?</v>
      </c>
      <c r="AF314" s="871" t="s">
        <v>197</v>
      </c>
      <c r="AG314" s="675" t="str">
        <f t="shared" si="5"/>
        <v>#NAME?</v>
      </c>
      <c r="AH314" s="586" t="s">
        <v>4428</v>
      </c>
      <c r="AI314" s="677" t="str">
        <f t="shared" si="6"/>
        <v>#NAME?</v>
      </c>
      <c r="AJ314" s="586" t="s">
        <v>197</v>
      </c>
      <c r="AK314" s="584" t="str">
        <f t="shared" si="7"/>
        <v>#NAME?</v>
      </c>
      <c r="AL314" s="678" t="s">
        <v>4428</v>
      </c>
      <c r="AM314" s="571"/>
      <c r="AN314" s="679" t="s">
        <v>2879</v>
      </c>
      <c r="AO314" s="680"/>
      <c r="AP314" s="705" t="s">
        <v>2879</v>
      </c>
      <c r="AQ314" s="722" t="s">
        <v>354</v>
      </c>
      <c r="AR314" s="705" t="s">
        <v>2879</v>
      </c>
      <c r="AS314" s="722" t="s">
        <v>354</v>
      </c>
      <c r="AT314" s="595"/>
      <c r="AU314" s="676"/>
      <c r="AV314" s="679"/>
      <c r="AW314" s="673"/>
      <c r="AX314" s="866"/>
      <c r="AY314" s="571"/>
      <c r="AZ314" s="695" t="s">
        <v>56</v>
      </c>
      <c r="BA314" s="700"/>
      <c r="BB314" s="690"/>
      <c r="BC314" s="571"/>
      <c r="BD314" s="651" t="s">
        <v>150</v>
      </c>
      <c r="BE314" s="653">
        <v>120.0</v>
      </c>
      <c r="BF314" s="653">
        <v>200.0</v>
      </c>
      <c r="BG314" s="654">
        <v>70.0</v>
      </c>
      <c r="BH314" s="653">
        <v>20.0</v>
      </c>
      <c r="BI314" s="607"/>
      <c r="BJ314" s="655" t="s">
        <v>149</v>
      </c>
      <c r="BK314" s="703" t="s">
        <v>149</v>
      </c>
      <c r="BL314" s="610"/>
      <c r="BM314" s="657" t="s">
        <v>153</v>
      </c>
      <c r="BN314" s="704"/>
      <c r="BO314" s="607"/>
      <c r="BP314" s="659" t="s">
        <v>914</v>
      </c>
      <c r="BQ314" s="614"/>
      <c r="BR314" s="660" t="s">
        <v>4433</v>
      </c>
      <c r="BS314" s="614"/>
    </row>
    <row r="315" ht="15.75" customHeight="1">
      <c r="A315" s="841"/>
      <c r="B315" s="617" t="s">
        <v>2884</v>
      </c>
      <c r="C315" s="618"/>
      <c r="D315" s="619"/>
      <c r="E315" s="629">
        <v>60.0</v>
      </c>
      <c r="F315" s="621">
        <v>40.0</v>
      </c>
      <c r="G315" s="622">
        <v>50.0</v>
      </c>
      <c r="H315" s="748">
        <v>75.0</v>
      </c>
      <c r="I315" s="624">
        <v>85.0</v>
      </c>
      <c r="J315" s="625">
        <v>95.0</v>
      </c>
      <c r="K315" s="749">
        <v>405.0</v>
      </c>
      <c r="L315" s="627">
        <v>60.0</v>
      </c>
      <c r="M315" s="621">
        <v>40.0</v>
      </c>
      <c r="N315" s="622">
        <v>50.0</v>
      </c>
      <c r="O315" s="623">
        <v>75.0</v>
      </c>
      <c r="P315" s="624">
        <v>85.0</v>
      </c>
      <c r="Q315" s="625">
        <v>95.0</v>
      </c>
      <c r="R315" s="628">
        <v>405.0</v>
      </c>
      <c r="S315" s="629">
        <v>60.0</v>
      </c>
      <c r="T315" s="750">
        <v>50.0</v>
      </c>
      <c r="U315" s="622">
        <v>50.0</v>
      </c>
      <c r="V315" s="748">
        <v>85.0</v>
      </c>
      <c r="W315" s="752">
        <v>95.0</v>
      </c>
      <c r="X315" s="753">
        <v>110.0</v>
      </c>
      <c r="Y315" s="628">
        <f t="shared" si="1"/>
        <v>450</v>
      </c>
      <c r="Z315" s="619"/>
      <c r="AA315" s="630" t="str">
        <f t="shared" si="2"/>
        <v>#NAME?</v>
      </c>
      <c r="AB315" s="869" t="s">
        <v>197</v>
      </c>
      <c r="AC315" s="632" t="str">
        <f t="shared" si="3"/>
        <v>#NAME?</v>
      </c>
      <c r="AD315" s="870" t="s">
        <v>4428</v>
      </c>
      <c r="AE315" s="633" t="str">
        <f t="shared" si="4"/>
        <v>#NAME?</v>
      </c>
      <c r="AF315" s="869" t="s">
        <v>197</v>
      </c>
      <c r="AG315" s="632" t="str">
        <f t="shared" si="5"/>
        <v>#NAME?</v>
      </c>
      <c r="AH315" s="634" t="s">
        <v>4428</v>
      </c>
      <c r="AI315" s="635" t="str">
        <f t="shared" si="6"/>
        <v>#NAME?</v>
      </c>
      <c r="AJ315" s="634" t="s">
        <v>197</v>
      </c>
      <c r="AK315" s="636" t="str">
        <f t="shared" si="7"/>
        <v>#NAME?</v>
      </c>
      <c r="AL315" s="637" t="s">
        <v>4428</v>
      </c>
      <c r="AM315" s="619"/>
      <c r="AN315" s="638" t="s">
        <v>2887</v>
      </c>
      <c r="AO315" s="639"/>
      <c r="AP315" s="712" t="s">
        <v>2887</v>
      </c>
      <c r="AQ315" s="714" t="s">
        <v>2888</v>
      </c>
      <c r="AR315" s="712" t="s">
        <v>2887</v>
      </c>
      <c r="AS315" s="714" t="s">
        <v>2888</v>
      </c>
      <c r="AT315" s="644"/>
      <c r="AU315" s="633"/>
      <c r="AV315" s="638"/>
      <c r="AW315" s="630"/>
      <c r="AX315" s="647"/>
      <c r="AY315" s="619"/>
      <c r="AZ315" s="648" t="s">
        <v>56</v>
      </c>
      <c r="BA315" s="694"/>
      <c r="BB315" s="690"/>
      <c r="BC315" s="619"/>
      <c r="BD315" s="651" t="s">
        <v>150</v>
      </c>
      <c r="BE315" s="653">
        <v>120.0</v>
      </c>
      <c r="BF315" s="653">
        <v>200.0</v>
      </c>
      <c r="BG315" s="654">
        <v>70.0</v>
      </c>
      <c r="BH315" s="653">
        <v>20.0</v>
      </c>
      <c r="BI315" s="607"/>
      <c r="BJ315" s="655" t="s">
        <v>149</v>
      </c>
      <c r="BK315" s="703" t="s">
        <v>149</v>
      </c>
      <c r="BL315" s="610"/>
      <c r="BM315" s="657" t="s">
        <v>153</v>
      </c>
      <c r="BN315" s="704"/>
      <c r="BO315" s="607"/>
      <c r="BP315" s="659" t="s">
        <v>914</v>
      </c>
      <c r="BQ315" s="614"/>
      <c r="BR315" s="660" t="s">
        <v>4433</v>
      </c>
      <c r="BS315" s="614"/>
    </row>
    <row r="316" ht="15.75" customHeight="1">
      <c r="A316" s="841"/>
      <c r="B316" s="661" t="s">
        <v>2893</v>
      </c>
      <c r="C316" s="662"/>
      <c r="D316" s="571"/>
      <c r="E316" s="672">
        <v>65.0</v>
      </c>
      <c r="F316" s="664">
        <v>73.0</v>
      </c>
      <c r="G316" s="665">
        <v>55.0</v>
      </c>
      <c r="H316" s="666">
        <v>47.0</v>
      </c>
      <c r="I316" s="667">
        <v>75.0</v>
      </c>
      <c r="J316" s="668">
        <v>85.0</v>
      </c>
      <c r="K316" s="669">
        <v>400.0</v>
      </c>
      <c r="L316" s="670">
        <v>65.0</v>
      </c>
      <c r="M316" s="664">
        <v>73.0</v>
      </c>
      <c r="N316" s="665">
        <v>75.0</v>
      </c>
      <c r="O316" s="666">
        <v>47.0</v>
      </c>
      <c r="P316" s="667">
        <v>85.0</v>
      </c>
      <c r="Q316" s="668">
        <v>85.0</v>
      </c>
      <c r="R316" s="671">
        <v>430.0</v>
      </c>
      <c r="S316" s="672">
        <v>65.0</v>
      </c>
      <c r="T316" s="741">
        <v>33.0</v>
      </c>
      <c r="U316" s="665">
        <v>75.0</v>
      </c>
      <c r="V316" s="743">
        <v>107.0</v>
      </c>
      <c r="W316" s="667">
        <v>85.0</v>
      </c>
      <c r="X316" s="745">
        <v>100.0</v>
      </c>
      <c r="Y316" s="671">
        <f t="shared" si="1"/>
        <v>465</v>
      </c>
      <c r="Z316" s="571"/>
      <c r="AA316" s="673" t="str">
        <f t="shared" si="2"/>
        <v>#NAME?</v>
      </c>
      <c r="AB316" s="871" t="s">
        <v>109</v>
      </c>
      <c r="AC316" s="675" t="str">
        <f t="shared" si="3"/>
        <v>#NAME?</v>
      </c>
      <c r="AD316" s="872" t="s">
        <v>4428</v>
      </c>
      <c r="AE316" s="676" t="str">
        <f t="shared" si="4"/>
        <v>#NAME?</v>
      </c>
      <c r="AF316" s="871" t="s">
        <v>109</v>
      </c>
      <c r="AG316" s="675" t="str">
        <f t="shared" si="5"/>
        <v>#NAME?</v>
      </c>
      <c r="AH316" s="586" t="s">
        <v>4428</v>
      </c>
      <c r="AI316" s="677" t="str">
        <f t="shared" si="6"/>
        <v>#NAME?</v>
      </c>
      <c r="AJ316" s="586" t="s">
        <v>109</v>
      </c>
      <c r="AK316" s="738" t="str">
        <f t="shared" si="7"/>
        <v>#NAME?</v>
      </c>
      <c r="AL316" s="852" t="s">
        <v>4470</v>
      </c>
      <c r="AM316" s="571"/>
      <c r="AN316" s="679" t="s">
        <v>1256</v>
      </c>
      <c r="AO316" s="680" t="s">
        <v>217</v>
      </c>
      <c r="AP316" s="734" t="s">
        <v>217</v>
      </c>
      <c r="AQ316" s="682" t="s">
        <v>1256</v>
      </c>
      <c r="AR316" s="736" t="s">
        <v>2899</v>
      </c>
      <c r="AS316" s="684" t="s">
        <v>1256</v>
      </c>
      <c r="AT316" s="595"/>
      <c r="AU316" s="676" t="str">
        <f t="shared" ref="AU316:AU317" si="40">image("https://www.pokebip.com/pages/icones/objets/poudre-claire.png", 3)</f>
        <v/>
      </c>
      <c r="AV316" s="679" t="s">
        <v>2491</v>
      </c>
      <c r="AW316" s="673"/>
      <c r="AX316" s="866"/>
      <c r="AY316" s="571"/>
      <c r="AZ316" s="695" t="s">
        <v>56</v>
      </c>
      <c r="BA316" s="700"/>
      <c r="BB316" s="690"/>
      <c r="BC316" s="571"/>
      <c r="BD316" s="651" t="s">
        <v>2698</v>
      </c>
      <c r="BE316" s="653">
        <v>146.0</v>
      </c>
      <c r="BF316" s="653">
        <v>150.0</v>
      </c>
      <c r="BG316" s="654">
        <v>70.0</v>
      </c>
      <c r="BH316" s="653">
        <v>40.0</v>
      </c>
      <c r="BI316" s="607"/>
      <c r="BJ316" s="655" t="s">
        <v>397</v>
      </c>
      <c r="BK316" s="725">
        <v>0.0</v>
      </c>
      <c r="BL316" s="610"/>
      <c r="BM316" s="657" t="s">
        <v>109</v>
      </c>
      <c r="BN316" s="658" t="s">
        <v>728</v>
      </c>
      <c r="BO316" s="607"/>
      <c r="BP316" s="659" t="s">
        <v>914</v>
      </c>
      <c r="BQ316" s="614"/>
      <c r="BR316" s="660" t="s">
        <v>4437</v>
      </c>
      <c r="BS316" s="614"/>
    </row>
    <row r="317" ht="15.75" customHeight="1">
      <c r="A317" s="841"/>
      <c r="B317" s="617" t="s">
        <v>2905</v>
      </c>
      <c r="C317" s="618"/>
      <c r="D317" s="619"/>
      <c r="E317" s="629">
        <v>65.0</v>
      </c>
      <c r="F317" s="621">
        <v>47.0</v>
      </c>
      <c r="G317" s="622">
        <v>55.0</v>
      </c>
      <c r="H317" s="623">
        <v>73.0</v>
      </c>
      <c r="I317" s="624">
        <v>75.0</v>
      </c>
      <c r="J317" s="625">
        <v>85.0</v>
      </c>
      <c r="K317" s="626">
        <v>400.0</v>
      </c>
      <c r="L317" s="627">
        <v>65.0</v>
      </c>
      <c r="M317" s="621">
        <v>47.0</v>
      </c>
      <c r="N317" s="622">
        <v>75.0</v>
      </c>
      <c r="O317" s="623">
        <v>73.0</v>
      </c>
      <c r="P317" s="624">
        <v>85.0</v>
      </c>
      <c r="Q317" s="625">
        <v>85.0</v>
      </c>
      <c r="R317" s="628">
        <v>430.0</v>
      </c>
      <c r="S317" s="629">
        <v>65.0</v>
      </c>
      <c r="T317" s="750">
        <v>33.0</v>
      </c>
      <c r="U317" s="751">
        <v>85.0</v>
      </c>
      <c r="V317" s="748">
        <v>97.0</v>
      </c>
      <c r="W317" s="624">
        <v>85.0</v>
      </c>
      <c r="X317" s="753">
        <v>100.0</v>
      </c>
      <c r="Y317" s="628">
        <f t="shared" si="1"/>
        <v>465</v>
      </c>
      <c r="Z317" s="619"/>
      <c r="AA317" s="630" t="str">
        <f t="shared" si="2"/>
        <v>#NAME?</v>
      </c>
      <c r="AB317" s="869" t="s">
        <v>109</v>
      </c>
      <c r="AC317" s="632" t="str">
        <f t="shared" si="3"/>
        <v>#NAME?</v>
      </c>
      <c r="AD317" s="870" t="s">
        <v>4428</v>
      </c>
      <c r="AE317" s="633" t="str">
        <f t="shared" si="4"/>
        <v>#NAME?</v>
      </c>
      <c r="AF317" s="869" t="s">
        <v>109</v>
      </c>
      <c r="AG317" s="632" t="str">
        <f t="shared" si="5"/>
        <v>#NAME?</v>
      </c>
      <c r="AH317" s="634" t="s">
        <v>4428</v>
      </c>
      <c r="AI317" s="635" t="str">
        <f t="shared" si="6"/>
        <v>#NAME?</v>
      </c>
      <c r="AJ317" s="634" t="s">
        <v>109</v>
      </c>
      <c r="AK317" s="754" t="str">
        <f t="shared" si="7"/>
        <v>#NAME?</v>
      </c>
      <c r="AL317" s="755" t="s">
        <v>3017</v>
      </c>
      <c r="AM317" s="619"/>
      <c r="AN317" s="638" t="s">
        <v>870</v>
      </c>
      <c r="AO317" s="639" t="s">
        <v>179</v>
      </c>
      <c r="AP317" s="640" t="s">
        <v>179</v>
      </c>
      <c r="AQ317" s="641" t="s">
        <v>870</v>
      </c>
      <c r="AR317" s="642" t="s">
        <v>2909</v>
      </c>
      <c r="AS317" s="643" t="s">
        <v>870</v>
      </c>
      <c r="AT317" s="644"/>
      <c r="AU317" s="633" t="str">
        <f t="shared" si="40"/>
        <v/>
      </c>
      <c r="AV317" s="638" t="s">
        <v>2491</v>
      </c>
      <c r="AW317" s="630"/>
      <c r="AX317" s="647"/>
      <c r="AY317" s="619"/>
      <c r="AZ317" s="648" t="s">
        <v>56</v>
      </c>
      <c r="BA317" s="694"/>
      <c r="BB317" s="690"/>
      <c r="BC317" s="619"/>
      <c r="BD317" s="651" t="s">
        <v>2656</v>
      </c>
      <c r="BE317" s="653">
        <v>146.0</v>
      </c>
      <c r="BF317" s="653">
        <v>150.0</v>
      </c>
      <c r="BG317" s="654">
        <v>70.0</v>
      </c>
      <c r="BH317" s="653">
        <v>40.0</v>
      </c>
      <c r="BI317" s="607"/>
      <c r="BJ317" s="724">
        <v>0.0</v>
      </c>
      <c r="BK317" s="703" t="s">
        <v>397</v>
      </c>
      <c r="BL317" s="610"/>
      <c r="BM317" s="657" t="s">
        <v>109</v>
      </c>
      <c r="BN317" s="658" t="s">
        <v>728</v>
      </c>
      <c r="BO317" s="607"/>
      <c r="BP317" s="659" t="s">
        <v>914</v>
      </c>
      <c r="BQ317" s="614"/>
      <c r="BR317" s="660" t="s">
        <v>4434</v>
      </c>
      <c r="BS317" s="614"/>
    </row>
    <row r="318" ht="15.75" customHeight="1">
      <c r="A318" s="841"/>
      <c r="B318" s="661" t="s">
        <v>2914</v>
      </c>
      <c r="C318" s="662"/>
      <c r="D318" s="571"/>
      <c r="E318" s="672">
        <v>50.0</v>
      </c>
      <c r="F318" s="664">
        <v>60.0</v>
      </c>
      <c r="G318" s="665">
        <v>45.0</v>
      </c>
      <c r="H318" s="666">
        <v>100.0</v>
      </c>
      <c r="I318" s="667">
        <v>80.0</v>
      </c>
      <c r="J318" s="668">
        <v>65.0</v>
      </c>
      <c r="K318" s="669">
        <v>400.0</v>
      </c>
      <c r="L318" s="670">
        <v>50.0</v>
      </c>
      <c r="M318" s="664">
        <v>60.0</v>
      </c>
      <c r="N318" s="665">
        <v>45.0</v>
      </c>
      <c r="O318" s="666">
        <v>100.0</v>
      </c>
      <c r="P318" s="667">
        <v>80.0</v>
      </c>
      <c r="Q318" s="668">
        <v>65.0</v>
      </c>
      <c r="R318" s="671">
        <v>400.0</v>
      </c>
      <c r="S318" s="672">
        <v>50.0</v>
      </c>
      <c r="T318" s="664">
        <v>60.0</v>
      </c>
      <c r="U318" s="665">
        <v>45.0</v>
      </c>
      <c r="V318" s="666">
        <v>100.0</v>
      </c>
      <c r="W318" s="667">
        <v>80.0</v>
      </c>
      <c r="X318" s="668">
        <v>65.0</v>
      </c>
      <c r="Y318" s="671">
        <f t="shared" si="1"/>
        <v>400</v>
      </c>
      <c r="Z318" s="571"/>
      <c r="AA318" s="673" t="str">
        <f t="shared" si="2"/>
        <v>#NAME?</v>
      </c>
      <c r="AB318" s="871" t="s">
        <v>6</v>
      </c>
      <c r="AC318" s="675" t="str">
        <f t="shared" si="3"/>
        <v>#NAME?</v>
      </c>
      <c r="AD318" s="872" t="s">
        <v>7</v>
      </c>
      <c r="AE318" s="676" t="str">
        <f t="shared" si="4"/>
        <v>#NAME?</v>
      </c>
      <c r="AF318" s="871" t="s">
        <v>6</v>
      </c>
      <c r="AG318" s="675" t="str">
        <f t="shared" si="5"/>
        <v>#NAME?</v>
      </c>
      <c r="AH318" s="586" t="s">
        <v>7</v>
      </c>
      <c r="AI318" s="677" t="str">
        <f t="shared" si="6"/>
        <v>#NAME?</v>
      </c>
      <c r="AJ318" s="586" t="s">
        <v>6</v>
      </c>
      <c r="AK318" s="584" t="str">
        <f t="shared" si="7"/>
        <v>#NAME?</v>
      </c>
      <c r="AL318" s="678" t="s">
        <v>7</v>
      </c>
      <c r="AM318" s="571"/>
      <c r="AN318" s="679" t="s">
        <v>1182</v>
      </c>
      <c r="AO318" s="680" t="s">
        <v>394</v>
      </c>
      <c r="AP318" s="710" t="s">
        <v>394</v>
      </c>
      <c r="AQ318" s="716" t="s">
        <v>1182</v>
      </c>
      <c r="AR318" s="711" t="s">
        <v>2917</v>
      </c>
      <c r="AS318" s="718" t="s">
        <v>1182</v>
      </c>
      <c r="AT318" s="595"/>
      <c r="AU318" s="676" t="str">
        <f>image("https://www.pokebip.com/pages/icones/objets/pic-venin.png", 3)</f>
        <v/>
      </c>
      <c r="AV318" s="679" t="s">
        <v>223</v>
      </c>
      <c r="AW318" s="673"/>
      <c r="AX318" s="866"/>
      <c r="AY318" s="571"/>
      <c r="AZ318" s="689" t="s">
        <v>42</v>
      </c>
      <c r="BA318" s="690"/>
      <c r="BB318" s="696"/>
      <c r="BC318" s="571"/>
      <c r="BD318" s="651" t="s">
        <v>15</v>
      </c>
      <c r="BE318" s="653">
        <v>152.0</v>
      </c>
      <c r="BF318" s="653">
        <v>150.0</v>
      </c>
      <c r="BG318" s="654">
        <v>70.0</v>
      </c>
      <c r="BH318" s="653">
        <v>20.0</v>
      </c>
      <c r="BI318" s="607"/>
      <c r="BJ318" s="655" t="s">
        <v>149</v>
      </c>
      <c r="BK318" s="703" t="s">
        <v>149</v>
      </c>
      <c r="BL318" s="610"/>
      <c r="BM318" s="657" t="s">
        <v>153</v>
      </c>
      <c r="BN318" s="658" t="s">
        <v>6</v>
      </c>
      <c r="BO318" s="607"/>
      <c r="BP318" s="659" t="s">
        <v>4471</v>
      </c>
      <c r="BQ318" s="614"/>
      <c r="BR318" s="660" t="s">
        <v>4427</v>
      </c>
      <c r="BS318" s="614"/>
    </row>
    <row r="319" ht="15.75" customHeight="1">
      <c r="A319" s="841"/>
      <c r="B319" s="617" t="s">
        <v>2923</v>
      </c>
      <c r="C319" s="618"/>
      <c r="D319" s="619"/>
      <c r="E319" s="629">
        <v>70.0</v>
      </c>
      <c r="F319" s="750">
        <v>43.0</v>
      </c>
      <c r="G319" s="622">
        <v>53.0</v>
      </c>
      <c r="H319" s="623">
        <v>43.0</v>
      </c>
      <c r="I319" s="624">
        <v>53.0</v>
      </c>
      <c r="J319" s="625">
        <v>40.0</v>
      </c>
      <c r="K319" s="749">
        <v>302.0</v>
      </c>
      <c r="L319" s="627">
        <v>70.0</v>
      </c>
      <c r="M319" s="621">
        <v>43.0</v>
      </c>
      <c r="N319" s="622">
        <v>53.0</v>
      </c>
      <c r="O319" s="623">
        <v>43.0</v>
      </c>
      <c r="P319" s="624">
        <v>53.0</v>
      </c>
      <c r="Q319" s="625">
        <v>40.0</v>
      </c>
      <c r="R319" s="628">
        <v>302.0</v>
      </c>
      <c r="S319" s="629">
        <v>70.0</v>
      </c>
      <c r="T319" s="621">
        <v>43.0</v>
      </c>
      <c r="U319" s="622">
        <v>53.0</v>
      </c>
      <c r="V319" s="623">
        <v>43.0</v>
      </c>
      <c r="W319" s="624">
        <v>53.0</v>
      </c>
      <c r="X319" s="625">
        <v>40.0</v>
      </c>
      <c r="Y319" s="628">
        <f t="shared" si="1"/>
        <v>302</v>
      </c>
      <c r="Z319" s="619"/>
      <c r="AA319" s="630" t="str">
        <f t="shared" si="2"/>
        <v>#NAME?</v>
      </c>
      <c r="AB319" s="869" t="s">
        <v>7</v>
      </c>
      <c r="AC319" s="632" t="str">
        <f t="shared" si="3"/>
        <v>#NAME?</v>
      </c>
      <c r="AD319" s="870" t="s">
        <v>4428</v>
      </c>
      <c r="AE319" s="633" t="str">
        <f t="shared" si="4"/>
        <v>#NAME?</v>
      </c>
      <c r="AF319" s="869" t="s">
        <v>7</v>
      </c>
      <c r="AG319" s="632" t="str">
        <f t="shared" si="5"/>
        <v>#NAME?</v>
      </c>
      <c r="AH319" s="634" t="s">
        <v>4428</v>
      </c>
      <c r="AI319" s="635" t="str">
        <f t="shared" si="6"/>
        <v>#NAME?</v>
      </c>
      <c r="AJ319" s="634" t="s">
        <v>7</v>
      </c>
      <c r="AK319" s="636" t="str">
        <f t="shared" si="7"/>
        <v>#NAME?</v>
      </c>
      <c r="AL319" s="637" t="s">
        <v>4428</v>
      </c>
      <c r="AM319" s="619"/>
      <c r="AN319" s="638" t="s">
        <v>805</v>
      </c>
      <c r="AO319" s="639" t="s">
        <v>963</v>
      </c>
      <c r="AP319" s="712" t="s">
        <v>805</v>
      </c>
      <c r="AQ319" s="639" t="s">
        <v>963</v>
      </c>
      <c r="AR319" s="712" t="s">
        <v>805</v>
      </c>
      <c r="AS319" s="639" t="s">
        <v>963</v>
      </c>
      <c r="AT319" s="644"/>
      <c r="AU319" s="633" t="str">
        <f t="shared" ref="AU319:AU320" si="41">image("https://www.serebii.net/diamondpearl/berries/07.png", 3)</f>
        <v/>
      </c>
      <c r="AV319" s="638" t="s">
        <v>2928</v>
      </c>
      <c r="AW319" s="630" t="str">
        <f t="shared" ref="AW319:AW320" si="42">image("https://www.serebii.net/diamondpearl/berries/10.png", 3)</f>
        <v/>
      </c>
      <c r="AX319" s="647" t="s">
        <v>2929</v>
      </c>
      <c r="AY319" s="619"/>
      <c r="AZ319" s="648" t="s">
        <v>144</v>
      </c>
      <c r="BA319" s="694"/>
      <c r="BB319" s="690"/>
      <c r="BC319" s="619"/>
      <c r="BD319" s="651" t="s">
        <v>2656</v>
      </c>
      <c r="BE319" s="653">
        <v>75.0</v>
      </c>
      <c r="BF319" s="653">
        <v>225.0</v>
      </c>
      <c r="BG319" s="654">
        <v>70.0</v>
      </c>
      <c r="BH319" s="653">
        <v>40.0</v>
      </c>
      <c r="BI319" s="607"/>
      <c r="BJ319" s="655" t="s">
        <v>149</v>
      </c>
      <c r="BK319" s="703" t="s">
        <v>149</v>
      </c>
      <c r="BL319" s="610"/>
      <c r="BM319" s="657" t="s">
        <v>964</v>
      </c>
      <c r="BN319" s="704"/>
      <c r="BO319" s="607"/>
      <c r="BP319" s="659" t="s">
        <v>2927</v>
      </c>
      <c r="BQ319" s="614"/>
      <c r="BR319" s="660" t="s">
        <v>4427</v>
      </c>
      <c r="BS319" s="614"/>
    </row>
    <row r="320" ht="15.75" customHeight="1">
      <c r="A320" s="841"/>
      <c r="B320" s="661" t="s">
        <v>2934</v>
      </c>
      <c r="C320" s="662"/>
      <c r="D320" s="571"/>
      <c r="E320" s="672">
        <v>100.0</v>
      </c>
      <c r="F320" s="664">
        <v>73.0</v>
      </c>
      <c r="G320" s="665">
        <v>83.0</v>
      </c>
      <c r="H320" s="666">
        <v>73.0</v>
      </c>
      <c r="I320" s="667">
        <v>83.0</v>
      </c>
      <c r="J320" s="668">
        <v>55.0</v>
      </c>
      <c r="K320" s="669">
        <v>467.0</v>
      </c>
      <c r="L320" s="670">
        <v>100.0</v>
      </c>
      <c r="M320" s="664">
        <v>73.0</v>
      </c>
      <c r="N320" s="665">
        <v>83.0</v>
      </c>
      <c r="O320" s="666">
        <v>73.0</v>
      </c>
      <c r="P320" s="667">
        <v>83.0</v>
      </c>
      <c r="Q320" s="668">
        <v>55.0</v>
      </c>
      <c r="R320" s="671">
        <v>467.0</v>
      </c>
      <c r="S320" s="672">
        <v>100.0</v>
      </c>
      <c r="T320" s="664">
        <v>73.0</v>
      </c>
      <c r="U320" s="665">
        <v>83.0</v>
      </c>
      <c r="V320" s="666">
        <v>73.0</v>
      </c>
      <c r="W320" s="667">
        <v>83.0</v>
      </c>
      <c r="X320" s="668">
        <v>55.0</v>
      </c>
      <c r="Y320" s="671">
        <f t="shared" si="1"/>
        <v>467</v>
      </c>
      <c r="Z320" s="571"/>
      <c r="AA320" s="673" t="str">
        <f t="shared" si="2"/>
        <v>#NAME?</v>
      </c>
      <c r="AB320" s="871" t="s">
        <v>7</v>
      </c>
      <c r="AC320" s="675" t="str">
        <f t="shared" si="3"/>
        <v>#NAME?</v>
      </c>
      <c r="AD320" s="872" t="s">
        <v>4428</v>
      </c>
      <c r="AE320" s="676" t="str">
        <f t="shared" si="4"/>
        <v>#NAME?</v>
      </c>
      <c r="AF320" s="871" t="s">
        <v>7</v>
      </c>
      <c r="AG320" s="675" t="str">
        <f t="shared" si="5"/>
        <v>#NAME?</v>
      </c>
      <c r="AH320" s="586" t="s">
        <v>4428</v>
      </c>
      <c r="AI320" s="677" t="str">
        <f t="shared" si="6"/>
        <v>#NAME?</v>
      </c>
      <c r="AJ320" s="586" t="s">
        <v>7</v>
      </c>
      <c r="AK320" s="584" t="str">
        <f t="shared" si="7"/>
        <v>#NAME?</v>
      </c>
      <c r="AL320" s="678" t="s">
        <v>4428</v>
      </c>
      <c r="AM320" s="571"/>
      <c r="AN320" s="679" t="s">
        <v>805</v>
      </c>
      <c r="AO320" s="680" t="s">
        <v>963</v>
      </c>
      <c r="AP320" s="705" t="s">
        <v>805</v>
      </c>
      <c r="AQ320" s="680" t="s">
        <v>963</v>
      </c>
      <c r="AR320" s="705" t="s">
        <v>805</v>
      </c>
      <c r="AS320" s="680" t="s">
        <v>963</v>
      </c>
      <c r="AT320" s="595"/>
      <c r="AU320" s="676" t="str">
        <f t="shared" si="41"/>
        <v/>
      </c>
      <c r="AV320" s="679" t="s">
        <v>2928</v>
      </c>
      <c r="AW320" s="673" t="str">
        <f t="shared" si="42"/>
        <v/>
      </c>
      <c r="AX320" s="866" t="s">
        <v>2929</v>
      </c>
      <c r="AY320" s="571"/>
      <c r="AZ320" s="689" t="s">
        <v>409</v>
      </c>
      <c r="BA320" s="690"/>
      <c r="BB320" s="696"/>
      <c r="BC320" s="571"/>
      <c r="BD320" s="651" t="s">
        <v>2656</v>
      </c>
      <c r="BE320" s="653">
        <v>168.0</v>
      </c>
      <c r="BF320" s="653">
        <v>75.0</v>
      </c>
      <c r="BG320" s="654">
        <v>70.0</v>
      </c>
      <c r="BH320" s="653">
        <v>80.0</v>
      </c>
      <c r="BI320" s="607"/>
      <c r="BJ320" s="655" t="s">
        <v>149</v>
      </c>
      <c r="BK320" s="703" t="s">
        <v>149</v>
      </c>
      <c r="BL320" s="610"/>
      <c r="BM320" s="657" t="s">
        <v>964</v>
      </c>
      <c r="BN320" s="704"/>
      <c r="BO320" s="607"/>
      <c r="BP320" s="659" t="s">
        <v>2937</v>
      </c>
      <c r="BQ320" s="614"/>
      <c r="BR320" s="660" t="s">
        <v>4434</v>
      </c>
      <c r="BS320" s="614"/>
    </row>
    <row r="321" ht="15.75" customHeight="1">
      <c r="A321" s="841"/>
      <c r="B321" s="617" t="s">
        <v>2942</v>
      </c>
      <c r="C321" s="618"/>
      <c r="D321" s="619"/>
      <c r="E321" s="629">
        <v>45.0</v>
      </c>
      <c r="F321" s="621">
        <v>90.0</v>
      </c>
      <c r="G321" s="622">
        <v>20.0</v>
      </c>
      <c r="H321" s="623">
        <v>65.0</v>
      </c>
      <c r="I321" s="624">
        <v>20.0</v>
      </c>
      <c r="J321" s="753">
        <v>65.0</v>
      </c>
      <c r="K321" s="749">
        <v>305.0</v>
      </c>
      <c r="L321" s="627">
        <v>45.0</v>
      </c>
      <c r="M321" s="621">
        <v>90.0</v>
      </c>
      <c r="N321" s="622">
        <v>20.0</v>
      </c>
      <c r="O321" s="623">
        <v>65.0</v>
      </c>
      <c r="P321" s="624">
        <v>20.0</v>
      </c>
      <c r="Q321" s="625">
        <v>65.0</v>
      </c>
      <c r="R321" s="628">
        <v>305.0</v>
      </c>
      <c r="S321" s="629">
        <v>45.0</v>
      </c>
      <c r="T321" s="621">
        <v>90.0</v>
      </c>
      <c r="U321" s="622">
        <v>20.0</v>
      </c>
      <c r="V321" s="623">
        <v>65.0</v>
      </c>
      <c r="W321" s="624">
        <v>20.0</v>
      </c>
      <c r="X321" s="625">
        <v>65.0</v>
      </c>
      <c r="Y321" s="628">
        <f t="shared" si="1"/>
        <v>305</v>
      </c>
      <c r="Z321" s="619"/>
      <c r="AA321" s="630" t="str">
        <f t="shared" si="2"/>
        <v>#NAME?</v>
      </c>
      <c r="AB321" s="869" t="s">
        <v>32</v>
      </c>
      <c r="AC321" s="632" t="str">
        <f t="shared" si="3"/>
        <v>#NAME?</v>
      </c>
      <c r="AD321" s="870" t="s">
        <v>76</v>
      </c>
      <c r="AE321" s="633" t="str">
        <f t="shared" si="4"/>
        <v>#NAME?</v>
      </c>
      <c r="AF321" s="869" t="s">
        <v>32</v>
      </c>
      <c r="AG321" s="632" t="str">
        <f t="shared" si="5"/>
        <v>#NAME?</v>
      </c>
      <c r="AH321" s="634" t="s">
        <v>76</v>
      </c>
      <c r="AI321" s="635" t="str">
        <f t="shared" si="6"/>
        <v>#NAME?</v>
      </c>
      <c r="AJ321" s="634" t="s">
        <v>32</v>
      </c>
      <c r="AK321" s="636" t="str">
        <f t="shared" si="7"/>
        <v>#NAME?</v>
      </c>
      <c r="AL321" s="637" t="s">
        <v>76</v>
      </c>
      <c r="AM321" s="619"/>
      <c r="AN321" s="638" t="s">
        <v>2946</v>
      </c>
      <c r="AO321" s="639"/>
      <c r="AP321" s="708" t="s">
        <v>2405</v>
      </c>
      <c r="AQ321" s="757" t="s">
        <v>2946</v>
      </c>
      <c r="AR321" s="709" t="s">
        <v>2405</v>
      </c>
      <c r="AS321" s="758" t="s">
        <v>2946</v>
      </c>
      <c r="AT321" s="644"/>
      <c r="AU321" s="633" t="str">
        <f t="shared" ref="AU321:AU322" si="43">image("https://www.pokebip.com/pages/icones/objets/dent-ocean.png", 3)</f>
        <v/>
      </c>
      <c r="AV321" s="638" t="s">
        <v>2949</v>
      </c>
      <c r="AW321" s="630"/>
      <c r="AX321" s="647"/>
      <c r="AY321" s="619"/>
      <c r="AZ321" s="648" t="s">
        <v>325</v>
      </c>
      <c r="BA321" s="694"/>
      <c r="BB321" s="690"/>
      <c r="BC321" s="619"/>
      <c r="BD321" s="651" t="s">
        <v>683</v>
      </c>
      <c r="BE321" s="653">
        <v>88.0</v>
      </c>
      <c r="BF321" s="653">
        <v>225.0</v>
      </c>
      <c r="BG321" s="654">
        <v>35.0</v>
      </c>
      <c r="BH321" s="653">
        <v>40.0</v>
      </c>
      <c r="BI321" s="607"/>
      <c r="BJ321" s="655" t="s">
        <v>149</v>
      </c>
      <c r="BK321" s="703" t="s">
        <v>149</v>
      </c>
      <c r="BL321" s="610"/>
      <c r="BM321" s="657" t="s">
        <v>1236</v>
      </c>
      <c r="BN321" s="704"/>
      <c r="BO321" s="607"/>
      <c r="BP321" s="659" t="s">
        <v>2948</v>
      </c>
      <c r="BQ321" s="614"/>
      <c r="BR321" s="660" t="s">
        <v>4429</v>
      </c>
      <c r="BS321" s="614"/>
    </row>
    <row r="322" ht="15.75" customHeight="1">
      <c r="A322" s="841"/>
      <c r="B322" s="661" t="s">
        <v>2954</v>
      </c>
      <c r="C322" s="662"/>
      <c r="D322" s="571"/>
      <c r="E322" s="672">
        <v>70.0</v>
      </c>
      <c r="F322" s="664">
        <v>120.0</v>
      </c>
      <c r="G322" s="665">
        <v>40.0</v>
      </c>
      <c r="H322" s="666">
        <v>95.0</v>
      </c>
      <c r="I322" s="667">
        <v>40.0</v>
      </c>
      <c r="J322" s="668">
        <v>95.0</v>
      </c>
      <c r="K322" s="669">
        <v>460.0</v>
      </c>
      <c r="L322" s="670">
        <v>70.0</v>
      </c>
      <c r="M322" s="664">
        <v>120.0</v>
      </c>
      <c r="N322" s="665">
        <v>40.0</v>
      </c>
      <c r="O322" s="666">
        <v>95.0</v>
      </c>
      <c r="P322" s="667">
        <v>40.0</v>
      </c>
      <c r="Q322" s="668">
        <v>95.0</v>
      </c>
      <c r="R322" s="671">
        <v>460.0</v>
      </c>
      <c r="S322" s="672">
        <v>70.0</v>
      </c>
      <c r="T322" s="664">
        <v>120.0</v>
      </c>
      <c r="U322" s="665">
        <v>40.0</v>
      </c>
      <c r="V322" s="666">
        <v>95.0</v>
      </c>
      <c r="W322" s="667">
        <v>40.0</v>
      </c>
      <c r="X322" s="668">
        <v>95.0</v>
      </c>
      <c r="Y322" s="671">
        <f t="shared" si="1"/>
        <v>460</v>
      </c>
      <c r="Z322" s="571"/>
      <c r="AA322" s="673" t="str">
        <f t="shared" si="2"/>
        <v>#NAME?</v>
      </c>
      <c r="AB322" s="871" t="s">
        <v>32</v>
      </c>
      <c r="AC322" s="675" t="str">
        <f t="shared" si="3"/>
        <v>#NAME?</v>
      </c>
      <c r="AD322" s="872" t="s">
        <v>76</v>
      </c>
      <c r="AE322" s="676" t="str">
        <f t="shared" si="4"/>
        <v>#NAME?</v>
      </c>
      <c r="AF322" s="871" t="s">
        <v>32</v>
      </c>
      <c r="AG322" s="675" t="str">
        <f t="shared" si="5"/>
        <v>#NAME?</v>
      </c>
      <c r="AH322" s="586" t="s">
        <v>76</v>
      </c>
      <c r="AI322" s="677" t="str">
        <f t="shared" si="6"/>
        <v>#NAME?</v>
      </c>
      <c r="AJ322" s="586" t="s">
        <v>32</v>
      </c>
      <c r="AK322" s="584" t="str">
        <f t="shared" si="7"/>
        <v>#NAME?</v>
      </c>
      <c r="AL322" s="678" t="s">
        <v>76</v>
      </c>
      <c r="AM322" s="571"/>
      <c r="AN322" s="679" t="s">
        <v>2946</v>
      </c>
      <c r="AO322" s="680"/>
      <c r="AP322" s="710" t="s">
        <v>2405</v>
      </c>
      <c r="AQ322" s="716" t="s">
        <v>2946</v>
      </c>
      <c r="AR322" s="711" t="s">
        <v>2405</v>
      </c>
      <c r="AS322" s="718" t="s">
        <v>2946</v>
      </c>
      <c r="AT322" s="595"/>
      <c r="AU322" s="676" t="str">
        <f t="shared" si="43"/>
        <v/>
      </c>
      <c r="AV322" s="679" t="s">
        <v>2949</v>
      </c>
      <c r="AW322" s="673"/>
      <c r="AX322" s="866"/>
      <c r="AY322" s="571"/>
      <c r="AZ322" s="689" t="s">
        <v>216</v>
      </c>
      <c r="BA322" s="690"/>
      <c r="BB322" s="696"/>
      <c r="BC322" s="571"/>
      <c r="BD322" s="651" t="s">
        <v>683</v>
      </c>
      <c r="BE322" s="653">
        <v>175.0</v>
      </c>
      <c r="BF322" s="653">
        <v>60.0</v>
      </c>
      <c r="BG322" s="654">
        <v>35.0</v>
      </c>
      <c r="BH322" s="653">
        <v>80.0</v>
      </c>
      <c r="BI322" s="607"/>
      <c r="BJ322" s="655" t="s">
        <v>149</v>
      </c>
      <c r="BK322" s="703" t="s">
        <v>149</v>
      </c>
      <c r="BL322" s="610"/>
      <c r="BM322" s="657" t="s">
        <v>1236</v>
      </c>
      <c r="BN322" s="704"/>
      <c r="BO322" s="607"/>
      <c r="BP322" s="659" t="s">
        <v>2957</v>
      </c>
      <c r="BQ322" s="614"/>
      <c r="BR322" s="660" t="s">
        <v>4430</v>
      </c>
      <c r="BS322" s="614"/>
    </row>
    <row r="323" ht="15.75" customHeight="1">
      <c r="A323" s="841"/>
      <c r="B323" s="617" t="s">
        <v>2962</v>
      </c>
      <c r="C323" s="618"/>
      <c r="D323" s="619"/>
      <c r="E323" s="629">
        <v>130.0</v>
      </c>
      <c r="F323" s="621">
        <v>70.0</v>
      </c>
      <c r="G323" s="622">
        <v>35.0</v>
      </c>
      <c r="H323" s="623">
        <v>70.0</v>
      </c>
      <c r="I323" s="624">
        <v>35.0</v>
      </c>
      <c r="J323" s="625">
        <v>60.0</v>
      </c>
      <c r="K323" s="626">
        <v>400.0</v>
      </c>
      <c r="L323" s="627">
        <v>130.0</v>
      </c>
      <c r="M323" s="621">
        <v>70.0</v>
      </c>
      <c r="N323" s="622">
        <v>35.0</v>
      </c>
      <c r="O323" s="623">
        <v>70.0</v>
      </c>
      <c r="P323" s="624">
        <v>35.0</v>
      </c>
      <c r="Q323" s="625">
        <v>60.0</v>
      </c>
      <c r="R323" s="628">
        <v>400.0</v>
      </c>
      <c r="S323" s="629">
        <v>130.0</v>
      </c>
      <c r="T323" s="621">
        <v>70.0</v>
      </c>
      <c r="U323" s="622">
        <v>35.0</v>
      </c>
      <c r="V323" s="623">
        <v>70.0</v>
      </c>
      <c r="W323" s="624">
        <v>35.0</v>
      </c>
      <c r="X323" s="625">
        <v>60.0</v>
      </c>
      <c r="Y323" s="628">
        <f t="shared" si="1"/>
        <v>400</v>
      </c>
      <c r="Z323" s="619"/>
      <c r="AA323" s="630" t="str">
        <f t="shared" si="2"/>
        <v>#NAME?</v>
      </c>
      <c r="AB323" s="869" t="s">
        <v>32</v>
      </c>
      <c r="AC323" s="632" t="str">
        <f t="shared" si="3"/>
        <v>#NAME?</v>
      </c>
      <c r="AD323" s="870" t="s">
        <v>4428</v>
      </c>
      <c r="AE323" s="633" t="str">
        <f t="shared" si="4"/>
        <v>#NAME?</v>
      </c>
      <c r="AF323" s="869" t="s">
        <v>32</v>
      </c>
      <c r="AG323" s="632" t="str">
        <f t="shared" si="5"/>
        <v>#NAME?</v>
      </c>
      <c r="AH323" s="634" t="s">
        <v>4428</v>
      </c>
      <c r="AI323" s="635" t="str">
        <f t="shared" si="6"/>
        <v>#NAME?</v>
      </c>
      <c r="AJ323" s="634" t="s">
        <v>32</v>
      </c>
      <c r="AK323" s="636" t="str">
        <f t="shared" si="7"/>
        <v>#NAME?</v>
      </c>
      <c r="AL323" s="637" t="s">
        <v>4428</v>
      </c>
      <c r="AM323" s="619"/>
      <c r="AN323" s="638" t="s">
        <v>1235</v>
      </c>
      <c r="AO323" s="639" t="s">
        <v>870</v>
      </c>
      <c r="AP323" s="712" t="s">
        <v>1235</v>
      </c>
      <c r="AQ323" s="639" t="s">
        <v>870</v>
      </c>
      <c r="AR323" s="712" t="s">
        <v>1235</v>
      </c>
      <c r="AS323" s="639" t="s">
        <v>870</v>
      </c>
      <c r="AT323" s="644"/>
      <c r="AU323" s="633"/>
      <c r="AV323" s="638"/>
      <c r="AW323" s="630"/>
      <c r="AX323" s="647"/>
      <c r="AY323" s="619"/>
      <c r="AZ323" s="648" t="s">
        <v>144</v>
      </c>
      <c r="BA323" s="694"/>
      <c r="BB323" s="690"/>
      <c r="BC323" s="619"/>
      <c r="BD323" s="651" t="s">
        <v>2656</v>
      </c>
      <c r="BE323" s="653">
        <v>137.0</v>
      </c>
      <c r="BF323" s="653">
        <v>125.0</v>
      </c>
      <c r="BG323" s="654">
        <v>70.0</v>
      </c>
      <c r="BH323" s="653">
        <v>100.0</v>
      </c>
      <c r="BI323" s="607"/>
      <c r="BJ323" s="655" t="s">
        <v>149</v>
      </c>
      <c r="BK323" s="703" t="s">
        <v>149</v>
      </c>
      <c r="BL323" s="610"/>
      <c r="BM323" s="657" t="s">
        <v>277</v>
      </c>
      <c r="BN323" s="658" t="s">
        <v>1236</v>
      </c>
      <c r="BO323" s="607"/>
      <c r="BP323" s="659" t="s">
        <v>2965</v>
      </c>
      <c r="BQ323" s="614"/>
      <c r="BR323" s="660" t="s">
        <v>4430</v>
      </c>
      <c r="BS323" s="614"/>
    </row>
    <row r="324" ht="15.75" customHeight="1">
      <c r="A324" s="841"/>
      <c r="B324" s="661" t="s">
        <v>2970</v>
      </c>
      <c r="C324" s="662"/>
      <c r="D324" s="571"/>
      <c r="E324" s="672">
        <v>170.0</v>
      </c>
      <c r="F324" s="664">
        <v>90.0</v>
      </c>
      <c r="G324" s="665">
        <v>45.0</v>
      </c>
      <c r="H324" s="666">
        <v>90.0</v>
      </c>
      <c r="I324" s="667">
        <v>45.0</v>
      </c>
      <c r="J324" s="668">
        <v>60.0</v>
      </c>
      <c r="K324" s="669">
        <v>500.0</v>
      </c>
      <c r="L324" s="670">
        <v>170.0</v>
      </c>
      <c r="M324" s="664">
        <v>90.0</v>
      </c>
      <c r="N324" s="665">
        <v>45.0</v>
      </c>
      <c r="O324" s="666">
        <v>90.0</v>
      </c>
      <c r="P324" s="667">
        <v>45.0</v>
      </c>
      <c r="Q324" s="668">
        <v>60.0</v>
      </c>
      <c r="R324" s="671">
        <v>500.0</v>
      </c>
      <c r="S324" s="672">
        <v>170.0</v>
      </c>
      <c r="T324" s="664">
        <v>90.0</v>
      </c>
      <c r="U324" s="665">
        <v>45.0</v>
      </c>
      <c r="V324" s="666">
        <v>90.0</v>
      </c>
      <c r="W324" s="667">
        <v>45.0</v>
      </c>
      <c r="X324" s="668">
        <v>60.0</v>
      </c>
      <c r="Y324" s="671">
        <f t="shared" si="1"/>
        <v>500</v>
      </c>
      <c r="Z324" s="571"/>
      <c r="AA324" s="673" t="str">
        <f t="shared" si="2"/>
        <v>#NAME?</v>
      </c>
      <c r="AB324" s="871" t="s">
        <v>32</v>
      </c>
      <c r="AC324" s="675" t="str">
        <f t="shared" si="3"/>
        <v>#NAME?</v>
      </c>
      <c r="AD324" s="872" t="s">
        <v>4428</v>
      </c>
      <c r="AE324" s="676" t="str">
        <f t="shared" si="4"/>
        <v>#NAME?</v>
      </c>
      <c r="AF324" s="871" t="s">
        <v>32</v>
      </c>
      <c r="AG324" s="675" t="str">
        <f t="shared" si="5"/>
        <v>#NAME?</v>
      </c>
      <c r="AH324" s="586" t="s">
        <v>4428</v>
      </c>
      <c r="AI324" s="677" t="str">
        <f t="shared" si="6"/>
        <v>#NAME?</v>
      </c>
      <c r="AJ324" s="586" t="s">
        <v>32</v>
      </c>
      <c r="AK324" s="584" t="str">
        <f t="shared" si="7"/>
        <v>#NAME?</v>
      </c>
      <c r="AL324" s="678" t="s">
        <v>4428</v>
      </c>
      <c r="AM324" s="571"/>
      <c r="AN324" s="679" t="s">
        <v>1235</v>
      </c>
      <c r="AO324" s="680" t="s">
        <v>870</v>
      </c>
      <c r="AP324" s="705" t="s">
        <v>1235</v>
      </c>
      <c r="AQ324" s="680" t="s">
        <v>870</v>
      </c>
      <c r="AR324" s="705" t="s">
        <v>1235</v>
      </c>
      <c r="AS324" s="680" t="s">
        <v>870</v>
      </c>
      <c r="AT324" s="595"/>
      <c r="AU324" s="676"/>
      <c r="AV324" s="679"/>
      <c r="AW324" s="673"/>
      <c r="AX324" s="866"/>
      <c r="AY324" s="571"/>
      <c r="AZ324" s="689" t="s">
        <v>409</v>
      </c>
      <c r="BA324" s="690"/>
      <c r="BB324" s="696"/>
      <c r="BC324" s="571"/>
      <c r="BD324" s="651" t="s">
        <v>2656</v>
      </c>
      <c r="BE324" s="653">
        <v>206.0</v>
      </c>
      <c r="BF324" s="653">
        <v>60.0</v>
      </c>
      <c r="BG324" s="654">
        <v>70.0</v>
      </c>
      <c r="BH324" s="653">
        <v>120.0</v>
      </c>
      <c r="BI324" s="607"/>
      <c r="BJ324" s="655" t="s">
        <v>149</v>
      </c>
      <c r="BK324" s="703" t="s">
        <v>149</v>
      </c>
      <c r="BL324" s="610"/>
      <c r="BM324" s="657" t="s">
        <v>277</v>
      </c>
      <c r="BN324" s="658" t="s">
        <v>1236</v>
      </c>
      <c r="BO324" s="607"/>
      <c r="BP324" s="659" t="s">
        <v>4472</v>
      </c>
      <c r="BQ324" s="614"/>
      <c r="BR324" s="660" t="s">
        <v>4430</v>
      </c>
      <c r="BS324" s="614"/>
    </row>
    <row r="325" ht="15.75" customHeight="1">
      <c r="A325" s="841"/>
      <c r="B325" s="617" t="s">
        <v>2979</v>
      </c>
      <c r="C325" s="618"/>
      <c r="D325" s="619"/>
      <c r="E325" s="629">
        <v>60.0</v>
      </c>
      <c r="F325" s="621">
        <v>60.0</v>
      </c>
      <c r="G325" s="622">
        <v>40.0</v>
      </c>
      <c r="H325" s="623">
        <v>65.0</v>
      </c>
      <c r="I325" s="624">
        <v>45.0</v>
      </c>
      <c r="J325" s="625">
        <v>35.0</v>
      </c>
      <c r="K325" s="626">
        <v>305.0</v>
      </c>
      <c r="L325" s="627">
        <v>60.0</v>
      </c>
      <c r="M325" s="621">
        <v>60.0</v>
      </c>
      <c r="N325" s="622">
        <v>40.0</v>
      </c>
      <c r="O325" s="623">
        <v>65.0</v>
      </c>
      <c r="P325" s="624">
        <v>45.0</v>
      </c>
      <c r="Q325" s="625">
        <v>35.0</v>
      </c>
      <c r="R325" s="628">
        <v>305.0</v>
      </c>
      <c r="S325" s="629">
        <v>60.0</v>
      </c>
      <c r="T325" s="621">
        <v>60.0</v>
      </c>
      <c r="U325" s="622">
        <v>40.0</v>
      </c>
      <c r="V325" s="623">
        <v>65.0</v>
      </c>
      <c r="W325" s="624">
        <v>45.0</v>
      </c>
      <c r="X325" s="625">
        <v>35.0</v>
      </c>
      <c r="Y325" s="628">
        <f t="shared" si="1"/>
        <v>305</v>
      </c>
      <c r="Z325" s="619"/>
      <c r="AA325" s="630" t="str">
        <f t="shared" si="2"/>
        <v>#NAME?</v>
      </c>
      <c r="AB325" s="869" t="s">
        <v>34</v>
      </c>
      <c r="AC325" s="632" t="str">
        <f t="shared" si="3"/>
        <v>#NAME?</v>
      </c>
      <c r="AD325" s="870" t="s">
        <v>79</v>
      </c>
      <c r="AE325" s="633" t="str">
        <f t="shared" si="4"/>
        <v>#NAME?</v>
      </c>
      <c r="AF325" s="869" t="s">
        <v>34</v>
      </c>
      <c r="AG325" s="632" t="str">
        <f t="shared" si="5"/>
        <v>#NAME?</v>
      </c>
      <c r="AH325" s="634" t="s">
        <v>79</v>
      </c>
      <c r="AI325" s="635" t="str">
        <f t="shared" si="6"/>
        <v>#NAME?</v>
      </c>
      <c r="AJ325" s="634" t="s">
        <v>34</v>
      </c>
      <c r="AK325" s="636" t="str">
        <f t="shared" si="7"/>
        <v>#NAME?</v>
      </c>
      <c r="AL325" s="637" t="s">
        <v>79</v>
      </c>
      <c r="AM325" s="619"/>
      <c r="AN325" s="638" t="s">
        <v>870</v>
      </c>
      <c r="AO325" s="639" t="s">
        <v>2983</v>
      </c>
      <c r="AP325" s="708" t="s">
        <v>2983</v>
      </c>
      <c r="AQ325" s="757" t="s">
        <v>870</v>
      </c>
      <c r="AR325" s="709" t="s">
        <v>2984</v>
      </c>
      <c r="AS325" s="758" t="s">
        <v>870</v>
      </c>
      <c r="AT325" s="644"/>
      <c r="AU325" s="633"/>
      <c r="AV325" s="638"/>
      <c r="AW325" s="630"/>
      <c r="AX325" s="647"/>
      <c r="AY325" s="619"/>
      <c r="AZ325" s="648" t="s">
        <v>4</v>
      </c>
      <c r="BA325" s="694"/>
      <c r="BB325" s="690"/>
      <c r="BC325" s="619"/>
      <c r="BD325" s="651" t="s">
        <v>150</v>
      </c>
      <c r="BE325" s="653">
        <v>88.0</v>
      </c>
      <c r="BF325" s="653">
        <v>255.0</v>
      </c>
      <c r="BG325" s="654">
        <v>70.0</v>
      </c>
      <c r="BH325" s="653">
        <v>40.0</v>
      </c>
      <c r="BI325" s="607"/>
      <c r="BJ325" s="655" t="s">
        <v>149</v>
      </c>
      <c r="BK325" s="703" t="s">
        <v>149</v>
      </c>
      <c r="BL325" s="610"/>
      <c r="BM325" s="657" t="s">
        <v>277</v>
      </c>
      <c r="BN325" s="704"/>
      <c r="BO325" s="607"/>
      <c r="BP325" s="659" t="s">
        <v>2985</v>
      </c>
      <c r="BQ325" s="614"/>
      <c r="BR325" s="660" t="s">
        <v>4433</v>
      </c>
      <c r="BS325" s="614"/>
    </row>
    <row r="326" ht="15.75" customHeight="1">
      <c r="A326" s="841"/>
      <c r="B326" s="661" t="s">
        <v>2990</v>
      </c>
      <c r="C326" s="662"/>
      <c r="D326" s="571"/>
      <c r="E326" s="672">
        <v>70.0</v>
      </c>
      <c r="F326" s="664">
        <v>100.0</v>
      </c>
      <c r="G326" s="665">
        <v>70.0</v>
      </c>
      <c r="H326" s="666">
        <v>105.0</v>
      </c>
      <c r="I326" s="667">
        <v>75.0</v>
      </c>
      <c r="J326" s="668">
        <v>40.0</v>
      </c>
      <c r="K326" s="669">
        <v>460.0</v>
      </c>
      <c r="L326" s="670">
        <v>70.0</v>
      </c>
      <c r="M326" s="664">
        <v>100.0</v>
      </c>
      <c r="N326" s="665">
        <v>70.0</v>
      </c>
      <c r="O326" s="666">
        <v>105.0</v>
      </c>
      <c r="P326" s="667">
        <v>75.0</v>
      </c>
      <c r="Q326" s="668">
        <v>40.0</v>
      </c>
      <c r="R326" s="671">
        <v>460.0</v>
      </c>
      <c r="S326" s="672">
        <v>70.0</v>
      </c>
      <c r="T326" s="664">
        <v>100.0</v>
      </c>
      <c r="U326" s="665">
        <v>70.0</v>
      </c>
      <c r="V326" s="666">
        <v>105.0</v>
      </c>
      <c r="W326" s="667">
        <v>75.0</v>
      </c>
      <c r="X326" s="668">
        <v>40.0</v>
      </c>
      <c r="Y326" s="671">
        <f t="shared" si="1"/>
        <v>460</v>
      </c>
      <c r="Z326" s="571"/>
      <c r="AA326" s="673" t="str">
        <f t="shared" si="2"/>
        <v>#NAME?</v>
      </c>
      <c r="AB326" s="871" t="s">
        <v>34</v>
      </c>
      <c r="AC326" s="675" t="str">
        <f t="shared" si="3"/>
        <v>#NAME?</v>
      </c>
      <c r="AD326" s="872" t="s">
        <v>79</v>
      </c>
      <c r="AE326" s="676" t="str">
        <f t="shared" si="4"/>
        <v>#NAME?</v>
      </c>
      <c r="AF326" s="871" t="s">
        <v>34</v>
      </c>
      <c r="AG326" s="675" t="str">
        <f t="shared" si="5"/>
        <v>#NAME?</v>
      </c>
      <c r="AH326" s="586" t="s">
        <v>79</v>
      </c>
      <c r="AI326" s="677" t="str">
        <f t="shared" si="6"/>
        <v>#NAME?</v>
      </c>
      <c r="AJ326" s="586" t="s">
        <v>34</v>
      </c>
      <c r="AK326" s="584" t="str">
        <f t="shared" si="7"/>
        <v>#NAME?</v>
      </c>
      <c r="AL326" s="678" t="s">
        <v>79</v>
      </c>
      <c r="AM326" s="571"/>
      <c r="AN326" s="679" t="s">
        <v>2102</v>
      </c>
      <c r="AO326" s="680" t="s">
        <v>2993</v>
      </c>
      <c r="AP326" s="681" t="s">
        <v>2993</v>
      </c>
      <c r="AQ326" s="682" t="s">
        <v>2102</v>
      </c>
      <c r="AR326" s="683" t="s">
        <v>2994</v>
      </c>
      <c r="AS326" s="684" t="s">
        <v>2102</v>
      </c>
      <c r="AT326" s="595"/>
      <c r="AU326" s="676"/>
      <c r="AV326" s="679"/>
      <c r="AW326" s="673"/>
      <c r="AX326" s="866"/>
      <c r="AY326" s="571"/>
      <c r="AZ326" s="695" t="s">
        <v>325</v>
      </c>
      <c r="BA326" s="691" t="s">
        <v>4</v>
      </c>
      <c r="BB326" s="696"/>
      <c r="BC326" s="571"/>
      <c r="BD326" s="651" t="s">
        <v>150</v>
      </c>
      <c r="BE326" s="653">
        <v>175.0</v>
      </c>
      <c r="BF326" s="653">
        <v>150.0</v>
      </c>
      <c r="BG326" s="654">
        <v>70.0</v>
      </c>
      <c r="BH326" s="653">
        <v>120.0</v>
      </c>
      <c r="BI326" s="607"/>
      <c r="BJ326" s="655" t="s">
        <v>149</v>
      </c>
      <c r="BK326" s="703" t="s">
        <v>149</v>
      </c>
      <c r="BL326" s="610"/>
      <c r="BM326" s="657" t="s">
        <v>277</v>
      </c>
      <c r="BN326" s="704"/>
      <c r="BO326" s="607"/>
      <c r="BP326" s="659" t="s">
        <v>2995</v>
      </c>
      <c r="BQ326" s="614"/>
      <c r="BR326" s="660" t="s">
        <v>4429</v>
      </c>
      <c r="BS326" s="614"/>
    </row>
    <row r="327" ht="15.75" customHeight="1">
      <c r="A327" s="841"/>
      <c r="B327" s="617" t="s">
        <v>3000</v>
      </c>
      <c r="C327" s="618"/>
      <c r="D327" s="619"/>
      <c r="E327" s="629">
        <v>70.0</v>
      </c>
      <c r="F327" s="621">
        <v>85.0</v>
      </c>
      <c r="G327" s="622">
        <v>140.0</v>
      </c>
      <c r="H327" s="623">
        <v>85.0</v>
      </c>
      <c r="I327" s="624">
        <v>70.0</v>
      </c>
      <c r="J327" s="625">
        <v>20.0</v>
      </c>
      <c r="K327" s="626">
        <v>470.0</v>
      </c>
      <c r="L327" s="627">
        <v>70.0</v>
      </c>
      <c r="M327" s="621">
        <v>85.0</v>
      </c>
      <c r="N327" s="622">
        <v>140.0</v>
      </c>
      <c r="O327" s="623">
        <v>85.0</v>
      </c>
      <c r="P327" s="624">
        <v>70.0</v>
      </c>
      <c r="Q327" s="625">
        <v>20.0</v>
      </c>
      <c r="R327" s="628">
        <v>470.0</v>
      </c>
      <c r="S327" s="629">
        <v>70.0</v>
      </c>
      <c r="T327" s="621">
        <v>85.0</v>
      </c>
      <c r="U327" s="622">
        <v>140.0</v>
      </c>
      <c r="V327" s="623">
        <v>85.0</v>
      </c>
      <c r="W327" s="624">
        <v>70.0</v>
      </c>
      <c r="X327" s="625">
        <v>20.0</v>
      </c>
      <c r="Y327" s="628">
        <f t="shared" si="1"/>
        <v>470</v>
      </c>
      <c r="Z327" s="619"/>
      <c r="AA327" s="630" t="str">
        <f t="shared" si="2"/>
        <v>#NAME?</v>
      </c>
      <c r="AB327" s="869" t="s">
        <v>34</v>
      </c>
      <c r="AC327" s="632" t="str">
        <f t="shared" si="3"/>
        <v>#NAME?</v>
      </c>
      <c r="AD327" s="870" t="s">
        <v>4428</v>
      </c>
      <c r="AE327" s="633" t="str">
        <f t="shared" si="4"/>
        <v>#NAME?</v>
      </c>
      <c r="AF327" s="869" t="s">
        <v>34</v>
      </c>
      <c r="AG327" s="632" t="str">
        <f t="shared" si="5"/>
        <v>#NAME?</v>
      </c>
      <c r="AH327" s="634" t="s">
        <v>4428</v>
      </c>
      <c r="AI327" s="635" t="str">
        <f t="shared" si="6"/>
        <v>#NAME?</v>
      </c>
      <c r="AJ327" s="634" t="s">
        <v>34</v>
      </c>
      <c r="AK327" s="636" t="str">
        <f t="shared" si="7"/>
        <v>#NAME?</v>
      </c>
      <c r="AL327" s="637" t="s">
        <v>4428</v>
      </c>
      <c r="AM327" s="619"/>
      <c r="AN327" s="638" t="s">
        <v>3003</v>
      </c>
      <c r="AO327" s="639"/>
      <c r="AP327" s="701" t="s">
        <v>488</v>
      </c>
      <c r="AQ327" s="740" t="s">
        <v>3003</v>
      </c>
      <c r="AR327" s="702" t="s">
        <v>488</v>
      </c>
      <c r="AS327" s="843" t="s">
        <v>3003</v>
      </c>
      <c r="AT327" s="644"/>
      <c r="AU327" s="633" t="str">
        <f>image("https://www.pokebip.com/pages/icones/objets/charbon.png", 3)</f>
        <v/>
      </c>
      <c r="AV327" s="638" t="s">
        <v>3006</v>
      </c>
      <c r="AW327" s="630"/>
      <c r="AX327" s="647"/>
      <c r="AY327" s="619"/>
      <c r="AZ327" s="698" t="s">
        <v>162</v>
      </c>
      <c r="BA327" s="690"/>
      <c r="BB327" s="650"/>
      <c r="BC327" s="619"/>
      <c r="BD327" s="651" t="s">
        <v>150</v>
      </c>
      <c r="BE327" s="653">
        <v>161.0</v>
      </c>
      <c r="BF327" s="653">
        <v>90.0</v>
      </c>
      <c r="BG327" s="654">
        <v>70.0</v>
      </c>
      <c r="BH327" s="653">
        <v>80.0</v>
      </c>
      <c r="BI327" s="607"/>
      <c r="BJ327" s="655" t="s">
        <v>149</v>
      </c>
      <c r="BK327" s="703" t="s">
        <v>149</v>
      </c>
      <c r="BL327" s="610"/>
      <c r="BM327" s="657" t="s">
        <v>277</v>
      </c>
      <c r="BN327" s="704"/>
      <c r="BO327" s="607"/>
      <c r="BP327" s="659" t="s">
        <v>914</v>
      </c>
      <c r="BQ327" s="614"/>
      <c r="BR327" s="660" t="s">
        <v>4432</v>
      </c>
      <c r="BS327" s="614"/>
    </row>
    <row r="328" ht="15.75" customHeight="1">
      <c r="A328" s="841"/>
      <c r="B328" s="661" t="s">
        <v>3011</v>
      </c>
      <c r="C328" s="662"/>
      <c r="D328" s="571"/>
      <c r="E328" s="672">
        <v>60.0</v>
      </c>
      <c r="F328" s="664">
        <v>25.0</v>
      </c>
      <c r="G328" s="665">
        <v>35.0</v>
      </c>
      <c r="H328" s="666">
        <v>70.0</v>
      </c>
      <c r="I328" s="667">
        <v>80.0</v>
      </c>
      <c r="J328" s="668">
        <v>60.0</v>
      </c>
      <c r="K328" s="669">
        <v>330.0</v>
      </c>
      <c r="L328" s="670">
        <v>60.0</v>
      </c>
      <c r="M328" s="664">
        <v>25.0</v>
      </c>
      <c r="N328" s="665">
        <v>35.0</v>
      </c>
      <c r="O328" s="666">
        <v>70.0</v>
      </c>
      <c r="P328" s="667">
        <v>80.0</v>
      </c>
      <c r="Q328" s="668">
        <v>60.0</v>
      </c>
      <c r="R328" s="671">
        <v>330.0</v>
      </c>
      <c r="S328" s="672">
        <v>60.0</v>
      </c>
      <c r="T328" s="664">
        <v>25.0</v>
      </c>
      <c r="U328" s="665">
        <v>35.0</v>
      </c>
      <c r="V328" s="666">
        <v>70.0</v>
      </c>
      <c r="W328" s="667">
        <v>80.0</v>
      </c>
      <c r="X328" s="668">
        <v>60.0</v>
      </c>
      <c r="Y328" s="671">
        <f t="shared" si="1"/>
        <v>330</v>
      </c>
      <c r="Z328" s="571"/>
      <c r="AA328" s="673" t="str">
        <f t="shared" si="2"/>
        <v>#NAME?</v>
      </c>
      <c r="AB328" s="871" t="s">
        <v>122</v>
      </c>
      <c r="AC328" s="675" t="str">
        <f t="shared" si="3"/>
        <v>#NAME?</v>
      </c>
      <c r="AD328" s="872" t="s">
        <v>4428</v>
      </c>
      <c r="AE328" s="676" t="str">
        <f t="shared" si="4"/>
        <v>#NAME?</v>
      </c>
      <c r="AF328" s="871" t="s">
        <v>122</v>
      </c>
      <c r="AG328" s="675" t="str">
        <f t="shared" si="5"/>
        <v>#NAME?</v>
      </c>
      <c r="AH328" s="586" t="s">
        <v>4428</v>
      </c>
      <c r="AI328" s="677" t="str">
        <f t="shared" si="6"/>
        <v>#NAME?</v>
      </c>
      <c r="AJ328" s="586" t="s">
        <v>122</v>
      </c>
      <c r="AK328" s="584" t="str">
        <f t="shared" si="7"/>
        <v>#NAME?</v>
      </c>
      <c r="AL328" s="678" t="s">
        <v>4428</v>
      </c>
      <c r="AM328" s="571"/>
      <c r="AN328" s="679" t="s">
        <v>944</v>
      </c>
      <c r="AO328" s="680" t="s">
        <v>871</v>
      </c>
      <c r="AP328" s="705" t="s">
        <v>944</v>
      </c>
      <c r="AQ328" s="680" t="s">
        <v>871</v>
      </c>
      <c r="AR328" s="705" t="s">
        <v>944</v>
      </c>
      <c r="AS328" s="680" t="s">
        <v>871</v>
      </c>
      <c r="AT328" s="595"/>
      <c r="AU328" s="676"/>
      <c r="AV328" s="679"/>
      <c r="AW328" s="673"/>
      <c r="AX328" s="866"/>
      <c r="AY328" s="571"/>
      <c r="AZ328" s="695" t="s">
        <v>27</v>
      </c>
      <c r="BA328" s="700"/>
      <c r="BB328" s="690"/>
      <c r="BC328" s="571"/>
      <c r="BD328" s="651" t="s">
        <v>468</v>
      </c>
      <c r="BE328" s="653">
        <v>89.0</v>
      </c>
      <c r="BF328" s="653">
        <v>255.0</v>
      </c>
      <c r="BG328" s="654">
        <v>70.0</v>
      </c>
      <c r="BH328" s="653">
        <v>60.0</v>
      </c>
      <c r="BI328" s="607"/>
      <c r="BJ328" s="655" t="s">
        <v>149</v>
      </c>
      <c r="BK328" s="703" t="s">
        <v>149</v>
      </c>
      <c r="BL328" s="610"/>
      <c r="BM328" s="657" t="s">
        <v>277</v>
      </c>
      <c r="BN328" s="704"/>
      <c r="BO328" s="607"/>
      <c r="BP328" s="659" t="s">
        <v>3015</v>
      </c>
      <c r="BQ328" s="614"/>
      <c r="BR328" s="660" t="s">
        <v>4449</v>
      </c>
      <c r="BS328" s="614"/>
    </row>
    <row r="329" ht="15.75" customHeight="1">
      <c r="A329" s="841"/>
      <c r="B329" s="617" t="s">
        <v>3021</v>
      </c>
      <c r="C329" s="618"/>
      <c r="D329" s="619"/>
      <c r="E329" s="629">
        <v>80.0</v>
      </c>
      <c r="F329" s="750">
        <v>45.0</v>
      </c>
      <c r="G329" s="622">
        <v>65.0</v>
      </c>
      <c r="H329" s="623">
        <v>90.0</v>
      </c>
      <c r="I329" s="624">
        <v>110.0</v>
      </c>
      <c r="J329" s="625">
        <v>80.0</v>
      </c>
      <c r="K329" s="749">
        <v>470.0</v>
      </c>
      <c r="L329" s="627">
        <v>80.0</v>
      </c>
      <c r="M329" s="621">
        <v>45.0</v>
      </c>
      <c r="N329" s="622">
        <v>65.0</v>
      </c>
      <c r="O329" s="623">
        <v>90.0</v>
      </c>
      <c r="P329" s="624">
        <v>110.0</v>
      </c>
      <c r="Q329" s="625">
        <v>80.0</v>
      </c>
      <c r="R329" s="628">
        <v>470.0</v>
      </c>
      <c r="S329" s="629">
        <v>80.0</v>
      </c>
      <c r="T329" s="621">
        <v>45.0</v>
      </c>
      <c r="U329" s="622">
        <v>65.0</v>
      </c>
      <c r="V329" s="623">
        <v>90.0</v>
      </c>
      <c r="W329" s="624">
        <v>110.0</v>
      </c>
      <c r="X329" s="625">
        <v>80.0</v>
      </c>
      <c r="Y329" s="628">
        <f t="shared" si="1"/>
        <v>470</v>
      </c>
      <c r="Z329" s="619"/>
      <c r="AA329" s="630" t="str">
        <f t="shared" si="2"/>
        <v>#NAME?</v>
      </c>
      <c r="AB329" s="869" t="s">
        <v>122</v>
      </c>
      <c r="AC329" s="632" t="str">
        <f t="shared" si="3"/>
        <v>#NAME?</v>
      </c>
      <c r="AD329" s="870" t="s">
        <v>4428</v>
      </c>
      <c r="AE329" s="633" t="str">
        <f t="shared" si="4"/>
        <v>#NAME?</v>
      </c>
      <c r="AF329" s="869" t="s">
        <v>122</v>
      </c>
      <c r="AG329" s="632" t="str">
        <f t="shared" si="5"/>
        <v>#NAME?</v>
      </c>
      <c r="AH329" s="634" t="s">
        <v>4428</v>
      </c>
      <c r="AI329" s="635" t="str">
        <f t="shared" si="6"/>
        <v>#NAME?</v>
      </c>
      <c r="AJ329" s="634" t="s">
        <v>122</v>
      </c>
      <c r="AK329" s="636" t="str">
        <f t="shared" si="7"/>
        <v>#NAME?</v>
      </c>
      <c r="AL329" s="637" t="s">
        <v>4428</v>
      </c>
      <c r="AM329" s="619"/>
      <c r="AN329" s="638" t="s">
        <v>944</v>
      </c>
      <c r="AO329" s="639" t="s">
        <v>871</v>
      </c>
      <c r="AP329" s="712" t="s">
        <v>944</v>
      </c>
      <c r="AQ329" s="639" t="s">
        <v>871</v>
      </c>
      <c r="AR329" s="712" t="s">
        <v>944</v>
      </c>
      <c r="AS329" s="639" t="s">
        <v>871</v>
      </c>
      <c r="AT329" s="644"/>
      <c r="AU329" s="633"/>
      <c r="AV329" s="638"/>
      <c r="AW329" s="630"/>
      <c r="AX329" s="647"/>
      <c r="AY329" s="619"/>
      <c r="AZ329" s="698" t="s">
        <v>815</v>
      </c>
      <c r="BA329" s="690"/>
      <c r="BB329" s="650"/>
      <c r="BC329" s="619"/>
      <c r="BD329" s="651" t="s">
        <v>468</v>
      </c>
      <c r="BE329" s="653">
        <v>164.0</v>
      </c>
      <c r="BF329" s="653">
        <v>60.0</v>
      </c>
      <c r="BG329" s="654">
        <v>70.0</v>
      </c>
      <c r="BH329" s="653">
        <v>80.0</v>
      </c>
      <c r="BI329" s="607"/>
      <c r="BJ329" s="655" t="s">
        <v>149</v>
      </c>
      <c r="BK329" s="703" t="s">
        <v>149</v>
      </c>
      <c r="BL329" s="610"/>
      <c r="BM329" s="657" t="s">
        <v>277</v>
      </c>
      <c r="BN329" s="704"/>
      <c r="BO329" s="607"/>
      <c r="BP329" s="659" t="s">
        <v>3025</v>
      </c>
      <c r="BQ329" s="614"/>
      <c r="BR329" s="660" t="s">
        <v>4434</v>
      </c>
      <c r="BS329" s="614"/>
    </row>
    <row r="330" ht="15.75" customHeight="1">
      <c r="A330" s="841"/>
      <c r="B330" s="661" t="s">
        <v>3030</v>
      </c>
      <c r="C330" s="662"/>
      <c r="D330" s="571"/>
      <c r="E330" s="672">
        <v>60.0</v>
      </c>
      <c r="F330" s="664">
        <v>60.0</v>
      </c>
      <c r="G330" s="665">
        <v>60.0</v>
      </c>
      <c r="H330" s="666">
        <v>60.0</v>
      </c>
      <c r="I330" s="667">
        <v>60.0</v>
      </c>
      <c r="J330" s="668">
        <v>60.0</v>
      </c>
      <c r="K330" s="669">
        <v>360.0</v>
      </c>
      <c r="L330" s="670">
        <v>60.0</v>
      </c>
      <c r="M330" s="664">
        <v>60.0</v>
      </c>
      <c r="N330" s="665">
        <v>60.0</v>
      </c>
      <c r="O330" s="666">
        <v>60.0</v>
      </c>
      <c r="P330" s="667">
        <v>60.0</v>
      </c>
      <c r="Q330" s="668">
        <v>60.0</v>
      </c>
      <c r="R330" s="671">
        <v>360.0</v>
      </c>
      <c r="S330" s="769">
        <v>75.0</v>
      </c>
      <c r="T330" s="741">
        <v>75.0</v>
      </c>
      <c r="U330" s="742">
        <v>75.0</v>
      </c>
      <c r="V330" s="743">
        <v>75.0</v>
      </c>
      <c r="W330" s="744">
        <v>75.0</v>
      </c>
      <c r="X330" s="745">
        <v>75.0</v>
      </c>
      <c r="Y330" s="671">
        <f t="shared" si="1"/>
        <v>450</v>
      </c>
      <c r="Z330" s="571"/>
      <c r="AA330" s="673" t="str">
        <f t="shared" si="2"/>
        <v>#NAME?</v>
      </c>
      <c r="AB330" s="871" t="s">
        <v>156</v>
      </c>
      <c r="AC330" s="675" t="str">
        <f t="shared" si="3"/>
        <v>#NAME?</v>
      </c>
      <c r="AD330" s="872" t="s">
        <v>4428</v>
      </c>
      <c r="AE330" s="676" t="str">
        <f t="shared" si="4"/>
        <v>#NAME?</v>
      </c>
      <c r="AF330" s="871" t="s">
        <v>156</v>
      </c>
      <c r="AG330" s="675" t="str">
        <f t="shared" si="5"/>
        <v>#NAME?</v>
      </c>
      <c r="AH330" s="586" t="s">
        <v>4428</v>
      </c>
      <c r="AI330" s="677" t="str">
        <f t="shared" si="6"/>
        <v>#NAME?</v>
      </c>
      <c r="AJ330" s="586" t="s">
        <v>156</v>
      </c>
      <c r="AK330" s="584" t="str">
        <f t="shared" si="7"/>
        <v>#NAME?</v>
      </c>
      <c r="AL330" s="678" t="s">
        <v>4428</v>
      </c>
      <c r="AM330" s="571"/>
      <c r="AN330" s="679" t="s">
        <v>871</v>
      </c>
      <c r="AO330" s="680" t="s">
        <v>236</v>
      </c>
      <c r="AP330" s="705" t="s">
        <v>871</v>
      </c>
      <c r="AQ330" s="680" t="s">
        <v>236</v>
      </c>
      <c r="AR330" s="705" t="s">
        <v>871</v>
      </c>
      <c r="AS330" s="680" t="s">
        <v>236</v>
      </c>
      <c r="AT330" s="595"/>
      <c r="AU330" s="676"/>
      <c r="AV330" s="679"/>
      <c r="AW330" s="673"/>
      <c r="AX330" s="866"/>
      <c r="AY330" s="571"/>
      <c r="AZ330" s="695" t="s">
        <v>4</v>
      </c>
      <c r="BA330" s="700"/>
      <c r="BB330" s="690"/>
      <c r="BC330" s="571"/>
      <c r="BD330" s="651" t="s">
        <v>468</v>
      </c>
      <c r="BE330" s="653">
        <v>85.0</v>
      </c>
      <c r="BF330" s="653">
        <v>255.0</v>
      </c>
      <c r="BG330" s="654">
        <v>70.0</v>
      </c>
      <c r="BH330" s="653">
        <v>20.0</v>
      </c>
      <c r="BI330" s="607"/>
      <c r="BJ330" s="655" t="s">
        <v>149</v>
      </c>
      <c r="BK330" s="703" t="s">
        <v>149</v>
      </c>
      <c r="BL330" s="610"/>
      <c r="BM330" s="657" t="s">
        <v>277</v>
      </c>
      <c r="BN330" s="658" t="s">
        <v>728</v>
      </c>
      <c r="BO330" s="607"/>
      <c r="BP330" s="659" t="s">
        <v>914</v>
      </c>
      <c r="BQ330" s="614"/>
      <c r="BR330" s="660" t="s">
        <v>4432</v>
      </c>
      <c r="BS330" s="614"/>
    </row>
    <row r="331" ht="15.75" customHeight="1">
      <c r="A331" s="841"/>
      <c r="B331" s="617" t="s">
        <v>3037</v>
      </c>
      <c r="C331" s="618"/>
      <c r="D331" s="619"/>
      <c r="E331" s="629">
        <v>45.0</v>
      </c>
      <c r="F331" s="621">
        <v>100.0</v>
      </c>
      <c r="G331" s="622">
        <v>45.0</v>
      </c>
      <c r="H331" s="748">
        <v>45.0</v>
      </c>
      <c r="I331" s="624">
        <v>45.0</v>
      </c>
      <c r="J331" s="625">
        <v>10.0</v>
      </c>
      <c r="K331" s="749">
        <v>290.0</v>
      </c>
      <c r="L331" s="627">
        <v>45.0</v>
      </c>
      <c r="M331" s="621">
        <v>100.0</v>
      </c>
      <c r="N331" s="622">
        <v>45.0</v>
      </c>
      <c r="O331" s="623">
        <v>45.0</v>
      </c>
      <c r="P331" s="624">
        <v>45.0</v>
      </c>
      <c r="Q331" s="625">
        <v>10.0</v>
      </c>
      <c r="R331" s="628">
        <v>290.0</v>
      </c>
      <c r="S331" s="778">
        <v>55.0</v>
      </c>
      <c r="T331" s="621">
        <v>100.0</v>
      </c>
      <c r="U331" s="622">
        <v>45.0</v>
      </c>
      <c r="V331" s="623">
        <v>45.0</v>
      </c>
      <c r="W331" s="624">
        <v>45.0</v>
      </c>
      <c r="X331" s="625">
        <v>10.0</v>
      </c>
      <c r="Y331" s="628">
        <f t="shared" si="1"/>
        <v>300</v>
      </c>
      <c r="Z331" s="619"/>
      <c r="AA331" s="630" t="str">
        <f t="shared" si="2"/>
        <v>#NAME?</v>
      </c>
      <c r="AB331" s="869" t="s">
        <v>79</v>
      </c>
      <c r="AC331" s="632" t="str">
        <f t="shared" si="3"/>
        <v>#NAME?</v>
      </c>
      <c r="AD331" s="870" t="s">
        <v>4428</v>
      </c>
      <c r="AE331" s="633" t="str">
        <f t="shared" si="4"/>
        <v>#NAME?</v>
      </c>
      <c r="AF331" s="869" t="s">
        <v>79</v>
      </c>
      <c r="AG331" s="632" t="str">
        <f t="shared" si="5"/>
        <v>#NAME?</v>
      </c>
      <c r="AH331" s="634" t="s">
        <v>4428</v>
      </c>
      <c r="AI331" s="728" t="str">
        <f t="shared" si="6"/>
        <v>#NAME?</v>
      </c>
      <c r="AJ331" s="874" t="s">
        <v>4473</v>
      </c>
      <c r="AK331" s="875" t="str">
        <f t="shared" si="7"/>
        <v>#NAME?</v>
      </c>
      <c r="AL331" s="637" t="s">
        <v>4474</v>
      </c>
      <c r="AM331" s="619"/>
      <c r="AN331" s="638" t="s">
        <v>1050</v>
      </c>
      <c r="AO331" s="639" t="s">
        <v>608</v>
      </c>
      <c r="AP331" s="712" t="s">
        <v>1050</v>
      </c>
      <c r="AQ331" s="639" t="s">
        <v>608</v>
      </c>
      <c r="AR331" s="712" t="s">
        <v>1050</v>
      </c>
      <c r="AS331" s="639" t="s">
        <v>608</v>
      </c>
      <c r="AT331" s="644"/>
      <c r="AU331" s="633" t="str">
        <f>image("https://www.pokebip.com/pages/icones/objets/sable-doux.png", 3)</f>
        <v/>
      </c>
      <c r="AV331" s="638" t="s">
        <v>611</v>
      </c>
      <c r="AW331" s="630"/>
      <c r="AX331" s="647"/>
      <c r="AY331" s="619"/>
      <c r="AZ331" s="648" t="s">
        <v>325</v>
      </c>
      <c r="BA331" s="694"/>
      <c r="BB331" s="690"/>
      <c r="BC331" s="619"/>
      <c r="BD331" s="651" t="s">
        <v>15</v>
      </c>
      <c r="BE331" s="653">
        <v>73.0</v>
      </c>
      <c r="BF331" s="653">
        <v>255.0</v>
      </c>
      <c r="BG331" s="654">
        <v>70.0</v>
      </c>
      <c r="BH331" s="653">
        <v>40.0</v>
      </c>
      <c r="BI331" s="607"/>
      <c r="BJ331" s="655" t="s">
        <v>149</v>
      </c>
      <c r="BK331" s="703" t="s">
        <v>149</v>
      </c>
      <c r="BL331" s="610"/>
      <c r="BM331" s="657" t="s">
        <v>109</v>
      </c>
      <c r="BN331" s="704"/>
      <c r="BO331" s="607"/>
      <c r="BP331" s="659" t="s">
        <v>3042</v>
      </c>
      <c r="BQ331" s="614"/>
      <c r="BR331" s="660" t="s">
        <v>4432</v>
      </c>
      <c r="BS331" s="614"/>
    </row>
    <row r="332" ht="15.75" customHeight="1">
      <c r="A332" s="841"/>
      <c r="B332" s="661" t="s">
        <v>3047</v>
      </c>
      <c r="C332" s="662"/>
      <c r="D332" s="571"/>
      <c r="E332" s="672">
        <v>50.0</v>
      </c>
      <c r="F332" s="664">
        <v>70.0</v>
      </c>
      <c r="G332" s="665">
        <v>50.0</v>
      </c>
      <c r="H332" s="666">
        <v>50.0</v>
      </c>
      <c r="I332" s="667">
        <v>50.0</v>
      </c>
      <c r="J332" s="668">
        <v>70.0</v>
      </c>
      <c r="K332" s="669">
        <v>340.0</v>
      </c>
      <c r="L332" s="670">
        <v>50.0</v>
      </c>
      <c r="M332" s="664">
        <v>70.0</v>
      </c>
      <c r="N332" s="665">
        <v>50.0</v>
      </c>
      <c r="O332" s="666">
        <v>50.0</v>
      </c>
      <c r="P332" s="667">
        <v>50.0</v>
      </c>
      <c r="Q332" s="668">
        <v>70.0</v>
      </c>
      <c r="R332" s="671">
        <v>340.0</v>
      </c>
      <c r="S332" s="769">
        <v>60.0</v>
      </c>
      <c r="T332" s="741">
        <v>80.0</v>
      </c>
      <c r="U332" s="742">
        <v>55.0</v>
      </c>
      <c r="V332" s="743">
        <v>90.0</v>
      </c>
      <c r="W332" s="744">
        <v>55.0</v>
      </c>
      <c r="X332" s="668">
        <v>70.0</v>
      </c>
      <c r="Y332" s="671">
        <f t="shared" si="1"/>
        <v>410</v>
      </c>
      <c r="Z332" s="571"/>
      <c r="AA332" s="673" t="str">
        <f t="shared" si="2"/>
        <v>#NAME?</v>
      </c>
      <c r="AB332" s="871" t="s">
        <v>79</v>
      </c>
      <c r="AC332" s="675" t="str">
        <f t="shared" si="3"/>
        <v>#NAME?</v>
      </c>
      <c r="AD332" s="872" t="s">
        <v>61</v>
      </c>
      <c r="AE332" s="676" t="str">
        <f t="shared" si="4"/>
        <v>#NAME?</v>
      </c>
      <c r="AF332" s="871" t="s">
        <v>79</v>
      </c>
      <c r="AG332" s="675" t="str">
        <f t="shared" si="5"/>
        <v>#NAME?</v>
      </c>
      <c r="AH332" s="586" t="s">
        <v>61</v>
      </c>
      <c r="AI332" s="876" t="str">
        <f t="shared" si="6"/>
        <v>#NAME?</v>
      </c>
      <c r="AJ332" s="877" t="s">
        <v>4473</v>
      </c>
      <c r="AK332" s="584" t="str">
        <f t="shared" si="7"/>
        <v>#NAME?</v>
      </c>
      <c r="AL332" s="678" t="s">
        <v>61</v>
      </c>
      <c r="AM332" s="571"/>
      <c r="AN332" s="679" t="s">
        <v>1001</v>
      </c>
      <c r="AO332" s="680"/>
      <c r="AP332" s="705" t="s">
        <v>1001</v>
      </c>
      <c r="AQ332" s="878" t="s">
        <v>1001</v>
      </c>
      <c r="AR332" s="736" t="s">
        <v>2522</v>
      </c>
      <c r="AS332" s="737" t="s">
        <v>1001</v>
      </c>
      <c r="AT332" s="595"/>
      <c r="AU332" s="676"/>
      <c r="AV332" s="679"/>
      <c r="AW332" s="673"/>
      <c r="AX332" s="866"/>
      <c r="AY332" s="571"/>
      <c r="AZ332" s="695" t="s">
        <v>325</v>
      </c>
      <c r="BA332" s="691" t="s">
        <v>3051</v>
      </c>
      <c r="BB332" s="879" t="s">
        <v>4475</v>
      </c>
      <c r="BC332" s="571"/>
      <c r="BD332" s="651" t="s">
        <v>15</v>
      </c>
      <c r="BE332" s="653">
        <v>126.0</v>
      </c>
      <c r="BF332" s="653">
        <v>120.0</v>
      </c>
      <c r="BG332" s="654">
        <v>70.0</v>
      </c>
      <c r="BH332" s="653">
        <v>40.0</v>
      </c>
      <c r="BI332" s="607"/>
      <c r="BJ332" s="655" t="s">
        <v>149</v>
      </c>
      <c r="BK332" s="703" t="s">
        <v>149</v>
      </c>
      <c r="BL332" s="610"/>
      <c r="BM332" s="657" t="s">
        <v>109</v>
      </c>
      <c r="BN332" s="704"/>
      <c r="BO332" s="607"/>
      <c r="BP332" s="659" t="s">
        <v>4476</v>
      </c>
      <c r="BQ332" s="614"/>
      <c r="BR332" s="660" t="s">
        <v>4427</v>
      </c>
      <c r="BS332" s="614"/>
    </row>
    <row r="333" ht="15.75" customHeight="1">
      <c r="A333" s="841"/>
      <c r="B333" s="617" t="s">
        <v>3059</v>
      </c>
      <c r="C333" s="618"/>
      <c r="D333" s="619"/>
      <c r="E333" s="629">
        <v>80.0</v>
      </c>
      <c r="F333" s="621">
        <v>100.0</v>
      </c>
      <c r="G333" s="622">
        <v>80.0</v>
      </c>
      <c r="H333" s="623">
        <v>80.0</v>
      </c>
      <c r="I333" s="624">
        <v>80.0</v>
      </c>
      <c r="J333" s="625">
        <v>100.0</v>
      </c>
      <c r="K333" s="626">
        <v>520.0</v>
      </c>
      <c r="L333" s="627">
        <v>80.0</v>
      </c>
      <c r="M333" s="621">
        <v>100.0</v>
      </c>
      <c r="N333" s="622">
        <v>80.0</v>
      </c>
      <c r="O333" s="623">
        <v>80.0</v>
      </c>
      <c r="P333" s="624">
        <v>80.0</v>
      </c>
      <c r="Q333" s="625">
        <v>100.0</v>
      </c>
      <c r="R333" s="628">
        <v>520.0</v>
      </c>
      <c r="S333" s="778">
        <v>90.0</v>
      </c>
      <c r="T333" s="750">
        <v>110.0</v>
      </c>
      <c r="U333" s="751">
        <v>85.0</v>
      </c>
      <c r="V333" s="748">
        <v>130.0</v>
      </c>
      <c r="W333" s="752">
        <v>85.0</v>
      </c>
      <c r="X333" s="625">
        <v>100.0</v>
      </c>
      <c r="Y333" s="628">
        <f t="shared" si="1"/>
        <v>600</v>
      </c>
      <c r="Z333" s="619"/>
      <c r="AA333" s="630" t="str">
        <f t="shared" si="2"/>
        <v>#NAME?</v>
      </c>
      <c r="AB333" s="869" t="s">
        <v>79</v>
      </c>
      <c r="AC333" s="632" t="str">
        <f t="shared" si="3"/>
        <v>#NAME?</v>
      </c>
      <c r="AD333" s="870" t="s">
        <v>61</v>
      </c>
      <c r="AE333" s="633" t="str">
        <f t="shared" si="4"/>
        <v>#NAME?</v>
      </c>
      <c r="AF333" s="869" t="s">
        <v>79</v>
      </c>
      <c r="AG333" s="632" t="str">
        <f t="shared" si="5"/>
        <v>#NAME?</v>
      </c>
      <c r="AH333" s="634" t="s">
        <v>61</v>
      </c>
      <c r="AI333" s="732" t="str">
        <f t="shared" si="6"/>
        <v>#NAME?</v>
      </c>
      <c r="AJ333" s="733" t="s">
        <v>4473</v>
      </c>
      <c r="AK333" s="636" t="str">
        <f t="shared" si="7"/>
        <v>#NAME?</v>
      </c>
      <c r="AL333" s="637" t="s">
        <v>61</v>
      </c>
      <c r="AM333" s="619"/>
      <c r="AN333" s="638" t="s">
        <v>1001</v>
      </c>
      <c r="AO333" s="639"/>
      <c r="AP333" s="712" t="s">
        <v>1001</v>
      </c>
      <c r="AQ333" s="713" t="s">
        <v>1001</v>
      </c>
      <c r="AR333" s="642" t="s">
        <v>2522</v>
      </c>
      <c r="AS333" s="643" t="s">
        <v>1001</v>
      </c>
      <c r="AT333" s="644"/>
      <c r="AU333" s="633"/>
      <c r="AV333" s="638"/>
      <c r="AW333" s="630"/>
      <c r="AX333" s="647"/>
      <c r="AY333" s="619"/>
      <c r="AZ333" s="648" t="s">
        <v>325</v>
      </c>
      <c r="BA333" s="649" t="s">
        <v>3063</v>
      </c>
      <c r="BB333" s="880" t="s">
        <v>4477</v>
      </c>
      <c r="BC333" s="619"/>
      <c r="BD333" s="651" t="s">
        <v>15</v>
      </c>
      <c r="BE333" s="653">
        <v>197.0</v>
      </c>
      <c r="BF333" s="653">
        <v>45.0</v>
      </c>
      <c r="BG333" s="654">
        <v>70.0</v>
      </c>
      <c r="BH333" s="653">
        <v>80.0</v>
      </c>
      <c r="BI333" s="607"/>
      <c r="BJ333" s="655" t="s">
        <v>149</v>
      </c>
      <c r="BK333" s="703" t="s">
        <v>149</v>
      </c>
      <c r="BL333" s="610"/>
      <c r="BM333" s="657" t="s">
        <v>109</v>
      </c>
      <c r="BN333" s="704"/>
      <c r="BO333" s="607"/>
      <c r="BP333" s="659" t="s">
        <v>3067</v>
      </c>
      <c r="BQ333" s="614"/>
      <c r="BR333" s="660" t="s">
        <v>4427</v>
      </c>
      <c r="BS333" s="614"/>
    </row>
    <row r="334" ht="15.75" customHeight="1">
      <c r="A334" s="841"/>
      <c r="B334" s="661" t="s">
        <v>3072</v>
      </c>
      <c r="C334" s="662"/>
      <c r="D334" s="571"/>
      <c r="E334" s="672">
        <v>50.0</v>
      </c>
      <c r="F334" s="664">
        <v>85.0</v>
      </c>
      <c r="G334" s="665">
        <v>40.0</v>
      </c>
      <c r="H334" s="666">
        <v>85.0</v>
      </c>
      <c r="I334" s="667">
        <v>40.0</v>
      </c>
      <c r="J334" s="668">
        <v>35.0</v>
      </c>
      <c r="K334" s="669">
        <v>335.0</v>
      </c>
      <c r="L334" s="670">
        <v>50.0</v>
      </c>
      <c r="M334" s="664">
        <v>85.0</v>
      </c>
      <c r="N334" s="665">
        <v>40.0</v>
      </c>
      <c r="O334" s="666">
        <v>85.0</v>
      </c>
      <c r="P334" s="667">
        <v>40.0</v>
      </c>
      <c r="Q334" s="668">
        <v>35.0</v>
      </c>
      <c r="R334" s="671">
        <v>335.0</v>
      </c>
      <c r="S334" s="672">
        <v>50.0</v>
      </c>
      <c r="T334" s="664">
        <v>85.0</v>
      </c>
      <c r="U334" s="665">
        <v>40.0</v>
      </c>
      <c r="V334" s="666">
        <v>85.0</v>
      </c>
      <c r="W334" s="667">
        <v>40.0</v>
      </c>
      <c r="X334" s="668">
        <v>35.0</v>
      </c>
      <c r="Y334" s="671">
        <f t="shared" si="1"/>
        <v>335</v>
      </c>
      <c r="Z334" s="571"/>
      <c r="AA334" s="673" t="str">
        <f t="shared" si="2"/>
        <v>#NAME?</v>
      </c>
      <c r="AB334" s="871" t="s">
        <v>6</v>
      </c>
      <c r="AC334" s="675" t="str">
        <f t="shared" si="3"/>
        <v>#NAME?</v>
      </c>
      <c r="AD334" s="872" t="s">
        <v>4428</v>
      </c>
      <c r="AE334" s="676" t="str">
        <f t="shared" si="4"/>
        <v>#NAME?</v>
      </c>
      <c r="AF334" s="871" t="s">
        <v>6</v>
      </c>
      <c r="AG334" s="675" t="str">
        <f t="shared" si="5"/>
        <v>#NAME?</v>
      </c>
      <c r="AH334" s="586" t="s">
        <v>4428</v>
      </c>
      <c r="AI334" s="677" t="str">
        <f t="shared" si="6"/>
        <v>#NAME?</v>
      </c>
      <c r="AJ334" s="586" t="s">
        <v>6</v>
      </c>
      <c r="AK334" s="584" t="str">
        <f t="shared" si="7"/>
        <v>#NAME?</v>
      </c>
      <c r="AL334" s="678" t="s">
        <v>4428</v>
      </c>
      <c r="AM334" s="571"/>
      <c r="AN334" s="679" t="s">
        <v>376</v>
      </c>
      <c r="AO334" s="680"/>
      <c r="AP334" s="734" t="s">
        <v>1691</v>
      </c>
      <c r="AQ334" s="682" t="s">
        <v>376</v>
      </c>
      <c r="AR334" s="683" t="s">
        <v>1691</v>
      </c>
      <c r="AS334" s="684" t="s">
        <v>376</v>
      </c>
      <c r="AT334" s="595"/>
      <c r="AU334" s="676" t="str">
        <f t="shared" ref="AU334:AU335" si="44">image("https://www.pokebip.com/pages/icones/objets/piquants.png", 3)</f>
        <v/>
      </c>
      <c r="AV334" s="679" t="s">
        <v>3078</v>
      </c>
      <c r="AW334" s="673"/>
      <c r="AX334" s="866"/>
      <c r="AY334" s="571"/>
      <c r="AZ334" s="695" t="s">
        <v>4</v>
      </c>
      <c r="BA334" s="696"/>
      <c r="BB334" s="881" t="s">
        <v>4478</v>
      </c>
      <c r="BC334" s="571"/>
      <c r="BD334" s="651" t="s">
        <v>15</v>
      </c>
      <c r="BE334" s="653">
        <v>97.0</v>
      </c>
      <c r="BF334" s="653">
        <v>190.0</v>
      </c>
      <c r="BG334" s="654">
        <v>35.0</v>
      </c>
      <c r="BH334" s="653">
        <v>80.0</v>
      </c>
      <c r="BI334" s="607"/>
      <c r="BJ334" s="655" t="s">
        <v>149</v>
      </c>
      <c r="BK334" s="703" t="s">
        <v>149</v>
      </c>
      <c r="BL334" s="610"/>
      <c r="BM334" s="657" t="s">
        <v>6</v>
      </c>
      <c r="BN334" s="658" t="s">
        <v>728</v>
      </c>
      <c r="BO334" s="607"/>
      <c r="BP334" s="659" t="s">
        <v>3077</v>
      </c>
      <c r="BQ334" s="614"/>
      <c r="BR334" s="660" t="s">
        <v>4427</v>
      </c>
      <c r="BS334" s="614"/>
    </row>
    <row r="335" ht="15.75" customHeight="1">
      <c r="A335" s="841"/>
      <c r="B335" s="617" t="s">
        <v>3083</v>
      </c>
      <c r="C335" s="618"/>
      <c r="D335" s="619"/>
      <c r="E335" s="629">
        <v>70.0</v>
      </c>
      <c r="F335" s="621">
        <v>115.0</v>
      </c>
      <c r="G335" s="622">
        <v>60.0</v>
      </c>
      <c r="H335" s="748">
        <v>115.0</v>
      </c>
      <c r="I335" s="624">
        <v>60.0</v>
      </c>
      <c r="J335" s="625">
        <v>55.0</v>
      </c>
      <c r="K335" s="749">
        <v>475.0</v>
      </c>
      <c r="L335" s="627">
        <v>70.0</v>
      </c>
      <c r="M335" s="621">
        <v>115.0</v>
      </c>
      <c r="N335" s="622">
        <v>60.0</v>
      </c>
      <c r="O335" s="623">
        <v>115.0</v>
      </c>
      <c r="P335" s="624">
        <v>60.0</v>
      </c>
      <c r="Q335" s="625">
        <v>55.0</v>
      </c>
      <c r="R335" s="628">
        <v>475.0</v>
      </c>
      <c r="S335" s="629">
        <v>70.0</v>
      </c>
      <c r="T335" s="621">
        <v>115.0</v>
      </c>
      <c r="U335" s="622">
        <v>60.0</v>
      </c>
      <c r="V335" s="623">
        <v>115.0</v>
      </c>
      <c r="W335" s="624">
        <v>60.0</v>
      </c>
      <c r="X335" s="625">
        <v>55.0</v>
      </c>
      <c r="Y335" s="628">
        <f t="shared" si="1"/>
        <v>475</v>
      </c>
      <c r="Z335" s="619"/>
      <c r="AA335" s="630" t="str">
        <f t="shared" si="2"/>
        <v>#NAME?</v>
      </c>
      <c r="AB335" s="869" t="s">
        <v>6</v>
      </c>
      <c r="AC335" s="632" t="str">
        <f t="shared" si="3"/>
        <v>#NAME?</v>
      </c>
      <c r="AD335" s="870" t="s">
        <v>76</v>
      </c>
      <c r="AE335" s="633" t="str">
        <f t="shared" si="4"/>
        <v>#NAME?</v>
      </c>
      <c r="AF335" s="869" t="s">
        <v>6</v>
      </c>
      <c r="AG335" s="632" t="str">
        <f t="shared" si="5"/>
        <v>#NAME?</v>
      </c>
      <c r="AH335" s="634" t="s">
        <v>76</v>
      </c>
      <c r="AI335" s="635" t="str">
        <f t="shared" si="6"/>
        <v>#NAME?</v>
      </c>
      <c r="AJ335" s="634" t="s">
        <v>6</v>
      </c>
      <c r="AK335" s="636" t="str">
        <f t="shared" si="7"/>
        <v>#NAME?</v>
      </c>
      <c r="AL335" s="637" t="s">
        <v>76</v>
      </c>
      <c r="AM335" s="619"/>
      <c r="AN335" s="638" t="s">
        <v>376</v>
      </c>
      <c r="AO335" s="639"/>
      <c r="AP335" s="640" t="s">
        <v>1691</v>
      </c>
      <c r="AQ335" s="641" t="s">
        <v>376</v>
      </c>
      <c r="AR335" s="642" t="s">
        <v>1691</v>
      </c>
      <c r="AS335" s="643" t="s">
        <v>376</v>
      </c>
      <c r="AT335" s="644"/>
      <c r="AU335" s="633" t="str">
        <f t="shared" si="44"/>
        <v/>
      </c>
      <c r="AV335" s="638" t="s">
        <v>3078</v>
      </c>
      <c r="AW335" s="630"/>
      <c r="AX335" s="647"/>
      <c r="AY335" s="619"/>
      <c r="AZ335" s="648" t="s">
        <v>325</v>
      </c>
      <c r="BA335" s="649" t="s">
        <v>4</v>
      </c>
      <c r="BB335" s="650"/>
      <c r="BC335" s="619"/>
      <c r="BD335" s="651" t="s">
        <v>15</v>
      </c>
      <c r="BE335" s="653">
        <v>177.0</v>
      </c>
      <c r="BF335" s="653">
        <v>60.0</v>
      </c>
      <c r="BG335" s="654">
        <v>35.0</v>
      </c>
      <c r="BH335" s="653">
        <v>80.0</v>
      </c>
      <c r="BI335" s="607"/>
      <c r="BJ335" s="655" t="s">
        <v>149</v>
      </c>
      <c r="BK335" s="703" t="s">
        <v>149</v>
      </c>
      <c r="BL335" s="610"/>
      <c r="BM335" s="657" t="s">
        <v>6</v>
      </c>
      <c r="BN335" s="658" t="s">
        <v>728</v>
      </c>
      <c r="BO335" s="607"/>
      <c r="BP335" s="659" t="s">
        <v>3087</v>
      </c>
      <c r="BQ335" s="614"/>
      <c r="BR335" s="660" t="s">
        <v>4427</v>
      </c>
      <c r="BS335" s="614"/>
    </row>
    <row r="336" ht="15.75" customHeight="1">
      <c r="A336" s="841"/>
      <c r="B336" s="661" t="s">
        <v>3092</v>
      </c>
      <c r="C336" s="662"/>
      <c r="D336" s="571"/>
      <c r="E336" s="672">
        <v>45.0</v>
      </c>
      <c r="F336" s="664">
        <v>40.0</v>
      </c>
      <c r="G336" s="665">
        <v>60.0</v>
      </c>
      <c r="H336" s="666">
        <v>40.0</v>
      </c>
      <c r="I336" s="667">
        <v>75.0</v>
      </c>
      <c r="J336" s="668">
        <v>50.0</v>
      </c>
      <c r="K336" s="669">
        <v>310.0</v>
      </c>
      <c r="L336" s="670">
        <v>45.0</v>
      </c>
      <c r="M336" s="664">
        <v>40.0</v>
      </c>
      <c r="N336" s="665">
        <v>60.0</v>
      </c>
      <c r="O336" s="666">
        <v>40.0</v>
      </c>
      <c r="P336" s="667">
        <v>75.0</v>
      </c>
      <c r="Q336" s="668">
        <v>50.0</v>
      </c>
      <c r="R336" s="671">
        <v>310.0</v>
      </c>
      <c r="S336" s="672">
        <v>45.0</v>
      </c>
      <c r="T336" s="741">
        <v>60.0</v>
      </c>
      <c r="U336" s="665">
        <v>60.0</v>
      </c>
      <c r="V336" s="743">
        <v>60.0</v>
      </c>
      <c r="W336" s="667">
        <v>75.0</v>
      </c>
      <c r="X336" s="668">
        <v>50.0</v>
      </c>
      <c r="Y336" s="671">
        <f t="shared" si="1"/>
        <v>350</v>
      </c>
      <c r="Z336" s="571"/>
      <c r="AA336" s="673" t="str">
        <f t="shared" si="2"/>
        <v>#NAME?</v>
      </c>
      <c r="AB336" s="871" t="s">
        <v>156</v>
      </c>
      <c r="AC336" s="675" t="str">
        <f t="shared" si="3"/>
        <v>#NAME?</v>
      </c>
      <c r="AD336" s="872" t="s">
        <v>18</v>
      </c>
      <c r="AE336" s="676" t="str">
        <f t="shared" si="4"/>
        <v>#NAME?</v>
      </c>
      <c r="AF336" s="871" t="s">
        <v>156</v>
      </c>
      <c r="AG336" s="675" t="str">
        <f t="shared" si="5"/>
        <v>#NAME?</v>
      </c>
      <c r="AH336" s="586" t="s">
        <v>18</v>
      </c>
      <c r="AI336" s="770" t="str">
        <f t="shared" si="6"/>
        <v>#NAME?</v>
      </c>
      <c r="AJ336" s="771" t="s">
        <v>3017</v>
      </c>
      <c r="AK336" s="584" t="str">
        <f t="shared" si="7"/>
        <v>#NAME?</v>
      </c>
      <c r="AL336" s="678" t="s">
        <v>18</v>
      </c>
      <c r="AM336" s="571"/>
      <c r="AN336" s="679" t="s">
        <v>1182</v>
      </c>
      <c r="AO336" s="680"/>
      <c r="AP336" s="681" t="s">
        <v>3096</v>
      </c>
      <c r="AQ336" s="682" t="s">
        <v>1182</v>
      </c>
      <c r="AR336" s="683" t="s">
        <v>3096</v>
      </c>
      <c r="AS336" s="684" t="s">
        <v>1182</v>
      </c>
      <c r="AT336" s="595"/>
      <c r="AU336" s="676"/>
      <c r="AV336" s="679"/>
      <c r="AW336" s="673"/>
      <c r="AX336" s="866"/>
      <c r="AY336" s="571"/>
      <c r="AZ336" s="695" t="s">
        <v>27</v>
      </c>
      <c r="BA336" s="700"/>
      <c r="BB336" s="690"/>
      <c r="BC336" s="571"/>
      <c r="BD336" s="651" t="s">
        <v>2698</v>
      </c>
      <c r="BE336" s="653">
        <v>74.0</v>
      </c>
      <c r="BF336" s="653">
        <v>255.0</v>
      </c>
      <c r="BG336" s="654">
        <v>70.0</v>
      </c>
      <c r="BH336" s="653">
        <v>20.0</v>
      </c>
      <c r="BI336" s="607"/>
      <c r="BJ336" s="655" t="s">
        <v>149</v>
      </c>
      <c r="BK336" s="703" t="s">
        <v>149</v>
      </c>
      <c r="BL336" s="610"/>
      <c r="BM336" s="657" t="s">
        <v>18</v>
      </c>
      <c r="BN336" s="658" t="s">
        <v>61</v>
      </c>
      <c r="BO336" s="607"/>
      <c r="BP336" s="659" t="s">
        <v>3097</v>
      </c>
      <c r="BQ336" s="614"/>
      <c r="BR336" s="660" t="s">
        <v>4430</v>
      </c>
      <c r="BS336" s="614"/>
    </row>
    <row r="337" ht="15.75" customHeight="1">
      <c r="A337" s="841"/>
      <c r="B337" s="617" t="s">
        <v>3103</v>
      </c>
      <c r="C337" s="618"/>
      <c r="D337" s="619"/>
      <c r="E337" s="629">
        <v>75.0</v>
      </c>
      <c r="F337" s="621">
        <v>70.0</v>
      </c>
      <c r="G337" s="622">
        <v>90.0</v>
      </c>
      <c r="H337" s="623">
        <v>70.0</v>
      </c>
      <c r="I337" s="624">
        <v>105.0</v>
      </c>
      <c r="J337" s="625">
        <v>80.0</v>
      </c>
      <c r="K337" s="626">
        <v>490.0</v>
      </c>
      <c r="L337" s="627">
        <v>75.0</v>
      </c>
      <c r="M337" s="621">
        <v>70.0</v>
      </c>
      <c r="N337" s="622">
        <v>90.0</v>
      </c>
      <c r="O337" s="623">
        <v>70.0</v>
      </c>
      <c r="P337" s="624">
        <v>105.0</v>
      </c>
      <c r="Q337" s="625">
        <v>80.0</v>
      </c>
      <c r="R337" s="628">
        <v>490.0</v>
      </c>
      <c r="S337" s="629">
        <v>75.0</v>
      </c>
      <c r="T337" s="750">
        <v>90.0</v>
      </c>
      <c r="U337" s="622">
        <v>90.0</v>
      </c>
      <c r="V337" s="748">
        <v>90.0</v>
      </c>
      <c r="W337" s="624">
        <v>105.0</v>
      </c>
      <c r="X337" s="625">
        <v>80.0</v>
      </c>
      <c r="Y337" s="628">
        <f t="shared" si="1"/>
        <v>530</v>
      </c>
      <c r="Z337" s="619"/>
      <c r="AA337" s="630" t="str">
        <f t="shared" si="2"/>
        <v>#NAME?</v>
      </c>
      <c r="AB337" s="869" t="s">
        <v>61</v>
      </c>
      <c r="AC337" s="632" t="str">
        <f t="shared" si="3"/>
        <v>#NAME?</v>
      </c>
      <c r="AD337" s="870" t="s">
        <v>18</v>
      </c>
      <c r="AE337" s="633" t="str">
        <f t="shared" si="4"/>
        <v>#NAME?</v>
      </c>
      <c r="AF337" s="869" t="s">
        <v>61</v>
      </c>
      <c r="AG337" s="632" t="str">
        <f t="shared" si="5"/>
        <v>#NAME?</v>
      </c>
      <c r="AH337" s="634" t="s">
        <v>18</v>
      </c>
      <c r="AI337" s="635" t="str">
        <f t="shared" si="6"/>
        <v>#NAME?</v>
      </c>
      <c r="AJ337" s="634" t="s">
        <v>61</v>
      </c>
      <c r="AK337" s="697" t="str">
        <f t="shared" si="7"/>
        <v>#NAME?</v>
      </c>
      <c r="AL337" s="637" t="s">
        <v>3017</v>
      </c>
      <c r="AM337" s="619"/>
      <c r="AN337" s="638" t="s">
        <v>1182</v>
      </c>
      <c r="AO337" s="639"/>
      <c r="AP337" s="701" t="s">
        <v>3096</v>
      </c>
      <c r="AQ337" s="740" t="s">
        <v>1182</v>
      </c>
      <c r="AR337" s="702" t="s">
        <v>3096</v>
      </c>
      <c r="AS337" s="843" t="s">
        <v>1182</v>
      </c>
      <c r="AT337" s="644"/>
      <c r="AU337" s="633"/>
      <c r="AV337" s="638"/>
      <c r="AW337" s="630"/>
      <c r="AX337" s="647"/>
      <c r="AY337" s="619"/>
      <c r="AZ337" s="698" t="s">
        <v>815</v>
      </c>
      <c r="BA337" s="690"/>
      <c r="BB337" s="650"/>
      <c r="BC337" s="619"/>
      <c r="BD337" s="651" t="s">
        <v>2698</v>
      </c>
      <c r="BE337" s="653">
        <v>188.0</v>
      </c>
      <c r="BF337" s="653">
        <v>45.0</v>
      </c>
      <c r="BG337" s="654">
        <v>70.0</v>
      </c>
      <c r="BH337" s="653">
        <v>40.0</v>
      </c>
      <c r="BI337" s="607"/>
      <c r="BJ337" s="655" t="s">
        <v>149</v>
      </c>
      <c r="BK337" s="703" t="s">
        <v>149</v>
      </c>
      <c r="BL337" s="610"/>
      <c r="BM337" s="657" t="s">
        <v>18</v>
      </c>
      <c r="BN337" s="658" t="s">
        <v>61</v>
      </c>
      <c r="BO337" s="607"/>
      <c r="BP337" s="659" t="s">
        <v>3108</v>
      </c>
      <c r="BQ337" s="614"/>
      <c r="BR337" s="660" t="s">
        <v>4430</v>
      </c>
      <c r="BS337" s="614"/>
    </row>
    <row r="338" ht="15.75" customHeight="1">
      <c r="A338" s="841"/>
      <c r="B338" s="661" t="s">
        <v>3113</v>
      </c>
      <c r="C338" s="662"/>
      <c r="D338" s="571"/>
      <c r="E338" s="672">
        <v>73.0</v>
      </c>
      <c r="F338" s="664">
        <v>115.0</v>
      </c>
      <c r="G338" s="665">
        <v>60.0</v>
      </c>
      <c r="H338" s="666">
        <v>60.0</v>
      </c>
      <c r="I338" s="667">
        <v>60.0</v>
      </c>
      <c r="J338" s="668">
        <v>90.0</v>
      </c>
      <c r="K338" s="669">
        <v>458.0</v>
      </c>
      <c r="L338" s="670">
        <v>73.0</v>
      </c>
      <c r="M338" s="664">
        <v>115.0</v>
      </c>
      <c r="N338" s="665">
        <v>60.0</v>
      </c>
      <c r="O338" s="666">
        <v>60.0</v>
      </c>
      <c r="P338" s="667">
        <v>60.0</v>
      </c>
      <c r="Q338" s="668">
        <v>90.0</v>
      </c>
      <c r="R338" s="671">
        <v>458.0</v>
      </c>
      <c r="S338" s="769">
        <v>75.0</v>
      </c>
      <c r="T338" s="664">
        <v>115.0</v>
      </c>
      <c r="U338" s="665">
        <v>60.0</v>
      </c>
      <c r="V338" s="666">
        <v>60.0</v>
      </c>
      <c r="W338" s="667">
        <v>60.0</v>
      </c>
      <c r="X338" s="745">
        <v>95.0</v>
      </c>
      <c r="Y338" s="671">
        <f t="shared" si="1"/>
        <v>465</v>
      </c>
      <c r="Z338" s="571"/>
      <c r="AA338" s="673" t="str">
        <f t="shared" si="2"/>
        <v>#NAME?</v>
      </c>
      <c r="AB338" s="871" t="s">
        <v>156</v>
      </c>
      <c r="AC338" s="675" t="str">
        <f t="shared" si="3"/>
        <v>#NAME?</v>
      </c>
      <c r="AD338" s="872" t="s">
        <v>4428</v>
      </c>
      <c r="AE338" s="676" t="str">
        <f t="shared" si="4"/>
        <v>#NAME?</v>
      </c>
      <c r="AF338" s="871" t="s">
        <v>156</v>
      </c>
      <c r="AG338" s="675" t="str">
        <f t="shared" si="5"/>
        <v>#NAME?</v>
      </c>
      <c r="AH338" s="586" t="s">
        <v>4428</v>
      </c>
      <c r="AI338" s="677" t="str">
        <f t="shared" si="6"/>
        <v>#NAME?</v>
      </c>
      <c r="AJ338" s="586" t="s">
        <v>156</v>
      </c>
      <c r="AK338" s="584" t="str">
        <f t="shared" si="7"/>
        <v>#NAME?</v>
      </c>
      <c r="AL338" s="678" t="s">
        <v>4428</v>
      </c>
      <c r="AM338" s="571"/>
      <c r="AN338" s="679" t="s">
        <v>1455</v>
      </c>
      <c r="AO338" s="680"/>
      <c r="AP338" s="705" t="s">
        <v>1455</v>
      </c>
      <c r="AQ338" s="680"/>
      <c r="AR338" s="705" t="s">
        <v>1455</v>
      </c>
      <c r="AS338" s="680"/>
      <c r="AT338" s="595"/>
      <c r="AU338" s="676" t="str">
        <f>image("https://www.pokebip.com/pages/icones/objets/vive-griffe.png", 3)</f>
        <v/>
      </c>
      <c r="AV338" s="679" t="s">
        <v>631</v>
      </c>
      <c r="AW338" s="673"/>
      <c r="AX338" s="866"/>
      <c r="AY338" s="571"/>
      <c r="AZ338" s="689" t="s">
        <v>216</v>
      </c>
      <c r="BA338" s="690"/>
      <c r="BB338" s="696"/>
      <c r="BC338" s="571"/>
      <c r="BD338" s="651" t="s">
        <v>2698</v>
      </c>
      <c r="BE338" s="653">
        <v>165.0</v>
      </c>
      <c r="BF338" s="653">
        <v>90.0</v>
      </c>
      <c r="BG338" s="654">
        <v>70.0</v>
      </c>
      <c r="BH338" s="653">
        <v>60.0</v>
      </c>
      <c r="BI338" s="607"/>
      <c r="BJ338" s="764" t="s">
        <v>149</v>
      </c>
      <c r="BK338" s="703" t="s">
        <v>149</v>
      </c>
      <c r="BL338" s="610"/>
      <c r="BM338" s="657" t="s">
        <v>277</v>
      </c>
      <c r="BN338" s="704"/>
      <c r="BO338" s="607"/>
      <c r="BP338" s="659" t="s">
        <v>914</v>
      </c>
      <c r="BQ338" s="614"/>
      <c r="BR338" s="660" t="s">
        <v>4431</v>
      </c>
      <c r="BS338" s="614"/>
    </row>
    <row r="339" ht="15.75" customHeight="1">
      <c r="A339" s="841"/>
      <c r="B339" s="617" t="s">
        <v>3121</v>
      </c>
      <c r="C339" s="618"/>
      <c r="D339" s="619"/>
      <c r="E339" s="629">
        <v>73.0</v>
      </c>
      <c r="F339" s="621">
        <v>100.0</v>
      </c>
      <c r="G339" s="622">
        <v>60.0</v>
      </c>
      <c r="H339" s="623">
        <v>100.0</v>
      </c>
      <c r="I339" s="624">
        <v>60.0</v>
      </c>
      <c r="J339" s="625">
        <v>65.0</v>
      </c>
      <c r="K339" s="626">
        <v>458.0</v>
      </c>
      <c r="L339" s="627">
        <v>73.0</v>
      </c>
      <c r="M339" s="621">
        <v>100.0</v>
      </c>
      <c r="N339" s="622">
        <v>60.0</v>
      </c>
      <c r="O339" s="623">
        <v>100.0</v>
      </c>
      <c r="P339" s="624">
        <v>60.0</v>
      </c>
      <c r="Q339" s="625">
        <v>65.0</v>
      </c>
      <c r="R339" s="628">
        <v>458.0</v>
      </c>
      <c r="S339" s="778">
        <v>75.0</v>
      </c>
      <c r="T339" s="750">
        <v>115.0</v>
      </c>
      <c r="U339" s="622">
        <v>60.0</v>
      </c>
      <c r="V339" s="748">
        <v>80.0</v>
      </c>
      <c r="W339" s="624">
        <v>60.0</v>
      </c>
      <c r="X339" s="753">
        <v>75.0</v>
      </c>
      <c r="Y339" s="628">
        <f t="shared" si="1"/>
        <v>465</v>
      </c>
      <c r="Z339" s="619"/>
      <c r="AA339" s="630" t="str">
        <f t="shared" si="2"/>
        <v>#NAME?</v>
      </c>
      <c r="AB339" s="869" t="s">
        <v>7</v>
      </c>
      <c r="AC339" s="632" t="str">
        <f t="shared" si="3"/>
        <v>#NAME?</v>
      </c>
      <c r="AD339" s="870" t="s">
        <v>4428</v>
      </c>
      <c r="AE339" s="633" t="str">
        <f t="shared" si="4"/>
        <v>#NAME?</v>
      </c>
      <c r="AF339" s="869" t="s">
        <v>7</v>
      </c>
      <c r="AG339" s="632" t="str">
        <f t="shared" si="5"/>
        <v>#NAME?</v>
      </c>
      <c r="AH339" s="634" t="s">
        <v>4428</v>
      </c>
      <c r="AI339" s="635" t="str">
        <f t="shared" si="6"/>
        <v>#NAME?</v>
      </c>
      <c r="AJ339" s="634" t="s">
        <v>7</v>
      </c>
      <c r="AK339" s="697" t="str">
        <f t="shared" si="7"/>
        <v>#NAME?</v>
      </c>
      <c r="AL339" s="637" t="s">
        <v>4453</v>
      </c>
      <c r="AM339" s="619"/>
      <c r="AN339" s="638" t="s">
        <v>163</v>
      </c>
      <c r="AO339" s="639"/>
      <c r="AP339" s="712" t="s">
        <v>163</v>
      </c>
      <c r="AQ339" s="639"/>
      <c r="AR339" s="712" t="s">
        <v>163</v>
      </c>
      <c r="AS339" s="639"/>
      <c r="AT339" s="644"/>
      <c r="AU339" s="633" t="str">
        <f>image("https://www.pokebip.com/pages/icones/objets/carapace-mue.png", 3)</f>
        <v/>
      </c>
      <c r="AV339" s="638" t="s">
        <v>601</v>
      </c>
      <c r="AW339" s="630"/>
      <c r="AX339" s="647"/>
      <c r="AY339" s="619"/>
      <c r="AZ339" s="648" t="s">
        <v>325</v>
      </c>
      <c r="BA339" s="649" t="s">
        <v>4</v>
      </c>
      <c r="BB339" s="650"/>
      <c r="BC339" s="619"/>
      <c r="BD339" s="651" t="s">
        <v>2656</v>
      </c>
      <c r="BE339" s="653">
        <v>165.0</v>
      </c>
      <c r="BF339" s="653">
        <v>90.0</v>
      </c>
      <c r="BG339" s="654">
        <v>70.0</v>
      </c>
      <c r="BH339" s="653">
        <v>80.0</v>
      </c>
      <c r="BI339" s="607"/>
      <c r="BJ339" s="764" t="s">
        <v>149</v>
      </c>
      <c r="BK339" s="703" t="s">
        <v>149</v>
      </c>
      <c r="BL339" s="610"/>
      <c r="BM339" s="657" t="s">
        <v>277</v>
      </c>
      <c r="BN339" s="658" t="s">
        <v>61</v>
      </c>
      <c r="BO339" s="607"/>
      <c r="BP339" s="659" t="s">
        <v>914</v>
      </c>
      <c r="BQ339" s="614"/>
      <c r="BR339" s="660" t="s">
        <v>4449</v>
      </c>
      <c r="BS339" s="614"/>
    </row>
    <row r="340" ht="15.75" customHeight="1">
      <c r="A340" s="841"/>
      <c r="B340" s="661" t="s">
        <v>3130</v>
      </c>
      <c r="C340" s="662"/>
      <c r="D340" s="571"/>
      <c r="E340" s="672">
        <v>70.0</v>
      </c>
      <c r="F340" s="664">
        <v>55.0</v>
      </c>
      <c r="G340" s="665">
        <v>65.0</v>
      </c>
      <c r="H340" s="666">
        <v>95.0</v>
      </c>
      <c r="I340" s="667">
        <v>85.0</v>
      </c>
      <c r="J340" s="668">
        <v>70.0</v>
      </c>
      <c r="K340" s="669">
        <v>440.0</v>
      </c>
      <c r="L340" s="670">
        <v>90.0</v>
      </c>
      <c r="M340" s="664">
        <v>55.0</v>
      </c>
      <c r="N340" s="665">
        <v>65.0</v>
      </c>
      <c r="O340" s="666">
        <v>95.0</v>
      </c>
      <c r="P340" s="667">
        <v>85.0</v>
      </c>
      <c r="Q340" s="668">
        <v>70.0</v>
      </c>
      <c r="R340" s="671">
        <v>460.0</v>
      </c>
      <c r="S340" s="672">
        <v>90.0</v>
      </c>
      <c r="T340" s="664">
        <v>55.0</v>
      </c>
      <c r="U340" s="665">
        <v>65.0</v>
      </c>
      <c r="V340" s="743">
        <v>100.0</v>
      </c>
      <c r="W340" s="667">
        <v>85.0</v>
      </c>
      <c r="X340" s="668">
        <v>70.0</v>
      </c>
      <c r="Y340" s="671">
        <f t="shared" si="1"/>
        <v>465</v>
      </c>
      <c r="Z340" s="571"/>
      <c r="AA340" s="673" t="str">
        <f t="shared" si="2"/>
        <v>#NAME?</v>
      </c>
      <c r="AB340" s="871" t="s">
        <v>66</v>
      </c>
      <c r="AC340" s="675" t="str">
        <f t="shared" si="3"/>
        <v>#NAME?</v>
      </c>
      <c r="AD340" s="872" t="s">
        <v>122</v>
      </c>
      <c r="AE340" s="676" t="str">
        <f t="shared" si="4"/>
        <v>#NAME?</v>
      </c>
      <c r="AF340" s="871" t="s">
        <v>66</v>
      </c>
      <c r="AG340" s="675" t="str">
        <f t="shared" si="5"/>
        <v>#NAME?</v>
      </c>
      <c r="AH340" s="586" t="s">
        <v>122</v>
      </c>
      <c r="AI340" s="677" t="str">
        <f t="shared" si="6"/>
        <v>#NAME?</v>
      </c>
      <c r="AJ340" s="586" t="s">
        <v>66</v>
      </c>
      <c r="AK340" s="584" t="str">
        <f t="shared" si="7"/>
        <v>#NAME?</v>
      </c>
      <c r="AL340" s="678" t="s">
        <v>122</v>
      </c>
      <c r="AM340" s="571"/>
      <c r="AN340" s="679" t="s">
        <v>1001</v>
      </c>
      <c r="AO340" s="680"/>
      <c r="AP340" s="705" t="s">
        <v>1001</v>
      </c>
      <c r="AQ340" s="680"/>
      <c r="AR340" s="705" t="s">
        <v>1001</v>
      </c>
      <c r="AS340" s="680"/>
      <c r="AT340" s="595"/>
      <c r="AU340" s="676" t="str">
        <f t="shared" ref="AU340:AU341" si="45">image("https://www.pokebip.com/pages/icones/objets/poussiere-etoile.png", 3)</f>
        <v/>
      </c>
      <c r="AV340" s="679" t="s">
        <v>1259</v>
      </c>
      <c r="AW340" s="673" t="str">
        <f>image("https://www.pokebip.com/pages/icones/objets/pierre-lune.png", 3)</f>
        <v/>
      </c>
      <c r="AX340" s="866" t="s">
        <v>470</v>
      </c>
      <c r="AY340" s="571"/>
      <c r="AZ340" s="689" t="s">
        <v>42</v>
      </c>
      <c r="BA340" s="690"/>
      <c r="BB340" s="696"/>
      <c r="BC340" s="571"/>
      <c r="BD340" s="651" t="s">
        <v>468</v>
      </c>
      <c r="BE340" s="653">
        <v>150.0</v>
      </c>
      <c r="BF340" s="653">
        <v>45.0</v>
      </c>
      <c r="BG340" s="654">
        <v>70.0</v>
      </c>
      <c r="BH340" s="653">
        <v>100.0</v>
      </c>
      <c r="BI340" s="607"/>
      <c r="BJ340" s="765" t="s">
        <v>890</v>
      </c>
      <c r="BK340" s="766"/>
      <c r="BL340" s="610"/>
      <c r="BM340" s="767" t="s">
        <v>826</v>
      </c>
      <c r="BN340" s="704"/>
      <c r="BO340" s="607"/>
      <c r="BP340" s="659" t="s">
        <v>914</v>
      </c>
      <c r="BQ340" s="614"/>
      <c r="BR340" s="660" t="s">
        <v>4433</v>
      </c>
      <c r="BS340" s="614"/>
    </row>
    <row r="341" ht="15.75" customHeight="1">
      <c r="A341" s="841"/>
      <c r="B341" s="617" t="s">
        <v>3139</v>
      </c>
      <c r="C341" s="618"/>
      <c r="D341" s="619"/>
      <c r="E341" s="629">
        <v>70.0</v>
      </c>
      <c r="F341" s="621">
        <v>95.0</v>
      </c>
      <c r="G341" s="622">
        <v>85.0</v>
      </c>
      <c r="H341" s="623">
        <v>55.0</v>
      </c>
      <c r="I341" s="624">
        <v>65.0</v>
      </c>
      <c r="J341" s="625">
        <v>70.0</v>
      </c>
      <c r="K341" s="626">
        <v>440.0</v>
      </c>
      <c r="L341" s="627">
        <v>90.0</v>
      </c>
      <c r="M341" s="621">
        <v>95.0</v>
      </c>
      <c r="N341" s="622">
        <v>85.0</v>
      </c>
      <c r="O341" s="623">
        <v>55.0</v>
      </c>
      <c r="P341" s="624">
        <v>65.0</v>
      </c>
      <c r="Q341" s="625">
        <v>70.0</v>
      </c>
      <c r="R341" s="628">
        <v>460.0</v>
      </c>
      <c r="S341" s="629">
        <v>90.0</v>
      </c>
      <c r="T341" s="750">
        <v>100.0</v>
      </c>
      <c r="U341" s="622">
        <v>85.0</v>
      </c>
      <c r="V341" s="623">
        <v>55.0</v>
      </c>
      <c r="W341" s="624">
        <v>65.0</v>
      </c>
      <c r="X341" s="625">
        <v>70.0</v>
      </c>
      <c r="Y341" s="628">
        <f t="shared" si="1"/>
        <v>465</v>
      </c>
      <c r="Z341" s="619"/>
      <c r="AA341" s="630" t="str">
        <f t="shared" si="2"/>
        <v>#NAME?</v>
      </c>
      <c r="AB341" s="869" t="s">
        <v>66</v>
      </c>
      <c r="AC341" s="632" t="str">
        <f t="shared" si="3"/>
        <v>#NAME?</v>
      </c>
      <c r="AD341" s="870" t="s">
        <v>122</v>
      </c>
      <c r="AE341" s="633" t="str">
        <f t="shared" si="4"/>
        <v>#NAME?</v>
      </c>
      <c r="AF341" s="869" t="s">
        <v>66</v>
      </c>
      <c r="AG341" s="632" t="str">
        <f t="shared" si="5"/>
        <v>#NAME?</v>
      </c>
      <c r="AH341" s="634" t="s">
        <v>122</v>
      </c>
      <c r="AI341" s="635" t="str">
        <f t="shared" si="6"/>
        <v>#NAME?</v>
      </c>
      <c r="AJ341" s="634" t="s">
        <v>66</v>
      </c>
      <c r="AK341" s="636" t="str">
        <f t="shared" si="7"/>
        <v>#NAME?</v>
      </c>
      <c r="AL341" s="637" t="s">
        <v>122</v>
      </c>
      <c r="AM341" s="619"/>
      <c r="AN341" s="638" t="s">
        <v>1001</v>
      </c>
      <c r="AO341" s="639"/>
      <c r="AP341" s="712" t="s">
        <v>1001</v>
      </c>
      <c r="AQ341" s="639"/>
      <c r="AR341" s="712" t="s">
        <v>1001</v>
      </c>
      <c r="AS341" s="639"/>
      <c r="AT341" s="644"/>
      <c r="AU341" s="633" t="str">
        <f t="shared" si="45"/>
        <v/>
      </c>
      <c r="AV341" s="638" t="s">
        <v>1259</v>
      </c>
      <c r="AW341" s="630" t="str">
        <f>image("https://www.pokebip.com/pages/icones/objets/pierre-soleil.png", 3)</f>
        <v/>
      </c>
      <c r="AX341" s="647" t="s">
        <v>3143</v>
      </c>
      <c r="AY341" s="619"/>
      <c r="AZ341" s="698" t="s">
        <v>216</v>
      </c>
      <c r="BA341" s="690"/>
      <c r="BB341" s="650"/>
      <c r="BC341" s="619"/>
      <c r="BD341" s="651" t="s">
        <v>468</v>
      </c>
      <c r="BE341" s="653">
        <v>150.0</v>
      </c>
      <c r="BF341" s="653">
        <v>45.0</v>
      </c>
      <c r="BG341" s="654">
        <v>70.0</v>
      </c>
      <c r="BH341" s="653">
        <v>100.0</v>
      </c>
      <c r="BI341" s="607"/>
      <c r="BJ341" s="768" t="s">
        <v>890</v>
      </c>
      <c r="BK341" s="766"/>
      <c r="BL341" s="610"/>
      <c r="BM341" s="767" t="s">
        <v>826</v>
      </c>
      <c r="BN341" s="704"/>
      <c r="BO341" s="607"/>
      <c r="BP341" s="659" t="s">
        <v>914</v>
      </c>
      <c r="BQ341" s="614"/>
      <c r="BR341" s="660" t="s">
        <v>4429</v>
      </c>
      <c r="BS341" s="614"/>
    </row>
    <row r="342" ht="15.75" customHeight="1">
      <c r="A342" s="841"/>
      <c r="B342" s="661" t="s">
        <v>3148</v>
      </c>
      <c r="C342" s="662"/>
      <c r="D342" s="571"/>
      <c r="E342" s="672">
        <v>50.0</v>
      </c>
      <c r="F342" s="664">
        <v>48.0</v>
      </c>
      <c r="G342" s="665">
        <v>43.0</v>
      </c>
      <c r="H342" s="666">
        <v>46.0</v>
      </c>
      <c r="I342" s="667">
        <v>41.0</v>
      </c>
      <c r="J342" s="668">
        <v>60.0</v>
      </c>
      <c r="K342" s="669">
        <v>288.0</v>
      </c>
      <c r="L342" s="670">
        <v>50.0</v>
      </c>
      <c r="M342" s="664">
        <v>48.0</v>
      </c>
      <c r="N342" s="665">
        <v>43.0</v>
      </c>
      <c r="O342" s="666">
        <v>46.0</v>
      </c>
      <c r="P342" s="667">
        <v>41.0</v>
      </c>
      <c r="Q342" s="668">
        <v>60.0</v>
      </c>
      <c r="R342" s="671">
        <v>288.0</v>
      </c>
      <c r="S342" s="672">
        <v>50.0</v>
      </c>
      <c r="T342" s="664">
        <v>48.0</v>
      </c>
      <c r="U342" s="665">
        <v>43.0</v>
      </c>
      <c r="V342" s="666">
        <v>46.0</v>
      </c>
      <c r="W342" s="667">
        <v>41.0</v>
      </c>
      <c r="X342" s="668">
        <v>60.0</v>
      </c>
      <c r="Y342" s="671">
        <f t="shared" si="1"/>
        <v>288</v>
      </c>
      <c r="Z342" s="571"/>
      <c r="AA342" s="673" t="str">
        <f t="shared" si="2"/>
        <v>#NAME?</v>
      </c>
      <c r="AB342" s="871" t="s">
        <v>32</v>
      </c>
      <c r="AC342" s="675" t="str">
        <f t="shared" si="3"/>
        <v>#NAME?</v>
      </c>
      <c r="AD342" s="872" t="s">
        <v>79</v>
      </c>
      <c r="AE342" s="676" t="str">
        <f t="shared" si="4"/>
        <v>#NAME?</v>
      </c>
      <c r="AF342" s="871" t="s">
        <v>32</v>
      </c>
      <c r="AG342" s="675" t="str">
        <f t="shared" si="5"/>
        <v>#NAME?</v>
      </c>
      <c r="AH342" s="586" t="s">
        <v>79</v>
      </c>
      <c r="AI342" s="677" t="str">
        <f t="shared" si="6"/>
        <v>#NAME?</v>
      </c>
      <c r="AJ342" s="586" t="s">
        <v>32</v>
      </c>
      <c r="AK342" s="584" t="str">
        <f t="shared" si="7"/>
        <v>#NAME?</v>
      </c>
      <c r="AL342" s="678" t="s">
        <v>79</v>
      </c>
      <c r="AM342" s="571"/>
      <c r="AN342" s="679" t="s">
        <v>870</v>
      </c>
      <c r="AO342" s="680" t="s">
        <v>3151</v>
      </c>
      <c r="AP342" s="705" t="s">
        <v>870</v>
      </c>
      <c r="AQ342" s="680" t="s">
        <v>3151</v>
      </c>
      <c r="AR342" s="705" t="s">
        <v>870</v>
      </c>
      <c r="AS342" s="680" t="s">
        <v>3151</v>
      </c>
      <c r="AT342" s="595"/>
      <c r="AU342" s="676"/>
      <c r="AV342" s="679"/>
      <c r="AW342" s="673"/>
      <c r="AX342" s="866"/>
      <c r="AY342" s="571"/>
      <c r="AZ342" s="695" t="s">
        <v>144</v>
      </c>
      <c r="BA342" s="700"/>
      <c r="BB342" s="690"/>
      <c r="BC342" s="571"/>
      <c r="BD342" s="651" t="s">
        <v>150</v>
      </c>
      <c r="BE342" s="653">
        <v>92.0</v>
      </c>
      <c r="BF342" s="653">
        <v>190.0</v>
      </c>
      <c r="BG342" s="654">
        <v>70.0</v>
      </c>
      <c r="BH342" s="653">
        <v>20.0</v>
      </c>
      <c r="BI342" s="607"/>
      <c r="BJ342" s="781" t="s">
        <v>149</v>
      </c>
      <c r="BK342" s="782" t="s">
        <v>149</v>
      </c>
      <c r="BL342" s="610"/>
      <c r="BM342" s="657" t="s">
        <v>1236</v>
      </c>
      <c r="BN342" s="704"/>
      <c r="BO342" s="607"/>
      <c r="BP342" s="659" t="s">
        <v>3153</v>
      </c>
      <c r="BQ342" s="614"/>
      <c r="BR342" s="660" t="s">
        <v>4437</v>
      </c>
      <c r="BS342" s="614"/>
    </row>
    <row r="343" ht="15.75" customHeight="1">
      <c r="A343" s="841"/>
      <c r="B343" s="617" t="s">
        <v>3158</v>
      </c>
      <c r="C343" s="618"/>
      <c r="D343" s="619"/>
      <c r="E343" s="629">
        <v>110.0</v>
      </c>
      <c r="F343" s="621">
        <v>78.0</v>
      </c>
      <c r="G343" s="622">
        <v>73.0</v>
      </c>
      <c r="H343" s="623">
        <v>76.0</v>
      </c>
      <c r="I343" s="624">
        <v>71.0</v>
      </c>
      <c r="J343" s="625">
        <v>60.0</v>
      </c>
      <c r="K343" s="626">
        <v>468.0</v>
      </c>
      <c r="L343" s="627">
        <v>110.0</v>
      </c>
      <c r="M343" s="621">
        <v>78.0</v>
      </c>
      <c r="N343" s="622">
        <v>73.0</v>
      </c>
      <c r="O343" s="623">
        <v>76.0</v>
      </c>
      <c r="P343" s="624">
        <v>71.0</v>
      </c>
      <c r="Q343" s="625">
        <v>60.0</v>
      </c>
      <c r="R343" s="628">
        <v>468.0</v>
      </c>
      <c r="S343" s="629">
        <v>110.0</v>
      </c>
      <c r="T343" s="621">
        <v>78.0</v>
      </c>
      <c r="U343" s="622">
        <v>73.0</v>
      </c>
      <c r="V343" s="623">
        <v>76.0</v>
      </c>
      <c r="W343" s="624">
        <v>71.0</v>
      </c>
      <c r="X343" s="625">
        <v>60.0</v>
      </c>
      <c r="Y343" s="628">
        <f t="shared" si="1"/>
        <v>468</v>
      </c>
      <c r="Z343" s="619"/>
      <c r="AA343" s="630" t="str">
        <f t="shared" si="2"/>
        <v>#NAME?</v>
      </c>
      <c r="AB343" s="869" t="s">
        <v>32</v>
      </c>
      <c r="AC343" s="632" t="str">
        <f t="shared" si="3"/>
        <v>#NAME?</v>
      </c>
      <c r="AD343" s="870" t="s">
        <v>79</v>
      </c>
      <c r="AE343" s="633" t="str">
        <f t="shared" si="4"/>
        <v>#NAME?</v>
      </c>
      <c r="AF343" s="869" t="s">
        <v>32</v>
      </c>
      <c r="AG343" s="632" t="str">
        <f t="shared" si="5"/>
        <v>#NAME?</v>
      </c>
      <c r="AH343" s="634" t="s">
        <v>79</v>
      </c>
      <c r="AI343" s="635" t="str">
        <f t="shared" si="6"/>
        <v>#NAME?</v>
      </c>
      <c r="AJ343" s="634" t="s">
        <v>32</v>
      </c>
      <c r="AK343" s="636" t="str">
        <f t="shared" si="7"/>
        <v>#NAME?</v>
      </c>
      <c r="AL343" s="637" t="s">
        <v>79</v>
      </c>
      <c r="AM343" s="619"/>
      <c r="AN343" s="638" t="s">
        <v>870</v>
      </c>
      <c r="AO343" s="639" t="s">
        <v>3151</v>
      </c>
      <c r="AP343" s="712" t="s">
        <v>870</v>
      </c>
      <c r="AQ343" s="639" t="s">
        <v>3151</v>
      </c>
      <c r="AR343" s="712" t="s">
        <v>870</v>
      </c>
      <c r="AS343" s="639" t="s">
        <v>3151</v>
      </c>
      <c r="AT343" s="644"/>
      <c r="AU343" s="633"/>
      <c r="AV343" s="638"/>
      <c r="AW343" s="630"/>
      <c r="AX343" s="647"/>
      <c r="AY343" s="619"/>
      <c r="AZ343" s="698" t="s">
        <v>409</v>
      </c>
      <c r="BA343" s="690"/>
      <c r="BB343" s="650"/>
      <c r="BC343" s="619"/>
      <c r="BD343" s="651" t="s">
        <v>150</v>
      </c>
      <c r="BE343" s="653">
        <v>158.0</v>
      </c>
      <c r="BF343" s="653">
        <v>75.0</v>
      </c>
      <c r="BG343" s="654">
        <v>70.0</v>
      </c>
      <c r="BH343" s="653">
        <v>40.0</v>
      </c>
      <c r="BI343" s="607"/>
      <c r="BJ343" s="860" t="s">
        <v>149</v>
      </c>
      <c r="BK343" s="784" t="s">
        <v>149</v>
      </c>
      <c r="BL343" s="610"/>
      <c r="BM343" s="657" t="s">
        <v>1236</v>
      </c>
      <c r="BN343" s="704"/>
      <c r="BO343" s="607"/>
      <c r="BP343" s="659" t="s">
        <v>3162</v>
      </c>
      <c r="BQ343" s="614"/>
      <c r="BR343" s="660" t="s">
        <v>4430</v>
      </c>
      <c r="BS343" s="614"/>
    </row>
    <row r="344" ht="15.75" customHeight="1">
      <c r="A344" s="841"/>
      <c r="B344" s="661" t="s">
        <v>3167</v>
      </c>
      <c r="C344" s="662"/>
      <c r="D344" s="571"/>
      <c r="E344" s="672">
        <v>43.0</v>
      </c>
      <c r="F344" s="664">
        <v>80.0</v>
      </c>
      <c r="G344" s="665">
        <v>65.0</v>
      </c>
      <c r="H344" s="666">
        <v>50.0</v>
      </c>
      <c r="I344" s="667">
        <v>35.0</v>
      </c>
      <c r="J344" s="668">
        <v>35.0</v>
      </c>
      <c r="K344" s="669">
        <v>308.0</v>
      </c>
      <c r="L344" s="670">
        <v>43.0</v>
      </c>
      <c r="M344" s="664">
        <v>80.0</v>
      </c>
      <c r="N344" s="665">
        <v>65.0</v>
      </c>
      <c r="O344" s="666">
        <v>50.0</v>
      </c>
      <c r="P344" s="667">
        <v>35.0</v>
      </c>
      <c r="Q344" s="668">
        <v>35.0</v>
      </c>
      <c r="R344" s="671">
        <v>308.0</v>
      </c>
      <c r="S344" s="672">
        <v>43.0</v>
      </c>
      <c r="T344" s="664">
        <v>80.0</v>
      </c>
      <c r="U344" s="665">
        <v>65.0</v>
      </c>
      <c r="V344" s="666">
        <v>50.0</v>
      </c>
      <c r="W344" s="667">
        <v>35.0</v>
      </c>
      <c r="X344" s="668">
        <v>35.0</v>
      </c>
      <c r="Y344" s="671">
        <f t="shared" si="1"/>
        <v>308</v>
      </c>
      <c r="Z344" s="571"/>
      <c r="AA344" s="673" t="str">
        <f t="shared" si="2"/>
        <v>#NAME?</v>
      </c>
      <c r="AB344" s="871" t="s">
        <v>32</v>
      </c>
      <c r="AC344" s="675" t="str">
        <f t="shared" si="3"/>
        <v>#NAME?</v>
      </c>
      <c r="AD344" s="872" t="s">
        <v>4428</v>
      </c>
      <c r="AE344" s="676" t="str">
        <f t="shared" si="4"/>
        <v>#NAME?</v>
      </c>
      <c r="AF344" s="871" t="s">
        <v>32</v>
      </c>
      <c r="AG344" s="675" t="str">
        <f t="shared" si="5"/>
        <v>#NAME?</v>
      </c>
      <c r="AH344" s="586" t="s">
        <v>4428</v>
      </c>
      <c r="AI344" s="677" t="str">
        <f t="shared" si="6"/>
        <v>#NAME?</v>
      </c>
      <c r="AJ344" s="586" t="s">
        <v>32</v>
      </c>
      <c r="AK344" s="584" t="str">
        <f t="shared" si="7"/>
        <v>#NAME?</v>
      </c>
      <c r="AL344" s="678" t="s">
        <v>4428</v>
      </c>
      <c r="AM344" s="571"/>
      <c r="AN344" s="679" t="s">
        <v>1050</v>
      </c>
      <c r="AO344" s="680" t="s">
        <v>981</v>
      </c>
      <c r="AP344" s="734" t="s">
        <v>219</v>
      </c>
      <c r="AQ344" s="735" t="s">
        <v>1050</v>
      </c>
      <c r="AR344" s="736" t="s">
        <v>219</v>
      </c>
      <c r="AS344" s="737" t="s">
        <v>1050</v>
      </c>
      <c r="AT344" s="595"/>
      <c r="AU344" s="676"/>
      <c r="AV344" s="679"/>
      <c r="AW344" s="673"/>
      <c r="AX344" s="866"/>
      <c r="AY344" s="571"/>
      <c r="AZ344" s="695" t="s">
        <v>325</v>
      </c>
      <c r="BA344" s="700"/>
      <c r="BB344" s="690"/>
      <c r="BC344" s="571"/>
      <c r="BD344" s="651" t="s">
        <v>2656</v>
      </c>
      <c r="BE344" s="653">
        <v>111.0</v>
      </c>
      <c r="BF344" s="653">
        <v>205.0</v>
      </c>
      <c r="BG344" s="654">
        <v>70.0</v>
      </c>
      <c r="BH344" s="653">
        <v>40.0</v>
      </c>
      <c r="BI344" s="607"/>
      <c r="BJ344" s="786" t="s">
        <v>149</v>
      </c>
      <c r="BK344" s="782" t="s">
        <v>149</v>
      </c>
      <c r="BL344" s="610"/>
      <c r="BM344" s="657" t="s">
        <v>106</v>
      </c>
      <c r="BN344" s="658" t="s">
        <v>807</v>
      </c>
      <c r="BO344" s="607"/>
      <c r="BP344" s="659" t="s">
        <v>3171</v>
      </c>
      <c r="BQ344" s="614"/>
      <c r="BR344" s="660" t="s">
        <v>4429</v>
      </c>
      <c r="BS344" s="614"/>
    </row>
    <row r="345" ht="15.75" customHeight="1">
      <c r="A345" s="841"/>
      <c r="B345" s="617" t="s">
        <v>3176</v>
      </c>
      <c r="C345" s="618"/>
      <c r="D345" s="619"/>
      <c r="E345" s="629">
        <v>63.0</v>
      </c>
      <c r="F345" s="621">
        <v>120.0</v>
      </c>
      <c r="G345" s="622">
        <v>85.0</v>
      </c>
      <c r="H345" s="748">
        <v>90.0</v>
      </c>
      <c r="I345" s="624">
        <v>55.0</v>
      </c>
      <c r="J345" s="625">
        <v>55.0</v>
      </c>
      <c r="K345" s="749">
        <v>468.0</v>
      </c>
      <c r="L345" s="627">
        <v>63.0</v>
      </c>
      <c r="M345" s="621">
        <v>120.0</v>
      </c>
      <c r="N345" s="622">
        <v>85.0</v>
      </c>
      <c r="O345" s="623">
        <v>90.0</v>
      </c>
      <c r="P345" s="624">
        <v>55.0</v>
      </c>
      <c r="Q345" s="625">
        <v>55.0</v>
      </c>
      <c r="R345" s="628">
        <v>468.0</v>
      </c>
      <c r="S345" s="629">
        <v>63.0</v>
      </c>
      <c r="T345" s="621">
        <v>120.0</v>
      </c>
      <c r="U345" s="622">
        <v>85.0</v>
      </c>
      <c r="V345" s="623">
        <v>90.0</v>
      </c>
      <c r="W345" s="624">
        <v>55.0</v>
      </c>
      <c r="X345" s="625">
        <v>55.0</v>
      </c>
      <c r="Y345" s="628">
        <f t="shared" si="1"/>
        <v>468</v>
      </c>
      <c r="Z345" s="619"/>
      <c r="AA345" s="630" t="str">
        <f t="shared" si="2"/>
        <v>#NAME?</v>
      </c>
      <c r="AB345" s="869" t="s">
        <v>32</v>
      </c>
      <c r="AC345" s="632" t="str">
        <f t="shared" si="3"/>
        <v>#NAME?</v>
      </c>
      <c r="AD345" s="870" t="s">
        <v>76</v>
      </c>
      <c r="AE345" s="633" t="str">
        <f t="shared" si="4"/>
        <v>#NAME?</v>
      </c>
      <c r="AF345" s="869" t="s">
        <v>32</v>
      </c>
      <c r="AG345" s="632" t="str">
        <f t="shared" si="5"/>
        <v>#NAME?</v>
      </c>
      <c r="AH345" s="634" t="s">
        <v>76</v>
      </c>
      <c r="AI345" s="635" t="str">
        <f t="shared" si="6"/>
        <v>#NAME?</v>
      </c>
      <c r="AJ345" s="634" t="s">
        <v>32</v>
      </c>
      <c r="AK345" s="636" t="str">
        <f t="shared" si="7"/>
        <v>#NAME?</v>
      </c>
      <c r="AL345" s="637" t="s">
        <v>76</v>
      </c>
      <c r="AM345" s="619"/>
      <c r="AN345" s="638" t="s">
        <v>1050</v>
      </c>
      <c r="AO345" s="639" t="s">
        <v>981</v>
      </c>
      <c r="AP345" s="701" t="s">
        <v>219</v>
      </c>
      <c r="AQ345" s="740" t="s">
        <v>1050</v>
      </c>
      <c r="AR345" s="702" t="s">
        <v>219</v>
      </c>
      <c r="AS345" s="843" t="s">
        <v>1050</v>
      </c>
      <c r="AT345" s="644"/>
      <c r="AU345" s="633"/>
      <c r="AV345" s="638"/>
      <c r="AW345" s="630"/>
      <c r="AX345" s="647"/>
      <c r="AY345" s="619"/>
      <c r="AZ345" s="698" t="s">
        <v>216</v>
      </c>
      <c r="BA345" s="690"/>
      <c r="BB345" s="650"/>
      <c r="BC345" s="619"/>
      <c r="BD345" s="651" t="s">
        <v>2656</v>
      </c>
      <c r="BE345" s="653">
        <v>161.0</v>
      </c>
      <c r="BF345" s="653">
        <v>155.0</v>
      </c>
      <c r="BG345" s="654">
        <v>70.0</v>
      </c>
      <c r="BH345" s="653">
        <v>60.0</v>
      </c>
      <c r="BI345" s="607"/>
      <c r="BJ345" s="783" t="s">
        <v>149</v>
      </c>
      <c r="BK345" s="784" t="s">
        <v>149</v>
      </c>
      <c r="BL345" s="610"/>
      <c r="BM345" s="657" t="s">
        <v>106</v>
      </c>
      <c r="BN345" s="658" t="s">
        <v>807</v>
      </c>
      <c r="BO345" s="607"/>
      <c r="BP345" s="659" t="s">
        <v>3180</v>
      </c>
      <c r="BQ345" s="614"/>
      <c r="BR345" s="660" t="s">
        <v>4429</v>
      </c>
      <c r="BS345" s="614"/>
    </row>
    <row r="346" ht="15.75" customHeight="1">
      <c r="A346" s="841"/>
      <c r="B346" s="661" t="s">
        <v>3185</v>
      </c>
      <c r="C346" s="662"/>
      <c r="D346" s="571"/>
      <c r="E346" s="672">
        <v>40.0</v>
      </c>
      <c r="F346" s="664">
        <v>40.0</v>
      </c>
      <c r="G346" s="665">
        <v>55.0</v>
      </c>
      <c r="H346" s="666">
        <v>40.0</v>
      </c>
      <c r="I346" s="667">
        <v>70.0</v>
      </c>
      <c r="J346" s="668">
        <v>55.0</v>
      </c>
      <c r="K346" s="669">
        <v>300.0</v>
      </c>
      <c r="L346" s="670">
        <v>40.0</v>
      </c>
      <c r="M346" s="664">
        <v>40.0</v>
      </c>
      <c r="N346" s="665">
        <v>55.0</v>
      </c>
      <c r="O346" s="666">
        <v>40.0</v>
      </c>
      <c r="P346" s="667">
        <v>70.0</v>
      </c>
      <c r="Q346" s="668">
        <v>55.0</v>
      </c>
      <c r="R346" s="671">
        <v>300.0</v>
      </c>
      <c r="S346" s="672">
        <v>40.0</v>
      </c>
      <c r="T346" s="664">
        <v>40.0</v>
      </c>
      <c r="U346" s="665">
        <v>55.0</v>
      </c>
      <c r="V346" s="666">
        <v>40.0</v>
      </c>
      <c r="W346" s="667">
        <v>70.0</v>
      </c>
      <c r="X346" s="668">
        <v>55.0</v>
      </c>
      <c r="Y346" s="671">
        <f t="shared" si="1"/>
        <v>300</v>
      </c>
      <c r="Z346" s="571"/>
      <c r="AA346" s="673" t="str">
        <f t="shared" si="2"/>
        <v>#NAME?</v>
      </c>
      <c r="AB346" s="871" t="s">
        <v>79</v>
      </c>
      <c r="AC346" s="675" t="str">
        <f t="shared" si="3"/>
        <v>#NAME?</v>
      </c>
      <c r="AD346" s="872" t="s">
        <v>122</v>
      </c>
      <c r="AE346" s="676" t="str">
        <f t="shared" si="4"/>
        <v>#NAME?</v>
      </c>
      <c r="AF346" s="871" t="s">
        <v>79</v>
      </c>
      <c r="AG346" s="675" t="str">
        <f t="shared" si="5"/>
        <v>#NAME?</v>
      </c>
      <c r="AH346" s="586" t="s">
        <v>122</v>
      </c>
      <c r="AI346" s="677" t="str">
        <f t="shared" si="6"/>
        <v>#NAME?</v>
      </c>
      <c r="AJ346" s="586" t="s">
        <v>79</v>
      </c>
      <c r="AK346" s="584" t="str">
        <f t="shared" si="7"/>
        <v>#NAME?</v>
      </c>
      <c r="AL346" s="678" t="s">
        <v>122</v>
      </c>
      <c r="AM346" s="571"/>
      <c r="AN346" s="679" t="s">
        <v>1001</v>
      </c>
      <c r="AO346" s="680"/>
      <c r="AP346" s="705" t="s">
        <v>1001</v>
      </c>
      <c r="AQ346" s="680"/>
      <c r="AR346" s="705" t="s">
        <v>1001</v>
      </c>
      <c r="AS346" s="680"/>
      <c r="AT346" s="595"/>
      <c r="AU346" s="676" t="str">
        <f t="shared" ref="AU346:AU347" si="46">image("https://www.pokebip.com/pages/icones/objets/lumargile.png", 3)</f>
        <v/>
      </c>
      <c r="AV346" s="679" t="s">
        <v>3191</v>
      </c>
      <c r="AW346" s="673"/>
      <c r="AX346" s="866"/>
      <c r="AY346" s="571"/>
      <c r="AZ346" s="695" t="s">
        <v>27</v>
      </c>
      <c r="BA346" s="700"/>
      <c r="BB346" s="690"/>
      <c r="BC346" s="571"/>
      <c r="BD346" s="651" t="s">
        <v>150</v>
      </c>
      <c r="BE346" s="653">
        <v>58.0</v>
      </c>
      <c r="BF346" s="653">
        <v>255.0</v>
      </c>
      <c r="BG346" s="654">
        <v>70.0</v>
      </c>
      <c r="BH346" s="653">
        <v>40.0</v>
      </c>
      <c r="BI346" s="607"/>
      <c r="BJ346" s="765" t="s">
        <v>890</v>
      </c>
      <c r="BK346" s="766"/>
      <c r="BL346" s="610"/>
      <c r="BM346" s="767" t="s">
        <v>826</v>
      </c>
      <c r="BN346" s="704"/>
      <c r="BO346" s="607"/>
      <c r="BP346" s="659" t="s">
        <v>3190</v>
      </c>
      <c r="BQ346" s="614"/>
      <c r="BR346" s="660" t="s">
        <v>4432</v>
      </c>
      <c r="BS346" s="614"/>
    </row>
    <row r="347" ht="15.75" customHeight="1">
      <c r="A347" s="841"/>
      <c r="B347" s="617" t="s">
        <v>3196</v>
      </c>
      <c r="C347" s="618"/>
      <c r="D347" s="619"/>
      <c r="E347" s="629">
        <v>60.0</v>
      </c>
      <c r="F347" s="621">
        <v>70.0</v>
      </c>
      <c r="G347" s="622">
        <v>105.0</v>
      </c>
      <c r="H347" s="623">
        <v>70.0</v>
      </c>
      <c r="I347" s="624">
        <v>120.0</v>
      </c>
      <c r="J347" s="625">
        <v>75.0</v>
      </c>
      <c r="K347" s="626">
        <v>500.0</v>
      </c>
      <c r="L347" s="627">
        <v>60.0</v>
      </c>
      <c r="M347" s="621">
        <v>70.0</v>
      </c>
      <c r="N347" s="622">
        <v>105.0</v>
      </c>
      <c r="O347" s="623">
        <v>70.0</v>
      </c>
      <c r="P347" s="624">
        <v>120.0</v>
      </c>
      <c r="Q347" s="625">
        <v>75.0</v>
      </c>
      <c r="R347" s="628">
        <v>500.0</v>
      </c>
      <c r="S347" s="629">
        <v>60.0</v>
      </c>
      <c r="T347" s="621">
        <v>70.0</v>
      </c>
      <c r="U347" s="622">
        <v>105.0</v>
      </c>
      <c r="V347" s="623">
        <v>70.0</v>
      </c>
      <c r="W347" s="624">
        <v>120.0</v>
      </c>
      <c r="X347" s="625">
        <v>75.0</v>
      </c>
      <c r="Y347" s="628">
        <f t="shared" si="1"/>
        <v>500</v>
      </c>
      <c r="Z347" s="619"/>
      <c r="AA347" s="630" t="str">
        <f t="shared" si="2"/>
        <v>#NAME?</v>
      </c>
      <c r="AB347" s="869" t="s">
        <v>79</v>
      </c>
      <c r="AC347" s="632" t="str">
        <f t="shared" si="3"/>
        <v>#NAME?</v>
      </c>
      <c r="AD347" s="870" t="s">
        <v>122</v>
      </c>
      <c r="AE347" s="633" t="str">
        <f t="shared" si="4"/>
        <v>#NAME?</v>
      </c>
      <c r="AF347" s="869" t="s">
        <v>79</v>
      </c>
      <c r="AG347" s="632" t="str">
        <f t="shared" si="5"/>
        <v>#NAME?</v>
      </c>
      <c r="AH347" s="634" t="s">
        <v>122</v>
      </c>
      <c r="AI347" s="635" t="str">
        <f t="shared" si="6"/>
        <v>#NAME?</v>
      </c>
      <c r="AJ347" s="634" t="s">
        <v>79</v>
      </c>
      <c r="AK347" s="636" t="str">
        <f t="shared" si="7"/>
        <v>#NAME?</v>
      </c>
      <c r="AL347" s="637" t="s">
        <v>122</v>
      </c>
      <c r="AM347" s="619"/>
      <c r="AN347" s="638" t="s">
        <v>1001</v>
      </c>
      <c r="AO347" s="639"/>
      <c r="AP347" s="712" t="s">
        <v>1001</v>
      </c>
      <c r="AQ347" s="639"/>
      <c r="AR347" s="712" t="s">
        <v>1001</v>
      </c>
      <c r="AS347" s="639"/>
      <c r="AT347" s="644"/>
      <c r="AU347" s="633" t="str">
        <f t="shared" si="46"/>
        <v/>
      </c>
      <c r="AV347" s="638" t="s">
        <v>3191</v>
      </c>
      <c r="AW347" s="630"/>
      <c r="AX347" s="647"/>
      <c r="AY347" s="619"/>
      <c r="AZ347" s="698" t="s">
        <v>815</v>
      </c>
      <c r="BA347" s="690"/>
      <c r="BB347" s="650"/>
      <c r="BC347" s="619"/>
      <c r="BD347" s="651" t="s">
        <v>150</v>
      </c>
      <c r="BE347" s="653">
        <v>189.0</v>
      </c>
      <c r="BF347" s="653">
        <v>90.0</v>
      </c>
      <c r="BG347" s="654">
        <v>70.0</v>
      </c>
      <c r="BH347" s="653">
        <v>100.0</v>
      </c>
      <c r="BI347" s="607"/>
      <c r="BJ347" s="768" t="s">
        <v>890</v>
      </c>
      <c r="BK347" s="766"/>
      <c r="BL347" s="610"/>
      <c r="BM347" s="767" t="s">
        <v>826</v>
      </c>
      <c r="BN347" s="704"/>
      <c r="BO347" s="607"/>
      <c r="BP347" s="659" t="s">
        <v>4479</v>
      </c>
      <c r="BQ347" s="614"/>
      <c r="BR347" s="660" t="s">
        <v>4449</v>
      </c>
      <c r="BS347" s="614"/>
    </row>
    <row r="348" ht="15.75" customHeight="1">
      <c r="A348" s="841"/>
      <c r="B348" s="661" t="s">
        <v>3205</v>
      </c>
      <c r="C348" s="662"/>
      <c r="D348" s="571"/>
      <c r="E348" s="672">
        <v>66.0</v>
      </c>
      <c r="F348" s="664">
        <v>41.0</v>
      </c>
      <c r="G348" s="665">
        <v>77.0</v>
      </c>
      <c r="H348" s="666">
        <v>61.0</v>
      </c>
      <c r="I348" s="667">
        <v>87.0</v>
      </c>
      <c r="J348" s="668">
        <v>23.0</v>
      </c>
      <c r="K348" s="669">
        <v>355.0</v>
      </c>
      <c r="L348" s="670">
        <v>66.0</v>
      </c>
      <c r="M348" s="664">
        <v>41.0</v>
      </c>
      <c r="N348" s="665">
        <v>77.0</v>
      </c>
      <c r="O348" s="666">
        <v>61.0</v>
      </c>
      <c r="P348" s="667">
        <v>87.0</v>
      </c>
      <c r="Q348" s="668">
        <v>23.0</v>
      </c>
      <c r="R348" s="671">
        <v>355.0</v>
      </c>
      <c r="S348" s="672">
        <v>66.0</v>
      </c>
      <c r="T348" s="664">
        <v>41.0</v>
      </c>
      <c r="U348" s="665">
        <v>77.0</v>
      </c>
      <c r="V348" s="666">
        <v>61.0</v>
      </c>
      <c r="W348" s="667">
        <v>87.0</v>
      </c>
      <c r="X348" s="668">
        <v>23.0</v>
      </c>
      <c r="Y348" s="671">
        <f t="shared" si="1"/>
        <v>355</v>
      </c>
      <c r="Z348" s="571"/>
      <c r="AA348" s="673" t="str">
        <f t="shared" si="2"/>
        <v>#NAME?</v>
      </c>
      <c r="AB348" s="871" t="s">
        <v>66</v>
      </c>
      <c r="AC348" s="675" t="str">
        <f t="shared" si="3"/>
        <v>#NAME?</v>
      </c>
      <c r="AD348" s="872" t="s">
        <v>6</v>
      </c>
      <c r="AE348" s="676" t="str">
        <f t="shared" si="4"/>
        <v>#NAME?</v>
      </c>
      <c r="AF348" s="871" t="s">
        <v>66</v>
      </c>
      <c r="AG348" s="675" t="str">
        <f t="shared" si="5"/>
        <v>#NAME?</v>
      </c>
      <c r="AH348" s="586" t="s">
        <v>6</v>
      </c>
      <c r="AI348" s="677" t="str">
        <f t="shared" si="6"/>
        <v>#NAME?</v>
      </c>
      <c r="AJ348" s="586" t="s">
        <v>66</v>
      </c>
      <c r="AK348" s="584" t="str">
        <f t="shared" si="7"/>
        <v>#NAME?</v>
      </c>
      <c r="AL348" s="678" t="s">
        <v>6</v>
      </c>
      <c r="AM348" s="571"/>
      <c r="AN348" s="679" t="s">
        <v>2151</v>
      </c>
      <c r="AO348" s="680"/>
      <c r="AP348" s="705" t="s">
        <v>2151</v>
      </c>
      <c r="AQ348" s="722" t="s">
        <v>3210</v>
      </c>
      <c r="AR348" s="705" t="s">
        <v>2151</v>
      </c>
      <c r="AS348" s="722" t="s">
        <v>3210</v>
      </c>
      <c r="AT348" s="595"/>
      <c r="AU348" s="676" t="str">
        <f t="shared" ref="AU348:AU349" si="47">image("https://www.pokebip.com/pages/icones/objets/grosse-racine.png", 3)</f>
        <v/>
      </c>
      <c r="AV348" s="679" t="s">
        <v>3213</v>
      </c>
      <c r="AW348" s="673"/>
      <c r="AX348" s="866"/>
      <c r="AY348" s="571"/>
      <c r="AZ348" s="695" t="s">
        <v>27</v>
      </c>
      <c r="BA348" s="700"/>
      <c r="BB348" s="690"/>
      <c r="BC348" s="571"/>
      <c r="BD348" s="651" t="s">
        <v>2698</v>
      </c>
      <c r="BE348" s="653">
        <v>99.0</v>
      </c>
      <c r="BF348" s="653">
        <v>45.0</v>
      </c>
      <c r="BG348" s="654">
        <v>70.0</v>
      </c>
      <c r="BH348" s="653">
        <v>40.0</v>
      </c>
      <c r="BI348" s="607"/>
      <c r="BJ348" s="655" t="s">
        <v>13</v>
      </c>
      <c r="BK348" s="656">
        <v>0.125</v>
      </c>
      <c r="BL348" s="610"/>
      <c r="BM348" s="657" t="s">
        <v>807</v>
      </c>
      <c r="BN348" s="704"/>
      <c r="BO348" s="607"/>
      <c r="BP348" s="659" t="s">
        <v>3212</v>
      </c>
      <c r="BQ348" s="614"/>
      <c r="BR348" s="660" t="s">
        <v>4434</v>
      </c>
      <c r="BS348" s="614"/>
    </row>
    <row r="349" ht="15.75" customHeight="1">
      <c r="A349" s="841"/>
      <c r="B349" s="617" t="s">
        <v>3218</v>
      </c>
      <c r="C349" s="618"/>
      <c r="D349" s="619"/>
      <c r="E349" s="629">
        <v>86.0</v>
      </c>
      <c r="F349" s="621">
        <v>81.0</v>
      </c>
      <c r="G349" s="622">
        <v>97.0</v>
      </c>
      <c r="H349" s="623">
        <v>81.0</v>
      </c>
      <c r="I349" s="624">
        <v>107.0</v>
      </c>
      <c r="J349" s="625">
        <v>43.0</v>
      </c>
      <c r="K349" s="626">
        <v>495.0</v>
      </c>
      <c r="L349" s="627">
        <v>86.0</v>
      </c>
      <c r="M349" s="621">
        <v>81.0</v>
      </c>
      <c r="N349" s="622">
        <v>97.0</v>
      </c>
      <c r="O349" s="623">
        <v>81.0</v>
      </c>
      <c r="P349" s="624">
        <v>107.0</v>
      </c>
      <c r="Q349" s="625">
        <v>43.0</v>
      </c>
      <c r="R349" s="628">
        <v>495.0</v>
      </c>
      <c r="S349" s="629">
        <v>86.0</v>
      </c>
      <c r="T349" s="621">
        <v>81.0</v>
      </c>
      <c r="U349" s="622">
        <v>97.0</v>
      </c>
      <c r="V349" s="623">
        <v>81.0</v>
      </c>
      <c r="W349" s="624">
        <v>107.0</v>
      </c>
      <c r="X349" s="625">
        <v>43.0</v>
      </c>
      <c r="Y349" s="628">
        <f t="shared" si="1"/>
        <v>495</v>
      </c>
      <c r="Z349" s="619"/>
      <c r="AA349" s="630" t="str">
        <f t="shared" si="2"/>
        <v>#NAME?</v>
      </c>
      <c r="AB349" s="869" t="s">
        <v>66</v>
      </c>
      <c r="AC349" s="632" t="str">
        <f t="shared" si="3"/>
        <v>#NAME?</v>
      </c>
      <c r="AD349" s="870" t="s">
        <v>6</v>
      </c>
      <c r="AE349" s="633" t="str">
        <f t="shared" si="4"/>
        <v>#NAME?</v>
      </c>
      <c r="AF349" s="869" t="s">
        <v>66</v>
      </c>
      <c r="AG349" s="632" t="str">
        <f t="shared" si="5"/>
        <v>#NAME?</v>
      </c>
      <c r="AH349" s="634" t="s">
        <v>6</v>
      </c>
      <c r="AI349" s="635" t="str">
        <f t="shared" si="6"/>
        <v>#NAME?</v>
      </c>
      <c r="AJ349" s="634" t="s">
        <v>66</v>
      </c>
      <c r="AK349" s="636" t="str">
        <f t="shared" si="7"/>
        <v>#NAME?</v>
      </c>
      <c r="AL349" s="637" t="s">
        <v>6</v>
      </c>
      <c r="AM349" s="619"/>
      <c r="AN349" s="638" t="s">
        <v>2151</v>
      </c>
      <c r="AO349" s="639"/>
      <c r="AP349" s="712" t="s">
        <v>2151</v>
      </c>
      <c r="AQ349" s="714" t="s">
        <v>3210</v>
      </c>
      <c r="AR349" s="712" t="s">
        <v>2151</v>
      </c>
      <c r="AS349" s="714" t="s">
        <v>3210</v>
      </c>
      <c r="AT349" s="644"/>
      <c r="AU349" s="633" t="str">
        <f t="shared" si="47"/>
        <v/>
      </c>
      <c r="AV349" s="638" t="s">
        <v>3213</v>
      </c>
      <c r="AW349" s="630"/>
      <c r="AX349" s="647"/>
      <c r="AY349" s="619"/>
      <c r="AZ349" s="698" t="s">
        <v>815</v>
      </c>
      <c r="BA349" s="690"/>
      <c r="BB349" s="650"/>
      <c r="BC349" s="619"/>
      <c r="BD349" s="651" t="s">
        <v>2698</v>
      </c>
      <c r="BE349" s="653">
        <v>199.0</v>
      </c>
      <c r="BF349" s="653">
        <v>45.0</v>
      </c>
      <c r="BG349" s="654">
        <v>70.0</v>
      </c>
      <c r="BH349" s="653">
        <v>80.0</v>
      </c>
      <c r="BI349" s="607"/>
      <c r="BJ349" s="655" t="s">
        <v>13</v>
      </c>
      <c r="BK349" s="656">
        <v>0.125</v>
      </c>
      <c r="BL349" s="610"/>
      <c r="BM349" s="657" t="s">
        <v>807</v>
      </c>
      <c r="BN349" s="704"/>
      <c r="BO349" s="607"/>
      <c r="BP349" s="659" t="s">
        <v>4480</v>
      </c>
      <c r="BQ349" s="614"/>
      <c r="BR349" s="660" t="s">
        <v>4427</v>
      </c>
      <c r="BS349" s="614"/>
    </row>
    <row r="350" ht="15.75" customHeight="1">
      <c r="A350" s="841"/>
      <c r="B350" s="661" t="s">
        <v>3227</v>
      </c>
      <c r="C350" s="662"/>
      <c r="D350" s="571"/>
      <c r="E350" s="672">
        <v>45.0</v>
      </c>
      <c r="F350" s="664">
        <v>95.0</v>
      </c>
      <c r="G350" s="665">
        <v>50.0</v>
      </c>
      <c r="H350" s="666">
        <v>40.0</v>
      </c>
      <c r="I350" s="667">
        <v>50.0</v>
      </c>
      <c r="J350" s="668">
        <v>75.0</v>
      </c>
      <c r="K350" s="669">
        <v>355.0</v>
      </c>
      <c r="L350" s="670">
        <v>45.0</v>
      </c>
      <c r="M350" s="664">
        <v>95.0</v>
      </c>
      <c r="N350" s="665">
        <v>50.0</v>
      </c>
      <c r="O350" s="666">
        <v>40.0</v>
      </c>
      <c r="P350" s="667">
        <v>50.0</v>
      </c>
      <c r="Q350" s="668">
        <v>75.0</v>
      </c>
      <c r="R350" s="671">
        <v>355.0</v>
      </c>
      <c r="S350" s="672">
        <v>45.0</v>
      </c>
      <c r="T350" s="664">
        <v>95.0</v>
      </c>
      <c r="U350" s="665">
        <v>50.0</v>
      </c>
      <c r="V350" s="666">
        <v>40.0</v>
      </c>
      <c r="W350" s="667">
        <v>50.0</v>
      </c>
      <c r="X350" s="668">
        <v>75.0</v>
      </c>
      <c r="Y350" s="671">
        <f t="shared" si="1"/>
        <v>355</v>
      </c>
      <c r="Z350" s="571"/>
      <c r="AA350" s="673" t="str">
        <f t="shared" si="2"/>
        <v>#NAME?</v>
      </c>
      <c r="AB350" s="871" t="s">
        <v>66</v>
      </c>
      <c r="AC350" s="675" t="str">
        <f t="shared" si="3"/>
        <v>#NAME?</v>
      </c>
      <c r="AD350" s="872" t="s">
        <v>109</v>
      </c>
      <c r="AE350" s="676" t="str">
        <f t="shared" si="4"/>
        <v>#NAME?</v>
      </c>
      <c r="AF350" s="871" t="s">
        <v>66</v>
      </c>
      <c r="AG350" s="675" t="str">
        <f t="shared" si="5"/>
        <v>#NAME?</v>
      </c>
      <c r="AH350" s="586" t="s">
        <v>109</v>
      </c>
      <c r="AI350" s="677" t="str">
        <f t="shared" si="6"/>
        <v>#NAME?</v>
      </c>
      <c r="AJ350" s="586" t="s">
        <v>66</v>
      </c>
      <c r="AK350" s="584" t="str">
        <f t="shared" si="7"/>
        <v>#NAME?</v>
      </c>
      <c r="AL350" s="678" t="s">
        <v>109</v>
      </c>
      <c r="AM350" s="571"/>
      <c r="AN350" s="679" t="s">
        <v>1430</v>
      </c>
      <c r="AO350" s="680"/>
      <c r="AP350" s="705" t="s">
        <v>1430</v>
      </c>
      <c r="AQ350" s="707" t="s">
        <v>3231</v>
      </c>
      <c r="AR350" s="705" t="s">
        <v>1430</v>
      </c>
      <c r="AS350" s="707" t="s">
        <v>3231</v>
      </c>
      <c r="AT350" s="595"/>
      <c r="AU350" s="676"/>
      <c r="AV350" s="679"/>
      <c r="AW350" s="673"/>
      <c r="AX350" s="866"/>
      <c r="AY350" s="571"/>
      <c r="AZ350" s="695" t="s">
        <v>325</v>
      </c>
      <c r="BA350" s="700"/>
      <c r="BB350" s="690"/>
      <c r="BC350" s="571"/>
      <c r="BD350" s="651" t="s">
        <v>2698</v>
      </c>
      <c r="BE350" s="653">
        <v>99.0</v>
      </c>
      <c r="BF350" s="653">
        <v>45.0</v>
      </c>
      <c r="BG350" s="654">
        <v>70.0</v>
      </c>
      <c r="BH350" s="653">
        <v>40.0</v>
      </c>
      <c r="BI350" s="607"/>
      <c r="BJ350" s="655" t="s">
        <v>13</v>
      </c>
      <c r="BK350" s="656">
        <v>0.125</v>
      </c>
      <c r="BL350" s="610"/>
      <c r="BM350" s="657" t="s">
        <v>807</v>
      </c>
      <c r="BN350" s="704"/>
      <c r="BO350" s="607"/>
      <c r="BP350" s="659" t="s">
        <v>3232</v>
      </c>
      <c r="BQ350" s="614"/>
      <c r="BR350" s="660" t="s">
        <v>4437</v>
      </c>
      <c r="BS350" s="614"/>
    </row>
    <row r="351" ht="15.75" customHeight="1">
      <c r="A351" s="841"/>
      <c r="B351" s="617" t="s">
        <v>3237</v>
      </c>
      <c r="C351" s="618"/>
      <c r="D351" s="619"/>
      <c r="E351" s="629">
        <v>75.0</v>
      </c>
      <c r="F351" s="621">
        <v>125.0</v>
      </c>
      <c r="G351" s="622">
        <v>100.0</v>
      </c>
      <c r="H351" s="623">
        <v>70.0</v>
      </c>
      <c r="I351" s="624">
        <v>80.0</v>
      </c>
      <c r="J351" s="625">
        <v>45.0</v>
      </c>
      <c r="K351" s="626">
        <v>495.0</v>
      </c>
      <c r="L351" s="627">
        <v>75.0</v>
      </c>
      <c r="M351" s="621">
        <v>125.0</v>
      </c>
      <c r="N351" s="622">
        <v>100.0</v>
      </c>
      <c r="O351" s="623">
        <v>70.0</v>
      </c>
      <c r="P351" s="624">
        <v>80.0</v>
      </c>
      <c r="Q351" s="625">
        <v>45.0</v>
      </c>
      <c r="R351" s="628">
        <v>495.0</v>
      </c>
      <c r="S351" s="629">
        <v>75.0</v>
      </c>
      <c r="T351" s="621">
        <v>125.0</v>
      </c>
      <c r="U351" s="622">
        <v>100.0</v>
      </c>
      <c r="V351" s="623">
        <v>70.0</v>
      </c>
      <c r="W351" s="624">
        <v>80.0</v>
      </c>
      <c r="X351" s="625">
        <v>45.0</v>
      </c>
      <c r="Y351" s="628">
        <f t="shared" si="1"/>
        <v>495</v>
      </c>
      <c r="Z351" s="619"/>
      <c r="AA351" s="630" t="str">
        <f t="shared" si="2"/>
        <v>#NAME?</v>
      </c>
      <c r="AB351" s="869" t="s">
        <v>66</v>
      </c>
      <c r="AC351" s="632" t="str">
        <f t="shared" si="3"/>
        <v>#NAME?</v>
      </c>
      <c r="AD351" s="870" t="s">
        <v>109</v>
      </c>
      <c r="AE351" s="633" t="str">
        <f t="shared" si="4"/>
        <v>#NAME?</v>
      </c>
      <c r="AF351" s="869" t="s">
        <v>66</v>
      </c>
      <c r="AG351" s="632" t="str">
        <f t="shared" si="5"/>
        <v>#NAME?</v>
      </c>
      <c r="AH351" s="634" t="s">
        <v>109</v>
      </c>
      <c r="AI351" s="635" t="str">
        <f t="shared" si="6"/>
        <v>#NAME?</v>
      </c>
      <c r="AJ351" s="634" t="s">
        <v>66</v>
      </c>
      <c r="AK351" s="636" t="str">
        <f t="shared" si="7"/>
        <v>#NAME?</v>
      </c>
      <c r="AL351" s="637" t="s">
        <v>109</v>
      </c>
      <c r="AM351" s="619"/>
      <c r="AN351" s="638" t="s">
        <v>1430</v>
      </c>
      <c r="AO351" s="639"/>
      <c r="AP351" s="712" t="s">
        <v>1430</v>
      </c>
      <c r="AQ351" s="714" t="s">
        <v>3231</v>
      </c>
      <c r="AR351" s="712" t="s">
        <v>1430</v>
      </c>
      <c r="AS351" s="714" t="s">
        <v>3231</v>
      </c>
      <c r="AT351" s="644"/>
      <c r="AU351" s="633"/>
      <c r="AV351" s="638"/>
      <c r="AW351" s="630"/>
      <c r="AX351" s="647"/>
      <c r="AY351" s="619"/>
      <c r="AZ351" s="698" t="s">
        <v>216</v>
      </c>
      <c r="BA351" s="690"/>
      <c r="BB351" s="650"/>
      <c r="BC351" s="619"/>
      <c r="BD351" s="651" t="s">
        <v>2698</v>
      </c>
      <c r="BE351" s="653">
        <v>199.0</v>
      </c>
      <c r="BF351" s="653">
        <v>45.0</v>
      </c>
      <c r="BG351" s="654">
        <v>70.0</v>
      </c>
      <c r="BH351" s="653">
        <v>80.0</v>
      </c>
      <c r="BI351" s="607"/>
      <c r="BJ351" s="655" t="s">
        <v>13</v>
      </c>
      <c r="BK351" s="656">
        <v>0.125</v>
      </c>
      <c r="BL351" s="610"/>
      <c r="BM351" s="657" t="s">
        <v>807</v>
      </c>
      <c r="BN351" s="704"/>
      <c r="BO351" s="607"/>
      <c r="BP351" s="659" t="s">
        <v>4481</v>
      </c>
      <c r="BQ351" s="614"/>
      <c r="BR351" s="660" t="s">
        <v>4437</v>
      </c>
      <c r="BS351" s="614"/>
    </row>
    <row r="352" ht="15.75" customHeight="1">
      <c r="A352" s="841"/>
      <c r="B352" s="661" t="s">
        <v>3246</v>
      </c>
      <c r="C352" s="662"/>
      <c r="D352" s="571"/>
      <c r="E352" s="672">
        <v>20.0</v>
      </c>
      <c r="F352" s="664">
        <v>15.0</v>
      </c>
      <c r="G352" s="665">
        <v>20.0</v>
      </c>
      <c r="H352" s="666">
        <v>10.0</v>
      </c>
      <c r="I352" s="667">
        <v>55.0</v>
      </c>
      <c r="J352" s="668">
        <v>80.0</v>
      </c>
      <c r="K352" s="669">
        <v>200.0</v>
      </c>
      <c r="L352" s="670">
        <v>20.0</v>
      </c>
      <c r="M352" s="664">
        <v>15.0</v>
      </c>
      <c r="N352" s="665">
        <v>20.0</v>
      </c>
      <c r="O352" s="666">
        <v>10.0</v>
      </c>
      <c r="P352" s="667">
        <v>55.0</v>
      </c>
      <c r="Q352" s="668">
        <v>80.0</v>
      </c>
      <c r="R352" s="671">
        <v>200.0</v>
      </c>
      <c r="S352" s="672">
        <v>20.0</v>
      </c>
      <c r="T352" s="664">
        <v>15.0</v>
      </c>
      <c r="U352" s="665">
        <v>20.0</v>
      </c>
      <c r="V352" s="666">
        <v>10.0</v>
      </c>
      <c r="W352" s="667">
        <v>55.0</v>
      </c>
      <c r="X352" s="668">
        <v>80.0</v>
      </c>
      <c r="Y352" s="671">
        <f t="shared" si="1"/>
        <v>200</v>
      </c>
      <c r="Z352" s="571"/>
      <c r="AA352" s="673" t="str">
        <f t="shared" si="2"/>
        <v>#NAME?</v>
      </c>
      <c r="AB352" s="871" t="s">
        <v>32</v>
      </c>
      <c r="AC352" s="675" t="str">
        <f t="shared" si="3"/>
        <v>#NAME?</v>
      </c>
      <c r="AD352" s="872" t="s">
        <v>4428</v>
      </c>
      <c r="AE352" s="676" t="str">
        <f t="shared" si="4"/>
        <v>#NAME?</v>
      </c>
      <c r="AF352" s="871" t="s">
        <v>32</v>
      </c>
      <c r="AG352" s="675" t="str">
        <f t="shared" si="5"/>
        <v>#NAME?</v>
      </c>
      <c r="AH352" s="586" t="s">
        <v>4428</v>
      </c>
      <c r="AI352" s="677" t="str">
        <f t="shared" si="6"/>
        <v>#NAME?</v>
      </c>
      <c r="AJ352" s="586" t="s">
        <v>32</v>
      </c>
      <c r="AK352" s="584" t="str">
        <f t="shared" si="7"/>
        <v>#NAME?</v>
      </c>
      <c r="AL352" s="678" t="s">
        <v>4428</v>
      </c>
      <c r="AM352" s="571"/>
      <c r="AN352" s="679" t="s">
        <v>1212</v>
      </c>
      <c r="AO352" s="680"/>
      <c r="AP352" s="705" t="s">
        <v>1212</v>
      </c>
      <c r="AQ352" s="707" t="s">
        <v>219</v>
      </c>
      <c r="AR352" s="705" t="s">
        <v>1212</v>
      </c>
      <c r="AS352" s="707" t="s">
        <v>219</v>
      </c>
      <c r="AT352" s="595"/>
      <c r="AU352" s="676"/>
      <c r="AV352" s="679"/>
      <c r="AW352" s="673"/>
      <c r="AX352" s="866"/>
      <c r="AY352" s="571"/>
      <c r="AZ352" s="695" t="s">
        <v>56</v>
      </c>
      <c r="BA352" s="700"/>
      <c r="BB352" s="690"/>
      <c r="BC352" s="571"/>
      <c r="BD352" s="651" t="s">
        <v>2698</v>
      </c>
      <c r="BE352" s="653">
        <v>61.0</v>
      </c>
      <c r="BF352" s="653">
        <v>255.0</v>
      </c>
      <c r="BG352" s="654">
        <v>70.0</v>
      </c>
      <c r="BH352" s="653">
        <v>20.0</v>
      </c>
      <c r="BI352" s="607"/>
      <c r="BJ352" s="655" t="s">
        <v>149</v>
      </c>
      <c r="BK352" s="703" t="s">
        <v>149</v>
      </c>
      <c r="BL352" s="610"/>
      <c r="BM352" s="657" t="s">
        <v>106</v>
      </c>
      <c r="BN352" s="658" t="s">
        <v>61</v>
      </c>
      <c r="BO352" s="607"/>
      <c r="BP352" s="659" t="s">
        <v>3250</v>
      </c>
      <c r="BQ352" s="614"/>
      <c r="BR352" s="660" t="s">
        <v>4432</v>
      </c>
      <c r="BS352" s="614"/>
    </row>
    <row r="353" ht="15.75" customHeight="1">
      <c r="A353" s="841"/>
      <c r="B353" s="617" t="s">
        <v>3255</v>
      </c>
      <c r="C353" s="618"/>
      <c r="D353" s="619"/>
      <c r="E353" s="629">
        <v>95.0</v>
      </c>
      <c r="F353" s="621">
        <v>60.0</v>
      </c>
      <c r="G353" s="622">
        <v>79.0</v>
      </c>
      <c r="H353" s="623">
        <v>100.0</v>
      </c>
      <c r="I353" s="624">
        <v>125.0</v>
      </c>
      <c r="J353" s="625">
        <v>81.0</v>
      </c>
      <c r="K353" s="626">
        <v>540.0</v>
      </c>
      <c r="L353" s="627">
        <v>95.0</v>
      </c>
      <c r="M353" s="621">
        <v>60.0</v>
      </c>
      <c r="N353" s="622">
        <v>79.0</v>
      </c>
      <c r="O353" s="623">
        <v>100.0</v>
      </c>
      <c r="P353" s="624">
        <v>125.0</v>
      </c>
      <c r="Q353" s="625">
        <v>81.0</v>
      </c>
      <c r="R353" s="628">
        <v>540.0</v>
      </c>
      <c r="S353" s="629">
        <v>95.0</v>
      </c>
      <c r="T353" s="621">
        <v>60.0</v>
      </c>
      <c r="U353" s="622">
        <v>79.0</v>
      </c>
      <c r="V353" s="623">
        <v>100.0</v>
      </c>
      <c r="W353" s="624">
        <v>125.0</v>
      </c>
      <c r="X353" s="625">
        <v>81.0</v>
      </c>
      <c r="Y353" s="628">
        <f t="shared" si="1"/>
        <v>540</v>
      </c>
      <c r="Z353" s="619"/>
      <c r="AA353" s="630" t="str">
        <f t="shared" si="2"/>
        <v>#NAME?</v>
      </c>
      <c r="AB353" s="869" t="s">
        <v>32</v>
      </c>
      <c r="AC353" s="632" t="str">
        <f t="shared" si="3"/>
        <v>#NAME?</v>
      </c>
      <c r="AD353" s="870" t="s">
        <v>4428</v>
      </c>
      <c r="AE353" s="633" t="str">
        <f t="shared" si="4"/>
        <v>#NAME?</v>
      </c>
      <c r="AF353" s="869" t="s">
        <v>32</v>
      </c>
      <c r="AG353" s="632" t="str">
        <f t="shared" si="5"/>
        <v>#NAME?</v>
      </c>
      <c r="AH353" s="634" t="s">
        <v>4428</v>
      </c>
      <c r="AI353" s="635" t="str">
        <f t="shared" si="6"/>
        <v>#NAME?</v>
      </c>
      <c r="AJ353" s="634" t="s">
        <v>32</v>
      </c>
      <c r="AK353" s="697" t="str">
        <f t="shared" si="7"/>
        <v>#NAME?</v>
      </c>
      <c r="AL353" s="637" t="s">
        <v>3017</v>
      </c>
      <c r="AM353" s="619"/>
      <c r="AN353" s="638" t="s">
        <v>1492</v>
      </c>
      <c r="AO353" s="639"/>
      <c r="AP353" s="712" t="s">
        <v>1492</v>
      </c>
      <c r="AQ353" s="723" t="s">
        <v>3258</v>
      </c>
      <c r="AR353" s="712" t="s">
        <v>1492</v>
      </c>
      <c r="AS353" s="723" t="s">
        <v>3258</v>
      </c>
      <c r="AT353" s="644"/>
      <c r="AU353" s="633"/>
      <c r="AV353" s="638"/>
      <c r="AW353" s="630"/>
      <c r="AX353" s="647"/>
      <c r="AY353" s="619"/>
      <c r="AZ353" s="698" t="s">
        <v>815</v>
      </c>
      <c r="BA353" s="690"/>
      <c r="BB353" s="650"/>
      <c r="BC353" s="619"/>
      <c r="BD353" s="651" t="s">
        <v>2698</v>
      </c>
      <c r="BE353" s="653">
        <v>213.0</v>
      </c>
      <c r="BF353" s="653">
        <v>60.0</v>
      </c>
      <c r="BG353" s="654">
        <v>70.0</v>
      </c>
      <c r="BH353" s="653">
        <v>100.0</v>
      </c>
      <c r="BI353" s="607"/>
      <c r="BJ353" s="655" t="s">
        <v>149</v>
      </c>
      <c r="BK353" s="703" t="s">
        <v>149</v>
      </c>
      <c r="BL353" s="610"/>
      <c r="BM353" s="657" t="s">
        <v>106</v>
      </c>
      <c r="BN353" s="658" t="s">
        <v>61</v>
      </c>
      <c r="BO353" s="607"/>
      <c r="BP353" s="659" t="s">
        <v>4482</v>
      </c>
      <c r="BQ353" s="614"/>
      <c r="BR353" s="660" t="s">
        <v>4435</v>
      </c>
      <c r="BS353" s="614"/>
    </row>
    <row r="354" ht="15.75" customHeight="1">
      <c r="A354" s="841"/>
      <c r="B354" s="661" t="s">
        <v>3265</v>
      </c>
      <c r="C354" s="662"/>
      <c r="D354" s="571"/>
      <c r="E354" s="672">
        <v>70.0</v>
      </c>
      <c r="F354" s="664">
        <v>70.0</v>
      </c>
      <c r="G354" s="665">
        <v>70.0</v>
      </c>
      <c r="H354" s="666">
        <v>70.0</v>
      </c>
      <c r="I354" s="667">
        <v>70.0</v>
      </c>
      <c r="J354" s="668">
        <v>70.0</v>
      </c>
      <c r="K354" s="669">
        <v>420.0</v>
      </c>
      <c r="L354" s="670">
        <v>70.0</v>
      </c>
      <c r="M354" s="664">
        <v>70.0</v>
      </c>
      <c r="N354" s="665">
        <v>70.0</v>
      </c>
      <c r="O354" s="666">
        <v>70.0</v>
      </c>
      <c r="P354" s="667">
        <v>70.0</v>
      </c>
      <c r="Q354" s="668">
        <v>70.0</v>
      </c>
      <c r="R354" s="671">
        <v>420.0</v>
      </c>
      <c r="S354" s="769">
        <v>60.0</v>
      </c>
      <c r="T354" s="741">
        <v>60.0</v>
      </c>
      <c r="U354" s="742">
        <v>60.0</v>
      </c>
      <c r="V354" s="743">
        <v>105.0</v>
      </c>
      <c r="W354" s="667">
        <v>70.0</v>
      </c>
      <c r="X354" s="745">
        <v>95.0</v>
      </c>
      <c r="Y354" s="671">
        <f t="shared" si="1"/>
        <v>450</v>
      </c>
      <c r="Z354" s="571"/>
      <c r="AA354" s="673" t="str">
        <f t="shared" si="2"/>
        <v>#NAME?</v>
      </c>
      <c r="AB354" s="871" t="s">
        <v>156</v>
      </c>
      <c r="AC354" s="675" t="str">
        <f t="shared" si="3"/>
        <v>#NAME?</v>
      </c>
      <c r="AD354" s="872" t="s">
        <v>4428</v>
      </c>
      <c r="AE354" s="676" t="str">
        <f t="shared" si="4"/>
        <v>#NAME?</v>
      </c>
      <c r="AF354" s="871" t="s">
        <v>156</v>
      </c>
      <c r="AG354" s="675" t="str">
        <f t="shared" si="5"/>
        <v>#NAME?</v>
      </c>
      <c r="AH354" s="586" t="s">
        <v>4428</v>
      </c>
      <c r="AI354" s="677" t="str">
        <f t="shared" si="6"/>
        <v>#NAME?</v>
      </c>
      <c r="AJ354" s="586" t="s">
        <v>156</v>
      </c>
      <c r="AK354" s="584" t="str">
        <f t="shared" si="7"/>
        <v>#NAME?</v>
      </c>
      <c r="AL354" s="678" t="s">
        <v>4428</v>
      </c>
      <c r="AM354" s="571"/>
      <c r="AN354" s="679" t="s">
        <v>3268</v>
      </c>
      <c r="AO354" s="680"/>
      <c r="AP354" s="705" t="s">
        <v>3268</v>
      </c>
      <c r="AQ354" s="680"/>
      <c r="AR354" s="705" t="s">
        <v>3268</v>
      </c>
      <c r="AS354" s="680"/>
      <c r="AT354" s="595"/>
      <c r="AU354" s="676" t="str">
        <f>image("https://www.pokebip.com/pages/icones/objets/eau-mystique.png", 3)</f>
        <v/>
      </c>
      <c r="AV354" s="679" t="s">
        <v>1356</v>
      </c>
      <c r="AW354" s="673"/>
      <c r="AX354" s="866"/>
      <c r="AY354" s="571"/>
      <c r="AZ354" s="695" t="s">
        <v>144</v>
      </c>
      <c r="BA354" s="700"/>
      <c r="BB354" s="690"/>
      <c r="BC354" s="571"/>
      <c r="BD354" s="651" t="s">
        <v>150</v>
      </c>
      <c r="BE354" s="653">
        <v>145.0</v>
      </c>
      <c r="BF354" s="653">
        <v>45.0</v>
      </c>
      <c r="BG354" s="654">
        <v>70.0</v>
      </c>
      <c r="BH354" s="653">
        <v>20.0</v>
      </c>
      <c r="BI354" s="607"/>
      <c r="BJ354" s="655" t="s">
        <v>149</v>
      </c>
      <c r="BK354" s="703" t="s">
        <v>149</v>
      </c>
      <c r="BL354" s="610"/>
      <c r="BM354" s="657" t="s">
        <v>153</v>
      </c>
      <c r="BN354" s="658" t="s">
        <v>964</v>
      </c>
      <c r="BO354" s="607"/>
      <c r="BP354" s="659" t="s">
        <v>914</v>
      </c>
      <c r="BQ354" s="614"/>
      <c r="BR354" s="660" t="s">
        <v>4431</v>
      </c>
      <c r="BS354" s="614"/>
    </row>
    <row r="355" ht="15.75" customHeight="1">
      <c r="A355" s="841"/>
      <c r="B355" s="617" t="s">
        <v>3273</v>
      </c>
      <c r="C355" s="618"/>
      <c r="D355" s="619"/>
      <c r="E355" s="629">
        <v>60.0</v>
      </c>
      <c r="F355" s="621">
        <v>90.0</v>
      </c>
      <c r="G355" s="622">
        <v>70.0</v>
      </c>
      <c r="H355" s="623">
        <v>60.0</v>
      </c>
      <c r="I355" s="624">
        <v>120.0</v>
      </c>
      <c r="J355" s="625">
        <v>40.0</v>
      </c>
      <c r="K355" s="626">
        <v>440.0</v>
      </c>
      <c r="L355" s="627">
        <v>60.0</v>
      </c>
      <c r="M355" s="621">
        <v>90.0</v>
      </c>
      <c r="N355" s="622">
        <v>70.0</v>
      </c>
      <c r="O355" s="623">
        <v>60.0</v>
      </c>
      <c r="P355" s="624">
        <v>120.0</v>
      </c>
      <c r="Q355" s="625">
        <v>40.0</v>
      </c>
      <c r="R355" s="628">
        <v>440.0</v>
      </c>
      <c r="S355" s="629">
        <v>60.0</v>
      </c>
      <c r="T355" s="750">
        <v>100.0</v>
      </c>
      <c r="U355" s="622">
        <v>70.0</v>
      </c>
      <c r="V355" s="623">
        <v>60.0</v>
      </c>
      <c r="W355" s="624">
        <v>120.0</v>
      </c>
      <c r="X355" s="625">
        <v>40.0</v>
      </c>
      <c r="Y355" s="628">
        <f t="shared" si="1"/>
        <v>450</v>
      </c>
      <c r="Z355" s="619"/>
      <c r="AA355" s="630" t="str">
        <f t="shared" si="2"/>
        <v>#NAME?</v>
      </c>
      <c r="AB355" s="869" t="s">
        <v>156</v>
      </c>
      <c r="AC355" s="632" t="str">
        <f t="shared" si="3"/>
        <v>#NAME?</v>
      </c>
      <c r="AD355" s="870" t="s">
        <v>4428</v>
      </c>
      <c r="AE355" s="633" t="str">
        <f t="shared" si="4"/>
        <v>#NAME?</v>
      </c>
      <c r="AF355" s="869" t="s">
        <v>156</v>
      </c>
      <c r="AG355" s="632" t="str">
        <f t="shared" si="5"/>
        <v>#NAME?</v>
      </c>
      <c r="AH355" s="634" t="s">
        <v>4428</v>
      </c>
      <c r="AI355" s="635" t="str">
        <f t="shared" si="6"/>
        <v>#NAME?</v>
      </c>
      <c r="AJ355" s="634" t="s">
        <v>156</v>
      </c>
      <c r="AK355" s="636" t="str">
        <f t="shared" si="7"/>
        <v>#NAME?</v>
      </c>
      <c r="AL355" s="637" t="s">
        <v>4428</v>
      </c>
      <c r="AM355" s="619"/>
      <c r="AN355" s="638" t="s">
        <v>3276</v>
      </c>
      <c r="AO355" s="639"/>
      <c r="AP355" s="712" t="s">
        <v>3276</v>
      </c>
      <c r="AQ355" s="639"/>
      <c r="AR355" s="712" t="s">
        <v>3276</v>
      </c>
      <c r="AS355" s="639"/>
      <c r="AT355" s="644"/>
      <c r="AU355" s="633"/>
      <c r="AV355" s="638"/>
      <c r="AW355" s="630"/>
      <c r="AX355" s="647"/>
      <c r="AY355" s="619"/>
      <c r="AZ355" s="648" t="s">
        <v>27</v>
      </c>
      <c r="BA355" s="694"/>
      <c r="BB355" s="690"/>
      <c r="BC355" s="619"/>
      <c r="BD355" s="651" t="s">
        <v>15</v>
      </c>
      <c r="BE355" s="653">
        <v>132.0</v>
      </c>
      <c r="BF355" s="653">
        <v>200.0</v>
      </c>
      <c r="BG355" s="654">
        <v>70.0</v>
      </c>
      <c r="BH355" s="653">
        <v>40.0</v>
      </c>
      <c r="BI355" s="607"/>
      <c r="BJ355" s="655" t="s">
        <v>149</v>
      </c>
      <c r="BK355" s="703" t="s">
        <v>149</v>
      </c>
      <c r="BL355" s="610"/>
      <c r="BM355" s="657" t="s">
        <v>277</v>
      </c>
      <c r="BN355" s="704"/>
      <c r="BO355" s="607"/>
      <c r="BP355" s="659" t="s">
        <v>914</v>
      </c>
      <c r="BQ355" s="614"/>
      <c r="BR355" s="660" t="s">
        <v>4427</v>
      </c>
      <c r="BS355" s="614"/>
    </row>
    <row r="356" ht="15.75" customHeight="1">
      <c r="A356" s="841"/>
      <c r="B356" s="661" t="s">
        <v>3282</v>
      </c>
      <c r="C356" s="662"/>
      <c r="D356" s="571"/>
      <c r="E356" s="672">
        <v>44.0</v>
      </c>
      <c r="F356" s="664">
        <v>75.0</v>
      </c>
      <c r="G356" s="665">
        <v>35.0</v>
      </c>
      <c r="H356" s="666">
        <v>63.0</v>
      </c>
      <c r="I356" s="667">
        <v>33.0</v>
      </c>
      <c r="J356" s="668">
        <v>45.0</v>
      </c>
      <c r="K356" s="669">
        <v>295.0</v>
      </c>
      <c r="L356" s="670">
        <v>44.0</v>
      </c>
      <c r="M356" s="664">
        <v>75.0</v>
      </c>
      <c r="N356" s="665">
        <v>35.0</v>
      </c>
      <c r="O356" s="666">
        <v>63.0</v>
      </c>
      <c r="P356" s="667">
        <v>33.0</v>
      </c>
      <c r="Q356" s="668">
        <v>45.0</v>
      </c>
      <c r="R356" s="671">
        <v>295.0</v>
      </c>
      <c r="S356" s="672">
        <v>44.0</v>
      </c>
      <c r="T356" s="664">
        <v>75.0</v>
      </c>
      <c r="U356" s="665">
        <v>35.0</v>
      </c>
      <c r="V356" s="666">
        <v>63.0</v>
      </c>
      <c r="W356" s="667">
        <v>33.0</v>
      </c>
      <c r="X356" s="668">
        <v>45.0</v>
      </c>
      <c r="Y356" s="671">
        <f t="shared" si="1"/>
        <v>295</v>
      </c>
      <c r="Z356" s="571"/>
      <c r="AA356" s="673" t="str">
        <f t="shared" si="2"/>
        <v>#NAME?</v>
      </c>
      <c r="AB356" s="871" t="s">
        <v>92</v>
      </c>
      <c r="AC356" s="675" t="str">
        <f t="shared" si="3"/>
        <v>#NAME?</v>
      </c>
      <c r="AD356" s="872" t="s">
        <v>4428</v>
      </c>
      <c r="AE356" s="676" t="str">
        <f t="shared" si="4"/>
        <v>#NAME?</v>
      </c>
      <c r="AF356" s="871" t="s">
        <v>92</v>
      </c>
      <c r="AG356" s="675" t="str">
        <f t="shared" si="5"/>
        <v>#NAME?</v>
      </c>
      <c r="AH356" s="586" t="s">
        <v>4428</v>
      </c>
      <c r="AI356" s="677" t="str">
        <f t="shared" si="6"/>
        <v>#NAME?</v>
      </c>
      <c r="AJ356" s="586" t="s">
        <v>92</v>
      </c>
      <c r="AK356" s="584" t="str">
        <f t="shared" si="7"/>
        <v>#NAME?</v>
      </c>
      <c r="AL356" s="678" t="s">
        <v>4428</v>
      </c>
      <c r="AM356" s="571"/>
      <c r="AN356" s="679" t="s">
        <v>1032</v>
      </c>
      <c r="AO356" s="680" t="s">
        <v>2227</v>
      </c>
      <c r="AP356" s="705" t="s">
        <v>1032</v>
      </c>
      <c r="AQ356" s="680" t="s">
        <v>2227</v>
      </c>
      <c r="AR356" s="705" t="s">
        <v>1032</v>
      </c>
      <c r="AS356" s="680" t="s">
        <v>2227</v>
      </c>
      <c r="AT356" s="595"/>
      <c r="AU356" s="676" t="str">
        <f t="shared" ref="AU356:AU359" si="48">image("https://www.pokebip.com/pages/icones/objets/rune-sort.png", 3)</f>
        <v/>
      </c>
      <c r="AV356" s="679" t="s">
        <v>3286</v>
      </c>
      <c r="AW356" s="673"/>
      <c r="AX356" s="866"/>
      <c r="AY356" s="571"/>
      <c r="AZ356" s="695" t="s">
        <v>325</v>
      </c>
      <c r="BA356" s="700"/>
      <c r="BB356" s="690"/>
      <c r="BC356" s="571"/>
      <c r="BD356" s="651" t="s">
        <v>468</v>
      </c>
      <c r="BE356" s="653">
        <v>97.0</v>
      </c>
      <c r="BF356" s="653">
        <v>225.0</v>
      </c>
      <c r="BG356" s="654">
        <v>35.0</v>
      </c>
      <c r="BH356" s="653">
        <v>20.0</v>
      </c>
      <c r="BI356" s="607"/>
      <c r="BJ356" s="655" t="s">
        <v>149</v>
      </c>
      <c r="BK356" s="703" t="s">
        <v>149</v>
      </c>
      <c r="BL356" s="610"/>
      <c r="BM356" s="657" t="s">
        <v>964</v>
      </c>
      <c r="BN356" s="704"/>
      <c r="BO356" s="607"/>
      <c r="BP356" s="659" t="s">
        <v>3285</v>
      </c>
      <c r="BQ356" s="614"/>
      <c r="BR356" s="660" t="s">
        <v>4449</v>
      </c>
      <c r="BS356" s="614"/>
    </row>
    <row r="357" ht="15.75" customHeight="1">
      <c r="A357" s="841"/>
      <c r="B357" s="617" t="s">
        <v>3291</v>
      </c>
      <c r="C357" s="618"/>
      <c r="D357" s="619"/>
      <c r="E357" s="629">
        <v>64.0</v>
      </c>
      <c r="F357" s="750">
        <v>115.0</v>
      </c>
      <c r="G357" s="622">
        <v>65.0</v>
      </c>
      <c r="H357" s="623">
        <v>83.0</v>
      </c>
      <c r="I357" s="624">
        <v>63.0</v>
      </c>
      <c r="J357" s="625">
        <v>65.0</v>
      </c>
      <c r="K357" s="749">
        <v>455.0</v>
      </c>
      <c r="L357" s="627">
        <v>64.0</v>
      </c>
      <c r="M357" s="621">
        <v>115.0</v>
      </c>
      <c r="N357" s="622">
        <v>65.0</v>
      </c>
      <c r="O357" s="623">
        <v>83.0</v>
      </c>
      <c r="P357" s="624">
        <v>63.0</v>
      </c>
      <c r="Q357" s="625">
        <v>65.0</v>
      </c>
      <c r="R357" s="628">
        <v>455.0</v>
      </c>
      <c r="S357" s="629">
        <v>64.0</v>
      </c>
      <c r="T357" s="750">
        <v>125.0</v>
      </c>
      <c r="U357" s="622">
        <v>65.0</v>
      </c>
      <c r="V357" s="748">
        <v>93.0</v>
      </c>
      <c r="W357" s="624">
        <v>63.0</v>
      </c>
      <c r="X357" s="625">
        <v>65.0</v>
      </c>
      <c r="Y357" s="628">
        <f t="shared" si="1"/>
        <v>475</v>
      </c>
      <c r="Z357" s="619"/>
      <c r="AA357" s="630" t="str">
        <f t="shared" si="2"/>
        <v>#NAME?</v>
      </c>
      <c r="AB357" s="869" t="s">
        <v>92</v>
      </c>
      <c r="AC357" s="632" t="str">
        <f t="shared" si="3"/>
        <v>#NAME?</v>
      </c>
      <c r="AD357" s="870" t="s">
        <v>4428</v>
      </c>
      <c r="AE357" s="633" t="str">
        <f t="shared" si="4"/>
        <v>#NAME?</v>
      </c>
      <c r="AF357" s="869" t="s">
        <v>92</v>
      </c>
      <c r="AG357" s="632" t="str">
        <f t="shared" si="5"/>
        <v>#NAME?</v>
      </c>
      <c r="AH357" s="634" t="s">
        <v>4428</v>
      </c>
      <c r="AI357" s="635" t="str">
        <f t="shared" si="6"/>
        <v>#NAME?</v>
      </c>
      <c r="AJ357" s="634" t="s">
        <v>92</v>
      </c>
      <c r="AK357" s="636" t="str">
        <f t="shared" si="7"/>
        <v>#NAME?</v>
      </c>
      <c r="AL357" s="637" t="s">
        <v>4428</v>
      </c>
      <c r="AM357" s="619"/>
      <c r="AN357" s="638" t="s">
        <v>1032</v>
      </c>
      <c r="AO357" s="639" t="s">
        <v>2227</v>
      </c>
      <c r="AP357" s="712" t="s">
        <v>1032</v>
      </c>
      <c r="AQ357" s="639" t="s">
        <v>2227</v>
      </c>
      <c r="AR357" s="712" t="s">
        <v>1032</v>
      </c>
      <c r="AS357" s="639" t="s">
        <v>2227</v>
      </c>
      <c r="AT357" s="644"/>
      <c r="AU357" s="633" t="str">
        <f t="shared" si="48"/>
        <v/>
      </c>
      <c r="AV357" s="638" t="s">
        <v>3286</v>
      </c>
      <c r="AW357" s="630"/>
      <c r="AX357" s="647"/>
      <c r="AY357" s="619"/>
      <c r="AZ357" s="698" t="s">
        <v>216</v>
      </c>
      <c r="BA357" s="690"/>
      <c r="BB357" s="650"/>
      <c r="BC357" s="619"/>
      <c r="BD357" s="651" t="s">
        <v>468</v>
      </c>
      <c r="BE357" s="653">
        <v>179.0</v>
      </c>
      <c r="BF357" s="653">
        <v>45.0</v>
      </c>
      <c r="BG357" s="654">
        <v>35.0</v>
      </c>
      <c r="BH357" s="653">
        <v>40.0</v>
      </c>
      <c r="BI357" s="607"/>
      <c r="BJ357" s="655" t="s">
        <v>149</v>
      </c>
      <c r="BK357" s="703" t="s">
        <v>149</v>
      </c>
      <c r="BL357" s="610"/>
      <c r="BM357" s="657" t="s">
        <v>964</v>
      </c>
      <c r="BN357" s="704"/>
      <c r="BO357" s="607"/>
      <c r="BP357" s="659" t="s">
        <v>4483</v>
      </c>
      <c r="BQ357" s="614"/>
      <c r="BR357" s="660" t="s">
        <v>4449</v>
      </c>
      <c r="BS357" s="614"/>
    </row>
    <row r="358" ht="15.75" customHeight="1">
      <c r="A358" s="841"/>
      <c r="B358" s="661" t="s">
        <v>3299</v>
      </c>
      <c r="C358" s="662"/>
      <c r="D358" s="571"/>
      <c r="E358" s="672">
        <v>20.0</v>
      </c>
      <c r="F358" s="664">
        <v>40.0</v>
      </c>
      <c r="G358" s="665">
        <v>90.0</v>
      </c>
      <c r="H358" s="666">
        <v>30.0</v>
      </c>
      <c r="I358" s="667">
        <v>90.0</v>
      </c>
      <c r="J358" s="668">
        <v>25.0</v>
      </c>
      <c r="K358" s="669">
        <v>295.0</v>
      </c>
      <c r="L358" s="670">
        <v>20.0</v>
      </c>
      <c r="M358" s="664">
        <v>40.0</v>
      </c>
      <c r="N358" s="665">
        <v>90.0</v>
      </c>
      <c r="O358" s="666">
        <v>30.0</v>
      </c>
      <c r="P358" s="667">
        <v>90.0</v>
      </c>
      <c r="Q358" s="668">
        <v>25.0</v>
      </c>
      <c r="R358" s="671">
        <v>295.0</v>
      </c>
      <c r="S358" s="672">
        <v>20.0</v>
      </c>
      <c r="T358" s="664">
        <v>40.0</v>
      </c>
      <c r="U358" s="665">
        <v>90.0</v>
      </c>
      <c r="V358" s="666">
        <v>30.0</v>
      </c>
      <c r="W358" s="667">
        <v>90.0</v>
      </c>
      <c r="X358" s="668">
        <v>25.0</v>
      </c>
      <c r="Y358" s="671">
        <f t="shared" si="1"/>
        <v>295</v>
      </c>
      <c r="Z358" s="571"/>
      <c r="AA358" s="673" t="str">
        <f t="shared" si="2"/>
        <v>#NAME?</v>
      </c>
      <c r="AB358" s="871" t="s">
        <v>92</v>
      </c>
      <c r="AC358" s="675" t="str">
        <f t="shared" si="3"/>
        <v>#NAME?</v>
      </c>
      <c r="AD358" s="872" t="s">
        <v>4428</v>
      </c>
      <c r="AE358" s="676" t="str">
        <f t="shared" si="4"/>
        <v>#NAME?</v>
      </c>
      <c r="AF358" s="871" t="s">
        <v>92</v>
      </c>
      <c r="AG358" s="675" t="str">
        <f t="shared" si="5"/>
        <v>#NAME?</v>
      </c>
      <c r="AH358" s="586" t="s">
        <v>4428</v>
      </c>
      <c r="AI358" s="677" t="str">
        <f t="shared" si="6"/>
        <v>#NAME?</v>
      </c>
      <c r="AJ358" s="586" t="s">
        <v>92</v>
      </c>
      <c r="AK358" s="584" t="str">
        <f t="shared" si="7"/>
        <v>#NAME?</v>
      </c>
      <c r="AL358" s="678" t="s">
        <v>4428</v>
      </c>
      <c r="AM358" s="571"/>
      <c r="AN358" s="679" t="s">
        <v>1001</v>
      </c>
      <c r="AO358" s="680"/>
      <c r="AP358" s="715" t="s">
        <v>3303</v>
      </c>
      <c r="AQ358" s="735" t="s">
        <v>1001</v>
      </c>
      <c r="AR358" s="736" t="s">
        <v>3303</v>
      </c>
      <c r="AS358" s="737" t="s">
        <v>3303</v>
      </c>
      <c r="AT358" s="595"/>
      <c r="AU358" s="676" t="str">
        <f t="shared" si="48"/>
        <v/>
      </c>
      <c r="AV358" s="679" t="s">
        <v>3286</v>
      </c>
      <c r="AW358" s="673"/>
      <c r="AX358" s="866"/>
      <c r="AY358" s="571"/>
      <c r="AZ358" s="695" t="s">
        <v>27</v>
      </c>
      <c r="BA358" s="700"/>
      <c r="BB358" s="690"/>
      <c r="BC358" s="571"/>
      <c r="BD358" s="651" t="s">
        <v>468</v>
      </c>
      <c r="BE358" s="653">
        <v>97.0</v>
      </c>
      <c r="BF358" s="653">
        <v>190.0</v>
      </c>
      <c r="BG358" s="654">
        <v>35.0</v>
      </c>
      <c r="BH358" s="653">
        <v>40.0</v>
      </c>
      <c r="BI358" s="607"/>
      <c r="BJ358" s="655" t="s">
        <v>149</v>
      </c>
      <c r="BK358" s="703" t="s">
        <v>149</v>
      </c>
      <c r="BL358" s="610"/>
      <c r="BM358" s="657" t="s">
        <v>964</v>
      </c>
      <c r="BN358" s="704"/>
      <c r="BO358" s="607"/>
      <c r="BP358" s="659" t="s">
        <v>3304</v>
      </c>
      <c r="BQ358" s="614"/>
      <c r="BR358" s="660" t="s">
        <v>4449</v>
      </c>
      <c r="BS358" s="614"/>
    </row>
    <row r="359" ht="15.75" customHeight="1">
      <c r="A359" s="841"/>
      <c r="B359" s="617" t="s">
        <v>3309</v>
      </c>
      <c r="C359" s="618"/>
      <c r="D359" s="619"/>
      <c r="E359" s="629">
        <v>40.0</v>
      </c>
      <c r="F359" s="621">
        <v>70.0</v>
      </c>
      <c r="G359" s="622">
        <v>130.0</v>
      </c>
      <c r="H359" s="623">
        <v>60.0</v>
      </c>
      <c r="I359" s="624">
        <v>130.0</v>
      </c>
      <c r="J359" s="753">
        <v>25.0</v>
      </c>
      <c r="K359" s="749">
        <v>455.0</v>
      </c>
      <c r="L359" s="627">
        <v>40.0</v>
      </c>
      <c r="M359" s="621">
        <v>70.0</v>
      </c>
      <c r="N359" s="622">
        <v>130.0</v>
      </c>
      <c r="O359" s="623">
        <v>60.0</v>
      </c>
      <c r="P359" s="624">
        <v>130.0</v>
      </c>
      <c r="Q359" s="625">
        <v>25.0</v>
      </c>
      <c r="R359" s="628">
        <v>455.0</v>
      </c>
      <c r="S359" s="629">
        <v>40.0</v>
      </c>
      <c r="T359" s="621">
        <v>70.0</v>
      </c>
      <c r="U359" s="622">
        <v>130.0</v>
      </c>
      <c r="V359" s="623">
        <v>60.0</v>
      </c>
      <c r="W359" s="624">
        <v>130.0</v>
      </c>
      <c r="X359" s="625">
        <v>25.0</v>
      </c>
      <c r="Y359" s="628">
        <f t="shared" si="1"/>
        <v>455</v>
      </c>
      <c r="Z359" s="619"/>
      <c r="AA359" s="630" t="str">
        <f t="shared" si="2"/>
        <v>#NAME?</v>
      </c>
      <c r="AB359" s="869" t="s">
        <v>92</v>
      </c>
      <c r="AC359" s="632" t="str">
        <f t="shared" si="3"/>
        <v>#NAME?</v>
      </c>
      <c r="AD359" s="870" t="s">
        <v>4428</v>
      </c>
      <c r="AE359" s="633" t="str">
        <f t="shared" si="4"/>
        <v>#NAME?</v>
      </c>
      <c r="AF359" s="869" t="s">
        <v>92</v>
      </c>
      <c r="AG359" s="632" t="str">
        <f t="shared" si="5"/>
        <v>#NAME?</v>
      </c>
      <c r="AH359" s="634" t="s">
        <v>4428</v>
      </c>
      <c r="AI359" s="635" t="str">
        <f t="shared" si="6"/>
        <v>#NAME?</v>
      </c>
      <c r="AJ359" s="634" t="s">
        <v>92</v>
      </c>
      <c r="AK359" s="636" t="str">
        <f t="shared" si="7"/>
        <v>#NAME?</v>
      </c>
      <c r="AL359" s="637" t="s">
        <v>4428</v>
      </c>
      <c r="AM359" s="619"/>
      <c r="AN359" s="638" t="s">
        <v>1447</v>
      </c>
      <c r="AO359" s="639"/>
      <c r="AP359" s="712" t="s">
        <v>1447</v>
      </c>
      <c r="AQ359" s="882" t="s">
        <v>3303</v>
      </c>
      <c r="AR359" s="702" t="s">
        <v>3303</v>
      </c>
      <c r="AS359" s="843" t="s">
        <v>1447</v>
      </c>
      <c r="AT359" s="644"/>
      <c r="AU359" s="633" t="str">
        <f t="shared" si="48"/>
        <v/>
      </c>
      <c r="AV359" s="638" t="s">
        <v>3286</v>
      </c>
      <c r="AW359" s="630"/>
      <c r="AX359" s="647"/>
      <c r="AY359" s="619"/>
      <c r="AZ359" s="648" t="s">
        <v>101</v>
      </c>
      <c r="BA359" s="649" t="s">
        <v>27</v>
      </c>
      <c r="BB359" s="650"/>
      <c r="BC359" s="619"/>
      <c r="BD359" s="651" t="s">
        <v>468</v>
      </c>
      <c r="BE359" s="653">
        <v>179.0</v>
      </c>
      <c r="BF359" s="653">
        <v>90.0</v>
      </c>
      <c r="BG359" s="654">
        <v>35.0</v>
      </c>
      <c r="BH359" s="653">
        <v>60.0</v>
      </c>
      <c r="BI359" s="607"/>
      <c r="BJ359" s="655" t="s">
        <v>149</v>
      </c>
      <c r="BK359" s="703" t="s">
        <v>149</v>
      </c>
      <c r="BL359" s="610"/>
      <c r="BM359" s="657" t="s">
        <v>964</v>
      </c>
      <c r="BN359" s="704"/>
      <c r="BO359" s="607"/>
      <c r="BP359" s="659" t="s">
        <v>4484</v>
      </c>
      <c r="BQ359" s="614"/>
      <c r="BR359" s="660" t="s">
        <v>4449</v>
      </c>
      <c r="BS359" s="614"/>
    </row>
    <row r="360" ht="15.75" customHeight="1">
      <c r="A360" s="841"/>
      <c r="B360" s="661" t="s">
        <v>3317</v>
      </c>
      <c r="C360" s="662"/>
      <c r="D360" s="571"/>
      <c r="E360" s="672">
        <v>99.0</v>
      </c>
      <c r="F360" s="664">
        <v>68.0</v>
      </c>
      <c r="G360" s="665">
        <v>83.0</v>
      </c>
      <c r="H360" s="666">
        <v>72.0</v>
      </c>
      <c r="I360" s="667">
        <v>87.0</v>
      </c>
      <c r="J360" s="668">
        <v>51.0</v>
      </c>
      <c r="K360" s="669">
        <v>460.0</v>
      </c>
      <c r="L360" s="670">
        <v>99.0</v>
      </c>
      <c r="M360" s="664">
        <v>68.0</v>
      </c>
      <c r="N360" s="665">
        <v>83.0</v>
      </c>
      <c r="O360" s="666">
        <v>72.0</v>
      </c>
      <c r="P360" s="667">
        <v>87.0</v>
      </c>
      <c r="Q360" s="668">
        <v>51.0</v>
      </c>
      <c r="R360" s="671">
        <v>460.0</v>
      </c>
      <c r="S360" s="769">
        <v>110.0</v>
      </c>
      <c r="T360" s="741">
        <v>95.0</v>
      </c>
      <c r="U360" s="742">
        <v>95.0</v>
      </c>
      <c r="V360" s="743">
        <v>95.0</v>
      </c>
      <c r="W360" s="744">
        <v>95.0</v>
      </c>
      <c r="X360" s="745">
        <v>45.0</v>
      </c>
      <c r="Y360" s="671">
        <f t="shared" si="1"/>
        <v>535</v>
      </c>
      <c r="Z360" s="571"/>
      <c r="AA360" s="673" t="str">
        <f t="shared" si="2"/>
        <v>#NAME?</v>
      </c>
      <c r="AB360" s="871" t="s">
        <v>6</v>
      </c>
      <c r="AC360" s="675" t="str">
        <f t="shared" si="3"/>
        <v>#NAME?</v>
      </c>
      <c r="AD360" s="872" t="s">
        <v>18</v>
      </c>
      <c r="AE360" s="676" t="str">
        <f t="shared" si="4"/>
        <v>#NAME?</v>
      </c>
      <c r="AF360" s="871" t="s">
        <v>6</v>
      </c>
      <c r="AG360" s="675" t="str">
        <f t="shared" si="5"/>
        <v>#NAME?</v>
      </c>
      <c r="AH360" s="586" t="s">
        <v>18</v>
      </c>
      <c r="AI360" s="677" t="str">
        <f t="shared" si="6"/>
        <v>#NAME?</v>
      </c>
      <c r="AJ360" s="586" t="s">
        <v>6</v>
      </c>
      <c r="AK360" s="584" t="str">
        <f t="shared" si="7"/>
        <v>#NAME?</v>
      </c>
      <c r="AL360" s="678" t="s">
        <v>18</v>
      </c>
      <c r="AM360" s="571"/>
      <c r="AN360" s="679" t="s">
        <v>43</v>
      </c>
      <c r="AO360" s="680" t="s">
        <v>58</v>
      </c>
      <c r="AP360" s="705" t="s">
        <v>43</v>
      </c>
      <c r="AQ360" s="680" t="s">
        <v>58</v>
      </c>
      <c r="AR360" s="705" t="s">
        <v>43</v>
      </c>
      <c r="AS360" s="680" t="s">
        <v>58</v>
      </c>
      <c r="AT360" s="595"/>
      <c r="AU360" s="676"/>
      <c r="AV360" s="679"/>
      <c r="AW360" s="673"/>
      <c r="AX360" s="866"/>
      <c r="AY360" s="571"/>
      <c r="AZ360" s="689" t="s">
        <v>409</v>
      </c>
      <c r="BA360" s="690"/>
      <c r="BB360" s="696"/>
      <c r="BC360" s="571"/>
      <c r="BD360" s="651" t="s">
        <v>683</v>
      </c>
      <c r="BE360" s="858">
        <v>219.0</v>
      </c>
      <c r="BF360" s="653">
        <v>200.0</v>
      </c>
      <c r="BG360" s="654">
        <v>70.0</v>
      </c>
      <c r="BH360" s="653">
        <v>100.0</v>
      </c>
      <c r="BI360" s="607"/>
      <c r="BJ360" s="655" t="s">
        <v>149</v>
      </c>
      <c r="BK360" s="703" t="s">
        <v>149</v>
      </c>
      <c r="BL360" s="610"/>
      <c r="BM360" s="657" t="s">
        <v>14</v>
      </c>
      <c r="BN360" s="658" t="s">
        <v>6</v>
      </c>
      <c r="BO360" s="607"/>
      <c r="BP360" s="659" t="s">
        <v>914</v>
      </c>
      <c r="BQ360" s="614"/>
      <c r="BR360" s="660" t="s">
        <v>4427</v>
      </c>
      <c r="BS360" s="614"/>
    </row>
    <row r="361" ht="15.75" customHeight="1">
      <c r="A361" s="841"/>
      <c r="B361" s="617" t="s">
        <v>3324</v>
      </c>
      <c r="C361" s="618"/>
      <c r="D361" s="619"/>
      <c r="E361" s="629">
        <v>65.0</v>
      </c>
      <c r="F361" s="621">
        <v>50.0</v>
      </c>
      <c r="G361" s="622">
        <v>70.0</v>
      </c>
      <c r="H361" s="623">
        <v>95.0</v>
      </c>
      <c r="I361" s="624">
        <v>80.0</v>
      </c>
      <c r="J361" s="625">
        <v>65.0</v>
      </c>
      <c r="K361" s="626">
        <v>425.0</v>
      </c>
      <c r="L361" s="627">
        <v>75.0</v>
      </c>
      <c r="M361" s="621">
        <v>50.0</v>
      </c>
      <c r="N361" s="622">
        <v>80.0</v>
      </c>
      <c r="O361" s="623">
        <v>95.0</v>
      </c>
      <c r="P361" s="624">
        <v>90.0</v>
      </c>
      <c r="Q361" s="625">
        <v>65.0</v>
      </c>
      <c r="R361" s="628">
        <v>455.0</v>
      </c>
      <c r="S361" s="629">
        <v>75.0</v>
      </c>
      <c r="T361" s="750">
        <v>40.0</v>
      </c>
      <c r="U361" s="622">
        <v>80.0</v>
      </c>
      <c r="V361" s="748">
        <v>110.0</v>
      </c>
      <c r="W361" s="752">
        <v>100.0</v>
      </c>
      <c r="X361" s="625">
        <v>65.0</v>
      </c>
      <c r="Y361" s="628">
        <f t="shared" si="1"/>
        <v>470</v>
      </c>
      <c r="Z361" s="619"/>
      <c r="AA361" s="630" t="str">
        <f t="shared" si="2"/>
        <v>#NAME?</v>
      </c>
      <c r="AB361" s="869" t="s">
        <v>122</v>
      </c>
      <c r="AC361" s="632" t="str">
        <f t="shared" si="3"/>
        <v>#NAME?</v>
      </c>
      <c r="AD361" s="870" t="s">
        <v>4428</v>
      </c>
      <c r="AE361" s="633" t="str">
        <f t="shared" si="4"/>
        <v>#NAME?</v>
      </c>
      <c r="AF361" s="869" t="s">
        <v>122</v>
      </c>
      <c r="AG361" s="632" t="str">
        <f t="shared" si="5"/>
        <v>#NAME?</v>
      </c>
      <c r="AH361" s="634" t="s">
        <v>4428</v>
      </c>
      <c r="AI361" s="635" t="str">
        <f t="shared" si="6"/>
        <v>#NAME?</v>
      </c>
      <c r="AJ361" s="634" t="s">
        <v>122</v>
      </c>
      <c r="AK361" s="636" t="str">
        <f t="shared" si="7"/>
        <v>#NAME?</v>
      </c>
      <c r="AL361" s="637" t="s">
        <v>4428</v>
      </c>
      <c r="AM361" s="619"/>
      <c r="AN361" s="638" t="s">
        <v>1001</v>
      </c>
      <c r="AO361" s="639"/>
      <c r="AP361" s="712" t="s">
        <v>1001</v>
      </c>
      <c r="AQ361" s="639"/>
      <c r="AR361" s="712" t="s">
        <v>1001</v>
      </c>
      <c r="AS361" s="639"/>
      <c r="AT361" s="644"/>
      <c r="AU361" s="633" t="str">
        <f>image("https://www.pokebip.com/pages/icones/objets/rune-purifiante.png", 3)</f>
        <v/>
      </c>
      <c r="AV361" s="638" t="s">
        <v>3328</v>
      </c>
      <c r="AW361" s="630"/>
      <c r="AX361" s="647"/>
      <c r="AY361" s="619"/>
      <c r="AZ361" s="648" t="s">
        <v>4</v>
      </c>
      <c r="BA361" s="649" t="s">
        <v>27</v>
      </c>
      <c r="BB361" s="650"/>
      <c r="BC361" s="619"/>
      <c r="BD361" s="651" t="s">
        <v>468</v>
      </c>
      <c r="BE361" s="653">
        <v>147.0</v>
      </c>
      <c r="BF361" s="653">
        <v>45.0</v>
      </c>
      <c r="BG361" s="654">
        <v>70.0</v>
      </c>
      <c r="BH361" s="653">
        <v>20.0</v>
      </c>
      <c r="BI361" s="607"/>
      <c r="BJ361" s="655" t="s">
        <v>149</v>
      </c>
      <c r="BK361" s="703" t="s">
        <v>149</v>
      </c>
      <c r="BL361" s="610"/>
      <c r="BM361" s="657" t="s">
        <v>964</v>
      </c>
      <c r="BN361" s="704"/>
      <c r="BO361" s="607"/>
      <c r="BP361" s="659" t="s">
        <v>4485</v>
      </c>
      <c r="BQ361" s="614"/>
      <c r="BR361" s="660" t="s">
        <v>4430</v>
      </c>
      <c r="BS361" s="614"/>
    </row>
    <row r="362" ht="15.75" customHeight="1">
      <c r="A362" s="841"/>
      <c r="B362" s="661" t="s">
        <v>3333</v>
      </c>
      <c r="C362" s="662"/>
      <c r="D362" s="571"/>
      <c r="E362" s="672">
        <v>65.0</v>
      </c>
      <c r="F362" s="664">
        <v>130.0</v>
      </c>
      <c r="G362" s="665">
        <v>60.0</v>
      </c>
      <c r="H362" s="666">
        <v>75.0</v>
      </c>
      <c r="I362" s="667">
        <v>60.0</v>
      </c>
      <c r="J362" s="668">
        <v>75.0</v>
      </c>
      <c r="K362" s="669">
        <v>465.0</v>
      </c>
      <c r="L362" s="670">
        <v>65.0</v>
      </c>
      <c r="M362" s="664">
        <v>130.0</v>
      </c>
      <c r="N362" s="665">
        <v>60.0</v>
      </c>
      <c r="O362" s="666">
        <v>75.0</v>
      </c>
      <c r="P362" s="667">
        <v>60.0</v>
      </c>
      <c r="Q362" s="668">
        <v>75.0</v>
      </c>
      <c r="R362" s="671">
        <v>465.0</v>
      </c>
      <c r="S362" s="672">
        <v>65.0</v>
      </c>
      <c r="T362" s="664">
        <v>130.0</v>
      </c>
      <c r="U362" s="665">
        <v>60.0</v>
      </c>
      <c r="V362" s="743">
        <v>85.0</v>
      </c>
      <c r="W362" s="667">
        <v>60.0</v>
      </c>
      <c r="X362" s="745">
        <v>85.0</v>
      </c>
      <c r="Y362" s="671">
        <f t="shared" si="1"/>
        <v>485</v>
      </c>
      <c r="Z362" s="571"/>
      <c r="AA362" s="673" t="str">
        <f t="shared" si="2"/>
        <v>#NAME?</v>
      </c>
      <c r="AB362" s="871" t="s">
        <v>76</v>
      </c>
      <c r="AC362" s="675" t="str">
        <f t="shared" si="3"/>
        <v>#NAME?</v>
      </c>
      <c r="AD362" s="872" t="s">
        <v>4428</v>
      </c>
      <c r="AE362" s="676" t="str">
        <f t="shared" si="4"/>
        <v>#NAME?</v>
      </c>
      <c r="AF362" s="871" t="s">
        <v>76</v>
      </c>
      <c r="AG362" s="675" t="str">
        <f t="shared" si="5"/>
        <v>#NAME?</v>
      </c>
      <c r="AH362" s="586" t="s">
        <v>4428</v>
      </c>
      <c r="AI362" s="677" t="str">
        <f t="shared" si="6"/>
        <v>#NAME?</v>
      </c>
      <c r="AJ362" s="586" t="s">
        <v>76</v>
      </c>
      <c r="AK362" s="584" t="str">
        <f t="shared" si="7"/>
        <v>#NAME?</v>
      </c>
      <c r="AL362" s="678" t="s">
        <v>4428</v>
      </c>
      <c r="AM362" s="571"/>
      <c r="AN362" s="679" t="s">
        <v>1447</v>
      </c>
      <c r="AO362" s="680" t="s">
        <v>1734</v>
      </c>
      <c r="AP362" s="715" t="s">
        <v>1734</v>
      </c>
      <c r="AQ362" s="776" t="s">
        <v>1447</v>
      </c>
      <c r="AR362" s="717" t="s">
        <v>1928</v>
      </c>
      <c r="AS362" s="772" t="s">
        <v>1447</v>
      </c>
      <c r="AT362" s="595"/>
      <c r="AU362" s="676" t="str">
        <f>image("https://www.pokebip.com/pages/icones/objets/orbe-vie.png", 3)</f>
        <v/>
      </c>
      <c r="AV362" s="679" t="s">
        <v>3337</v>
      </c>
      <c r="AW362" s="673"/>
      <c r="AX362" s="866"/>
      <c r="AY362" s="571"/>
      <c r="AZ362" s="689" t="s">
        <v>216</v>
      </c>
      <c r="BA362" s="690"/>
      <c r="BB362" s="696"/>
      <c r="BC362" s="571"/>
      <c r="BD362" s="651" t="s">
        <v>15</v>
      </c>
      <c r="BE362" s="653">
        <v>174.0</v>
      </c>
      <c r="BF362" s="653">
        <v>30.0</v>
      </c>
      <c r="BG362" s="654">
        <v>35.0</v>
      </c>
      <c r="BH362" s="653">
        <v>60.0</v>
      </c>
      <c r="BI362" s="607"/>
      <c r="BJ362" s="655" t="s">
        <v>149</v>
      </c>
      <c r="BK362" s="703" t="s">
        <v>149</v>
      </c>
      <c r="BL362" s="610"/>
      <c r="BM362" s="657" t="s">
        <v>277</v>
      </c>
      <c r="BN362" s="704"/>
      <c r="BO362" s="607"/>
      <c r="BP362" s="659" t="s">
        <v>914</v>
      </c>
      <c r="BQ362" s="614"/>
      <c r="BR362" s="660" t="s">
        <v>4431</v>
      </c>
      <c r="BS362" s="614"/>
    </row>
    <row r="363" ht="15.75" customHeight="1">
      <c r="A363" s="841"/>
      <c r="B363" s="617" t="s">
        <v>3342</v>
      </c>
      <c r="C363" s="618"/>
      <c r="D363" s="619"/>
      <c r="E363" s="629">
        <v>95.0</v>
      </c>
      <c r="F363" s="621">
        <v>23.0</v>
      </c>
      <c r="G363" s="622">
        <v>48.0</v>
      </c>
      <c r="H363" s="623">
        <v>23.0</v>
      </c>
      <c r="I363" s="624">
        <v>48.0</v>
      </c>
      <c r="J363" s="625">
        <v>23.0</v>
      </c>
      <c r="K363" s="626">
        <v>260.0</v>
      </c>
      <c r="L363" s="627">
        <v>95.0</v>
      </c>
      <c r="M363" s="621">
        <v>23.0</v>
      </c>
      <c r="N363" s="622">
        <v>48.0</v>
      </c>
      <c r="O363" s="623">
        <v>23.0</v>
      </c>
      <c r="P363" s="624">
        <v>48.0</v>
      </c>
      <c r="Q363" s="625">
        <v>23.0</v>
      </c>
      <c r="R363" s="628">
        <v>260.0</v>
      </c>
      <c r="S363" s="629">
        <v>95.0</v>
      </c>
      <c r="T363" s="621">
        <v>23.0</v>
      </c>
      <c r="U363" s="622">
        <v>48.0</v>
      </c>
      <c r="V363" s="623">
        <v>23.0</v>
      </c>
      <c r="W363" s="624">
        <v>48.0</v>
      </c>
      <c r="X363" s="625">
        <v>23.0</v>
      </c>
      <c r="Y363" s="628">
        <f t="shared" si="1"/>
        <v>260</v>
      </c>
      <c r="Z363" s="619"/>
      <c r="AA363" s="630" t="str">
        <f t="shared" si="2"/>
        <v>#NAME?</v>
      </c>
      <c r="AB363" s="869" t="s">
        <v>122</v>
      </c>
      <c r="AC363" s="632" t="str">
        <f t="shared" si="3"/>
        <v>#NAME?</v>
      </c>
      <c r="AD363" s="870" t="s">
        <v>4428</v>
      </c>
      <c r="AE363" s="633" t="str">
        <f t="shared" si="4"/>
        <v>#NAME?</v>
      </c>
      <c r="AF363" s="869" t="s">
        <v>122</v>
      </c>
      <c r="AG363" s="632" t="str">
        <f t="shared" si="5"/>
        <v>#NAME?</v>
      </c>
      <c r="AH363" s="634" t="s">
        <v>4428</v>
      </c>
      <c r="AI363" s="635" t="str">
        <f t="shared" si="6"/>
        <v>#NAME?</v>
      </c>
      <c r="AJ363" s="634" t="s">
        <v>122</v>
      </c>
      <c r="AK363" s="636" t="str">
        <f t="shared" si="7"/>
        <v>#NAME?</v>
      </c>
      <c r="AL363" s="637" t="s">
        <v>4428</v>
      </c>
      <c r="AM363" s="619"/>
      <c r="AN363" s="638" t="s">
        <v>1963</v>
      </c>
      <c r="AO363" s="639"/>
      <c r="AP363" s="712" t="s">
        <v>1963</v>
      </c>
      <c r="AQ363" s="639"/>
      <c r="AR363" s="712" t="s">
        <v>1963</v>
      </c>
      <c r="AS363" s="639"/>
      <c r="AT363" s="644"/>
      <c r="AU363" s="633"/>
      <c r="AV363" s="638"/>
      <c r="AW363" s="630"/>
      <c r="AX363" s="647"/>
      <c r="AY363" s="619"/>
      <c r="AZ363" s="648" t="s">
        <v>144</v>
      </c>
      <c r="BA363" s="694"/>
      <c r="BB363" s="690"/>
      <c r="BC363" s="619"/>
      <c r="BD363" s="651" t="s">
        <v>150</v>
      </c>
      <c r="BE363" s="653">
        <v>44.0</v>
      </c>
      <c r="BF363" s="653">
        <v>125.0</v>
      </c>
      <c r="BG363" s="654">
        <v>70.0</v>
      </c>
      <c r="BH363" s="653">
        <v>40.0</v>
      </c>
      <c r="BI363" s="607"/>
      <c r="BJ363" s="655" t="s">
        <v>149</v>
      </c>
      <c r="BK363" s="703" t="s">
        <v>149</v>
      </c>
      <c r="BL363" s="610"/>
      <c r="BM363" s="657" t="s">
        <v>411</v>
      </c>
      <c r="BN363" s="704"/>
      <c r="BO363" s="607"/>
      <c r="BP363" s="659" t="s">
        <v>3345</v>
      </c>
      <c r="BQ363" s="614"/>
      <c r="BR363" s="660" t="s">
        <v>4430</v>
      </c>
      <c r="BS363" s="614"/>
    </row>
    <row r="364" ht="15.75" customHeight="1">
      <c r="A364" s="841"/>
      <c r="B364" s="661" t="s">
        <v>3350</v>
      </c>
      <c r="C364" s="662"/>
      <c r="D364" s="571"/>
      <c r="E364" s="672">
        <v>50.0</v>
      </c>
      <c r="F364" s="664">
        <v>50.0</v>
      </c>
      <c r="G364" s="665">
        <v>50.0</v>
      </c>
      <c r="H364" s="666">
        <v>50.0</v>
      </c>
      <c r="I364" s="667">
        <v>50.0</v>
      </c>
      <c r="J364" s="668">
        <v>50.0</v>
      </c>
      <c r="K364" s="669">
        <v>300.0</v>
      </c>
      <c r="L364" s="670">
        <v>50.0</v>
      </c>
      <c r="M364" s="664">
        <v>50.0</v>
      </c>
      <c r="N364" s="665">
        <v>50.0</v>
      </c>
      <c r="O364" s="666">
        <v>50.0</v>
      </c>
      <c r="P364" s="667">
        <v>50.0</v>
      </c>
      <c r="Q364" s="668">
        <v>50.0</v>
      </c>
      <c r="R364" s="671">
        <v>300.0</v>
      </c>
      <c r="S364" s="672">
        <v>50.0</v>
      </c>
      <c r="T364" s="664">
        <v>50.0</v>
      </c>
      <c r="U364" s="665">
        <v>50.0</v>
      </c>
      <c r="V364" s="666">
        <v>50.0</v>
      </c>
      <c r="W364" s="667">
        <v>50.0</v>
      </c>
      <c r="X364" s="668">
        <v>50.0</v>
      </c>
      <c r="Y364" s="671">
        <f t="shared" si="1"/>
        <v>300</v>
      </c>
      <c r="Z364" s="571"/>
      <c r="AA364" s="673" t="str">
        <f t="shared" si="2"/>
        <v>#NAME?</v>
      </c>
      <c r="AB364" s="871" t="s">
        <v>120</v>
      </c>
      <c r="AC364" s="675" t="str">
        <f t="shared" si="3"/>
        <v>#NAME?</v>
      </c>
      <c r="AD364" s="872" t="s">
        <v>4428</v>
      </c>
      <c r="AE364" s="676" t="str">
        <f t="shared" si="4"/>
        <v>#NAME?</v>
      </c>
      <c r="AF364" s="871" t="s">
        <v>120</v>
      </c>
      <c r="AG364" s="675" t="str">
        <f t="shared" si="5"/>
        <v>#NAME?</v>
      </c>
      <c r="AH364" s="586" t="s">
        <v>4428</v>
      </c>
      <c r="AI364" s="677" t="str">
        <f t="shared" si="6"/>
        <v>#NAME?</v>
      </c>
      <c r="AJ364" s="586" t="s">
        <v>120</v>
      </c>
      <c r="AK364" s="584" t="str">
        <f t="shared" si="7"/>
        <v>#NAME?</v>
      </c>
      <c r="AL364" s="678" t="s">
        <v>4428</v>
      </c>
      <c r="AM364" s="571"/>
      <c r="AN364" s="679" t="s">
        <v>530</v>
      </c>
      <c r="AO364" s="680" t="s">
        <v>3353</v>
      </c>
      <c r="AP364" s="705" t="s">
        <v>530</v>
      </c>
      <c r="AQ364" s="680" t="s">
        <v>3353</v>
      </c>
      <c r="AR364" s="705" t="s">
        <v>530</v>
      </c>
      <c r="AS364" s="680" t="s">
        <v>3353</v>
      </c>
      <c r="AT364" s="595"/>
      <c r="AU364" s="676"/>
      <c r="AV364" s="679"/>
      <c r="AW364" s="673"/>
      <c r="AX364" s="866"/>
      <c r="AY364" s="571"/>
      <c r="AZ364" s="695" t="s">
        <v>144</v>
      </c>
      <c r="BA364" s="700"/>
      <c r="BB364" s="690"/>
      <c r="BC364" s="571"/>
      <c r="BD364" s="651" t="s">
        <v>150</v>
      </c>
      <c r="BE364" s="653">
        <v>74.0</v>
      </c>
      <c r="BF364" s="653">
        <v>190.0</v>
      </c>
      <c r="BG364" s="654">
        <v>70.0</v>
      </c>
      <c r="BH364" s="653">
        <v>40.0</v>
      </c>
      <c r="BI364" s="607"/>
      <c r="BJ364" s="655" t="s">
        <v>149</v>
      </c>
      <c r="BK364" s="703" t="s">
        <v>149</v>
      </c>
      <c r="BL364" s="610"/>
      <c r="BM364" s="657" t="s">
        <v>153</v>
      </c>
      <c r="BN364" s="658" t="s">
        <v>826</v>
      </c>
      <c r="BO364" s="607"/>
      <c r="BP364" s="659" t="s">
        <v>3355</v>
      </c>
      <c r="BQ364" s="614"/>
      <c r="BR364" s="660" t="s">
        <v>4437</v>
      </c>
      <c r="BS364" s="614"/>
    </row>
    <row r="365" ht="15.75" customHeight="1">
      <c r="A365" s="841"/>
      <c r="B365" s="617" t="s">
        <v>3360</v>
      </c>
      <c r="C365" s="618"/>
      <c r="D365" s="619"/>
      <c r="E365" s="629">
        <v>80.0</v>
      </c>
      <c r="F365" s="621">
        <v>80.0</v>
      </c>
      <c r="G365" s="622">
        <v>80.0</v>
      </c>
      <c r="H365" s="623">
        <v>80.0</v>
      </c>
      <c r="I365" s="624">
        <v>80.0</v>
      </c>
      <c r="J365" s="625">
        <v>80.0</v>
      </c>
      <c r="K365" s="626">
        <v>480.0</v>
      </c>
      <c r="L365" s="627">
        <v>80.0</v>
      </c>
      <c r="M365" s="621">
        <v>80.0</v>
      </c>
      <c r="N365" s="622">
        <v>80.0</v>
      </c>
      <c r="O365" s="623">
        <v>80.0</v>
      </c>
      <c r="P365" s="624">
        <v>80.0</v>
      </c>
      <c r="Q365" s="625">
        <v>80.0</v>
      </c>
      <c r="R365" s="628">
        <v>480.0</v>
      </c>
      <c r="S365" s="629">
        <v>80.0</v>
      </c>
      <c r="T365" s="750">
        <v>110.0</v>
      </c>
      <c r="U365" s="751">
        <v>110.0</v>
      </c>
      <c r="V365" s="748">
        <v>60.0</v>
      </c>
      <c r="W365" s="752">
        <v>60.0</v>
      </c>
      <c r="X365" s="625">
        <v>80.0</v>
      </c>
      <c r="Y365" s="628">
        <f t="shared" si="1"/>
        <v>500</v>
      </c>
      <c r="Z365" s="619"/>
      <c r="AA365" s="630" t="str">
        <f t="shared" si="2"/>
        <v>#NAME?</v>
      </c>
      <c r="AB365" s="869" t="s">
        <v>120</v>
      </c>
      <c r="AC365" s="632" t="str">
        <f t="shared" si="3"/>
        <v>#NAME?</v>
      </c>
      <c r="AD365" s="870" t="s">
        <v>4428</v>
      </c>
      <c r="AE365" s="633" t="str">
        <f t="shared" si="4"/>
        <v>#NAME?</v>
      </c>
      <c r="AF365" s="869" t="s">
        <v>120</v>
      </c>
      <c r="AG365" s="632" t="str">
        <f t="shared" si="5"/>
        <v>#NAME?</v>
      </c>
      <c r="AH365" s="634" t="s">
        <v>4428</v>
      </c>
      <c r="AI365" s="635" t="str">
        <f t="shared" si="6"/>
        <v>#NAME?</v>
      </c>
      <c r="AJ365" s="634" t="s">
        <v>120</v>
      </c>
      <c r="AK365" s="697" t="str">
        <f t="shared" si="7"/>
        <v>#NAME?</v>
      </c>
      <c r="AL365" s="637" t="s">
        <v>1424</v>
      </c>
      <c r="AM365" s="619"/>
      <c r="AN365" s="638" t="s">
        <v>530</v>
      </c>
      <c r="AO365" s="639" t="s">
        <v>3353</v>
      </c>
      <c r="AP365" s="712" t="s">
        <v>530</v>
      </c>
      <c r="AQ365" s="639" t="s">
        <v>3353</v>
      </c>
      <c r="AR365" s="712" t="s">
        <v>88</v>
      </c>
      <c r="AS365" s="639" t="s">
        <v>3353</v>
      </c>
      <c r="AT365" s="644"/>
      <c r="AU365" s="633"/>
      <c r="AV365" s="638"/>
      <c r="AW365" s="630"/>
      <c r="AX365" s="647"/>
      <c r="AY365" s="619"/>
      <c r="AZ365" s="698" t="s">
        <v>409</v>
      </c>
      <c r="BA365" s="690"/>
      <c r="BB365" s="650"/>
      <c r="BC365" s="619"/>
      <c r="BD365" s="651" t="s">
        <v>150</v>
      </c>
      <c r="BE365" s="653">
        <v>187.0</v>
      </c>
      <c r="BF365" s="653">
        <v>75.0</v>
      </c>
      <c r="BG365" s="654">
        <v>70.0</v>
      </c>
      <c r="BH365" s="653">
        <v>120.0</v>
      </c>
      <c r="BI365" s="607"/>
      <c r="BJ365" s="655" t="s">
        <v>149</v>
      </c>
      <c r="BK365" s="703" t="s">
        <v>149</v>
      </c>
      <c r="BL365" s="610"/>
      <c r="BM365" s="657" t="s">
        <v>153</v>
      </c>
      <c r="BN365" s="658" t="s">
        <v>826</v>
      </c>
      <c r="BO365" s="607"/>
      <c r="BP365" s="659" t="s">
        <v>4486</v>
      </c>
      <c r="BQ365" s="614"/>
      <c r="BR365" s="660" t="s">
        <v>4437</v>
      </c>
      <c r="BS365" s="614"/>
    </row>
    <row r="366" ht="15.75" customHeight="1">
      <c r="A366" s="841"/>
      <c r="B366" s="661" t="s">
        <v>3370</v>
      </c>
      <c r="C366" s="662"/>
      <c r="D366" s="571"/>
      <c r="E366" s="672">
        <v>70.0</v>
      </c>
      <c r="F366" s="664">
        <v>40.0</v>
      </c>
      <c r="G366" s="665">
        <v>50.0</v>
      </c>
      <c r="H366" s="666">
        <v>55.0</v>
      </c>
      <c r="I366" s="667">
        <v>50.0</v>
      </c>
      <c r="J366" s="668">
        <v>25.0</v>
      </c>
      <c r="K366" s="669">
        <v>290.0</v>
      </c>
      <c r="L366" s="670">
        <v>70.0</v>
      </c>
      <c r="M366" s="664">
        <v>40.0</v>
      </c>
      <c r="N366" s="665">
        <v>50.0</v>
      </c>
      <c r="O366" s="666">
        <v>55.0</v>
      </c>
      <c r="P366" s="667">
        <v>50.0</v>
      </c>
      <c r="Q366" s="668">
        <v>25.0</v>
      </c>
      <c r="R366" s="671">
        <v>290.0</v>
      </c>
      <c r="S366" s="672">
        <v>70.0</v>
      </c>
      <c r="T366" s="664">
        <v>40.0</v>
      </c>
      <c r="U366" s="665">
        <v>50.0</v>
      </c>
      <c r="V366" s="666">
        <v>55.0</v>
      </c>
      <c r="W366" s="667">
        <v>50.0</v>
      </c>
      <c r="X366" s="668">
        <v>25.0</v>
      </c>
      <c r="Y366" s="671">
        <f t="shared" si="1"/>
        <v>290</v>
      </c>
      <c r="Z366" s="571"/>
      <c r="AA366" s="673" t="str">
        <f t="shared" si="2"/>
        <v>#NAME?</v>
      </c>
      <c r="AB366" s="871" t="s">
        <v>120</v>
      </c>
      <c r="AC366" s="675" t="str">
        <f t="shared" si="3"/>
        <v>#NAME?</v>
      </c>
      <c r="AD366" s="872" t="s">
        <v>32</v>
      </c>
      <c r="AE366" s="676" t="str">
        <f t="shared" si="4"/>
        <v>#NAME?</v>
      </c>
      <c r="AF366" s="871" t="s">
        <v>120</v>
      </c>
      <c r="AG366" s="675" t="str">
        <f t="shared" si="5"/>
        <v>#NAME?</v>
      </c>
      <c r="AH366" s="586" t="s">
        <v>32</v>
      </c>
      <c r="AI366" s="677" t="str">
        <f t="shared" si="6"/>
        <v>#NAME?</v>
      </c>
      <c r="AJ366" s="586" t="s">
        <v>120</v>
      </c>
      <c r="AK366" s="584" t="str">
        <f t="shared" si="7"/>
        <v>#NAME?</v>
      </c>
      <c r="AL366" s="678" t="s">
        <v>32</v>
      </c>
      <c r="AM366" s="571"/>
      <c r="AN366" s="679" t="s">
        <v>944</v>
      </c>
      <c r="AO366" s="680" t="s">
        <v>3353</v>
      </c>
      <c r="AP366" s="705" t="s">
        <v>944</v>
      </c>
      <c r="AQ366" s="680" t="s">
        <v>3353</v>
      </c>
      <c r="AR366" s="705" t="s">
        <v>944</v>
      </c>
      <c r="AS366" s="680" t="s">
        <v>3353</v>
      </c>
      <c r="AT366" s="595"/>
      <c r="AU366" s="676"/>
      <c r="AV366" s="679"/>
      <c r="AW366" s="673"/>
      <c r="AX366" s="866"/>
      <c r="AY366" s="571"/>
      <c r="AZ366" s="695" t="s">
        <v>144</v>
      </c>
      <c r="BA366" s="700"/>
      <c r="BB366" s="690"/>
      <c r="BC366" s="571"/>
      <c r="BD366" s="651" t="s">
        <v>15</v>
      </c>
      <c r="BE366" s="653">
        <v>75.0</v>
      </c>
      <c r="BF366" s="653">
        <v>255.0</v>
      </c>
      <c r="BG366" s="654">
        <v>70.0</v>
      </c>
      <c r="BH366" s="653">
        <v>60.0</v>
      </c>
      <c r="BI366" s="607"/>
      <c r="BJ366" s="655" t="s">
        <v>149</v>
      </c>
      <c r="BK366" s="703" t="s">
        <v>149</v>
      </c>
      <c r="BL366" s="610"/>
      <c r="BM366" s="657" t="s">
        <v>106</v>
      </c>
      <c r="BN366" s="658" t="s">
        <v>277</v>
      </c>
      <c r="BO366" s="607"/>
      <c r="BP366" s="659" t="s">
        <v>3374</v>
      </c>
      <c r="BQ366" s="614"/>
      <c r="BR366" s="660" t="s">
        <v>4430</v>
      </c>
      <c r="BS366" s="614"/>
    </row>
    <row r="367" ht="15.75" customHeight="1">
      <c r="A367" s="841"/>
      <c r="B367" s="617" t="s">
        <v>3379</v>
      </c>
      <c r="C367" s="618"/>
      <c r="D367" s="619"/>
      <c r="E367" s="629">
        <v>90.0</v>
      </c>
      <c r="F367" s="750">
        <v>60.0</v>
      </c>
      <c r="G367" s="622">
        <v>70.0</v>
      </c>
      <c r="H367" s="623">
        <v>75.0</v>
      </c>
      <c r="I367" s="624">
        <v>70.0</v>
      </c>
      <c r="J367" s="625">
        <v>45.0</v>
      </c>
      <c r="K367" s="749">
        <v>410.0</v>
      </c>
      <c r="L367" s="627">
        <v>90.0</v>
      </c>
      <c r="M367" s="621">
        <v>60.0</v>
      </c>
      <c r="N367" s="622">
        <v>70.0</v>
      </c>
      <c r="O367" s="623">
        <v>75.0</v>
      </c>
      <c r="P367" s="624">
        <v>70.0</v>
      </c>
      <c r="Q367" s="625">
        <v>45.0</v>
      </c>
      <c r="R367" s="628">
        <v>410.0</v>
      </c>
      <c r="S367" s="629">
        <v>90.0</v>
      </c>
      <c r="T367" s="621">
        <v>60.0</v>
      </c>
      <c r="U367" s="622">
        <v>70.0</v>
      </c>
      <c r="V367" s="623">
        <v>75.0</v>
      </c>
      <c r="W367" s="624">
        <v>70.0</v>
      </c>
      <c r="X367" s="625">
        <v>45.0</v>
      </c>
      <c r="Y367" s="628">
        <f t="shared" si="1"/>
        <v>410</v>
      </c>
      <c r="Z367" s="619"/>
      <c r="AA367" s="630" t="str">
        <f t="shared" si="2"/>
        <v>#NAME?</v>
      </c>
      <c r="AB367" s="869" t="s">
        <v>120</v>
      </c>
      <c r="AC367" s="632" t="str">
        <f t="shared" si="3"/>
        <v>#NAME?</v>
      </c>
      <c r="AD367" s="870" t="s">
        <v>32</v>
      </c>
      <c r="AE367" s="633" t="str">
        <f t="shared" si="4"/>
        <v>#NAME?</v>
      </c>
      <c r="AF367" s="869" t="s">
        <v>120</v>
      </c>
      <c r="AG367" s="632" t="str">
        <f t="shared" si="5"/>
        <v>#NAME?</v>
      </c>
      <c r="AH367" s="634" t="s">
        <v>32</v>
      </c>
      <c r="AI367" s="635" t="str">
        <f t="shared" si="6"/>
        <v>#NAME?</v>
      </c>
      <c r="AJ367" s="634" t="s">
        <v>120</v>
      </c>
      <c r="AK367" s="636" t="str">
        <f t="shared" si="7"/>
        <v>#NAME?</v>
      </c>
      <c r="AL367" s="637" t="s">
        <v>32</v>
      </c>
      <c r="AM367" s="619"/>
      <c r="AN367" s="638" t="s">
        <v>944</v>
      </c>
      <c r="AO367" s="639" t="s">
        <v>3353</v>
      </c>
      <c r="AP367" s="712" t="s">
        <v>944</v>
      </c>
      <c r="AQ367" s="639" t="s">
        <v>3353</v>
      </c>
      <c r="AR367" s="712" t="s">
        <v>944</v>
      </c>
      <c r="AS367" s="639" t="s">
        <v>3353</v>
      </c>
      <c r="AT367" s="644"/>
      <c r="AU367" s="633"/>
      <c r="AV367" s="638"/>
      <c r="AW367" s="630"/>
      <c r="AX367" s="647"/>
      <c r="AY367" s="619"/>
      <c r="AZ367" s="698" t="s">
        <v>409</v>
      </c>
      <c r="BA367" s="690"/>
      <c r="BB367" s="650"/>
      <c r="BC367" s="619"/>
      <c r="BD367" s="651" t="s">
        <v>15</v>
      </c>
      <c r="BE367" s="653">
        <v>128.0</v>
      </c>
      <c r="BF367" s="653">
        <v>120.0</v>
      </c>
      <c r="BG367" s="654">
        <v>70.0</v>
      </c>
      <c r="BH367" s="653">
        <v>80.0</v>
      </c>
      <c r="BI367" s="607"/>
      <c r="BJ367" s="655" t="s">
        <v>149</v>
      </c>
      <c r="BK367" s="703" t="s">
        <v>149</v>
      </c>
      <c r="BL367" s="610"/>
      <c r="BM367" s="657" t="s">
        <v>106</v>
      </c>
      <c r="BN367" s="658" t="s">
        <v>277</v>
      </c>
      <c r="BO367" s="607"/>
      <c r="BP367" s="659" t="s">
        <v>4487</v>
      </c>
      <c r="BQ367" s="614"/>
      <c r="BR367" s="660" t="s">
        <v>4430</v>
      </c>
      <c r="BS367" s="614"/>
    </row>
    <row r="368" ht="15.75" customHeight="1">
      <c r="A368" s="841"/>
      <c r="B368" s="661" t="s">
        <v>3388</v>
      </c>
      <c r="C368" s="662"/>
      <c r="D368" s="571"/>
      <c r="E368" s="672">
        <v>110.0</v>
      </c>
      <c r="F368" s="664">
        <v>80.0</v>
      </c>
      <c r="G368" s="665">
        <v>90.0</v>
      </c>
      <c r="H368" s="666">
        <v>95.0</v>
      </c>
      <c r="I368" s="667">
        <v>90.0</v>
      </c>
      <c r="J368" s="668">
        <v>65.0</v>
      </c>
      <c r="K368" s="669">
        <v>530.0</v>
      </c>
      <c r="L368" s="670">
        <v>110.0</v>
      </c>
      <c r="M368" s="664">
        <v>80.0</v>
      </c>
      <c r="N368" s="665">
        <v>90.0</v>
      </c>
      <c r="O368" s="666">
        <v>95.0</v>
      </c>
      <c r="P368" s="667">
        <v>90.0</v>
      </c>
      <c r="Q368" s="668">
        <v>65.0</v>
      </c>
      <c r="R368" s="671">
        <v>530.0</v>
      </c>
      <c r="S368" s="672">
        <v>110.0</v>
      </c>
      <c r="T368" s="664">
        <v>80.0</v>
      </c>
      <c r="U368" s="665">
        <v>90.0</v>
      </c>
      <c r="V368" s="666">
        <v>95.0</v>
      </c>
      <c r="W368" s="667">
        <v>90.0</v>
      </c>
      <c r="X368" s="668">
        <v>65.0</v>
      </c>
      <c r="Y368" s="671">
        <f t="shared" si="1"/>
        <v>530</v>
      </c>
      <c r="Z368" s="571"/>
      <c r="AA368" s="673" t="str">
        <f t="shared" si="2"/>
        <v>#NAME?</v>
      </c>
      <c r="AB368" s="871" t="s">
        <v>120</v>
      </c>
      <c r="AC368" s="675" t="str">
        <f t="shared" si="3"/>
        <v>#NAME?</v>
      </c>
      <c r="AD368" s="872" t="s">
        <v>32</v>
      </c>
      <c r="AE368" s="676" t="str">
        <f t="shared" si="4"/>
        <v>#NAME?</v>
      </c>
      <c r="AF368" s="871" t="s">
        <v>120</v>
      </c>
      <c r="AG368" s="675" t="str">
        <f t="shared" si="5"/>
        <v>#NAME?</v>
      </c>
      <c r="AH368" s="586" t="s">
        <v>32</v>
      </c>
      <c r="AI368" s="677" t="str">
        <f t="shared" si="6"/>
        <v>#NAME?</v>
      </c>
      <c r="AJ368" s="586" t="s">
        <v>120</v>
      </c>
      <c r="AK368" s="584" t="str">
        <f t="shared" si="7"/>
        <v>#NAME?</v>
      </c>
      <c r="AL368" s="678" t="s">
        <v>32</v>
      </c>
      <c r="AM368" s="571"/>
      <c r="AN368" s="679" t="s">
        <v>944</v>
      </c>
      <c r="AO368" s="680" t="s">
        <v>3353</v>
      </c>
      <c r="AP368" s="705" t="s">
        <v>944</v>
      </c>
      <c r="AQ368" s="680" t="s">
        <v>3353</v>
      </c>
      <c r="AR368" s="705" t="s">
        <v>944</v>
      </c>
      <c r="AS368" s="680" t="s">
        <v>3353</v>
      </c>
      <c r="AT368" s="595"/>
      <c r="AU368" s="676"/>
      <c r="AV368" s="679"/>
      <c r="AW368" s="673"/>
      <c r="AX368" s="866"/>
      <c r="AY368" s="571"/>
      <c r="AZ368" s="689" t="s">
        <v>422</v>
      </c>
      <c r="BA368" s="699"/>
      <c r="BB368" s="690"/>
      <c r="BC368" s="571"/>
      <c r="BD368" s="651" t="s">
        <v>15</v>
      </c>
      <c r="BE368" s="653">
        <v>192.0</v>
      </c>
      <c r="BF368" s="653">
        <v>45.0</v>
      </c>
      <c r="BG368" s="654">
        <v>70.0</v>
      </c>
      <c r="BH368" s="653">
        <v>100.0</v>
      </c>
      <c r="BI368" s="607"/>
      <c r="BJ368" s="655" t="s">
        <v>149</v>
      </c>
      <c r="BK368" s="703" t="s">
        <v>149</v>
      </c>
      <c r="BL368" s="610"/>
      <c r="BM368" s="657" t="s">
        <v>106</v>
      </c>
      <c r="BN368" s="658" t="s">
        <v>277</v>
      </c>
      <c r="BO368" s="607"/>
      <c r="BP368" s="659" t="s">
        <v>4488</v>
      </c>
      <c r="BQ368" s="614"/>
      <c r="BR368" s="660" t="s">
        <v>4430</v>
      </c>
      <c r="BS368" s="614"/>
    </row>
    <row r="369" ht="15.75" customHeight="1">
      <c r="A369" s="841"/>
      <c r="B369" s="617" t="s">
        <v>3397</v>
      </c>
      <c r="C369" s="618"/>
      <c r="D369" s="619"/>
      <c r="E369" s="629">
        <v>35.0</v>
      </c>
      <c r="F369" s="621">
        <v>64.0</v>
      </c>
      <c r="G369" s="622">
        <v>85.0</v>
      </c>
      <c r="H369" s="748">
        <v>74.0</v>
      </c>
      <c r="I369" s="624">
        <v>55.0</v>
      </c>
      <c r="J369" s="625">
        <v>32.0</v>
      </c>
      <c r="K369" s="749">
        <v>345.0</v>
      </c>
      <c r="L369" s="627">
        <v>35.0</v>
      </c>
      <c r="M369" s="621">
        <v>64.0</v>
      </c>
      <c r="N369" s="622">
        <v>85.0</v>
      </c>
      <c r="O369" s="623">
        <v>74.0</v>
      </c>
      <c r="P369" s="624">
        <v>55.0</v>
      </c>
      <c r="Q369" s="625">
        <v>32.0</v>
      </c>
      <c r="R369" s="628">
        <v>345.0</v>
      </c>
      <c r="S369" s="629">
        <v>35.0</v>
      </c>
      <c r="T369" s="621">
        <v>64.0</v>
      </c>
      <c r="U369" s="622">
        <v>85.0</v>
      </c>
      <c r="V369" s="623">
        <v>74.0</v>
      </c>
      <c r="W369" s="624">
        <v>55.0</v>
      </c>
      <c r="X369" s="625">
        <v>32.0</v>
      </c>
      <c r="Y369" s="628">
        <f t="shared" si="1"/>
        <v>345</v>
      </c>
      <c r="Z369" s="619"/>
      <c r="AA369" s="630" t="str">
        <f t="shared" si="2"/>
        <v>#NAME?</v>
      </c>
      <c r="AB369" s="869" t="s">
        <v>32</v>
      </c>
      <c r="AC369" s="632" t="str">
        <f t="shared" si="3"/>
        <v>#NAME?</v>
      </c>
      <c r="AD369" s="870" t="s">
        <v>4428</v>
      </c>
      <c r="AE369" s="633" t="str">
        <f t="shared" si="4"/>
        <v>#NAME?</v>
      </c>
      <c r="AF369" s="869" t="s">
        <v>32</v>
      </c>
      <c r="AG369" s="632" t="str">
        <f t="shared" si="5"/>
        <v>#NAME?</v>
      </c>
      <c r="AH369" s="634" t="s">
        <v>4428</v>
      </c>
      <c r="AI369" s="635" t="str">
        <f t="shared" si="6"/>
        <v>#NAME?</v>
      </c>
      <c r="AJ369" s="634" t="s">
        <v>32</v>
      </c>
      <c r="AK369" s="636" t="str">
        <f t="shared" si="7"/>
        <v>#NAME?</v>
      </c>
      <c r="AL369" s="637" t="s">
        <v>4428</v>
      </c>
      <c r="AM369" s="619"/>
      <c r="AN369" s="638" t="s">
        <v>981</v>
      </c>
      <c r="AO369" s="639"/>
      <c r="AP369" s="712" t="s">
        <v>981</v>
      </c>
      <c r="AQ369" s="845" t="s">
        <v>981</v>
      </c>
      <c r="AR369" s="712" t="s">
        <v>981</v>
      </c>
      <c r="AS369" s="845" t="s">
        <v>3400</v>
      </c>
      <c r="AT369" s="644"/>
      <c r="AU369" s="633" t="str">
        <f>image("https://www.pokebip.com/pages/icones/objets/perle.png", 3)</f>
        <v/>
      </c>
      <c r="AV369" s="638" t="s">
        <v>985</v>
      </c>
      <c r="AW369" s="630" t="str">
        <f>image("https://www.pokebip.com/pages/icones/objets/grande-perle.png", 3)</f>
        <v/>
      </c>
      <c r="AX369" s="647" t="s">
        <v>986</v>
      </c>
      <c r="AY369" s="619"/>
      <c r="AZ369" s="648" t="s">
        <v>101</v>
      </c>
      <c r="BA369" s="694"/>
      <c r="BB369" s="690"/>
      <c r="BC369" s="619"/>
      <c r="BD369" s="651" t="s">
        <v>2698</v>
      </c>
      <c r="BE369" s="653">
        <v>142.0</v>
      </c>
      <c r="BF369" s="653">
        <v>255.0</v>
      </c>
      <c r="BG369" s="654">
        <v>70.0</v>
      </c>
      <c r="BH369" s="653">
        <v>80.0</v>
      </c>
      <c r="BI369" s="607"/>
      <c r="BJ369" s="655" t="s">
        <v>149</v>
      </c>
      <c r="BK369" s="703" t="s">
        <v>149</v>
      </c>
      <c r="BL369" s="610"/>
      <c r="BM369" s="657" t="s">
        <v>106</v>
      </c>
      <c r="BN369" s="704"/>
      <c r="BO369" s="607"/>
      <c r="BP369" s="659" t="s">
        <v>3401</v>
      </c>
      <c r="BQ369" s="614"/>
      <c r="BR369" s="660" t="s">
        <v>4430</v>
      </c>
      <c r="BS369" s="614"/>
    </row>
    <row r="370" ht="15.75" customHeight="1">
      <c r="A370" s="841"/>
      <c r="B370" s="661" t="s">
        <v>3406</v>
      </c>
      <c r="C370" s="662"/>
      <c r="D370" s="571"/>
      <c r="E370" s="672">
        <v>55.0</v>
      </c>
      <c r="F370" s="664">
        <v>104.0</v>
      </c>
      <c r="G370" s="665">
        <v>105.0</v>
      </c>
      <c r="H370" s="666">
        <v>94.0</v>
      </c>
      <c r="I370" s="667">
        <v>75.0</v>
      </c>
      <c r="J370" s="668">
        <v>52.0</v>
      </c>
      <c r="K370" s="669">
        <v>485.0</v>
      </c>
      <c r="L370" s="670">
        <v>55.0</v>
      </c>
      <c r="M370" s="664">
        <v>104.0</v>
      </c>
      <c r="N370" s="665">
        <v>105.0</v>
      </c>
      <c r="O370" s="666">
        <v>94.0</v>
      </c>
      <c r="P370" s="667">
        <v>75.0</v>
      </c>
      <c r="Q370" s="668">
        <v>52.0</v>
      </c>
      <c r="R370" s="671">
        <v>485.0</v>
      </c>
      <c r="S370" s="672">
        <v>55.0</v>
      </c>
      <c r="T370" s="664">
        <v>104.0</v>
      </c>
      <c r="U370" s="665">
        <v>105.0</v>
      </c>
      <c r="V370" s="666">
        <v>94.0</v>
      </c>
      <c r="W370" s="667">
        <v>75.0</v>
      </c>
      <c r="X370" s="668">
        <v>52.0</v>
      </c>
      <c r="Y370" s="671">
        <f t="shared" si="1"/>
        <v>485</v>
      </c>
      <c r="Z370" s="571"/>
      <c r="AA370" s="673" t="str">
        <f t="shared" si="2"/>
        <v>#NAME?</v>
      </c>
      <c r="AB370" s="871" t="s">
        <v>32</v>
      </c>
      <c r="AC370" s="675" t="str">
        <f t="shared" si="3"/>
        <v>#NAME?</v>
      </c>
      <c r="AD370" s="872" t="s">
        <v>4428</v>
      </c>
      <c r="AE370" s="676" t="str">
        <f t="shared" si="4"/>
        <v>#NAME?</v>
      </c>
      <c r="AF370" s="871" t="s">
        <v>32</v>
      </c>
      <c r="AG370" s="675" t="str">
        <f t="shared" si="5"/>
        <v>#NAME?</v>
      </c>
      <c r="AH370" s="586" t="s">
        <v>4428</v>
      </c>
      <c r="AI370" s="677" t="str">
        <f t="shared" si="6"/>
        <v>#NAME?</v>
      </c>
      <c r="AJ370" s="586" t="s">
        <v>32</v>
      </c>
      <c r="AK370" s="584" t="str">
        <f t="shared" si="7"/>
        <v>#NAME?</v>
      </c>
      <c r="AL370" s="678" t="s">
        <v>4428</v>
      </c>
      <c r="AM370" s="571"/>
      <c r="AN370" s="679" t="s">
        <v>1212</v>
      </c>
      <c r="AO370" s="680"/>
      <c r="AP370" s="705" t="s">
        <v>1212</v>
      </c>
      <c r="AQ370" s="707" t="s">
        <v>3409</v>
      </c>
      <c r="AR370" s="705" t="s">
        <v>1212</v>
      </c>
      <c r="AS370" s="707" t="s">
        <v>3409</v>
      </c>
      <c r="AT370" s="595"/>
      <c r="AU370" s="676" t="str">
        <f>image("https://www.pokebip.com/pages/icones/objets/dent-ocean.png", 3)</f>
        <v/>
      </c>
      <c r="AV370" s="679" t="s">
        <v>2949</v>
      </c>
      <c r="AW370" s="673"/>
      <c r="AX370" s="866"/>
      <c r="AY370" s="571"/>
      <c r="AZ370" s="695" t="s">
        <v>325</v>
      </c>
      <c r="BA370" s="691" t="s">
        <v>101</v>
      </c>
      <c r="BB370" s="696"/>
      <c r="BC370" s="571"/>
      <c r="BD370" s="651" t="s">
        <v>2698</v>
      </c>
      <c r="BE370" s="653">
        <v>178.0</v>
      </c>
      <c r="BF370" s="653">
        <v>60.0</v>
      </c>
      <c r="BG370" s="654">
        <v>70.0</v>
      </c>
      <c r="BH370" s="653">
        <v>60.0</v>
      </c>
      <c r="BI370" s="607"/>
      <c r="BJ370" s="655" t="s">
        <v>149</v>
      </c>
      <c r="BK370" s="703" t="s">
        <v>149</v>
      </c>
      <c r="BL370" s="610"/>
      <c r="BM370" s="657" t="s">
        <v>106</v>
      </c>
      <c r="BN370" s="704"/>
      <c r="BO370" s="607"/>
      <c r="BP370" s="659" t="s">
        <v>4489</v>
      </c>
      <c r="BQ370" s="614"/>
      <c r="BR370" s="660" t="s">
        <v>4430</v>
      </c>
      <c r="BS370" s="614"/>
    </row>
    <row r="371" ht="15.75" customHeight="1">
      <c r="A371" s="841"/>
      <c r="B371" s="617" t="s">
        <v>3415</v>
      </c>
      <c r="C371" s="618"/>
      <c r="D371" s="619"/>
      <c r="E371" s="629">
        <v>55.0</v>
      </c>
      <c r="F371" s="621">
        <v>84.0</v>
      </c>
      <c r="G371" s="622">
        <v>105.0</v>
      </c>
      <c r="H371" s="623">
        <v>114.0</v>
      </c>
      <c r="I371" s="624">
        <v>75.0</v>
      </c>
      <c r="J371" s="625">
        <v>52.0</v>
      </c>
      <c r="K371" s="626">
        <v>485.0</v>
      </c>
      <c r="L371" s="627">
        <v>55.0</v>
      </c>
      <c r="M371" s="621">
        <v>84.0</v>
      </c>
      <c r="N371" s="622">
        <v>105.0</v>
      </c>
      <c r="O371" s="623">
        <v>114.0</v>
      </c>
      <c r="P371" s="624">
        <v>75.0</v>
      </c>
      <c r="Q371" s="625">
        <v>52.0</v>
      </c>
      <c r="R371" s="628">
        <v>485.0</v>
      </c>
      <c r="S371" s="629">
        <v>55.0</v>
      </c>
      <c r="T371" s="621">
        <v>84.0</v>
      </c>
      <c r="U371" s="622">
        <v>105.0</v>
      </c>
      <c r="V371" s="623">
        <v>114.0</v>
      </c>
      <c r="W371" s="624">
        <v>75.0</v>
      </c>
      <c r="X371" s="625">
        <v>52.0</v>
      </c>
      <c r="Y371" s="628">
        <f t="shared" si="1"/>
        <v>485</v>
      </c>
      <c r="Z371" s="619"/>
      <c r="AA371" s="630" t="str">
        <f t="shared" si="2"/>
        <v>#NAME?</v>
      </c>
      <c r="AB371" s="869" t="s">
        <v>32</v>
      </c>
      <c r="AC371" s="632" t="str">
        <f t="shared" si="3"/>
        <v>#NAME?</v>
      </c>
      <c r="AD371" s="870" t="s">
        <v>4428</v>
      </c>
      <c r="AE371" s="633" t="str">
        <f t="shared" si="4"/>
        <v>#NAME?</v>
      </c>
      <c r="AF371" s="869" t="s">
        <v>32</v>
      </c>
      <c r="AG371" s="632" t="str">
        <f t="shared" si="5"/>
        <v>#NAME?</v>
      </c>
      <c r="AH371" s="634" t="s">
        <v>4428</v>
      </c>
      <c r="AI371" s="635" t="str">
        <f t="shared" si="6"/>
        <v>#NAME?</v>
      </c>
      <c r="AJ371" s="634" t="s">
        <v>32</v>
      </c>
      <c r="AK371" s="636" t="str">
        <f t="shared" si="7"/>
        <v>#NAME?</v>
      </c>
      <c r="AL371" s="637" t="s">
        <v>4428</v>
      </c>
      <c r="AM371" s="619"/>
      <c r="AN371" s="638" t="s">
        <v>1212</v>
      </c>
      <c r="AO371" s="639"/>
      <c r="AP371" s="712" t="s">
        <v>1212</v>
      </c>
      <c r="AQ371" s="714" t="s">
        <v>2263</v>
      </c>
      <c r="AR371" s="712" t="s">
        <v>1212</v>
      </c>
      <c r="AS371" s="714" t="s">
        <v>2263</v>
      </c>
      <c r="AT371" s="644"/>
      <c r="AU371" s="633" t="str">
        <f t="shared" ref="AU371:AU372" si="49">image("https://www.pokebip.com/pages/icones/objets/ecaille-ocean.png", 3)</f>
        <v/>
      </c>
      <c r="AV371" s="638" t="s">
        <v>1693</v>
      </c>
      <c r="AW371" s="630"/>
      <c r="AX371" s="647"/>
      <c r="AY371" s="619"/>
      <c r="AZ371" s="698" t="s">
        <v>42</v>
      </c>
      <c r="BA371" s="690"/>
      <c r="BB371" s="650"/>
      <c r="BC371" s="619"/>
      <c r="BD371" s="651" t="s">
        <v>2698</v>
      </c>
      <c r="BE371" s="653">
        <v>178.0</v>
      </c>
      <c r="BF371" s="653">
        <v>60.0</v>
      </c>
      <c r="BG371" s="654">
        <v>70.0</v>
      </c>
      <c r="BH371" s="653">
        <v>40.0</v>
      </c>
      <c r="BI371" s="607"/>
      <c r="BJ371" s="655" t="s">
        <v>149</v>
      </c>
      <c r="BK371" s="703" t="s">
        <v>149</v>
      </c>
      <c r="BL371" s="610"/>
      <c r="BM371" s="657" t="s">
        <v>106</v>
      </c>
      <c r="BN371" s="704"/>
      <c r="BO371" s="607"/>
      <c r="BP371" s="659" t="s">
        <v>4490</v>
      </c>
      <c r="BQ371" s="614"/>
      <c r="BR371" s="660" t="s">
        <v>4435</v>
      </c>
      <c r="BS371" s="614"/>
    </row>
    <row r="372" ht="15.75" customHeight="1">
      <c r="A372" s="841"/>
      <c r="B372" s="661" t="s">
        <v>3424</v>
      </c>
      <c r="C372" s="662"/>
      <c r="D372" s="571"/>
      <c r="E372" s="672">
        <v>100.0</v>
      </c>
      <c r="F372" s="664">
        <v>90.0</v>
      </c>
      <c r="G372" s="665">
        <v>130.0</v>
      </c>
      <c r="H372" s="666">
        <v>45.0</v>
      </c>
      <c r="I372" s="667">
        <v>65.0</v>
      </c>
      <c r="J372" s="668">
        <v>55.0</v>
      </c>
      <c r="K372" s="669">
        <v>485.0</v>
      </c>
      <c r="L372" s="670">
        <v>100.0</v>
      </c>
      <c r="M372" s="664">
        <v>90.0</v>
      </c>
      <c r="N372" s="665">
        <v>130.0</v>
      </c>
      <c r="O372" s="666">
        <v>45.0</v>
      </c>
      <c r="P372" s="667">
        <v>65.0</v>
      </c>
      <c r="Q372" s="668">
        <v>55.0</v>
      </c>
      <c r="R372" s="671">
        <v>485.0</v>
      </c>
      <c r="S372" s="672">
        <v>100.0</v>
      </c>
      <c r="T372" s="664">
        <v>90.0</v>
      </c>
      <c r="U372" s="665">
        <v>130.0</v>
      </c>
      <c r="V372" s="666">
        <v>45.0</v>
      </c>
      <c r="W372" s="667">
        <v>65.0</v>
      </c>
      <c r="X372" s="668">
        <v>55.0</v>
      </c>
      <c r="Y372" s="671">
        <f t="shared" si="1"/>
        <v>485</v>
      </c>
      <c r="Z372" s="571"/>
      <c r="AA372" s="673" t="str">
        <f t="shared" si="2"/>
        <v>#NAME?</v>
      </c>
      <c r="AB372" s="871" t="s">
        <v>32</v>
      </c>
      <c r="AC372" s="675" t="str">
        <f t="shared" si="3"/>
        <v>#NAME?</v>
      </c>
      <c r="AD372" s="872" t="s">
        <v>66</v>
      </c>
      <c r="AE372" s="676" t="str">
        <f t="shared" si="4"/>
        <v>#NAME?</v>
      </c>
      <c r="AF372" s="871" t="s">
        <v>32</v>
      </c>
      <c r="AG372" s="675" t="str">
        <f t="shared" si="5"/>
        <v>#NAME?</v>
      </c>
      <c r="AH372" s="586" t="s">
        <v>66</v>
      </c>
      <c r="AI372" s="677" t="str">
        <f t="shared" si="6"/>
        <v>#NAME?</v>
      </c>
      <c r="AJ372" s="586" t="s">
        <v>32</v>
      </c>
      <c r="AK372" s="584" t="str">
        <f t="shared" si="7"/>
        <v>#NAME?</v>
      </c>
      <c r="AL372" s="678" t="s">
        <v>66</v>
      </c>
      <c r="AM372" s="571"/>
      <c r="AN372" s="679" t="s">
        <v>1212</v>
      </c>
      <c r="AO372" s="680" t="s">
        <v>824</v>
      </c>
      <c r="AP372" s="715" t="s">
        <v>824</v>
      </c>
      <c r="AQ372" s="682" t="s">
        <v>1212</v>
      </c>
      <c r="AR372" s="717" t="s">
        <v>1165</v>
      </c>
      <c r="AS372" s="684" t="s">
        <v>1212</v>
      </c>
      <c r="AT372" s="595"/>
      <c r="AU372" s="676" t="str">
        <f t="shared" si="49"/>
        <v/>
      </c>
      <c r="AV372" s="679" t="s">
        <v>1693</v>
      </c>
      <c r="AW372" s="673"/>
      <c r="AX372" s="866"/>
      <c r="AY372" s="571"/>
      <c r="AZ372" s="695" t="s">
        <v>144</v>
      </c>
      <c r="BA372" s="691" t="s">
        <v>101</v>
      </c>
      <c r="BB372" s="696"/>
      <c r="BC372" s="571"/>
      <c r="BD372" s="651" t="s">
        <v>683</v>
      </c>
      <c r="BE372" s="653">
        <v>198.0</v>
      </c>
      <c r="BF372" s="653">
        <v>25.0</v>
      </c>
      <c r="BG372" s="654">
        <v>70.0</v>
      </c>
      <c r="BH372" s="653">
        <v>40.0</v>
      </c>
      <c r="BI372" s="607"/>
      <c r="BJ372" s="655" t="s">
        <v>13</v>
      </c>
      <c r="BK372" s="656">
        <v>0.125</v>
      </c>
      <c r="BL372" s="610"/>
      <c r="BM372" s="657" t="s">
        <v>106</v>
      </c>
      <c r="BN372" s="658" t="s">
        <v>1236</v>
      </c>
      <c r="BO372" s="607"/>
      <c r="BP372" s="659" t="s">
        <v>914</v>
      </c>
      <c r="BQ372" s="614"/>
      <c r="BR372" s="660" t="s">
        <v>4437</v>
      </c>
      <c r="BS372" s="614"/>
    </row>
    <row r="373" ht="15.75" customHeight="1">
      <c r="A373" s="841"/>
      <c r="B373" s="617" t="s">
        <v>3433</v>
      </c>
      <c r="C373" s="618"/>
      <c r="D373" s="619"/>
      <c r="E373" s="629">
        <v>43.0</v>
      </c>
      <c r="F373" s="621">
        <v>30.0</v>
      </c>
      <c r="G373" s="622">
        <v>55.0</v>
      </c>
      <c r="H373" s="748">
        <v>40.0</v>
      </c>
      <c r="I373" s="624">
        <v>65.0</v>
      </c>
      <c r="J373" s="625">
        <v>97.0</v>
      </c>
      <c r="K373" s="749">
        <v>330.0</v>
      </c>
      <c r="L373" s="627">
        <v>43.0</v>
      </c>
      <c r="M373" s="621">
        <v>30.0</v>
      </c>
      <c r="N373" s="622">
        <v>55.0</v>
      </c>
      <c r="O373" s="623">
        <v>40.0</v>
      </c>
      <c r="P373" s="624">
        <v>65.0</v>
      </c>
      <c r="Q373" s="625">
        <v>97.0</v>
      </c>
      <c r="R373" s="628">
        <v>330.0</v>
      </c>
      <c r="S373" s="778">
        <v>50.0</v>
      </c>
      <c r="T373" s="621">
        <v>30.0</v>
      </c>
      <c r="U373" s="751">
        <v>75.0</v>
      </c>
      <c r="V373" s="748">
        <v>95.0</v>
      </c>
      <c r="W373" s="752">
        <v>75.0</v>
      </c>
      <c r="X373" s="753">
        <v>125.0</v>
      </c>
      <c r="Y373" s="628">
        <f t="shared" si="1"/>
        <v>450</v>
      </c>
      <c r="Z373" s="619"/>
      <c r="AA373" s="630" t="str">
        <f t="shared" si="2"/>
        <v>#NAME?</v>
      </c>
      <c r="AB373" s="869" t="s">
        <v>32</v>
      </c>
      <c r="AC373" s="632" t="str">
        <f t="shared" si="3"/>
        <v>#NAME?</v>
      </c>
      <c r="AD373" s="870" t="s">
        <v>4428</v>
      </c>
      <c r="AE373" s="633" t="str">
        <f t="shared" si="4"/>
        <v>#NAME?</v>
      </c>
      <c r="AF373" s="869" t="s">
        <v>32</v>
      </c>
      <c r="AG373" s="632" t="str">
        <f t="shared" si="5"/>
        <v>#NAME?</v>
      </c>
      <c r="AH373" s="634" t="s">
        <v>4428</v>
      </c>
      <c r="AI373" s="635" t="str">
        <f t="shared" si="6"/>
        <v>#NAME?</v>
      </c>
      <c r="AJ373" s="634" t="s">
        <v>32</v>
      </c>
      <c r="AK373" s="697" t="str">
        <f t="shared" si="7"/>
        <v>#NAME?</v>
      </c>
      <c r="AL373" s="637" t="s">
        <v>3017</v>
      </c>
      <c r="AM373" s="619"/>
      <c r="AN373" s="638" t="s">
        <v>1212</v>
      </c>
      <c r="AO373" s="639"/>
      <c r="AP373" s="712" t="s">
        <v>1212</v>
      </c>
      <c r="AQ373" s="723" t="s">
        <v>2263</v>
      </c>
      <c r="AR373" s="712" t="s">
        <v>1212</v>
      </c>
      <c r="AS373" s="723" t="s">
        <v>2263</v>
      </c>
      <c r="AT373" s="644"/>
      <c r="AU373" s="633" t="str">
        <f>image("https://www.pokebip.com/pages/icones/objets/ecaille-coeur.png", 3)</f>
        <v/>
      </c>
      <c r="AV373" s="638" t="s">
        <v>3437</v>
      </c>
      <c r="AW373" s="630"/>
      <c r="AX373" s="647"/>
      <c r="AY373" s="619"/>
      <c r="AZ373" s="648" t="s">
        <v>56</v>
      </c>
      <c r="BA373" s="694"/>
      <c r="BB373" s="690"/>
      <c r="BC373" s="619"/>
      <c r="BD373" s="651" t="s">
        <v>468</v>
      </c>
      <c r="BE373" s="653">
        <v>110.0</v>
      </c>
      <c r="BF373" s="653">
        <v>225.0</v>
      </c>
      <c r="BG373" s="654">
        <v>70.0</v>
      </c>
      <c r="BH373" s="653">
        <v>20.0</v>
      </c>
      <c r="BI373" s="607"/>
      <c r="BJ373" s="655" t="s">
        <v>466</v>
      </c>
      <c r="BK373" s="656">
        <v>0.75</v>
      </c>
      <c r="BL373" s="610"/>
      <c r="BM373" s="657" t="s">
        <v>1236</v>
      </c>
      <c r="BN373" s="704"/>
      <c r="BO373" s="607"/>
      <c r="BP373" s="659" t="s">
        <v>914</v>
      </c>
      <c r="BQ373" s="614"/>
      <c r="BR373" s="660" t="s">
        <v>4435</v>
      </c>
      <c r="BS373" s="614"/>
    </row>
    <row r="374" ht="15.75" customHeight="1">
      <c r="A374" s="841"/>
      <c r="B374" s="661" t="s">
        <v>3443</v>
      </c>
      <c r="C374" s="662"/>
      <c r="D374" s="571"/>
      <c r="E374" s="672">
        <v>45.0</v>
      </c>
      <c r="F374" s="664">
        <v>75.0</v>
      </c>
      <c r="G374" s="665">
        <v>60.0</v>
      </c>
      <c r="H374" s="666">
        <v>40.0</v>
      </c>
      <c r="I374" s="667">
        <v>30.0</v>
      </c>
      <c r="J374" s="668">
        <v>50.0</v>
      </c>
      <c r="K374" s="669">
        <v>300.0</v>
      </c>
      <c r="L374" s="670">
        <v>45.0</v>
      </c>
      <c r="M374" s="664">
        <v>75.0</v>
      </c>
      <c r="N374" s="665">
        <v>60.0</v>
      </c>
      <c r="O374" s="666">
        <v>40.0</v>
      </c>
      <c r="P374" s="667">
        <v>30.0</v>
      </c>
      <c r="Q374" s="668">
        <v>50.0</v>
      </c>
      <c r="R374" s="671">
        <v>300.0</v>
      </c>
      <c r="S374" s="672">
        <v>45.0</v>
      </c>
      <c r="T374" s="664">
        <v>75.0</v>
      </c>
      <c r="U374" s="665">
        <v>60.0</v>
      </c>
      <c r="V374" s="666">
        <v>40.0</v>
      </c>
      <c r="W374" s="667">
        <v>30.0</v>
      </c>
      <c r="X374" s="668">
        <v>50.0</v>
      </c>
      <c r="Y374" s="671">
        <f t="shared" si="1"/>
        <v>300</v>
      </c>
      <c r="Z374" s="571"/>
      <c r="AA374" s="673" t="str">
        <f t="shared" si="2"/>
        <v>#NAME?</v>
      </c>
      <c r="AB374" s="871" t="s">
        <v>61</v>
      </c>
      <c r="AC374" s="675" t="str">
        <f t="shared" si="3"/>
        <v>#NAME?</v>
      </c>
      <c r="AD374" s="872" t="s">
        <v>4428</v>
      </c>
      <c r="AE374" s="676" t="str">
        <f t="shared" si="4"/>
        <v>#NAME?</v>
      </c>
      <c r="AF374" s="871" t="s">
        <v>61</v>
      </c>
      <c r="AG374" s="675" t="str">
        <f t="shared" si="5"/>
        <v>#NAME?</v>
      </c>
      <c r="AH374" s="586" t="s">
        <v>4428</v>
      </c>
      <c r="AI374" s="677" t="str">
        <f t="shared" si="6"/>
        <v>#NAME?</v>
      </c>
      <c r="AJ374" s="586" t="s">
        <v>61</v>
      </c>
      <c r="AK374" s="584" t="str">
        <f t="shared" si="7"/>
        <v>#NAME?</v>
      </c>
      <c r="AL374" s="678" t="s">
        <v>4428</v>
      </c>
      <c r="AM374" s="571"/>
      <c r="AN374" s="679" t="s">
        <v>824</v>
      </c>
      <c r="AO374" s="680"/>
      <c r="AP374" s="705" t="s">
        <v>824</v>
      </c>
      <c r="AQ374" s="680"/>
      <c r="AR374" s="705" t="s">
        <v>824</v>
      </c>
      <c r="AS374" s="680"/>
      <c r="AT374" s="595"/>
      <c r="AU374" s="676" t="str">
        <f t="shared" ref="AU374:AU376" si="50">image("https://www.pokebip.com/pages/icones/objets/croc-dragon.png", 3)</f>
        <v/>
      </c>
      <c r="AV374" s="679" t="s">
        <v>3448</v>
      </c>
      <c r="AW374" s="673"/>
      <c r="AX374" s="866"/>
      <c r="AY374" s="571"/>
      <c r="AZ374" s="695" t="s">
        <v>325</v>
      </c>
      <c r="BA374" s="700"/>
      <c r="BB374" s="690"/>
      <c r="BC374" s="571"/>
      <c r="BD374" s="651" t="s">
        <v>683</v>
      </c>
      <c r="BE374" s="653">
        <v>89.0</v>
      </c>
      <c r="BF374" s="653">
        <v>45.0</v>
      </c>
      <c r="BG374" s="654">
        <v>35.0</v>
      </c>
      <c r="BH374" s="653">
        <v>60.0</v>
      </c>
      <c r="BI374" s="607"/>
      <c r="BJ374" s="655" t="s">
        <v>149</v>
      </c>
      <c r="BK374" s="703" t="s">
        <v>149</v>
      </c>
      <c r="BL374" s="610"/>
      <c r="BM374" s="657" t="s">
        <v>61</v>
      </c>
      <c r="BN374" s="704"/>
      <c r="BO374" s="607"/>
      <c r="BP374" s="659" t="s">
        <v>3447</v>
      </c>
      <c r="BQ374" s="614"/>
      <c r="BR374" s="660" t="s">
        <v>4430</v>
      </c>
      <c r="BS374" s="614"/>
    </row>
    <row r="375" ht="15.75" customHeight="1">
      <c r="A375" s="841"/>
      <c r="B375" s="617" t="s">
        <v>3453</v>
      </c>
      <c r="C375" s="618"/>
      <c r="D375" s="619"/>
      <c r="E375" s="629">
        <v>65.0</v>
      </c>
      <c r="F375" s="621">
        <v>95.0</v>
      </c>
      <c r="G375" s="622">
        <v>100.0</v>
      </c>
      <c r="H375" s="623">
        <v>60.0</v>
      </c>
      <c r="I375" s="624">
        <v>50.0</v>
      </c>
      <c r="J375" s="625">
        <v>50.0</v>
      </c>
      <c r="K375" s="626">
        <v>420.0</v>
      </c>
      <c r="L375" s="627">
        <v>65.0</v>
      </c>
      <c r="M375" s="621">
        <v>95.0</v>
      </c>
      <c r="N375" s="622">
        <v>100.0</v>
      </c>
      <c r="O375" s="623">
        <v>60.0</v>
      </c>
      <c r="P375" s="624">
        <v>50.0</v>
      </c>
      <c r="Q375" s="625">
        <v>50.0</v>
      </c>
      <c r="R375" s="628">
        <v>420.0</v>
      </c>
      <c r="S375" s="629">
        <v>65.0</v>
      </c>
      <c r="T375" s="621">
        <v>95.0</v>
      </c>
      <c r="U375" s="622">
        <v>100.0</v>
      </c>
      <c r="V375" s="623">
        <v>60.0</v>
      </c>
      <c r="W375" s="624">
        <v>50.0</v>
      </c>
      <c r="X375" s="625">
        <v>50.0</v>
      </c>
      <c r="Y375" s="628">
        <f t="shared" si="1"/>
        <v>420</v>
      </c>
      <c r="Z375" s="619"/>
      <c r="AA375" s="630" t="str">
        <f t="shared" si="2"/>
        <v>#NAME?</v>
      </c>
      <c r="AB375" s="869" t="s">
        <v>61</v>
      </c>
      <c r="AC375" s="632" t="str">
        <f t="shared" si="3"/>
        <v>#NAME?</v>
      </c>
      <c r="AD375" s="870" t="s">
        <v>4428</v>
      </c>
      <c r="AE375" s="633" t="str">
        <f t="shared" si="4"/>
        <v>#NAME?</v>
      </c>
      <c r="AF375" s="869" t="s">
        <v>61</v>
      </c>
      <c r="AG375" s="632" t="str">
        <f t="shared" si="5"/>
        <v>#NAME?</v>
      </c>
      <c r="AH375" s="634" t="s">
        <v>4428</v>
      </c>
      <c r="AI375" s="635" t="str">
        <f t="shared" si="6"/>
        <v>#NAME?</v>
      </c>
      <c r="AJ375" s="634" t="s">
        <v>61</v>
      </c>
      <c r="AK375" s="636" t="str">
        <f t="shared" si="7"/>
        <v>#NAME?</v>
      </c>
      <c r="AL375" s="637" t="s">
        <v>4428</v>
      </c>
      <c r="AM375" s="619"/>
      <c r="AN375" s="638" t="s">
        <v>824</v>
      </c>
      <c r="AO375" s="639"/>
      <c r="AP375" s="712" t="s">
        <v>824</v>
      </c>
      <c r="AQ375" s="639"/>
      <c r="AR375" s="712" t="s">
        <v>824</v>
      </c>
      <c r="AS375" s="639"/>
      <c r="AT375" s="644"/>
      <c r="AU375" s="633" t="str">
        <f t="shared" si="50"/>
        <v/>
      </c>
      <c r="AV375" s="638" t="s">
        <v>3448</v>
      </c>
      <c r="AW375" s="630"/>
      <c r="AX375" s="647"/>
      <c r="AY375" s="619"/>
      <c r="AZ375" s="698" t="s">
        <v>162</v>
      </c>
      <c r="BA375" s="690"/>
      <c r="BB375" s="650"/>
      <c r="BC375" s="619"/>
      <c r="BD375" s="651" t="s">
        <v>683</v>
      </c>
      <c r="BE375" s="653">
        <v>144.0</v>
      </c>
      <c r="BF375" s="653">
        <v>45.0</v>
      </c>
      <c r="BG375" s="654">
        <v>35.0</v>
      </c>
      <c r="BH375" s="653">
        <v>100.0</v>
      </c>
      <c r="BI375" s="607"/>
      <c r="BJ375" s="764" t="s">
        <v>149</v>
      </c>
      <c r="BK375" s="703" t="s">
        <v>149</v>
      </c>
      <c r="BL375" s="610"/>
      <c r="BM375" s="657" t="s">
        <v>61</v>
      </c>
      <c r="BN375" s="704"/>
      <c r="BO375" s="607"/>
      <c r="BP375" s="659" t="s">
        <v>3457</v>
      </c>
      <c r="BQ375" s="614"/>
      <c r="BR375" s="660" t="s">
        <v>4431</v>
      </c>
      <c r="BS375" s="614"/>
    </row>
    <row r="376" ht="15.75" customHeight="1">
      <c r="A376" s="841"/>
      <c r="B376" s="661" t="s">
        <v>3460</v>
      </c>
      <c r="C376" s="662"/>
      <c r="D376" s="571"/>
      <c r="E376" s="672">
        <v>95.0</v>
      </c>
      <c r="F376" s="664">
        <v>135.0</v>
      </c>
      <c r="G376" s="665">
        <v>80.0</v>
      </c>
      <c r="H376" s="666">
        <v>110.0</v>
      </c>
      <c r="I376" s="667">
        <v>80.0</v>
      </c>
      <c r="J376" s="668">
        <v>100.0</v>
      </c>
      <c r="K376" s="669">
        <v>600.0</v>
      </c>
      <c r="L376" s="670">
        <v>95.0</v>
      </c>
      <c r="M376" s="664">
        <v>135.0</v>
      </c>
      <c r="N376" s="665">
        <v>80.0</v>
      </c>
      <c r="O376" s="666">
        <v>110.0</v>
      </c>
      <c r="P376" s="667">
        <v>80.0</v>
      </c>
      <c r="Q376" s="668">
        <v>100.0</v>
      </c>
      <c r="R376" s="671">
        <v>600.0</v>
      </c>
      <c r="S376" s="672">
        <v>95.0</v>
      </c>
      <c r="T376" s="664">
        <v>135.0</v>
      </c>
      <c r="U376" s="665">
        <v>80.0</v>
      </c>
      <c r="V376" s="666">
        <v>110.0</v>
      </c>
      <c r="W376" s="667">
        <v>80.0</v>
      </c>
      <c r="X376" s="668">
        <v>100.0</v>
      </c>
      <c r="Y376" s="671">
        <f t="shared" si="1"/>
        <v>600</v>
      </c>
      <c r="Z376" s="571"/>
      <c r="AA376" s="673" t="str">
        <f t="shared" si="2"/>
        <v>#NAME?</v>
      </c>
      <c r="AB376" s="871" t="s">
        <v>61</v>
      </c>
      <c r="AC376" s="675" t="str">
        <f t="shared" si="3"/>
        <v>#NAME?</v>
      </c>
      <c r="AD376" s="872" t="s">
        <v>18</v>
      </c>
      <c r="AE376" s="676" t="str">
        <f t="shared" si="4"/>
        <v>#NAME?</v>
      </c>
      <c r="AF376" s="871" t="s">
        <v>61</v>
      </c>
      <c r="AG376" s="675" t="str">
        <f t="shared" si="5"/>
        <v>#NAME?</v>
      </c>
      <c r="AH376" s="586" t="s">
        <v>18</v>
      </c>
      <c r="AI376" s="677" t="str">
        <f t="shared" si="6"/>
        <v>#NAME?</v>
      </c>
      <c r="AJ376" s="586" t="s">
        <v>61</v>
      </c>
      <c r="AK376" s="584" t="str">
        <f t="shared" si="7"/>
        <v>#NAME?</v>
      </c>
      <c r="AL376" s="678" t="s">
        <v>18</v>
      </c>
      <c r="AM376" s="571"/>
      <c r="AN376" s="679" t="s">
        <v>326</v>
      </c>
      <c r="AO376" s="680"/>
      <c r="AP376" s="705" t="s">
        <v>326</v>
      </c>
      <c r="AQ376" s="680"/>
      <c r="AR376" s="705" t="s">
        <v>326</v>
      </c>
      <c r="AS376" s="680"/>
      <c r="AT376" s="595"/>
      <c r="AU376" s="676" t="str">
        <f t="shared" si="50"/>
        <v/>
      </c>
      <c r="AV376" s="679" t="s">
        <v>3448</v>
      </c>
      <c r="AW376" s="673"/>
      <c r="AX376" s="866"/>
      <c r="AY376" s="571"/>
      <c r="AZ376" s="689" t="s">
        <v>451</v>
      </c>
      <c r="BA376" s="699"/>
      <c r="BB376" s="690"/>
      <c r="BC376" s="571"/>
      <c r="BD376" s="651" t="s">
        <v>683</v>
      </c>
      <c r="BE376" s="653">
        <v>218.0</v>
      </c>
      <c r="BF376" s="653">
        <v>45.0</v>
      </c>
      <c r="BG376" s="654">
        <v>35.0</v>
      </c>
      <c r="BH376" s="653">
        <v>100.0</v>
      </c>
      <c r="BI376" s="607"/>
      <c r="BJ376" s="764" t="s">
        <v>149</v>
      </c>
      <c r="BK376" s="703" t="s">
        <v>149</v>
      </c>
      <c r="BL376" s="610"/>
      <c r="BM376" s="657" t="s">
        <v>61</v>
      </c>
      <c r="BN376" s="704"/>
      <c r="BO376" s="607"/>
      <c r="BP376" s="659" t="s">
        <v>3464</v>
      </c>
      <c r="BQ376" s="614"/>
      <c r="BR376" s="660" t="s">
        <v>4430</v>
      </c>
      <c r="BS376" s="614"/>
    </row>
    <row r="377" ht="15.75" customHeight="1">
      <c r="A377" s="841"/>
      <c r="B377" s="617" t="s">
        <v>3468</v>
      </c>
      <c r="C377" s="618"/>
      <c r="D377" s="619"/>
      <c r="E377" s="629">
        <v>40.0</v>
      </c>
      <c r="F377" s="750">
        <v>55.0</v>
      </c>
      <c r="G377" s="622">
        <v>80.0</v>
      </c>
      <c r="H377" s="623">
        <v>35.0</v>
      </c>
      <c r="I377" s="624">
        <v>60.0</v>
      </c>
      <c r="J377" s="625">
        <v>30.0</v>
      </c>
      <c r="K377" s="749">
        <v>300.0</v>
      </c>
      <c r="L377" s="627">
        <v>40.0</v>
      </c>
      <c r="M377" s="621">
        <v>55.0</v>
      </c>
      <c r="N377" s="622">
        <v>80.0</v>
      </c>
      <c r="O377" s="623">
        <v>35.0</v>
      </c>
      <c r="P377" s="624">
        <v>60.0</v>
      </c>
      <c r="Q377" s="625">
        <v>30.0</v>
      </c>
      <c r="R377" s="628">
        <v>300.0</v>
      </c>
      <c r="S377" s="629">
        <v>40.0</v>
      </c>
      <c r="T377" s="621">
        <v>55.0</v>
      </c>
      <c r="U377" s="622">
        <v>80.0</v>
      </c>
      <c r="V377" s="623">
        <v>35.0</v>
      </c>
      <c r="W377" s="624">
        <v>60.0</v>
      </c>
      <c r="X377" s="625">
        <v>30.0</v>
      </c>
      <c r="Y377" s="628">
        <f t="shared" si="1"/>
        <v>300</v>
      </c>
      <c r="Z377" s="619"/>
      <c r="AA377" s="630" t="str">
        <f t="shared" si="2"/>
        <v>#NAME?</v>
      </c>
      <c r="AB377" s="869" t="s">
        <v>95</v>
      </c>
      <c r="AC377" s="632" t="str">
        <f t="shared" si="3"/>
        <v>#NAME?</v>
      </c>
      <c r="AD377" s="870" t="s">
        <v>122</v>
      </c>
      <c r="AE377" s="633" t="str">
        <f t="shared" si="4"/>
        <v>#NAME?</v>
      </c>
      <c r="AF377" s="869" t="s">
        <v>95</v>
      </c>
      <c r="AG377" s="632" t="str">
        <f t="shared" si="5"/>
        <v>#NAME?</v>
      </c>
      <c r="AH377" s="634" t="s">
        <v>122</v>
      </c>
      <c r="AI377" s="635" t="str">
        <f t="shared" si="6"/>
        <v>#NAME?</v>
      </c>
      <c r="AJ377" s="634" t="s">
        <v>95</v>
      </c>
      <c r="AK377" s="636" t="str">
        <f t="shared" si="7"/>
        <v>#NAME?</v>
      </c>
      <c r="AL377" s="637" t="s">
        <v>122</v>
      </c>
      <c r="AM377" s="619"/>
      <c r="AN377" s="638" t="s">
        <v>804</v>
      </c>
      <c r="AO377" s="639"/>
      <c r="AP377" s="712" t="s">
        <v>804</v>
      </c>
      <c r="AQ377" s="639"/>
      <c r="AR377" s="708" t="s">
        <v>3472</v>
      </c>
      <c r="AS377" s="758" t="s">
        <v>804</v>
      </c>
      <c r="AT377" s="644"/>
      <c r="AU377" s="633" t="str">
        <f t="shared" ref="AU377:AU379" si="51">image("https://www.pokebip.com/pages/icones/objets/peau-metal.png", 3)</f>
        <v/>
      </c>
      <c r="AV377" s="638" t="s">
        <v>892</v>
      </c>
      <c r="AW377" s="630"/>
      <c r="AX377" s="647"/>
      <c r="AY377" s="619"/>
      <c r="AZ377" s="648" t="s">
        <v>101</v>
      </c>
      <c r="BA377" s="694"/>
      <c r="BB377" s="690"/>
      <c r="BC377" s="619"/>
      <c r="BD377" s="651" t="s">
        <v>683</v>
      </c>
      <c r="BE377" s="653">
        <v>103.0</v>
      </c>
      <c r="BF377" s="846" t="s">
        <v>4491</v>
      </c>
      <c r="BG377" s="654">
        <v>35.0</v>
      </c>
      <c r="BH377" s="653">
        <v>80.0</v>
      </c>
      <c r="BI377" s="607"/>
      <c r="BJ377" s="768" t="s">
        <v>890</v>
      </c>
      <c r="BK377" s="766"/>
      <c r="BL377" s="610"/>
      <c r="BM377" s="767" t="s">
        <v>826</v>
      </c>
      <c r="BN377" s="704"/>
      <c r="BO377" s="607"/>
      <c r="BP377" s="659" t="s">
        <v>3474</v>
      </c>
      <c r="BQ377" s="614"/>
      <c r="BR377" s="660" t="s">
        <v>4430</v>
      </c>
      <c r="BS377" s="614"/>
    </row>
    <row r="378" ht="15.75" customHeight="1">
      <c r="A378" s="841"/>
      <c r="B378" s="661" t="s">
        <v>3477</v>
      </c>
      <c r="C378" s="662"/>
      <c r="D378" s="571"/>
      <c r="E378" s="672">
        <v>60.0</v>
      </c>
      <c r="F378" s="664">
        <v>75.0</v>
      </c>
      <c r="G378" s="665">
        <v>100.0</v>
      </c>
      <c r="H378" s="666">
        <v>55.0</v>
      </c>
      <c r="I378" s="667">
        <v>80.0</v>
      </c>
      <c r="J378" s="668">
        <v>50.0</v>
      </c>
      <c r="K378" s="669">
        <v>420.0</v>
      </c>
      <c r="L378" s="670">
        <v>60.0</v>
      </c>
      <c r="M378" s="664">
        <v>75.0</v>
      </c>
      <c r="N378" s="665">
        <v>100.0</v>
      </c>
      <c r="O378" s="666">
        <v>55.0</v>
      </c>
      <c r="P378" s="667">
        <v>80.0</v>
      </c>
      <c r="Q378" s="668">
        <v>50.0</v>
      </c>
      <c r="R378" s="671">
        <v>420.0</v>
      </c>
      <c r="S378" s="672">
        <v>60.0</v>
      </c>
      <c r="T378" s="664">
        <v>75.0</v>
      </c>
      <c r="U378" s="665">
        <v>100.0</v>
      </c>
      <c r="V378" s="666">
        <v>55.0</v>
      </c>
      <c r="W378" s="667">
        <v>80.0</v>
      </c>
      <c r="X378" s="668">
        <v>50.0</v>
      </c>
      <c r="Y378" s="671">
        <f t="shared" si="1"/>
        <v>420</v>
      </c>
      <c r="Z378" s="571"/>
      <c r="AA378" s="673" t="str">
        <f t="shared" si="2"/>
        <v>#NAME?</v>
      </c>
      <c r="AB378" s="871" t="s">
        <v>95</v>
      </c>
      <c r="AC378" s="675" t="str">
        <f t="shared" si="3"/>
        <v>#NAME?</v>
      </c>
      <c r="AD378" s="872" t="s">
        <v>122</v>
      </c>
      <c r="AE378" s="676" t="str">
        <f t="shared" si="4"/>
        <v>#NAME?</v>
      </c>
      <c r="AF378" s="871" t="s">
        <v>95</v>
      </c>
      <c r="AG378" s="675" t="str">
        <f t="shared" si="5"/>
        <v>#NAME?</v>
      </c>
      <c r="AH378" s="586" t="s">
        <v>122</v>
      </c>
      <c r="AI378" s="677" t="str">
        <f t="shared" si="6"/>
        <v>#NAME?</v>
      </c>
      <c r="AJ378" s="586" t="s">
        <v>95</v>
      </c>
      <c r="AK378" s="584" t="str">
        <f t="shared" si="7"/>
        <v>#NAME?</v>
      </c>
      <c r="AL378" s="678" t="s">
        <v>122</v>
      </c>
      <c r="AM378" s="571"/>
      <c r="AN378" s="679" t="s">
        <v>804</v>
      </c>
      <c r="AO378" s="680"/>
      <c r="AP378" s="705" t="s">
        <v>804</v>
      </c>
      <c r="AQ378" s="680"/>
      <c r="AR378" s="681" t="s">
        <v>1652</v>
      </c>
      <c r="AS378" s="684" t="s">
        <v>804</v>
      </c>
      <c r="AT378" s="595"/>
      <c r="AU378" s="676" t="str">
        <f t="shared" si="51"/>
        <v/>
      </c>
      <c r="AV378" s="679" t="s">
        <v>892</v>
      </c>
      <c r="AW378" s="673"/>
      <c r="AX378" s="866"/>
      <c r="AY378" s="571"/>
      <c r="AZ378" s="689" t="s">
        <v>162</v>
      </c>
      <c r="BA378" s="690"/>
      <c r="BB378" s="696"/>
      <c r="BC378" s="571"/>
      <c r="BD378" s="651" t="s">
        <v>683</v>
      </c>
      <c r="BE378" s="653">
        <v>153.0</v>
      </c>
      <c r="BF378" s="848" t="s">
        <v>4491</v>
      </c>
      <c r="BG378" s="654">
        <v>35.0</v>
      </c>
      <c r="BH378" s="653">
        <v>120.0</v>
      </c>
      <c r="BI378" s="607"/>
      <c r="BJ378" s="765" t="s">
        <v>890</v>
      </c>
      <c r="BK378" s="766"/>
      <c r="BL378" s="610"/>
      <c r="BM378" s="767" t="s">
        <v>826</v>
      </c>
      <c r="BN378" s="704"/>
      <c r="BO378" s="607"/>
      <c r="BP378" s="659" t="s">
        <v>3481</v>
      </c>
      <c r="BQ378" s="614"/>
      <c r="BR378" s="660" t="s">
        <v>4430</v>
      </c>
      <c r="BS378" s="614"/>
    </row>
    <row r="379" ht="15.75" customHeight="1">
      <c r="A379" s="841"/>
      <c r="B379" s="617" t="s">
        <v>3485</v>
      </c>
      <c r="C379" s="618"/>
      <c r="D379" s="619"/>
      <c r="E379" s="629">
        <v>80.0</v>
      </c>
      <c r="F379" s="621">
        <v>135.0</v>
      </c>
      <c r="G379" s="622">
        <v>130.0</v>
      </c>
      <c r="H379" s="623">
        <v>95.0</v>
      </c>
      <c r="I379" s="624">
        <v>90.0</v>
      </c>
      <c r="J379" s="753">
        <v>70.0</v>
      </c>
      <c r="K379" s="749">
        <v>600.0</v>
      </c>
      <c r="L379" s="627">
        <v>80.0</v>
      </c>
      <c r="M379" s="621">
        <v>135.0</v>
      </c>
      <c r="N379" s="622">
        <v>130.0</v>
      </c>
      <c r="O379" s="623">
        <v>95.0</v>
      </c>
      <c r="P379" s="624">
        <v>90.0</v>
      </c>
      <c r="Q379" s="625">
        <v>70.0</v>
      </c>
      <c r="R379" s="628">
        <v>600.0</v>
      </c>
      <c r="S379" s="629">
        <v>80.0</v>
      </c>
      <c r="T379" s="621">
        <v>135.0</v>
      </c>
      <c r="U379" s="622">
        <v>130.0</v>
      </c>
      <c r="V379" s="623">
        <v>95.0</v>
      </c>
      <c r="W379" s="624">
        <v>90.0</v>
      </c>
      <c r="X379" s="625">
        <v>70.0</v>
      </c>
      <c r="Y379" s="628">
        <f t="shared" si="1"/>
        <v>600</v>
      </c>
      <c r="Z379" s="619"/>
      <c r="AA379" s="630" t="str">
        <f t="shared" si="2"/>
        <v>#NAME?</v>
      </c>
      <c r="AB379" s="869" t="s">
        <v>95</v>
      </c>
      <c r="AC379" s="632" t="str">
        <f t="shared" si="3"/>
        <v>#NAME?</v>
      </c>
      <c r="AD379" s="870" t="s">
        <v>122</v>
      </c>
      <c r="AE379" s="633" t="str">
        <f t="shared" si="4"/>
        <v>#NAME?</v>
      </c>
      <c r="AF379" s="869" t="s">
        <v>95</v>
      </c>
      <c r="AG379" s="632" t="str">
        <f t="shared" si="5"/>
        <v>#NAME?</v>
      </c>
      <c r="AH379" s="634" t="s">
        <v>122</v>
      </c>
      <c r="AI379" s="635" t="str">
        <f t="shared" si="6"/>
        <v>#NAME?</v>
      </c>
      <c r="AJ379" s="634" t="s">
        <v>95</v>
      </c>
      <c r="AK379" s="636" t="str">
        <f t="shared" si="7"/>
        <v>#NAME?</v>
      </c>
      <c r="AL379" s="637" t="s">
        <v>122</v>
      </c>
      <c r="AM379" s="619"/>
      <c r="AN379" s="638" t="s">
        <v>804</v>
      </c>
      <c r="AO379" s="639"/>
      <c r="AP379" s="712" t="s">
        <v>804</v>
      </c>
      <c r="AQ379" s="639"/>
      <c r="AR379" s="701" t="s">
        <v>1652</v>
      </c>
      <c r="AS379" s="843" t="s">
        <v>804</v>
      </c>
      <c r="AT379" s="644"/>
      <c r="AU379" s="633" t="str">
        <f t="shared" si="51"/>
        <v/>
      </c>
      <c r="AV379" s="638" t="s">
        <v>892</v>
      </c>
      <c r="AW379" s="630"/>
      <c r="AX379" s="647"/>
      <c r="AY379" s="619"/>
      <c r="AZ379" s="698" t="s">
        <v>717</v>
      </c>
      <c r="BA379" s="699"/>
      <c r="BB379" s="690"/>
      <c r="BC379" s="619"/>
      <c r="BD379" s="651" t="s">
        <v>683</v>
      </c>
      <c r="BE379" s="653">
        <v>210.0</v>
      </c>
      <c r="BF379" s="849" t="s">
        <v>4491</v>
      </c>
      <c r="BG379" s="654">
        <v>35.0</v>
      </c>
      <c r="BH379" s="653">
        <v>120.0</v>
      </c>
      <c r="BI379" s="607"/>
      <c r="BJ379" s="768" t="s">
        <v>890</v>
      </c>
      <c r="BK379" s="766"/>
      <c r="BL379" s="610"/>
      <c r="BM379" s="767" t="s">
        <v>826</v>
      </c>
      <c r="BN379" s="704"/>
      <c r="BO379" s="607"/>
      <c r="BP379" s="659" t="s">
        <v>3489</v>
      </c>
      <c r="BQ379" s="614"/>
      <c r="BR379" s="660" t="s">
        <v>4430</v>
      </c>
      <c r="BS379" s="614"/>
    </row>
    <row r="380" ht="15.75" customHeight="1">
      <c r="A380" s="841"/>
      <c r="B380" s="661" t="s">
        <v>3493</v>
      </c>
      <c r="C380" s="662"/>
      <c r="D380" s="571"/>
      <c r="E380" s="672">
        <v>80.0</v>
      </c>
      <c r="F380" s="664">
        <v>100.0</v>
      </c>
      <c r="G380" s="665">
        <v>200.0</v>
      </c>
      <c r="H380" s="666">
        <v>50.0</v>
      </c>
      <c r="I380" s="667">
        <v>100.0</v>
      </c>
      <c r="J380" s="668">
        <v>50.0</v>
      </c>
      <c r="K380" s="669">
        <v>580.0</v>
      </c>
      <c r="L380" s="670">
        <v>80.0</v>
      </c>
      <c r="M380" s="664">
        <v>100.0</v>
      </c>
      <c r="N380" s="665">
        <v>200.0</v>
      </c>
      <c r="O380" s="666">
        <v>50.0</v>
      </c>
      <c r="P380" s="667">
        <v>100.0</v>
      </c>
      <c r="Q380" s="668">
        <v>50.0</v>
      </c>
      <c r="R380" s="671">
        <v>580.0</v>
      </c>
      <c r="S380" s="672">
        <v>80.0</v>
      </c>
      <c r="T380" s="664">
        <v>100.0</v>
      </c>
      <c r="U380" s="665">
        <v>200.0</v>
      </c>
      <c r="V380" s="666">
        <v>50.0</v>
      </c>
      <c r="W380" s="667">
        <v>100.0</v>
      </c>
      <c r="X380" s="668">
        <v>50.0</v>
      </c>
      <c r="Y380" s="671">
        <f t="shared" si="1"/>
        <v>580</v>
      </c>
      <c r="Z380" s="571"/>
      <c r="AA380" s="673" t="str">
        <f t="shared" si="2"/>
        <v>#NAME?</v>
      </c>
      <c r="AB380" s="871" t="s">
        <v>66</v>
      </c>
      <c r="AC380" s="675" t="str">
        <f t="shared" si="3"/>
        <v>#NAME?</v>
      </c>
      <c r="AD380" s="872" t="s">
        <v>4428</v>
      </c>
      <c r="AE380" s="676" t="str">
        <f t="shared" si="4"/>
        <v>#NAME?</v>
      </c>
      <c r="AF380" s="871" t="s">
        <v>66</v>
      </c>
      <c r="AG380" s="675" t="str">
        <f t="shared" si="5"/>
        <v>#NAME?</v>
      </c>
      <c r="AH380" s="586" t="s">
        <v>4428</v>
      </c>
      <c r="AI380" s="677" t="str">
        <f t="shared" si="6"/>
        <v>#NAME?</v>
      </c>
      <c r="AJ380" s="586" t="s">
        <v>66</v>
      </c>
      <c r="AK380" s="584" t="str">
        <f t="shared" si="7"/>
        <v>#NAME?</v>
      </c>
      <c r="AL380" s="678" t="s">
        <v>4428</v>
      </c>
      <c r="AM380" s="571"/>
      <c r="AN380" s="679" t="s">
        <v>804</v>
      </c>
      <c r="AO380" s="680"/>
      <c r="AP380" s="705" t="s">
        <v>804</v>
      </c>
      <c r="AQ380" s="680"/>
      <c r="AR380" s="705" t="s">
        <v>804</v>
      </c>
      <c r="AS380" s="680"/>
      <c r="AT380" s="595"/>
      <c r="AU380" s="676"/>
      <c r="AV380" s="679"/>
      <c r="AW380" s="673"/>
      <c r="AX380" s="866"/>
      <c r="AY380" s="571"/>
      <c r="AZ380" s="689" t="s">
        <v>717</v>
      </c>
      <c r="BA380" s="699"/>
      <c r="BB380" s="690"/>
      <c r="BC380" s="571"/>
      <c r="BD380" s="651" t="s">
        <v>683</v>
      </c>
      <c r="BE380" s="653">
        <v>217.0</v>
      </c>
      <c r="BF380" s="653">
        <v>3.0</v>
      </c>
      <c r="BG380" s="654">
        <v>35.0</v>
      </c>
      <c r="BH380" s="653">
        <v>120.0</v>
      </c>
      <c r="BI380" s="607"/>
      <c r="BJ380" s="765" t="s">
        <v>890</v>
      </c>
      <c r="BK380" s="766"/>
      <c r="BL380" s="610"/>
      <c r="BM380" s="657" t="s">
        <v>411</v>
      </c>
      <c r="BN380" s="704"/>
      <c r="BO380" s="607"/>
      <c r="BP380" s="659" t="s">
        <v>914</v>
      </c>
      <c r="BQ380" s="614"/>
      <c r="BR380" s="660" t="s">
        <v>4432</v>
      </c>
      <c r="BS380" s="614"/>
    </row>
    <row r="381" ht="15.75" customHeight="1">
      <c r="A381" s="841"/>
      <c r="B381" s="617" t="s">
        <v>3499</v>
      </c>
      <c r="C381" s="618"/>
      <c r="D381" s="619"/>
      <c r="E381" s="629">
        <v>80.0</v>
      </c>
      <c r="F381" s="621">
        <v>50.0</v>
      </c>
      <c r="G381" s="622">
        <v>100.0</v>
      </c>
      <c r="H381" s="623">
        <v>100.0</v>
      </c>
      <c r="I381" s="624">
        <v>200.0</v>
      </c>
      <c r="J381" s="625">
        <v>50.0</v>
      </c>
      <c r="K381" s="626">
        <v>580.0</v>
      </c>
      <c r="L381" s="627">
        <v>80.0</v>
      </c>
      <c r="M381" s="621">
        <v>50.0</v>
      </c>
      <c r="N381" s="622">
        <v>100.0</v>
      </c>
      <c r="O381" s="623">
        <v>100.0</v>
      </c>
      <c r="P381" s="624">
        <v>200.0</v>
      </c>
      <c r="Q381" s="625">
        <v>50.0</v>
      </c>
      <c r="R381" s="628">
        <v>580.0</v>
      </c>
      <c r="S381" s="629">
        <v>80.0</v>
      </c>
      <c r="T381" s="621">
        <v>50.0</v>
      </c>
      <c r="U381" s="622">
        <v>100.0</v>
      </c>
      <c r="V381" s="623">
        <v>100.0</v>
      </c>
      <c r="W381" s="624">
        <v>200.0</v>
      </c>
      <c r="X381" s="625">
        <v>50.0</v>
      </c>
      <c r="Y381" s="628">
        <f t="shared" si="1"/>
        <v>580</v>
      </c>
      <c r="Z381" s="619"/>
      <c r="AA381" s="630" t="str">
        <f t="shared" si="2"/>
        <v>#NAME?</v>
      </c>
      <c r="AB381" s="869" t="s">
        <v>120</v>
      </c>
      <c r="AC381" s="632" t="str">
        <f t="shared" si="3"/>
        <v>#NAME?</v>
      </c>
      <c r="AD381" s="870" t="s">
        <v>4428</v>
      </c>
      <c r="AE381" s="633" t="str">
        <f t="shared" si="4"/>
        <v>#NAME?</v>
      </c>
      <c r="AF381" s="869" t="s">
        <v>120</v>
      </c>
      <c r="AG381" s="632" t="str">
        <f t="shared" si="5"/>
        <v>#NAME?</v>
      </c>
      <c r="AH381" s="634" t="s">
        <v>4428</v>
      </c>
      <c r="AI381" s="635" t="str">
        <f t="shared" si="6"/>
        <v>#NAME?</v>
      </c>
      <c r="AJ381" s="634" t="s">
        <v>120</v>
      </c>
      <c r="AK381" s="636" t="str">
        <f t="shared" si="7"/>
        <v>#NAME?</v>
      </c>
      <c r="AL381" s="637" t="s">
        <v>4428</v>
      </c>
      <c r="AM381" s="619"/>
      <c r="AN381" s="638" t="s">
        <v>804</v>
      </c>
      <c r="AO381" s="639"/>
      <c r="AP381" s="712" t="s">
        <v>804</v>
      </c>
      <c r="AQ381" s="639"/>
      <c r="AR381" s="712" t="s">
        <v>804</v>
      </c>
      <c r="AS381" s="639"/>
      <c r="AT381" s="644"/>
      <c r="AU381" s="633"/>
      <c r="AV381" s="638"/>
      <c r="AW381" s="630"/>
      <c r="AX381" s="647"/>
      <c r="AY381" s="619"/>
      <c r="AZ381" s="698" t="s">
        <v>129</v>
      </c>
      <c r="BA381" s="699"/>
      <c r="BB381" s="690"/>
      <c r="BC381" s="619"/>
      <c r="BD381" s="651" t="s">
        <v>683</v>
      </c>
      <c r="BE381" s="653">
        <v>216.0</v>
      </c>
      <c r="BF381" s="653">
        <v>3.0</v>
      </c>
      <c r="BG381" s="654">
        <v>35.0</v>
      </c>
      <c r="BH381" s="653">
        <v>100.0</v>
      </c>
      <c r="BI381" s="607"/>
      <c r="BJ381" s="768" t="s">
        <v>890</v>
      </c>
      <c r="BK381" s="766"/>
      <c r="BL381" s="610"/>
      <c r="BM381" s="657" t="s">
        <v>411</v>
      </c>
      <c r="BN381" s="704"/>
      <c r="BO381" s="607"/>
      <c r="BP381" s="659" t="s">
        <v>914</v>
      </c>
      <c r="BQ381" s="614"/>
      <c r="BR381" s="660" t="s">
        <v>4430</v>
      </c>
      <c r="BS381" s="614"/>
    </row>
    <row r="382" ht="15.75" customHeight="1">
      <c r="A382" s="841"/>
      <c r="B382" s="661" t="s">
        <v>3505</v>
      </c>
      <c r="C382" s="662"/>
      <c r="D382" s="571"/>
      <c r="E382" s="672">
        <v>80.0</v>
      </c>
      <c r="F382" s="664">
        <v>75.0</v>
      </c>
      <c r="G382" s="665">
        <v>150.0</v>
      </c>
      <c r="H382" s="666">
        <v>75.0</v>
      </c>
      <c r="I382" s="667">
        <v>150.0</v>
      </c>
      <c r="J382" s="668">
        <v>50.0</v>
      </c>
      <c r="K382" s="669">
        <v>580.0</v>
      </c>
      <c r="L382" s="670">
        <v>80.0</v>
      </c>
      <c r="M382" s="664">
        <v>75.0</v>
      </c>
      <c r="N382" s="665">
        <v>150.0</v>
      </c>
      <c r="O382" s="666">
        <v>75.0</v>
      </c>
      <c r="P382" s="667">
        <v>150.0</v>
      </c>
      <c r="Q382" s="668">
        <v>50.0</v>
      </c>
      <c r="R382" s="671">
        <v>580.0</v>
      </c>
      <c r="S382" s="672">
        <v>80.0</v>
      </c>
      <c r="T382" s="664">
        <v>75.0</v>
      </c>
      <c r="U382" s="665">
        <v>150.0</v>
      </c>
      <c r="V382" s="666">
        <v>75.0</v>
      </c>
      <c r="W382" s="667">
        <v>150.0</v>
      </c>
      <c r="X382" s="668">
        <v>50.0</v>
      </c>
      <c r="Y382" s="671">
        <f t="shared" si="1"/>
        <v>580</v>
      </c>
      <c r="Z382" s="571"/>
      <c r="AA382" s="673" t="str">
        <f t="shared" si="2"/>
        <v>#NAME?</v>
      </c>
      <c r="AB382" s="871" t="s">
        <v>95</v>
      </c>
      <c r="AC382" s="675" t="str">
        <f t="shared" si="3"/>
        <v>#NAME?</v>
      </c>
      <c r="AD382" s="872" t="s">
        <v>4428</v>
      </c>
      <c r="AE382" s="676" t="str">
        <f t="shared" si="4"/>
        <v>#NAME?</v>
      </c>
      <c r="AF382" s="871" t="s">
        <v>95</v>
      </c>
      <c r="AG382" s="675" t="str">
        <f t="shared" si="5"/>
        <v>#NAME?</v>
      </c>
      <c r="AH382" s="586" t="s">
        <v>4428</v>
      </c>
      <c r="AI382" s="677" t="str">
        <f t="shared" si="6"/>
        <v>#NAME?</v>
      </c>
      <c r="AJ382" s="586" t="s">
        <v>95</v>
      </c>
      <c r="AK382" s="584" t="str">
        <f t="shared" si="7"/>
        <v>#NAME?</v>
      </c>
      <c r="AL382" s="678" t="s">
        <v>4428</v>
      </c>
      <c r="AM382" s="571"/>
      <c r="AN382" s="679" t="s">
        <v>804</v>
      </c>
      <c r="AO382" s="680"/>
      <c r="AP382" s="705" t="s">
        <v>804</v>
      </c>
      <c r="AQ382" s="680"/>
      <c r="AR382" s="705" t="s">
        <v>804</v>
      </c>
      <c r="AS382" s="680"/>
      <c r="AT382" s="595"/>
      <c r="AU382" s="676"/>
      <c r="AV382" s="679"/>
      <c r="AW382" s="673"/>
      <c r="AX382" s="866"/>
      <c r="AY382" s="571"/>
      <c r="AZ382" s="689" t="s">
        <v>162</v>
      </c>
      <c r="BA382" s="690"/>
      <c r="BB382" s="691" t="s">
        <v>27</v>
      </c>
      <c r="BC382" s="571"/>
      <c r="BD382" s="651" t="s">
        <v>683</v>
      </c>
      <c r="BE382" s="653">
        <v>215.0</v>
      </c>
      <c r="BF382" s="653">
        <v>3.0</v>
      </c>
      <c r="BG382" s="654">
        <v>35.0</v>
      </c>
      <c r="BH382" s="653">
        <v>120.0</v>
      </c>
      <c r="BI382" s="607"/>
      <c r="BJ382" s="765" t="s">
        <v>890</v>
      </c>
      <c r="BK382" s="766"/>
      <c r="BL382" s="610"/>
      <c r="BM382" s="657" t="s">
        <v>411</v>
      </c>
      <c r="BN382" s="704"/>
      <c r="BO382" s="607"/>
      <c r="BP382" s="659" t="s">
        <v>914</v>
      </c>
      <c r="BQ382" s="614"/>
      <c r="BR382" s="660" t="s">
        <v>4437</v>
      </c>
      <c r="BS382" s="614"/>
    </row>
    <row r="383" ht="15.75" customHeight="1">
      <c r="A383" s="841"/>
      <c r="B383" s="617" t="s">
        <v>3513</v>
      </c>
      <c r="C383" s="618"/>
      <c r="D383" s="619"/>
      <c r="E383" s="629">
        <v>80.0</v>
      </c>
      <c r="F383" s="621">
        <v>80.0</v>
      </c>
      <c r="G383" s="622">
        <v>90.0</v>
      </c>
      <c r="H383" s="623">
        <v>110.0</v>
      </c>
      <c r="I383" s="624">
        <v>130.0</v>
      </c>
      <c r="J383" s="625">
        <v>110.0</v>
      </c>
      <c r="K383" s="626">
        <v>600.0</v>
      </c>
      <c r="L383" s="627">
        <v>80.0</v>
      </c>
      <c r="M383" s="621">
        <v>80.0</v>
      </c>
      <c r="N383" s="622">
        <v>90.0</v>
      </c>
      <c r="O383" s="623">
        <v>110.0</v>
      </c>
      <c r="P383" s="624">
        <v>130.0</v>
      </c>
      <c r="Q383" s="625">
        <v>110.0</v>
      </c>
      <c r="R383" s="628">
        <v>600.0</v>
      </c>
      <c r="S383" s="629">
        <v>80.0</v>
      </c>
      <c r="T383" s="621">
        <v>80.0</v>
      </c>
      <c r="U383" s="622">
        <v>90.0</v>
      </c>
      <c r="V383" s="623">
        <v>110.0</v>
      </c>
      <c r="W383" s="624">
        <v>130.0</v>
      </c>
      <c r="X383" s="625">
        <v>110.0</v>
      </c>
      <c r="Y383" s="628">
        <f t="shared" si="1"/>
        <v>600</v>
      </c>
      <c r="Z383" s="619"/>
      <c r="AA383" s="630" t="str">
        <f t="shared" si="2"/>
        <v>#NAME?</v>
      </c>
      <c r="AB383" s="869" t="s">
        <v>61</v>
      </c>
      <c r="AC383" s="632" t="str">
        <f t="shared" si="3"/>
        <v>#NAME?</v>
      </c>
      <c r="AD383" s="870" t="s">
        <v>122</v>
      </c>
      <c r="AE383" s="633" t="str">
        <f t="shared" si="4"/>
        <v>#NAME?</v>
      </c>
      <c r="AF383" s="869" t="s">
        <v>61</v>
      </c>
      <c r="AG383" s="632" t="str">
        <f t="shared" si="5"/>
        <v>#NAME?</v>
      </c>
      <c r="AH383" s="634" t="s">
        <v>122</v>
      </c>
      <c r="AI383" s="635" t="str">
        <f t="shared" si="6"/>
        <v>#NAME?</v>
      </c>
      <c r="AJ383" s="634" t="s">
        <v>61</v>
      </c>
      <c r="AK383" s="636" t="str">
        <f t="shared" si="7"/>
        <v>#NAME?</v>
      </c>
      <c r="AL383" s="637" t="s">
        <v>122</v>
      </c>
      <c r="AM383" s="619"/>
      <c r="AN383" s="638" t="s">
        <v>1001</v>
      </c>
      <c r="AO383" s="639"/>
      <c r="AP383" s="712" t="s">
        <v>1001</v>
      </c>
      <c r="AQ383" s="639"/>
      <c r="AR383" s="712" t="s">
        <v>1001</v>
      </c>
      <c r="AS383" s="639"/>
      <c r="AT383" s="644"/>
      <c r="AU383" s="633"/>
      <c r="AV383" s="638"/>
      <c r="AW383" s="630"/>
      <c r="AX383" s="647"/>
      <c r="AY383" s="619"/>
      <c r="AZ383" s="698" t="s">
        <v>129</v>
      </c>
      <c r="BA383" s="699"/>
      <c r="BB383" s="690"/>
      <c r="BC383" s="619"/>
      <c r="BD383" s="651" t="s">
        <v>683</v>
      </c>
      <c r="BE383" s="653">
        <v>211.0</v>
      </c>
      <c r="BF383" s="653">
        <v>3.0</v>
      </c>
      <c r="BG383" s="654">
        <v>90.0</v>
      </c>
      <c r="BH383" s="653">
        <v>60.0</v>
      </c>
      <c r="BI383" s="607"/>
      <c r="BJ383" s="883">
        <v>0.0</v>
      </c>
      <c r="BK383" s="784" t="s">
        <v>397</v>
      </c>
      <c r="BL383" s="610"/>
      <c r="BM383" s="657" t="s">
        <v>411</v>
      </c>
      <c r="BN383" s="704"/>
      <c r="BO383" s="607"/>
      <c r="BP383" s="659" t="s">
        <v>914</v>
      </c>
      <c r="BQ383" s="614"/>
      <c r="BR383" s="660" t="s">
        <v>4429</v>
      </c>
      <c r="BS383" s="614"/>
    </row>
    <row r="384" ht="15.75" customHeight="1">
      <c r="A384" s="841"/>
      <c r="B384" s="661" t="s">
        <v>3520</v>
      </c>
      <c r="C384" s="662"/>
      <c r="D384" s="571"/>
      <c r="E384" s="672">
        <v>80.0</v>
      </c>
      <c r="F384" s="664">
        <v>90.0</v>
      </c>
      <c r="G384" s="665">
        <v>80.0</v>
      </c>
      <c r="H384" s="666">
        <v>130.0</v>
      </c>
      <c r="I384" s="667">
        <v>110.0</v>
      </c>
      <c r="J384" s="668">
        <v>110.0</v>
      </c>
      <c r="K384" s="669">
        <v>600.0</v>
      </c>
      <c r="L384" s="670">
        <v>80.0</v>
      </c>
      <c r="M384" s="664">
        <v>90.0</v>
      </c>
      <c r="N384" s="665">
        <v>80.0</v>
      </c>
      <c r="O384" s="666">
        <v>130.0</v>
      </c>
      <c r="P384" s="667">
        <v>110.0</v>
      </c>
      <c r="Q384" s="668">
        <v>110.0</v>
      </c>
      <c r="R384" s="671">
        <v>600.0</v>
      </c>
      <c r="S384" s="672">
        <v>80.0</v>
      </c>
      <c r="T384" s="664">
        <v>90.0</v>
      </c>
      <c r="U384" s="665">
        <v>80.0</v>
      </c>
      <c r="V384" s="666">
        <v>130.0</v>
      </c>
      <c r="W384" s="667">
        <v>110.0</v>
      </c>
      <c r="X384" s="668">
        <v>110.0</v>
      </c>
      <c r="Y384" s="671">
        <f t="shared" si="1"/>
        <v>600</v>
      </c>
      <c r="Z384" s="571"/>
      <c r="AA384" s="673" t="str">
        <f t="shared" si="2"/>
        <v>#NAME?</v>
      </c>
      <c r="AB384" s="871" t="s">
        <v>61</v>
      </c>
      <c r="AC384" s="675" t="str">
        <f t="shared" si="3"/>
        <v>#NAME?</v>
      </c>
      <c r="AD384" s="872" t="s">
        <v>122</v>
      </c>
      <c r="AE384" s="676" t="str">
        <f t="shared" si="4"/>
        <v>#NAME?</v>
      </c>
      <c r="AF384" s="871" t="s">
        <v>61</v>
      </c>
      <c r="AG384" s="675" t="str">
        <f t="shared" si="5"/>
        <v>#NAME?</v>
      </c>
      <c r="AH384" s="586" t="s">
        <v>122</v>
      </c>
      <c r="AI384" s="677" t="str">
        <f t="shared" si="6"/>
        <v>#NAME?</v>
      </c>
      <c r="AJ384" s="586" t="s">
        <v>61</v>
      </c>
      <c r="AK384" s="584" t="str">
        <f t="shared" si="7"/>
        <v>#NAME?</v>
      </c>
      <c r="AL384" s="678" t="s">
        <v>122</v>
      </c>
      <c r="AM384" s="571"/>
      <c r="AN384" s="679" t="s">
        <v>1001</v>
      </c>
      <c r="AO384" s="680"/>
      <c r="AP384" s="705" t="s">
        <v>1001</v>
      </c>
      <c r="AQ384" s="680"/>
      <c r="AR384" s="705" t="s">
        <v>1001</v>
      </c>
      <c r="AS384" s="680"/>
      <c r="AT384" s="595"/>
      <c r="AU384" s="676"/>
      <c r="AV384" s="679"/>
      <c r="AW384" s="673"/>
      <c r="AX384" s="866"/>
      <c r="AY384" s="571"/>
      <c r="AZ384" s="689" t="s">
        <v>85</v>
      </c>
      <c r="BA384" s="699"/>
      <c r="BB384" s="690"/>
      <c r="BC384" s="571"/>
      <c r="BD384" s="651" t="s">
        <v>683</v>
      </c>
      <c r="BE384" s="653">
        <v>211.0</v>
      </c>
      <c r="BF384" s="653">
        <v>3.0</v>
      </c>
      <c r="BG384" s="654">
        <v>90.0</v>
      </c>
      <c r="BH384" s="653">
        <v>80.0</v>
      </c>
      <c r="BI384" s="607"/>
      <c r="BJ384" s="786" t="s">
        <v>397</v>
      </c>
      <c r="BK384" s="884">
        <v>0.0</v>
      </c>
      <c r="BL384" s="610"/>
      <c r="BM384" s="657" t="s">
        <v>411</v>
      </c>
      <c r="BN384" s="704"/>
      <c r="BO384" s="607"/>
      <c r="BP384" s="659" t="s">
        <v>914</v>
      </c>
      <c r="BQ384" s="614"/>
      <c r="BR384" s="660" t="s">
        <v>4430</v>
      </c>
      <c r="BS384" s="614"/>
    </row>
    <row r="385" ht="15.75" customHeight="1">
      <c r="A385" s="841"/>
      <c r="B385" s="617" t="s">
        <v>3526</v>
      </c>
      <c r="C385" s="618"/>
      <c r="D385" s="619"/>
      <c r="E385" s="629">
        <v>100.0</v>
      </c>
      <c r="F385" s="621">
        <v>100.0</v>
      </c>
      <c r="G385" s="622">
        <v>90.0</v>
      </c>
      <c r="H385" s="623">
        <v>150.0</v>
      </c>
      <c r="I385" s="624">
        <v>140.0</v>
      </c>
      <c r="J385" s="625">
        <v>90.0</v>
      </c>
      <c r="K385" s="626">
        <v>670.0</v>
      </c>
      <c r="L385" s="627">
        <v>100.0</v>
      </c>
      <c r="M385" s="621">
        <v>100.0</v>
      </c>
      <c r="N385" s="622">
        <v>90.0</v>
      </c>
      <c r="O385" s="623">
        <v>150.0</v>
      </c>
      <c r="P385" s="624">
        <v>140.0</v>
      </c>
      <c r="Q385" s="625">
        <v>90.0</v>
      </c>
      <c r="R385" s="628">
        <v>670.0</v>
      </c>
      <c r="S385" s="629">
        <v>100.0</v>
      </c>
      <c r="T385" s="621">
        <v>100.0</v>
      </c>
      <c r="U385" s="622">
        <v>90.0</v>
      </c>
      <c r="V385" s="623">
        <v>150.0</v>
      </c>
      <c r="W385" s="624">
        <v>140.0</v>
      </c>
      <c r="X385" s="625">
        <v>90.0</v>
      </c>
      <c r="Y385" s="628">
        <f t="shared" si="1"/>
        <v>670</v>
      </c>
      <c r="Z385" s="619"/>
      <c r="AA385" s="630" t="str">
        <f t="shared" si="2"/>
        <v>#NAME?</v>
      </c>
      <c r="AB385" s="869" t="s">
        <v>32</v>
      </c>
      <c r="AC385" s="632" t="str">
        <f t="shared" si="3"/>
        <v>#NAME?</v>
      </c>
      <c r="AD385" s="870" t="s">
        <v>4428</v>
      </c>
      <c r="AE385" s="633" t="str">
        <f t="shared" si="4"/>
        <v>#NAME?</v>
      </c>
      <c r="AF385" s="869" t="s">
        <v>32</v>
      </c>
      <c r="AG385" s="632" t="str">
        <f t="shared" si="5"/>
        <v>#NAME?</v>
      </c>
      <c r="AH385" s="634" t="s">
        <v>4428</v>
      </c>
      <c r="AI385" s="635" t="str">
        <f t="shared" si="6"/>
        <v>#NAME?</v>
      </c>
      <c r="AJ385" s="634" t="s">
        <v>32</v>
      </c>
      <c r="AK385" s="636" t="str">
        <f t="shared" si="7"/>
        <v>#NAME?</v>
      </c>
      <c r="AL385" s="637" t="s">
        <v>4428</v>
      </c>
      <c r="AM385" s="619"/>
      <c r="AN385" s="638" t="s">
        <v>2602</v>
      </c>
      <c r="AO385" s="639"/>
      <c r="AP385" s="712" t="s">
        <v>2602</v>
      </c>
      <c r="AQ385" s="639"/>
      <c r="AR385" s="712" t="s">
        <v>2602</v>
      </c>
      <c r="AS385" s="639"/>
      <c r="AT385" s="644"/>
      <c r="AU385" s="633"/>
      <c r="AV385" s="638"/>
      <c r="AW385" s="630"/>
      <c r="AX385" s="647"/>
      <c r="AY385" s="619"/>
      <c r="AZ385" s="698" t="s">
        <v>85</v>
      </c>
      <c r="BA385" s="699"/>
      <c r="BB385" s="690"/>
      <c r="BC385" s="619"/>
      <c r="BD385" s="651" t="s">
        <v>683</v>
      </c>
      <c r="BE385" s="653">
        <v>218.0</v>
      </c>
      <c r="BF385" s="653">
        <v>5.0</v>
      </c>
      <c r="BG385" s="654">
        <v>0.0</v>
      </c>
      <c r="BH385" s="653">
        <v>120.0</v>
      </c>
      <c r="BI385" s="607"/>
      <c r="BJ385" s="768" t="s">
        <v>890</v>
      </c>
      <c r="BK385" s="766"/>
      <c r="BL385" s="610"/>
      <c r="BM385" s="657" t="s">
        <v>411</v>
      </c>
      <c r="BN385" s="704"/>
      <c r="BO385" s="607"/>
      <c r="BP385" s="659" t="s">
        <v>914</v>
      </c>
      <c r="BQ385" s="614"/>
      <c r="BR385" s="660" t="s">
        <v>4430</v>
      </c>
      <c r="BS385" s="614"/>
    </row>
    <row r="386" ht="15.75" customHeight="1">
      <c r="A386" s="841"/>
      <c r="B386" s="661" t="s">
        <v>3533</v>
      </c>
      <c r="C386" s="662"/>
      <c r="D386" s="571"/>
      <c r="E386" s="672">
        <v>100.0</v>
      </c>
      <c r="F386" s="664">
        <v>150.0</v>
      </c>
      <c r="G386" s="665">
        <v>140.0</v>
      </c>
      <c r="H386" s="666">
        <v>100.0</v>
      </c>
      <c r="I386" s="667">
        <v>90.0</v>
      </c>
      <c r="J386" s="668">
        <v>90.0</v>
      </c>
      <c r="K386" s="669">
        <v>670.0</v>
      </c>
      <c r="L386" s="670">
        <v>100.0</v>
      </c>
      <c r="M386" s="664">
        <v>150.0</v>
      </c>
      <c r="N386" s="665">
        <v>140.0</v>
      </c>
      <c r="O386" s="666">
        <v>100.0</v>
      </c>
      <c r="P386" s="667">
        <v>90.0</v>
      </c>
      <c r="Q386" s="668">
        <v>90.0</v>
      </c>
      <c r="R386" s="671">
        <v>670.0</v>
      </c>
      <c r="S386" s="672">
        <v>100.0</v>
      </c>
      <c r="T386" s="664">
        <v>150.0</v>
      </c>
      <c r="U386" s="665">
        <v>140.0</v>
      </c>
      <c r="V386" s="666">
        <v>100.0</v>
      </c>
      <c r="W386" s="667">
        <v>90.0</v>
      </c>
      <c r="X386" s="668">
        <v>90.0</v>
      </c>
      <c r="Y386" s="671">
        <f t="shared" si="1"/>
        <v>670</v>
      </c>
      <c r="Z386" s="571"/>
      <c r="AA386" s="673" t="str">
        <f t="shared" si="2"/>
        <v>#NAME?</v>
      </c>
      <c r="AB386" s="871" t="s">
        <v>79</v>
      </c>
      <c r="AC386" s="675" t="str">
        <f t="shared" si="3"/>
        <v>#NAME?</v>
      </c>
      <c r="AD386" s="872" t="s">
        <v>4428</v>
      </c>
      <c r="AE386" s="676" t="str">
        <f t="shared" si="4"/>
        <v>#NAME?</v>
      </c>
      <c r="AF386" s="871" t="s">
        <v>79</v>
      </c>
      <c r="AG386" s="675" t="str">
        <f t="shared" si="5"/>
        <v>#NAME?</v>
      </c>
      <c r="AH386" s="586" t="s">
        <v>4428</v>
      </c>
      <c r="AI386" s="677" t="str">
        <f t="shared" si="6"/>
        <v>#NAME?</v>
      </c>
      <c r="AJ386" s="586" t="s">
        <v>79</v>
      </c>
      <c r="AK386" s="584" t="str">
        <f t="shared" si="7"/>
        <v>#NAME?</v>
      </c>
      <c r="AL386" s="678" t="s">
        <v>4428</v>
      </c>
      <c r="AM386" s="571"/>
      <c r="AN386" s="679" t="s">
        <v>3004</v>
      </c>
      <c r="AO386" s="680"/>
      <c r="AP386" s="705" t="s">
        <v>3004</v>
      </c>
      <c r="AQ386" s="680"/>
      <c r="AR386" s="705" t="s">
        <v>3004</v>
      </c>
      <c r="AS386" s="680"/>
      <c r="AT386" s="595"/>
      <c r="AU386" s="676"/>
      <c r="AV386" s="679"/>
      <c r="AW386" s="673"/>
      <c r="AX386" s="866"/>
      <c r="AY386" s="571"/>
      <c r="AZ386" s="689" t="s">
        <v>451</v>
      </c>
      <c r="BA386" s="699"/>
      <c r="BB386" s="690"/>
      <c r="BC386" s="571"/>
      <c r="BD386" s="651" t="s">
        <v>683</v>
      </c>
      <c r="BE386" s="653">
        <v>218.0</v>
      </c>
      <c r="BF386" s="653">
        <v>5.0</v>
      </c>
      <c r="BG386" s="654">
        <v>0.0</v>
      </c>
      <c r="BH386" s="653">
        <v>120.0</v>
      </c>
      <c r="BI386" s="607"/>
      <c r="BJ386" s="765" t="s">
        <v>890</v>
      </c>
      <c r="BK386" s="766"/>
      <c r="BL386" s="610"/>
      <c r="BM386" s="657" t="s">
        <v>411</v>
      </c>
      <c r="BN386" s="704"/>
      <c r="BO386" s="607"/>
      <c r="BP386" s="659" t="s">
        <v>914</v>
      </c>
      <c r="BQ386" s="614"/>
      <c r="BR386" s="660" t="s">
        <v>4429</v>
      </c>
      <c r="BS386" s="614"/>
    </row>
    <row r="387" ht="15.75" customHeight="1">
      <c r="A387" s="841"/>
      <c r="B387" s="617" t="s">
        <v>3539</v>
      </c>
      <c r="C387" s="618"/>
      <c r="D387" s="619"/>
      <c r="E387" s="629">
        <v>105.0</v>
      </c>
      <c r="F387" s="621">
        <v>150.0</v>
      </c>
      <c r="G387" s="622">
        <v>90.0</v>
      </c>
      <c r="H387" s="623">
        <v>150.0</v>
      </c>
      <c r="I387" s="624">
        <v>90.0</v>
      </c>
      <c r="J387" s="625">
        <v>95.0</v>
      </c>
      <c r="K387" s="626">
        <v>680.0</v>
      </c>
      <c r="L387" s="627">
        <v>105.0</v>
      </c>
      <c r="M387" s="621">
        <v>150.0</v>
      </c>
      <c r="N387" s="622">
        <v>90.0</v>
      </c>
      <c r="O387" s="623">
        <v>150.0</v>
      </c>
      <c r="P387" s="624">
        <v>90.0</v>
      </c>
      <c r="Q387" s="625">
        <v>95.0</v>
      </c>
      <c r="R387" s="628">
        <v>680.0</v>
      </c>
      <c r="S387" s="629">
        <v>105.0</v>
      </c>
      <c r="T387" s="621">
        <v>150.0</v>
      </c>
      <c r="U387" s="622">
        <v>90.0</v>
      </c>
      <c r="V387" s="623">
        <v>150.0</v>
      </c>
      <c r="W387" s="624">
        <v>90.0</v>
      </c>
      <c r="X387" s="625">
        <v>95.0</v>
      </c>
      <c r="Y387" s="628">
        <f t="shared" si="1"/>
        <v>680</v>
      </c>
      <c r="Z387" s="619"/>
      <c r="AA387" s="630" t="str">
        <f t="shared" si="2"/>
        <v>#NAME?</v>
      </c>
      <c r="AB387" s="869" t="s">
        <v>61</v>
      </c>
      <c r="AC387" s="632" t="str">
        <f t="shared" si="3"/>
        <v>#NAME?</v>
      </c>
      <c r="AD387" s="870" t="s">
        <v>18</v>
      </c>
      <c r="AE387" s="633" t="str">
        <f t="shared" si="4"/>
        <v>#NAME?</v>
      </c>
      <c r="AF387" s="869" t="s">
        <v>61</v>
      </c>
      <c r="AG387" s="632" t="str">
        <f t="shared" si="5"/>
        <v>#NAME?</v>
      </c>
      <c r="AH387" s="634" t="s">
        <v>18</v>
      </c>
      <c r="AI387" s="635" t="str">
        <f t="shared" si="6"/>
        <v>#NAME?</v>
      </c>
      <c r="AJ387" s="634" t="s">
        <v>61</v>
      </c>
      <c r="AK387" s="636" t="str">
        <f t="shared" si="7"/>
        <v>#NAME?</v>
      </c>
      <c r="AL387" s="637" t="s">
        <v>18</v>
      </c>
      <c r="AM387" s="619"/>
      <c r="AN387" s="638" t="s">
        <v>3542</v>
      </c>
      <c r="AO387" s="639"/>
      <c r="AP387" s="712" t="s">
        <v>3542</v>
      </c>
      <c r="AQ387" s="639"/>
      <c r="AR387" s="712" t="s">
        <v>3542</v>
      </c>
      <c r="AS387" s="639"/>
      <c r="AT387" s="644"/>
      <c r="AU387" s="633"/>
      <c r="AV387" s="638"/>
      <c r="AW387" s="630"/>
      <c r="AX387" s="647"/>
      <c r="AY387" s="619"/>
      <c r="AZ387" s="698" t="s">
        <v>216</v>
      </c>
      <c r="BA387" s="690"/>
      <c r="BB387" s="649" t="s">
        <v>4</v>
      </c>
      <c r="BC387" s="619"/>
      <c r="BD387" s="651" t="s">
        <v>683</v>
      </c>
      <c r="BE387" s="653">
        <v>220.0</v>
      </c>
      <c r="BF387" s="653">
        <v>3.0</v>
      </c>
      <c r="BG387" s="654">
        <v>0.0</v>
      </c>
      <c r="BH387" s="653">
        <v>120.0</v>
      </c>
      <c r="BI387" s="607"/>
      <c r="BJ387" s="768" t="s">
        <v>890</v>
      </c>
      <c r="BK387" s="766"/>
      <c r="BL387" s="610"/>
      <c r="BM387" s="657" t="s">
        <v>411</v>
      </c>
      <c r="BN387" s="704"/>
      <c r="BO387" s="607"/>
      <c r="BP387" s="659" t="s">
        <v>914</v>
      </c>
      <c r="BQ387" s="614"/>
      <c r="BR387" s="660" t="s">
        <v>4427</v>
      </c>
      <c r="BS387" s="614"/>
    </row>
    <row r="388" ht="15.75" customHeight="1">
      <c r="A388" s="841"/>
      <c r="B388" s="661" t="s">
        <v>3548</v>
      </c>
      <c r="C388" s="662"/>
      <c r="D388" s="571"/>
      <c r="E388" s="672">
        <v>100.0</v>
      </c>
      <c r="F388" s="664">
        <v>100.0</v>
      </c>
      <c r="G388" s="665">
        <v>100.0</v>
      </c>
      <c r="H388" s="666">
        <v>100.0</v>
      </c>
      <c r="I388" s="667">
        <v>100.0</v>
      </c>
      <c r="J388" s="668">
        <v>100.0</v>
      </c>
      <c r="K388" s="669">
        <v>600.0</v>
      </c>
      <c r="L388" s="670">
        <v>100.0</v>
      </c>
      <c r="M388" s="664">
        <v>100.0</v>
      </c>
      <c r="N388" s="665">
        <v>100.0</v>
      </c>
      <c r="O388" s="666">
        <v>100.0</v>
      </c>
      <c r="P388" s="667">
        <v>100.0</v>
      </c>
      <c r="Q388" s="668">
        <v>100.0</v>
      </c>
      <c r="R388" s="671">
        <v>600.0</v>
      </c>
      <c r="S388" s="672">
        <v>100.0</v>
      </c>
      <c r="T388" s="664">
        <v>100.0</v>
      </c>
      <c r="U388" s="665">
        <v>100.0</v>
      </c>
      <c r="V388" s="666">
        <v>100.0</v>
      </c>
      <c r="W388" s="667">
        <v>100.0</v>
      </c>
      <c r="X388" s="668">
        <v>100.0</v>
      </c>
      <c r="Y388" s="671">
        <f t="shared" si="1"/>
        <v>600</v>
      </c>
      <c r="Z388" s="571"/>
      <c r="AA388" s="673" t="str">
        <f t="shared" si="2"/>
        <v>#NAME?</v>
      </c>
      <c r="AB388" s="871" t="s">
        <v>95</v>
      </c>
      <c r="AC388" s="675" t="str">
        <f t="shared" si="3"/>
        <v>#NAME?</v>
      </c>
      <c r="AD388" s="872" t="s">
        <v>122</v>
      </c>
      <c r="AE388" s="676" t="str">
        <f t="shared" si="4"/>
        <v>#NAME?</v>
      </c>
      <c r="AF388" s="871" t="s">
        <v>95</v>
      </c>
      <c r="AG388" s="675" t="str">
        <f t="shared" si="5"/>
        <v>#NAME?</v>
      </c>
      <c r="AH388" s="586" t="s">
        <v>122</v>
      </c>
      <c r="AI388" s="677" t="str">
        <f t="shared" si="6"/>
        <v>#NAME?</v>
      </c>
      <c r="AJ388" s="586" t="s">
        <v>95</v>
      </c>
      <c r="AK388" s="584" t="str">
        <f t="shared" si="7"/>
        <v>#NAME?</v>
      </c>
      <c r="AL388" s="678" t="s">
        <v>122</v>
      </c>
      <c r="AM388" s="571"/>
      <c r="AN388" s="679" t="s">
        <v>1183</v>
      </c>
      <c r="AO388" s="680"/>
      <c r="AP388" s="705" t="s">
        <v>1183</v>
      </c>
      <c r="AQ388" s="680"/>
      <c r="AR388" s="705" t="s">
        <v>1183</v>
      </c>
      <c r="AS388" s="680"/>
      <c r="AT388" s="595"/>
      <c r="AU388" s="676" t="str">
        <f>image("https://www.pokebip.com/pages/icones/objets/morceau-etoile.png", 3)</f>
        <v/>
      </c>
      <c r="AV388" s="679" t="s">
        <v>3552</v>
      </c>
      <c r="AW388" s="673"/>
      <c r="AX388" s="866"/>
      <c r="AY388" s="571"/>
      <c r="AZ388" s="689" t="s">
        <v>422</v>
      </c>
      <c r="BA388" s="699"/>
      <c r="BB388" s="690"/>
      <c r="BC388" s="571"/>
      <c r="BD388" s="651" t="s">
        <v>683</v>
      </c>
      <c r="BE388" s="653">
        <v>215.0</v>
      </c>
      <c r="BF388" s="653">
        <v>3.0</v>
      </c>
      <c r="BG388" s="654">
        <v>100.0</v>
      </c>
      <c r="BH388" s="653">
        <v>20.0</v>
      </c>
      <c r="BI388" s="607"/>
      <c r="BJ388" s="765" t="s">
        <v>890</v>
      </c>
      <c r="BK388" s="766"/>
      <c r="BL388" s="610"/>
      <c r="BM388" s="657" t="s">
        <v>411</v>
      </c>
      <c r="BN388" s="704"/>
      <c r="BO388" s="607"/>
      <c r="BP388" s="659" t="s">
        <v>914</v>
      </c>
      <c r="BQ388" s="614"/>
      <c r="BR388" s="660" t="s">
        <v>4433</v>
      </c>
      <c r="BS388" s="614"/>
    </row>
    <row r="389" ht="15.75" customHeight="1">
      <c r="A389" s="841"/>
      <c r="B389" s="617" t="s">
        <v>3556</v>
      </c>
      <c r="C389" s="618"/>
      <c r="D389" s="619"/>
      <c r="E389" s="629">
        <v>50.0</v>
      </c>
      <c r="F389" s="621">
        <v>150.0</v>
      </c>
      <c r="G389" s="622">
        <v>50.0</v>
      </c>
      <c r="H389" s="623">
        <v>150.0</v>
      </c>
      <c r="I389" s="624">
        <v>50.0</v>
      </c>
      <c r="J389" s="625">
        <v>150.0</v>
      </c>
      <c r="K389" s="626">
        <v>600.0</v>
      </c>
      <c r="L389" s="627">
        <v>50.0</v>
      </c>
      <c r="M389" s="621">
        <v>150.0</v>
      </c>
      <c r="N389" s="622">
        <v>50.0</v>
      </c>
      <c r="O389" s="623">
        <v>150.0</v>
      </c>
      <c r="P389" s="624">
        <v>50.0</v>
      </c>
      <c r="Q389" s="625">
        <v>150.0</v>
      </c>
      <c r="R389" s="628">
        <v>600.0</v>
      </c>
      <c r="S389" s="629">
        <v>50.0</v>
      </c>
      <c r="T389" s="621">
        <v>150.0</v>
      </c>
      <c r="U389" s="622">
        <v>50.0</v>
      </c>
      <c r="V389" s="623">
        <v>150.0</v>
      </c>
      <c r="W389" s="624">
        <v>50.0</v>
      </c>
      <c r="X389" s="625">
        <v>150.0</v>
      </c>
      <c r="Y389" s="628">
        <f t="shared" si="1"/>
        <v>600</v>
      </c>
      <c r="Z389" s="619"/>
      <c r="AA389" s="630" t="str">
        <f t="shared" si="2"/>
        <v>#NAME?</v>
      </c>
      <c r="AB389" s="869" t="s">
        <v>122</v>
      </c>
      <c r="AC389" s="632" t="str">
        <f t="shared" si="3"/>
        <v>#NAME?</v>
      </c>
      <c r="AD389" s="870" t="s">
        <v>4428</v>
      </c>
      <c r="AE389" s="633" t="str">
        <f t="shared" si="4"/>
        <v>#NAME?</v>
      </c>
      <c r="AF389" s="869" t="s">
        <v>122</v>
      </c>
      <c r="AG389" s="632" t="str">
        <f t="shared" si="5"/>
        <v>#NAME?</v>
      </c>
      <c r="AH389" s="634" t="s">
        <v>4428</v>
      </c>
      <c r="AI389" s="635" t="str">
        <f t="shared" si="6"/>
        <v>#NAME?</v>
      </c>
      <c r="AJ389" s="634" t="s">
        <v>122</v>
      </c>
      <c r="AK389" s="636" t="str">
        <f t="shared" si="7"/>
        <v>#NAME?</v>
      </c>
      <c r="AL389" s="637" t="s">
        <v>4428</v>
      </c>
      <c r="AM389" s="619"/>
      <c r="AN389" s="638" t="s">
        <v>1447</v>
      </c>
      <c r="AO389" s="639"/>
      <c r="AP389" s="712" t="s">
        <v>1447</v>
      </c>
      <c r="AQ389" s="639"/>
      <c r="AR389" s="712" t="s">
        <v>1447</v>
      </c>
      <c r="AS389" s="639"/>
      <c r="AT389" s="644"/>
      <c r="AU389" s="633"/>
      <c r="AV389" s="638"/>
      <c r="AW389" s="630"/>
      <c r="AX389" s="647"/>
      <c r="AY389" s="619"/>
      <c r="AZ389" s="648" t="s">
        <v>325</v>
      </c>
      <c r="BA389" s="649" t="s">
        <v>4</v>
      </c>
      <c r="BB389" s="649" t="s">
        <v>56</v>
      </c>
      <c r="BC389" s="619"/>
      <c r="BD389" s="651" t="s">
        <v>683</v>
      </c>
      <c r="BE389" s="653">
        <v>215.0</v>
      </c>
      <c r="BF389" s="653">
        <v>3.0</v>
      </c>
      <c r="BG389" s="654">
        <v>0.0</v>
      </c>
      <c r="BH389" s="653">
        <v>80.0</v>
      </c>
      <c r="BI389" s="607"/>
      <c r="BJ389" s="768" t="s">
        <v>890</v>
      </c>
      <c r="BK389" s="766"/>
      <c r="BL389" s="610"/>
      <c r="BM389" s="657" t="s">
        <v>411</v>
      </c>
      <c r="BN389" s="704"/>
      <c r="BO389" s="607"/>
      <c r="BP389" s="659" t="s">
        <v>914</v>
      </c>
      <c r="BQ389" s="614"/>
      <c r="BR389" s="660" t="s">
        <v>4429</v>
      </c>
      <c r="BS389" s="614"/>
    </row>
    <row r="390" ht="15.75" customHeight="1">
      <c r="A390" s="841"/>
      <c r="B390" s="661" t="s">
        <v>3564</v>
      </c>
      <c r="C390" s="662"/>
      <c r="D390" s="571"/>
      <c r="E390" s="672">
        <v>50.0</v>
      </c>
      <c r="F390" s="664">
        <v>180.0</v>
      </c>
      <c r="G390" s="665">
        <v>20.0</v>
      </c>
      <c r="H390" s="666">
        <v>180.0</v>
      </c>
      <c r="I390" s="667">
        <v>20.0</v>
      </c>
      <c r="J390" s="668">
        <v>150.0</v>
      </c>
      <c r="K390" s="669">
        <v>600.0</v>
      </c>
      <c r="L390" s="670">
        <v>50.0</v>
      </c>
      <c r="M390" s="664">
        <v>180.0</v>
      </c>
      <c r="N390" s="665">
        <v>20.0</v>
      </c>
      <c r="O390" s="666">
        <v>180.0</v>
      </c>
      <c r="P390" s="667">
        <v>20.0</v>
      </c>
      <c r="Q390" s="668">
        <v>150.0</v>
      </c>
      <c r="R390" s="671">
        <v>600.0</v>
      </c>
      <c r="S390" s="672">
        <v>50.0</v>
      </c>
      <c r="T390" s="664">
        <v>180.0</v>
      </c>
      <c r="U390" s="665">
        <v>20.0</v>
      </c>
      <c r="V390" s="666">
        <v>180.0</v>
      </c>
      <c r="W390" s="667">
        <v>20.0</v>
      </c>
      <c r="X390" s="668">
        <v>150.0</v>
      </c>
      <c r="Y390" s="671">
        <f t="shared" si="1"/>
        <v>600</v>
      </c>
      <c r="Z390" s="571"/>
      <c r="AA390" s="673" t="str">
        <f t="shared" si="2"/>
        <v>#NAME?</v>
      </c>
      <c r="AB390" s="871" t="s">
        <v>122</v>
      </c>
      <c r="AC390" s="675" t="str">
        <f t="shared" si="3"/>
        <v>#NAME?</v>
      </c>
      <c r="AD390" s="872" t="s">
        <v>4428</v>
      </c>
      <c r="AE390" s="676" t="str">
        <f t="shared" si="4"/>
        <v>#NAME?</v>
      </c>
      <c r="AF390" s="871" t="s">
        <v>122</v>
      </c>
      <c r="AG390" s="675" t="str">
        <f t="shared" si="5"/>
        <v>#NAME?</v>
      </c>
      <c r="AH390" s="586" t="s">
        <v>4428</v>
      </c>
      <c r="AI390" s="677" t="str">
        <f t="shared" si="6"/>
        <v>#NAME?</v>
      </c>
      <c r="AJ390" s="586" t="s">
        <v>122</v>
      </c>
      <c r="AK390" s="584" t="str">
        <f t="shared" si="7"/>
        <v>#NAME?</v>
      </c>
      <c r="AL390" s="678" t="s">
        <v>4428</v>
      </c>
      <c r="AM390" s="571"/>
      <c r="AN390" s="679" t="s">
        <v>1447</v>
      </c>
      <c r="AO390" s="680"/>
      <c r="AP390" s="705" t="s">
        <v>1447</v>
      </c>
      <c r="AQ390" s="680"/>
      <c r="AR390" s="705" t="s">
        <v>1447</v>
      </c>
      <c r="AS390" s="680"/>
      <c r="AT390" s="595"/>
      <c r="AU390" s="676"/>
      <c r="AV390" s="679"/>
      <c r="AW390" s="673"/>
      <c r="AX390" s="866"/>
      <c r="AY390" s="571"/>
      <c r="AZ390" s="695" t="s">
        <v>325</v>
      </c>
      <c r="BA390" s="691" t="s">
        <v>4</v>
      </c>
      <c r="BB390" s="691" t="s">
        <v>56</v>
      </c>
      <c r="BC390" s="571"/>
      <c r="BD390" s="651" t="s">
        <v>683</v>
      </c>
      <c r="BE390" s="653">
        <v>215.0</v>
      </c>
      <c r="BF390" s="653">
        <v>3.0</v>
      </c>
      <c r="BG390" s="653">
        <v>0.0</v>
      </c>
      <c r="BH390" s="653">
        <v>80.0</v>
      </c>
      <c r="BI390" s="607"/>
      <c r="BJ390" s="765" t="s">
        <v>890</v>
      </c>
      <c r="BK390" s="766"/>
      <c r="BL390" s="610"/>
      <c r="BM390" s="657" t="s">
        <v>411</v>
      </c>
      <c r="BN390" s="704"/>
      <c r="BO390" s="607"/>
      <c r="BP390" s="659" t="s">
        <v>914</v>
      </c>
      <c r="BQ390" s="614"/>
      <c r="BR390" s="660" t="s">
        <v>4429</v>
      </c>
      <c r="BS390" s="614"/>
    </row>
    <row r="391" ht="15.75" customHeight="1">
      <c r="A391" s="841"/>
      <c r="B391" s="617" t="s">
        <v>3572</v>
      </c>
      <c r="C391" s="618"/>
      <c r="D391" s="619"/>
      <c r="E391" s="629">
        <v>50.0</v>
      </c>
      <c r="F391" s="621">
        <v>70.0</v>
      </c>
      <c r="G391" s="622">
        <v>160.0</v>
      </c>
      <c r="H391" s="623">
        <v>70.0</v>
      </c>
      <c r="I391" s="624">
        <v>160.0</v>
      </c>
      <c r="J391" s="625">
        <v>90.0</v>
      </c>
      <c r="K391" s="626">
        <v>600.0</v>
      </c>
      <c r="L391" s="627">
        <v>50.0</v>
      </c>
      <c r="M391" s="621">
        <v>70.0</v>
      </c>
      <c r="N391" s="622">
        <v>160.0</v>
      </c>
      <c r="O391" s="623">
        <v>70.0</v>
      </c>
      <c r="P391" s="624">
        <v>160.0</v>
      </c>
      <c r="Q391" s="625">
        <v>90.0</v>
      </c>
      <c r="R391" s="628">
        <v>600.0</v>
      </c>
      <c r="S391" s="629">
        <v>50.0</v>
      </c>
      <c r="T391" s="621">
        <v>70.0</v>
      </c>
      <c r="U391" s="622">
        <v>160.0</v>
      </c>
      <c r="V391" s="623">
        <v>70.0</v>
      </c>
      <c r="W391" s="624">
        <v>160.0</v>
      </c>
      <c r="X391" s="625">
        <v>90.0</v>
      </c>
      <c r="Y391" s="628">
        <f t="shared" si="1"/>
        <v>600</v>
      </c>
      <c r="Z391" s="619"/>
      <c r="AA391" s="630" t="str">
        <f t="shared" si="2"/>
        <v>#NAME?</v>
      </c>
      <c r="AB391" s="869" t="s">
        <v>122</v>
      </c>
      <c r="AC391" s="632" t="str">
        <f t="shared" si="3"/>
        <v>#NAME?</v>
      </c>
      <c r="AD391" s="870" t="s">
        <v>4428</v>
      </c>
      <c r="AE391" s="633" t="str">
        <f t="shared" si="4"/>
        <v>#NAME?</v>
      </c>
      <c r="AF391" s="869" t="s">
        <v>122</v>
      </c>
      <c r="AG391" s="632" t="str">
        <f t="shared" si="5"/>
        <v>#NAME?</v>
      </c>
      <c r="AH391" s="634" t="s">
        <v>4428</v>
      </c>
      <c r="AI391" s="635" t="str">
        <f t="shared" si="6"/>
        <v>#NAME?</v>
      </c>
      <c r="AJ391" s="634" t="s">
        <v>122</v>
      </c>
      <c r="AK391" s="636" t="str">
        <f t="shared" si="7"/>
        <v>#NAME?</v>
      </c>
      <c r="AL391" s="637" t="s">
        <v>4428</v>
      </c>
      <c r="AM391" s="619"/>
      <c r="AN391" s="638" t="s">
        <v>1447</v>
      </c>
      <c r="AO391" s="639"/>
      <c r="AP391" s="712" t="s">
        <v>1447</v>
      </c>
      <c r="AQ391" s="639"/>
      <c r="AR391" s="712" t="s">
        <v>1447</v>
      </c>
      <c r="AS391" s="639"/>
      <c r="AT391" s="644"/>
      <c r="AU391" s="633"/>
      <c r="AV391" s="638"/>
      <c r="AW391" s="630"/>
      <c r="AX391" s="647"/>
      <c r="AY391" s="619"/>
      <c r="AZ391" s="648" t="s">
        <v>325</v>
      </c>
      <c r="BA391" s="649" t="s">
        <v>4</v>
      </c>
      <c r="BB391" s="649" t="s">
        <v>56</v>
      </c>
      <c r="BC391" s="619"/>
      <c r="BD391" s="651" t="s">
        <v>683</v>
      </c>
      <c r="BE391" s="653">
        <v>215.0</v>
      </c>
      <c r="BF391" s="653">
        <v>3.0</v>
      </c>
      <c r="BG391" s="653">
        <v>0.0</v>
      </c>
      <c r="BH391" s="653">
        <v>80.0</v>
      </c>
      <c r="BI391" s="607"/>
      <c r="BJ391" s="768" t="s">
        <v>890</v>
      </c>
      <c r="BK391" s="766"/>
      <c r="BL391" s="610"/>
      <c r="BM391" s="657" t="s">
        <v>411</v>
      </c>
      <c r="BN391" s="704"/>
      <c r="BO391" s="607"/>
      <c r="BP391" s="659" t="s">
        <v>914</v>
      </c>
      <c r="BQ391" s="614"/>
      <c r="BR391" s="660" t="s">
        <v>4429</v>
      </c>
      <c r="BS391" s="614"/>
    </row>
    <row r="392" ht="15.75" customHeight="1">
      <c r="A392" s="861"/>
      <c r="B392" s="788" t="s">
        <v>3580</v>
      </c>
      <c r="C392" s="789"/>
      <c r="D392" s="571"/>
      <c r="E392" s="672">
        <v>50.0</v>
      </c>
      <c r="F392" s="664">
        <v>95.0</v>
      </c>
      <c r="G392" s="665">
        <v>90.0</v>
      </c>
      <c r="H392" s="666">
        <v>95.0</v>
      </c>
      <c r="I392" s="667">
        <v>90.0</v>
      </c>
      <c r="J392" s="668">
        <v>180.0</v>
      </c>
      <c r="K392" s="669">
        <v>600.0</v>
      </c>
      <c r="L392" s="670">
        <v>50.0</v>
      </c>
      <c r="M392" s="664">
        <v>95.0</v>
      </c>
      <c r="N392" s="665">
        <v>90.0</v>
      </c>
      <c r="O392" s="666">
        <v>95.0</v>
      </c>
      <c r="P392" s="667">
        <v>90.0</v>
      </c>
      <c r="Q392" s="668">
        <v>180.0</v>
      </c>
      <c r="R392" s="671">
        <v>600.0</v>
      </c>
      <c r="S392" s="672">
        <v>50.0</v>
      </c>
      <c r="T392" s="664">
        <v>95.0</v>
      </c>
      <c r="U392" s="665">
        <v>90.0</v>
      </c>
      <c r="V392" s="666">
        <v>95.0</v>
      </c>
      <c r="W392" s="667">
        <v>90.0</v>
      </c>
      <c r="X392" s="668">
        <v>180.0</v>
      </c>
      <c r="Y392" s="671">
        <f t="shared" si="1"/>
        <v>600</v>
      </c>
      <c r="Z392" s="571"/>
      <c r="AA392" s="790" t="str">
        <f t="shared" si="2"/>
        <v>#NAME?</v>
      </c>
      <c r="AB392" s="885" t="s">
        <v>122</v>
      </c>
      <c r="AC392" s="792" t="str">
        <f t="shared" si="3"/>
        <v>#NAME?</v>
      </c>
      <c r="AD392" s="886" t="s">
        <v>4428</v>
      </c>
      <c r="AE392" s="794" t="str">
        <f t="shared" si="4"/>
        <v>#NAME?</v>
      </c>
      <c r="AF392" s="885" t="s">
        <v>122</v>
      </c>
      <c r="AG392" s="792" t="str">
        <f t="shared" si="5"/>
        <v>#NAME?</v>
      </c>
      <c r="AH392" s="795" t="s">
        <v>4428</v>
      </c>
      <c r="AI392" s="796" t="str">
        <f t="shared" si="6"/>
        <v>#NAME?</v>
      </c>
      <c r="AJ392" s="795" t="s">
        <v>122</v>
      </c>
      <c r="AK392" s="797" t="str">
        <f t="shared" si="7"/>
        <v>#NAME?</v>
      </c>
      <c r="AL392" s="798" t="s">
        <v>4428</v>
      </c>
      <c r="AM392" s="571"/>
      <c r="AN392" s="799" t="s">
        <v>1447</v>
      </c>
      <c r="AO392" s="793"/>
      <c r="AP392" s="800" t="s">
        <v>1447</v>
      </c>
      <c r="AQ392" s="793"/>
      <c r="AR392" s="800" t="s">
        <v>1447</v>
      </c>
      <c r="AS392" s="793"/>
      <c r="AT392" s="595"/>
      <c r="AU392" s="794"/>
      <c r="AV392" s="799"/>
      <c r="AW392" s="790"/>
      <c r="AX392" s="887"/>
      <c r="AY392" s="571"/>
      <c r="AZ392" s="695" t="s">
        <v>325</v>
      </c>
      <c r="BA392" s="691" t="s">
        <v>4</v>
      </c>
      <c r="BB392" s="691" t="s">
        <v>56</v>
      </c>
      <c r="BC392" s="571"/>
      <c r="BD392" s="805" t="s">
        <v>683</v>
      </c>
      <c r="BE392" s="806">
        <v>215.0</v>
      </c>
      <c r="BF392" s="806">
        <v>3.0</v>
      </c>
      <c r="BG392" s="806">
        <v>0.0</v>
      </c>
      <c r="BH392" s="806">
        <v>80.0</v>
      </c>
      <c r="BI392" s="607"/>
      <c r="BJ392" s="765" t="s">
        <v>890</v>
      </c>
      <c r="BK392" s="766"/>
      <c r="BL392" s="610"/>
      <c r="BM392" s="808" t="s">
        <v>411</v>
      </c>
      <c r="BN392" s="809"/>
      <c r="BO392" s="607"/>
      <c r="BP392" s="810" t="s">
        <v>914</v>
      </c>
      <c r="BQ392" s="614"/>
      <c r="BR392" s="811" t="s">
        <v>4429</v>
      </c>
      <c r="BS392" s="614"/>
    </row>
    <row r="393" ht="15.75" customHeight="1">
      <c r="A393" s="812" t="s">
        <v>4492</v>
      </c>
      <c r="B393" s="813" t="s">
        <v>3587</v>
      </c>
      <c r="C393" s="814"/>
      <c r="D393" s="619"/>
      <c r="E393" s="629">
        <v>55.0</v>
      </c>
      <c r="F393" s="621">
        <v>68.0</v>
      </c>
      <c r="G393" s="622">
        <v>64.0</v>
      </c>
      <c r="H393" s="748">
        <v>45.0</v>
      </c>
      <c r="I393" s="624">
        <v>55.0</v>
      </c>
      <c r="J393" s="625">
        <v>31.0</v>
      </c>
      <c r="K393" s="749">
        <v>318.0</v>
      </c>
      <c r="L393" s="627">
        <v>55.0</v>
      </c>
      <c r="M393" s="621">
        <v>68.0</v>
      </c>
      <c r="N393" s="622">
        <v>64.0</v>
      </c>
      <c r="O393" s="623">
        <v>45.0</v>
      </c>
      <c r="P393" s="624">
        <v>55.0</v>
      </c>
      <c r="Q393" s="625">
        <v>31.0</v>
      </c>
      <c r="R393" s="628">
        <v>318.0</v>
      </c>
      <c r="S393" s="629">
        <v>55.0</v>
      </c>
      <c r="T393" s="621">
        <v>68.0</v>
      </c>
      <c r="U393" s="622">
        <v>64.0</v>
      </c>
      <c r="V393" s="623">
        <v>45.0</v>
      </c>
      <c r="W393" s="624">
        <v>55.0</v>
      </c>
      <c r="X393" s="625">
        <v>31.0</v>
      </c>
      <c r="Y393" s="628">
        <f t="shared" si="1"/>
        <v>318</v>
      </c>
      <c r="Z393" s="619"/>
      <c r="AA393" s="815" t="str">
        <f t="shared" si="2"/>
        <v>#NAME?</v>
      </c>
      <c r="AB393" s="888" t="s">
        <v>6</v>
      </c>
      <c r="AC393" s="817" t="str">
        <f t="shared" si="3"/>
        <v>#NAME?</v>
      </c>
      <c r="AD393" s="820" t="s">
        <v>4428</v>
      </c>
      <c r="AE393" s="819" t="str">
        <f t="shared" si="4"/>
        <v>#NAME?</v>
      </c>
      <c r="AF393" s="888" t="s">
        <v>6</v>
      </c>
      <c r="AG393" s="817" t="str">
        <f t="shared" si="5"/>
        <v>#NAME?</v>
      </c>
      <c r="AH393" s="820" t="s">
        <v>4428</v>
      </c>
      <c r="AI393" s="821" t="str">
        <f t="shared" si="6"/>
        <v>#NAME?</v>
      </c>
      <c r="AJ393" s="820" t="s">
        <v>6</v>
      </c>
      <c r="AK393" s="817" t="str">
        <f t="shared" si="7"/>
        <v>#NAME?</v>
      </c>
      <c r="AL393" s="822" t="s">
        <v>4428</v>
      </c>
      <c r="AM393" s="619"/>
      <c r="AN393" s="823" t="s">
        <v>9</v>
      </c>
      <c r="AO393" s="818"/>
      <c r="AP393" s="824" t="s">
        <v>9</v>
      </c>
      <c r="AQ393" s="889" t="s">
        <v>3590</v>
      </c>
      <c r="AR393" s="824" t="s">
        <v>9</v>
      </c>
      <c r="AS393" s="889" t="s">
        <v>3590</v>
      </c>
      <c r="AT393" s="644"/>
      <c r="AU393" s="819"/>
      <c r="AV393" s="823"/>
      <c r="AW393" s="815"/>
      <c r="AX393" s="865"/>
      <c r="AY393" s="619"/>
      <c r="AZ393" s="648" t="s">
        <v>325</v>
      </c>
      <c r="BA393" s="694"/>
      <c r="BB393" s="690"/>
      <c r="BC393" s="619"/>
      <c r="BD393" s="832" t="s">
        <v>15</v>
      </c>
      <c r="BE393" s="833">
        <v>64.0</v>
      </c>
      <c r="BF393" s="833">
        <v>45.0</v>
      </c>
      <c r="BG393" s="834">
        <v>70.0</v>
      </c>
      <c r="BH393" s="833">
        <v>40.0</v>
      </c>
      <c r="BI393" s="607"/>
      <c r="BJ393" s="835" t="s">
        <v>13</v>
      </c>
      <c r="BK393" s="836">
        <v>0.125</v>
      </c>
      <c r="BL393" s="610"/>
      <c r="BM393" s="837" t="s">
        <v>14</v>
      </c>
      <c r="BN393" s="838" t="s">
        <v>6</v>
      </c>
      <c r="BO393" s="607"/>
      <c r="BP393" s="839" t="s">
        <v>3592</v>
      </c>
      <c r="BQ393" s="614"/>
      <c r="BR393" s="840" t="s">
        <v>4427</v>
      </c>
      <c r="BS393" s="614"/>
    </row>
    <row r="394" ht="15.75" customHeight="1">
      <c r="A394" s="841"/>
      <c r="B394" s="661" t="s">
        <v>3596</v>
      </c>
      <c r="C394" s="662"/>
      <c r="D394" s="571"/>
      <c r="E394" s="672">
        <v>75.0</v>
      </c>
      <c r="F394" s="664">
        <v>89.0</v>
      </c>
      <c r="G394" s="665">
        <v>85.0</v>
      </c>
      <c r="H394" s="666">
        <v>55.0</v>
      </c>
      <c r="I394" s="667">
        <v>65.0</v>
      </c>
      <c r="J394" s="668">
        <v>36.0</v>
      </c>
      <c r="K394" s="669">
        <v>405.0</v>
      </c>
      <c r="L394" s="670">
        <v>75.0</v>
      </c>
      <c r="M394" s="664">
        <v>89.0</v>
      </c>
      <c r="N394" s="665">
        <v>85.0</v>
      </c>
      <c r="O394" s="666">
        <v>55.0</v>
      </c>
      <c r="P394" s="667">
        <v>65.0</v>
      </c>
      <c r="Q394" s="668">
        <v>36.0</v>
      </c>
      <c r="R394" s="671">
        <v>405.0</v>
      </c>
      <c r="S394" s="672">
        <v>75.0</v>
      </c>
      <c r="T394" s="664">
        <v>89.0</v>
      </c>
      <c r="U394" s="665">
        <v>85.0</v>
      </c>
      <c r="V394" s="666">
        <v>55.0</v>
      </c>
      <c r="W394" s="667">
        <v>65.0</v>
      </c>
      <c r="X394" s="668">
        <v>36.0</v>
      </c>
      <c r="Y394" s="671">
        <f t="shared" si="1"/>
        <v>405</v>
      </c>
      <c r="Z394" s="571"/>
      <c r="AA394" s="673" t="str">
        <f t="shared" si="2"/>
        <v>#NAME?</v>
      </c>
      <c r="AB394" s="871" t="s">
        <v>6</v>
      </c>
      <c r="AC394" s="675" t="str">
        <f t="shared" si="3"/>
        <v>#NAME?</v>
      </c>
      <c r="AD394" s="872" t="s">
        <v>4428</v>
      </c>
      <c r="AE394" s="676" t="str">
        <f t="shared" si="4"/>
        <v>#NAME?</v>
      </c>
      <c r="AF394" s="871" t="s">
        <v>6</v>
      </c>
      <c r="AG394" s="675" t="str">
        <f t="shared" si="5"/>
        <v>#NAME?</v>
      </c>
      <c r="AH394" s="586" t="s">
        <v>4428</v>
      </c>
      <c r="AI394" s="677" t="str">
        <f t="shared" si="6"/>
        <v>#NAME?</v>
      </c>
      <c r="AJ394" s="586" t="s">
        <v>6</v>
      </c>
      <c r="AK394" s="584" t="str">
        <f t="shared" si="7"/>
        <v>#NAME?</v>
      </c>
      <c r="AL394" s="678" t="s">
        <v>4428</v>
      </c>
      <c r="AM394" s="571"/>
      <c r="AN394" s="679" t="s">
        <v>9</v>
      </c>
      <c r="AO394" s="680"/>
      <c r="AP394" s="705" t="s">
        <v>9</v>
      </c>
      <c r="AQ394" s="707" t="s">
        <v>3590</v>
      </c>
      <c r="AR394" s="705" t="s">
        <v>9</v>
      </c>
      <c r="AS394" s="707" t="s">
        <v>3590</v>
      </c>
      <c r="AT394" s="595"/>
      <c r="AU394" s="676"/>
      <c r="AV394" s="679"/>
      <c r="AW394" s="673"/>
      <c r="AX394" s="866"/>
      <c r="AY394" s="571"/>
      <c r="AZ394" s="695" t="s">
        <v>325</v>
      </c>
      <c r="BA394" s="691" t="s">
        <v>101</v>
      </c>
      <c r="BB394" s="696"/>
      <c r="BC394" s="571"/>
      <c r="BD394" s="651" t="s">
        <v>15</v>
      </c>
      <c r="BE394" s="653">
        <v>141.0</v>
      </c>
      <c r="BF394" s="653">
        <v>45.0</v>
      </c>
      <c r="BG394" s="654">
        <v>70.0</v>
      </c>
      <c r="BH394" s="653">
        <v>80.0</v>
      </c>
      <c r="BI394" s="607"/>
      <c r="BJ394" s="655" t="s">
        <v>13</v>
      </c>
      <c r="BK394" s="656">
        <v>0.125</v>
      </c>
      <c r="BL394" s="610"/>
      <c r="BM394" s="657" t="s">
        <v>14</v>
      </c>
      <c r="BN394" s="658" t="s">
        <v>6</v>
      </c>
      <c r="BO394" s="607"/>
      <c r="BP394" s="659" t="s">
        <v>3599</v>
      </c>
      <c r="BQ394" s="614"/>
      <c r="BR394" s="660" t="s">
        <v>4427</v>
      </c>
      <c r="BS394" s="614"/>
    </row>
    <row r="395" ht="15.75" customHeight="1">
      <c r="A395" s="841"/>
      <c r="B395" s="617" t="s">
        <v>3603</v>
      </c>
      <c r="C395" s="618"/>
      <c r="D395" s="619"/>
      <c r="E395" s="629">
        <v>95.0</v>
      </c>
      <c r="F395" s="621">
        <v>109.0</v>
      </c>
      <c r="G395" s="622">
        <v>105.0</v>
      </c>
      <c r="H395" s="623">
        <v>75.0</v>
      </c>
      <c r="I395" s="624">
        <v>85.0</v>
      </c>
      <c r="J395" s="625">
        <v>56.0</v>
      </c>
      <c r="K395" s="626">
        <v>525.0</v>
      </c>
      <c r="L395" s="627">
        <v>95.0</v>
      </c>
      <c r="M395" s="621">
        <v>109.0</v>
      </c>
      <c r="N395" s="622">
        <v>105.0</v>
      </c>
      <c r="O395" s="623">
        <v>75.0</v>
      </c>
      <c r="P395" s="624">
        <v>85.0</v>
      </c>
      <c r="Q395" s="625">
        <v>56.0</v>
      </c>
      <c r="R395" s="628">
        <v>525.0</v>
      </c>
      <c r="S395" s="629">
        <v>95.0</v>
      </c>
      <c r="T395" s="750">
        <v>114.0</v>
      </c>
      <c r="U395" s="751">
        <v>110.0</v>
      </c>
      <c r="V395" s="623">
        <v>75.0</v>
      </c>
      <c r="W395" s="624">
        <v>85.0</v>
      </c>
      <c r="X395" s="625">
        <v>56.0</v>
      </c>
      <c r="Y395" s="628">
        <f t="shared" si="1"/>
        <v>535</v>
      </c>
      <c r="Z395" s="619"/>
      <c r="AA395" s="630" t="str">
        <f t="shared" si="2"/>
        <v>#NAME?</v>
      </c>
      <c r="AB395" s="869" t="s">
        <v>6</v>
      </c>
      <c r="AC395" s="632" t="str">
        <f t="shared" si="3"/>
        <v>#NAME?</v>
      </c>
      <c r="AD395" s="870" t="s">
        <v>79</v>
      </c>
      <c r="AE395" s="633" t="str">
        <f t="shared" si="4"/>
        <v>#NAME?</v>
      </c>
      <c r="AF395" s="869" t="s">
        <v>6</v>
      </c>
      <c r="AG395" s="632" t="str">
        <f t="shared" si="5"/>
        <v>#NAME?</v>
      </c>
      <c r="AH395" s="634" t="s">
        <v>79</v>
      </c>
      <c r="AI395" s="635" t="str">
        <f t="shared" si="6"/>
        <v>#NAME?</v>
      </c>
      <c r="AJ395" s="634" t="s">
        <v>6</v>
      </c>
      <c r="AK395" s="636" t="str">
        <f t="shared" si="7"/>
        <v>#NAME?</v>
      </c>
      <c r="AL395" s="637" t="s">
        <v>79</v>
      </c>
      <c r="AM395" s="619"/>
      <c r="AN395" s="638" t="s">
        <v>9</v>
      </c>
      <c r="AO395" s="639"/>
      <c r="AP395" s="712" t="s">
        <v>9</v>
      </c>
      <c r="AQ395" s="714" t="s">
        <v>3590</v>
      </c>
      <c r="AR395" s="712" t="s">
        <v>9</v>
      </c>
      <c r="AS395" s="714" t="s">
        <v>3590</v>
      </c>
      <c r="AT395" s="644"/>
      <c r="AU395" s="633"/>
      <c r="AV395" s="638"/>
      <c r="AW395" s="630"/>
      <c r="AX395" s="647"/>
      <c r="AY395" s="619"/>
      <c r="AZ395" s="698" t="s">
        <v>216</v>
      </c>
      <c r="BA395" s="690"/>
      <c r="BB395" s="649" t="s">
        <v>101</v>
      </c>
      <c r="BC395" s="619"/>
      <c r="BD395" s="651" t="s">
        <v>15</v>
      </c>
      <c r="BE395" s="653">
        <v>208.0</v>
      </c>
      <c r="BF395" s="653">
        <v>45.0</v>
      </c>
      <c r="BG395" s="654">
        <v>70.0</v>
      </c>
      <c r="BH395" s="653">
        <v>120.0</v>
      </c>
      <c r="BI395" s="607"/>
      <c r="BJ395" s="655" t="s">
        <v>13</v>
      </c>
      <c r="BK395" s="656">
        <v>0.125</v>
      </c>
      <c r="BL395" s="610"/>
      <c r="BM395" s="657" t="s">
        <v>14</v>
      </c>
      <c r="BN395" s="658" t="s">
        <v>6</v>
      </c>
      <c r="BO395" s="607"/>
      <c r="BP395" s="659" t="s">
        <v>3609</v>
      </c>
      <c r="BQ395" s="614"/>
      <c r="BR395" s="660" t="s">
        <v>4427</v>
      </c>
      <c r="BS395" s="614"/>
    </row>
    <row r="396" ht="15.75" customHeight="1">
      <c r="A396" s="841"/>
      <c r="B396" s="661" t="s">
        <v>3613</v>
      </c>
      <c r="C396" s="662"/>
      <c r="D396" s="571"/>
      <c r="E396" s="672">
        <v>44.0</v>
      </c>
      <c r="F396" s="664">
        <v>58.0</v>
      </c>
      <c r="G396" s="665">
        <v>44.0</v>
      </c>
      <c r="H396" s="666">
        <v>58.0</v>
      </c>
      <c r="I396" s="667">
        <v>44.0</v>
      </c>
      <c r="J396" s="668">
        <v>61.0</v>
      </c>
      <c r="K396" s="669">
        <v>309.0</v>
      </c>
      <c r="L396" s="670">
        <v>44.0</v>
      </c>
      <c r="M396" s="664">
        <v>58.0</v>
      </c>
      <c r="N396" s="665">
        <v>44.0</v>
      </c>
      <c r="O396" s="666">
        <v>58.0</v>
      </c>
      <c r="P396" s="667">
        <v>44.0</v>
      </c>
      <c r="Q396" s="668">
        <v>61.0</v>
      </c>
      <c r="R396" s="671">
        <v>309.0</v>
      </c>
      <c r="S396" s="672">
        <v>44.0</v>
      </c>
      <c r="T396" s="664">
        <v>58.0</v>
      </c>
      <c r="U396" s="665">
        <v>44.0</v>
      </c>
      <c r="V396" s="666">
        <v>58.0</v>
      </c>
      <c r="W396" s="667">
        <v>44.0</v>
      </c>
      <c r="X396" s="668">
        <v>61.0</v>
      </c>
      <c r="Y396" s="671">
        <f t="shared" si="1"/>
        <v>309</v>
      </c>
      <c r="Z396" s="571"/>
      <c r="AA396" s="673" t="str">
        <f t="shared" si="2"/>
        <v>#NAME?</v>
      </c>
      <c r="AB396" s="871" t="s">
        <v>34</v>
      </c>
      <c r="AC396" s="675" t="str">
        <f t="shared" si="3"/>
        <v>#NAME?</v>
      </c>
      <c r="AD396" s="872" t="s">
        <v>4428</v>
      </c>
      <c r="AE396" s="676" t="str">
        <f t="shared" si="4"/>
        <v>#NAME?</v>
      </c>
      <c r="AF396" s="871" t="s">
        <v>34</v>
      </c>
      <c r="AG396" s="675" t="str">
        <f t="shared" si="5"/>
        <v>#NAME?</v>
      </c>
      <c r="AH396" s="586" t="s">
        <v>4428</v>
      </c>
      <c r="AI396" s="677" t="str">
        <f t="shared" si="6"/>
        <v>#NAME?</v>
      </c>
      <c r="AJ396" s="586" t="s">
        <v>34</v>
      </c>
      <c r="AK396" s="584" t="str">
        <f t="shared" si="7"/>
        <v>#NAME?</v>
      </c>
      <c r="AL396" s="678" t="s">
        <v>4428</v>
      </c>
      <c r="AM396" s="571"/>
      <c r="AN396" s="679" t="s">
        <v>57</v>
      </c>
      <c r="AO396" s="680"/>
      <c r="AP396" s="734" t="s">
        <v>1652</v>
      </c>
      <c r="AQ396" s="682" t="s">
        <v>57</v>
      </c>
      <c r="AR396" s="736" t="s">
        <v>1652</v>
      </c>
      <c r="AS396" s="684" t="s">
        <v>57</v>
      </c>
      <c r="AT396" s="595"/>
      <c r="AU396" s="676"/>
      <c r="AV396" s="679"/>
      <c r="AW396" s="673"/>
      <c r="AX396" s="866"/>
      <c r="AY396" s="571"/>
      <c r="AZ396" s="695" t="s">
        <v>56</v>
      </c>
      <c r="BA396" s="700"/>
      <c r="BB396" s="690"/>
      <c r="BC396" s="571"/>
      <c r="BD396" s="651" t="s">
        <v>15</v>
      </c>
      <c r="BE396" s="653">
        <v>65.0</v>
      </c>
      <c r="BF396" s="653">
        <v>45.0</v>
      </c>
      <c r="BG396" s="654">
        <v>70.0</v>
      </c>
      <c r="BH396" s="653">
        <v>20.0</v>
      </c>
      <c r="BI396" s="607"/>
      <c r="BJ396" s="655" t="s">
        <v>13</v>
      </c>
      <c r="BK396" s="656">
        <v>0.125</v>
      </c>
      <c r="BL396" s="610"/>
      <c r="BM396" s="657" t="s">
        <v>277</v>
      </c>
      <c r="BN396" s="658" t="s">
        <v>728</v>
      </c>
      <c r="BO396" s="607"/>
      <c r="BP396" s="659" t="s">
        <v>3617</v>
      </c>
      <c r="BQ396" s="614"/>
      <c r="BR396" s="660" t="s">
        <v>4432</v>
      </c>
      <c r="BS396" s="614"/>
    </row>
    <row r="397" ht="15.75" customHeight="1">
      <c r="A397" s="841"/>
      <c r="B397" s="617" t="s">
        <v>3620</v>
      </c>
      <c r="C397" s="618"/>
      <c r="D397" s="619"/>
      <c r="E397" s="629">
        <v>64.0</v>
      </c>
      <c r="F397" s="621">
        <v>78.0</v>
      </c>
      <c r="G397" s="622">
        <v>52.0</v>
      </c>
      <c r="H397" s="623">
        <v>78.0</v>
      </c>
      <c r="I397" s="624">
        <v>52.0</v>
      </c>
      <c r="J397" s="625">
        <v>81.0</v>
      </c>
      <c r="K397" s="626">
        <v>405.0</v>
      </c>
      <c r="L397" s="627">
        <v>64.0</v>
      </c>
      <c r="M397" s="621">
        <v>78.0</v>
      </c>
      <c r="N397" s="622">
        <v>52.0</v>
      </c>
      <c r="O397" s="623">
        <v>78.0</v>
      </c>
      <c r="P397" s="624">
        <v>52.0</v>
      </c>
      <c r="Q397" s="625">
        <v>81.0</v>
      </c>
      <c r="R397" s="628">
        <v>405.0</v>
      </c>
      <c r="S397" s="629">
        <v>64.0</v>
      </c>
      <c r="T397" s="621">
        <v>78.0</v>
      </c>
      <c r="U397" s="622">
        <v>52.0</v>
      </c>
      <c r="V397" s="623">
        <v>78.0</v>
      </c>
      <c r="W397" s="624">
        <v>52.0</v>
      </c>
      <c r="X397" s="625">
        <v>81.0</v>
      </c>
      <c r="Y397" s="628">
        <f t="shared" si="1"/>
        <v>405</v>
      </c>
      <c r="Z397" s="619"/>
      <c r="AA397" s="630" t="str">
        <f t="shared" si="2"/>
        <v>#NAME?</v>
      </c>
      <c r="AB397" s="869" t="s">
        <v>34</v>
      </c>
      <c r="AC397" s="632" t="str">
        <f t="shared" si="3"/>
        <v>#NAME?</v>
      </c>
      <c r="AD397" s="870" t="s">
        <v>64</v>
      </c>
      <c r="AE397" s="633" t="str">
        <f t="shared" si="4"/>
        <v>#NAME?</v>
      </c>
      <c r="AF397" s="869" t="s">
        <v>34</v>
      </c>
      <c r="AG397" s="632" t="str">
        <f t="shared" si="5"/>
        <v>#NAME?</v>
      </c>
      <c r="AH397" s="634" t="s">
        <v>64</v>
      </c>
      <c r="AI397" s="635" t="str">
        <f t="shared" si="6"/>
        <v>#NAME?</v>
      </c>
      <c r="AJ397" s="634" t="s">
        <v>34</v>
      </c>
      <c r="AK397" s="636" t="str">
        <f t="shared" si="7"/>
        <v>#NAME?</v>
      </c>
      <c r="AL397" s="637" t="s">
        <v>64</v>
      </c>
      <c r="AM397" s="619"/>
      <c r="AN397" s="638" t="s">
        <v>57</v>
      </c>
      <c r="AO397" s="639"/>
      <c r="AP397" s="640" t="s">
        <v>1652</v>
      </c>
      <c r="AQ397" s="641" t="s">
        <v>57</v>
      </c>
      <c r="AR397" s="642" t="s">
        <v>1652</v>
      </c>
      <c r="AS397" s="643" t="s">
        <v>57</v>
      </c>
      <c r="AT397" s="644"/>
      <c r="AU397" s="633"/>
      <c r="AV397" s="638"/>
      <c r="AW397" s="630"/>
      <c r="AX397" s="647"/>
      <c r="AY397" s="619"/>
      <c r="AZ397" s="648" t="s">
        <v>56</v>
      </c>
      <c r="BA397" s="649" t="s">
        <v>4</v>
      </c>
      <c r="BB397" s="650"/>
      <c r="BC397" s="619"/>
      <c r="BD397" s="651" t="s">
        <v>15</v>
      </c>
      <c r="BE397" s="653">
        <v>142.0</v>
      </c>
      <c r="BF397" s="653">
        <v>45.0</v>
      </c>
      <c r="BG397" s="654">
        <v>70.0</v>
      </c>
      <c r="BH397" s="653">
        <v>40.0</v>
      </c>
      <c r="BI397" s="607"/>
      <c r="BJ397" s="655" t="s">
        <v>13</v>
      </c>
      <c r="BK397" s="656">
        <v>0.125</v>
      </c>
      <c r="BL397" s="610"/>
      <c r="BM397" s="657" t="s">
        <v>277</v>
      </c>
      <c r="BN397" s="658" t="s">
        <v>728</v>
      </c>
      <c r="BO397" s="607"/>
      <c r="BP397" s="659" t="s">
        <v>3624</v>
      </c>
      <c r="BQ397" s="614"/>
      <c r="BR397" s="660" t="s">
        <v>4432</v>
      </c>
      <c r="BS397" s="614"/>
    </row>
    <row r="398" ht="15.75" customHeight="1">
      <c r="A398" s="841"/>
      <c r="B398" s="661" t="s">
        <v>3628</v>
      </c>
      <c r="C398" s="662"/>
      <c r="D398" s="571"/>
      <c r="E398" s="672">
        <v>76.0</v>
      </c>
      <c r="F398" s="664">
        <v>104.0</v>
      </c>
      <c r="G398" s="665">
        <v>71.0</v>
      </c>
      <c r="H398" s="666">
        <v>104.0</v>
      </c>
      <c r="I398" s="667">
        <v>71.0</v>
      </c>
      <c r="J398" s="668">
        <v>108.0</v>
      </c>
      <c r="K398" s="669">
        <v>534.0</v>
      </c>
      <c r="L398" s="670">
        <v>76.0</v>
      </c>
      <c r="M398" s="664">
        <v>104.0</v>
      </c>
      <c r="N398" s="665">
        <v>71.0</v>
      </c>
      <c r="O398" s="666">
        <v>104.0</v>
      </c>
      <c r="P398" s="667">
        <v>71.0</v>
      </c>
      <c r="Q398" s="668">
        <v>108.0</v>
      </c>
      <c r="R398" s="671">
        <v>534.0</v>
      </c>
      <c r="S398" s="672">
        <v>76.0</v>
      </c>
      <c r="T398" s="664">
        <v>104.0</v>
      </c>
      <c r="U398" s="665">
        <v>71.0</v>
      </c>
      <c r="V398" s="666">
        <v>104.0</v>
      </c>
      <c r="W398" s="667">
        <v>71.0</v>
      </c>
      <c r="X398" s="745">
        <v>109.0</v>
      </c>
      <c r="Y398" s="671">
        <f t="shared" si="1"/>
        <v>535</v>
      </c>
      <c r="Z398" s="571"/>
      <c r="AA398" s="673" t="str">
        <f t="shared" si="2"/>
        <v>#NAME?</v>
      </c>
      <c r="AB398" s="871" t="s">
        <v>34</v>
      </c>
      <c r="AC398" s="675" t="str">
        <f t="shared" si="3"/>
        <v>#NAME?</v>
      </c>
      <c r="AD398" s="872" t="s">
        <v>64</v>
      </c>
      <c r="AE398" s="676" t="str">
        <f t="shared" si="4"/>
        <v>#NAME?</v>
      </c>
      <c r="AF398" s="871" t="s">
        <v>34</v>
      </c>
      <c r="AG398" s="675" t="str">
        <f t="shared" si="5"/>
        <v>#NAME?</v>
      </c>
      <c r="AH398" s="586" t="s">
        <v>64</v>
      </c>
      <c r="AI398" s="677" t="str">
        <f t="shared" si="6"/>
        <v>#NAME?</v>
      </c>
      <c r="AJ398" s="586" t="s">
        <v>34</v>
      </c>
      <c r="AK398" s="584" t="str">
        <f t="shared" si="7"/>
        <v>#NAME?</v>
      </c>
      <c r="AL398" s="678" t="s">
        <v>64</v>
      </c>
      <c r="AM398" s="571"/>
      <c r="AN398" s="679" t="s">
        <v>57</v>
      </c>
      <c r="AO398" s="680"/>
      <c r="AP398" s="710" t="s">
        <v>1652</v>
      </c>
      <c r="AQ398" s="716" t="s">
        <v>57</v>
      </c>
      <c r="AR398" s="711" t="s">
        <v>1652</v>
      </c>
      <c r="AS398" s="684" t="s">
        <v>57</v>
      </c>
      <c r="AT398" s="595"/>
      <c r="AU398" s="676"/>
      <c r="AV398" s="679"/>
      <c r="AW398" s="673"/>
      <c r="AX398" s="866"/>
      <c r="AY398" s="571"/>
      <c r="AZ398" s="695" t="s">
        <v>325</v>
      </c>
      <c r="BA398" s="691" t="s">
        <v>4</v>
      </c>
      <c r="BB398" s="691" t="s">
        <v>56</v>
      </c>
      <c r="BC398" s="571"/>
      <c r="BD398" s="651" t="s">
        <v>15</v>
      </c>
      <c r="BE398" s="653">
        <v>209.0</v>
      </c>
      <c r="BF398" s="653">
        <v>45.0</v>
      </c>
      <c r="BG398" s="654">
        <v>70.0</v>
      </c>
      <c r="BH398" s="653">
        <v>80.0</v>
      </c>
      <c r="BI398" s="607"/>
      <c r="BJ398" s="655" t="s">
        <v>13</v>
      </c>
      <c r="BK398" s="656">
        <v>0.125</v>
      </c>
      <c r="BL398" s="610"/>
      <c r="BM398" s="657" t="s">
        <v>277</v>
      </c>
      <c r="BN398" s="658" t="s">
        <v>728</v>
      </c>
      <c r="BO398" s="607"/>
      <c r="BP398" s="659" t="s">
        <v>3631</v>
      </c>
      <c r="BQ398" s="614"/>
      <c r="BR398" s="660" t="s">
        <v>4432</v>
      </c>
      <c r="BS398" s="614"/>
    </row>
    <row r="399" ht="15.75" customHeight="1">
      <c r="A399" s="841"/>
      <c r="B399" s="617" t="s">
        <v>3635</v>
      </c>
      <c r="C399" s="618"/>
      <c r="D399" s="619"/>
      <c r="E399" s="629">
        <v>53.0</v>
      </c>
      <c r="F399" s="621">
        <v>51.0</v>
      </c>
      <c r="G399" s="622">
        <v>53.0</v>
      </c>
      <c r="H399" s="623">
        <v>61.0</v>
      </c>
      <c r="I399" s="624">
        <v>56.0</v>
      </c>
      <c r="J399" s="625">
        <v>40.0</v>
      </c>
      <c r="K399" s="626">
        <v>314.0</v>
      </c>
      <c r="L399" s="627">
        <v>53.0</v>
      </c>
      <c r="M399" s="621">
        <v>51.0</v>
      </c>
      <c r="N399" s="622">
        <v>53.0</v>
      </c>
      <c r="O399" s="623">
        <v>61.0</v>
      </c>
      <c r="P399" s="624">
        <v>56.0</v>
      </c>
      <c r="Q399" s="625">
        <v>40.0</v>
      </c>
      <c r="R399" s="628">
        <v>314.0</v>
      </c>
      <c r="S399" s="629">
        <v>53.0</v>
      </c>
      <c r="T399" s="621">
        <v>51.0</v>
      </c>
      <c r="U399" s="622">
        <v>53.0</v>
      </c>
      <c r="V399" s="623">
        <v>61.0</v>
      </c>
      <c r="W399" s="624">
        <v>56.0</v>
      </c>
      <c r="X399" s="625">
        <v>40.0</v>
      </c>
      <c r="Y399" s="628">
        <f t="shared" si="1"/>
        <v>314</v>
      </c>
      <c r="Z399" s="619"/>
      <c r="AA399" s="630" t="str">
        <f t="shared" si="2"/>
        <v>#NAME?</v>
      </c>
      <c r="AB399" s="869" t="s">
        <v>32</v>
      </c>
      <c r="AC399" s="632" t="str">
        <f t="shared" si="3"/>
        <v>#NAME?</v>
      </c>
      <c r="AD399" s="870" t="s">
        <v>4428</v>
      </c>
      <c r="AE399" s="633" t="str">
        <f t="shared" si="4"/>
        <v>#NAME?</v>
      </c>
      <c r="AF399" s="869" t="s">
        <v>32</v>
      </c>
      <c r="AG399" s="632" t="str">
        <f t="shared" si="5"/>
        <v>#NAME?</v>
      </c>
      <c r="AH399" s="634" t="s">
        <v>4428</v>
      </c>
      <c r="AI399" s="635" t="str">
        <f t="shared" si="6"/>
        <v>#NAME?</v>
      </c>
      <c r="AJ399" s="634" t="s">
        <v>32</v>
      </c>
      <c r="AK399" s="636" t="str">
        <f t="shared" si="7"/>
        <v>#NAME?</v>
      </c>
      <c r="AL399" s="637" t="s">
        <v>4428</v>
      </c>
      <c r="AM399" s="619"/>
      <c r="AN399" s="638" t="s">
        <v>102</v>
      </c>
      <c r="AO399" s="639"/>
      <c r="AP399" s="712" t="s">
        <v>102</v>
      </c>
      <c r="AQ399" s="639"/>
      <c r="AR399" s="712" t="s">
        <v>102</v>
      </c>
      <c r="AS399" s="714" t="s">
        <v>1306</v>
      </c>
      <c r="AT399" s="644"/>
      <c r="AU399" s="633"/>
      <c r="AV399" s="638"/>
      <c r="AW399" s="630"/>
      <c r="AX399" s="647"/>
      <c r="AY399" s="619"/>
      <c r="AZ399" s="648" t="s">
        <v>4</v>
      </c>
      <c r="BA399" s="694"/>
      <c r="BB399" s="690"/>
      <c r="BC399" s="619"/>
      <c r="BD399" s="651" t="s">
        <v>15</v>
      </c>
      <c r="BE399" s="653">
        <v>66.0</v>
      </c>
      <c r="BF399" s="653">
        <v>45.0</v>
      </c>
      <c r="BG399" s="654">
        <v>70.0</v>
      </c>
      <c r="BH399" s="653">
        <v>20.0</v>
      </c>
      <c r="BI399" s="607"/>
      <c r="BJ399" s="655" t="s">
        <v>13</v>
      </c>
      <c r="BK399" s="656">
        <v>0.125</v>
      </c>
      <c r="BL399" s="610"/>
      <c r="BM399" s="657" t="s">
        <v>106</v>
      </c>
      <c r="BN399" s="658" t="s">
        <v>277</v>
      </c>
      <c r="BO399" s="607"/>
      <c r="BP399" s="659" t="s">
        <v>3639</v>
      </c>
      <c r="BQ399" s="614"/>
      <c r="BR399" s="660" t="s">
        <v>4430</v>
      </c>
      <c r="BS399" s="614"/>
    </row>
    <row r="400" ht="15.75" customHeight="1">
      <c r="A400" s="841"/>
      <c r="B400" s="661" t="s">
        <v>3642</v>
      </c>
      <c r="C400" s="662"/>
      <c r="D400" s="571"/>
      <c r="E400" s="672">
        <v>64.0</v>
      </c>
      <c r="F400" s="664">
        <v>66.0</v>
      </c>
      <c r="G400" s="665">
        <v>68.0</v>
      </c>
      <c r="H400" s="666">
        <v>81.0</v>
      </c>
      <c r="I400" s="667">
        <v>76.0</v>
      </c>
      <c r="J400" s="668">
        <v>50.0</v>
      </c>
      <c r="K400" s="669">
        <v>405.0</v>
      </c>
      <c r="L400" s="670">
        <v>64.0</v>
      </c>
      <c r="M400" s="664">
        <v>66.0</v>
      </c>
      <c r="N400" s="665">
        <v>68.0</v>
      </c>
      <c r="O400" s="666">
        <v>81.0</v>
      </c>
      <c r="P400" s="667">
        <v>76.0</v>
      </c>
      <c r="Q400" s="668">
        <v>50.0</v>
      </c>
      <c r="R400" s="671">
        <v>405.0</v>
      </c>
      <c r="S400" s="672">
        <v>64.0</v>
      </c>
      <c r="T400" s="664">
        <v>66.0</v>
      </c>
      <c r="U400" s="665">
        <v>68.0</v>
      </c>
      <c r="V400" s="666">
        <v>81.0</v>
      </c>
      <c r="W400" s="667">
        <v>76.0</v>
      </c>
      <c r="X400" s="668">
        <v>50.0</v>
      </c>
      <c r="Y400" s="671">
        <f t="shared" si="1"/>
        <v>405</v>
      </c>
      <c r="Z400" s="571"/>
      <c r="AA400" s="673" t="str">
        <f t="shared" si="2"/>
        <v>#NAME?</v>
      </c>
      <c r="AB400" s="871" t="s">
        <v>32</v>
      </c>
      <c r="AC400" s="675" t="str">
        <f t="shared" si="3"/>
        <v>#NAME?</v>
      </c>
      <c r="AD400" s="872" t="s">
        <v>4428</v>
      </c>
      <c r="AE400" s="676" t="str">
        <f t="shared" si="4"/>
        <v>#NAME?</v>
      </c>
      <c r="AF400" s="871" t="s">
        <v>32</v>
      </c>
      <c r="AG400" s="675" t="str">
        <f t="shared" si="5"/>
        <v>#NAME?</v>
      </c>
      <c r="AH400" s="586" t="s">
        <v>4428</v>
      </c>
      <c r="AI400" s="677" t="str">
        <f t="shared" si="6"/>
        <v>#NAME?</v>
      </c>
      <c r="AJ400" s="586" t="s">
        <v>32</v>
      </c>
      <c r="AK400" s="584" t="str">
        <f t="shared" si="7"/>
        <v>#NAME?</v>
      </c>
      <c r="AL400" s="678" t="s">
        <v>4428</v>
      </c>
      <c r="AM400" s="571"/>
      <c r="AN400" s="679" t="s">
        <v>102</v>
      </c>
      <c r="AO400" s="680"/>
      <c r="AP400" s="705" t="s">
        <v>102</v>
      </c>
      <c r="AQ400" s="680"/>
      <c r="AR400" s="705" t="s">
        <v>102</v>
      </c>
      <c r="AS400" s="707" t="s">
        <v>1306</v>
      </c>
      <c r="AT400" s="595"/>
      <c r="AU400" s="676"/>
      <c r="AV400" s="679"/>
      <c r="AW400" s="673"/>
      <c r="AX400" s="866"/>
      <c r="AY400" s="571"/>
      <c r="AZ400" s="689" t="s">
        <v>42</v>
      </c>
      <c r="BA400" s="690"/>
      <c r="BB400" s="696"/>
      <c r="BC400" s="571"/>
      <c r="BD400" s="651" t="s">
        <v>15</v>
      </c>
      <c r="BE400" s="653">
        <v>143.0</v>
      </c>
      <c r="BF400" s="653">
        <v>45.0</v>
      </c>
      <c r="BG400" s="654">
        <v>70.0</v>
      </c>
      <c r="BH400" s="653">
        <v>40.0</v>
      </c>
      <c r="BI400" s="607"/>
      <c r="BJ400" s="655" t="s">
        <v>13</v>
      </c>
      <c r="BK400" s="656">
        <v>0.125</v>
      </c>
      <c r="BL400" s="610"/>
      <c r="BM400" s="657" t="s">
        <v>106</v>
      </c>
      <c r="BN400" s="658" t="s">
        <v>277</v>
      </c>
      <c r="BO400" s="607"/>
      <c r="BP400" s="659" t="s">
        <v>3646</v>
      </c>
      <c r="BQ400" s="614"/>
      <c r="BR400" s="660" t="s">
        <v>4430</v>
      </c>
      <c r="BS400" s="614"/>
    </row>
    <row r="401" ht="15.75" customHeight="1">
      <c r="A401" s="841"/>
      <c r="B401" s="617" t="s">
        <v>3649</v>
      </c>
      <c r="C401" s="618"/>
      <c r="D401" s="619"/>
      <c r="E401" s="629">
        <v>84.0</v>
      </c>
      <c r="F401" s="621">
        <v>86.0</v>
      </c>
      <c r="G401" s="622">
        <v>88.0</v>
      </c>
      <c r="H401" s="623">
        <v>111.0</v>
      </c>
      <c r="I401" s="624">
        <v>101.0</v>
      </c>
      <c r="J401" s="625">
        <v>60.0</v>
      </c>
      <c r="K401" s="626">
        <v>530.0</v>
      </c>
      <c r="L401" s="627">
        <v>84.0</v>
      </c>
      <c r="M401" s="621">
        <v>86.0</v>
      </c>
      <c r="N401" s="622">
        <v>88.0</v>
      </c>
      <c r="O401" s="623">
        <v>111.0</v>
      </c>
      <c r="P401" s="624">
        <v>101.0</v>
      </c>
      <c r="Q401" s="625">
        <v>60.0</v>
      </c>
      <c r="R401" s="628">
        <v>530.0</v>
      </c>
      <c r="S401" s="629">
        <v>84.0</v>
      </c>
      <c r="T401" s="621">
        <v>86.0</v>
      </c>
      <c r="U401" s="622">
        <v>88.0</v>
      </c>
      <c r="V401" s="748">
        <v>116.0</v>
      </c>
      <c r="W401" s="624">
        <v>101.0</v>
      </c>
      <c r="X401" s="625">
        <v>60.0</v>
      </c>
      <c r="Y401" s="628">
        <f t="shared" si="1"/>
        <v>535</v>
      </c>
      <c r="Z401" s="619"/>
      <c r="AA401" s="630" t="str">
        <f t="shared" si="2"/>
        <v>#NAME?</v>
      </c>
      <c r="AB401" s="869" t="s">
        <v>32</v>
      </c>
      <c r="AC401" s="632" t="str">
        <f t="shared" si="3"/>
        <v>#NAME?</v>
      </c>
      <c r="AD401" s="870" t="s">
        <v>95</v>
      </c>
      <c r="AE401" s="633" t="str">
        <f t="shared" si="4"/>
        <v>#NAME?</v>
      </c>
      <c r="AF401" s="869" t="s">
        <v>32</v>
      </c>
      <c r="AG401" s="632" t="str">
        <f t="shared" si="5"/>
        <v>#NAME?</v>
      </c>
      <c r="AH401" s="634" t="s">
        <v>95</v>
      </c>
      <c r="AI401" s="635" t="str">
        <f t="shared" si="6"/>
        <v>#NAME?</v>
      </c>
      <c r="AJ401" s="634" t="s">
        <v>32</v>
      </c>
      <c r="AK401" s="636" t="str">
        <f t="shared" si="7"/>
        <v>#NAME?</v>
      </c>
      <c r="AL401" s="637" t="s">
        <v>95</v>
      </c>
      <c r="AM401" s="619"/>
      <c r="AN401" s="638" t="s">
        <v>102</v>
      </c>
      <c r="AO401" s="639"/>
      <c r="AP401" s="712" t="s">
        <v>102</v>
      </c>
      <c r="AQ401" s="639"/>
      <c r="AR401" s="712" t="s">
        <v>102</v>
      </c>
      <c r="AS401" s="714" t="s">
        <v>1306</v>
      </c>
      <c r="AT401" s="644"/>
      <c r="AU401" s="633"/>
      <c r="AV401" s="638"/>
      <c r="AW401" s="630"/>
      <c r="AX401" s="647"/>
      <c r="AY401" s="619"/>
      <c r="AZ401" s="698" t="s">
        <v>85</v>
      </c>
      <c r="BA401" s="699"/>
      <c r="BB401" s="690"/>
      <c r="BC401" s="619"/>
      <c r="BD401" s="651" t="s">
        <v>15</v>
      </c>
      <c r="BE401" s="653">
        <v>210.0</v>
      </c>
      <c r="BF401" s="653">
        <v>45.0</v>
      </c>
      <c r="BG401" s="654">
        <v>70.0</v>
      </c>
      <c r="BH401" s="653">
        <v>80.0</v>
      </c>
      <c r="BI401" s="607"/>
      <c r="BJ401" s="655" t="s">
        <v>13</v>
      </c>
      <c r="BK401" s="656">
        <v>0.125</v>
      </c>
      <c r="BL401" s="610"/>
      <c r="BM401" s="657" t="s">
        <v>106</v>
      </c>
      <c r="BN401" s="658" t="s">
        <v>277</v>
      </c>
      <c r="BO401" s="607"/>
      <c r="BP401" s="659" t="s">
        <v>3654</v>
      </c>
      <c r="BQ401" s="614"/>
      <c r="BR401" s="660" t="s">
        <v>4430</v>
      </c>
      <c r="BS401" s="614"/>
    </row>
    <row r="402" ht="15.75" customHeight="1">
      <c r="A402" s="841"/>
      <c r="B402" s="661" t="s">
        <v>3657</v>
      </c>
      <c r="C402" s="662"/>
      <c r="D402" s="571"/>
      <c r="E402" s="672">
        <v>40.0</v>
      </c>
      <c r="F402" s="664">
        <v>55.0</v>
      </c>
      <c r="G402" s="665">
        <v>30.0</v>
      </c>
      <c r="H402" s="666">
        <v>30.0</v>
      </c>
      <c r="I402" s="667">
        <v>30.0</v>
      </c>
      <c r="J402" s="668">
        <v>60.0</v>
      </c>
      <c r="K402" s="669">
        <v>245.0</v>
      </c>
      <c r="L402" s="670">
        <v>40.0</v>
      </c>
      <c r="M402" s="664">
        <v>55.0</v>
      </c>
      <c r="N402" s="665">
        <v>30.0</v>
      </c>
      <c r="O402" s="666">
        <v>30.0</v>
      </c>
      <c r="P402" s="667">
        <v>30.0</v>
      </c>
      <c r="Q402" s="668">
        <v>60.0</v>
      </c>
      <c r="R402" s="671">
        <v>245.0</v>
      </c>
      <c r="S402" s="672">
        <v>40.0</v>
      </c>
      <c r="T402" s="664">
        <v>55.0</v>
      </c>
      <c r="U402" s="665">
        <v>30.0</v>
      </c>
      <c r="V402" s="666">
        <v>30.0</v>
      </c>
      <c r="W402" s="667">
        <v>30.0</v>
      </c>
      <c r="X402" s="668">
        <v>60.0</v>
      </c>
      <c r="Y402" s="671">
        <f t="shared" si="1"/>
        <v>245</v>
      </c>
      <c r="Z402" s="571"/>
      <c r="AA402" s="673" t="str">
        <f t="shared" si="2"/>
        <v>#NAME?</v>
      </c>
      <c r="AB402" s="871" t="s">
        <v>156</v>
      </c>
      <c r="AC402" s="675" t="str">
        <f t="shared" si="3"/>
        <v>#NAME?</v>
      </c>
      <c r="AD402" s="872" t="s">
        <v>18</v>
      </c>
      <c r="AE402" s="676" t="str">
        <f t="shared" si="4"/>
        <v>#NAME?</v>
      </c>
      <c r="AF402" s="871" t="s">
        <v>156</v>
      </c>
      <c r="AG402" s="675" t="str">
        <f t="shared" si="5"/>
        <v>#NAME?</v>
      </c>
      <c r="AH402" s="586" t="s">
        <v>18</v>
      </c>
      <c r="AI402" s="677" t="str">
        <f t="shared" si="6"/>
        <v>#NAME?</v>
      </c>
      <c r="AJ402" s="586" t="s">
        <v>156</v>
      </c>
      <c r="AK402" s="584" t="str">
        <f t="shared" si="7"/>
        <v>#NAME?</v>
      </c>
      <c r="AL402" s="678" t="s">
        <v>18</v>
      </c>
      <c r="AM402" s="571"/>
      <c r="AN402" s="679" t="s">
        <v>235</v>
      </c>
      <c r="AO402" s="680"/>
      <c r="AP402" s="734" t="s">
        <v>1166</v>
      </c>
      <c r="AQ402" s="735" t="s">
        <v>235</v>
      </c>
      <c r="AR402" s="736" t="s">
        <v>1166</v>
      </c>
      <c r="AS402" s="684" t="s">
        <v>235</v>
      </c>
      <c r="AT402" s="595"/>
      <c r="AU402" s="676"/>
      <c r="AV402" s="679"/>
      <c r="AW402" s="673"/>
      <c r="AX402" s="866"/>
      <c r="AY402" s="571"/>
      <c r="AZ402" s="695" t="s">
        <v>56</v>
      </c>
      <c r="BA402" s="700"/>
      <c r="BB402" s="690"/>
      <c r="BC402" s="571"/>
      <c r="BD402" s="651" t="s">
        <v>15</v>
      </c>
      <c r="BE402" s="653">
        <v>56.0</v>
      </c>
      <c r="BF402" s="653">
        <v>255.0</v>
      </c>
      <c r="BG402" s="654">
        <v>70.0</v>
      </c>
      <c r="BH402" s="653">
        <v>20.0</v>
      </c>
      <c r="BI402" s="607"/>
      <c r="BJ402" s="655" t="s">
        <v>149</v>
      </c>
      <c r="BK402" s="703" t="s">
        <v>149</v>
      </c>
      <c r="BL402" s="610"/>
      <c r="BM402" s="657" t="s">
        <v>18</v>
      </c>
      <c r="BN402" s="704"/>
      <c r="BO402" s="607"/>
      <c r="BP402" s="659" t="s">
        <v>3661</v>
      </c>
      <c r="BQ402" s="614"/>
      <c r="BR402" s="660" t="s">
        <v>4432</v>
      </c>
      <c r="BS402" s="614"/>
    </row>
    <row r="403" ht="15.75" customHeight="1">
      <c r="A403" s="841"/>
      <c r="B403" s="617" t="s">
        <v>3664</v>
      </c>
      <c r="C403" s="618"/>
      <c r="D403" s="619"/>
      <c r="E403" s="629">
        <v>55.0</v>
      </c>
      <c r="F403" s="621">
        <v>75.0</v>
      </c>
      <c r="G403" s="622">
        <v>50.0</v>
      </c>
      <c r="H403" s="623">
        <v>40.0</v>
      </c>
      <c r="I403" s="624">
        <v>40.0</v>
      </c>
      <c r="J403" s="625">
        <v>80.0</v>
      </c>
      <c r="K403" s="626">
        <v>340.0</v>
      </c>
      <c r="L403" s="627">
        <v>55.0</v>
      </c>
      <c r="M403" s="621">
        <v>75.0</v>
      </c>
      <c r="N403" s="622">
        <v>50.0</v>
      </c>
      <c r="O403" s="623">
        <v>40.0</v>
      </c>
      <c r="P403" s="624">
        <v>40.0</v>
      </c>
      <c r="Q403" s="625">
        <v>80.0</v>
      </c>
      <c r="R403" s="628">
        <v>340.0</v>
      </c>
      <c r="S403" s="629">
        <v>55.0</v>
      </c>
      <c r="T403" s="621">
        <v>75.0</v>
      </c>
      <c r="U403" s="622">
        <v>50.0</v>
      </c>
      <c r="V403" s="623">
        <v>40.0</v>
      </c>
      <c r="W403" s="624">
        <v>40.0</v>
      </c>
      <c r="X403" s="625">
        <v>80.0</v>
      </c>
      <c r="Y403" s="628">
        <f t="shared" si="1"/>
        <v>340</v>
      </c>
      <c r="Z403" s="619"/>
      <c r="AA403" s="630" t="str">
        <f t="shared" si="2"/>
        <v>#NAME?</v>
      </c>
      <c r="AB403" s="869" t="s">
        <v>156</v>
      </c>
      <c r="AC403" s="632" t="str">
        <f t="shared" si="3"/>
        <v>#NAME?</v>
      </c>
      <c r="AD403" s="870" t="s">
        <v>18</v>
      </c>
      <c r="AE403" s="633" t="str">
        <f t="shared" si="4"/>
        <v>#NAME?</v>
      </c>
      <c r="AF403" s="869" t="s">
        <v>156</v>
      </c>
      <c r="AG403" s="632" t="str">
        <f t="shared" si="5"/>
        <v>#NAME?</v>
      </c>
      <c r="AH403" s="634" t="s">
        <v>18</v>
      </c>
      <c r="AI403" s="635" t="str">
        <f t="shared" si="6"/>
        <v>#NAME?</v>
      </c>
      <c r="AJ403" s="634" t="s">
        <v>156</v>
      </c>
      <c r="AK403" s="636" t="str">
        <f t="shared" si="7"/>
        <v>#NAME?</v>
      </c>
      <c r="AL403" s="637" t="s">
        <v>18</v>
      </c>
      <c r="AM403" s="619"/>
      <c r="AN403" s="638" t="s">
        <v>326</v>
      </c>
      <c r="AO403" s="639"/>
      <c r="AP403" s="640" t="s">
        <v>1166</v>
      </c>
      <c r="AQ403" s="641" t="s">
        <v>326</v>
      </c>
      <c r="AR403" s="642" t="s">
        <v>1166</v>
      </c>
      <c r="AS403" s="643" t="s">
        <v>326</v>
      </c>
      <c r="AT403" s="644"/>
      <c r="AU403" s="633"/>
      <c r="AV403" s="638"/>
      <c r="AW403" s="630"/>
      <c r="AX403" s="647"/>
      <c r="AY403" s="619"/>
      <c r="AZ403" s="698" t="s">
        <v>248</v>
      </c>
      <c r="BA403" s="690"/>
      <c r="BB403" s="650"/>
      <c r="BC403" s="619"/>
      <c r="BD403" s="651" t="s">
        <v>15</v>
      </c>
      <c r="BE403" s="653">
        <v>113.0</v>
      </c>
      <c r="BF403" s="653">
        <v>120.0</v>
      </c>
      <c r="BG403" s="654">
        <v>70.0</v>
      </c>
      <c r="BH403" s="653">
        <v>40.0</v>
      </c>
      <c r="BI403" s="607"/>
      <c r="BJ403" s="655" t="s">
        <v>149</v>
      </c>
      <c r="BK403" s="703" t="s">
        <v>149</v>
      </c>
      <c r="BL403" s="610"/>
      <c r="BM403" s="657" t="s">
        <v>18</v>
      </c>
      <c r="BN403" s="704"/>
      <c r="BO403" s="607"/>
      <c r="BP403" s="659" t="s">
        <v>3667</v>
      </c>
      <c r="BQ403" s="614"/>
      <c r="BR403" s="660" t="s">
        <v>4432</v>
      </c>
      <c r="BS403" s="614"/>
    </row>
    <row r="404" ht="15.75" customHeight="1">
      <c r="A404" s="841"/>
      <c r="B404" s="661" t="s">
        <v>3670</v>
      </c>
      <c r="C404" s="662"/>
      <c r="D404" s="571"/>
      <c r="E404" s="672">
        <v>85.0</v>
      </c>
      <c r="F404" s="664">
        <v>120.0</v>
      </c>
      <c r="G404" s="665">
        <v>70.0</v>
      </c>
      <c r="H404" s="666">
        <v>50.0</v>
      </c>
      <c r="I404" s="667">
        <v>50.0</v>
      </c>
      <c r="J404" s="668">
        <v>100.0</v>
      </c>
      <c r="K404" s="669">
        <v>475.0</v>
      </c>
      <c r="L404" s="670">
        <v>85.0</v>
      </c>
      <c r="M404" s="664">
        <v>120.0</v>
      </c>
      <c r="N404" s="665">
        <v>70.0</v>
      </c>
      <c r="O404" s="666">
        <v>50.0</v>
      </c>
      <c r="P404" s="667">
        <v>60.0</v>
      </c>
      <c r="Q404" s="668">
        <v>100.0</v>
      </c>
      <c r="R404" s="671">
        <v>485.0</v>
      </c>
      <c r="S404" s="672">
        <v>85.0</v>
      </c>
      <c r="T404" s="664">
        <v>120.0</v>
      </c>
      <c r="U404" s="665">
        <v>70.0</v>
      </c>
      <c r="V404" s="666">
        <v>50.0</v>
      </c>
      <c r="W404" s="667">
        <v>60.0</v>
      </c>
      <c r="X404" s="668">
        <v>100.0</v>
      </c>
      <c r="Y404" s="671">
        <f t="shared" si="1"/>
        <v>485</v>
      </c>
      <c r="Z404" s="571"/>
      <c r="AA404" s="673" t="str">
        <f t="shared" si="2"/>
        <v>#NAME?</v>
      </c>
      <c r="AB404" s="871" t="s">
        <v>156</v>
      </c>
      <c r="AC404" s="675" t="str">
        <f t="shared" si="3"/>
        <v>#NAME?</v>
      </c>
      <c r="AD404" s="872" t="s">
        <v>18</v>
      </c>
      <c r="AE404" s="676" t="str">
        <f t="shared" si="4"/>
        <v>#NAME?</v>
      </c>
      <c r="AF404" s="871" t="s">
        <v>156</v>
      </c>
      <c r="AG404" s="675" t="str">
        <f t="shared" si="5"/>
        <v>#NAME?</v>
      </c>
      <c r="AH404" s="586" t="s">
        <v>18</v>
      </c>
      <c r="AI404" s="677" t="str">
        <f t="shared" si="6"/>
        <v>#NAME?</v>
      </c>
      <c r="AJ404" s="586" t="s">
        <v>156</v>
      </c>
      <c r="AK404" s="584" t="str">
        <f t="shared" si="7"/>
        <v>#NAME?</v>
      </c>
      <c r="AL404" s="678" t="s">
        <v>18</v>
      </c>
      <c r="AM404" s="571"/>
      <c r="AN404" s="679" t="s">
        <v>326</v>
      </c>
      <c r="AO404" s="680"/>
      <c r="AP404" s="710" t="s">
        <v>1166</v>
      </c>
      <c r="AQ404" s="716" t="s">
        <v>326</v>
      </c>
      <c r="AR404" s="711" t="s">
        <v>1166</v>
      </c>
      <c r="AS404" s="718" t="s">
        <v>326</v>
      </c>
      <c r="AT404" s="595"/>
      <c r="AU404" s="676"/>
      <c r="AV404" s="679"/>
      <c r="AW404" s="673"/>
      <c r="AX404" s="866"/>
      <c r="AY404" s="571"/>
      <c r="AZ404" s="689" t="s">
        <v>451</v>
      </c>
      <c r="BA404" s="699"/>
      <c r="BB404" s="690"/>
      <c r="BC404" s="571"/>
      <c r="BD404" s="651" t="s">
        <v>15</v>
      </c>
      <c r="BE404" s="653">
        <v>172.0</v>
      </c>
      <c r="BF404" s="653">
        <v>45.0</v>
      </c>
      <c r="BG404" s="654">
        <v>70.0</v>
      </c>
      <c r="BH404" s="653">
        <v>40.0</v>
      </c>
      <c r="BI404" s="607"/>
      <c r="BJ404" s="655" t="s">
        <v>149</v>
      </c>
      <c r="BK404" s="703" t="s">
        <v>149</v>
      </c>
      <c r="BL404" s="610"/>
      <c r="BM404" s="657" t="s">
        <v>18</v>
      </c>
      <c r="BN404" s="704"/>
      <c r="BO404" s="607"/>
      <c r="BP404" s="659" t="s">
        <v>3674</v>
      </c>
      <c r="BQ404" s="614"/>
      <c r="BR404" s="660" t="s">
        <v>4432</v>
      </c>
      <c r="BS404" s="614"/>
    </row>
    <row r="405" ht="15.75" customHeight="1">
      <c r="A405" s="841"/>
      <c r="B405" s="617" t="s">
        <v>3677</v>
      </c>
      <c r="C405" s="618"/>
      <c r="D405" s="619"/>
      <c r="E405" s="629">
        <v>59.0</v>
      </c>
      <c r="F405" s="750">
        <v>45.0</v>
      </c>
      <c r="G405" s="622">
        <v>40.0</v>
      </c>
      <c r="H405" s="623">
        <v>35.0</v>
      </c>
      <c r="I405" s="624">
        <v>40.0</v>
      </c>
      <c r="J405" s="625">
        <v>31.0</v>
      </c>
      <c r="K405" s="749">
        <v>250.0</v>
      </c>
      <c r="L405" s="627">
        <v>59.0</v>
      </c>
      <c r="M405" s="621">
        <v>45.0</v>
      </c>
      <c r="N405" s="622">
        <v>40.0</v>
      </c>
      <c r="O405" s="623">
        <v>35.0</v>
      </c>
      <c r="P405" s="624">
        <v>40.0</v>
      </c>
      <c r="Q405" s="625">
        <v>31.0</v>
      </c>
      <c r="R405" s="628">
        <v>250.0</v>
      </c>
      <c r="S405" s="629">
        <v>59.0</v>
      </c>
      <c r="T405" s="621">
        <v>45.0</v>
      </c>
      <c r="U405" s="622">
        <v>40.0</v>
      </c>
      <c r="V405" s="623">
        <v>35.0</v>
      </c>
      <c r="W405" s="624">
        <v>40.0</v>
      </c>
      <c r="X405" s="625">
        <v>31.0</v>
      </c>
      <c r="Y405" s="628">
        <f t="shared" si="1"/>
        <v>250</v>
      </c>
      <c r="Z405" s="619"/>
      <c r="AA405" s="630" t="str">
        <f t="shared" si="2"/>
        <v>#NAME?</v>
      </c>
      <c r="AB405" s="869" t="s">
        <v>156</v>
      </c>
      <c r="AC405" s="632" t="str">
        <f t="shared" si="3"/>
        <v>#NAME?</v>
      </c>
      <c r="AD405" s="870" t="s">
        <v>4428</v>
      </c>
      <c r="AE405" s="633" t="str">
        <f t="shared" si="4"/>
        <v>#NAME?</v>
      </c>
      <c r="AF405" s="869" t="s">
        <v>156</v>
      </c>
      <c r="AG405" s="632" t="str">
        <f t="shared" si="5"/>
        <v>#NAME?</v>
      </c>
      <c r="AH405" s="634" t="s">
        <v>4428</v>
      </c>
      <c r="AI405" s="635" t="str">
        <f t="shared" si="6"/>
        <v>#NAME?</v>
      </c>
      <c r="AJ405" s="634" t="s">
        <v>156</v>
      </c>
      <c r="AK405" s="636" t="str">
        <f t="shared" si="7"/>
        <v>#NAME?</v>
      </c>
      <c r="AL405" s="637" t="s">
        <v>4428</v>
      </c>
      <c r="AM405" s="619"/>
      <c r="AN405" s="638" t="s">
        <v>2983</v>
      </c>
      <c r="AO405" s="639" t="s">
        <v>1894</v>
      </c>
      <c r="AP405" s="712" t="s">
        <v>2983</v>
      </c>
      <c r="AQ405" s="639" t="s">
        <v>1894</v>
      </c>
      <c r="AR405" s="712" t="s">
        <v>2983</v>
      </c>
      <c r="AS405" s="639" t="s">
        <v>1894</v>
      </c>
      <c r="AT405" s="644"/>
      <c r="AU405" s="633"/>
      <c r="AV405" s="638"/>
      <c r="AW405" s="630"/>
      <c r="AX405" s="647"/>
      <c r="AY405" s="619"/>
      <c r="AZ405" s="648" t="s">
        <v>144</v>
      </c>
      <c r="BA405" s="694"/>
      <c r="BB405" s="690"/>
      <c r="BC405" s="619"/>
      <c r="BD405" s="651" t="s">
        <v>150</v>
      </c>
      <c r="BE405" s="653">
        <v>58.0</v>
      </c>
      <c r="BF405" s="653">
        <v>255.0</v>
      </c>
      <c r="BG405" s="654">
        <v>70.0</v>
      </c>
      <c r="BH405" s="653">
        <v>40.0</v>
      </c>
      <c r="BI405" s="607"/>
      <c r="BJ405" s="655" t="s">
        <v>149</v>
      </c>
      <c r="BK405" s="703" t="s">
        <v>149</v>
      </c>
      <c r="BL405" s="610"/>
      <c r="BM405" s="657" t="s">
        <v>106</v>
      </c>
      <c r="BN405" s="658" t="s">
        <v>277</v>
      </c>
      <c r="BO405" s="607"/>
      <c r="BP405" s="659" t="s">
        <v>3680</v>
      </c>
      <c r="BQ405" s="614"/>
      <c r="BR405" s="660" t="s">
        <v>4432</v>
      </c>
      <c r="BS405" s="614"/>
    </row>
    <row r="406" ht="15.75" customHeight="1">
      <c r="A406" s="841"/>
      <c r="B406" s="661" t="s">
        <v>3683</v>
      </c>
      <c r="C406" s="662"/>
      <c r="D406" s="571"/>
      <c r="E406" s="672">
        <v>79.0</v>
      </c>
      <c r="F406" s="664">
        <v>85.0</v>
      </c>
      <c r="G406" s="665">
        <v>60.0</v>
      </c>
      <c r="H406" s="666">
        <v>55.0</v>
      </c>
      <c r="I406" s="667">
        <v>60.0</v>
      </c>
      <c r="J406" s="668">
        <v>71.0</v>
      </c>
      <c r="K406" s="669">
        <v>410.0</v>
      </c>
      <c r="L406" s="670">
        <v>79.0</v>
      </c>
      <c r="M406" s="664">
        <v>85.0</v>
      </c>
      <c r="N406" s="665">
        <v>60.0</v>
      </c>
      <c r="O406" s="666">
        <v>55.0</v>
      </c>
      <c r="P406" s="667">
        <v>60.0</v>
      </c>
      <c r="Q406" s="668">
        <v>71.0</v>
      </c>
      <c r="R406" s="671">
        <v>410.0</v>
      </c>
      <c r="S406" s="769">
        <v>94.0</v>
      </c>
      <c r="T406" s="741">
        <v>100.0</v>
      </c>
      <c r="U406" s="742">
        <v>65.0</v>
      </c>
      <c r="V406" s="666">
        <v>55.0</v>
      </c>
      <c r="W406" s="744">
        <v>65.0</v>
      </c>
      <c r="X406" s="668">
        <v>71.0</v>
      </c>
      <c r="Y406" s="671">
        <f t="shared" si="1"/>
        <v>450</v>
      </c>
      <c r="Z406" s="571"/>
      <c r="AA406" s="673" t="str">
        <f t="shared" si="2"/>
        <v>#NAME?</v>
      </c>
      <c r="AB406" s="871" t="s">
        <v>156</v>
      </c>
      <c r="AC406" s="675" t="str">
        <f t="shared" si="3"/>
        <v>#NAME?</v>
      </c>
      <c r="AD406" s="872" t="s">
        <v>32</v>
      </c>
      <c r="AE406" s="676" t="str">
        <f t="shared" si="4"/>
        <v>#NAME?</v>
      </c>
      <c r="AF406" s="871" t="s">
        <v>156</v>
      </c>
      <c r="AG406" s="675" t="str">
        <f t="shared" si="5"/>
        <v>#NAME?</v>
      </c>
      <c r="AH406" s="586" t="s">
        <v>32</v>
      </c>
      <c r="AI406" s="677" t="str">
        <f t="shared" si="6"/>
        <v>#NAME?</v>
      </c>
      <c r="AJ406" s="586" t="s">
        <v>156</v>
      </c>
      <c r="AK406" s="584" t="str">
        <f t="shared" si="7"/>
        <v>#NAME?</v>
      </c>
      <c r="AL406" s="678" t="s">
        <v>32</v>
      </c>
      <c r="AM406" s="571"/>
      <c r="AN406" s="679" t="s">
        <v>2983</v>
      </c>
      <c r="AO406" s="680" t="s">
        <v>1894</v>
      </c>
      <c r="AP406" s="705" t="s">
        <v>2983</v>
      </c>
      <c r="AQ406" s="680" t="s">
        <v>1894</v>
      </c>
      <c r="AR406" s="705" t="s">
        <v>2983</v>
      </c>
      <c r="AS406" s="680" t="s">
        <v>1894</v>
      </c>
      <c r="AT406" s="595"/>
      <c r="AU406" s="676"/>
      <c r="AV406" s="679"/>
      <c r="AW406" s="673"/>
      <c r="AX406" s="866"/>
      <c r="AY406" s="571"/>
      <c r="AZ406" s="689" t="s">
        <v>216</v>
      </c>
      <c r="BA406" s="690"/>
      <c r="BB406" s="696"/>
      <c r="BC406" s="571"/>
      <c r="BD406" s="651" t="s">
        <v>150</v>
      </c>
      <c r="BE406" s="653">
        <v>116.0</v>
      </c>
      <c r="BF406" s="653">
        <v>127.0</v>
      </c>
      <c r="BG406" s="654">
        <v>70.0</v>
      </c>
      <c r="BH406" s="653">
        <v>60.0</v>
      </c>
      <c r="BI406" s="607"/>
      <c r="BJ406" s="655" t="s">
        <v>149</v>
      </c>
      <c r="BK406" s="703" t="s">
        <v>149</v>
      </c>
      <c r="BL406" s="610"/>
      <c r="BM406" s="657" t="s">
        <v>106</v>
      </c>
      <c r="BN406" s="658" t="s">
        <v>277</v>
      </c>
      <c r="BO406" s="607"/>
      <c r="BP406" s="659" t="s">
        <v>3688</v>
      </c>
      <c r="BQ406" s="614"/>
      <c r="BR406" s="660" t="s">
        <v>4432</v>
      </c>
      <c r="BS406" s="614"/>
    </row>
    <row r="407" ht="15.75" customHeight="1">
      <c r="A407" s="841"/>
      <c r="B407" s="617" t="s">
        <v>3691</v>
      </c>
      <c r="C407" s="618"/>
      <c r="D407" s="619"/>
      <c r="E407" s="629">
        <v>37.0</v>
      </c>
      <c r="F407" s="621">
        <v>25.0</v>
      </c>
      <c r="G407" s="622">
        <v>41.0</v>
      </c>
      <c r="H407" s="623">
        <v>25.0</v>
      </c>
      <c r="I407" s="624">
        <v>41.0</v>
      </c>
      <c r="J407" s="625">
        <v>25.0</v>
      </c>
      <c r="K407" s="626">
        <v>194.0</v>
      </c>
      <c r="L407" s="627">
        <v>37.0</v>
      </c>
      <c r="M407" s="621">
        <v>25.0</v>
      </c>
      <c r="N407" s="622">
        <v>41.0</v>
      </c>
      <c r="O407" s="623">
        <v>25.0</v>
      </c>
      <c r="P407" s="624">
        <v>41.0</v>
      </c>
      <c r="Q407" s="625">
        <v>25.0</v>
      </c>
      <c r="R407" s="628">
        <v>194.0</v>
      </c>
      <c r="S407" s="629">
        <v>37.0</v>
      </c>
      <c r="T407" s="750">
        <v>35.0</v>
      </c>
      <c r="U407" s="622">
        <v>41.0</v>
      </c>
      <c r="V407" s="748">
        <v>35.0</v>
      </c>
      <c r="W407" s="624">
        <v>41.0</v>
      </c>
      <c r="X407" s="625">
        <v>25.0</v>
      </c>
      <c r="Y407" s="628">
        <f t="shared" si="1"/>
        <v>214</v>
      </c>
      <c r="Z407" s="619"/>
      <c r="AA407" s="630" t="str">
        <f t="shared" si="2"/>
        <v>#NAME?</v>
      </c>
      <c r="AB407" s="869" t="s">
        <v>109</v>
      </c>
      <c r="AC407" s="632" t="str">
        <f t="shared" si="3"/>
        <v>#NAME?</v>
      </c>
      <c r="AD407" s="870" t="s">
        <v>4428</v>
      </c>
      <c r="AE407" s="633" t="str">
        <f t="shared" si="4"/>
        <v>#NAME?</v>
      </c>
      <c r="AF407" s="869" t="s">
        <v>109</v>
      </c>
      <c r="AG407" s="632" t="str">
        <f t="shared" si="5"/>
        <v>#NAME?</v>
      </c>
      <c r="AH407" s="634" t="s">
        <v>4428</v>
      </c>
      <c r="AI407" s="635" t="str">
        <f t="shared" si="6"/>
        <v>#NAME?</v>
      </c>
      <c r="AJ407" s="634" t="s">
        <v>109</v>
      </c>
      <c r="AK407" s="636" t="str">
        <f t="shared" si="7"/>
        <v>#NAME?</v>
      </c>
      <c r="AL407" s="637" t="s">
        <v>4428</v>
      </c>
      <c r="AM407" s="619"/>
      <c r="AN407" s="638" t="s">
        <v>163</v>
      </c>
      <c r="AO407" s="639"/>
      <c r="AP407" s="708" t="s">
        <v>147</v>
      </c>
      <c r="AQ407" s="757" t="s">
        <v>163</v>
      </c>
      <c r="AR407" s="709" t="s">
        <v>147</v>
      </c>
      <c r="AS407" s="758" t="s">
        <v>163</v>
      </c>
      <c r="AT407" s="644"/>
      <c r="AU407" s="633" t="str">
        <f t="shared" ref="AU407:AU408" si="52">image("https://www.pokebip.com/pages/icones/objets/metronome.png", 3)</f>
        <v/>
      </c>
      <c r="AV407" s="638" t="s">
        <v>3697</v>
      </c>
      <c r="AW407" s="630"/>
      <c r="AX407" s="647"/>
      <c r="AY407" s="619"/>
      <c r="AZ407" s="648" t="s">
        <v>101</v>
      </c>
      <c r="BA407" s="694"/>
      <c r="BB407" s="690"/>
      <c r="BC407" s="619"/>
      <c r="BD407" s="651" t="s">
        <v>15</v>
      </c>
      <c r="BE407" s="653">
        <v>54.0</v>
      </c>
      <c r="BF407" s="653">
        <v>255.0</v>
      </c>
      <c r="BG407" s="653">
        <v>70.0</v>
      </c>
      <c r="BH407" s="653">
        <v>20.0</v>
      </c>
      <c r="BI407" s="607"/>
      <c r="BJ407" s="655" t="s">
        <v>149</v>
      </c>
      <c r="BK407" s="703" t="s">
        <v>149</v>
      </c>
      <c r="BL407" s="610"/>
      <c r="BM407" s="657" t="s">
        <v>109</v>
      </c>
      <c r="BN407" s="704"/>
      <c r="BO407" s="607"/>
      <c r="BP407" s="659" t="s">
        <v>3696</v>
      </c>
      <c r="BQ407" s="614"/>
      <c r="BR407" s="660" t="s">
        <v>4429</v>
      </c>
      <c r="BS407" s="614"/>
    </row>
    <row r="408" ht="15.75" customHeight="1">
      <c r="A408" s="841"/>
      <c r="B408" s="661" t="s">
        <v>3700</v>
      </c>
      <c r="C408" s="662"/>
      <c r="D408" s="571"/>
      <c r="E408" s="672">
        <v>77.0</v>
      </c>
      <c r="F408" s="664">
        <v>85.0</v>
      </c>
      <c r="G408" s="665">
        <v>51.0</v>
      </c>
      <c r="H408" s="666">
        <v>55.0</v>
      </c>
      <c r="I408" s="667">
        <v>51.0</v>
      </c>
      <c r="J408" s="668">
        <v>65.0</v>
      </c>
      <c r="K408" s="669">
        <v>384.0</v>
      </c>
      <c r="L408" s="670">
        <v>77.0</v>
      </c>
      <c r="M408" s="664">
        <v>85.0</v>
      </c>
      <c r="N408" s="665">
        <v>51.0</v>
      </c>
      <c r="O408" s="666">
        <v>55.0</v>
      </c>
      <c r="P408" s="667">
        <v>51.0</v>
      </c>
      <c r="Q408" s="668">
        <v>65.0</v>
      </c>
      <c r="R408" s="671">
        <v>384.0</v>
      </c>
      <c r="S408" s="769">
        <v>80.0</v>
      </c>
      <c r="T408" s="741">
        <v>115.0</v>
      </c>
      <c r="U408" s="742">
        <v>70.0</v>
      </c>
      <c r="V408" s="743">
        <v>50.0</v>
      </c>
      <c r="W408" s="744">
        <v>70.0</v>
      </c>
      <c r="X408" s="668">
        <v>65.0</v>
      </c>
      <c r="Y408" s="671">
        <f t="shared" si="1"/>
        <v>450</v>
      </c>
      <c r="Z408" s="571"/>
      <c r="AA408" s="673" t="str">
        <f t="shared" si="2"/>
        <v>#NAME?</v>
      </c>
      <c r="AB408" s="871" t="s">
        <v>109</v>
      </c>
      <c r="AC408" s="675" t="str">
        <f t="shared" si="3"/>
        <v>#NAME?</v>
      </c>
      <c r="AD408" s="872" t="s">
        <v>4428</v>
      </c>
      <c r="AE408" s="676" t="str">
        <f t="shared" si="4"/>
        <v>#NAME?</v>
      </c>
      <c r="AF408" s="871" t="s">
        <v>109</v>
      </c>
      <c r="AG408" s="675" t="str">
        <f t="shared" si="5"/>
        <v>#NAME?</v>
      </c>
      <c r="AH408" s="586" t="s">
        <v>4428</v>
      </c>
      <c r="AI408" s="677" t="str">
        <f t="shared" si="6"/>
        <v>#NAME?</v>
      </c>
      <c r="AJ408" s="586" t="s">
        <v>109</v>
      </c>
      <c r="AK408" s="584" t="str">
        <f t="shared" si="7"/>
        <v>#NAME?</v>
      </c>
      <c r="AL408" s="678" t="s">
        <v>4428</v>
      </c>
      <c r="AM408" s="571"/>
      <c r="AN408" s="679" t="s">
        <v>217</v>
      </c>
      <c r="AO408" s="680"/>
      <c r="AP408" s="681" t="s">
        <v>1278</v>
      </c>
      <c r="AQ408" s="682" t="s">
        <v>217</v>
      </c>
      <c r="AR408" s="683" t="s">
        <v>1278</v>
      </c>
      <c r="AS408" s="684" t="s">
        <v>217</v>
      </c>
      <c r="AT408" s="595"/>
      <c r="AU408" s="676" t="str">
        <f t="shared" si="52"/>
        <v/>
      </c>
      <c r="AV408" s="679" t="s">
        <v>3697</v>
      </c>
      <c r="AW408" s="673"/>
      <c r="AX408" s="866"/>
      <c r="AY408" s="571"/>
      <c r="AZ408" s="689" t="s">
        <v>216</v>
      </c>
      <c r="BA408" s="690"/>
      <c r="BB408" s="696"/>
      <c r="BC408" s="571"/>
      <c r="BD408" s="651" t="s">
        <v>15</v>
      </c>
      <c r="BE408" s="653">
        <v>159.0</v>
      </c>
      <c r="BF408" s="653">
        <v>45.0</v>
      </c>
      <c r="BG408" s="654">
        <v>70.0</v>
      </c>
      <c r="BH408" s="653">
        <v>60.0</v>
      </c>
      <c r="BI408" s="607"/>
      <c r="BJ408" s="655" t="s">
        <v>149</v>
      </c>
      <c r="BK408" s="703" t="s">
        <v>149</v>
      </c>
      <c r="BL408" s="610"/>
      <c r="BM408" s="657" t="s">
        <v>109</v>
      </c>
      <c r="BN408" s="704"/>
      <c r="BO408" s="607"/>
      <c r="BP408" s="659" t="s">
        <v>3704</v>
      </c>
      <c r="BQ408" s="614"/>
      <c r="BR408" s="660" t="s">
        <v>4429</v>
      </c>
      <c r="BS408" s="614"/>
    </row>
    <row r="409" ht="15.75" customHeight="1">
      <c r="A409" s="841"/>
      <c r="B409" s="617" t="s">
        <v>3707</v>
      </c>
      <c r="C409" s="618"/>
      <c r="D409" s="619"/>
      <c r="E409" s="629">
        <v>45.0</v>
      </c>
      <c r="F409" s="621">
        <v>65.0</v>
      </c>
      <c r="G409" s="622">
        <v>34.0</v>
      </c>
      <c r="H409" s="623">
        <v>40.0</v>
      </c>
      <c r="I409" s="624">
        <v>34.0</v>
      </c>
      <c r="J409" s="625">
        <v>45.0</v>
      </c>
      <c r="K409" s="626">
        <v>263.0</v>
      </c>
      <c r="L409" s="627">
        <v>45.0</v>
      </c>
      <c r="M409" s="621">
        <v>65.0</v>
      </c>
      <c r="N409" s="622">
        <v>34.0</v>
      </c>
      <c r="O409" s="623">
        <v>40.0</v>
      </c>
      <c r="P409" s="624">
        <v>34.0</v>
      </c>
      <c r="Q409" s="625">
        <v>45.0</v>
      </c>
      <c r="R409" s="628">
        <v>263.0</v>
      </c>
      <c r="S409" s="629">
        <v>45.0</v>
      </c>
      <c r="T409" s="621">
        <v>65.0</v>
      </c>
      <c r="U409" s="622">
        <v>34.0</v>
      </c>
      <c r="V409" s="623">
        <v>40.0</v>
      </c>
      <c r="W409" s="624">
        <v>34.0</v>
      </c>
      <c r="X409" s="625">
        <v>45.0</v>
      </c>
      <c r="Y409" s="628">
        <f t="shared" si="1"/>
        <v>263</v>
      </c>
      <c r="Z409" s="619"/>
      <c r="AA409" s="630" t="str">
        <f t="shared" si="2"/>
        <v>#NAME?</v>
      </c>
      <c r="AB409" s="869" t="s">
        <v>197</v>
      </c>
      <c r="AC409" s="632" t="str">
        <f t="shared" si="3"/>
        <v>#NAME?</v>
      </c>
      <c r="AD409" s="870" t="s">
        <v>4428</v>
      </c>
      <c r="AE409" s="633" t="str">
        <f t="shared" si="4"/>
        <v>#NAME?</v>
      </c>
      <c r="AF409" s="869" t="s">
        <v>197</v>
      </c>
      <c r="AG409" s="632" t="str">
        <f t="shared" si="5"/>
        <v>#NAME?</v>
      </c>
      <c r="AH409" s="634" t="s">
        <v>4428</v>
      </c>
      <c r="AI409" s="635" t="str">
        <f t="shared" si="6"/>
        <v>#NAME?</v>
      </c>
      <c r="AJ409" s="634" t="s">
        <v>197</v>
      </c>
      <c r="AK409" s="636" t="str">
        <f t="shared" si="7"/>
        <v>#NAME?</v>
      </c>
      <c r="AL409" s="637" t="s">
        <v>4428</v>
      </c>
      <c r="AM409" s="619"/>
      <c r="AN409" s="638" t="s">
        <v>395</v>
      </c>
      <c r="AO409" s="639" t="s">
        <v>326</v>
      </c>
      <c r="AP409" s="640" t="s">
        <v>326</v>
      </c>
      <c r="AQ409" s="641" t="s">
        <v>3711</v>
      </c>
      <c r="AR409" s="642" t="s">
        <v>3710</v>
      </c>
      <c r="AS409" s="643" t="s">
        <v>3711</v>
      </c>
      <c r="AT409" s="644"/>
      <c r="AU409" s="633"/>
      <c r="AV409" s="638"/>
      <c r="AW409" s="630"/>
      <c r="AX409" s="647"/>
      <c r="AY409" s="619"/>
      <c r="AZ409" s="648" t="s">
        <v>2242</v>
      </c>
      <c r="BA409" s="694"/>
      <c r="BB409" s="690"/>
      <c r="BC409" s="619"/>
      <c r="BD409" s="651" t="s">
        <v>15</v>
      </c>
      <c r="BE409" s="653">
        <v>60.0</v>
      </c>
      <c r="BF409" s="653">
        <v>235.0</v>
      </c>
      <c r="BG409" s="654">
        <v>70.0</v>
      </c>
      <c r="BH409" s="653">
        <v>20.0</v>
      </c>
      <c r="BI409" s="607"/>
      <c r="BJ409" s="655" t="s">
        <v>149</v>
      </c>
      <c r="BK409" s="703" t="s">
        <v>149</v>
      </c>
      <c r="BL409" s="610"/>
      <c r="BM409" s="657" t="s">
        <v>277</v>
      </c>
      <c r="BN409" s="704"/>
      <c r="BO409" s="607"/>
      <c r="BP409" s="659" t="s">
        <v>3712</v>
      </c>
      <c r="BQ409" s="614"/>
      <c r="BR409" s="660" t="s">
        <v>4430</v>
      </c>
      <c r="BS409" s="614"/>
    </row>
    <row r="410" ht="15.75" customHeight="1">
      <c r="A410" s="841"/>
      <c r="B410" s="661" t="s">
        <v>3715</v>
      </c>
      <c r="C410" s="662"/>
      <c r="D410" s="571"/>
      <c r="E410" s="672">
        <v>60.0</v>
      </c>
      <c r="F410" s="664">
        <v>85.0</v>
      </c>
      <c r="G410" s="665">
        <v>49.0</v>
      </c>
      <c r="H410" s="666">
        <v>60.0</v>
      </c>
      <c r="I410" s="667">
        <v>49.0</v>
      </c>
      <c r="J410" s="668">
        <v>60.0</v>
      </c>
      <c r="K410" s="669">
        <v>363.0</v>
      </c>
      <c r="L410" s="670">
        <v>60.0</v>
      </c>
      <c r="M410" s="664">
        <v>85.0</v>
      </c>
      <c r="N410" s="665">
        <v>49.0</v>
      </c>
      <c r="O410" s="666">
        <v>60.0</v>
      </c>
      <c r="P410" s="667">
        <v>49.0</v>
      </c>
      <c r="Q410" s="668">
        <v>60.0</v>
      </c>
      <c r="R410" s="671">
        <v>363.0</v>
      </c>
      <c r="S410" s="672">
        <v>60.0</v>
      </c>
      <c r="T410" s="664">
        <v>85.0</v>
      </c>
      <c r="U410" s="665">
        <v>49.0</v>
      </c>
      <c r="V410" s="666">
        <v>60.0</v>
      </c>
      <c r="W410" s="667">
        <v>49.0</v>
      </c>
      <c r="X410" s="668">
        <v>60.0</v>
      </c>
      <c r="Y410" s="671">
        <f t="shared" si="1"/>
        <v>363</v>
      </c>
      <c r="Z410" s="571"/>
      <c r="AA410" s="673" t="str">
        <f t="shared" si="2"/>
        <v>#NAME?</v>
      </c>
      <c r="AB410" s="871" t="s">
        <v>197</v>
      </c>
      <c r="AC410" s="675" t="str">
        <f t="shared" si="3"/>
        <v>#NAME?</v>
      </c>
      <c r="AD410" s="872" t="s">
        <v>4428</v>
      </c>
      <c r="AE410" s="676" t="str">
        <f t="shared" si="4"/>
        <v>#NAME?</v>
      </c>
      <c r="AF410" s="871" t="s">
        <v>197</v>
      </c>
      <c r="AG410" s="675" t="str">
        <f t="shared" si="5"/>
        <v>#NAME?</v>
      </c>
      <c r="AH410" s="586" t="s">
        <v>4428</v>
      </c>
      <c r="AI410" s="677" t="str">
        <f t="shared" si="6"/>
        <v>#NAME?</v>
      </c>
      <c r="AJ410" s="586" t="s">
        <v>197</v>
      </c>
      <c r="AK410" s="584" t="str">
        <f t="shared" si="7"/>
        <v>#NAME?</v>
      </c>
      <c r="AL410" s="678" t="s">
        <v>4428</v>
      </c>
      <c r="AM410" s="571"/>
      <c r="AN410" s="679" t="s">
        <v>395</v>
      </c>
      <c r="AO410" s="680" t="s">
        <v>326</v>
      </c>
      <c r="AP410" s="681" t="s">
        <v>326</v>
      </c>
      <c r="AQ410" s="682" t="s">
        <v>3711</v>
      </c>
      <c r="AR410" s="683" t="s">
        <v>3710</v>
      </c>
      <c r="AS410" s="684" t="s">
        <v>3711</v>
      </c>
      <c r="AT410" s="595"/>
      <c r="AU410" s="676"/>
      <c r="AV410" s="679"/>
      <c r="AW410" s="673"/>
      <c r="AX410" s="866"/>
      <c r="AY410" s="571"/>
      <c r="AZ410" s="689" t="s">
        <v>216</v>
      </c>
      <c r="BA410" s="690"/>
      <c r="BB410" s="696"/>
      <c r="BC410" s="571"/>
      <c r="BD410" s="651" t="s">
        <v>15</v>
      </c>
      <c r="BE410" s="653">
        <v>117.0</v>
      </c>
      <c r="BF410" s="653">
        <v>120.0</v>
      </c>
      <c r="BG410" s="653">
        <v>100.0</v>
      </c>
      <c r="BH410" s="653">
        <v>60.0</v>
      </c>
      <c r="BI410" s="607"/>
      <c r="BJ410" s="655" t="s">
        <v>149</v>
      </c>
      <c r="BK410" s="703" t="s">
        <v>149</v>
      </c>
      <c r="BL410" s="610"/>
      <c r="BM410" s="657" t="s">
        <v>277</v>
      </c>
      <c r="BN410" s="704"/>
      <c r="BO410" s="607"/>
      <c r="BP410" s="659" t="s">
        <v>3719</v>
      </c>
      <c r="BQ410" s="614"/>
      <c r="BR410" s="660" t="s">
        <v>4430</v>
      </c>
      <c r="BS410" s="614"/>
    </row>
    <row r="411" ht="15.75" customHeight="1">
      <c r="A411" s="841"/>
      <c r="B411" s="617" t="s">
        <v>3722</v>
      </c>
      <c r="C411" s="618"/>
      <c r="D411" s="619"/>
      <c r="E411" s="629">
        <v>80.0</v>
      </c>
      <c r="F411" s="621">
        <v>120.0</v>
      </c>
      <c r="G411" s="622">
        <v>79.0</v>
      </c>
      <c r="H411" s="623">
        <v>95.0</v>
      </c>
      <c r="I411" s="624">
        <v>79.0</v>
      </c>
      <c r="J411" s="625">
        <v>70.0</v>
      </c>
      <c r="K411" s="626">
        <v>523.0</v>
      </c>
      <c r="L411" s="627">
        <v>80.0</v>
      </c>
      <c r="M411" s="621">
        <v>120.0</v>
      </c>
      <c r="N411" s="622">
        <v>79.0</v>
      </c>
      <c r="O411" s="623">
        <v>95.0</v>
      </c>
      <c r="P411" s="624">
        <v>79.0</v>
      </c>
      <c r="Q411" s="625">
        <v>70.0</v>
      </c>
      <c r="R411" s="628">
        <v>523.0</v>
      </c>
      <c r="S411" s="629">
        <v>80.0</v>
      </c>
      <c r="T411" s="621">
        <v>120.0</v>
      </c>
      <c r="U411" s="622">
        <v>79.0</v>
      </c>
      <c r="V411" s="623">
        <v>95.0</v>
      </c>
      <c r="W411" s="624">
        <v>79.0</v>
      </c>
      <c r="X411" s="625">
        <v>70.0</v>
      </c>
      <c r="Y411" s="628">
        <f t="shared" si="1"/>
        <v>523</v>
      </c>
      <c r="Z411" s="619"/>
      <c r="AA411" s="630" t="str">
        <f t="shared" si="2"/>
        <v>#NAME?</v>
      </c>
      <c r="AB411" s="869" t="s">
        <v>197</v>
      </c>
      <c r="AC411" s="632" t="str">
        <f t="shared" si="3"/>
        <v>#NAME?</v>
      </c>
      <c r="AD411" s="870" t="s">
        <v>4428</v>
      </c>
      <c r="AE411" s="633" t="str">
        <f t="shared" si="4"/>
        <v>#NAME?</v>
      </c>
      <c r="AF411" s="869" t="s">
        <v>197</v>
      </c>
      <c r="AG411" s="632" t="str">
        <f t="shared" si="5"/>
        <v>#NAME?</v>
      </c>
      <c r="AH411" s="634" t="s">
        <v>4428</v>
      </c>
      <c r="AI411" s="635" t="str">
        <f t="shared" si="6"/>
        <v>#NAME?</v>
      </c>
      <c r="AJ411" s="634" t="s">
        <v>197</v>
      </c>
      <c r="AK411" s="697" t="str">
        <f t="shared" si="7"/>
        <v>#NAME?</v>
      </c>
      <c r="AL411" s="637" t="s">
        <v>4453</v>
      </c>
      <c r="AM411" s="619"/>
      <c r="AN411" s="638" t="s">
        <v>395</v>
      </c>
      <c r="AO411" s="639" t="s">
        <v>326</v>
      </c>
      <c r="AP411" s="640" t="s">
        <v>326</v>
      </c>
      <c r="AQ411" s="641" t="s">
        <v>3711</v>
      </c>
      <c r="AR411" s="642" t="s">
        <v>3710</v>
      </c>
      <c r="AS411" s="643" t="s">
        <v>3711</v>
      </c>
      <c r="AT411" s="644"/>
      <c r="AU411" s="633"/>
      <c r="AV411" s="638"/>
      <c r="AW411" s="630"/>
      <c r="AX411" s="647"/>
      <c r="AY411" s="619"/>
      <c r="AZ411" s="698" t="s">
        <v>451</v>
      </c>
      <c r="BA411" s="699"/>
      <c r="BB411" s="690"/>
      <c r="BC411" s="619"/>
      <c r="BD411" s="651" t="s">
        <v>15</v>
      </c>
      <c r="BE411" s="653">
        <v>194.0</v>
      </c>
      <c r="BF411" s="653">
        <v>45.0</v>
      </c>
      <c r="BG411" s="654">
        <v>70.0</v>
      </c>
      <c r="BH411" s="653">
        <v>60.0</v>
      </c>
      <c r="BI411" s="607"/>
      <c r="BJ411" s="655" t="s">
        <v>149</v>
      </c>
      <c r="BK411" s="703" t="s">
        <v>149</v>
      </c>
      <c r="BL411" s="610"/>
      <c r="BM411" s="657" t="s">
        <v>277</v>
      </c>
      <c r="BN411" s="704"/>
      <c r="BO411" s="607"/>
      <c r="BP411" s="659" t="s">
        <v>3727</v>
      </c>
      <c r="BQ411" s="614"/>
      <c r="BR411" s="660" t="s">
        <v>4430</v>
      </c>
      <c r="BS411" s="614"/>
    </row>
    <row r="412" ht="15.75" customHeight="1">
      <c r="A412" s="841"/>
      <c r="B412" s="661" t="s">
        <v>3730</v>
      </c>
      <c r="C412" s="662"/>
      <c r="D412" s="571"/>
      <c r="E412" s="672">
        <v>40.0</v>
      </c>
      <c r="F412" s="664">
        <v>30.0</v>
      </c>
      <c r="G412" s="665">
        <v>35.0</v>
      </c>
      <c r="H412" s="666">
        <v>50.0</v>
      </c>
      <c r="I412" s="667">
        <v>70.0</v>
      </c>
      <c r="J412" s="668">
        <v>55.0</v>
      </c>
      <c r="K412" s="669">
        <v>280.0</v>
      </c>
      <c r="L412" s="670">
        <v>40.0</v>
      </c>
      <c r="M412" s="664">
        <v>30.0</v>
      </c>
      <c r="N412" s="665">
        <v>35.0</v>
      </c>
      <c r="O412" s="666">
        <v>50.0</v>
      </c>
      <c r="P412" s="667">
        <v>70.0</v>
      </c>
      <c r="Q412" s="668">
        <v>55.0</v>
      </c>
      <c r="R412" s="671">
        <v>280.0</v>
      </c>
      <c r="S412" s="672">
        <v>40.0</v>
      </c>
      <c r="T412" s="664">
        <v>30.0</v>
      </c>
      <c r="U412" s="665">
        <v>35.0</v>
      </c>
      <c r="V412" s="666">
        <v>50.0</v>
      </c>
      <c r="W412" s="667">
        <v>70.0</v>
      </c>
      <c r="X412" s="668">
        <v>55.0</v>
      </c>
      <c r="Y412" s="671">
        <f t="shared" si="1"/>
        <v>280</v>
      </c>
      <c r="Z412" s="571"/>
      <c r="AA412" s="673" t="str">
        <f t="shared" si="2"/>
        <v>#NAME?</v>
      </c>
      <c r="AB412" s="871" t="s">
        <v>6</v>
      </c>
      <c r="AC412" s="675" t="str">
        <f t="shared" si="3"/>
        <v>#NAME?</v>
      </c>
      <c r="AD412" s="872" t="s">
        <v>7</v>
      </c>
      <c r="AE412" s="676" t="str">
        <f t="shared" si="4"/>
        <v>#NAME?</v>
      </c>
      <c r="AF412" s="871" t="s">
        <v>6</v>
      </c>
      <c r="AG412" s="675" t="str">
        <f t="shared" si="5"/>
        <v>#NAME?</v>
      </c>
      <c r="AH412" s="586" t="s">
        <v>7</v>
      </c>
      <c r="AI412" s="677" t="str">
        <f t="shared" si="6"/>
        <v>#NAME?</v>
      </c>
      <c r="AJ412" s="586" t="s">
        <v>6</v>
      </c>
      <c r="AK412" s="584" t="str">
        <f t="shared" si="7"/>
        <v>#NAME?</v>
      </c>
      <c r="AL412" s="678" t="s">
        <v>7</v>
      </c>
      <c r="AM412" s="571"/>
      <c r="AN412" s="679" t="s">
        <v>1182</v>
      </c>
      <c r="AO412" s="680" t="s">
        <v>394</v>
      </c>
      <c r="AP412" s="681" t="s">
        <v>394</v>
      </c>
      <c r="AQ412" s="682" t="s">
        <v>1182</v>
      </c>
      <c r="AR412" s="683" t="s">
        <v>2917</v>
      </c>
      <c r="AS412" s="684" t="s">
        <v>1182</v>
      </c>
      <c r="AT412" s="595"/>
      <c r="AU412" s="676" t="str">
        <f t="shared" ref="AU412:AU413" si="53">image("https://www.pokebip.com/pages/icones/objets/pic-venin.png", 3)</f>
        <v/>
      </c>
      <c r="AV412" s="679" t="s">
        <v>223</v>
      </c>
      <c r="AW412" s="673"/>
      <c r="AX412" s="866"/>
      <c r="AY412" s="571"/>
      <c r="AZ412" s="695" t="s">
        <v>4</v>
      </c>
      <c r="BA412" s="700"/>
      <c r="BB412" s="690"/>
      <c r="BC412" s="571"/>
      <c r="BD412" s="651" t="s">
        <v>15</v>
      </c>
      <c r="BE412" s="653">
        <v>68.0</v>
      </c>
      <c r="BF412" s="653">
        <v>255.0</v>
      </c>
      <c r="BG412" s="858" t="s">
        <v>4454</v>
      </c>
      <c r="BH412" s="653">
        <v>20.0</v>
      </c>
      <c r="BI412" s="607"/>
      <c r="BJ412" s="655" t="s">
        <v>149</v>
      </c>
      <c r="BK412" s="703" t="s">
        <v>149</v>
      </c>
      <c r="BL412" s="610"/>
      <c r="BM412" s="657" t="s">
        <v>411</v>
      </c>
      <c r="BN412" s="704"/>
      <c r="BO412" s="607"/>
      <c r="BP412" s="659" t="s">
        <v>3733</v>
      </c>
      <c r="BQ412" s="614"/>
      <c r="BR412" s="660" t="s">
        <v>4427</v>
      </c>
      <c r="BS412" s="614"/>
    </row>
    <row r="413" ht="15.75" customHeight="1">
      <c r="A413" s="841"/>
      <c r="B413" s="617" t="s">
        <v>3736</v>
      </c>
      <c r="C413" s="618"/>
      <c r="D413" s="619"/>
      <c r="E413" s="629">
        <v>60.0</v>
      </c>
      <c r="F413" s="621">
        <v>70.0</v>
      </c>
      <c r="G413" s="622">
        <v>55.0</v>
      </c>
      <c r="H413" s="623">
        <v>125.0</v>
      </c>
      <c r="I413" s="624">
        <v>105.0</v>
      </c>
      <c r="J413" s="625">
        <v>90.0</v>
      </c>
      <c r="K413" s="626">
        <v>505.0</v>
      </c>
      <c r="L413" s="627">
        <v>60.0</v>
      </c>
      <c r="M413" s="621">
        <v>70.0</v>
      </c>
      <c r="N413" s="622">
        <v>65.0</v>
      </c>
      <c r="O413" s="623">
        <v>125.0</v>
      </c>
      <c r="P413" s="624">
        <v>105.0</v>
      </c>
      <c r="Q413" s="625">
        <v>90.0</v>
      </c>
      <c r="R413" s="628">
        <v>515.0</v>
      </c>
      <c r="S413" s="629">
        <v>60.0</v>
      </c>
      <c r="T413" s="621">
        <v>70.0</v>
      </c>
      <c r="U413" s="622">
        <v>65.0</v>
      </c>
      <c r="V413" s="623">
        <v>125.0</v>
      </c>
      <c r="W413" s="624">
        <v>105.0</v>
      </c>
      <c r="X413" s="625">
        <v>90.0</v>
      </c>
      <c r="Y413" s="628">
        <f t="shared" si="1"/>
        <v>515</v>
      </c>
      <c r="Z413" s="619"/>
      <c r="AA413" s="630" t="str">
        <f t="shared" si="2"/>
        <v>#NAME?</v>
      </c>
      <c r="AB413" s="869" t="s">
        <v>6</v>
      </c>
      <c r="AC413" s="632" t="str">
        <f t="shared" si="3"/>
        <v>#NAME?</v>
      </c>
      <c r="AD413" s="870" t="s">
        <v>7</v>
      </c>
      <c r="AE413" s="633" t="str">
        <f t="shared" si="4"/>
        <v>#NAME?</v>
      </c>
      <c r="AF413" s="869" t="s">
        <v>6</v>
      </c>
      <c r="AG413" s="632" t="str">
        <f t="shared" si="5"/>
        <v>#NAME?</v>
      </c>
      <c r="AH413" s="634" t="s">
        <v>7</v>
      </c>
      <c r="AI413" s="635" t="str">
        <f t="shared" si="6"/>
        <v>#NAME?</v>
      </c>
      <c r="AJ413" s="634" t="s">
        <v>6</v>
      </c>
      <c r="AK413" s="636" t="str">
        <f t="shared" si="7"/>
        <v>#NAME?</v>
      </c>
      <c r="AL413" s="637" t="s">
        <v>7</v>
      </c>
      <c r="AM413" s="619"/>
      <c r="AN413" s="638" t="s">
        <v>1182</v>
      </c>
      <c r="AO413" s="639" t="s">
        <v>394</v>
      </c>
      <c r="AP413" s="701" t="s">
        <v>627</v>
      </c>
      <c r="AQ413" s="740" t="s">
        <v>1182</v>
      </c>
      <c r="AR413" s="642" t="s">
        <v>1278</v>
      </c>
      <c r="AS413" s="643" t="s">
        <v>1182</v>
      </c>
      <c r="AT413" s="644"/>
      <c r="AU413" s="633" t="str">
        <f t="shared" si="53"/>
        <v/>
      </c>
      <c r="AV413" s="638" t="s">
        <v>223</v>
      </c>
      <c r="AW413" s="630"/>
      <c r="AX413" s="647"/>
      <c r="AY413" s="619"/>
      <c r="AZ413" s="698" t="s">
        <v>85</v>
      </c>
      <c r="BA413" s="699"/>
      <c r="BB413" s="690"/>
      <c r="BC413" s="619"/>
      <c r="BD413" s="651" t="s">
        <v>15</v>
      </c>
      <c r="BE413" s="653">
        <v>204.0</v>
      </c>
      <c r="BF413" s="653">
        <v>75.0</v>
      </c>
      <c r="BG413" s="654">
        <v>70.0</v>
      </c>
      <c r="BH413" s="653">
        <v>40.0</v>
      </c>
      <c r="BI413" s="607"/>
      <c r="BJ413" s="655" t="s">
        <v>149</v>
      </c>
      <c r="BK413" s="703" t="s">
        <v>149</v>
      </c>
      <c r="BL413" s="610"/>
      <c r="BM413" s="657" t="s">
        <v>153</v>
      </c>
      <c r="BN413" s="658" t="s">
        <v>6</v>
      </c>
      <c r="BO413" s="607"/>
      <c r="BP413" s="659" t="s">
        <v>3741</v>
      </c>
      <c r="BQ413" s="614"/>
      <c r="BR413" s="660" t="s">
        <v>4427</v>
      </c>
      <c r="BS413" s="614"/>
    </row>
    <row r="414" ht="15.75" customHeight="1">
      <c r="A414" s="841"/>
      <c r="B414" s="661" t="s">
        <v>3744</v>
      </c>
      <c r="C414" s="662"/>
      <c r="D414" s="571"/>
      <c r="E414" s="672">
        <v>67.0</v>
      </c>
      <c r="F414" s="664">
        <v>125.0</v>
      </c>
      <c r="G414" s="665">
        <v>40.0</v>
      </c>
      <c r="H414" s="666">
        <v>30.0</v>
      </c>
      <c r="I414" s="667">
        <v>30.0</v>
      </c>
      <c r="J414" s="668">
        <v>58.0</v>
      </c>
      <c r="K414" s="669">
        <v>350.0</v>
      </c>
      <c r="L414" s="670">
        <v>67.0</v>
      </c>
      <c r="M414" s="664">
        <v>125.0</v>
      </c>
      <c r="N414" s="665">
        <v>40.0</v>
      </c>
      <c r="O414" s="666">
        <v>30.0</v>
      </c>
      <c r="P414" s="667">
        <v>30.0</v>
      </c>
      <c r="Q414" s="668">
        <v>58.0</v>
      </c>
      <c r="R414" s="671">
        <v>350.0</v>
      </c>
      <c r="S414" s="672">
        <v>67.0</v>
      </c>
      <c r="T414" s="664">
        <v>125.0</v>
      </c>
      <c r="U414" s="665">
        <v>40.0</v>
      </c>
      <c r="V414" s="666">
        <v>30.0</v>
      </c>
      <c r="W414" s="667">
        <v>30.0</v>
      </c>
      <c r="X414" s="668">
        <v>58.0</v>
      </c>
      <c r="Y414" s="671">
        <f t="shared" si="1"/>
        <v>350</v>
      </c>
      <c r="Z414" s="571"/>
      <c r="AA414" s="673" t="str">
        <f t="shared" si="2"/>
        <v>#NAME?</v>
      </c>
      <c r="AB414" s="871" t="s">
        <v>66</v>
      </c>
      <c r="AC414" s="675" t="str">
        <f t="shared" si="3"/>
        <v>#NAME?</v>
      </c>
      <c r="AD414" s="872" t="s">
        <v>4428</v>
      </c>
      <c r="AE414" s="676" t="str">
        <f t="shared" si="4"/>
        <v>#NAME?</v>
      </c>
      <c r="AF414" s="871" t="s">
        <v>66</v>
      </c>
      <c r="AG414" s="675" t="str">
        <f t="shared" si="5"/>
        <v>#NAME?</v>
      </c>
      <c r="AH414" s="586" t="s">
        <v>4428</v>
      </c>
      <c r="AI414" s="677" t="str">
        <f t="shared" si="6"/>
        <v>#NAME?</v>
      </c>
      <c r="AJ414" s="586" t="s">
        <v>66</v>
      </c>
      <c r="AK414" s="584" t="str">
        <f t="shared" si="7"/>
        <v>#NAME?</v>
      </c>
      <c r="AL414" s="678" t="s">
        <v>4428</v>
      </c>
      <c r="AM414" s="571"/>
      <c r="AN414" s="679" t="s">
        <v>1324</v>
      </c>
      <c r="AO414" s="680"/>
      <c r="AP414" s="705" t="s">
        <v>1324</v>
      </c>
      <c r="AQ414" s="680"/>
      <c r="AR414" s="681" t="s">
        <v>3472</v>
      </c>
      <c r="AS414" s="684" t="s">
        <v>1324</v>
      </c>
      <c r="AT414" s="595"/>
      <c r="AU414" s="676"/>
      <c r="AV414" s="679"/>
      <c r="AW414" s="673"/>
      <c r="AX414" s="866"/>
      <c r="AY414" s="571"/>
      <c r="AZ414" s="695" t="s">
        <v>325</v>
      </c>
      <c r="BA414" s="700"/>
      <c r="BB414" s="690"/>
      <c r="BC414" s="571"/>
      <c r="BD414" s="651" t="s">
        <v>2698</v>
      </c>
      <c r="BE414" s="653">
        <v>99.0</v>
      </c>
      <c r="BF414" s="653">
        <v>45.0</v>
      </c>
      <c r="BG414" s="654">
        <v>70.0</v>
      </c>
      <c r="BH414" s="653">
        <v>60.0</v>
      </c>
      <c r="BI414" s="607"/>
      <c r="BJ414" s="655" t="s">
        <v>13</v>
      </c>
      <c r="BK414" s="656">
        <v>0.125</v>
      </c>
      <c r="BL414" s="610"/>
      <c r="BM414" s="657" t="s">
        <v>14</v>
      </c>
      <c r="BN414" s="704"/>
      <c r="BO414" s="607"/>
      <c r="BP414" s="659" t="s">
        <v>3747</v>
      </c>
      <c r="BQ414" s="614"/>
      <c r="BR414" s="660" t="s">
        <v>4430</v>
      </c>
      <c r="BS414" s="614"/>
    </row>
    <row r="415" ht="15.75" customHeight="1">
      <c r="A415" s="841"/>
      <c r="B415" s="617" t="s">
        <v>3750</v>
      </c>
      <c r="C415" s="618"/>
      <c r="D415" s="619"/>
      <c r="E415" s="629">
        <v>97.0</v>
      </c>
      <c r="F415" s="621">
        <v>165.0</v>
      </c>
      <c r="G415" s="622">
        <v>60.0</v>
      </c>
      <c r="H415" s="748">
        <v>65.0</v>
      </c>
      <c r="I415" s="624">
        <v>50.0</v>
      </c>
      <c r="J415" s="625">
        <v>58.0</v>
      </c>
      <c r="K415" s="749">
        <v>495.0</v>
      </c>
      <c r="L415" s="627">
        <v>97.0</v>
      </c>
      <c r="M415" s="621">
        <v>165.0</v>
      </c>
      <c r="N415" s="622">
        <v>60.0</v>
      </c>
      <c r="O415" s="623">
        <v>65.0</v>
      </c>
      <c r="P415" s="624">
        <v>50.0</v>
      </c>
      <c r="Q415" s="625">
        <v>58.0</v>
      </c>
      <c r="R415" s="628">
        <v>495.0</v>
      </c>
      <c r="S415" s="629">
        <v>97.0</v>
      </c>
      <c r="T415" s="621">
        <v>165.0</v>
      </c>
      <c r="U415" s="622">
        <v>60.0</v>
      </c>
      <c r="V415" s="623">
        <v>65.0</v>
      </c>
      <c r="W415" s="624">
        <v>50.0</v>
      </c>
      <c r="X415" s="625">
        <v>58.0</v>
      </c>
      <c r="Y415" s="628">
        <f t="shared" si="1"/>
        <v>495</v>
      </c>
      <c r="Z415" s="619"/>
      <c r="AA415" s="630" t="str">
        <f t="shared" si="2"/>
        <v>#NAME?</v>
      </c>
      <c r="AB415" s="869" t="s">
        <v>66</v>
      </c>
      <c r="AC415" s="632" t="str">
        <f t="shared" si="3"/>
        <v>#NAME?</v>
      </c>
      <c r="AD415" s="870" t="s">
        <v>4428</v>
      </c>
      <c r="AE415" s="633" t="str">
        <f t="shared" si="4"/>
        <v>#NAME?</v>
      </c>
      <c r="AF415" s="869" t="s">
        <v>66</v>
      </c>
      <c r="AG415" s="632" t="str">
        <f t="shared" si="5"/>
        <v>#NAME?</v>
      </c>
      <c r="AH415" s="634" t="s">
        <v>4428</v>
      </c>
      <c r="AI415" s="635" t="str">
        <f t="shared" si="6"/>
        <v>#NAME?</v>
      </c>
      <c r="AJ415" s="634" t="s">
        <v>66</v>
      </c>
      <c r="AK415" s="636" t="str">
        <f t="shared" si="7"/>
        <v>#NAME?</v>
      </c>
      <c r="AL415" s="637" t="s">
        <v>4428</v>
      </c>
      <c r="AM415" s="619"/>
      <c r="AN415" s="638" t="s">
        <v>1324</v>
      </c>
      <c r="AO415" s="639"/>
      <c r="AP415" s="712" t="s">
        <v>1324</v>
      </c>
      <c r="AQ415" s="639"/>
      <c r="AR415" s="640" t="s">
        <v>3472</v>
      </c>
      <c r="AS415" s="643" t="s">
        <v>1324</v>
      </c>
      <c r="AT415" s="644"/>
      <c r="AU415" s="633"/>
      <c r="AV415" s="638"/>
      <c r="AW415" s="630"/>
      <c r="AX415" s="647"/>
      <c r="AY415" s="619"/>
      <c r="AZ415" s="698" t="s">
        <v>216</v>
      </c>
      <c r="BA415" s="690"/>
      <c r="BB415" s="650"/>
      <c r="BC415" s="619"/>
      <c r="BD415" s="651" t="s">
        <v>2698</v>
      </c>
      <c r="BE415" s="653">
        <v>199.0</v>
      </c>
      <c r="BF415" s="653">
        <v>45.0</v>
      </c>
      <c r="BG415" s="654">
        <v>70.0</v>
      </c>
      <c r="BH415" s="653">
        <v>100.0</v>
      </c>
      <c r="BI415" s="607"/>
      <c r="BJ415" s="655" t="s">
        <v>13</v>
      </c>
      <c r="BK415" s="656">
        <v>0.125</v>
      </c>
      <c r="BL415" s="610"/>
      <c r="BM415" s="657" t="s">
        <v>14</v>
      </c>
      <c r="BN415" s="704"/>
      <c r="BO415" s="607"/>
      <c r="BP415" s="659" t="s">
        <v>3754</v>
      </c>
      <c r="BQ415" s="614"/>
      <c r="BR415" s="660" t="s">
        <v>4430</v>
      </c>
      <c r="BS415" s="614"/>
    </row>
    <row r="416" ht="15.75" customHeight="1">
      <c r="A416" s="841"/>
      <c r="B416" s="661" t="s">
        <v>3757</v>
      </c>
      <c r="C416" s="662"/>
      <c r="D416" s="571"/>
      <c r="E416" s="672">
        <v>30.0</v>
      </c>
      <c r="F416" s="664">
        <v>42.0</v>
      </c>
      <c r="G416" s="665">
        <v>118.0</v>
      </c>
      <c r="H416" s="666">
        <v>42.0</v>
      </c>
      <c r="I416" s="667">
        <v>88.0</v>
      </c>
      <c r="J416" s="668">
        <v>30.0</v>
      </c>
      <c r="K416" s="669">
        <v>350.0</v>
      </c>
      <c r="L416" s="670">
        <v>30.0</v>
      </c>
      <c r="M416" s="664">
        <v>42.0</v>
      </c>
      <c r="N416" s="665">
        <v>118.0</v>
      </c>
      <c r="O416" s="666">
        <v>42.0</v>
      </c>
      <c r="P416" s="667">
        <v>88.0</v>
      </c>
      <c r="Q416" s="668">
        <v>30.0</v>
      </c>
      <c r="R416" s="671">
        <v>350.0</v>
      </c>
      <c r="S416" s="672">
        <v>30.0</v>
      </c>
      <c r="T416" s="741">
        <v>62.0</v>
      </c>
      <c r="U416" s="665">
        <v>118.0</v>
      </c>
      <c r="V416" s="743">
        <v>22.0</v>
      </c>
      <c r="W416" s="667">
        <v>88.0</v>
      </c>
      <c r="X416" s="668">
        <v>30.0</v>
      </c>
      <c r="Y416" s="671">
        <f t="shared" si="1"/>
        <v>350</v>
      </c>
      <c r="Z416" s="571"/>
      <c r="AA416" s="673" t="str">
        <f t="shared" si="2"/>
        <v>#NAME?</v>
      </c>
      <c r="AB416" s="871" t="s">
        <v>66</v>
      </c>
      <c r="AC416" s="675" t="str">
        <f t="shared" si="3"/>
        <v>#NAME?</v>
      </c>
      <c r="AD416" s="872" t="s">
        <v>95</v>
      </c>
      <c r="AE416" s="676" t="str">
        <f t="shared" si="4"/>
        <v>#NAME?</v>
      </c>
      <c r="AF416" s="871" t="s">
        <v>66</v>
      </c>
      <c r="AG416" s="675" t="str">
        <f t="shared" si="5"/>
        <v>#NAME?</v>
      </c>
      <c r="AH416" s="586" t="s">
        <v>95</v>
      </c>
      <c r="AI416" s="677" t="str">
        <f t="shared" si="6"/>
        <v>#NAME?</v>
      </c>
      <c r="AJ416" s="586" t="s">
        <v>66</v>
      </c>
      <c r="AK416" s="584" t="str">
        <f t="shared" si="7"/>
        <v>#NAME?</v>
      </c>
      <c r="AL416" s="678" t="s">
        <v>95</v>
      </c>
      <c r="AM416" s="571"/>
      <c r="AN416" s="679" t="s">
        <v>825</v>
      </c>
      <c r="AO416" s="680"/>
      <c r="AP416" s="734" t="s">
        <v>3764</v>
      </c>
      <c r="AQ416" s="735" t="s">
        <v>825</v>
      </c>
      <c r="AR416" s="683" t="s">
        <v>3764</v>
      </c>
      <c r="AS416" s="684" t="s">
        <v>825</v>
      </c>
      <c r="AT416" s="595"/>
      <c r="AU416" s="676"/>
      <c r="AV416" s="679"/>
      <c r="AW416" s="673"/>
      <c r="AX416" s="866"/>
      <c r="AY416" s="571"/>
      <c r="AZ416" s="695" t="s">
        <v>101</v>
      </c>
      <c r="BA416" s="700"/>
      <c r="BB416" s="690"/>
      <c r="BC416" s="571"/>
      <c r="BD416" s="651" t="s">
        <v>2698</v>
      </c>
      <c r="BE416" s="653">
        <v>99.0</v>
      </c>
      <c r="BF416" s="653">
        <v>45.0</v>
      </c>
      <c r="BG416" s="654">
        <v>70.0</v>
      </c>
      <c r="BH416" s="653">
        <v>80.0</v>
      </c>
      <c r="BI416" s="607"/>
      <c r="BJ416" s="655" t="s">
        <v>13</v>
      </c>
      <c r="BK416" s="656">
        <v>0.125</v>
      </c>
      <c r="BL416" s="610"/>
      <c r="BM416" s="657" t="s">
        <v>14</v>
      </c>
      <c r="BN416" s="704"/>
      <c r="BO416" s="607"/>
      <c r="BP416" s="659" t="s">
        <v>3766</v>
      </c>
      <c r="BQ416" s="614"/>
      <c r="BR416" s="660" t="s">
        <v>4437</v>
      </c>
      <c r="BS416" s="614"/>
    </row>
    <row r="417" ht="15.75" customHeight="1">
      <c r="A417" s="841"/>
      <c r="B417" s="617" t="s">
        <v>3769</v>
      </c>
      <c r="C417" s="618"/>
      <c r="D417" s="619"/>
      <c r="E417" s="629">
        <v>60.0</v>
      </c>
      <c r="F417" s="621">
        <v>52.0</v>
      </c>
      <c r="G417" s="622">
        <v>168.0</v>
      </c>
      <c r="H417" s="623">
        <v>47.0</v>
      </c>
      <c r="I417" s="624">
        <v>138.0</v>
      </c>
      <c r="J417" s="625">
        <v>30.0</v>
      </c>
      <c r="K417" s="626">
        <v>495.0</v>
      </c>
      <c r="L417" s="627">
        <v>60.0</v>
      </c>
      <c r="M417" s="621">
        <v>52.0</v>
      </c>
      <c r="N417" s="622">
        <v>168.0</v>
      </c>
      <c r="O417" s="623">
        <v>47.0</v>
      </c>
      <c r="P417" s="624">
        <v>138.0</v>
      </c>
      <c r="Q417" s="625">
        <v>30.0</v>
      </c>
      <c r="R417" s="628">
        <v>495.0</v>
      </c>
      <c r="S417" s="629">
        <v>60.0</v>
      </c>
      <c r="T417" s="750">
        <v>72.0</v>
      </c>
      <c r="U417" s="622">
        <v>168.0</v>
      </c>
      <c r="V417" s="748">
        <v>27.0</v>
      </c>
      <c r="W417" s="624">
        <v>138.0</v>
      </c>
      <c r="X417" s="625">
        <v>30.0</v>
      </c>
      <c r="Y417" s="628">
        <f t="shared" si="1"/>
        <v>495</v>
      </c>
      <c r="Z417" s="619"/>
      <c r="AA417" s="630" t="str">
        <f t="shared" si="2"/>
        <v>#NAME?</v>
      </c>
      <c r="AB417" s="869" t="s">
        <v>66</v>
      </c>
      <c r="AC417" s="632" t="str">
        <f t="shared" si="3"/>
        <v>#NAME?</v>
      </c>
      <c r="AD417" s="870" t="s">
        <v>95</v>
      </c>
      <c r="AE417" s="633" t="str">
        <f t="shared" si="4"/>
        <v>#NAME?</v>
      </c>
      <c r="AF417" s="869" t="s">
        <v>66</v>
      </c>
      <c r="AG417" s="632" t="str">
        <f t="shared" si="5"/>
        <v>#NAME?</v>
      </c>
      <c r="AH417" s="634" t="s">
        <v>95</v>
      </c>
      <c r="AI417" s="635" t="str">
        <f t="shared" si="6"/>
        <v>#NAME?</v>
      </c>
      <c r="AJ417" s="634" t="s">
        <v>66</v>
      </c>
      <c r="AK417" s="636" t="str">
        <f t="shared" si="7"/>
        <v>#NAME?</v>
      </c>
      <c r="AL417" s="637" t="s">
        <v>95</v>
      </c>
      <c r="AM417" s="619"/>
      <c r="AN417" s="638" t="s">
        <v>825</v>
      </c>
      <c r="AO417" s="639"/>
      <c r="AP417" s="701" t="s">
        <v>3764</v>
      </c>
      <c r="AQ417" s="641" t="s">
        <v>825</v>
      </c>
      <c r="AR417" s="642" t="s">
        <v>3764</v>
      </c>
      <c r="AS417" s="643" t="s">
        <v>825</v>
      </c>
      <c r="AT417" s="644"/>
      <c r="AU417" s="633"/>
      <c r="AV417" s="638"/>
      <c r="AW417" s="630"/>
      <c r="AX417" s="647"/>
      <c r="AY417" s="619"/>
      <c r="AZ417" s="698" t="s">
        <v>162</v>
      </c>
      <c r="BA417" s="690"/>
      <c r="BB417" s="650"/>
      <c r="BC417" s="619"/>
      <c r="BD417" s="651" t="s">
        <v>2698</v>
      </c>
      <c r="BE417" s="653">
        <v>199.0</v>
      </c>
      <c r="BF417" s="653">
        <v>45.0</v>
      </c>
      <c r="BG417" s="653">
        <v>70.0</v>
      </c>
      <c r="BH417" s="653">
        <v>100.0</v>
      </c>
      <c r="BI417" s="607"/>
      <c r="BJ417" s="655" t="s">
        <v>13</v>
      </c>
      <c r="BK417" s="656">
        <v>0.125</v>
      </c>
      <c r="BL417" s="610"/>
      <c r="BM417" s="657" t="s">
        <v>14</v>
      </c>
      <c r="BN417" s="704"/>
      <c r="BO417" s="607"/>
      <c r="BP417" s="659" t="s">
        <v>3775</v>
      </c>
      <c r="BQ417" s="614"/>
      <c r="BR417" s="660" t="s">
        <v>4437</v>
      </c>
      <c r="BS417" s="614"/>
    </row>
    <row r="418" ht="15.75" customHeight="1">
      <c r="A418" s="841"/>
      <c r="B418" s="661" t="s">
        <v>3778</v>
      </c>
      <c r="C418" s="662"/>
      <c r="D418" s="571"/>
      <c r="E418" s="672">
        <v>40.0</v>
      </c>
      <c r="F418" s="664">
        <v>29.0</v>
      </c>
      <c r="G418" s="665">
        <v>45.0</v>
      </c>
      <c r="H418" s="666">
        <v>29.0</v>
      </c>
      <c r="I418" s="667">
        <v>45.0</v>
      </c>
      <c r="J418" s="668">
        <v>36.0</v>
      </c>
      <c r="K418" s="669">
        <v>224.0</v>
      </c>
      <c r="L418" s="670">
        <v>40.0</v>
      </c>
      <c r="M418" s="664">
        <v>29.0</v>
      </c>
      <c r="N418" s="665">
        <v>45.0</v>
      </c>
      <c r="O418" s="666">
        <v>29.0</v>
      </c>
      <c r="P418" s="667">
        <v>45.0</v>
      </c>
      <c r="Q418" s="668">
        <v>36.0</v>
      </c>
      <c r="R418" s="671">
        <v>224.0</v>
      </c>
      <c r="S418" s="672">
        <v>40.0</v>
      </c>
      <c r="T418" s="741">
        <v>20.0</v>
      </c>
      <c r="U418" s="665">
        <v>45.0</v>
      </c>
      <c r="V418" s="743">
        <v>45.0</v>
      </c>
      <c r="W418" s="667">
        <v>45.0</v>
      </c>
      <c r="X418" s="745">
        <v>30.0</v>
      </c>
      <c r="Y418" s="671">
        <f t="shared" si="1"/>
        <v>225</v>
      </c>
      <c r="Z418" s="571"/>
      <c r="AA418" s="673" t="str">
        <f t="shared" si="2"/>
        <v>#NAME?</v>
      </c>
      <c r="AB418" s="871" t="s">
        <v>109</v>
      </c>
      <c r="AC418" s="675" t="str">
        <f t="shared" si="3"/>
        <v>#NAME?</v>
      </c>
      <c r="AD418" s="872" t="s">
        <v>4428</v>
      </c>
      <c r="AE418" s="676" t="str">
        <f t="shared" si="4"/>
        <v>#NAME?</v>
      </c>
      <c r="AF418" s="871" t="s">
        <v>109</v>
      </c>
      <c r="AG418" s="675" t="str">
        <f t="shared" si="5"/>
        <v>#NAME?</v>
      </c>
      <c r="AH418" s="586" t="s">
        <v>4428</v>
      </c>
      <c r="AI418" s="677" t="str">
        <f t="shared" si="6"/>
        <v>#NAME?</v>
      </c>
      <c r="AJ418" s="586" t="s">
        <v>109</v>
      </c>
      <c r="AK418" s="584" t="str">
        <f t="shared" si="7"/>
        <v>#NAME?</v>
      </c>
      <c r="AL418" s="678" t="s">
        <v>4428</v>
      </c>
      <c r="AM418" s="571"/>
      <c r="AN418" s="679" t="s">
        <v>163</v>
      </c>
      <c r="AO418" s="680"/>
      <c r="AP418" s="705" t="s">
        <v>163</v>
      </c>
      <c r="AQ418" s="706" t="s">
        <v>163</v>
      </c>
      <c r="AR418" s="683" t="s">
        <v>3400</v>
      </c>
      <c r="AS418" s="684" t="s">
        <v>163</v>
      </c>
      <c r="AT418" s="595"/>
      <c r="AU418" s="676"/>
      <c r="AV418" s="679"/>
      <c r="AW418" s="673"/>
      <c r="AX418" s="866"/>
      <c r="AY418" s="571"/>
      <c r="AZ418" s="695" t="s">
        <v>27</v>
      </c>
      <c r="BA418" s="700"/>
      <c r="BB418" s="690"/>
      <c r="BC418" s="571"/>
      <c r="BD418" s="651" t="s">
        <v>150</v>
      </c>
      <c r="BE418" s="653">
        <v>61.0</v>
      </c>
      <c r="BF418" s="653">
        <v>120.0</v>
      </c>
      <c r="BG418" s="653">
        <v>70.0</v>
      </c>
      <c r="BH418" s="653">
        <v>20.0</v>
      </c>
      <c r="BI418" s="607"/>
      <c r="BJ418" s="655" t="s">
        <v>149</v>
      </c>
      <c r="BK418" s="703" t="s">
        <v>149</v>
      </c>
      <c r="BL418" s="610"/>
      <c r="BM418" s="657" t="s">
        <v>109</v>
      </c>
      <c r="BN418" s="704"/>
      <c r="BO418" s="607"/>
      <c r="BP418" s="659" t="s">
        <v>3783</v>
      </c>
      <c r="BQ418" s="614"/>
      <c r="BR418" s="660" t="s">
        <v>4437</v>
      </c>
      <c r="BS418" s="614"/>
    </row>
    <row r="419" ht="15.75" customHeight="1">
      <c r="A419" s="841"/>
      <c r="B419" s="617" t="s">
        <v>3787</v>
      </c>
      <c r="C419" s="618"/>
      <c r="D419" s="619"/>
      <c r="E419" s="629">
        <v>60.0</v>
      </c>
      <c r="F419" s="621">
        <v>59.0</v>
      </c>
      <c r="G419" s="622">
        <v>85.0</v>
      </c>
      <c r="H419" s="623">
        <v>79.0</v>
      </c>
      <c r="I419" s="624">
        <v>105.0</v>
      </c>
      <c r="J419" s="625">
        <v>36.0</v>
      </c>
      <c r="K419" s="626">
        <v>424.0</v>
      </c>
      <c r="L419" s="627">
        <v>60.0</v>
      </c>
      <c r="M419" s="621">
        <v>59.0</v>
      </c>
      <c r="N419" s="622">
        <v>85.0</v>
      </c>
      <c r="O419" s="623">
        <v>79.0</v>
      </c>
      <c r="P419" s="624">
        <v>105.0</v>
      </c>
      <c r="Q419" s="625">
        <v>36.0</v>
      </c>
      <c r="R419" s="628">
        <v>424.0</v>
      </c>
      <c r="S419" s="629">
        <v>60.0</v>
      </c>
      <c r="T419" s="750">
        <v>50.0</v>
      </c>
      <c r="U419" s="751">
        <v>90.0</v>
      </c>
      <c r="V419" s="748">
        <v>110.0</v>
      </c>
      <c r="W419" s="752">
        <v>110.0</v>
      </c>
      <c r="X419" s="753">
        <v>30.0</v>
      </c>
      <c r="Y419" s="628">
        <f t="shared" si="1"/>
        <v>450</v>
      </c>
      <c r="Z419" s="619"/>
      <c r="AA419" s="630" t="str">
        <f t="shared" si="2"/>
        <v>#NAME?</v>
      </c>
      <c r="AB419" s="869" t="s">
        <v>109</v>
      </c>
      <c r="AC419" s="632" t="str">
        <f t="shared" si="3"/>
        <v>#NAME?</v>
      </c>
      <c r="AD419" s="870" t="s">
        <v>6</v>
      </c>
      <c r="AE419" s="633" t="str">
        <f t="shared" si="4"/>
        <v>#NAME?</v>
      </c>
      <c r="AF419" s="869" t="s">
        <v>109</v>
      </c>
      <c r="AG419" s="632" t="str">
        <f t="shared" si="5"/>
        <v>#NAME?</v>
      </c>
      <c r="AH419" s="634" t="s">
        <v>6</v>
      </c>
      <c r="AI419" s="635" t="str">
        <f t="shared" si="6"/>
        <v>#NAME?</v>
      </c>
      <c r="AJ419" s="634" t="s">
        <v>109</v>
      </c>
      <c r="AK419" s="636" t="str">
        <f t="shared" si="7"/>
        <v>#NAME?</v>
      </c>
      <c r="AL419" s="637" t="s">
        <v>6</v>
      </c>
      <c r="AM419" s="619"/>
      <c r="AN419" s="639" t="s">
        <v>3151</v>
      </c>
      <c r="AO419" s="639"/>
      <c r="AP419" s="890" t="s">
        <v>3151</v>
      </c>
      <c r="AQ419" s="713" t="s">
        <v>4493</v>
      </c>
      <c r="AR419" s="642" t="s">
        <v>3400</v>
      </c>
      <c r="AS419" s="641" t="s">
        <v>4493</v>
      </c>
      <c r="AT419" s="644"/>
      <c r="AU419" s="633" t="str">
        <f t="shared" ref="AU419:AU421" si="54">image("https://www.pokebip.com/pages/icones/objets/poudre-argentee.png", 3)</f>
        <v/>
      </c>
      <c r="AV419" s="638" t="s">
        <v>183</v>
      </c>
      <c r="AW419" s="630"/>
      <c r="AX419" s="647"/>
      <c r="AY419" s="619"/>
      <c r="AZ419" s="698" t="s">
        <v>815</v>
      </c>
      <c r="BA419" s="690"/>
      <c r="BB419" s="650"/>
      <c r="BC419" s="619"/>
      <c r="BD419" s="651" t="s">
        <v>150</v>
      </c>
      <c r="BE419" s="653">
        <v>159.0</v>
      </c>
      <c r="BF419" s="653">
        <v>45.0</v>
      </c>
      <c r="BG419" s="653">
        <v>70.0</v>
      </c>
      <c r="BH419" s="653">
        <v>20.0</v>
      </c>
      <c r="BI419" s="607"/>
      <c r="BJ419" s="655" t="s">
        <v>149</v>
      </c>
      <c r="BK419" s="703" t="s">
        <v>149</v>
      </c>
      <c r="BL419" s="610"/>
      <c r="BM419" s="657" t="s">
        <v>109</v>
      </c>
      <c r="BN419" s="704"/>
      <c r="BO419" s="607"/>
      <c r="BP419" s="659" t="s">
        <v>3790</v>
      </c>
      <c r="BQ419" s="614"/>
      <c r="BR419" s="660" t="s">
        <v>4437</v>
      </c>
      <c r="BS419" s="614"/>
    </row>
    <row r="420" ht="15.75" customHeight="1">
      <c r="A420" s="841"/>
      <c r="B420" s="661" t="s">
        <v>3797</v>
      </c>
      <c r="C420" s="662"/>
      <c r="D420" s="571"/>
      <c r="E420" s="672">
        <v>60.0</v>
      </c>
      <c r="F420" s="664">
        <v>79.0</v>
      </c>
      <c r="G420" s="665">
        <v>105.0</v>
      </c>
      <c r="H420" s="666">
        <v>59.0</v>
      </c>
      <c r="I420" s="667">
        <v>85.0</v>
      </c>
      <c r="J420" s="668">
        <v>36.0</v>
      </c>
      <c r="K420" s="669">
        <v>424.0</v>
      </c>
      <c r="L420" s="670">
        <v>60.0</v>
      </c>
      <c r="M420" s="664">
        <v>79.0</v>
      </c>
      <c r="N420" s="665">
        <v>105.0</v>
      </c>
      <c r="O420" s="666">
        <v>59.0</v>
      </c>
      <c r="P420" s="667">
        <v>85.0</v>
      </c>
      <c r="Q420" s="668">
        <v>36.0</v>
      </c>
      <c r="R420" s="671">
        <v>424.0</v>
      </c>
      <c r="S420" s="672">
        <v>60.0</v>
      </c>
      <c r="T420" s="741">
        <v>50.0</v>
      </c>
      <c r="U420" s="742">
        <v>110.0</v>
      </c>
      <c r="V420" s="743">
        <v>110.0</v>
      </c>
      <c r="W420" s="744">
        <v>90.0</v>
      </c>
      <c r="X420" s="668">
        <v>30.0</v>
      </c>
      <c r="Y420" s="671">
        <f t="shared" si="1"/>
        <v>450</v>
      </c>
      <c r="Z420" s="571"/>
      <c r="AA420" s="673" t="str">
        <f t="shared" si="2"/>
        <v>#NAME?</v>
      </c>
      <c r="AB420" s="871" t="s">
        <v>109</v>
      </c>
      <c r="AC420" s="675" t="str">
        <f t="shared" si="3"/>
        <v>#NAME?</v>
      </c>
      <c r="AD420" s="872" t="s">
        <v>79</v>
      </c>
      <c r="AE420" s="676" t="str">
        <f t="shared" si="4"/>
        <v>#NAME?</v>
      </c>
      <c r="AF420" s="871" t="s">
        <v>109</v>
      </c>
      <c r="AG420" s="675" t="str">
        <f t="shared" si="5"/>
        <v>#NAME?</v>
      </c>
      <c r="AH420" s="586" t="s">
        <v>79</v>
      </c>
      <c r="AI420" s="677" t="str">
        <f t="shared" si="6"/>
        <v>#NAME?</v>
      </c>
      <c r="AJ420" s="586" t="s">
        <v>109</v>
      </c>
      <c r="AK420" s="584" t="str">
        <f t="shared" si="7"/>
        <v>#NAME?</v>
      </c>
      <c r="AL420" s="678" t="s">
        <v>79</v>
      </c>
      <c r="AM420" s="571"/>
      <c r="AN420" s="680" t="s">
        <v>3151</v>
      </c>
      <c r="AO420" s="680"/>
      <c r="AP420" s="891" t="s">
        <v>3151</v>
      </c>
      <c r="AQ420" s="706" t="s">
        <v>4493</v>
      </c>
      <c r="AR420" s="683" t="s">
        <v>3400</v>
      </c>
      <c r="AS420" s="682" t="s">
        <v>4493</v>
      </c>
      <c r="AT420" s="595"/>
      <c r="AU420" s="676" t="str">
        <f t="shared" si="54"/>
        <v/>
      </c>
      <c r="AV420" s="679" t="s">
        <v>183</v>
      </c>
      <c r="AW420" s="673"/>
      <c r="AX420" s="866"/>
      <c r="AY420" s="571"/>
      <c r="AZ420" s="689" t="s">
        <v>162</v>
      </c>
      <c r="BA420" s="690"/>
      <c r="BB420" s="696"/>
      <c r="BC420" s="571"/>
      <c r="BD420" s="651" t="s">
        <v>150</v>
      </c>
      <c r="BE420" s="653">
        <v>159.0</v>
      </c>
      <c r="BF420" s="653">
        <v>45.0</v>
      </c>
      <c r="BG420" s="653">
        <v>70.0</v>
      </c>
      <c r="BH420" s="653">
        <v>20.0</v>
      </c>
      <c r="BI420" s="607"/>
      <c r="BJ420" s="655" t="s">
        <v>149</v>
      </c>
      <c r="BK420" s="703" t="s">
        <v>149</v>
      </c>
      <c r="BL420" s="610"/>
      <c r="BM420" s="657" t="s">
        <v>109</v>
      </c>
      <c r="BN420" s="704"/>
      <c r="BO420" s="607"/>
      <c r="BP420" s="659" t="s">
        <v>3798</v>
      </c>
      <c r="BQ420" s="614"/>
      <c r="BR420" s="660" t="s">
        <v>4437</v>
      </c>
      <c r="BS420" s="614"/>
    </row>
    <row r="421" ht="15.75" customHeight="1">
      <c r="A421" s="841"/>
      <c r="B421" s="617" t="s">
        <v>3805</v>
      </c>
      <c r="C421" s="618"/>
      <c r="D421" s="619"/>
      <c r="E421" s="629">
        <v>60.0</v>
      </c>
      <c r="F421" s="621">
        <v>69.0</v>
      </c>
      <c r="G421" s="622">
        <v>95.0</v>
      </c>
      <c r="H421" s="623">
        <v>69.0</v>
      </c>
      <c r="I421" s="624">
        <v>95.0</v>
      </c>
      <c r="J421" s="625">
        <v>36.0</v>
      </c>
      <c r="K421" s="626">
        <v>424.0</v>
      </c>
      <c r="L421" s="627">
        <v>60.0</v>
      </c>
      <c r="M421" s="621">
        <v>69.0</v>
      </c>
      <c r="N421" s="622">
        <v>95.0</v>
      </c>
      <c r="O421" s="623">
        <v>69.0</v>
      </c>
      <c r="P421" s="624">
        <v>95.0</v>
      </c>
      <c r="Q421" s="625">
        <v>36.0</v>
      </c>
      <c r="R421" s="628">
        <v>424.0</v>
      </c>
      <c r="S421" s="629">
        <v>60.0</v>
      </c>
      <c r="T421" s="750">
        <v>50.0</v>
      </c>
      <c r="U421" s="751">
        <v>100.0</v>
      </c>
      <c r="V421" s="748">
        <v>110.0</v>
      </c>
      <c r="W421" s="752">
        <v>100.0</v>
      </c>
      <c r="X421" s="753">
        <v>30.0</v>
      </c>
      <c r="Y421" s="628">
        <f t="shared" si="1"/>
        <v>450</v>
      </c>
      <c r="Z421" s="619"/>
      <c r="AA421" s="630" t="str">
        <f t="shared" si="2"/>
        <v>#NAME?</v>
      </c>
      <c r="AB421" s="869" t="s">
        <v>109</v>
      </c>
      <c r="AC421" s="632" t="str">
        <f t="shared" si="3"/>
        <v>#NAME?</v>
      </c>
      <c r="AD421" s="870" t="s">
        <v>95</v>
      </c>
      <c r="AE421" s="633" t="str">
        <f t="shared" si="4"/>
        <v>#NAME?</v>
      </c>
      <c r="AF421" s="869" t="s">
        <v>109</v>
      </c>
      <c r="AG421" s="632" t="str">
        <f t="shared" si="5"/>
        <v>#NAME?</v>
      </c>
      <c r="AH421" s="634" t="s">
        <v>95</v>
      </c>
      <c r="AI421" s="635" t="str">
        <f t="shared" si="6"/>
        <v>#NAME?</v>
      </c>
      <c r="AJ421" s="634" t="s">
        <v>109</v>
      </c>
      <c r="AK421" s="636" t="str">
        <f t="shared" si="7"/>
        <v>#NAME?</v>
      </c>
      <c r="AL421" s="637" t="s">
        <v>95</v>
      </c>
      <c r="AM421" s="619"/>
      <c r="AN421" s="639" t="s">
        <v>3151</v>
      </c>
      <c r="AO421" s="639"/>
      <c r="AP421" s="890" t="s">
        <v>3151</v>
      </c>
      <c r="AQ421" s="713" t="s">
        <v>4493</v>
      </c>
      <c r="AR421" s="642" t="s">
        <v>3400</v>
      </c>
      <c r="AS421" s="641" t="s">
        <v>4493</v>
      </c>
      <c r="AT421" s="644"/>
      <c r="AU421" s="633" t="str">
        <f t="shared" si="54"/>
        <v/>
      </c>
      <c r="AV421" s="638" t="s">
        <v>183</v>
      </c>
      <c r="AW421" s="630"/>
      <c r="AX421" s="647"/>
      <c r="AY421" s="619"/>
      <c r="AZ421" s="648" t="s">
        <v>101</v>
      </c>
      <c r="BA421" s="649" t="s">
        <v>3806</v>
      </c>
      <c r="BB421" s="650"/>
      <c r="BC421" s="619"/>
      <c r="BD421" s="651" t="s">
        <v>150</v>
      </c>
      <c r="BE421" s="653">
        <v>159.0</v>
      </c>
      <c r="BF421" s="653">
        <v>45.0</v>
      </c>
      <c r="BG421" s="654">
        <v>70.0</v>
      </c>
      <c r="BH421" s="653">
        <v>20.0</v>
      </c>
      <c r="BI421" s="607"/>
      <c r="BJ421" s="655" t="s">
        <v>149</v>
      </c>
      <c r="BK421" s="703" t="s">
        <v>149</v>
      </c>
      <c r="BL421" s="610"/>
      <c r="BM421" s="657" t="s">
        <v>109</v>
      </c>
      <c r="BN421" s="704"/>
      <c r="BO421" s="607"/>
      <c r="BP421" s="659" t="s">
        <v>3807</v>
      </c>
      <c r="BQ421" s="614"/>
      <c r="BR421" s="660" t="s">
        <v>4437</v>
      </c>
      <c r="BS421" s="614"/>
    </row>
    <row r="422" ht="15.75" customHeight="1">
      <c r="A422" s="841"/>
      <c r="B422" s="661" t="s">
        <v>3810</v>
      </c>
      <c r="C422" s="662"/>
      <c r="D422" s="571"/>
      <c r="E422" s="672">
        <v>70.0</v>
      </c>
      <c r="F422" s="664">
        <v>94.0</v>
      </c>
      <c r="G422" s="665">
        <v>50.0</v>
      </c>
      <c r="H422" s="666">
        <v>94.0</v>
      </c>
      <c r="I422" s="667">
        <v>50.0</v>
      </c>
      <c r="J422" s="668">
        <v>66.0</v>
      </c>
      <c r="K422" s="669">
        <v>424.0</v>
      </c>
      <c r="L422" s="670">
        <v>70.0</v>
      </c>
      <c r="M422" s="664">
        <v>94.0</v>
      </c>
      <c r="N422" s="665">
        <v>50.0</v>
      </c>
      <c r="O422" s="666">
        <v>94.0</v>
      </c>
      <c r="P422" s="667">
        <v>50.0</v>
      </c>
      <c r="Q422" s="668">
        <v>66.0</v>
      </c>
      <c r="R422" s="671">
        <v>424.0</v>
      </c>
      <c r="S422" s="672">
        <v>70.0</v>
      </c>
      <c r="T422" s="741">
        <v>70.0</v>
      </c>
      <c r="U422" s="665">
        <v>50.0</v>
      </c>
      <c r="V422" s="743">
        <v>110.0</v>
      </c>
      <c r="W422" s="667">
        <v>50.0</v>
      </c>
      <c r="X422" s="745">
        <v>100.0</v>
      </c>
      <c r="Y422" s="671">
        <f t="shared" si="1"/>
        <v>450</v>
      </c>
      <c r="Z422" s="571"/>
      <c r="AA422" s="673" t="str">
        <f t="shared" si="2"/>
        <v>#NAME?</v>
      </c>
      <c r="AB422" s="871" t="s">
        <v>109</v>
      </c>
      <c r="AC422" s="675" t="str">
        <f t="shared" si="3"/>
        <v>#NAME?</v>
      </c>
      <c r="AD422" s="872" t="s">
        <v>18</v>
      </c>
      <c r="AE422" s="676" t="str">
        <f t="shared" si="4"/>
        <v>#NAME?</v>
      </c>
      <c r="AF422" s="871" t="s">
        <v>109</v>
      </c>
      <c r="AG422" s="675" t="str">
        <f t="shared" si="5"/>
        <v>#NAME?</v>
      </c>
      <c r="AH422" s="586" t="s">
        <v>18</v>
      </c>
      <c r="AI422" s="677" t="str">
        <f t="shared" si="6"/>
        <v>#NAME?</v>
      </c>
      <c r="AJ422" s="586" t="s">
        <v>109</v>
      </c>
      <c r="AK422" s="584" t="str">
        <f t="shared" si="7"/>
        <v>#NAME?</v>
      </c>
      <c r="AL422" s="678" t="s">
        <v>18</v>
      </c>
      <c r="AM422" s="571"/>
      <c r="AN422" s="679" t="s">
        <v>217</v>
      </c>
      <c r="AO422" s="680"/>
      <c r="AP422" s="734" t="s">
        <v>180</v>
      </c>
      <c r="AQ422" s="682" t="s">
        <v>217</v>
      </c>
      <c r="AR422" s="683" t="s">
        <v>180</v>
      </c>
      <c r="AS422" s="684" t="s">
        <v>217</v>
      </c>
      <c r="AT422" s="595"/>
      <c r="AU422" s="676"/>
      <c r="AV422" s="679"/>
      <c r="AW422" s="673"/>
      <c r="AX422" s="866"/>
      <c r="AY422" s="571"/>
      <c r="AZ422" s="695" t="s">
        <v>325</v>
      </c>
      <c r="BA422" s="691" t="s">
        <v>4</v>
      </c>
      <c r="BB422" s="696"/>
      <c r="BC422" s="571"/>
      <c r="BD422" s="651" t="s">
        <v>150</v>
      </c>
      <c r="BE422" s="653">
        <v>159.0</v>
      </c>
      <c r="BF422" s="653">
        <v>45.0</v>
      </c>
      <c r="BG422" s="653">
        <v>70.0</v>
      </c>
      <c r="BH422" s="653">
        <v>40.0</v>
      </c>
      <c r="BI422" s="607"/>
      <c r="BJ422" s="655" t="s">
        <v>397</v>
      </c>
      <c r="BK422" s="725">
        <v>0.0</v>
      </c>
      <c r="BL422" s="610"/>
      <c r="BM422" s="657" t="s">
        <v>109</v>
      </c>
      <c r="BN422" s="704"/>
      <c r="BO422" s="607"/>
      <c r="BP422" s="659" t="s">
        <v>3814</v>
      </c>
      <c r="BQ422" s="614"/>
      <c r="BR422" s="660" t="s">
        <v>4433</v>
      </c>
      <c r="BS422" s="614"/>
    </row>
    <row r="423" ht="15.75" customHeight="1">
      <c r="A423" s="841"/>
      <c r="B423" s="617" t="s">
        <v>3817</v>
      </c>
      <c r="C423" s="618"/>
      <c r="D423" s="619"/>
      <c r="E423" s="629">
        <v>30.0</v>
      </c>
      <c r="F423" s="621">
        <v>30.0</v>
      </c>
      <c r="G423" s="622">
        <v>42.0</v>
      </c>
      <c r="H423" s="623">
        <v>30.0</v>
      </c>
      <c r="I423" s="624">
        <v>42.0</v>
      </c>
      <c r="J423" s="625">
        <v>70.0</v>
      </c>
      <c r="K423" s="626">
        <v>244.0</v>
      </c>
      <c r="L423" s="627">
        <v>30.0</v>
      </c>
      <c r="M423" s="621">
        <v>30.0</v>
      </c>
      <c r="N423" s="622">
        <v>42.0</v>
      </c>
      <c r="O423" s="623">
        <v>30.0</v>
      </c>
      <c r="P423" s="624">
        <v>42.0</v>
      </c>
      <c r="Q423" s="625">
        <v>70.0</v>
      </c>
      <c r="R423" s="628">
        <v>244.0</v>
      </c>
      <c r="S423" s="629">
        <v>30.0</v>
      </c>
      <c r="T423" s="621">
        <v>30.0</v>
      </c>
      <c r="U423" s="622">
        <v>42.0</v>
      </c>
      <c r="V423" s="623">
        <v>30.0</v>
      </c>
      <c r="W423" s="624">
        <v>42.0</v>
      </c>
      <c r="X423" s="625">
        <v>70.0</v>
      </c>
      <c r="Y423" s="628">
        <f t="shared" si="1"/>
        <v>244</v>
      </c>
      <c r="Z423" s="619"/>
      <c r="AA423" s="630" t="str">
        <f t="shared" si="2"/>
        <v>#NAME?</v>
      </c>
      <c r="AB423" s="869" t="s">
        <v>109</v>
      </c>
      <c r="AC423" s="632" t="str">
        <f t="shared" si="3"/>
        <v>#NAME?</v>
      </c>
      <c r="AD423" s="870" t="s">
        <v>18</v>
      </c>
      <c r="AE423" s="633" t="str">
        <f t="shared" si="4"/>
        <v>#NAME?</v>
      </c>
      <c r="AF423" s="869" t="s">
        <v>109</v>
      </c>
      <c r="AG423" s="632" t="str">
        <f t="shared" si="5"/>
        <v>#NAME?</v>
      </c>
      <c r="AH423" s="634" t="s">
        <v>18</v>
      </c>
      <c r="AI423" s="635" t="str">
        <f t="shared" si="6"/>
        <v>#NAME?</v>
      </c>
      <c r="AJ423" s="634" t="s">
        <v>109</v>
      </c>
      <c r="AK423" s="636" t="str">
        <f t="shared" si="7"/>
        <v>#NAME?</v>
      </c>
      <c r="AL423" s="637" t="s">
        <v>18</v>
      </c>
      <c r="AM423" s="619"/>
      <c r="AN423" s="638" t="s">
        <v>3820</v>
      </c>
      <c r="AO423" s="639"/>
      <c r="AP423" s="701" t="s">
        <v>275</v>
      </c>
      <c r="AQ423" s="740" t="s">
        <v>3820</v>
      </c>
      <c r="AR423" s="642" t="s">
        <v>275</v>
      </c>
      <c r="AS423" s="643" t="s">
        <v>3820</v>
      </c>
      <c r="AT423" s="644"/>
      <c r="AU423" s="633" t="str">
        <f>image("https://www.pokebip.com/pages/icones/objets/miel.png", 3)</f>
        <v/>
      </c>
      <c r="AV423" s="638" t="s">
        <v>3822</v>
      </c>
      <c r="AW423" s="630"/>
      <c r="AX423" s="647"/>
      <c r="AY423" s="619"/>
      <c r="AZ423" s="648" t="s">
        <v>56</v>
      </c>
      <c r="BA423" s="694"/>
      <c r="BB423" s="690"/>
      <c r="BC423" s="619"/>
      <c r="BD423" s="651" t="s">
        <v>15</v>
      </c>
      <c r="BE423" s="653">
        <v>63.0</v>
      </c>
      <c r="BF423" s="653">
        <v>120.0</v>
      </c>
      <c r="BG423" s="654">
        <v>70.0</v>
      </c>
      <c r="BH423" s="653">
        <v>20.0</v>
      </c>
      <c r="BI423" s="607"/>
      <c r="BJ423" s="655" t="s">
        <v>13</v>
      </c>
      <c r="BK423" s="656">
        <v>0.125</v>
      </c>
      <c r="BL423" s="610"/>
      <c r="BM423" s="657" t="s">
        <v>109</v>
      </c>
      <c r="BN423" s="704"/>
      <c r="BO423" s="607"/>
      <c r="BP423" s="659" t="s">
        <v>3821</v>
      </c>
      <c r="BQ423" s="614"/>
      <c r="BR423" s="660" t="s">
        <v>4433</v>
      </c>
      <c r="BS423" s="614"/>
    </row>
    <row r="424" ht="15.75" customHeight="1">
      <c r="A424" s="841"/>
      <c r="B424" s="661" t="s">
        <v>3825</v>
      </c>
      <c r="C424" s="662"/>
      <c r="D424" s="571"/>
      <c r="E424" s="672">
        <v>70.0</v>
      </c>
      <c r="F424" s="664">
        <v>80.0</v>
      </c>
      <c r="G424" s="665">
        <v>102.0</v>
      </c>
      <c r="H424" s="666">
        <v>80.0</v>
      </c>
      <c r="I424" s="667">
        <v>102.0</v>
      </c>
      <c r="J424" s="668">
        <v>40.0</v>
      </c>
      <c r="K424" s="669">
        <v>474.0</v>
      </c>
      <c r="L424" s="670">
        <v>70.0</v>
      </c>
      <c r="M424" s="664">
        <v>80.0</v>
      </c>
      <c r="N424" s="665">
        <v>102.0</v>
      </c>
      <c r="O424" s="666">
        <v>80.0</v>
      </c>
      <c r="P424" s="667">
        <v>102.0</v>
      </c>
      <c r="Q424" s="668">
        <v>40.0</v>
      </c>
      <c r="R424" s="671">
        <v>474.0</v>
      </c>
      <c r="S424" s="672">
        <v>70.0</v>
      </c>
      <c r="T424" s="664">
        <v>80.0</v>
      </c>
      <c r="U424" s="665">
        <v>102.0</v>
      </c>
      <c r="V424" s="666">
        <v>80.0</v>
      </c>
      <c r="W424" s="667">
        <v>102.0</v>
      </c>
      <c r="X424" s="668">
        <v>40.0</v>
      </c>
      <c r="Y424" s="671">
        <f t="shared" si="1"/>
        <v>474</v>
      </c>
      <c r="Z424" s="571"/>
      <c r="AA424" s="673" t="str">
        <f t="shared" si="2"/>
        <v>#NAME?</v>
      </c>
      <c r="AB424" s="871" t="s">
        <v>109</v>
      </c>
      <c r="AC424" s="675" t="str">
        <f t="shared" si="3"/>
        <v>#NAME?</v>
      </c>
      <c r="AD424" s="872" t="s">
        <v>18</v>
      </c>
      <c r="AE424" s="676" t="str">
        <f t="shared" si="4"/>
        <v>#NAME?</v>
      </c>
      <c r="AF424" s="871" t="s">
        <v>109</v>
      </c>
      <c r="AG424" s="675" t="str">
        <f t="shared" si="5"/>
        <v>#NAME?</v>
      </c>
      <c r="AH424" s="586" t="s">
        <v>18</v>
      </c>
      <c r="AI424" s="677" t="str">
        <f t="shared" si="6"/>
        <v>#NAME?</v>
      </c>
      <c r="AJ424" s="586" t="s">
        <v>109</v>
      </c>
      <c r="AK424" s="584" t="str">
        <f t="shared" si="7"/>
        <v>#NAME?</v>
      </c>
      <c r="AL424" s="678" t="s">
        <v>18</v>
      </c>
      <c r="AM424" s="571"/>
      <c r="AN424" s="679" t="s">
        <v>1447</v>
      </c>
      <c r="AO424" s="680"/>
      <c r="AP424" s="705" t="s">
        <v>1447</v>
      </c>
      <c r="AQ424" s="680"/>
      <c r="AR424" s="681" t="s">
        <v>1587</v>
      </c>
      <c r="AS424" s="718" t="s">
        <v>1447</v>
      </c>
      <c r="AT424" s="595"/>
      <c r="AU424" s="676" t="str">
        <f>image("https://www.pokebip.com/pages/icones/objets/pic-venin.png", 3)</f>
        <v/>
      </c>
      <c r="AV424" s="679" t="s">
        <v>223</v>
      </c>
      <c r="AW424" s="673"/>
      <c r="AX424" s="866"/>
      <c r="AY424" s="571"/>
      <c r="AZ424" s="695" t="s">
        <v>101</v>
      </c>
      <c r="BA424" s="691" t="s">
        <v>27</v>
      </c>
      <c r="BB424" s="696"/>
      <c r="BC424" s="571"/>
      <c r="BD424" s="651" t="s">
        <v>15</v>
      </c>
      <c r="BE424" s="653">
        <v>188.0</v>
      </c>
      <c r="BF424" s="653">
        <v>45.0</v>
      </c>
      <c r="BG424" s="653">
        <v>70.0</v>
      </c>
      <c r="BH424" s="653">
        <v>60.0</v>
      </c>
      <c r="BI424" s="607"/>
      <c r="BJ424" s="724">
        <v>0.0</v>
      </c>
      <c r="BK424" s="703" t="s">
        <v>397</v>
      </c>
      <c r="BL424" s="610"/>
      <c r="BM424" s="657" t="s">
        <v>109</v>
      </c>
      <c r="BN424" s="704"/>
      <c r="BO424" s="607"/>
      <c r="BP424" s="659" t="s">
        <v>3829</v>
      </c>
      <c r="BQ424" s="614"/>
      <c r="BR424" s="660" t="s">
        <v>4433</v>
      </c>
      <c r="BS424" s="614"/>
    </row>
    <row r="425" ht="15.75" customHeight="1">
      <c r="A425" s="841"/>
      <c r="B425" s="617" t="s">
        <v>3832</v>
      </c>
      <c r="C425" s="618"/>
      <c r="D425" s="619"/>
      <c r="E425" s="629">
        <v>60.0</v>
      </c>
      <c r="F425" s="621">
        <v>45.0</v>
      </c>
      <c r="G425" s="622">
        <v>70.0</v>
      </c>
      <c r="H425" s="623">
        <v>45.0</v>
      </c>
      <c r="I425" s="624">
        <v>90.0</v>
      </c>
      <c r="J425" s="625">
        <v>95.0</v>
      </c>
      <c r="K425" s="626">
        <v>405.0</v>
      </c>
      <c r="L425" s="627">
        <v>60.0</v>
      </c>
      <c r="M425" s="621">
        <v>45.0</v>
      </c>
      <c r="N425" s="622">
        <v>70.0</v>
      </c>
      <c r="O425" s="623">
        <v>45.0</v>
      </c>
      <c r="P425" s="624">
        <v>90.0</v>
      </c>
      <c r="Q425" s="625">
        <v>95.0</v>
      </c>
      <c r="R425" s="628">
        <v>405.0</v>
      </c>
      <c r="S425" s="629">
        <v>60.0</v>
      </c>
      <c r="T425" s="621">
        <v>45.0</v>
      </c>
      <c r="U425" s="751">
        <v>80.0</v>
      </c>
      <c r="V425" s="748">
        <v>80.0</v>
      </c>
      <c r="W425" s="624">
        <v>90.0</v>
      </c>
      <c r="X425" s="625">
        <v>95.0</v>
      </c>
      <c r="Y425" s="628">
        <f t="shared" si="1"/>
        <v>450</v>
      </c>
      <c r="Z425" s="619"/>
      <c r="AA425" s="630" t="str">
        <f t="shared" si="2"/>
        <v>#NAME?</v>
      </c>
      <c r="AB425" s="869" t="s">
        <v>197</v>
      </c>
      <c r="AC425" s="632" t="str">
        <f t="shared" si="3"/>
        <v>#NAME?</v>
      </c>
      <c r="AD425" s="870" t="s">
        <v>4428</v>
      </c>
      <c r="AE425" s="633" t="str">
        <f t="shared" si="4"/>
        <v>#NAME?</v>
      </c>
      <c r="AF425" s="869" t="s">
        <v>197</v>
      </c>
      <c r="AG425" s="632" t="str">
        <f t="shared" si="5"/>
        <v>#NAME?</v>
      </c>
      <c r="AH425" s="634" t="s">
        <v>4428</v>
      </c>
      <c r="AI425" s="635" t="str">
        <f t="shared" si="6"/>
        <v>#NAME?</v>
      </c>
      <c r="AJ425" s="634" t="s">
        <v>197</v>
      </c>
      <c r="AK425" s="636" t="str">
        <f t="shared" si="7"/>
        <v>#NAME?</v>
      </c>
      <c r="AL425" s="637" t="s">
        <v>4428</v>
      </c>
      <c r="AM425" s="619"/>
      <c r="AN425" s="638" t="s">
        <v>146</v>
      </c>
      <c r="AO425" s="639" t="s">
        <v>626</v>
      </c>
      <c r="AP425" s="712" t="s">
        <v>2888</v>
      </c>
      <c r="AQ425" s="639" t="s">
        <v>626</v>
      </c>
      <c r="AR425" s="721" t="s">
        <v>2888</v>
      </c>
      <c r="AS425" s="639" t="s">
        <v>626</v>
      </c>
      <c r="AT425" s="644"/>
      <c r="AU425" s="633"/>
      <c r="AV425" s="638"/>
      <c r="AW425" s="630"/>
      <c r="AX425" s="647"/>
      <c r="AY425" s="619"/>
      <c r="AZ425" s="648" t="s">
        <v>56</v>
      </c>
      <c r="BA425" s="694"/>
      <c r="BB425" s="690"/>
      <c r="BC425" s="619"/>
      <c r="BD425" s="651" t="s">
        <v>150</v>
      </c>
      <c r="BE425" s="653">
        <v>120.0</v>
      </c>
      <c r="BF425" s="653">
        <v>200.0</v>
      </c>
      <c r="BG425" s="653">
        <v>100.0</v>
      </c>
      <c r="BH425" s="653">
        <v>20.0</v>
      </c>
      <c r="BI425" s="607"/>
      <c r="BJ425" s="655" t="s">
        <v>149</v>
      </c>
      <c r="BK425" s="703" t="s">
        <v>149</v>
      </c>
      <c r="BL425" s="610"/>
      <c r="BM425" s="657" t="s">
        <v>277</v>
      </c>
      <c r="BN425" s="658" t="s">
        <v>153</v>
      </c>
      <c r="BO425" s="607"/>
      <c r="BP425" s="659" t="s">
        <v>914</v>
      </c>
      <c r="BQ425" s="614"/>
      <c r="BR425" s="660" t="s">
        <v>4431</v>
      </c>
      <c r="BS425" s="614"/>
    </row>
    <row r="426" ht="15.75" customHeight="1">
      <c r="A426" s="841"/>
      <c r="B426" s="661" t="s">
        <v>3837</v>
      </c>
      <c r="C426" s="662"/>
      <c r="D426" s="571"/>
      <c r="E426" s="672">
        <v>55.0</v>
      </c>
      <c r="F426" s="664">
        <v>65.0</v>
      </c>
      <c r="G426" s="665">
        <v>35.0</v>
      </c>
      <c r="H426" s="666">
        <v>60.0</v>
      </c>
      <c r="I426" s="667">
        <v>30.0</v>
      </c>
      <c r="J426" s="668">
        <v>85.0</v>
      </c>
      <c r="K426" s="669">
        <v>330.0</v>
      </c>
      <c r="L426" s="670">
        <v>55.0</v>
      </c>
      <c r="M426" s="664">
        <v>65.0</v>
      </c>
      <c r="N426" s="665">
        <v>35.0</v>
      </c>
      <c r="O426" s="666">
        <v>60.0</v>
      </c>
      <c r="P426" s="667">
        <v>30.0</v>
      </c>
      <c r="Q426" s="668">
        <v>85.0</v>
      </c>
      <c r="R426" s="671">
        <v>330.0</v>
      </c>
      <c r="S426" s="672">
        <v>55.0</v>
      </c>
      <c r="T426" s="664">
        <v>65.0</v>
      </c>
      <c r="U426" s="665">
        <v>35.0</v>
      </c>
      <c r="V426" s="666">
        <v>60.0</v>
      </c>
      <c r="W426" s="667">
        <v>30.0</v>
      </c>
      <c r="X426" s="668">
        <v>85.0</v>
      </c>
      <c r="Y426" s="671">
        <f t="shared" si="1"/>
        <v>330</v>
      </c>
      <c r="Z426" s="571"/>
      <c r="AA426" s="673" t="str">
        <f t="shared" si="2"/>
        <v>#NAME?</v>
      </c>
      <c r="AB426" s="871" t="s">
        <v>32</v>
      </c>
      <c r="AC426" s="675" t="str">
        <f t="shared" si="3"/>
        <v>#NAME?</v>
      </c>
      <c r="AD426" s="872" t="s">
        <v>4428</v>
      </c>
      <c r="AE426" s="676" t="str">
        <f t="shared" si="4"/>
        <v>#NAME?</v>
      </c>
      <c r="AF426" s="871" t="s">
        <v>32</v>
      </c>
      <c r="AG426" s="675" t="str">
        <f t="shared" si="5"/>
        <v>#NAME?</v>
      </c>
      <c r="AH426" s="586" t="s">
        <v>4428</v>
      </c>
      <c r="AI426" s="677" t="str">
        <f t="shared" si="6"/>
        <v>#NAME?</v>
      </c>
      <c r="AJ426" s="586" t="s">
        <v>32</v>
      </c>
      <c r="AK426" s="584" t="str">
        <f t="shared" si="7"/>
        <v>#NAME?</v>
      </c>
      <c r="AL426" s="678" t="s">
        <v>4428</v>
      </c>
      <c r="AM426" s="571"/>
      <c r="AN426" s="679" t="s">
        <v>1212</v>
      </c>
      <c r="AO426" s="680"/>
      <c r="AP426" s="705" t="s">
        <v>1212</v>
      </c>
      <c r="AQ426" s="722" t="s">
        <v>3409</v>
      </c>
      <c r="AR426" s="705" t="s">
        <v>1212</v>
      </c>
      <c r="AS426" s="722" t="s">
        <v>3409</v>
      </c>
      <c r="AT426" s="595"/>
      <c r="AU426" s="676"/>
      <c r="AV426" s="679"/>
      <c r="AW426" s="673"/>
      <c r="AX426" s="866"/>
      <c r="AY426" s="571"/>
      <c r="AZ426" s="695" t="s">
        <v>56</v>
      </c>
      <c r="BA426" s="700"/>
      <c r="BB426" s="690"/>
      <c r="BC426" s="571"/>
      <c r="BD426" s="651" t="s">
        <v>150</v>
      </c>
      <c r="BE426" s="653">
        <v>75.0</v>
      </c>
      <c r="BF426" s="653">
        <v>190.0</v>
      </c>
      <c r="BG426" s="653">
        <v>70.0</v>
      </c>
      <c r="BH426" s="653">
        <v>60.0</v>
      </c>
      <c r="BI426" s="607"/>
      <c r="BJ426" s="655" t="s">
        <v>149</v>
      </c>
      <c r="BK426" s="703" t="s">
        <v>149</v>
      </c>
      <c r="BL426" s="610"/>
      <c r="BM426" s="657" t="s">
        <v>106</v>
      </c>
      <c r="BN426" s="658" t="s">
        <v>277</v>
      </c>
      <c r="BO426" s="607"/>
      <c r="BP426" s="659" t="s">
        <v>3840</v>
      </c>
      <c r="BQ426" s="614"/>
      <c r="BR426" s="660" t="s">
        <v>4432</v>
      </c>
      <c r="BS426" s="614"/>
    </row>
    <row r="427" ht="15.75" customHeight="1">
      <c r="A427" s="841"/>
      <c r="B427" s="617" t="s">
        <v>3843</v>
      </c>
      <c r="C427" s="618"/>
      <c r="D427" s="619"/>
      <c r="E427" s="629">
        <v>85.0</v>
      </c>
      <c r="F427" s="750">
        <v>105.0</v>
      </c>
      <c r="G427" s="622">
        <v>55.0</v>
      </c>
      <c r="H427" s="623">
        <v>85.0</v>
      </c>
      <c r="I427" s="624">
        <v>50.0</v>
      </c>
      <c r="J427" s="625">
        <v>115.0</v>
      </c>
      <c r="K427" s="749">
        <v>495.0</v>
      </c>
      <c r="L427" s="627">
        <v>85.0</v>
      </c>
      <c r="M427" s="621">
        <v>105.0</v>
      </c>
      <c r="N427" s="622">
        <v>55.0</v>
      </c>
      <c r="O427" s="623">
        <v>85.0</v>
      </c>
      <c r="P427" s="624">
        <v>50.0</v>
      </c>
      <c r="Q427" s="625">
        <v>115.0</v>
      </c>
      <c r="R427" s="628">
        <v>495.0</v>
      </c>
      <c r="S427" s="629">
        <v>85.0</v>
      </c>
      <c r="T427" s="621">
        <v>105.0</v>
      </c>
      <c r="U427" s="622">
        <v>55.0</v>
      </c>
      <c r="V427" s="623">
        <v>85.0</v>
      </c>
      <c r="W427" s="624">
        <v>50.0</v>
      </c>
      <c r="X427" s="625">
        <v>115.0</v>
      </c>
      <c r="Y427" s="628">
        <f t="shared" si="1"/>
        <v>495</v>
      </c>
      <c r="Z427" s="619"/>
      <c r="AA427" s="630" t="str">
        <f t="shared" si="2"/>
        <v>#NAME?</v>
      </c>
      <c r="AB427" s="869" t="s">
        <v>32</v>
      </c>
      <c r="AC427" s="632" t="str">
        <f t="shared" si="3"/>
        <v>#NAME?</v>
      </c>
      <c r="AD427" s="870" t="s">
        <v>4428</v>
      </c>
      <c r="AE427" s="633" t="str">
        <f t="shared" si="4"/>
        <v>#NAME?</v>
      </c>
      <c r="AF427" s="869" t="s">
        <v>32</v>
      </c>
      <c r="AG427" s="632" t="str">
        <f t="shared" si="5"/>
        <v>#NAME?</v>
      </c>
      <c r="AH427" s="634" t="s">
        <v>4428</v>
      </c>
      <c r="AI427" s="635" t="str">
        <f t="shared" si="6"/>
        <v>#NAME?</v>
      </c>
      <c r="AJ427" s="634" t="s">
        <v>32</v>
      </c>
      <c r="AK427" s="636" t="str">
        <f t="shared" si="7"/>
        <v>#NAME?</v>
      </c>
      <c r="AL427" s="637" t="s">
        <v>4428</v>
      </c>
      <c r="AM427" s="619"/>
      <c r="AN427" s="638" t="s">
        <v>1212</v>
      </c>
      <c r="AO427" s="639"/>
      <c r="AP427" s="712" t="s">
        <v>1212</v>
      </c>
      <c r="AQ427" s="723" t="s">
        <v>3409</v>
      </c>
      <c r="AR427" s="712" t="s">
        <v>1212</v>
      </c>
      <c r="AS427" s="723" t="s">
        <v>3409</v>
      </c>
      <c r="AT427" s="644"/>
      <c r="AU427" s="633"/>
      <c r="AV427" s="638"/>
      <c r="AW427" s="630"/>
      <c r="AX427" s="647"/>
      <c r="AY427" s="619"/>
      <c r="AZ427" s="698" t="s">
        <v>248</v>
      </c>
      <c r="BA427" s="690"/>
      <c r="BB427" s="650"/>
      <c r="BC427" s="619"/>
      <c r="BD427" s="651" t="s">
        <v>150</v>
      </c>
      <c r="BE427" s="653">
        <v>178.0</v>
      </c>
      <c r="BF427" s="653">
        <v>75.0</v>
      </c>
      <c r="BG427" s="653">
        <v>70.0</v>
      </c>
      <c r="BH427" s="653">
        <v>60.0</v>
      </c>
      <c r="BI427" s="607"/>
      <c r="BJ427" s="655" t="s">
        <v>149</v>
      </c>
      <c r="BK427" s="703" t="s">
        <v>149</v>
      </c>
      <c r="BL427" s="610"/>
      <c r="BM427" s="657" t="s">
        <v>106</v>
      </c>
      <c r="BN427" s="658" t="s">
        <v>277</v>
      </c>
      <c r="BO427" s="607"/>
      <c r="BP427" s="659" t="s">
        <v>3846</v>
      </c>
      <c r="BQ427" s="614"/>
      <c r="BR427" s="660" t="s">
        <v>4432</v>
      </c>
      <c r="BS427" s="614"/>
    </row>
    <row r="428" ht="15.75" customHeight="1">
      <c r="A428" s="841"/>
      <c r="B428" s="661" t="s">
        <v>3849</v>
      </c>
      <c r="C428" s="662"/>
      <c r="D428" s="571"/>
      <c r="E428" s="672">
        <v>45.0</v>
      </c>
      <c r="F428" s="664">
        <v>35.0</v>
      </c>
      <c r="G428" s="665">
        <v>45.0</v>
      </c>
      <c r="H428" s="666">
        <v>62.0</v>
      </c>
      <c r="I428" s="667">
        <v>53.0</v>
      </c>
      <c r="J428" s="668">
        <v>35.0</v>
      </c>
      <c r="K428" s="669">
        <v>275.0</v>
      </c>
      <c r="L428" s="670">
        <v>45.0</v>
      </c>
      <c r="M428" s="664">
        <v>35.0</v>
      </c>
      <c r="N428" s="665">
        <v>45.0</v>
      </c>
      <c r="O428" s="666">
        <v>62.0</v>
      </c>
      <c r="P428" s="667">
        <v>53.0</v>
      </c>
      <c r="Q428" s="668">
        <v>35.0</v>
      </c>
      <c r="R428" s="671">
        <v>275.0</v>
      </c>
      <c r="S428" s="672">
        <v>45.0</v>
      </c>
      <c r="T428" s="664">
        <v>35.0</v>
      </c>
      <c r="U428" s="665">
        <v>45.0</v>
      </c>
      <c r="V428" s="666">
        <v>62.0</v>
      </c>
      <c r="W428" s="667">
        <v>53.0</v>
      </c>
      <c r="X428" s="668">
        <v>35.0</v>
      </c>
      <c r="Y428" s="671">
        <f t="shared" si="1"/>
        <v>275</v>
      </c>
      <c r="Z428" s="571"/>
      <c r="AA428" s="673" t="str">
        <f t="shared" si="2"/>
        <v>#NAME?</v>
      </c>
      <c r="AB428" s="871" t="s">
        <v>6</v>
      </c>
      <c r="AC428" s="675" t="str">
        <f t="shared" si="3"/>
        <v>#NAME?</v>
      </c>
      <c r="AD428" s="872" t="s">
        <v>4428</v>
      </c>
      <c r="AE428" s="676" t="str">
        <f t="shared" si="4"/>
        <v>#NAME?</v>
      </c>
      <c r="AF428" s="871" t="s">
        <v>6</v>
      </c>
      <c r="AG428" s="675" t="str">
        <f t="shared" si="5"/>
        <v>#NAME?</v>
      </c>
      <c r="AH428" s="586" t="s">
        <v>4428</v>
      </c>
      <c r="AI428" s="677" t="str">
        <f t="shared" si="6"/>
        <v>#NAME?</v>
      </c>
      <c r="AJ428" s="586" t="s">
        <v>6</v>
      </c>
      <c r="AK428" s="584" t="str">
        <f t="shared" si="7"/>
        <v>#NAME?</v>
      </c>
      <c r="AL428" s="678" t="s">
        <v>4428</v>
      </c>
      <c r="AM428" s="571"/>
      <c r="AN428" s="679" t="s">
        <v>43</v>
      </c>
      <c r="AO428" s="680"/>
      <c r="AP428" s="705" t="s">
        <v>43</v>
      </c>
      <c r="AQ428" s="680"/>
      <c r="AR428" s="705" t="s">
        <v>43</v>
      </c>
      <c r="AS428" s="680"/>
      <c r="AT428" s="595"/>
      <c r="AU428" s="676" t="str">
        <f t="shared" ref="AU428:AU429" si="55">image("https://www.pokebip.com/pages/icones/objets/graine-miracle.png", 3)</f>
        <v/>
      </c>
      <c r="AV428" s="679" t="s">
        <v>3853</v>
      </c>
      <c r="AW428" s="673"/>
      <c r="AX428" s="866"/>
      <c r="AY428" s="571"/>
      <c r="AZ428" s="695" t="s">
        <v>4</v>
      </c>
      <c r="BA428" s="700"/>
      <c r="BB428" s="690"/>
      <c r="BC428" s="571"/>
      <c r="BD428" s="651" t="s">
        <v>150</v>
      </c>
      <c r="BE428" s="653">
        <v>68.0</v>
      </c>
      <c r="BF428" s="653">
        <v>190.0</v>
      </c>
      <c r="BG428" s="653">
        <v>70.0</v>
      </c>
      <c r="BH428" s="653">
        <v>20.0</v>
      </c>
      <c r="BI428" s="607"/>
      <c r="BJ428" s="655" t="s">
        <v>149</v>
      </c>
      <c r="BK428" s="703" t="s">
        <v>149</v>
      </c>
      <c r="BL428" s="610"/>
      <c r="BM428" s="657" t="s">
        <v>153</v>
      </c>
      <c r="BN428" s="658" t="s">
        <v>6</v>
      </c>
      <c r="BO428" s="607"/>
      <c r="BP428" s="659" t="s">
        <v>3852</v>
      </c>
      <c r="BQ428" s="614"/>
      <c r="BR428" s="660" t="s">
        <v>4435</v>
      </c>
      <c r="BS428" s="614"/>
    </row>
    <row r="429" ht="15.75" customHeight="1">
      <c r="A429" s="841"/>
      <c r="B429" s="617" t="s">
        <v>3856</v>
      </c>
      <c r="C429" s="618"/>
      <c r="D429" s="619"/>
      <c r="E429" s="629">
        <v>70.0</v>
      </c>
      <c r="F429" s="621">
        <v>60.0</v>
      </c>
      <c r="G429" s="622">
        <v>70.0</v>
      </c>
      <c r="H429" s="623">
        <v>87.0</v>
      </c>
      <c r="I429" s="624">
        <v>78.0</v>
      </c>
      <c r="J429" s="753">
        <v>85.0</v>
      </c>
      <c r="K429" s="749">
        <v>450.0</v>
      </c>
      <c r="L429" s="627">
        <v>70.0</v>
      </c>
      <c r="M429" s="621">
        <v>60.0</v>
      </c>
      <c r="N429" s="622">
        <v>70.0</v>
      </c>
      <c r="O429" s="623">
        <v>87.0</v>
      </c>
      <c r="P429" s="624">
        <v>78.0</v>
      </c>
      <c r="Q429" s="625">
        <v>85.0</v>
      </c>
      <c r="R429" s="628">
        <v>450.0</v>
      </c>
      <c r="S429" s="629">
        <v>70.0</v>
      </c>
      <c r="T429" s="750">
        <v>45.0</v>
      </c>
      <c r="U429" s="622">
        <v>70.0</v>
      </c>
      <c r="V429" s="748">
        <v>107.0</v>
      </c>
      <c r="W429" s="752">
        <v>83.0</v>
      </c>
      <c r="X429" s="753">
        <v>90.0</v>
      </c>
      <c r="Y429" s="628">
        <f t="shared" si="1"/>
        <v>465</v>
      </c>
      <c r="Z429" s="619"/>
      <c r="AA429" s="630" t="str">
        <f t="shared" si="2"/>
        <v>#NAME?</v>
      </c>
      <c r="AB429" s="869" t="s">
        <v>6</v>
      </c>
      <c r="AC429" s="632" t="str">
        <f t="shared" si="3"/>
        <v>#NAME?</v>
      </c>
      <c r="AD429" s="870" t="s">
        <v>4428</v>
      </c>
      <c r="AE429" s="633" t="str">
        <f t="shared" si="4"/>
        <v>#NAME?</v>
      </c>
      <c r="AF429" s="869" t="s">
        <v>6</v>
      </c>
      <c r="AG429" s="632" t="str">
        <f t="shared" si="5"/>
        <v>#NAME?</v>
      </c>
      <c r="AH429" s="634" t="s">
        <v>4428</v>
      </c>
      <c r="AI429" s="635" t="str">
        <f t="shared" si="6"/>
        <v>#NAME?</v>
      </c>
      <c r="AJ429" s="634" t="s">
        <v>6</v>
      </c>
      <c r="AK429" s="636" t="str">
        <f t="shared" si="7"/>
        <v>#NAME?</v>
      </c>
      <c r="AL429" s="637" t="s">
        <v>4428</v>
      </c>
      <c r="AM429" s="619"/>
      <c r="AN429" s="638" t="s">
        <v>3860</v>
      </c>
      <c r="AO429" s="639"/>
      <c r="AP429" s="712" t="s">
        <v>3860</v>
      </c>
      <c r="AQ429" s="639"/>
      <c r="AR429" s="712" t="s">
        <v>3860</v>
      </c>
      <c r="AS429" s="639"/>
      <c r="AT429" s="644"/>
      <c r="AU429" s="633" t="str">
        <f t="shared" si="55"/>
        <v/>
      </c>
      <c r="AV429" s="638" t="s">
        <v>3853</v>
      </c>
      <c r="AW429" s="630"/>
      <c r="AX429" s="647"/>
      <c r="AY429" s="619"/>
      <c r="AZ429" s="698" t="s">
        <v>42</v>
      </c>
      <c r="BA429" s="690"/>
      <c r="BB429" s="650"/>
      <c r="BC429" s="619"/>
      <c r="BD429" s="651" t="s">
        <v>150</v>
      </c>
      <c r="BE429" s="653">
        <v>133.0</v>
      </c>
      <c r="BF429" s="653">
        <v>75.0</v>
      </c>
      <c r="BG429" s="653">
        <v>70.0</v>
      </c>
      <c r="BH429" s="653">
        <v>20.0</v>
      </c>
      <c r="BI429" s="607"/>
      <c r="BJ429" s="655" t="s">
        <v>149</v>
      </c>
      <c r="BK429" s="703" t="s">
        <v>149</v>
      </c>
      <c r="BL429" s="610"/>
      <c r="BM429" s="657" t="s">
        <v>153</v>
      </c>
      <c r="BN429" s="658" t="s">
        <v>6</v>
      </c>
      <c r="BO429" s="607"/>
      <c r="BP429" s="659" t="s">
        <v>3862</v>
      </c>
      <c r="BQ429" s="614"/>
      <c r="BR429" s="660" t="s">
        <v>4435</v>
      </c>
      <c r="BS429" s="614"/>
    </row>
    <row r="430" ht="15.75" customHeight="1">
      <c r="A430" s="841"/>
      <c r="B430" s="661" t="s">
        <v>3865</v>
      </c>
      <c r="C430" s="662"/>
      <c r="D430" s="571"/>
      <c r="E430" s="672">
        <v>76.0</v>
      </c>
      <c r="F430" s="664">
        <v>48.0</v>
      </c>
      <c r="G430" s="665">
        <v>48.0</v>
      </c>
      <c r="H430" s="666">
        <v>57.0</v>
      </c>
      <c r="I430" s="667">
        <v>62.0</v>
      </c>
      <c r="J430" s="668">
        <v>34.0</v>
      </c>
      <c r="K430" s="669">
        <v>325.0</v>
      </c>
      <c r="L430" s="670">
        <v>76.0</v>
      </c>
      <c r="M430" s="664">
        <v>48.0</v>
      </c>
      <c r="N430" s="665">
        <v>48.0</v>
      </c>
      <c r="O430" s="666">
        <v>57.0</v>
      </c>
      <c r="P430" s="667">
        <v>62.0</v>
      </c>
      <c r="Q430" s="668">
        <v>34.0</v>
      </c>
      <c r="R430" s="671">
        <v>325.0</v>
      </c>
      <c r="S430" s="672">
        <v>76.0</v>
      </c>
      <c r="T430" s="664">
        <v>48.0</v>
      </c>
      <c r="U430" s="665">
        <v>48.0</v>
      </c>
      <c r="V430" s="666">
        <v>57.0</v>
      </c>
      <c r="W430" s="667">
        <v>62.0</v>
      </c>
      <c r="X430" s="668">
        <v>34.0</v>
      </c>
      <c r="Y430" s="671">
        <f t="shared" si="1"/>
        <v>325</v>
      </c>
      <c r="Z430" s="571"/>
      <c r="AA430" s="673" t="str">
        <f t="shared" si="2"/>
        <v>#NAME?</v>
      </c>
      <c r="AB430" s="871" t="s">
        <v>32</v>
      </c>
      <c r="AC430" s="675" t="str">
        <f t="shared" si="3"/>
        <v>#NAME?</v>
      </c>
      <c r="AD430" s="872" t="s">
        <v>4428</v>
      </c>
      <c r="AE430" s="676" t="str">
        <f t="shared" si="4"/>
        <v>#NAME?</v>
      </c>
      <c r="AF430" s="871" t="s">
        <v>32</v>
      </c>
      <c r="AG430" s="675" t="str">
        <f t="shared" si="5"/>
        <v>#NAME?</v>
      </c>
      <c r="AH430" s="586" t="s">
        <v>4428</v>
      </c>
      <c r="AI430" s="677" t="str">
        <f t="shared" si="6"/>
        <v>#NAME?</v>
      </c>
      <c r="AJ430" s="586" t="s">
        <v>32</v>
      </c>
      <c r="AK430" s="584" t="str">
        <f t="shared" si="7"/>
        <v>#NAME?</v>
      </c>
      <c r="AL430" s="678" t="s">
        <v>4428</v>
      </c>
      <c r="AM430" s="571"/>
      <c r="AN430" s="679" t="s">
        <v>963</v>
      </c>
      <c r="AO430" s="680" t="s">
        <v>3209</v>
      </c>
      <c r="AP430" s="705" t="s">
        <v>963</v>
      </c>
      <c r="AQ430" s="680" t="s">
        <v>3209</v>
      </c>
      <c r="AR430" s="705" t="s">
        <v>963</v>
      </c>
      <c r="AS430" s="680" t="s">
        <v>3209</v>
      </c>
      <c r="AT430" s="595"/>
      <c r="AU430" s="676"/>
      <c r="AV430" s="679"/>
      <c r="AW430" s="673"/>
      <c r="AX430" s="866"/>
      <c r="AY430" s="571"/>
      <c r="AZ430" s="695" t="s">
        <v>144</v>
      </c>
      <c r="BA430" s="700"/>
      <c r="BB430" s="690"/>
      <c r="BC430" s="571"/>
      <c r="BD430" s="651" t="s">
        <v>150</v>
      </c>
      <c r="BE430" s="653">
        <v>73.0</v>
      </c>
      <c r="BF430" s="653">
        <v>190.0</v>
      </c>
      <c r="BG430" s="653">
        <v>70.0</v>
      </c>
      <c r="BH430" s="653">
        <v>20.0</v>
      </c>
      <c r="BI430" s="607"/>
      <c r="BJ430" s="655" t="s">
        <v>149</v>
      </c>
      <c r="BK430" s="703" t="s">
        <v>149</v>
      </c>
      <c r="BL430" s="610"/>
      <c r="BM430" s="657" t="s">
        <v>106</v>
      </c>
      <c r="BN430" s="658" t="s">
        <v>964</v>
      </c>
      <c r="BO430" s="607"/>
      <c r="BP430" s="659" t="s">
        <v>3869</v>
      </c>
      <c r="BQ430" s="614"/>
      <c r="BR430" s="660" t="s">
        <v>4434</v>
      </c>
      <c r="BS430" s="614"/>
    </row>
    <row r="431" ht="15.75" customHeight="1">
      <c r="A431" s="841"/>
      <c r="B431" s="617" t="s">
        <v>3872</v>
      </c>
      <c r="C431" s="618"/>
      <c r="D431" s="619"/>
      <c r="E431" s="629">
        <v>111.0</v>
      </c>
      <c r="F431" s="621">
        <v>83.0</v>
      </c>
      <c r="G431" s="622">
        <v>68.0</v>
      </c>
      <c r="H431" s="623">
        <v>92.0</v>
      </c>
      <c r="I431" s="624">
        <v>82.0</v>
      </c>
      <c r="J431" s="625">
        <v>39.0</v>
      </c>
      <c r="K431" s="626">
        <v>475.0</v>
      </c>
      <c r="L431" s="627">
        <v>111.0</v>
      </c>
      <c r="M431" s="621">
        <v>83.0</v>
      </c>
      <c r="N431" s="622">
        <v>68.0</v>
      </c>
      <c r="O431" s="623">
        <v>92.0</v>
      </c>
      <c r="P431" s="624">
        <v>82.0</v>
      </c>
      <c r="Q431" s="625">
        <v>39.0</v>
      </c>
      <c r="R431" s="628">
        <v>475.0</v>
      </c>
      <c r="S431" s="629">
        <v>111.0</v>
      </c>
      <c r="T431" s="621">
        <v>83.0</v>
      </c>
      <c r="U431" s="622">
        <v>68.0</v>
      </c>
      <c r="V431" s="623">
        <v>92.0</v>
      </c>
      <c r="W431" s="624">
        <v>82.0</v>
      </c>
      <c r="X431" s="625">
        <v>39.0</v>
      </c>
      <c r="Y431" s="628">
        <f t="shared" si="1"/>
        <v>475</v>
      </c>
      <c r="Z431" s="619"/>
      <c r="AA431" s="630" t="str">
        <f t="shared" si="2"/>
        <v>#NAME?</v>
      </c>
      <c r="AB431" s="869" t="s">
        <v>32</v>
      </c>
      <c r="AC431" s="632" t="str">
        <f t="shared" si="3"/>
        <v>#NAME?</v>
      </c>
      <c r="AD431" s="870" t="s">
        <v>79</v>
      </c>
      <c r="AE431" s="633" t="str">
        <f t="shared" si="4"/>
        <v>#NAME?</v>
      </c>
      <c r="AF431" s="869" t="s">
        <v>32</v>
      </c>
      <c r="AG431" s="632" t="str">
        <f t="shared" si="5"/>
        <v>#NAME?</v>
      </c>
      <c r="AH431" s="634" t="s">
        <v>79</v>
      </c>
      <c r="AI431" s="635" t="str">
        <f t="shared" si="6"/>
        <v>#NAME?</v>
      </c>
      <c r="AJ431" s="634" t="s">
        <v>32</v>
      </c>
      <c r="AK431" s="636" t="str">
        <f t="shared" si="7"/>
        <v>#NAME?</v>
      </c>
      <c r="AL431" s="637" t="s">
        <v>79</v>
      </c>
      <c r="AM431" s="619"/>
      <c r="AN431" s="638" t="s">
        <v>963</v>
      </c>
      <c r="AO431" s="639" t="s">
        <v>3209</v>
      </c>
      <c r="AP431" s="712" t="s">
        <v>963</v>
      </c>
      <c r="AQ431" s="639" t="s">
        <v>3209</v>
      </c>
      <c r="AR431" s="712" t="s">
        <v>963</v>
      </c>
      <c r="AS431" s="639" t="s">
        <v>3209</v>
      </c>
      <c r="AT431" s="644"/>
      <c r="AU431" s="633"/>
      <c r="AV431" s="638"/>
      <c r="AW431" s="630"/>
      <c r="AX431" s="647"/>
      <c r="AY431" s="619"/>
      <c r="AZ431" s="698" t="s">
        <v>409</v>
      </c>
      <c r="BA431" s="690"/>
      <c r="BB431" s="650"/>
      <c r="BC431" s="619"/>
      <c r="BD431" s="651" t="s">
        <v>150</v>
      </c>
      <c r="BE431" s="653">
        <v>176.0</v>
      </c>
      <c r="BF431" s="653">
        <v>75.0</v>
      </c>
      <c r="BG431" s="653">
        <v>70.0</v>
      </c>
      <c r="BH431" s="653">
        <v>60.0</v>
      </c>
      <c r="BI431" s="607"/>
      <c r="BJ431" s="655" t="s">
        <v>149</v>
      </c>
      <c r="BK431" s="703" t="s">
        <v>149</v>
      </c>
      <c r="BL431" s="610"/>
      <c r="BM431" s="657" t="s">
        <v>106</v>
      </c>
      <c r="BN431" s="658" t="s">
        <v>964</v>
      </c>
      <c r="BO431" s="607"/>
      <c r="BP431" s="659" t="s">
        <v>3876</v>
      </c>
      <c r="BQ431" s="614"/>
      <c r="BR431" s="660" t="s">
        <v>4434</v>
      </c>
      <c r="BS431" s="614"/>
    </row>
    <row r="432" ht="15.75" customHeight="1">
      <c r="A432" s="841"/>
      <c r="B432" s="661" t="s">
        <v>3879</v>
      </c>
      <c r="C432" s="662"/>
      <c r="D432" s="571"/>
      <c r="E432" s="672">
        <v>75.0</v>
      </c>
      <c r="F432" s="664">
        <v>100.0</v>
      </c>
      <c r="G432" s="665">
        <v>66.0</v>
      </c>
      <c r="H432" s="666">
        <v>60.0</v>
      </c>
      <c r="I432" s="667">
        <v>66.0</v>
      </c>
      <c r="J432" s="668">
        <v>115.0</v>
      </c>
      <c r="K432" s="669">
        <v>482.0</v>
      </c>
      <c r="L432" s="670">
        <v>75.0</v>
      </c>
      <c r="M432" s="664">
        <v>100.0</v>
      </c>
      <c r="N432" s="665">
        <v>66.0</v>
      </c>
      <c r="O432" s="666">
        <v>60.0</v>
      </c>
      <c r="P432" s="667">
        <v>66.0</v>
      </c>
      <c r="Q432" s="668">
        <v>115.0</v>
      </c>
      <c r="R432" s="671">
        <v>482.0</v>
      </c>
      <c r="S432" s="672">
        <v>75.0</v>
      </c>
      <c r="T432" s="664">
        <v>100.0</v>
      </c>
      <c r="U432" s="665">
        <v>66.0</v>
      </c>
      <c r="V432" s="666">
        <v>60.0</v>
      </c>
      <c r="W432" s="667">
        <v>66.0</v>
      </c>
      <c r="X432" s="668">
        <v>115.0</v>
      </c>
      <c r="Y432" s="671">
        <f t="shared" si="1"/>
        <v>482</v>
      </c>
      <c r="Z432" s="571"/>
      <c r="AA432" s="673" t="str">
        <f t="shared" si="2"/>
        <v>#NAME?</v>
      </c>
      <c r="AB432" s="871" t="s">
        <v>156</v>
      </c>
      <c r="AC432" s="675" t="str">
        <f t="shared" si="3"/>
        <v>#NAME?</v>
      </c>
      <c r="AD432" s="872" t="s">
        <v>4428</v>
      </c>
      <c r="AE432" s="676" t="str">
        <f t="shared" si="4"/>
        <v>#NAME?</v>
      </c>
      <c r="AF432" s="871" t="s">
        <v>156</v>
      </c>
      <c r="AG432" s="675" t="str">
        <f t="shared" si="5"/>
        <v>#NAME?</v>
      </c>
      <c r="AH432" s="586" t="s">
        <v>4428</v>
      </c>
      <c r="AI432" s="677" t="str">
        <f t="shared" si="6"/>
        <v>#NAME?</v>
      </c>
      <c r="AJ432" s="586" t="s">
        <v>156</v>
      </c>
      <c r="AK432" s="584" t="str">
        <f t="shared" si="7"/>
        <v>#NAME?</v>
      </c>
      <c r="AL432" s="678" t="s">
        <v>4428</v>
      </c>
      <c r="AM432" s="571"/>
      <c r="AN432" s="679" t="s">
        <v>627</v>
      </c>
      <c r="AO432" s="680" t="s">
        <v>626</v>
      </c>
      <c r="AP432" s="705" t="s">
        <v>627</v>
      </c>
      <c r="AQ432" s="680" t="s">
        <v>626</v>
      </c>
      <c r="AR432" s="705" t="s">
        <v>627</v>
      </c>
      <c r="AS432" s="680" t="s">
        <v>626</v>
      </c>
      <c r="AT432" s="595"/>
      <c r="AU432" s="676"/>
      <c r="AV432" s="679"/>
      <c r="AW432" s="673"/>
      <c r="AX432" s="866"/>
      <c r="AY432" s="571"/>
      <c r="AZ432" s="689" t="s">
        <v>248</v>
      </c>
      <c r="BA432" s="690"/>
      <c r="BB432" s="696"/>
      <c r="BC432" s="571"/>
      <c r="BD432" s="651" t="s">
        <v>468</v>
      </c>
      <c r="BE432" s="653">
        <v>186.0</v>
      </c>
      <c r="BF432" s="653">
        <v>45.0</v>
      </c>
      <c r="BG432" s="653">
        <v>100.0</v>
      </c>
      <c r="BH432" s="653">
        <v>40.0</v>
      </c>
      <c r="BI432" s="607"/>
      <c r="BJ432" s="655" t="s">
        <v>149</v>
      </c>
      <c r="BK432" s="703" t="s">
        <v>149</v>
      </c>
      <c r="BL432" s="610"/>
      <c r="BM432" s="657" t="s">
        <v>277</v>
      </c>
      <c r="BN432" s="704"/>
      <c r="BO432" s="607"/>
      <c r="BP432" s="659" t="s">
        <v>3883</v>
      </c>
      <c r="BQ432" s="614"/>
      <c r="BR432" s="660" t="s">
        <v>4434</v>
      </c>
      <c r="BS432" s="614"/>
    </row>
    <row r="433" ht="15.75" customHeight="1">
      <c r="A433" s="841"/>
      <c r="B433" s="617" t="s">
        <v>3886</v>
      </c>
      <c r="C433" s="618"/>
      <c r="D433" s="619"/>
      <c r="E433" s="629">
        <v>90.0</v>
      </c>
      <c r="F433" s="621">
        <v>50.0</v>
      </c>
      <c r="G433" s="622">
        <v>34.0</v>
      </c>
      <c r="H433" s="623">
        <v>60.0</v>
      </c>
      <c r="I433" s="624">
        <v>44.0</v>
      </c>
      <c r="J433" s="625">
        <v>70.0</v>
      </c>
      <c r="K433" s="626">
        <v>348.0</v>
      </c>
      <c r="L433" s="627">
        <v>90.0</v>
      </c>
      <c r="M433" s="621">
        <v>50.0</v>
      </c>
      <c r="N433" s="622">
        <v>34.0</v>
      </c>
      <c r="O433" s="623">
        <v>60.0</v>
      </c>
      <c r="P433" s="624">
        <v>44.0</v>
      </c>
      <c r="Q433" s="625">
        <v>70.0</v>
      </c>
      <c r="R433" s="628">
        <v>348.0</v>
      </c>
      <c r="S433" s="629">
        <v>90.0</v>
      </c>
      <c r="T433" s="621">
        <v>50.0</v>
      </c>
      <c r="U433" s="622">
        <v>34.0</v>
      </c>
      <c r="V433" s="623">
        <v>60.0</v>
      </c>
      <c r="W433" s="624">
        <v>44.0</v>
      </c>
      <c r="X433" s="625">
        <v>70.0</v>
      </c>
      <c r="Y433" s="628">
        <f t="shared" si="1"/>
        <v>348</v>
      </c>
      <c r="Z433" s="619"/>
      <c r="AA433" s="630" t="str">
        <f t="shared" si="2"/>
        <v>#NAME?</v>
      </c>
      <c r="AB433" s="869" t="s">
        <v>92</v>
      </c>
      <c r="AC433" s="632" t="str">
        <f t="shared" si="3"/>
        <v>#NAME?</v>
      </c>
      <c r="AD433" s="870" t="s">
        <v>18</v>
      </c>
      <c r="AE433" s="633" t="str">
        <f t="shared" si="4"/>
        <v>#NAME?</v>
      </c>
      <c r="AF433" s="869" t="s">
        <v>92</v>
      </c>
      <c r="AG433" s="632" t="str">
        <f t="shared" si="5"/>
        <v>#NAME?</v>
      </c>
      <c r="AH433" s="634" t="s">
        <v>18</v>
      </c>
      <c r="AI433" s="635" t="str">
        <f t="shared" si="6"/>
        <v>#NAME?</v>
      </c>
      <c r="AJ433" s="634" t="s">
        <v>92</v>
      </c>
      <c r="AK433" s="636" t="str">
        <f t="shared" si="7"/>
        <v>#NAME?</v>
      </c>
      <c r="AL433" s="637" t="s">
        <v>18</v>
      </c>
      <c r="AM433" s="619"/>
      <c r="AN433" s="638" t="s">
        <v>3890</v>
      </c>
      <c r="AO433" s="639" t="s">
        <v>3891</v>
      </c>
      <c r="AP433" s="708" t="s">
        <v>2377</v>
      </c>
      <c r="AQ433" s="757" t="s">
        <v>3890</v>
      </c>
      <c r="AR433" s="709" t="s">
        <v>3892</v>
      </c>
      <c r="AS433" s="758" t="s">
        <v>3890</v>
      </c>
      <c r="AT433" s="644"/>
      <c r="AU433" s="633"/>
      <c r="AV433" s="638"/>
      <c r="AW433" s="630"/>
      <c r="AX433" s="647"/>
      <c r="AY433" s="619"/>
      <c r="AZ433" s="648" t="s">
        <v>144</v>
      </c>
      <c r="BA433" s="694"/>
      <c r="BB433" s="690"/>
      <c r="BC433" s="619"/>
      <c r="BD433" s="651" t="s">
        <v>2656</v>
      </c>
      <c r="BE433" s="653">
        <v>127.0</v>
      </c>
      <c r="BF433" s="653">
        <v>125.0</v>
      </c>
      <c r="BG433" s="653">
        <v>70.0</v>
      </c>
      <c r="BH433" s="653">
        <v>20.0</v>
      </c>
      <c r="BI433" s="607"/>
      <c r="BJ433" s="655" t="s">
        <v>149</v>
      </c>
      <c r="BK433" s="703" t="s">
        <v>149</v>
      </c>
      <c r="BL433" s="610"/>
      <c r="BM433" s="657" t="s">
        <v>964</v>
      </c>
      <c r="BN433" s="704"/>
      <c r="BO433" s="607"/>
      <c r="BP433" s="659" t="s">
        <v>3893</v>
      </c>
      <c r="BQ433" s="614"/>
      <c r="BR433" s="660" t="s">
        <v>4434</v>
      </c>
      <c r="BS433" s="614"/>
    </row>
    <row r="434" ht="15.75" customHeight="1">
      <c r="A434" s="841"/>
      <c r="B434" s="661" t="s">
        <v>3896</v>
      </c>
      <c r="C434" s="662"/>
      <c r="D434" s="571"/>
      <c r="E434" s="672">
        <v>150.0</v>
      </c>
      <c r="F434" s="664">
        <v>80.0</v>
      </c>
      <c r="G434" s="665">
        <v>44.0</v>
      </c>
      <c r="H434" s="666">
        <v>90.0</v>
      </c>
      <c r="I434" s="667">
        <v>54.0</v>
      </c>
      <c r="J434" s="668">
        <v>80.0</v>
      </c>
      <c r="K434" s="669">
        <v>498.0</v>
      </c>
      <c r="L434" s="670">
        <v>150.0</v>
      </c>
      <c r="M434" s="664">
        <v>80.0</v>
      </c>
      <c r="N434" s="665">
        <v>44.0</v>
      </c>
      <c r="O434" s="666">
        <v>90.0</v>
      </c>
      <c r="P434" s="667">
        <v>54.0</v>
      </c>
      <c r="Q434" s="668">
        <v>80.0</v>
      </c>
      <c r="R434" s="671">
        <v>498.0</v>
      </c>
      <c r="S434" s="672">
        <v>150.0</v>
      </c>
      <c r="T434" s="664">
        <v>80.0</v>
      </c>
      <c r="U434" s="665">
        <v>44.0</v>
      </c>
      <c r="V434" s="666">
        <v>90.0</v>
      </c>
      <c r="W434" s="667">
        <v>54.0</v>
      </c>
      <c r="X434" s="668">
        <v>80.0</v>
      </c>
      <c r="Y434" s="671">
        <f t="shared" si="1"/>
        <v>498</v>
      </c>
      <c r="Z434" s="571"/>
      <c r="AA434" s="673" t="str">
        <f t="shared" si="2"/>
        <v>#NAME?</v>
      </c>
      <c r="AB434" s="871" t="s">
        <v>92</v>
      </c>
      <c r="AC434" s="675" t="str">
        <f t="shared" si="3"/>
        <v>#NAME?</v>
      </c>
      <c r="AD434" s="872" t="s">
        <v>18</v>
      </c>
      <c r="AE434" s="676" t="str">
        <f t="shared" si="4"/>
        <v>#NAME?</v>
      </c>
      <c r="AF434" s="871" t="s">
        <v>92</v>
      </c>
      <c r="AG434" s="675" t="str">
        <f t="shared" si="5"/>
        <v>#NAME?</v>
      </c>
      <c r="AH434" s="586" t="s">
        <v>18</v>
      </c>
      <c r="AI434" s="677" t="str">
        <f t="shared" si="6"/>
        <v>#NAME?</v>
      </c>
      <c r="AJ434" s="586" t="s">
        <v>92</v>
      </c>
      <c r="AK434" s="584" t="str">
        <f t="shared" si="7"/>
        <v>#NAME?</v>
      </c>
      <c r="AL434" s="678" t="s">
        <v>18</v>
      </c>
      <c r="AM434" s="571"/>
      <c r="AN434" s="679" t="s">
        <v>3890</v>
      </c>
      <c r="AO434" s="680" t="s">
        <v>3891</v>
      </c>
      <c r="AP434" s="681" t="s">
        <v>2377</v>
      </c>
      <c r="AQ434" s="682" t="s">
        <v>3890</v>
      </c>
      <c r="AR434" s="683" t="s">
        <v>3892</v>
      </c>
      <c r="AS434" s="684" t="s">
        <v>3890</v>
      </c>
      <c r="AT434" s="595"/>
      <c r="AU434" s="676"/>
      <c r="AV434" s="679"/>
      <c r="AW434" s="673"/>
      <c r="AX434" s="866"/>
      <c r="AY434" s="571"/>
      <c r="AZ434" s="689" t="s">
        <v>409</v>
      </c>
      <c r="BA434" s="690"/>
      <c r="BB434" s="696"/>
      <c r="BC434" s="571"/>
      <c r="BD434" s="651" t="s">
        <v>2656</v>
      </c>
      <c r="BE434" s="653">
        <v>204.0</v>
      </c>
      <c r="BF434" s="653">
        <v>60.0</v>
      </c>
      <c r="BG434" s="653">
        <v>70.0</v>
      </c>
      <c r="BH434" s="653">
        <v>40.0</v>
      </c>
      <c r="BI434" s="607"/>
      <c r="BJ434" s="655" t="s">
        <v>149</v>
      </c>
      <c r="BK434" s="703" t="s">
        <v>149</v>
      </c>
      <c r="BL434" s="610"/>
      <c r="BM434" s="657" t="s">
        <v>964</v>
      </c>
      <c r="BN434" s="704"/>
      <c r="BO434" s="607"/>
      <c r="BP434" s="659" t="s">
        <v>3899</v>
      </c>
      <c r="BQ434" s="614"/>
      <c r="BR434" s="660" t="s">
        <v>4434</v>
      </c>
      <c r="BS434" s="614"/>
    </row>
    <row r="435" ht="15.75" customHeight="1">
      <c r="A435" s="841"/>
      <c r="B435" s="617" t="s">
        <v>3902</v>
      </c>
      <c r="C435" s="618"/>
      <c r="D435" s="619"/>
      <c r="E435" s="629">
        <v>55.0</v>
      </c>
      <c r="F435" s="621">
        <v>66.0</v>
      </c>
      <c r="G435" s="622">
        <v>44.0</v>
      </c>
      <c r="H435" s="623">
        <v>44.0</v>
      </c>
      <c r="I435" s="624">
        <v>56.0</v>
      </c>
      <c r="J435" s="625">
        <v>85.0</v>
      </c>
      <c r="K435" s="626">
        <v>350.0</v>
      </c>
      <c r="L435" s="627">
        <v>55.0</v>
      </c>
      <c r="M435" s="621">
        <v>66.0</v>
      </c>
      <c r="N435" s="622">
        <v>44.0</v>
      </c>
      <c r="O435" s="623">
        <v>44.0</v>
      </c>
      <c r="P435" s="624">
        <v>56.0</v>
      </c>
      <c r="Q435" s="625">
        <v>85.0</v>
      </c>
      <c r="R435" s="628">
        <v>350.0</v>
      </c>
      <c r="S435" s="629">
        <v>55.0</v>
      </c>
      <c r="T435" s="621">
        <v>66.0</v>
      </c>
      <c r="U435" s="622">
        <v>44.0</v>
      </c>
      <c r="V435" s="623">
        <v>44.0</v>
      </c>
      <c r="W435" s="624">
        <v>56.0</v>
      </c>
      <c r="X435" s="625">
        <v>85.0</v>
      </c>
      <c r="Y435" s="628">
        <f t="shared" si="1"/>
        <v>350</v>
      </c>
      <c r="Z435" s="619"/>
      <c r="AA435" s="630" t="str">
        <f t="shared" si="2"/>
        <v>#NAME?</v>
      </c>
      <c r="AB435" s="869" t="s">
        <v>156</v>
      </c>
      <c r="AC435" s="632" t="str">
        <f t="shared" si="3"/>
        <v>#NAME?</v>
      </c>
      <c r="AD435" s="870" t="s">
        <v>4428</v>
      </c>
      <c r="AE435" s="633" t="str">
        <f t="shared" si="4"/>
        <v>#NAME?</v>
      </c>
      <c r="AF435" s="869" t="s">
        <v>156</v>
      </c>
      <c r="AG435" s="632" t="str">
        <f t="shared" si="5"/>
        <v>#NAME?</v>
      </c>
      <c r="AH435" s="634" t="s">
        <v>4428</v>
      </c>
      <c r="AI435" s="635" t="str">
        <f t="shared" si="6"/>
        <v>#NAME?</v>
      </c>
      <c r="AJ435" s="634" t="s">
        <v>156</v>
      </c>
      <c r="AK435" s="636" t="str">
        <f t="shared" si="7"/>
        <v>#NAME?</v>
      </c>
      <c r="AL435" s="637" t="s">
        <v>4428</v>
      </c>
      <c r="AM435" s="619"/>
      <c r="AN435" s="638" t="s">
        <v>146</v>
      </c>
      <c r="AO435" s="639" t="s">
        <v>3905</v>
      </c>
      <c r="AP435" s="640" t="s">
        <v>3907</v>
      </c>
      <c r="AQ435" s="641" t="s">
        <v>146</v>
      </c>
      <c r="AR435" s="642" t="s">
        <v>3907</v>
      </c>
      <c r="AS435" s="643" t="s">
        <v>146</v>
      </c>
      <c r="AT435" s="644"/>
      <c r="AU435" s="633"/>
      <c r="AV435" s="638"/>
      <c r="AW435" s="630"/>
      <c r="AX435" s="647"/>
      <c r="AY435" s="619"/>
      <c r="AZ435" s="648" t="s">
        <v>56</v>
      </c>
      <c r="BA435" s="694"/>
      <c r="BB435" s="690"/>
      <c r="BC435" s="619"/>
      <c r="BD435" s="651" t="s">
        <v>150</v>
      </c>
      <c r="BE435" s="653">
        <v>84.0</v>
      </c>
      <c r="BF435" s="653">
        <v>190.0</v>
      </c>
      <c r="BG435" s="653">
        <v>0.0</v>
      </c>
      <c r="BH435" s="653">
        <v>20.0</v>
      </c>
      <c r="BI435" s="607"/>
      <c r="BJ435" s="655" t="s">
        <v>149</v>
      </c>
      <c r="BK435" s="703" t="s">
        <v>149</v>
      </c>
      <c r="BL435" s="610"/>
      <c r="BM435" s="657" t="s">
        <v>277</v>
      </c>
      <c r="BN435" s="658" t="s">
        <v>728</v>
      </c>
      <c r="BO435" s="607"/>
      <c r="BP435" s="659" t="s">
        <v>3908</v>
      </c>
      <c r="BQ435" s="614"/>
      <c r="BR435" s="660" t="s">
        <v>4432</v>
      </c>
      <c r="BS435" s="614"/>
    </row>
    <row r="436" ht="15.75" customHeight="1">
      <c r="A436" s="841"/>
      <c r="B436" s="661" t="s">
        <v>3911</v>
      </c>
      <c r="C436" s="662"/>
      <c r="D436" s="571"/>
      <c r="E436" s="672">
        <v>65.0</v>
      </c>
      <c r="F436" s="664">
        <v>76.0</v>
      </c>
      <c r="G436" s="665">
        <v>84.0</v>
      </c>
      <c r="H436" s="666">
        <v>54.0</v>
      </c>
      <c r="I436" s="667">
        <v>96.0</v>
      </c>
      <c r="J436" s="668">
        <v>105.0</v>
      </c>
      <c r="K436" s="669">
        <v>480.0</v>
      </c>
      <c r="L436" s="670">
        <v>65.0</v>
      </c>
      <c r="M436" s="664">
        <v>76.0</v>
      </c>
      <c r="N436" s="665">
        <v>84.0</v>
      </c>
      <c r="O436" s="666">
        <v>54.0</v>
      </c>
      <c r="P436" s="667">
        <v>96.0</v>
      </c>
      <c r="Q436" s="668">
        <v>105.0</v>
      </c>
      <c r="R436" s="671">
        <v>480.0</v>
      </c>
      <c r="S436" s="672">
        <v>65.0</v>
      </c>
      <c r="T436" s="741">
        <v>106.0</v>
      </c>
      <c r="U436" s="665">
        <v>84.0</v>
      </c>
      <c r="V436" s="743">
        <v>44.0</v>
      </c>
      <c r="W436" s="667">
        <v>96.0</v>
      </c>
      <c r="X436" s="668">
        <v>105.0</v>
      </c>
      <c r="Y436" s="671">
        <f t="shared" si="1"/>
        <v>500</v>
      </c>
      <c r="Z436" s="571"/>
      <c r="AA436" s="673" t="str">
        <f t="shared" si="2"/>
        <v>#NAME?</v>
      </c>
      <c r="AB436" s="871" t="s">
        <v>156</v>
      </c>
      <c r="AC436" s="675" t="str">
        <f t="shared" si="3"/>
        <v>#NAME?</v>
      </c>
      <c r="AD436" s="872" t="s">
        <v>4428</v>
      </c>
      <c r="AE436" s="676" t="str">
        <f t="shared" si="4"/>
        <v>#NAME?</v>
      </c>
      <c r="AF436" s="871" t="s">
        <v>156</v>
      </c>
      <c r="AG436" s="675" t="str">
        <f t="shared" si="5"/>
        <v>#NAME?</v>
      </c>
      <c r="AH436" s="586" t="s">
        <v>4428</v>
      </c>
      <c r="AI436" s="677" t="str">
        <f t="shared" si="6"/>
        <v>#NAME?</v>
      </c>
      <c r="AJ436" s="586" t="s">
        <v>156</v>
      </c>
      <c r="AK436" s="738" t="str">
        <f t="shared" si="7"/>
        <v>#NAME?</v>
      </c>
      <c r="AL436" s="852" t="s">
        <v>909</v>
      </c>
      <c r="AM436" s="571"/>
      <c r="AN436" s="679" t="s">
        <v>463</v>
      </c>
      <c r="AO436" s="680" t="s">
        <v>3905</v>
      </c>
      <c r="AP436" s="710" t="s">
        <v>3907</v>
      </c>
      <c r="AQ436" s="716" t="s">
        <v>463</v>
      </c>
      <c r="AR436" s="711" t="s">
        <v>1623</v>
      </c>
      <c r="AS436" s="718" t="s">
        <v>463</v>
      </c>
      <c r="AT436" s="595"/>
      <c r="AU436" s="676"/>
      <c r="AV436" s="679"/>
      <c r="AW436" s="673"/>
      <c r="AX436" s="866"/>
      <c r="AY436" s="571"/>
      <c r="AZ436" s="689" t="s">
        <v>248</v>
      </c>
      <c r="BA436" s="690"/>
      <c r="BB436" s="696"/>
      <c r="BC436" s="571"/>
      <c r="BD436" s="651" t="s">
        <v>150</v>
      </c>
      <c r="BE436" s="653">
        <v>178.0</v>
      </c>
      <c r="BF436" s="653">
        <v>60.0</v>
      </c>
      <c r="BG436" s="653">
        <v>140.0</v>
      </c>
      <c r="BH436" s="653">
        <v>60.0</v>
      </c>
      <c r="BI436" s="607"/>
      <c r="BJ436" s="655" t="s">
        <v>149</v>
      </c>
      <c r="BK436" s="703" t="s">
        <v>149</v>
      </c>
      <c r="BL436" s="610"/>
      <c r="BM436" s="657" t="s">
        <v>277</v>
      </c>
      <c r="BN436" s="658" t="s">
        <v>728</v>
      </c>
      <c r="BO436" s="607"/>
      <c r="BP436" s="659" t="s">
        <v>3916</v>
      </c>
      <c r="BQ436" s="614"/>
      <c r="BR436" s="660" t="s">
        <v>4432</v>
      </c>
      <c r="BS436" s="614"/>
    </row>
    <row r="437" ht="15.75" customHeight="1">
      <c r="A437" s="841"/>
      <c r="B437" s="617" t="s">
        <v>3919</v>
      </c>
      <c r="C437" s="618"/>
      <c r="D437" s="619"/>
      <c r="E437" s="629">
        <v>60.0</v>
      </c>
      <c r="F437" s="750">
        <v>60.0</v>
      </c>
      <c r="G437" s="622">
        <v>60.0</v>
      </c>
      <c r="H437" s="623">
        <v>105.0</v>
      </c>
      <c r="I437" s="624">
        <v>105.0</v>
      </c>
      <c r="J437" s="625">
        <v>105.0</v>
      </c>
      <c r="K437" s="749">
        <v>495.0</v>
      </c>
      <c r="L437" s="627">
        <v>60.0</v>
      </c>
      <c r="M437" s="621">
        <v>60.0</v>
      </c>
      <c r="N437" s="622">
        <v>60.0</v>
      </c>
      <c r="O437" s="623">
        <v>105.0</v>
      </c>
      <c r="P437" s="624">
        <v>105.0</v>
      </c>
      <c r="Q437" s="625">
        <v>105.0</v>
      </c>
      <c r="R437" s="628">
        <v>495.0</v>
      </c>
      <c r="S437" s="629">
        <v>60.0</v>
      </c>
      <c r="T437" s="621">
        <v>60.0</v>
      </c>
      <c r="U437" s="622">
        <v>60.0</v>
      </c>
      <c r="V437" s="623">
        <v>105.0</v>
      </c>
      <c r="W437" s="624">
        <v>105.0</v>
      </c>
      <c r="X437" s="625">
        <v>105.0</v>
      </c>
      <c r="Y437" s="628">
        <f t="shared" si="1"/>
        <v>495</v>
      </c>
      <c r="Z437" s="619"/>
      <c r="AA437" s="630" t="str">
        <f t="shared" si="2"/>
        <v>#NAME?</v>
      </c>
      <c r="AB437" s="869" t="s">
        <v>92</v>
      </c>
      <c r="AC437" s="632" t="str">
        <f t="shared" si="3"/>
        <v>#NAME?</v>
      </c>
      <c r="AD437" s="870" t="s">
        <v>4428</v>
      </c>
      <c r="AE437" s="633" t="str">
        <f t="shared" si="4"/>
        <v>#NAME?</v>
      </c>
      <c r="AF437" s="869" t="s">
        <v>92</v>
      </c>
      <c r="AG437" s="632" t="str">
        <f t="shared" si="5"/>
        <v>#NAME?</v>
      </c>
      <c r="AH437" s="634" t="s">
        <v>4428</v>
      </c>
      <c r="AI437" s="635" t="str">
        <f t="shared" si="6"/>
        <v>#NAME?</v>
      </c>
      <c r="AJ437" s="634" t="s">
        <v>92</v>
      </c>
      <c r="AK437" s="754" t="str">
        <f t="shared" si="7"/>
        <v>#NAME?</v>
      </c>
      <c r="AL437" s="755" t="s">
        <v>3017</v>
      </c>
      <c r="AM437" s="619"/>
      <c r="AN437" s="638" t="s">
        <v>1001</v>
      </c>
      <c r="AO437" s="639"/>
      <c r="AP437" s="712" t="s">
        <v>1001</v>
      </c>
      <c r="AQ437" s="639"/>
      <c r="AR437" s="712" t="s">
        <v>1001</v>
      </c>
      <c r="AS437" s="639"/>
      <c r="AT437" s="644"/>
      <c r="AU437" s="633"/>
      <c r="AV437" s="638"/>
      <c r="AW437" s="630"/>
      <c r="AX437" s="647"/>
      <c r="AY437" s="619"/>
      <c r="AZ437" s="648" t="s">
        <v>4</v>
      </c>
      <c r="BA437" s="649" t="s">
        <v>27</v>
      </c>
      <c r="BB437" s="650"/>
      <c r="BC437" s="619"/>
      <c r="BD437" s="651" t="s">
        <v>468</v>
      </c>
      <c r="BE437" s="653">
        <v>187.0</v>
      </c>
      <c r="BF437" s="653">
        <v>45.0</v>
      </c>
      <c r="BG437" s="653">
        <v>35.0</v>
      </c>
      <c r="BH437" s="653">
        <v>20.0</v>
      </c>
      <c r="BI437" s="607"/>
      <c r="BJ437" s="655" t="s">
        <v>149</v>
      </c>
      <c r="BK437" s="703" t="s">
        <v>149</v>
      </c>
      <c r="BL437" s="610"/>
      <c r="BM437" s="657" t="s">
        <v>964</v>
      </c>
      <c r="BN437" s="704"/>
      <c r="BO437" s="607"/>
      <c r="BP437" s="659" t="s">
        <v>3923</v>
      </c>
      <c r="BQ437" s="614"/>
      <c r="BR437" s="660" t="s">
        <v>4434</v>
      </c>
      <c r="BS437" s="614"/>
    </row>
    <row r="438" ht="15.75" customHeight="1">
      <c r="A438" s="841"/>
      <c r="B438" s="661" t="s">
        <v>3926</v>
      </c>
      <c r="C438" s="662"/>
      <c r="D438" s="571"/>
      <c r="E438" s="672">
        <v>100.0</v>
      </c>
      <c r="F438" s="664">
        <v>125.0</v>
      </c>
      <c r="G438" s="665">
        <v>52.0</v>
      </c>
      <c r="H438" s="666">
        <v>105.0</v>
      </c>
      <c r="I438" s="667">
        <v>52.0</v>
      </c>
      <c r="J438" s="668">
        <v>71.0</v>
      </c>
      <c r="K438" s="669">
        <v>505.0</v>
      </c>
      <c r="L438" s="670">
        <v>100.0</v>
      </c>
      <c r="M438" s="664">
        <v>125.0</v>
      </c>
      <c r="N438" s="665">
        <v>52.0</v>
      </c>
      <c r="O438" s="666">
        <v>105.0</v>
      </c>
      <c r="P438" s="667">
        <v>52.0</v>
      </c>
      <c r="Q438" s="668">
        <v>71.0</v>
      </c>
      <c r="R438" s="671">
        <v>505.0</v>
      </c>
      <c r="S438" s="672">
        <v>100.0</v>
      </c>
      <c r="T438" s="664">
        <v>125.0</v>
      </c>
      <c r="U438" s="665">
        <v>52.0</v>
      </c>
      <c r="V438" s="666">
        <v>105.0</v>
      </c>
      <c r="W438" s="667">
        <v>52.0</v>
      </c>
      <c r="X438" s="668">
        <v>71.0</v>
      </c>
      <c r="Y438" s="671">
        <f t="shared" si="1"/>
        <v>505</v>
      </c>
      <c r="Z438" s="571"/>
      <c r="AA438" s="673" t="str">
        <f t="shared" si="2"/>
        <v>#NAME?</v>
      </c>
      <c r="AB438" s="871" t="s">
        <v>76</v>
      </c>
      <c r="AC438" s="675" t="str">
        <f t="shared" si="3"/>
        <v>#NAME?</v>
      </c>
      <c r="AD438" s="872" t="s">
        <v>18</v>
      </c>
      <c r="AE438" s="676" t="str">
        <f t="shared" si="4"/>
        <v>#NAME?</v>
      </c>
      <c r="AF438" s="871" t="s">
        <v>76</v>
      </c>
      <c r="AG438" s="675" t="str">
        <f t="shared" si="5"/>
        <v>#NAME?</v>
      </c>
      <c r="AH438" s="586" t="s">
        <v>18</v>
      </c>
      <c r="AI438" s="677" t="str">
        <f t="shared" si="6"/>
        <v>#NAME?</v>
      </c>
      <c r="AJ438" s="586" t="s">
        <v>76</v>
      </c>
      <c r="AK438" s="584" t="str">
        <f t="shared" si="7"/>
        <v>#NAME?</v>
      </c>
      <c r="AL438" s="678" t="s">
        <v>18</v>
      </c>
      <c r="AM438" s="571"/>
      <c r="AN438" s="679" t="s">
        <v>1032</v>
      </c>
      <c r="AO438" s="680" t="s">
        <v>1734</v>
      </c>
      <c r="AP438" s="715" t="s">
        <v>1734</v>
      </c>
      <c r="AQ438" s="776" t="s">
        <v>1032</v>
      </c>
      <c r="AR438" s="717" t="s">
        <v>3929</v>
      </c>
      <c r="AS438" s="772" t="s">
        <v>1032</v>
      </c>
      <c r="AT438" s="595"/>
      <c r="AU438" s="676"/>
      <c r="AV438" s="679"/>
      <c r="AW438" s="673"/>
      <c r="AX438" s="866"/>
      <c r="AY438" s="571"/>
      <c r="AZ438" s="689" t="s">
        <v>216</v>
      </c>
      <c r="BA438" s="690"/>
      <c r="BB438" s="696"/>
      <c r="BC438" s="571"/>
      <c r="BD438" s="651" t="s">
        <v>15</v>
      </c>
      <c r="BE438" s="653">
        <v>187.0</v>
      </c>
      <c r="BF438" s="653">
        <v>30.0</v>
      </c>
      <c r="BG438" s="653">
        <v>35.0</v>
      </c>
      <c r="BH438" s="653">
        <v>60.0</v>
      </c>
      <c r="BI438" s="607"/>
      <c r="BJ438" s="655" t="s">
        <v>149</v>
      </c>
      <c r="BK438" s="703" t="s">
        <v>149</v>
      </c>
      <c r="BL438" s="610"/>
      <c r="BM438" s="657" t="s">
        <v>18</v>
      </c>
      <c r="BN438" s="704"/>
      <c r="BO438" s="607"/>
      <c r="BP438" s="659" t="s">
        <v>3931</v>
      </c>
      <c r="BQ438" s="614"/>
      <c r="BR438" s="660" t="s">
        <v>4449</v>
      </c>
      <c r="BS438" s="614"/>
    </row>
    <row r="439" ht="15.75" customHeight="1">
      <c r="A439" s="841"/>
      <c r="B439" s="617" t="s">
        <v>3934</v>
      </c>
      <c r="C439" s="618"/>
      <c r="D439" s="619"/>
      <c r="E439" s="629">
        <v>49.0</v>
      </c>
      <c r="F439" s="621">
        <v>55.0</v>
      </c>
      <c r="G439" s="622">
        <v>42.0</v>
      </c>
      <c r="H439" s="748">
        <v>42.0</v>
      </c>
      <c r="I439" s="624">
        <v>37.0</v>
      </c>
      <c r="J439" s="625">
        <v>85.0</v>
      </c>
      <c r="K439" s="749">
        <v>310.0</v>
      </c>
      <c r="L439" s="627">
        <v>49.0</v>
      </c>
      <c r="M439" s="621">
        <v>55.0</v>
      </c>
      <c r="N439" s="622">
        <v>42.0</v>
      </c>
      <c r="O439" s="623">
        <v>42.0</v>
      </c>
      <c r="P439" s="624">
        <v>37.0</v>
      </c>
      <c r="Q439" s="625">
        <v>85.0</v>
      </c>
      <c r="R439" s="628">
        <v>310.0</v>
      </c>
      <c r="S439" s="778">
        <v>50.0</v>
      </c>
      <c r="T439" s="750">
        <v>65.0</v>
      </c>
      <c r="U439" s="751">
        <v>45.0</v>
      </c>
      <c r="V439" s="748">
        <v>45.0</v>
      </c>
      <c r="W439" s="752">
        <v>40.0</v>
      </c>
      <c r="X439" s="753">
        <v>90.0</v>
      </c>
      <c r="Y439" s="628">
        <f t="shared" si="1"/>
        <v>335</v>
      </c>
      <c r="Z439" s="619"/>
      <c r="AA439" s="630" t="str">
        <f t="shared" si="2"/>
        <v>#NAME?</v>
      </c>
      <c r="AB439" s="869" t="s">
        <v>156</v>
      </c>
      <c r="AC439" s="632" t="str">
        <f t="shared" si="3"/>
        <v>#NAME?</v>
      </c>
      <c r="AD439" s="870" t="s">
        <v>4428</v>
      </c>
      <c r="AE439" s="633" t="str">
        <f t="shared" si="4"/>
        <v>#NAME?</v>
      </c>
      <c r="AF439" s="869" t="s">
        <v>156</v>
      </c>
      <c r="AG439" s="632" t="str">
        <f t="shared" si="5"/>
        <v>#NAME?</v>
      </c>
      <c r="AH439" s="634" t="s">
        <v>4428</v>
      </c>
      <c r="AI439" s="635" t="str">
        <f t="shared" si="6"/>
        <v>#NAME?</v>
      </c>
      <c r="AJ439" s="634" t="s">
        <v>156</v>
      </c>
      <c r="AK439" s="636" t="str">
        <f t="shared" si="7"/>
        <v>#NAME?</v>
      </c>
      <c r="AL439" s="637" t="s">
        <v>4428</v>
      </c>
      <c r="AM439" s="619"/>
      <c r="AN439" s="638" t="s">
        <v>639</v>
      </c>
      <c r="AO439" s="639" t="s">
        <v>871</v>
      </c>
      <c r="AP439" s="712" t="s">
        <v>639</v>
      </c>
      <c r="AQ439" s="639" t="s">
        <v>871</v>
      </c>
      <c r="AR439" s="712" t="s">
        <v>639</v>
      </c>
      <c r="AS439" s="639" t="s">
        <v>871</v>
      </c>
      <c r="AT439" s="644"/>
      <c r="AU439" s="633"/>
      <c r="AV439" s="638"/>
      <c r="AW439" s="630"/>
      <c r="AX439" s="647"/>
      <c r="AY439" s="619"/>
      <c r="AZ439" s="648" t="s">
        <v>56</v>
      </c>
      <c r="BA439" s="694"/>
      <c r="BB439" s="690"/>
      <c r="BC439" s="619"/>
      <c r="BD439" s="651" t="s">
        <v>468</v>
      </c>
      <c r="BE439" s="653">
        <v>71.0</v>
      </c>
      <c r="BF439" s="653">
        <v>190.0</v>
      </c>
      <c r="BG439" s="654">
        <v>70.0</v>
      </c>
      <c r="BH439" s="653">
        <v>20.0</v>
      </c>
      <c r="BI439" s="607"/>
      <c r="BJ439" s="655" t="s">
        <v>466</v>
      </c>
      <c r="BK439" s="656">
        <v>0.75</v>
      </c>
      <c r="BL439" s="610"/>
      <c r="BM439" s="657" t="s">
        <v>277</v>
      </c>
      <c r="BN439" s="704"/>
      <c r="BO439" s="607"/>
      <c r="BP439" s="659" t="s">
        <v>3938</v>
      </c>
      <c r="BQ439" s="614"/>
      <c r="BR439" s="660" t="s">
        <v>4437</v>
      </c>
      <c r="BS439" s="614"/>
    </row>
    <row r="440" ht="15.75" customHeight="1">
      <c r="A440" s="841"/>
      <c r="B440" s="661" t="s">
        <v>3941</v>
      </c>
      <c r="C440" s="662"/>
      <c r="D440" s="571"/>
      <c r="E440" s="672">
        <v>71.0</v>
      </c>
      <c r="F440" s="664">
        <v>82.0</v>
      </c>
      <c r="G440" s="665">
        <v>64.0</v>
      </c>
      <c r="H440" s="666">
        <v>64.0</v>
      </c>
      <c r="I440" s="667">
        <v>59.0</v>
      </c>
      <c r="J440" s="668">
        <v>112.0</v>
      </c>
      <c r="K440" s="669">
        <v>452.0</v>
      </c>
      <c r="L440" s="670">
        <v>71.0</v>
      </c>
      <c r="M440" s="664">
        <v>82.0</v>
      </c>
      <c r="N440" s="665">
        <v>64.0</v>
      </c>
      <c r="O440" s="666">
        <v>64.0</v>
      </c>
      <c r="P440" s="667">
        <v>59.0</v>
      </c>
      <c r="Q440" s="668">
        <v>112.0</v>
      </c>
      <c r="R440" s="671">
        <v>452.0</v>
      </c>
      <c r="S440" s="769">
        <v>90.0</v>
      </c>
      <c r="T440" s="741">
        <v>95.0</v>
      </c>
      <c r="U440" s="742">
        <v>70.0</v>
      </c>
      <c r="V440" s="743">
        <v>65.0</v>
      </c>
      <c r="W440" s="744">
        <v>60.0</v>
      </c>
      <c r="X440" s="745">
        <v>115.0</v>
      </c>
      <c r="Y440" s="671">
        <f t="shared" si="1"/>
        <v>495</v>
      </c>
      <c r="Z440" s="571"/>
      <c r="AA440" s="673" t="str">
        <f t="shared" si="2"/>
        <v>#NAME?</v>
      </c>
      <c r="AB440" s="871" t="s">
        <v>156</v>
      </c>
      <c r="AC440" s="675" t="str">
        <f t="shared" si="3"/>
        <v>#NAME?</v>
      </c>
      <c r="AD440" s="872" t="s">
        <v>4428</v>
      </c>
      <c r="AE440" s="676" t="str">
        <f t="shared" si="4"/>
        <v>#NAME?</v>
      </c>
      <c r="AF440" s="871" t="s">
        <v>156</v>
      </c>
      <c r="AG440" s="675" t="str">
        <f t="shared" si="5"/>
        <v>#NAME?</v>
      </c>
      <c r="AH440" s="586" t="s">
        <v>4428</v>
      </c>
      <c r="AI440" s="677" t="str">
        <f t="shared" si="6"/>
        <v>#NAME?</v>
      </c>
      <c r="AJ440" s="586" t="s">
        <v>156</v>
      </c>
      <c r="AK440" s="584" t="str">
        <f t="shared" si="7"/>
        <v>#NAME?</v>
      </c>
      <c r="AL440" s="678" t="s">
        <v>4428</v>
      </c>
      <c r="AM440" s="571"/>
      <c r="AN440" s="679" t="s">
        <v>944</v>
      </c>
      <c r="AO440" s="680" t="s">
        <v>871</v>
      </c>
      <c r="AP440" s="705" t="s">
        <v>944</v>
      </c>
      <c r="AQ440" s="680" t="s">
        <v>871</v>
      </c>
      <c r="AR440" s="705" t="s">
        <v>944</v>
      </c>
      <c r="AS440" s="680" t="s">
        <v>871</v>
      </c>
      <c r="AT440" s="595"/>
      <c r="AU440" s="676"/>
      <c r="AV440" s="679"/>
      <c r="AW440" s="673"/>
      <c r="AX440" s="866"/>
      <c r="AY440" s="571"/>
      <c r="AZ440" s="689" t="s">
        <v>248</v>
      </c>
      <c r="BA440" s="690"/>
      <c r="BB440" s="696"/>
      <c r="BC440" s="571"/>
      <c r="BD440" s="651" t="s">
        <v>468</v>
      </c>
      <c r="BE440" s="653">
        <v>183.0</v>
      </c>
      <c r="BF440" s="653">
        <v>75.0</v>
      </c>
      <c r="BG440" s="654">
        <v>70.0</v>
      </c>
      <c r="BH440" s="653">
        <v>60.0</v>
      </c>
      <c r="BI440" s="607"/>
      <c r="BJ440" s="655" t="s">
        <v>466</v>
      </c>
      <c r="BK440" s="656">
        <v>0.75</v>
      </c>
      <c r="BL440" s="610"/>
      <c r="BM440" s="657" t="s">
        <v>277</v>
      </c>
      <c r="BN440" s="704"/>
      <c r="BO440" s="607"/>
      <c r="BP440" s="659" t="s">
        <v>4494</v>
      </c>
      <c r="BQ440" s="614"/>
      <c r="BR440" s="660" t="s">
        <v>4437</v>
      </c>
      <c r="BS440" s="614"/>
    </row>
    <row r="441" ht="15.75" customHeight="1">
      <c r="A441" s="841"/>
      <c r="B441" s="617" t="s">
        <v>3948</v>
      </c>
      <c r="C441" s="618"/>
      <c r="D441" s="619"/>
      <c r="E441" s="629">
        <v>45.0</v>
      </c>
      <c r="F441" s="621">
        <v>30.0</v>
      </c>
      <c r="G441" s="622">
        <v>50.0</v>
      </c>
      <c r="H441" s="623">
        <v>65.0</v>
      </c>
      <c r="I441" s="624">
        <v>50.0</v>
      </c>
      <c r="J441" s="625">
        <v>45.0</v>
      </c>
      <c r="K441" s="626">
        <v>285.0</v>
      </c>
      <c r="L441" s="627">
        <v>45.0</v>
      </c>
      <c r="M441" s="621">
        <v>30.0</v>
      </c>
      <c r="N441" s="622">
        <v>50.0</v>
      </c>
      <c r="O441" s="623">
        <v>65.0</v>
      </c>
      <c r="P441" s="624">
        <v>50.0</v>
      </c>
      <c r="Q441" s="625">
        <v>45.0</v>
      </c>
      <c r="R441" s="628">
        <v>285.0</v>
      </c>
      <c r="S441" s="629">
        <v>45.0</v>
      </c>
      <c r="T441" s="621">
        <v>30.0</v>
      </c>
      <c r="U441" s="622">
        <v>50.0</v>
      </c>
      <c r="V441" s="748">
        <v>80.0</v>
      </c>
      <c r="W441" s="752">
        <v>60.0</v>
      </c>
      <c r="X441" s="625">
        <v>45.0</v>
      </c>
      <c r="Y441" s="628">
        <f t="shared" si="1"/>
        <v>310</v>
      </c>
      <c r="Z441" s="619"/>
      <c r="AA441" s="630" t="str">
        <f t="shared" si="2"/>
        <v>#NAME?</v>
      </c>
      <c r="AB441" s="869" t="s">
        <v>122</v>
      </c>
      <c r="AC441" s="632" t="str">
        <f t="shared" si="3"/>
        <v>#NAME?</v>
      </c>
      <c r="AD441" s="870" t="s">
        <v>4428</v>
      </c>
      <c r="AE441" s="633" t="str">
        <f t="shared" si="4"/>
        <v>#NAME?</v>
      </c>
      <c r="AF441" s="869" t="s">
        <v>122</v>
      </c>
      <c r="AG441" s="632" t="str">
        <f t="shared" si="5"/>
        <v>#NAME?</v>
      </c>
      <c r="AH441" s="634" t="s">
        <v>4428</v>
      </c>
      <c r="AI441" s="635" t="str">
        <f t="shared" si="6"/>
        <v>#NAME?</v>
      </c>
      <c r="AJ441" s="634" t="s">
        <v>122</v>
      </c>
      <c r="AK441" s="636" t="str">
        <f t="shared" si="7"/>
        <v>#NAME?</v>
      </c>
      <c r="AL441" s="637" t="s">
        <v>4428</v>
      </c>
      <c r="AM441" s="619"/>
      <c r="AN441" s="638" t="s">
        <v>1001</v>
      </c>
      <c r="AO441" s="639"/>
      <c r="AP441" s="712" t="s">
        <v>1001</v>
      </c>
      <c r="AQ441" s="639"/>
      <c r="AR441" s="712" t="s">
        <v>1001</v>
      </c>
      <c r="AS441" s="639"/>
      <c r="AT441" s="644"/>
      <c r="AU441" s="633" t="str">
        <f>image("https://www.pokebip.com/pages/icones/objets/rune-purifiante.png", 3)</f>
        <v/>
      </c>
      <c r="AV441" s="638" t="s">
        <v>3328</v>
      </c>
      <c r="AW441" s="630"/>
      <c r="AX441" s="647"/>
      <c r="AY441" s="619"/>
      <c r="AZ441" s="648" t="s">
        <v>4</v>
      </c>
      <c r="BA441" s="694"/>
      <c r="BB441" s="690"/>
      <c r="BC441" s="619"/>
      <c r="BD441" s="651" t="s">
        <v>468</v>
      </c>
      <c r="BE441" s="653">
        <v>74.0</v>
      </c>
      <c r="BF441" s="653">
        <v>120.0</v>
      </c>
      <c r="BG441" s="858" t="s">
        <v>4454</v>
      </c>
      <c r="BH441" s="653">
        <v>20.0</v>
      </c>
      <c r="BI441" s="607"/>
      <c r="BJ441" s="655" t="s">
        <v>149</v>
      </c>
      <c r="BK441" s="703" t="s">
        <v>149</v>
      </c>
      <c r="BL441" s="610"/>
      <c r="BM441" s="657" t="s">
        <v>411</v>
      </c>
      <c r="BN441" s="704"/>
      <c r="BO441" s="607"/>
      <c r="BP441" s="659" t="s">
        <v>3952</v>
      </c>
      <c r="BQ441" s="614"/>
      <c r="BR441" s="660" t="s">
        <v>4433</v>
      </c>
      <c r="BS441" s="614"/>
    </row>
    <row r="442" ht="15.75" customHeight="1">
      <c r="A442" s="841"/>
      <c r="B442" s="661" t="s">
        <v>3955</v>
      </c>
      <c r="C442" s="662"/>
      <c r="D442" s="571"/>
      <c r="E442" s="672">
        <v>63.0</v>
      </c>
      <c r="F442" s="664">
        <v>63.0</v>
      </c>
      <c r="G442" s="665">
        <v>47.0</v>
      </c>
      <c r="H442" s="666">
        <v>41.0</v>
      </c>
      <c r="I442" s="667">
        <v>41.0</v>
      </c>
      <c r="J442" s="668">
        <v>74.0</v>
      </c>
      <c r="K442" s="669">
        <v>329.0</v>
      </c>
      <c r="L442" s="670">
        <v>63.0</v>
      </c>
      <c r="M442" s="664">
        <v>63.0</v>
      </c>
      <c r="N442" s="665">
        <v>47.0</v>
      </c>
      <c r="O442" s="666">
        <v>41.0</v>
      </c>
      <c r="P442" s="667">
        <v>41.0</v>
      </c>
      <c r="Q442" s="668">
        <v>74.0</v>
      </c>
      <c r="R442" s="671">
        <v>329.0</v>
      </c>
      <c r="S442" s="769">
        <v>65.0</v>
      </c>
      <c r="T442" s="741">
        <v>65.0</v>
      </c>
      <c r="U442" s="742">
        <v>50.0</v>
      </c>
      <c r="V442" s="743">
        <v>40.0</v>
      </c>
      <c r="W442" s="744">
        <v>40.0</v>
      </c>
      <c r="X442" s="745">
        <v>75.0</v>
      </c>
      <c r="Y442" s="671">
        <f t="shared" si="1"/>
        <v>335</v>
      </c>
      <c r="Z442" s="571"/>
      <c r="AA442" s="673" t="str">
        <f t="shared" si="2"/>
        <v>#NAME?</v>
      </c>
      <c r="AB442" s="871" t="s">
        <v>7</v>
      </c>
      <c r="AC442" s="675" t="str">
        <f t="shared" si="3"/>
        <v>#NAME?</v>
      </c>
      <c r="AD442" s="872" t="s">
        <v>76</v>
      </c>
      <c r="AE442" s="676" t="str">
        <f t="shared" si="4"/>
        <v>#NAME?</v>
      </c>
      <c r="AF442" s="871" t="s">
        <v>7</v>
      </c>
      <c r="AG442" s="675" t="str">
        <f t="shared" si="5"/>
        <v>#NAME?</v>
      </c>
      <c r="AH442" s="586" t="s">
        <v>76</v>
      </c>
      <c r="AI442" s="677" t="str">
        <f t="shared" si="6"/>
        <v>#NAME?</v>
      </c>
      <c r="AJ442" s="586" t="s">
        <v>7</v>
      </c>
      <c r="AK442" s="584" t="str">
        <f t="shared" si="7"/>
        <v>#NAME?</v>
      </c>
      <c r="AL442" s="678" t="s">
        <v>76</v>
      </c>
      <c r="AM442" s="571"/>
      <c r="AN442" s="679" t="s">
        <v>553</v>
      </c>
      <c r="AO442" s="680" t="s">
        <v>3890</v>
      </c>
      <c r="AP442" s="734" t="s">
        <v>3890</v>
      </c>
      <c r="AQ442" s="735" t="s">
        <v>553</v>
      </c>
      <c r="AR442" s="736" t="s">
        <v>3959</v>
      </c>
      <c r="AS442" s="737" t="s">
        <v>553</v>
      </c>
      <c r="AT442" s="595"/>
      <c r="AU442" s="676"/>
      <c r="AV442" s="679"/>
      <c r="AW442" s="673"/>
      <c r="AX442" s="866"/>
      <c r="AY442" s="571"/>
      <c r="AZ442" s="695" t="s">
        <v>56</v>
      </c>
      <c r="BA442" s="700"/>
      <c r="BB442" s="690"/>
      <c r="BC442" s="571"/>
      <c r="BD442" s="651" t="s">
        <v>150</v>
      </c>
      <c r="BE442" s="653">
        <v>79.0</v>
      </c>
      <c r="BF442" s="653">
        <v>225.0</v>
      </c>
      <c r="BG442" s="654">
        <v>70.0</v>
      </c>
      <c r="BH442" s="653">
        <v>40.0</v>
      </c>
      <c r="BI442" s="607"/>
      <c r="BJ442" s="764" t="s">
        <v>149</v>
      </c>
      <c r="BK442" s="703" t="s">
        <v>149</v>
      </c>
      <c r="BL442" s="610"/>
      <c r="BM442" s="657" t="s">
        <v>277</v>
      </c>
      <c r="BN442" s="704"/>
      <c r="BO442" s="607"/>
      <c r="BP442" s="659" t="s">
        <v>3961</v>
      </c>
      <c r="BQ442" s="614"/>
      <c r="BR442" s="660" t="s">
        <v>4434</v>
      </c>
      <c r="BS442" s="614"/>
    </row>
    <row r="443" ht="15.75" customHeight="1">
      <c r="A443" s="841"/>
      <c r="B443" s="617" t="s">
        <v>3964</v>
      </c>
      <c r="C443" s="618"/>
      <c r="D443" s="619"/>
      <c r="E443" s="629">
        <v>103.0</v>
      </c>
      <c r="F443" s="621">
        <v>93.0</v>
      </c>
      <c r="G443" s="622">
        <v>67.0</v>
      </c>
      <c r="H443" s="748">
        <v>71.0</v>
      </c>
      <c r="I443" s="624">
        <v>61.0</v>
      </c>
      <c r="J443" s="625">
        <v>84.0</v>
      </c>
      <c r="K443" s="749">
        <v>479.0</v>
      </c>
      <c r="L443" s="627">
        <v>103.0</v>
      </c>
      <c r="M443" s="621">
        <v>93.0</v>
      </c>
      <c r="N443" s="622">
        <v>67.0</v>
      </c>
      <c r="O443" s="623">
        <v>71.0</v>
      </c>
      <c r="P443" s="624">
        <v>61.0</v>
      </c>
      <c r="Q443" s="625">
        <v>84.0</v>
      </c>
      <c r="R443" s="628">
        <v>479.0</v>
      </c>
      <c r="S443" s="778">
        <v>115.0</v>
      </c>
      <c r="T443" s="750">
        <v>95.0</v>
      </c>
      <c r="U443" s="751">
        <v>70.0</v>
      </c>
      <c r="V443" s="748">
        <v>70.0</v>
      </c>
      <c r="W443" s="752">
        <v>60.0</v>
      </c>
      <c r="X443" s="753">
        <v>85.0</v>
      </c>
      <c r="Y443" s="628">
        <f t="shared" si="1"/>
        <v>495</v>
      </c>
      <c r="Z443" s="619"/>
      <c r="AA443" s="630" t="str">
        <f t="shared" si="2"/>
        <v>#NAME?</v>
      </c>
      <c r="AB443" s="869" t="s">
        <v>7</v>
      </c>
      <c r="AC443" s="632" t="str">
        <f t="shared" si="3"/>
        <v>#NAME?</v>
      </c>
      <c r="AD443" s="870" t="s">
        <v>76</v>
      </c>
      <c r="AE443" s="633" t="str">
        <f t="shared" si="4"/>
        <v>#NAME?</v>
      </c>
      <c r="AF443" s="869" t="s">
        <v>7</v>
      </c>
      <c r="AG443" s="632" t="str">
        <f t="shared" si="5"/>
        <v>#NAME?</v>
      </c>
      <c r="AH443" s="634" t="s">
        <v>76</v>
      </c>
      <c r="AI443" s="635" t="str">
        <f t="shared" si="6"/>
        <v>#NAME?</v>
      </c>
      <c r="AJ443" s="634" t="s">
        <v>7</v>
      </c>
      <c r="AK443" s="636" t="str">
        <f t="shared" si="7"/>
        <v>#NAME?</v>
      </c>
      <c r="AL443" s="637" t="s">
        <v>76</v>
      </c>
      <c r="AM443" s="619"/>
      <c r="AN443" s="638" t="s">
        <v>553</v>
      </c>
      <c r="AO443" s="639" t="s">
        <v>3890</v>
      </c>
      <c r="AP443" s="701" t="s">
        <v>3890</v>
      </c>
      <c r="AQ443" s="740" t="s">
        <v>553</v>
      </c>
      <c r="AR443" s="702" t="s">
        <v>3959</v>
      </c>
      <c r="AS443" s="843" t="s">
        <v>553</v>
      </c>
      <c r="AT443" s="644"/>
      <c r="AU443" s="633"/>
      <c r="AV443" s="638"/>
      <c r="AW443" s="630"/>
      <c r="AX443" s="647"/>
      <c r="AY443" s="619"/>
      <c r="AZ443" s="698" t="s">
        <v>409</v>
      </c>
      <c r="BA443" s="690"/>
      <c r="BB443" s="650"/>
      <c r="BC443" s="619"/>
      <c r="BD443" s="651" t="s">
        <v>150</v>
      </c>
      <c r="BE443" s="653">
        <v>209.0</v>
      </c>
      <c r="BF443" s="653">
        <v>60.0</v>
      </c>
      <c r="BG443" s="653">
        <v>70.0</v>
      </c>
      <c r="BH443" s="653">
        <v>60.0</v>
      </c>
      <c r="BI443" s="607"/>
      <c r="BJ443" s="764" t="s">
        <v>149</v>
      </c>
      <c r="BK443" s="703" t="s">
        <v>149</v>
      </c>
      <c r="BL443" s="610"/>
      <c r="BM443" s="657" t="s">
        <v>277</v>
      </c>
      <c r="BN443" s="704"/>
      <c r="BO443" s="607"/>
      <c r="BP443" s="659" t="s">
        <v>4495</v>
      </c>
      <c r="BQ443" s="614"/>
      <c r="BR443" s="660" t="s">
        <v>4434</v>
      </c>
      <c r="BS443" s="614"/>
    </row>
    <row r="444" ht="15.75" customHeight="1">
      <c r="A444" s="841"/>
      <c r="B444" s="661" t="s">
        <v>3970</v>
      </c>
      <c r="C444" s="662"/>
      <c r="D444" s="571"/>
      <c r="E444" s="672">
        <v>57.0</v>
      </c>
      <c r="F444" s="664">
        <v>24.0</v>
      </c>
      <c r="G444" s="665">
        <v>86.0</v>
      </c>
      <c r="H444" s="666">
        <v>24.0</v>
      </c>
      <c r="I444" s="667">
        <v>86.0</v>
      </c>
      <c r="J444" s="668">
        <v>23.0</v>
      </c>
      <c r="K444" s="669">
        <v>300.0</v>
      </c>
      <c r="L444" s="670">
        <v>57.0</v>
      </c>
      <c r="M444" s="664">
        <v>24.0</v>
      </c>
      <c r="N444" s="665">
        <v>86.0</v>
      </c>
      <c r="O444" s="666">
        <v>24.0</v>
      </c>
      <c r="P444" s="667">
        <v>86.0</v>
      </c>
      <c r="Q444" s="668">
        <v>23.0</v>
      </c>
      <c r="R444" s="671">
        <v>300.0</v>
      </c>
      <c r="S444" s="672">
        <v>57.0</v>
      </c>
      <c r="T444" s="664">
        <v>24.0</v>
      </c>
      <c r="U444" s="665">
        <v>86.0</v>
      </c>
      <c r="V444" s="666">
        <v>24.0</v>
      </c>
      <c r="W444" s="667">
        <v>86.0</v>
      </c>
      <c r="X444" s="668">
        <v>23.0</v>
      </c>
      <c r="Y444" s="671">
        <f t="shared" si="1"/>
        <v>300</v>
      </c>
      <c r="Z444" s="571"/>
      <c r="AA444" s="673" t="str">
        <f t="shared" si="2"/>
        <v>#NAME?</v>
      </c>
      <c r="AB444" s="871" t="s">
        <v>95</v>
      </c>
      <c r="AC444" s="675" t="str">
        <f t="shared" si="3"/>
        <v>#NAME?</v>
      </c>
      <c r="AD444" s="872" t="s">
        <v>122</v>
      </c>
      <c r="AE444" s="676" t="str">
        <f t="shared" si="4"/>
        <v>#NAME?</v>
      </c>
      <c r="AF444" s="871" t="s">
        <v>95</v>
      </c>
      <c r="AG444" s="675" t="str">
        <f t="shared" si="5"/>
        <v>#NAME?</v>
      </c>
      <c r="AH444" s="586" t="s">
        <v>122</v>
      </c>
      <c r="AI444" s="677" t="str">
        <f t="shared" si="6"/>
        <v>#NAME?</v>
      </c>
      <c r="AJ444" s="586" t="s">
        <v>95</v>
      </c>
      <c r="AK444" s="584" t="str">
        <f t="shared" si="7"/>
        <v>#NAME?</v>
      </c>
      <c r="AL444" s="678" t="s">
        <v>122</v>
      </c>
      <c r="AM444" s="571"/>
      <c r="AN444" s="679" t="s">
        <v>1001</v>
      </c>
      <c r="AO444" s="680" t="s">
        <v>3973</v>
      </c>
      <c r="AP444" s="705" t="s">
        <v>1001</v>
      </c>
      <c r="AQ444" s="680" t="s">
        <v>3973</v>
      </c>
      <c r="AR444" s="705" t="s">
        <v>1001</v>
      </c>
      <c r="AS444" s="680" t="s">
        <v>3973</v>
      </c>
      <c r="AT444" s="595"/>
      <c r="AU444" s="676" t="str">
        <f t="shared" ref="AU444:AU445" si="56">image("https://www.pokebip.com/pages/icones/objets/peau-metal.png", 3)</f>
        <v/>
      </c>
      <c r="AV444" s="679" t="s">
        <v>892</v>
      </c>
      <c r="AW444" s="673"/>
      <c r="AX444" s="866"/>
      <c r="AY444" s="571"/>
      <c r="AZ444" s="695" t="s">
        <v>101</v>
      </c>
      <c r="BA444" s="700"/>
      <c r="BB444" s="690"/>
      <c r="BC444" s="571"/>
      <c r="BD444" s="651" t="s">
        <v>150</v>
      </c>
      <c r="BE444" s="653">
        <v>72.0</v>
      </c>
      <c r="BF444" s="653">
        <v>255.0</v>
      </c>
      <c r="BG444" s="654">
        <v>35.0</v>
      </c>
      <c r="BH444" s="653">
        <v>80.0</v>
      </c>
      <c r="BI444" s="607"/>
      <c r="BJ444" s="765" t="s">
        <v>890</v>
      </c>
      <c r="BK444" s="766"/>
      <c r="BL444" s="610"/>
      <c r="BM444" s="767" t="s">
        <v>826</v>
      </c>
      <c r="BN444" s="704"/>
      <c r="BO444" s="607"/>
      <c r="BP444" s="659" t="s">
        <v>3975</v>
      </c>
      <c r="BQ444" s="614"/>
      <c r="BR444" s="660" t="s">
        <v>4427</v>
      </c>
      <c r="BS444" s="614"/>
    </row>
    <row r="445" ht="15.75" customHeight="1">
      <c r="A445" s="841"/>
      <c r="B445" s="617" t="s">
        <v>3978</v>
      </c>
      <c r="C445" s="618"/>
      <c r="D445" s="619"/>
      <c r="E445" s="629">
        <v>67.0</v>
      </c>
      <c r="F445" s="621">
        <v>89.0</v>
      </c>
      <c r="G445" s="622">
        <v>116.0</v>
      </c>
      <c r="H445" s="623">
        <v>79.0</v>
      </c>
      <c r="I445" s="624">
        <v>116.0</v>
      </c>
      <c r="J445" s="625">
        <v>33.0</v>
      </c>
      <c r="K445" s="626">
        <v>500.0</v>
      </c>
      <c r="L445" s="627">
        <v>67.0</v>
      </c>
      <c r="M445" s="621">
        <v>89.0</v>
      </c>
      <c r="N445" s="622">
        <v>116.0</v>
      </c>
      <c r="O445" s="623">
        <v>79.0</v>
      </c>
      <c r="P445" s="624">
        <v>116.0</v>
      </c>
      <c r="Q445" s="625">
        <v>33.0</v>
      </c>
      <c r="R445" s="628">
        <v>500.0</v>
      </c>
      <c r="S445" s="629">
        <v>67.0</v>
      </c>
      <c r="T445" s="621">
        <v>89.0</v>
      </c>
      <c r="U445" s="622">
        <v>116.0</v>
      </c>
      <c r="V445" s="623">
        <v>79.0</v>
      </c>
      <c r="W445" s="624">
        <v>116.0</v>
      </c>
      <c r="X445" s="625">
        <v>33.0</v>
      </c>
      <c r="Y445" s="628">
        <f t="shared" si="1"/>
        <v>500</v>
      </c>
      <c r="Z445" s="619"/>
      <c r="AA445" s="630" t="str">
        <f t="shared" si="2"/>
        <v>#NAME?</v>
      </c>
      <c r="AB445" s="869" t="s">
        <v>95</v>
      </c>
      <c r="AC445" s="632" t="str">
        <f t="shared" si="3"/>
        <v>#NAME?</v>
      </c>
      <c r="AD445" s="870" t="s">
        <v>122</v>
      </c>
      <c r="AE445" s="633" t="str">
        <f t="shared" si="4"/>
        <v>#NAME?</v>
      </c>
      <c r="AF445" s="869" t="s">
        <v>95</v>
      </c>
      <c r="AG445" s="632" t="str">
        <f t="shared" si="5"/>
        <v>#NAME?</v>
      </c>
      <c r="AH445" s="634" t="s">
        <v>122</v>
      </c>
      <c r="AI445" s="635" t="str">
        <f t="shared" si="6"/>
        <v>#NAME?</v>
      </c>
      <c r="AJ445" s="634" t="s">
        <v>95</v>
      </c>
      <c r="AK445" s="636" t="str">
        <f t="shared" si="7"/>
        <v>#NAME?</v>
      </c>
      <c r="AL445" s="637" t="s">
        <v>122</v>
      </c>
      <c r="AM445" s="619"/>
      <c r="AN445" s="638" t="s">
        <v>1001</v>
      </c>
      <c r="AO445" s="639" t="s">
        <v>3973</v>
      </c>
      <c r="AP445" s="712" t="s">
        <v>1001</v>
      </c>
      <c r="AQ445" s="639" t="s">
        <v>3973</v>
      </c>
      <c r="AR445" s="712" t="s">
        <v>1001</v>
      </c>
      <c r="AS445" s="639" t="s">
        <v>3973</v>
      </c>
      <c r="AT445" s="644"/>
      <c r="AU445" s="633" t="str">
        <f t="shared" si="56"/>
        <v/>
      </c>
      <c r="AV445" s="638" t="s">
        <v>892</v>
      </c>
      <c r="AW445" s="630"/>
      <c r="AX445" s="647"/>
      <c r="AY445" s="619"/>
      <c r="AZ445" s="648" t="s">
        <v>101</v>
      </c>
      <c r="BA445" s="649" t="s">
        <v>27</v>
      </c>
      <c r="BB445" s="650"/>
      <c r="BC445" s="619"/>
      <c r="BD445" s="651" t="s">
        <v>150</v>
      </c>
      <c r="BE445" s="653">
        <v>188.0</v>
      </c>
      <c r="BF445" s="653">
        <v>90.0</v>
      </c>
      <c r="BG445" s="654">
        <v>70.0</v>
      </c>
      <c r="BH445" s="653">
        <v>100.0</v>
      </c>
      <c r="BI445" s="607"/>
      <c r="BJ445" s="768" t="s">
        <v>890</v>
      </c>
      <c r="BK445" s="766"/>
      <c r="BL445" s="610"/>
      <c r="BM445" s="767" t="s">
        <v>826</v>
      </c>
      <c r="BN445" s="704"/>
      <c r="BO445" s="607"/>
      <c r="BP445" s="659" t="s">
        <v>3981</v>
      </c>
      <c r="BQ445" s="614"/>
      <c r="BR445" s="660" t="s">
        <v>4427</v>
      </c>
      <c r="BS445" s="614"/>
    </row>
    <row r="446" ht="15.75" customHeight="1">
      <c r="A446" s="841"/>
      <c r="B446" s="661" t="s">
        <v>3984</v>
      </c>
      <c r="C446" s="662"/>
      <c r="D446" s="571"/>
      <c r="E446" s="672">
        <v>50.0</v>
      </c>
      <c r="F446" s="664">
        <v>80.0</v>
      </c>
      <c r="G446" s="665">
        <v>95.0</v>
      </c>
      <c r="H446" s="666">
        <v>10.0</v>
      </c>
      <c r="I446" s="667">
        <v>45.0</v>
      </c>
      <c r="J446" s="668">
        <v>10.0</v>
      </c>
      <c r="K446" s="669">
        <v>290.0</v>
      </c>
      <c r="L446" s="670">
        <v>50.0</v>
      </c>
      <c r="M446" s="664">
        <v>80.0</v>
      </c>
      <c r="N446" s="665">
        <v>95.0</v>
      </c>
      <c r="O446" s="666">
        <v>10.0</v>
      </c>
      <c r="P446" s="667">
        <v>45.0</v>
      </c>
      <c r="Q446" s="668">
        <v>10.0</v>
      </c>
      <c r="R446" s="671">
        <v>290.0</v>
      </c>
      <c r="S446" s="769">
        <v>60.0</v>
      </c>
      <c r="T446" s="741">
        <v>85.0</v>
      </c>
      <c r="U446" s="665">
        <v>95.0</v>
      </c>
      <c r="V446" s="666">
        <v>10.0</v>
      </c>
      <c r="W446" s="744">
        <v>55.0</v>
      </c>
      <c r="X446" s="668">
        <v>10.0</v>
      </c>
      <c r="Y446" s="671">
        <f t="shared" si="1"/>
        <v>315</v>
      </c>
      <c r="Z446" s="571"/>
      <c r="AA446" s="673" t="str">
        <f t="shared" si="2"/>
        <v>#NAME?</v>
      </c>
      <c r="AB446" s="871" t="s">
        <v>66</v>
      </c>
      <c r="AC446" s="675" t="str">
        <f t="shared" si="3"/>
        <v>#NAME?</v>
      </c>
      <c r="AD446" s="872" t="s">
        <v>4428</v>
      </c>
      <c r="AE446" s="676" t="str">
        <f t="shared" si="4"/>
        <v>#NAME?</v>
      </c>
      <c r="AF446" s="871" t="s">
        <v>66</v>
      </c>
      <c r="AG446" s="675" t="str">
        <f t="shared" si="5"/>
        <v>#NAME?</v>
      </c>
      <c r="AH446" s="586" t="s">
        <v>4428</v>
      </c>
      <c r="AI446" s="677" t="str">
        <f t="shared" si="6"/>
        <v>#NAME?</v>
      </c>
      <c r="AJ446" s="586" t="s">
        <v>66</v>
      </c>
      <c r="AK446" s="584" t="str">
        <f t="shared" si="7"/>
        <v>#NAME?</v>
      </c>
      <c r="AL446" s="678" t="s">
        <v>4428</v>
      </c>
      <c r="AM446" s="571"/>
      <c r="AN446" s="679" t="s">
        <v>825</v>
      </c>
      <c r="AO446" s="680" t="s">
        <v>824</v>
      </c>
      <c r="AP446" s="734" t="s">
        <v>824</v>
      </c>
      <c r="AQ446" s="735" t="s">
        <v>825</v>
      </c>
      <c r="AR446" s="736" t="s">
        <v>1165</v>
      </c>
      <c r="AS446" s="737" t="s">
        <v>825</v>
      </c>
      <c r="AT446" s="595"/>
      <c r="AU446" s="676"/>
      <c r="AV446" s="679"/>
      <c r="AW446" s="673"/>
      <c r="AX446" s="866"/>
      <c r="AY446" s="571"/>
      <c r="AZ446" s="695" t="s">
        <v>101</v>
      </c>
      <c r="BA446" s="700"/>
      <c r="BB446" s="690"/>
      <c r="BC446" s="571"/>
      <c r="BD446" s="651" t="s">
        <v>150</v>
      </c>
      <c r="BE446" s="653">
        <v>68.0</v>
      </c>
      <c r="BF446" s="653">
        <v>255.0</v>
      </c>
      <c r="BG446" s="654">
        <v>70.0</v>
      </c>
      <c r="BH446" s="653">
        <v>40.0</v>
      </c>
      <c r="BI446" s="607"/>
      <c r="BJ446" s="655" t="s">
        <v>149</v>
      </c>
      <c r="BK446" s="703" t="s">
        <v>149</v>
      </c>
      <c r="BL446" s="610"/>
      <c r="BM446" s="657" t="s">
        <v>411</v>
      </c>
      <c r="BN446" s="704"/>
      <c r="BO446" s="607"/>
      <c r="BP446" s="659" t="s">
        <v>3987</v>
      </c>
      <c r="BQ446" s="614"/>
      <c r="BR446" s="660" t="s">
        <v>4432</v>
      </c>
      <c r="BS446" s="614"/>
    </row>
    <row r="447" ht="15.75" customHeight="1">
      <c r="A447" s="841"/>
      <c r="B447" s="617" t="s">
        <v>3990</v>
      </c>
      <c r="C447" s="618"/>
      <c r="D447" s="619"/>
      <c r="E447" s="629">
        <v>20.0</v>
      </c>
      <c r="F447" s="750">
        <v>25.0</v>
      </c>
      <c r="G447" s="622">
        <v>45.0</v>
      </c>
      <c r="H447" s="623">
        <v>70.0</v>
      </c>
      <c r="I447" s="624">
        <v>90.0</v>
      </c>
      <c r="J447" s="625">
        <v>60.0</v>
      </c>
      <c r="K447" s="749">
        <v>310.0</v>
      </c>
      <c r="L447" s="627">
        <v>20.0</v>
      </c>
      <c r="M447" s="621">
        <v>25.0</v>
      </c>
      <c r="N447" s="622">
        <v>45.0</v>
      </c>
      <c r="O447" s="623">
        <v>70.0</v>
      </c>
      <c r="P447" s="624">
        <v>90.0</v>
      </c>
      <c r="Q447" s="625">
        <v>60.0</v>
      </c>
      <c r="R447" s="628">
        <v>310.0</v>
      </c>
      <c r="S447" s="629">
        <v>20.0</v>
      </c>
      <c r="T447" s="750">
        <v>15.0</v>
      </c>
      <c r="U447" s="622">
        <v>45.0</v>
      </c>
      <c r="V447" s="748">
        <v>80.0</v>
      </c>
      <c r="W447" s="624">
        <v>90.0</v>
      </c>
      <c r="X447" s="753">
        <v>65.0</v>
      </c>
      <c r="Y447" s="628">
        <f t="shared" si="1"/>
        <v>315</v>
      </c>
      <c r="Z447" s="619"/>
      <c r="AA447" s="630" t="str">
        <f t="shared" si="2"/>
        <v>#NAME?</v>
      </c>
      <c r="AB447" s="869" t="s">
        <v>122</v>
      </c>
      <c r="AC447" s="632" t="str">
        <f t="shared" si="3"/>
        <v>#NAME?</v>
      </c>
      <c r="AD447" s="870" t="s">
        <v>4428</v>
      </c>
      <c r="AE447" s="633" t="str">
        <f t="shared" si="4"/>
        <v>#NAME?</v>
      </c>
      <c r="AF447" s="869" t="s">
        <v>122</v>
      </c>
      <c r="AG447" s="777" t="str">
        <f t="shared" si="5"/>
        <v>#NAME?</v>
      </c>
      <c r="AH447" s="634" t="s">
        <v>3017</v>
      </c>
      <c r="AI447" s="635" t="str">
        <f t="shared" si="6"/>
        <v>#NAME?</v>
      </c>
      <c r="AJ447" s="634" t="s">
        <v>122</v>
      </c>
      <c r="AK447" s="697" t="str">
        <f t="shared" si="7"/>
        <v>#NAME?</v>
      </c>
      <c r="AL447" s="637" t="s">
        <v>3017</v>
      </c>
      <c r="AM447" s="619"/>
      <c r="AN447" s="638" t="s">
        <v>1067</v>
      </c>
      <c r="AO447" s="639" t="s">
        <v>1276</v>
      </c>
      <c r="AP447" s="640" t="s">
        <v>1276</v>
      </c>
      <c r="AQ447" s="641" t="s">
        <v>1278</v>
      </c>
      <c r="AR447" s="642" t="s">
        <v>1277</v>
      </c>
      <c r="AS447" s="643" t="s">
        <v>1278</v>
      </c>
      <c r="AT447" s="644"/>
      <c r="AU447" s="633"/>
      <c r="AV447" s="638"/>
      <c r="AW447" s="630"/>
      <c r="AX447" s="647"/>
      <c r="AY447" s="619"/>
      <c r="AZ447" s="648" t="s">
        <v>27</v>
      </c>
      <c r="BA447" s="694"/>
      <c r="BB447" s="690"/>
      <c r="BC447" s="619"/>
      <c r="BD447" s="651" t="s">
        <v>150</v>
      </c>
      <c r="BE447" s="653">
        <v>78.0</v>
      </c>
      <c r="BF447" s="653">
        <v>145.0</v>
      </c>
      <c r="BG447" s="654">
        <v>70.0</v>
      </c>
      <c r="BH447" s="653">
        <v>40.0</v>
      </c>
      <c r="BI447" s="607"/>
      <c r="BJ447" s="655" t="s">
        <v>149</v>
      </c>
      <c r="BK447" s="703" t="s">
        <v>149</v>
      </c>
      <c r="BL447" s="610"/>
      <c r="BM447" s="657" t="s">
        <v>411</v>
      </c>
      <c r="BN447" s="704"/>
      <c r="BO447" s="607"/>
      <c r="BP447" s="659" t="s">
        <v>3993</v>
      </c>
      <c r="BQ447" s="614"/>
      <c r="BR447" s="660" t="s">
        <v>4435</v>
      </c>
      <c r="BS447" s="614"/>
    </row>
    <row r="448" ht="15.75" customHeight="1">
      <c r="A448" s="841"/>
      <c r="B448" s="661" t="s">
        <v>3996</v>
      </c>
      <c r="C448" s="662"/>
      <c r="D448" s="571"/>
      <c r="E448" s="672">
        <v>100.0</v>
      </c>
      <c r="F448" s="664">
        <v>5.0</v>
      </c>
      <c r="G448" s="665">
        <v>5.0</v>
      </c>
      <c r="H448" s="666">
        <v>15.0</v>
      </c>
      <c r="I448" s="667">
        <v>65.0</v>
      </c>
      <c r="J448" s="668">
        <v>30.0</v>
      </c>
      <c r="K448" s="669">
        <v>220.0</v>
      </c>
      <c r="L448" s="670">
        <v>100.0</v>
      </c>
      <c r="M448" s="664">
        <v>5.0</v>
      </c>
      <c r="N448" s="665">
        <v>5.0</v>
      </c>
      <c r="O448" s="666">
        <v>15.0</v>
      </c>
      <c r="P448" s="667">
        <v>65.0</v>
      </c>
      <c r="Q448" s="668">
        <v>30.0</v>
      </c>
      <c r="R448" s="671">
        <v>220.0</v>
      </c>
      <c r="S448" s="672">
        <v>100.0</v>
      </c>
      <c r="T448" s="664">
        <v>5.0</v>
      </c>
      <c r="U448" s="665">
        <v>5.0</v>
      </c>
      <c r="V448" s="666">
        <v>15.0</v>
      </c>
      <c r="W448" s="667">
        <v>65.0</v>
      </c>
      <c r="X448" s="668">
        <v>30.0</v>
      </c>
      <c r="Y448" s="671">
        <f t="shared" si="1"/>
        <v>220</v>
      </c>
      <c r="Z448" s="571"/>
      <c r="AA448" s="673" t="str">
        <f t="shared" si="2"/>
        <v>#NAME?</v>
      </c>
      <c r="AB448" s="871" t="s">
        <v>156</v>
      </c>
      <c r="AC448" s="675" t="str">
        <f t="shared" si="3"/>
        <v>#NAME?</v>
      </c>
      <c r="AD448" s="872" t="s">
        <v>4428</v>
      </c>
      <c r="AE448" s="676" t="str">
        <f t="shared" si="4"/>
        <v>#NAME?</v>
      </c>
      <c r="AF448" s="871" t="s">
        <v>156</v>
      </c>
      <c r="AG448" s="675" t="str">
        <f t="shared" si="5"/>
        <v>#NAME?</v>
      </c>
      <c r="AH448" s="586" t="s">
        <v>4428</v>
      </c>
      <c r="AI448" s="677" t="str">
        <f t="shared" si="6"/>
        <v>#NAME?</v>
      </c>
      <c r="AJ448" s="586" t="s">
        <v>156</v>
      </c>
      <c r="AK448" s="584" t="str">
        <f t="shared" si="7"/>
        <v>#NAME?</v>
      </c>
      <c r="AL448" s="678" t="s">
        <v>4428</v>
      </c>
      <c r="AM448" s="571"/>
      <c r="AN448" s="679" t="s">
        <v>1182</v>
      </c>
      <c r="AO448" s="680" t="s">
        <v>1183</v>
      </c>
      <c r="AP448" s="710" t="s">
        <v>1183</v>
      </c>
      <c r="AQ448" s="716" t="s">
        <v>1182</v>
      </c>
      <c r="AR448" s="683" t="s">
        <v>1184</v>
      </c>
      <c r="AS448" s="718" t="s">
        <v>1182</v>
      </c>
      <c r="AT448" s="595"/>
      <c r="AU448" s="676" t="str">
        <f>image("https://www.pokebip.com/pages/icones/objets/pierre-ovale.png", 3)</f>
        <v/>
      </c>
      <c r="AV448" s="679" t="s">
        <v>4001</v>
      </c>
      <c r="AW448" s="673"/>
      <c r="AX448" s="866"/>
      <c r="AY448" s="571"/>
      <c r="AZ448" s="695" t="s">
        <v>144</v>
      </c>
      <c r="BA448" s="700"/>
      <c r="BB448" s="690"/>
      <c r="BC448" s="571"/>
      <c r="BD448" s="651" t="s">
        <v>468</v>
      </c>
      <c r="BE448" s="653">
        <v>255.0</v>
      </c>
      <c r="BF448" s="653">
        <v>130.0</v>
      </c>
      <c r="BG448" s="858">
        <v>180.0</v>
      </c>
      <c r="BH448" s="653">
        <v>40.0</v>
      </c>
      <c r="BI448" s="607"/>
      <c r="BJ448" s="724">
        <v>0.0</v>
      </c>
      <c r="BK448" s="703" t="s">
        <v>397</v>
      </c>
      <c r="BL448" s="610"/>
      <c r="BM448" s="657" t="s">
        <v>411</v>
      </c>
      <c r="BN448" s="704"/>
      <c r="BO448" s="607"/>
      <c r="BP448" s="659" t="s">
        <v>4000</v>
      </c>
      <c r="BQ448" s="614"/>
      <c r="BR448" s="660" t="s">
        <v>4435</v>
      </c>
      <c r="BS448" s="614"/>
    </row>
    <row r="449" ht="15.75" customHeight="1">
      <c r="A449" s="841"/>
      <c r="B449" s="617" t="s">
        <v>4004</v>
      </c>
      <c r="C449" s="618"/>
      <c r="D449" s="619"/>
      <c r="E449" s="629">
        <v>76.0</v>
      </c>
      <c r="F449" s="621">
        <v>65.0</v>
      </c>
      <c r="G449" s="622">
        <v>45.0</v>
      </c>
      <c r="H449" s="623">
        <v>92.0</v>
      </c>
      <c r="I449" s="624">
        <v>42.0</v>
      </c>
      <c r="J449" s="753">
        <v>91.0</v>
      </c>
      <c r="K449" s="749">
        <v>411.0</v>
      </c>
      <c r="L449" s="627">
        <v>76.0</v>
      </c>
      <c r="M449" s="621">
        <v>65.0</v>
      </c>
      <c r="N449" s="622">
        <v>45.0</v>
      </c>
      <c r="O449" s="623">
        <v>92.0</v>
      </c>
      <c r="P449" s="624">
        <v>42.0</v>
      </c>
      <c r="Q449" s="625">
        <v>91.0</v>
      </c>
      <c r="R449" s="628">
        <v>411.0</v>
      </c>
      <c r="S449" s="778">
        <v>75.0</v>
      </c>
      <c r="T449" s="750">
        <v>45.0</v>
      </c>
      <c r="U449" s="751">
        <v>55.0</v>
      </c>
      <c r="V449" s="748">
        <v>110.0</v>
      </c>
      <c r="W449" s="752">
        <v>55.0</v>
      </c>
      <c r="X449" s="753">
        <v>110.0</v>
      </c>
      <c r="Y449" s="628">
        <f t="shared" si="1"/>
        <v>450</v>
      </c>
      <c r="Z449" s="619"/>
      <c r="AA449" s="630" t="str">
        <f t="shared" si="2"/>
        <v>#NAME?</v>
      </c>
      <c r="AB449" s="869" t="s">
        <v>156</v>
      </c>
      <c r="AC449" s="632" t="str">
        <f t="shared" si="3"/>
        <v>#NAME?</v>
      </c>
      <c r="AD449" s="870" t="s">
        <v>18</v>
      </c>
      <c r="AE449" s="633" t="str">
        <f t="shared" si="4"/>
        <v>#NAME?</v>
      </c>
      <c r="AF449" s="869" t="s">
        <v>156</v>
      </c>
      <c r="AG449" s="632" t="str">
        <f t="shared" si="5"/>
        <v>#NAME?</v>
      </c>
      <c r="AH449" s="634" t="s">
        <v>18</v>
      </c>
      <c r="AI449" s="635" t="str">
        <f t="shared" si="6"/>
        <v>#NAME?</v>
      </c>
      <c r="AJ449" s="634" t="s">
        <v>156</v>
      </c>
      <c r="AK449" s="636" t="str">
        <f t="shared" si="7"/>
        <v>#NAME?</v>
      </c>
      <c r="AL449" s="637" t="s">
        <v>18</v>
      </c>
      <c r="AM449" s="619"/>
      <c r="AN449" s="638" t="s">
        <v>235</v>
      </c>
      <c r="AO449" s="639" t="s">
        <v>236</v>
      </c>
      <c r="AP449" s="712" t="s">
        <v>235</v>
      </c>
      <c r="AQ449" s="639" t="s">
        <v>236</v>
      </c>
      <c r="AR449" s="721" t="s">
        <v>3764</v>
      </c>
      <c r="AS449" s="639" t="s">
        <v>236</v>
      </c>
      <c r="AT449" s="644"/>
      <c r="AU449" s="633" t="str">
        <f>image("https://www.pokebip.com/pages/icones/objets/metronome.png", 3)</f>
        <v/>
      </c>
      <c r="AV449" s="638" t="s">
        <v>3697</v>
      </c>
      <c r="AW449" s="630"/>
      <c r="AX449" s="647"/>
      <c r="AY449" s="619"/>
      <c r="AZ449" s="648" t="s">
        <v>325</v>
      </c>
      <c r="BA449" s="694"/>
      <c r="BB449" s="690"/>
      <c r="BC449" s="619"/>
      <c r="BD449" s="651" t="s">
        <v>15</v>
      </c>
      <c r="BE449" s="653">
        <v>107.0</v>
      </c>
      <c r="BF449" s="653">
        <v>30.0</v>
      </c>
      <c r="BG449" s="653">
        <v>35.0</v>
      </c>
      <c r="BH449" s="653">
        <v>20.0</v>
      </c>
      <c r="BI449" s="607"/>
      <c r="BJ449" s="655" t="s">
        <v>149</v>
      </c>
      <c r="BK449" s="703" t="s">
        <v>149</v>
      </c>
      <c r="BL449" s="610"/>
      <c r="BM449" s="657" t="s">
        <v>18</v>
      </c>
      <c r="BN449" s="704"/>
      <c r="BO449" s="607"/>
      <c r="BP449" s="659" t="s">
        <v>914</v>
      </c>
      <c r="BQ449" s="614"/>
      <c r="BR449" s="660" t="s">
        <v>4449</v>
      </c>
      <c r="BS449" s="614"/>
    </row>
    <row r="450" ht="15.75" customHeight="1">
      <c r="A450" s="841"/>
      <c r="B450" s="661" t="s">
        <v>4010</v>
      </c>
      <c r="C450" s="662"/>
      <c r="D450" s="571"/>
      <c r="E450" s="672">
        <v>50.0</v>
      </c>
      <c r="F450" s="664">
        <v>92.0</v>
      </c>
      <c r="G450" s="665">
        <v>108.0</v>
      </c>
      <c r="H450" s="666">
        <v>92.0</v>
      </c>
      <c r="I450" s="667">
        <v>108.0</v>
      </c>
      <c r="J450" s="668">
        <v>35.0</v>
      </c>
      <c r="K450" s="669">
        <v>485.0</v>
      </c>
      <c r="L450" s="670">
        <v>50.0</v>
      </c>
      <c r="M450" s="664">
        <v>92.0</v>
      </c>
      <c r="N450" s="665">
        <v>108.0</v>
      </c>
      <c r="O450" s="666">
        <v>92.0</v>
      </c>
      <c r="P450" s="667">
        <v>108.0</v>
      </c>
      <c r="Q450" s="668">
        <v>35.0</v>
      </c>
      <c r="R450" s="671">
        <v>485.0</v>
      </c>
      <c r="S450" s="672">
        <v>50.0</v>
      </c>
      <c r="T450" s="664">
        <v>92.0</v>
      </c>
      <c r="U450" s="665">
        <v>108.0</v>
      </c>
      <c r="V450" s="666">
        <v>92.0</v>
      </c>
      <c r="W450" s="667">
        <v>108.0</v>
      </c>
      <c r="X450" s="668">
        <v>35.0</v>
      </c>
      <c r="Y450" s="671">
        <f t="shared" si="1"/>
        <v>485</v>
      </c>
      <c r="Z450" s="571"/>
      <c r="AA450" s="673" t="str">
        <f t="shared" si="2"/>
        <v>#NAME?</v>
      </c>
      <c r="AB450" s="871" t="s">
        <v>92</v>
      </c>
      <c r="AC450" s="675" t="str">
        <f t="shared" si="3"/>
        <v>#NAME?</v>
      </c>
      <c r="AD450" s="872" t="s">
        <v>76</v>
      </c>
      <c r="AE450" s="676" t="str">
        <f t="shared" si="4"/>
        <v>#NAME?</v>
      </c>
      <c r="AF450" s="871" t="s">
        <v>92</v>
      </c>
      <c r="AG450" s="675" t="str">
        <f t="shared" si="5"/>
        <v>#NAME?</v>
      </c>
      <c r="AH450" s="586" t="s">
        <v>76</v>
      </c>
      <c r="AI450" s="677" t="str">
        <f t="shared" si="6"/>
        <v>#NAME?</v>
      </c>
      <c r="AJ450" s="586" t="s">
        <v>92</v>
      </c>
      <c r="AK450" s="584" t="str">
        <f t="shared" si="7"/>
        <v>#NAME?</v>
      </c>
      <c r="AL450" s="678" t="s">
        <v>76</v>
      </c>
      <c r="AM450" s="571"/>
      <c r="AN450" s="679" t="s">
        <v>1447</v>
      </c>
      <c r="AO450" s="680"/>
      <c r="AP450" s="705" t="s">
        <v>1447</v>
      </c>
      <c r="AQ450" s="680"/>
      <c r="AR450" s="705" t="s">
        <v>1447</v>
      </c>
      <c r="AS450" s="680"/>
      <c r="AT450" s="595"/>
      <c r="AU450" s="676" t="str">
        <f>image("https://www.pokebip.com/pages/icones/objets/boule-fumee.png", 3)</f>
        <v/>
      </c>
      <c r="AV450" s="679" t="s">
        <v>4014</v>
      </c>
      <c r="AW450" s="673"/>
      <c r="AX450" s="866"/>
      <c r="AY450" s="571"/>
      <c r="AZ450" s="695" t="s">
        <v>101</v>
      </c>
      <c r="BA450" s="691" t="s">
        <v>27</v>
      </c>
      <c r="BB450" s="696"/>
      <c r="BC450" s="571"/>
      <c r="BD450" s="651" t="s">
        <v>150</v>
      </c>
      <c r="BE450" s="653">
        <v>168.0</v>
      </c>
      <c r="BF450" s="653">
        <v>100.0</v>
      </c>
      <c r="BG450" s="654">
        <v>70.0</v>
      </c>
      <c r="BH450" s="653">
        <v>100.0</v>
      </c>
      <c r="BI450" s="607"/>
      <c r="BJ450" s="655" t="s">
        <v>149</v>
      </c>
      <c r="BK450" s="703" t="s">
        <v>149</v>
      </c>
      <c r="BL450" s="610"/>
      <c r="BM450" s="657" t="s">
        <v>964</v>
      </c>
      <c r="BN450" s="704"/>
      <c r="BO450" s="607"/>
      <c r="BP450" s="659" t="s">
        <v>914</v>
      </c>
      <c r="BQ450" s="614"/>
      <c r="BR450" s="660" t="s">
        <v>4434</v>
      </c>
      <c r="BS450" s="614"/>
    </row>
    <row r="451" ht="15.75" customHeight="1">
      <c r="A451" s="841"/>
      <c r="B451" s="617" t="s">
        <v>4017</v>
      </c>
      <c r="C451" s="618"/>
      <c r="D451" s="619"/>
      <c r="E451" s="629">
        <v>58.0</v>
      </c>
      <c r="F451" s="621">
        <v>70.0</v>
      </c>
      <c r="G451" s="622">
        <v>45.0</v>
      </c>
      <c r="H451" s="623">
        <v>40.0</v>
      </c>
      <c r="I451" s="624">
        <v>45.0</v>
      </c>
      <c r="J451" s="625">
        <v>42.0</v>
      </c>
      <c r="K451" s="626">
        <v>300.0</v>
      </c>
      <c r="L451" s="627">
        <v>58.0</v>
      </c>
      <c r="M451" s="621">
        <v>70.0</v>
      </c>
      <c r="N451" s="622">
        <v>45.0</v>
      </c>
      <c r="O451" s="623">
        <v>40.0</v>
      </c>
      <c r="P451" s="624">
        <v>45.0</v>
      </c>
      <c r="Q451" s="625">
        <v>42.0</v>
      </c>
      <c r="R451" s="628">
        <v>300.0</v>
      </c>
      <c r="S451" s="629">
        <v>58.0</v>
      </c>
      <c r="T451" s="621">
        <v>70.0</v>
      </c>
      <c r="U451" s="622">
        <v>45.0</v>
      </c>
      <c r="V451" s="623">
        <v>40.0</v>
      </c>
      <c r="W451" s="624">
        <v>45.0</v>
      </c>
      <c r="X451" s="625">
        <v>42.0</v>
      </c>
      <c r="Y451" s="628">
        <f t="shared" si="1"/>
        <v>300</v>
      </c>
      <c r="Z451" s="619"/>
      <c r="AA451" s="630" t="str">
        <f t="shared" si="2"/>
        <v>#NAME?</v>
      </c>
      <c r="AB451" s="869" t="s">
        <v>61</v>
      </c>
      <c r="AC451" s="632" t="str">
        <f t="shared" si="3"/>
        <v>#NAME?</v>
      </c>
      <c r="AD451" s="870" t="s">
        <v>79</v>
      </c>
      <c r="AE451" s="633" t="str">
        <f t="shared" si="4"/>
        <v>#NAME?</v>
      </c>
      <c r="AF451" s="869" t="s">
        <v>61</v>
      </c>
      <c r="AG451" s="632" t="str">
        <f t="shared" si="5"/>
        <v>#NAME?</v>
      </c>
      <c r="AH451" s="634" t="s">
        <v>79</v>
      </c>
      <c r="AI451" s="635" t="str">
        <f t="shared" si="6"/>
        <v>#NAME?</v>
      </c>
      <c r="AJ451" s="634" t="s">
        <v>61</v>
      </c>
      <c r="AK451" s="636" t="str">
        <f t="shared" si="7"/>
        <v>#NAME?</v>
      </c>
      <c r="AL451" s="637" t="s">
        <v>79</v>
      </c>
      <c r="AM451" s="619"/>
      <c r="AN451" s="638" t="s">
        <v>376</v>
      </c>
      <c r="AO451" s="639"/>
      <c r="AP451" s="708" t="s">
        <v>4021</v>
      </c>
      <c r="AQ451" s="757" t="s">
        <v>376</v>
      </c>
      <c r="AR451" s="709" t="s">
        <v>4021</v>
      </c>
      <c r="AS451" s="758" t="s">
        <v>376</v>
      </c>
      <c r="AT451" s="644"/>
      <c r="AU451" s="633"/>
      <c r="AV451" s="638"/>
      <c r="AW451" s="630"/>
      <c r="AX451" s="647"/>
      <c r="AY451" s="619"/>
      <c r="AZ451" s="648" t="s">
        <v>325</v>
      </c>
      <c r="BA451" s="694"/>
      <c r="BB451" s="690"/>
      <c r="BC451" s="619"/>
      <c r="BD451" s="651" t="s">
        <v>683</v>
      </c>
      <c r="BE451" s="653">
        <v>67.0</v>
      </c>
      <c r="BF451" s="653">
        <v>45.0</v>
      </c>
      <c r="BG451" s="654">
        <v>70.0</v>
      </c>
      <c r="BH451" s="653">
        <v>40.0</v>
      </c>
      <c r="BI451" s="607"/>
      <c r="BJ451" s="655" t="s">
        <v>149</v>
      </c>
      <c r="BK451" s="703" t="s">
        <v>149</v>
      </c>
      <c r="BL451" s="610"/>
      <c r="BM451" s="657" t="s">
        <v>14</v>
      </c>
      <c r="BN451" s="658" t="s">
        <v>61</v>
      </c>
      <c r="BO451" s="607"/>
      <c r="BP451" s="659" t="s">
        <v>4022</v>
      </c>
      <c r="BQ451" s="614"/>
      <c r="BR451" s="660" t="s">
        <v>4430</v>
      </c>
      <c r="BS451" s="614"/>
    </row>
    <row r="452" ht="15.75" customHeight="1">
      <c r="A452" s="841"/>
      <c r="B452" s="661" t="s">
        <v>4025</v>
      </c>
      <c r="C452" s="662"/>
      <c r="D452" s="571"/>
      <c r="E452" s="672">
        <v>68.0</v>
      </c>
      <c r="F452" s="664">
        <v>90.0</v>
      </c>
      <c r="G452" s="665">
        <v>65.0</v>
      </c>
      <c r="H452" s="666">
        <v>50.0</v>
      </c>
      <c r="I452" s="667">
        <v>55.0</v>
      </c>
      <c r="J452" s="668">
        <v>82.0</v>
      </c>
      <c r="K452" s="669">
        <v>410.0</v>
      </c>
      <c r="L452" s="670">
        <v>68.0</v>
      </c>
      <c r="M452" s="664">
        <v>90.0</v>
      </c>
      <c r="N452" s="665">
        <v>65.0</v>
      </c>
      <c r="O452" s="666">
        <v>50.0</v>
      </c>
      <c r="P452" s="667">
        <v>55.0</v>
      </c>
      <c r="Q452" s="668">
        <v>82.0</v>
      </c>
      <c r="R452" s="671">
        <v>410.0</v>
      </c>
      <c r="S452" s="672">
        <v>68.0</v>
      </c>
      <c r="T452" s="664">
        <v>90.0</v>
      </c>
      <c r="U452" s="665">
        <v>65.0</v>
      </c>
      <c r="V452" s="666">
        <v>50.0</v>
      </c>
      <c r="W452" s="667">
        <v>55.0</v>
      </c>
      <c r="X452" s="668">
        <v>82.0</v>
      </c>
      <c r="Y452" s="671">
        <f t="shared" si="1"/>
        <v>410</v>
      </c>
      <c r="Z452" s="571"/>
      <c r="AA452" s="673" t="str">
        <f t="shared" si="2"/>
        <v>#NAME?</v>
      </c>
      <c r="AB452" s="871" t="s">
        <v>61</v>
      </c>
      <c r="AC452" s="675" t="str">
        <f t="shared" si="3"/>
        <v>#NAME?</v>
      </c>
      <c r="AD452" s="872" t="s">
        <v>79</v>
      </c>
      <c r="AE452" s="676" t="str">
        <f t="shared" si="4"/>
        <v>#NAME?</v>
      </c>
      <c r="AF452" s="871" t="s">
        <v>61</v>
      </c>
      <c r="AG452" s="675" t="str">
        <f t="shared" si="5"/>
        <v>#NAME?</v>
      </c>
      <c r="AH452" s="586" t="s">
        <v>79</v>
      </c>
      <c r="AI452" s="677" t="str">
        <f t="shared" si="6"/>
        <v>#NAME?</v>
      </c>
      <c r="AJ452" s="586" t="s">
        <v>61</v>
      </c>
      <c r="AK452" s="584" t="str">
        <f t="shared" si="7"/>
        <v>#NAME?</v>
      </c>
      <c r="AL452" s="678" t="s">
        <v>79</v>
      </c>
      <c r="AM452" s="571"/>
      <c r="AN452" s="679" t="s">
        <v>376</v>
      </c>
      <c r="AO452" s="680"/>
      <c r="AP452" s="681" t="s">
        <v>4021</v>
      </c>
      <c r="AQ452" s="682" t="s">
        <v>376</v>
      </c>
      <c r="AR452" s="683" t="s">
        <v>4021</v>
      </c>
      <c r="AS452" s="684" t="s">
        <v>376</v>
      </c>
      <c r="AT452" s="595"/>
      <c r="AU452" s="676"/>
      <c r="AV452" s="679"/>
      <c r="AW452" s="673"/>
      <c r="AX452" s="866"/>
      <c r="AY452" s="571"/>
      <c r="AZ452" s="689" t="s">
        <v>216</v>
      </c>
      <c r="BA452" s="690"/>
      <c r="BB452" s="696"/>
      <c r="BC452" s="571"/>
      <c r="BD452" s="651" t="s">
        <v>683</v>
      </c>
      <c r="BE452" s="653">
        <v>144.0</v>
      </c>
      <c r="BF452" s="653">
        <v>45.0</v>
      </c>
      <c r="BG452" s="654">
        <v>70.0</v>
      </c>
      <c r="BH452" s="653">
        <v>80.0</v>
      </c>
      <c r="BI452" s="607"/>
      <c r="BJ452" s="655" t="s">
        <v>149</v>
      </c>
      <c r="BK452" s="703" t="s">
        <v>149</v>
      </c>
      <c r="BL452" s="610"/>
      <c r="BM452" s="657" t="s">
        <v>14</v>
      </c>
      <c r="BN452" s="658" t="s">
        <v>61</v>
      </c>
      <c r="BO452" s="607"/>
      <c r="BP452" s="659" t="s">
        <v>4028</v>
      </c>
      <c r="BQ452" s="614"/>
      <c r="BR452" s="660" t="s">
        <v>4430</v>
      </c>
      <c r="BS452" s="614"/>
    </row>
    <row r="453" ht="15.75" customHeight="1">
      <c r="A453" s="841"/>
      <c r="B453" s="617" t="s">
        <v>4031</v>
      </c>
      <c r="C453" s="618"/>
      <c r="D453" s="619"/>
      <c r="E453" s="629">
        <v>108.0</v>
      </c>
      <c r="F453" s="621">
        <v>130.0</v>
      </c>
      <c r="G453" s="622">
        <v>95.0</v>
      </c>
      <c r="H453" s="623">
        <v>80.0</v>
      </c>
      <c r="I453" s="624">
        <v>85.0</v>
      </c>
      <c r="J453" s="625">
        <v>102.0</v>
      </c>
      <c r="K453" s="626">
        <v>600.0</v>
      </c>
      <c r="L453" s="627">
        <v>108.0</v>
      </c>
      <c r="M453" s="621">
        <v>130.0</v>
      </c>
      <c r="N453" s="622">
        <v>95.0</v>
      </c>
      <c r="O453" s="623">
        <v>80.0</v>
      </c>
      <c r="P453" s="624">
        <v>85.0</v>
      </c>
      <c r="Q453" s="625">
        <v>102.0</v>
      </c>
      <c r="R453" s="628">
        <v>600.0</v>
      </c>
      <c r="S453" s="629">
        <v>108.0</v>
      </c>
      <c r="T453" s="621">
        <v>130.0</v>
      </c>
      <c r="U453" s="622">
        <v>95.0</v>
      </c>
      <c r="V453" s="623">
        <v>80.0</v>
      </c>
      <c r="W453" s="624">
        <v>85.0</v>
      </c>
      <c r="X453" s="625">
        <v>102.0</v>
      </c>
      <c r="Y453" s="628">
        <f t="shared" si="1"/>
        <v>600</v>
      </c>
      <c r="Z453" s="619"/>
      <c r="AA453" s="630" t="str">
        <f t="shared" si="2"/>
        <v>#NAME?</v>
      </c>
      <c r="AB453" s="869" t="s">
        <v>61</v>
      </c>
      <c r="AC453" s="632" t="str">
        <f t="shared" si="3"/>
        <v>#NAME?</v>
      </c>
      <c r="AD453" s="870" t="s">
        <v>79</v>
      </c>
      <c r="AE453" s="633" t="str">
        <f t="shared" si="4"/>
        <v>#NAME?</v>
      </c>
      <c r="AF453" s="869" t="s">
        <v>61</v>
      </c>
      <c r="AG453" s="632" t="str">
        <f t="shared" si="5"/>
        <v>#NAME?</v>
      </c>
      <c r="AH453" s="634" t="s">
        <v>79</v>
      </c>
      <c r="AI453" s="635" t="str">
        <f t="shared" si="6"/>
        <v>#NAME?</v>
      </c>
      <c r="AJ453" s="634" t="s">
        <v>61</v>
      </c>
      <c r="AK453" s="636" t="str">
        <f t="shared" si="7"/>
        <v>#NAME?</v>
      </c>
      <c r="AL453" s="637" t="s">
        <v>79</v>
      </c>
      <c r="AM453" s="619"/>
      <c r="AN453" s="638" t="s">
        <v>376</v>
      </c>
      <c r="AO453" s="639"/>
      <c r="AP453" s="640" t="s">
        <v>4021</v>
      </c>
      <c r="AQ453" s="641" t="s">
        <v>376</v>
      </c>
      <c r="AR453" s="642" t="s">
        <v>4021</v>
      </c>
      <c r="AS453" s="643" t="s">
        <v>376</v>
      </c>
      <c r="AT453" s="644"/>
      <c r="AU453" s="633"/>
      <c r="AV453" s="638"/>
      <c r="AW453" s="630"/>
      <c r="AX453" s="647"/>
      <c r="AY453" s="619"/>
      <c r="AZ453" s="698" t="s">
        <v>451</v>
      </c>
      <c r="BA453" s="699"/>
      <c r="BB453" s="690"/>
      <c r="BC453" s="619"/>
      <c r="BD453" s="651" t="s">
        <v>683</v>
      </c>
      <c r="BE453" s="653">
        <v>218.0</v>
      </c>
      <c r="BF453" s="653">
        <v>45.0</v>
      </c>
      <c r="BG453" s="654">
        <v>70.0</v>
      </c>
      <c r="BH453" s="653">
        <v>80.0</v>
      </c>
      <c r="BI453" s="607"/>
      <c r="BJ453" s="655" t="s">
        <v>149</v>
      </c>
      <c r="BK453" s="703" t="s">
        <v>149</v>
      </c>
      <c r="BL453" s="610"/>
      <c r="BM453" s="657" t="s">
        <v>14</v>
      </c>
      <c r="BN453" s="658" t="s">
        <v>61</v>
      </c>
      <c r="BO453" s="607"/>
      <c r="BP453" s="659" t="s">
        <v>4034</v>
      </c>
      <c r="BQ453" s="614"/>
      <c r="BR453" s="660" t="s">
        <v>4430</v>
      </c>
      <c r="BS453" s="614"/>
    </row>
    <row r="454" ht="15.75" customHeight="1">
      <c r="A454" s="841"/>
      <c r="B454" s="661" t="s">
        <v>4037</v>
      </c>
      <c r="C454" s="662"/>
      <c r="D454" s="571"/>
      <c r="E454" s="672">
        <v>135.0</v>
      </c>
      <c r="F454" s="664">
        <v>85.0</v>
      </c>
      <c r="G454" s="665">
        <v>40.0</v>
      </c>
      <c r="H454" s="666">
        <v>40.0</v>
      </c>
      <c r="I454" s="667">
        <v>85.0</v>
      </c>
      <c r="J454" s="668">
        <v>5.0</v>
      </c>
      <c r="K454" s="669">
        <v>390.0</v>
      </c>
      <c r="L454" s="670">
        <v>135.0</v>
      </c>
      <c r="M454" s="664">
        <v>85.0</v>
      </c>
      <c r="N454" s="665">
        <v>40.0</v>
      </c>
      <c r="O454" s="666">
        <v>40.0</v>
      </c>
      <c r="P454" s="667">
        <v>85.0</v>
      </c>
      <c r="Q454" s="668">
        <v>5.0</v>
      </c>
      <c r="R454" s="671">
        <v>390.0</v>
      </c>
      <c r="S454" s="672">
        <v>135.0</v>
      </c>
      <c r="T454" s="664">
        <v>85.0</v>
      </c>
      <c r="U454" s="665">
        <v>40.0</v>
      </c>
      <c r="V454" s="666">
        <v>40.0</v>
      </c>
      <c r="W454" s="667">
        <v>85.0</v>
      </c>
      <c r="X454" s="668">
        <v>5.0</v>
      </c>
      <c r="Y454" s="671">
        <f t="shared" si="1"/>
        <v>390</v>
      </c>
      <c r="Z454" s="571"/>
      <c r="AA454" s="673" t="str">
        <f t="shared" si="2"/>
        <v>#NAME?</v>
      </c>
      <c r="AB454" s="871" t="s">
        <v>156</v>
      </c>
      <c r="AC454" s="675" t="str">
        <f t="shared" si="3"/>
        <v>#NAME?</v>
      </c>
      <c r="AD454" s="872" t="s">
        <v>4428</v>
      </c>
      <c r="AE454" s="676" t="str">
        <f t="shared" si="4"/>
        <v>#NAME?</v>
      </c>
      <c r="AF454" s="871" t="s">
        <v>156</v>
      </c>
      <c r="AG454" s="675" t="str">
        <f t="shared" si="5"/>
        <v>#NAME?</v>
      </c>
      <c r="AH454" s="586" t="s">
        <v>4428</v>
      </c>
      <c r="AI454" s="677" t="str">
        <f t="shared" si="6"/>
        <v>#NAME?</v>
      </c>
      <c r="AJ454" s="586" t="s">
        <v>156</v>
      </c>
      <c r="AK454" s="584" t="str">
        <f t="shared" si="7"/>
        <v>#NAME?</v>
      </c>
      <c r="AL454" s="678" t="s">
        <v>4428</v>
      </c>
      <c r="AM454" s="571"/>
      <c r="AN454" s="679" t="s">
        <v>626</v>
      </c>
      <c r="AO454" s="680" t="s">
        <v>944</v>
      </c>
      <c r="AP454" s="710" t="s">
        <v>944</v>
      </c>
      <c r="AQ454" s="716" t="s">
        <v>626</v>
      </c>
      <c r="AR454" s="711" t="s">
        <v>1456</v>
      </c>
      <c r="AS454" s="718" t="s">
        <v>626</v>
      </c>
      <c r="AT454" s="595"/>
      <c r="AU454" s="676" t="str">
        <f>image("https://www.pokebip.com/pages/icones/objets/restes.png", 3)</f>
        <v/>
      </c>
      <c r="AV454" s="679" t="s">
        <v>1459</v>
      </c>
      <c r="AW454" s="673"/>
      <c r="AX454" s="866"/>
      <c r="AY454" s="571"/>
      <c r="AZ454" s="695" t="s">
        <v>144</v>
      </c>
      <c r="BA454" s="700"/>
      <c r="BB454" s="690"/>
      <c r="BC454" s="571"/>
      <c r="BD454" s="651" t="s">
        <v>683</v>
      </c>
      <c r="BE454" s="653">
        <v>94.0</v>
      </c>
      <c r="BF454" s="653">
        <v>50.0</v>
      </c>
      <c r="BG454" s="654">
        <v>70.0</v>
      </c>
      <c r="BH454" s="653">
        <v>100.0</v>
      </c>
      <c r="BI454" s="607"/>
      <c r="BJ454" s="655" t="s">
        <v>13</v>
      </c>
      <c r="BK454" s="656">
        <v>0.125</v>
      </c>
      <c r="BL454" s="610"/>
      <c r="BM454" s="657" t="s">
        <v>411</v>
      </c>
      <c r="BN454" s="704"/>
      <c r="BO454" s="607"/>
      <c r="BP454" s="659" t="s">
        <v>4040</v>
      </c>
      <c r="BQ454" s="614"/>
      <c r="BR454" s="660" t="s">
        <v>4449</v>
      </c>
      <c r="BS454" s="614"/>
    </row>
    <row r="455" ht="15.75" customHeight="1">
      <c r="A455" s="841"/>
      <c r="B455" s="617" t="s">
        <v>4043</v>
      </c>
      <c r="C455" s="618"/>
      <c r="D455" s="619"/>
      <c r="E455" s="629">
        <v>40.0</v>
      </c>
      <c r="F455" s="621">
        <v>70.0</v>
      </c>
      <c r="G455" s="622">
        <v>40.0</v>
      </c>
      <c r="H455" s="623">
        <v>35.0</v>
      </c>
      <c r="I455" s="624">
        <v>40.0</v>
      </c>
      <c r="J455" s="625">
        <v>60.0</v>
      </c>
      <c r="K455" s="626">
        <v>285.0</v>
      </c>
      <c r="L455" s="627">
        <v>40.0</v>
      </c>
      <c r="M455" s="621">
        <v>70.0</v>
      </c>
      <c r="N455" s="622">
        <v>40.0</v>
      </c>
      <c r="O455" s="623">
        <v>35.0</v>
      </c>
      <c r="P455" s="624">
        <v>40.0</v>
      </c>
      <c r="Q455" s="625">
        <v>60.0</v>
      </c>
      <c r="R455" s="628">
        <v>285.0</v>
      </c>
      <c r="S455" s="629">
        <v>40.0</v>
      </c>
      <c r="T455" s="621">
        <v>70.0</v>
      </c>
      <c r="U455" s="622">
        <v>40.0</v>
      </c>
      <c r="V455" s="623">
        <v>35.0</v>
      </c>
      <c r="W455" s="624">
        <v>40.0</v>
      </c>
      <c r="X455" s="625">
        <v>60.0</v>
      </c>
      <c r="Y455" s="628">
        <f t="shared" si="1"/>
        <v>285</v>
      </c>
      <c r="Z455" s="619"/>
      <c r="AA455" s="630" t="str">
        <f t="shared" si="2"/>
        <v>#NAME?</v>
      </c>
      <c r="AB455" s="869" t="s">
        <v>64</v>
      </c>
      <c r="AC455" s="632" t="str">
        <f t="shared" si="3"/>
        <v>#NAME?</v>
      </c>
      <c r="AD455" s="870" t="s">
        <v>4428</v>
      </c>
      <c r="AE455" s="633" t="str">
        <f t="shared" si="4"/>
        <v>#NAME?</v>
      </c>
      <c r="AF455" s="869" t="s">
        <v>64</v>
      </c>
      <c r="AG455" s="632" t="str">
        <f t="shared" si="5"/>
        <v>#NAME?</v>
      </c>
      <c r="AH455" s="634" t="s">
        <v>4428</v>
      </c>
      <c r="AI455" s="635" t="str">
        <f t="shared" si="6"/>
        <v>#NAME?</v>
      </c>
      <c r="AJ455" s="634" t="s">
        <v>64</v>
      </c>
      <c r="AK455" s="636" t="str">
        <f t="shared" si="7"/>
        <v>#NAME?</v>
      </c>
      <c r="AL455" s="637" t="s">
        <v>4428</v>
      </c>
      <c r="AM455" s="619"/>
      <c r="AN455" s="638" t="s">
        <v>2243</v>
      </c>
      <c r="AO455" s="639" t="s">
        <v>530</v>
      </c>
      <c r="AP455" s="712" t="s">
        <v>2243</v>
      </c>
      <c r="AQ455" s="639" t="s">
        <v>530</v>
      </c>
      <c r="AR455" s="712" t="s">
        <v>2243</v>
      </c>
      <c r="AS455" s="639" t="s">
        <v>530</v>
      </c>
      <c r="AT455" s="644"/>
      <c r="AU455" s="633"/>
      <c r="AV455" s="638"/>
      <c r="AW455" s="630"/>
      <c r="AX455" s="647"/>
      <c r="AY455" s="619"/>
      <c r="AZ455" s="648" t="s">
        <v>325</v>
      </c>
      <c r="BA455" s="694"/>
      <c r="BB455" s="690"/>
      <c r="BC455" s="619"/>
      <c r="BD455" s="651" t="s">
        <v>15</v>
      </c>
      <c r="BE455" s="653">
        <v>72.0</v>
      </c>
      <c r="BF455" s="653">
        <v>75.0</v>
      </c>
      <c r="BG455" s="654">
        <v>70.0</v>
      </c>
      <c r="BH455" s="653">
        <v>40.0</v>
      </c>
      <c r="BI455" s="607"/>
      <c r="BJ455" s="655" t="s">
        <v>13</v>
      </c>
      <c r="BK455" s="656">
        <v>0.125</v>
      </c>
      <c r="BL455" s="610"/>
      <c r="BM455" s="657" t="s">
        <v>411</v>
      </c>
      <c r="BN455" s="704"/>
      <c r="BO455" s="607"/>
      <c r="BP455" s="659" t="s">
        <v>4046</v>
      </c>
      <c r="BQ455" s="614"/>
      <c r="BR455" s="660" t="s">
        <v>4430</v>
      </c>
      <c r="BS455" s="614"/>
    </row>
    <row r="456" ht="15.75" customHeight="1">
      <c r="A456" s="841"/>
      <c r="B456" s="661" t="s">
        <v>4049</v>
      </c>
      <c r="C456" s="662"/>
      <c r="D456" s="571"/>
      <c r="E456" s="672">
        <v>70.0</v>
      </c>
      <c r="F456" s="664">
        <v>110.0</v>
      </c>
      <c r="G456" s="665">
        <v>70.0</v>
      </c>
      <c r="H456" s="666">
        <v>115.0</v>
      </c>
      <c r="I456" s="667">
        <v>70.0</v>
      </c>
      <c r="J456" s="668">
        <v>90.0</v>
      </c>
      <c r="K456" s="669">
        <v>525.0</v>
      </c>
      <c r="L456" s="670">
        <v>70.0</v>
      </c>
      <c r="M456" s="664">
        <v>110.0</v>
      </c>
      <c r="N456" s="665">
        <v>70.0</v>
      </c>
      <c r="O456" s="666">
        <v>115.0</v>
      </c>
      <c r="P456" s="667">
        <v>70.0</v>
      </c>
      <c r="Q456" s="668">
        <v>90.0</v>
      </c>
      <c r="R456" s="671">
        <v>525.0</v>
      </c>
      <c r="S456" s="672">
        <v>70.0</v>
      </c>
      <c r="T456" s="664">
        <v>110.0</v>
      </c>
      <c r="U456" s="665">
        <v>70.0</v>
      </c>
      <c r="V456" s="666">
        <v>115.0</v>
      </c>
      <c r="W456" s="667">
        <v>70.0</v>
      </c>
      <c r="X456" s="668">
        <v>90.0</v>
      </c>
      <c r="Y456" s="671">
        <f t="shared" si="1"/>
        <v>525</v>
      </c>
      <c r="Z456" s="571"/>
      <c r="AA456" s="673" t="str">
        <f t="shared" si="2"/>
        <v>#NAME?</v>
      </c>
      <c r="AB456" s="871" t="s">
        <v>64</v>
      </c>
      <c r="AC456" s="675" t="str">
        <f t="shared" si="3"/>
        <v>#NAME?</v>
      </c>
      <c r="AD456" s="872" t="s">
        <v>95</v>
      </c>
      <c r="AE456" s="676" t="str">
        <f t="shared" si="4"/>
        <v>#NAME?</v>
      </c>
      <c r="AF456" s="871" t="s">
        <v>64</v>
      </c>
      <c r="AG456" s="675" t="str">
        <f t="shared" si="5"/>
        <v>#NAME?</v>
      </c>
      <c r="AH456" s="586" t="s">
        <v>95</v>
      </c>
      <c r="AI456" s="677" t="str">
        <f t="shared" si="6"/>
        <v>#NAME?</v>
      </c>
      <c r="AJ456" s="586" t="s">
        <v>64</v>
      </c>
      <c r="AK456" s="584" t="str">
        <f t="shared" si="7"/>
        <v>#NAME?</v>
      </c>
      <c r="AL456" s="678" t="s">
        <v>95</v>
      </c>
      <c r="AM456" s="571"/>
      <c r="AN456" s="679" t="s">
        <v>2243</v>
      </c>
      <c r="AO456" s="680" t="s">
        <v>530</v>
      </c>
      <c r="AP456" s="705" t="s">
        <v>2243</v>
      </c>
      <c r="AQ456" s="680" t="s">
        <v>530</v>
      </c>
      <c r="AR456" s="705" t="s">
        <v>219</v>
      </c>
      <c r="AS456" s="680" t="s">
        <v>530</v>
      </c>
      <c r="AT456" s="595"/>
      <c r="AU456" s="676"/>
      <c r="AV456" s="679"/>
      <c r="AW456" s="673"/>
      <c r="AX456" s="866"/>
      <c r="AY456" s="571"/>
      <c r="AZ456" s="695" t="s">
        <v>325</v>
      </c>
      <c r="BA456" s="691" t="s">
        <v>4</v>
      </c>
      <c r="BB456" s="696"/>
      <c r="BC456" s="571"/>
      <c r="BD456" s="651" t="s">
        <v>15</v>
      </c>
      <c r="BE456" s="653">
        <v>204.0</v>
      </c>
      <c r="BF456" s="653">
        <v>45.0</v>
      </c>
      <c r="BG456" s="653">
        <v>70.0</v>
      </c>
      <c r="BH456" s="653">
        <v>80.0</v>
      </c>
      <c r="BI456" s="607"/>
      <c r="BJ456" s="655" t="s">
        <v>13</v>
      </c>
      <c r="BK456" s="656">
        <v>0.125</v>
      </c>
      <c r="BL456" s="610"/>
      <c r="BM456" s="657" t="s">
        <v>277</v>
      </c>
      <c r="BN456" s="658" t="s">
        <v>728</v>
      </c>
      <c r="BO456" s="607"/>
      <c r="BP456" s="659" t="s">
        <v>4496</v>
      </c>
      <c r="BQ456" s="614"/>
      <c r="BR456" s="660" t="s">
        <v>4430</v>
      </c>
      <c r="BS456" s="614"/>
    </row>
    <row r="457" ht="15.75" customHeight="1">
      <c r="A457" s="841"/>
      <c r="B457" s="617" t="s">
        <v>4056</v>
      </c>
      <c r="C457" s="618"/>
      <c r="D457" s="619"/>
      <c r="E457" s="629">
        <v>68.0</v>
      </c>
      <c r="F457" s="750">
        <v>72.0</v>
      </c>
      <c r="G457" s="622">
        <v>78.0</v>
      </c>
      <c r="H457" s="623">
        <v>38.0</v>
      </c>
      <c r="I457" s="624">
        <v>42.0</v>
      </c>
      <c r="J457" s="625">
        <v>32.0</v>
      </c>
      <c r="K457" s="749">
        <v>330.0</v>
      </c>
      <c r="L457" s="627">
        <v>68.0</v>
      </c>
      <c r="M457" s="621">
        <v>72.0</v>
      </c>
      <c r="N457" s="622">
        <v>78.0</v>
      </c>
      <c r="O457" s="623">
        <v>38.0</v>
      </c>
      <c r="P457" s="624">
        <v>42.0</v>
      </c>
      <c r="Q457" s="625">
        <v>32.0</v>
      </c>
      <c r="R457" s="628">
        <v>330.0</v>
      </c>
      <c r="S457" s="629">
        <v>68.0</v>
      </c>
      <c r="T457" s="621">
        <v>72.0</v>
      </c>
      <c r="U457" s="622">
        <v>78.0</v>
      </c>
      <c r="V457" s="623">
        <v>38.0</v>
      </c>
      <c r="W457" s="624">
        <v>42.0</v>
      </c>
      <c r="X457" s="625">
        <v>32.0</v>
      </c>
      <c r="Y457" s="628">
        <f t="shared" si="1"/>
        <v>330</v>
      </c>
      <c r="Z457" s="619"/>
      <c r="AA457" s="630" t="str">
        <f t="shared" si="2"/>
        <v>#NAME?</v>
      </c>
      <c r="AB457" s="869" t="s">
        <v>79</v>
      </c>
      <c r="AC457" s="632" t="str">
        <f t="shared" si="3"/>
        <v>#NAME?</v>
      </c>
      <c r="AD457" s="870" t="s">
        <v>4428</v>
      </c>
      <c r="AE457" s="633" t="str">
        <f t="shared" si="4"/>
        <v>#NAME?</v>
      </c>
      <c r="AF457" s="869" t="s">
        <v>79</v>
      </c>
      <c r="AG457" s="632" t="str">
        <f t="shared" si="5"/>
        <v>#NAME?</v>
      </c>
      <c r="AH457" s="634" t="s">
        <v>4428</v>
      </c>
      <c r="AI457" s="635" t="str">
        <f t="shared" si="6"/>
        <v>#NAME?</v>
      </c>
      <c r="AJ457" s="634" t="s">
        <v>79</v>
      </c>
      <c r="AK457" s="636" t="str">
        <f t="shared" si="7"/>
        <v>#NAME?</v>
      </c>
      <c r="AL457" s="637" t="s">
        <v>4428</v>
      </c>
      <c r="AM457" s="619"/>
      <c r="AN457" s="638" t="s">
        <v>2345</v>
      </c>
      <c r="AO457" s="639"/>
      <c r="AP457" s="712" t="s">
        <v>2345</v>
      </c>
      <c r="AQ457" s="639"/>
      <c r="AR457" s="712" t="s">
        <v>2345</v>
      </c>
      <c r="AS457" s="639"/>
      <c r="AT457" s="644"/>
      <c r="AU457" s="633"/>
      <c r="AV457" s="638"/>
      <c r="AW457" s="630"/>
      <c r="AX457" s="647"/>
      <c r="AY457" s="619"/>
      <c r="AZ457" s="648" t="s">
        <v>101</v>
      </c>
      <c r="BA457" s="694"/>
      <c r="BB457" s="690"/>
      <c r="BC457" s="619"/>
      <c r="BD457" s="651" t="s">
        <v>683</v>
      </c>
      <c r="BE457" s="653">
        <v>95.0</v>
      </c>
      <c r="BF457" s="653">
        <v>140.0</v>
      </c>
      <c r="BG457" s="654">
        <v>70.0</v>
      </c>
      <c r="BH457" s="653">
        <v>60.0</v>
      </c>
      <c r="BI457" s="607"/>
      <c r="BJ457" s="655" t="s">
        <v>149</v>
      </c>
      <c r="BK457" s="703" t="s">
        <v>149</v>
      </c>
      <c r="BL457" s="610"/>
      <c r="BM457" s="657" t="s">
        <v>277</v>
      </c>
      <c r="BN457" s="704"/>
      <c r="BO457" s="607"/>
      <c r="BP457" s="659" t="s">
        <v>4060</v>
      </c>
      <c r="BQ457" s="614"/>
      <c r="BR457" s="660" t="s">
        <v>4432</v>
      </c>
      <c r="BS457" s="614"/>
    </row>
    <row r="458" ht="15.75" customHeight="1">
      <c r="A458" s="841"/>
      <c r="B458" s="661" t="s">
        <v>4063</v>
      </c>
      <c r="C458" s="662"/>
      <c r="D458" s="571"/>
      <c r="E458" s="672">
        <v>108.0</v>
      </c>
      <c r="F458" s="664">
        <v>112.0</v>
      </c>
      <c r="G458" s="665">
        <v>118.0</v>
      </c>
      <c r="H458" s="666">
        <v>68.0</v>
      </c>
      <c r="I458" s="667">
        <v>72.0</v>
      </c>
      <c r="J458" s="668">
        <v>47.0</v>
      </c>
      <c r="K458" s="669">
        <v>525.0</v>
      </c>
      <c r="L458" s="670">
        <v>108.0</v>
      </c>
      <c r="M458" s="664">
        <v>112.0</v>
      </c>
      <c r="N458" s="665">
        <v>118.0</v>
      </c>
      <c r="O458" s="666">
        <v>68.0</v>
      </c>
      <c r="P458" s="667">
        <v>72.0</v>
      </c>
      <c r="Q458" s="668">
        <v>47.0</v>
      </c>
      <c r="R458" s="671">
        <v>525.0</v>
      </c>
      <c r="S458" s="672">
        <v>108.0</v>
      </c>
      <c r="T458" s="664">
        <v>112.0</v>
      </c>
      <c r="U458" s="665">
        <v>118.0</v>
      </c>
      <c r="V458" s="666">
        <v>68.0</v>
      </c>
      <c r="W458" s="667">
        <v>72.0</v>
      </c>
      <c r="X458" s="668">
        <v>47.0</v>
      </c>
      <c r="Y458" s="671">
        <f t="shared" si="1"/>
        <v>525</v>
      </c>
      <c r="Z458" s="571"/>
      <c r="AA458" s="673" t="str">
        <f t="shared" si="2"/>
        <v>#NAME?</v>
      </c>
      <c r="AB458" s="871" t="s">
        <v>79</v>
      </c>
      <c r="AC458" s="675" t="str">
        <f t="shared" si="3"/>
        <v>#NAME?</v>
      </c>
      <c r="AD458" s="872" t="s">
        <v>4428</v>
      </c>
      <c r="AE458" s="676" t="str">
        <f t="shared" si="4"/>
        <v>#NAME?</v>
      </c>
      <c r="AF458" s="871" t="s">
        <v>79</v>
      </c>
      <c r="AG458" s="675" t="str">
        <f t="shared" si="5"/>
        <v>#NAME?</v>
      </c>
      <c r="AH458" s="586" t="s">
        <v>4428</v>
      </c>
      <c r="AI458" s="677" t="str">
        <f t="shared" si="6"/>
        <v>#NAME?</v>
      </c>
      <c r="AJ458" s="586" t="s">
        <v>79</v>
      </c>
      <c r="AK458" s="584" t="str">
        <f t="shared" si="7"/>
        <v>#NAME?</v>
      </c>
      <c r="AL458" s="678" t="s">
        <v>4428</v>
      </c>
      <c r="AM458" s="571"/>
      <c r="AN458" s="679" t="s">
        <v>2345</v>
      </c>
      <c r="AO458" s="680"/>
      <c r="AP458" s="705" t="s">
        <v>2345</v>
      </c>
      <c r="AQ458" s="680"/>
      <c r="AR458" s="705" t="s">
        <v>2345</v>
      </c>
      <c r="AS458" s="680"/>
      <c r="AT458" s="595"/>
      <c r="AU458" s="676"/>
      <c r="AV458" s="679"/>
      <c r="AW458" s="673"/>
      <c r="AX458" s="866"/>
      <c r="AY458" s="571"/>
      <c r="AZ458" s="689" t="s">
        <v>162</v>
      </c>
      <c r="BA458" s="690"/>
      <c r="BB458" s="696"/>
      <c r="BC458" s="571"/>
      <c r="BD458" s="651" t="s">
        <v>683</v>
      </c>
      <c r="BE458" s="653">
        <v>198.0</v>
      </c>
      <c r="BF458" s="653">
        <v>60.0</v>
      </c>
      <c r="BG458" s="654">
        <v>70.0</v>
      </c>
      <c r="BH458" s="653">
        <v>120.0</v>
      </c>
      <c r="BI458" s="607"/>
      <c r="BJ458" s="655" t="s">
        <v>149</v>
      </c>
      <c r="BK458" s="703" t="s">
        <v>149</v>
      </c>
      <c r="BL458" s="610"/>
      <c r="BM458" s="657" t="s">
        <v>277</v>
      </c>
      <c r="BN458" s="704"/>
      <c r="BO458" s="607"/>
      <c r="BP458" s="659" t="s">
        <v>4066</v>
      </c>
      <c r="BQ458" s="614"/>
      <c r="BR458" s="660" t="s">
        <v>4432</v>
      </c>
      <c r="BS458" s="614"/>
    </row>
    <row r="459" ht="15.75" customHeight="1">
      <c r="A459" s="841"/>
      <c r="B459" s="617" t="s">
        <v>4069</v>
      </c>
      <c r="C459" s="618"/>
      <c r="D459" s="619"/>
      <c r="E459" s="629">
        <v>40.0</v>
      </c>
      <c r="F459" s="621">
        <v>50.0</v>
      </c>
      <c r="G459" s="622">
        <v>90.0</v>
      </c>
      <c r="H459" s="748">
        <v>30.0</v>
      </c>
      <c r="I459" s="624">
        <v>55.0</v>
      </c>
      <c r="J459" s="625">
        <v>65.0</v>
      </c>
      <c r="K459" s="749">
        <v>330.0</v>
      </c>
      <c r="L459" s="627">
        <v>40.0</v>
      </c>
      <c r="M459" s="621">
        <v>50.0</v>
      </c>
      <c r="N459" s="622">
        <v>90.0</v>
      </c>
      <c r="O459" s="623">
        <v>30.0</v>
      </c>
      <c r="P459" s="624">
        <v>55.0</v>
      </c>
      <c r="Q459" s="625">
        <v>65.0</v>
      </c>
      <c r="R459" s="628">
        <v>330.0</v>
      </c>
      <c r="S459" s="629">
        <v>40.0</v>
      </c>
      <c r="T459" s="621">
        <v>50.0</v>
      </c>
      <c r="U459" s="622">
        <v>90.0</v>
      </c>
      <c r="V459" s="623">
        <v>30.0</v>
      </c>
      <c r="W459" s="624">
        <v>55.0</v>
      </c>
      <c r="X459" s="625">
        <v>65.0</v>
      </c>
      <c r="Y459" s="628">
        <f t="shared" si="1"/>
        <v>330</v>
      </c>
      <c r="Z459" s="619"/>
      <c r="AA459" s="630" t="str">
        <f t="shared" si="2"/>
        <v>#NAME?</v>
      </c>
      <c r="AB459" s="869" t="s">
        <v>7</v>
      </c>
      <c r="AC459" s="632" t="str">
        <f t="shared" si="3"/>
        <v>#NAME?</v>
      </c>
      <c r="AD459" s="870" t="s">
        <v>109</v>
      </c>
      <c r="AE459" s="633" t="str">
        <f t="shared" si="4"/>
        <v>#NAME?</v>
      </c>
      <c r="AF459" s="869" t="s">
        <v>7</v>
      </c>
      <c r="AG459" s="632" t="str">
        <f t="shared" si="5"/>
        <v>#NAME?</v>
      </c>
      <c r="AH459" s="634" t="s">
        <v>109</v>
      </c>
      <c r="AI459" s="635" t="str">
        <f t="shared" si="6"/>
        <v>#NAME?</v>
      </c>
      <c r="AJ459" s="634" t="s">
        <v>7</v>
      </c>
      <c r="AK459" s="636" t="str">
        <f t="shared" si="7"/>
        <v>#NAME?</v>
      </c>
      <c r="AL459" s="637" t="s">
        <v>109</v>
      </c>
      <c r="AM459" s="619"/>
      <c r="AN459" s="638" t="s">
        <v>1430</v>
      </c>
      <c r="AO459" s="639" t="s">
        <v>301</v>
      </c>
      <c r="AP459" s="708" t="s">
        <v>301</v>
      </c>
      <c r="AQ459" s="757" t="s">
        <v>1430</v>
      </c>
      <c r="AR459" s="709" t="s">
        <v>4073</v>
      </c>
      <c r="AS459" s="758" t="s">
        <v>1430</v>
      </c>
      <c r="AT459" s="644"/>
      <c r="AU459" s="633" t="str">
        <f t="shared" ref="AU459:AU460" si="57">image("https://www.pokebip.com/pages/icones/objets/pic-venin.png", 3)</f>
        <v/>
      </c>
      <c r="AV459" s="638" t="s">
        <v>223</v>
      </c>
      <c r="AW459" s="630"/>
      <c r="AX459" s="647"/>
      <c r="AY459" s="619"/>
      <c r="AZ459" s="648" t="s">
        <v>101</v>
      </c>
      <c r="BA459" s="694"/>
      <c r="BB459" s="690"/>
      <c r="BC459" s="619"/>
      <c r="BD459" s="651" t="s">
        <v>683</v>
      </c>
      <c r="BE459" s="653">
        <v>114.0</v>
      </c>
      <c r="BF459" s="653">
        <v>120.0</v>
      </c>
      <c r="BG459" s="654">
        <v>70.0</v>
      </c>
      <c r="BH459" s="653">
        <v>40.0</v>
      </c>
      <c r="BI459" s="607"/>
      <c r="BJ459" s="655" t="s">
        <v>149</v>
      </c>
      <c r="BK459" s="703" t="s">
        <v>149</v>
      </c>
      <c r="BL459" s="610"/>
      <c r="BM459" s="657" t="s">
        <v>109</v>
      </c>
      <c r="BN459" s="658" t="s">
        <v>807</v>
      </c>
      <c r="BO459" s="607"/>
      <c r="BP459" s="659" t="s">
        <v>4074</v>
      </c>
      <c r="BQ459" s="614"/>
      <c r="BR459" s="660" t="s">
        <v>4434</v>
      </c>
      <c r="BS459" s="614"/>
    </row>
    <row r="460" ht="15.75" customHeight="1">
      <c r="A460" s="841"/>
      <c r="B460" s="661" t="s">
        <v>4077</v>
      </c>
      <c r="C460" s="662"/>
      <c r="D460" s="571"/>
      <c r="E460" s="672">
        <v>70.0</v>
      </c>
      <c r="F460" s="664">
        <v>90.0</v>
      </c>
      <c r="G460" s="665">
        <v>110.0</v>
      </c>
      <c r="H460" s="666">
        <v>60.0</v>
      </c>
      <c r="I460" s="667">
        <v>75.0</v>
      </c>
      <c r="J460" s="668">
        <v>95.0</v>
      </c>
      <c r="K460" s="669">
        <v>500.0</v>
      </c>
      <c r="L460" s="670">
        <v>70.0</v>
      </c>
      <c r="M460" s="664">
        <v>90.0</v>
      </c>
      <c r="N460" s="665">
        <v>110.0</v>
      </c>
      <c r="O460" s="666">
        <v>60.0</v>
      </c>
      <c r="P460" s="667">
        <v>75.0</v>
      </c>
      <c r="Q460" s="668">
        <v>95.0</v>
      </c>
      <c r="R460" s="671">
        <v>500.0</v>
      </c>
      <c r="S460" s="672">
        <v>70.0</v>
      </c>
      <c r="T460" s="664">
        <v>90.0</v>
      </c>
      <c r="U460" s="665">
        <v>110.0</v>
      </c>
      <c r="V460" s="666">
        <v>60.0</v>
      </c>
      <c r="W460" s="667">
        <v>75.0</v>
      </c>
      <c r="X460" s="668">
        <v>95.0</v>
      </c>
      <c r="Y460" s="671">
        <f t="shared" si="1"/>
        <v>500</v>
      </c>
      <c r="Z460" s="571"/>
      <c r="AA460" s="673" t="str">
        <f t="shared" si="2"/>
        <v>#NAME?</v>
      </c>
      <c r="AB460" s="871" t="s">
        <v>7</v>
      </c>
      <c r="AC460" s="675" t="str">
        <f t="shared" si="3"/>
        <v>#NAME?</v>
      </c>
      <c r="AD460" s="872" t="s">
        <v>76</v>
      </c>
      <c r="AE460" s="676" t="str">
        <f t="shared" si="4"/>
        <v>#NAME?</v>
      </c>
      <c r="AF460" s="871" t="s">
        <v>7</v>
      </c>
      <c r="AG460" s="675" t="str">
        <f t="shared" si="5"/>
        <v>#NAME?</v>
      </c>
      <c r="AH460" s="586" t="s">
        <v>76</v>
      </c>
      <c r="AI460" s="677" t="str">
        <f t="shared" si="6"/>
        <v>#NAME?</v>
      </c>
      <c r="AJ460" s="586" t="s">
        <v>7</v>
      </c>
      <c r="AK460" s="584" t="str">
        <f t="shared" si="7"/>
        <v>#NAME?</v>
      </c>
      <c r="AL460" s="678" t="s">
        <v>76</v>
      </c>
      <c r="AM460" s="571"/>
      <c r="AN460" s="679" t="s">
        <v>1430</v>
      </c>
      <c r="AO460" s="680" t="s">
        <v>301</v>
      </c>
      <c r="AP460" s="681" t="s">
        <v>301</v>
      </c>
      <c r="AQ460" s="682" t="s">
        <v>1430</v>
      </c>
      <c r="AR460" s="683" t="s">
        <v>4073</v>
      </c>
      <c r="AS460" s="684" t="s">
        <v>1430</v>
      </c>
      <c r="AT460" s="595"/>
      <c r="AU460" s="676" t="str">
        <f t="shared" si="57"/>
        <v/>
      </c>
      <c r="AV460" s="679" t="s">
        <v>223</v>
      </c>
      <c r="AW460" s="673"/>
      <c r="AX460" s="866"/>
      <c r="AY460" s="571"/>
      <c r="AZ460" s="689" t="s">
        <v>162</v>
      </c>
      <c r="BA460" s="690"/>
      <c r="BB460" s="696"/>
      <c r="BC460" s="571"/>
      <c r="BD460" s="651" t="s">
        <v>683</v>
      </c>
      <c r="BE460" s="653">
        <v>204.0</v>
      </c>
      <c r="BF460" s="653">
        <v>45.0</v>
      </c>
      <c r="BG460" s="653">
        <v>70.0</v>
      </c>
      <c r="BH460" s="653">
        <v>80.0</v>
      </c>
      <c r="BI460" s="607"/>
      <c r="BJ460" s="655" t="s">
        <v>149</v>
      </c>
      <c r="BK460" s="703" t="s">
        <v>149</v>
      </c>
      <c r="BL460" s="610"/>
      <c r="BM460" s="657" t="s">
        <v>109</v>
      </c>
      <c r="BN460" s="658" t="s">
        <v>807</v>
      </c>
      <c r="BO460" s="607"/>
      <c r="BP460" s="659" t="s">
        <v>4497</v>
      </c>
      <c r="BQ460" s="614"/>
      <c r="BR460" s="660" t="s">
        <v>4434</v>
      </c>
      <c r="BS460" s="614"/>
    </row>
    <row r="461" ht="15.75" customHeight="1">
      <c r="A461" s="841"/>
      <c r="B461" s="617" t="s">
        <v>4083</v>
      </c>
      <c r="C461" s="618"/>
      <c r="D461" s="619"/>
      <c r="E461" s="629">
        <v>48.0</v>
      </c>
      <c r="F461" s="621">
        <v>61.0</v>
      </c>
      <c r="G461" s="622">
        <v>40.0</v>
      </c>
      <c r="H461" s="623">
        <v>61.0</v>
      </c>
      <c r="I461" s="624">
        <v>40.0</v>
      </c>
      <c r="J461" s="625">
        <v>50.0</v>
      </c>
      <c r="K461" s="626">
        <v>300.0</v>
      </c>
      <c r="L461" s="627">
        <v>48.0</v>
      </c>
      <c r="M461" s="621">
        <v>61.0</v>
      </c>
      <c r="N461" s="622">
        <v>40.0</v>
      </c>
      <c r="O461" s="623">
        <v>61.0</v>
      </c>
      <c r="P461" s="624">
        <v>40.0</v>
      </c>
      <c r="Q461" s="625">
        <v>50.0</v>
      </c>
      <c r="R461" s="628">
        <v>300.0</v>
      </c>
      <c r="S461" s="629">
        <v>48.0</v>
      </c>
      <c r="T461" s="621">
        <v>61.0</v>
      </c>
      <c r="U461" s="622">
        <v>40.0</v>
      </c>
      <c r="V461" s="623">
        <v>61.0</v>
      </c>
      <c r="W461" s="624">
        <v>40.0</v>
      </c>
      <c r="X461" s="625">
        <v>50.0</v>
      </c>
      <c r="Y461" s="628">
        <f t="shared" si="1"/>
        <v>300</v>
      </c>
      <c r="Z461" s="619"/>
      <c r="AA461" s="630" t="str">
        <f t="shared" si="2"/>
        <v>#NAME?</v>
      </c>
      <c r="AB461" s="869" t="s">
        <v>7</v>
      </c>
      <c r="AC461" s="632" t="str">
        <f t="shared" si="3"/>
        <v>#NAME?</v>
      </c>
      <c r="AD461" s="870" t="s">
        <v>64</v>
      </c>
      <c r="AE461" s="633" t="str">
        <f t="shared" si="4"/>
        <v>#NAME?</v>
      </c>
      <c r="AF461" s="869" t="s">
        <v>7</v>
      </c>
      <c r="AG461" s="632" t="str">
        <f t="shared" si="5"/>
        <v>#NAME?</v>
      </c>
      <c r="AH461" s="634" t="s">
        <v>64</v>
      </c>
      <c r="AI461" s="635" t="str">
        <f t="shared" si="6"/>
        <v>#NAME?</v>
      </c>
      <c r="AJ461" s="634" t="s">
        <v>7</v>
      </c>
      <c r="AK461" s="636" t="str">
        <f t="shared" si="7"/>
        <v>#NAME?</v>
      </c>
      <c r="AL461" s="637" t="s">
        <v>64</v>
      </c>
      <c r="AM461" s="619"/>
      <c r="AN461" s="638" t="s">
        <v>3151</v>
      </c>
      <c r="AO461" s="639" t="s">
        <v>574</v>
      </c>
      <c r="AP461" s="640" t="s">
        <v>574</v>
      </c>
      <c r="AQ461" s="641" t="s">
        <v>3151</v>
      </c>
      <c r="AR461" s="642" t="s">
        <v>4087</v>
      </c>
      <c r="AS461" s="643" t="s">
        <v>3151</v>
      </c>
      <c r="AT461" s="644"/>
      <c r="AU461" s="633" t="str">
        <f t="shared" ref="AU461:AU462" si="58">image("https://www.pokebip.com/pages/icones/objets/boue-noire.png", 3)</f>
        <v/>
      </c>
      <c r="AV461" s="638" t="s">
        <v>966</v>
      </c>
      <c r="AW461" s="630"/>
      <c r="AX461" s="647"/>
      <c r="AY461" s="619"/>
      <c r="AZ461" s="648" t="s">
        <v>325</v>
      </c>
      <c r="BA461" s="694"/>
      <c r="BB461" s="690"/>
      <c r="BC461" s="619"/>
      <c r="BD461" s="651" t="s">
        <v>150</v>
      </c>
      <c r="BE461" s="653">
        <v>83.0</v>
      </c>
      <c r="BF461" s="653">
        <v>140.0</v>
      </c>
      <c r="BG461" s="653">
        <v>100.0</v>
      </c>
      <c r="BH461" s="653">
        <v>40.0</v>
      </c>
      <c r="BI461" s="607"/>
      <c r="BJ461" s="655" t="s">
        <v>149</v>
      </c>
      <c r="BK461" s="703" t="s">
        <v>149</v>
      </c>
      <c r="BL461" s="610"/>
      <c r="BM461" s="657" t="s">
        <v>728</v>
      </c>
      <c r="BN461" s="704"/>
      <c r="BO461" s="607"/>
      <c r="BP461" s="659" t="s">
        <v>4088</v>
      </c>
      <c r="BQ461" s="614"/>
      <c r="BR461" s="660" t="s">
        <v>4430</v>
      </c>
      <c r="BS461" s="614"/>
    </row>
    <row r="462" ht="15.75" customHeight="1">
      <c r="A462" s="841"/>
      <c r="B462" s="661" t="s">
        <v>4091</v>
      </c>
      <c r="C462" s="662"/>
      <c r="D462" s="571"/>
      <c r="E462" s="672">
        <v>83.0</v>
      </c>
      <c r="F462" s="664">
        <v>106.0</v>
      </c>
      <c r="G462" s="665">
        <v>65.0</v>
      </c>
      <c r="H462" s="666">
        <v>86.0</v>
      </c>
      <c r="I462" s="667">
        <v>65.0</v>
      </c>
      <c r="J462" s="668">
        <v>85.0</v>
      </c>
      <c r="K462" s="669">
        <v>490.0</v>
      </c>
      <c r="L462" s="670">
        <v>83.0</v>
      </c>
      <c r="M462" s="664">
        <v>106.0</v>
      </c>
      <c r="N462" s="665">
        <v>65.0</v>
      </c>
      <c r="O462" s="666">
        <v>86.0</v>
      </c>
      <c r="P462" s="667">
        <v>65.0</v>
      </c>
      <c r="Q462" s="668">
        <v>85.0</v>
      </c>
      <c r="R462" s="671">
        <v>490.0</v>
      </c>
      <c r="S462" s="672">
        <v>83.0</v>
      </c>
      <c r="T462" s="664">
        <v>106.0</v>
      </c>
      <c r="U462" s="665">
        <v>65.0</v>
      </c>
      <c r="V462" s="666">
        <v>86.0</v>
      </c>
      <c r="W462" s="667">
        <v>65.0</v>
      </c>
      <c r="X462" s="668">
        <v>85.0</v>
      </c>
      <c r="Y462" s="671">
        <f t="shared" si="1"/>
        <v>490</v>
      </c>
      <c r="Z462" s="571"/>
      <c r="AA462" s="673" t="str">
        <f t="shared" si="2"/>
        <v>#NAME?</v>
      </c>
      <c r="AB462" s="871" t="s">
        <v>7</v>
      </c>
      <c r="AC462" s="675" t="str">
        <f t="shared" si="3"/>
        <v>#NAME?</v>
      </c>
      <c r="AD462" s="872" t="s">
        <v>64</v>
      </c>
      <c r="AE462" s="676" t="str">
        <f t="shared" si="4"/>
        <v>#NAME?</v>
      </c>
      <c r="AF462" s="871" t="s">
        <v>7</v>
      </c>
      <c r="AG462" s="675" t="str">
        <f t="shared" si="5"/>
        <v>#NAME?</v>
      </c>
      <c r="AH462" s="586" t="s">
        <v>64</v>
      </c>
      <c r="AI462" s="677" t="str">
        <f t="shared" si="6"/>
        <v>#NAME?</v>
      </c>
      <c r="AJ462" s="586" t="s">
        <v>7</v>
      </c>
      <c r="AK462" s="584" t="str">
        <f t="shared" si="7"/>
        <v>#NAME?</v>
      </c>
      <c r="AL462" s="678" t="s">
        <v>64</v>
      </c>
      <c r="AM462" s="571"/>
      <c r="AN462" s="679" t="s">
        <v>3151</v>
      </c>
      <c r="AO462" s="680" t="s">
        <v>574</v>
      </c>
      <c r="AP462" s="710" t="s">
        <v>574</v>
      </c>
      <c r="AQ462" s="716" t="s">
        <v>3151</v>
      </c>
      <c r="AR462" s="711" t="s">
        <v>4087</v>
      </c>
      <c r="AS462" s="718" t="s">
        <v>3151</v>
      </c>
      <c r="AT462" s="595"/>
      <c r="AU462" s="676" t="str">
        <f t="shared" si="58"/>
        <v/>
      </c>
      <c r="AV462" s="679" t="s">
        <v>966</v>
      </c>
      <c r="AW462" s="673"/>
      <c r="AX462" s="866"/>
      <c r="AY462" s="571"/>
      <c r="AZ462" s="689" t="s">
        <v>216</v>
      </c>
      <c r="BA462" s="690"/>
      <c r="BB462" s="696"/>
      <c r="BC462" s="571"/>
      <c r="BD462" s="651" t="s">
        <v>150</v>
      </c>
      <c r="BE462" s="653">
        <v>181.0</v>
      </c>
      <c r="BF462" s="653">
        <v>75.0</v>
      </c>
      <c r="BG462" s="653">
        <v>70.0</v>
      </c>
      <c r="BH462" s="653">
        <v>60.0</v>
      </c>
      <c r="BI462" s="607"/>
      <c r="BJ462" s="655" t="s">
        <v>149</v>
      </c>
      <c r="BK462" s="703" t="s">
        <v>149</v>
      </c>
      <c r="BL462" s="610"/>
      <c r="BM462" s="657" t="s">
        <v>728</v>
      </c>
      <c r="BN462" s="704"/>
      <c r="BO462" s="607"/>
      <c r="BP462" s="659" t="s">
        <v>4498</v>
      </c>
      <c r="BQ462" s="614"/>
      <c r="BR462" s="660" t="s">
        <v>4430</v>
      </c>
      <c r="BS462" s="614"/>
    </row>
    <row r="463" ht="15.75" customHeight="1">
      <c r="A463" s="841"/>
      <c r="B463" s="617" t="s">
        <v>4098</v>
      </c>
      <c r="C463" s="618"/>
      <c r="D463" s="619"/>
      <c r="E463" s="629">
        <v>74.0</v>
      </c>
      <c r="F463" s="621">
        <v>100.0</v>
      </c>
      <c r="G463" s="622">
        <v>72.0</v>
      </c>
      <c r="H463" s="748">
        <v>90.0</v>
      </c>
      <c r="I463" s="624">
        <v>72.0</v>
      </c>
      <c r="J463" s="625">
        <v>46.0</v>
      </c>
      <c r="K463" s="749">
        <v>454.0</v>
      </c>
      <c r="L463" s="627">
        <v>74.0</v>
      </c>
      <c r="M463" s="621">
        <v>100.0</v>
      </c>
      <c r="N463" s="622">
        <v>72.0</v>
      </c>
      <c r="O463" s="623">
        <v>90.0</v>
      </c>
      <c r="P463" s="624">
        <v>72.0</v>
      </c>
      <c r="Q463" s="625">
        <v>46.0</v>
      </c>
      <c r="R463" s="628">
        <v>454.0</v>
      </c>
      <c r="S463" s="629">
        <v>74.0</v>
      </c>
      <c r="T463" s="750">
        <v>110.0</v>
      </c>
      <c r="U463" s="622">
        <v>72.0</v>
      </c>
      <c r="V463" s="748">
        <v>100.0</v>
      </c>
      <c r="W463" s="624">
        <v>72.0</v>
      </c>
      <c r="X463" s="753">
        <v>36.0</v>
      </c>
      <c r="Y463" s="628">
        <f t="shared" si="1"/>
        <v>464</v>
      </c>
      <c r="Z463" s="619"/>
      <c r="AA463" s="630" t="str">
        <f t="shared" si="2"/>
        <v>#NAME?</v>
      </c>
      <c r="AB463" s="869" t="s">
        <v>6</v>
      </c>
      <c r="AC463" s="632" t="str">
        <f t="shared" si="3"/>
        <v>#NAME?</v>
      </c>
      <c r="AD463" s="870" t="s">
        <v>4428</v>
      </c>
      <c r="AE463" s="633" t="str">
        <f t="shared" si="4"/>
        <v>#NAME?</v>
      </c>
      <c r="AF463" s="869" t="s">
        <v>6</v>
      </c>
      <c r="AG463" s="632" t="str">
        <f t="shared" si="5"/>
        <v>#NAME?</v>
      </c>
      <c r="AH463" s="634" t="s">
        <v>4428</v>
      </c>
      <c r="AI463" s="635" t="str">
        <f t="shared" si="6"/>
        <v>#NAME?</v>
      </c>
      <c r="AJ463" s="634" t="s">
        <v>6</v>
      </c>
      <c r="AK463" s="636" t="str">
        <f t="shared" si="7"/>
        <v>#NAME?</v>
      </c>
      <c r="AL463" s="637" t="s">
        <v>4428</v>
      </c>
      <c r="AM463" s="619"/>
      <c r="AN463" s="638" t="s">
        <v>1001</v>
      </c>
      <c r="AO463" s="639"/>
      <c r="AP463" s="712" t="s">
        <v>1001</v>
      </c>
      <c r="AQ463" s="639"/>
      <c r="AR463" s="712" t="s">
        <v>1001</v>
      </c>
      <c r="AS463" s="639"/>
      <c r="AT463" s="644"/>
      <c r="AU463" s="633"/>
      <c r="AV463" s="638"/>
      <c r="AW463" s="630"/>
      <c r="AX463" s="647"/>
      <c r="AY463" s="619"/>
      <c r="AZ463" s="698" t="s">
        <v>216</v>
      </c>
      <c r="BA463" s="690"/>
      <c r="BB463" s="650"/>
      <c r="BC463" s="619"/>
      <c r="BD463" s="651" t="s">
        <v>683</v>
      </c>
      <c r="BE463" s="653">
        <v>164.0</v>
      </c>
      <c r="BF463" s="653">
        <v>200.0</v>
      </c>
      <c r="BG463" s="653">
        <v>70.0</v>
      </c>
      <c r="BH463" s="653">
        <v>60.0</v>
      </c>
      <c r="BI463" s="607"/>
      <c r="BJ463" s="655" t="s">
        <v>149</v>
      </c>
      <c r="BK463" s="703" t="s">
        <v>149</v>
      </c>
      <c r="BL463" s="610"/>
      <c r="BM463" s="657" t="s">
        <v>6</v>
      </c>
      <c r="BN463" s="704"/>
      <c r="BO463" s="607"/>
      <c r="BP463" s="659" t="s">
        <v>914</v>
      </c>
      <c r="BQ463" s="614"/>
      <c r="BR463" s="660" t="s">
        <v>4427</v>
      </c>
      <c r="BS463" s="614"/>
    </row>
    <row r="464" ht="15.75" customHeight="1">
      <c r="A464" s="841"/>
      <c r="B464" s="661" t="s">
        <v>4105</v>
      </c>
      <c r="C464" s="662"/>
      <c r="D464" s="571"/>
      <c r="E464" s="672">
        <v>49.0</v>
      </c>
      <c r="F464" s="664">
        <v>49.0</v>
      </c>
      <c r="G464" s="665">
        <v>56.0</v>
      </c>
      <c r="H464" s="666">
        <v>49.0</v>
      </c>
      <c r="I464" s="667">
        <v>61.0</v>
      </c>
      <c r="J464" s="668">
        <v>66.0</v>
      </c>
      <c r="K464" s="669">
        <v>330.0</v>
      </c>
      <c r="L464" s="670">
        <v>49.0</v>
      </c>
      <c r="M464" s="664">
        <v>49.0</v>
      </c>
      <c r="N464" s="665">
        <v>56.0</v>
      </c>
      <c r="O464" s="666">
        <v>49.0</v>
      </c>
      <c r="P464" s="667">
        <v>61.0</v>
      </c>
      <c r="Q464" s="668">
        <v>66.0</v>
      </c>
      <c r="R464" s="671">
        <v>330.0</v>
      </c>
      <c r="S464" s="769">
        <v>50.0</v>
      </c>
      <c r="T464" s="741">
        <v>30.0</v>
      </c>
      <c r="U464" s="742">
        <v>60.0</v>
      </c>
      <c r="V464" s="743">
        <v>60.0</v>
      </c>
      <c r="W464" s="744">
        <v>60.0</v>
      </c>
      <c r="X464" s="745">
        <v>70.0</v>
      </c>
      <c r="Y464" s="671">
        <f t="shared" si="1"/>
        <v>330</v>
      </c>
      <c r="Z464" s="571"/>
      <c r="AA464" s="673" t="str">
        <f t="shared" si="2"/>
        <v>#NAME?</v>
      </c>
      <c r="AB464" s="871" t="s">
        <v>32</v>
      </c>
      <c r="AC464" s="675" t="str">
        <f t="shared" si="3"/>
        <v>#NAME?</v>
      </c>
      <c r="AD464" s="872" t="s">
        <v>4428</v>
      </c>
      <c r="AE464" s="676" t="str">
        <f t="shared" si="4"/>
        <v>#NAME?</v>
      </c>
      <c r="AF464" s="871" t="s">
        <v>32</v>
      </c>
      <c r="AG464" s="675" t="str">
        <f t="shared" si="5"/>
        <v>#NAME?</v>
      </c>
      <c r="AH464" s="586" t="s">
        <v>4428</v>
      </c>
      <c r="AI464" s="677" t="str">
        <f t="shared" si="6"/>
        <v>#NAME?</v>
      </c>
      <c r="AJ464" s="586" t="s">
        <v>32</v>
      </c>
      <c r="AK464" s="584" t="str">
        <f t="shared" si="7"/>
        <v>#NAME?</v>
      </c>
      <c r="AL464" s="678" t="s">
        <v>4428</v>
      </c>
      <c r="AM464" s="571"/>
      <c r="AN464" s="679" t="s">
        <v>1212</v>
      </c>
      <c r="AO464" s="680" t="s">
        <v>3209</v>
      </c>
      <c r="AP464" s="705" t="s">
        <v>1212</v>
      </c>
      <c r="AQ464" s="680" t="s">
        <v>3209</v>
      </c>
      <c r="AR464" s="705" t="s">
        <v>1212</v>
      </c>
      <c r="AS464" s="680" t="s">
        <v>3209</v>
      </c>
      <c r="AT464" s="595"/>
      <c r="AU464" s="676"/>
      <c r="AV464" s="679"/>
      <c r="AW464" s="673"/>
      <c r="AX464" s="866"/>
      <c r="AY464" s="571"/>
      <c r="AZ464" s="695" t="s">
        <v>56</v>
      </c>
      <c r="BA464" s="700"/>
      <c r="BB464" s="690"/>
      <c r="BC464" s="571"/>
      <c r="BD464" s="651" t="s">
        <v>2698</v>
      </c>
      <c r="BE464" s="653">
        <v>90.0</v>
      </c>
      <c r="BF464" s="653">
        <v>190.0</v>
      </c>
      <c r="BG464" s="653">
        <v>70.0</v>
      </c>
      <c r="BH464" s="653">
        <v>20.0</v>
      </c>
      <c r="BI464" s="607"/>
      <c r="BJ464" s="655" t="s">
        <v>149</v>
      </c>
      <c r="BK464" s="703" t="s">
        <v>149</v>
      </c>
      <c r="BL464" s="610"/>
      <c r="BM464" s="657" t="s">
        <v>1236</v>
      </c>
      <c r="BN464" s="704"/>
      <c r="BO464" s="607"/>
      <c r="BP464" s="659" t="s">
        <v>4108</v>
      </c>
      <c r="BQ464" s="614"/>
      <c r="BR464" s="660" t="s">
        <v>4430</v>
      </c>
      <c r="BS464" s="614"/>
    </row>
    <row r="465" ht="15.75" customHeight="1">
      <c r="A465" s="841"/>
      <c r="B465" s="617" t="s">
        <v>4111</v>
      </c>
      <c r="C465" s="618"/>
      <c r="D465" s="619"/>
      <c r="E465" s="629">
        <v>69.0</v>
      </c>
      <c r="F465" s="621">
        <v>69.0</v>
      </c>
      <c r="G465" s="622">
        <v>76.0</v>
      </c>
      <c r="H465" s="623">
        <v>69.0</v>
      </c>
      <c r="I465" s="624">
        <v>86.0</v>
      </c>
      <c r="J465" s="625">
        <v>91.0</v>
      </c>
      <c r="K465" s="626">
        <v>460.0</v>
      </c>
      <c r="L465" s="627">
        <v>69.0</v>
      </c>
      <c r="M465" s="621">
        <v>69.0</v>
      </c>
      <c r="N465" s="622">
        <v>76.0</v>
      </c>
      <c r="O465" s="623">
        <v>69.0</v>
      </c>
      <c r="P465" s="624">
        <v>86.0</v>
      </c>
      <c r="Q465" s="625">
        <v>91.0</v>
      </c>
      <c r="R465" s="628">
        <v>460.0</v>
      </c>
      <c r="S465" s="778">
        <v>70.0</v>
      </c>
      <c r="T465" s="750">
        <v>40.0</v>
      </c>
      <c r="U465" s="751">
        <v>75.0</v>
      </c>
      <c r="V465" s="748">
        <v>105.0</v>
      </c>
      <c r="W465" s="752">
        <v>90.0</v>
      </c>
      <c r="X465" s="753">
        <v>105.0</v>
      </c>
      <c r="Y465" s="628">
        <f t="shared" si="1"/>
        <v>485</v>
      </c>
      <c r="Z465" s="619"/>
      <c r="AA465" s="630" t="str">
        <f t="shared" si="2"/>
        <v>#NAME?</v>
      </c>
      <c r="AB465" s="869" t="s">
        <v>32</v>
      </c>
      <c r="AC465" s="632" t="str">
        <f t="shared" si="3"/>
        <v>#NAME?</v>
      </c>
      <c r="AD465" s="870" t="s">
        <v>4428</v>
      </c>
      <c r="AE465" s="633" t="str">
        <f t="shared" si="4"/>
        <v>#NAME?</v>
      </c>
      <c r="AF465" s="869" t="s">
        <v>32</v>
      </c>
      <c r="AG465" s="632" t="str">
        <f t="shared" si="5"/>
        <v>#NAME?</v>
      </c>
      <c r="AH465" s="634" t="s">
        <v>4428</v>
      </c>
      <c r="AI465" s="635" t="str">
        <f t="shared" si="6"/>
        <v>#NAME?</v>
      </c>
      <c r="AJ465" s="634" t="s">
        <v>32</v>
      </c>
      <c r="AK465" s="636" t="str">
        <f t="shared" si="7"/>
        <v>#NAME?</v>
      </c>
      <c r="AL465" s="637" t="s">
        <v>4428</v>
      </c>
      <c r="AM465" s="619"/>
      <c r="AN465" s="638" t="s">
        <v>1212</v>
      </c>
      <c r="AO465" s="639" t="s">
        <v>3209</v>
      </c>
      <c r="AP465" s="712" t="s">
        <v>1212</v>
      </c>
      <c r="AQ465" s="639" t="s">
        <v>3209</v>
      </c>
      <c r="AR465" s="712" t="s">
        <v>1212</v>
      </c>
      <c r="AS465" s="639" t="s">
        <v>3209</v>
      </c>
      <c r="AT465" s="644"/>
      <c r="AU465" s="633"/>
      <c r="AV465" s="638"/>
      <c r="AW465" s="630"/>
      <c r="AX465" s="647"/>
      <c r="AY465" s="619"/>
      <c r="AZ465" s="698" t="s">
        <v>248</v>
      </c>
      <c r="BA465" s="690"/>
      <c r="BB465" s="650"/>
      <c r="BC465" s="619"/>
      <c r="BD465" s="651" t="s">
        <v>2698</v>
      </c>
      <c r="BE465" s="653">
        <v>156.0</v>
      </c>
      <c r="BF465" s="653">
        <v>75.0</v>
      </c>
      <c r="BG465" s="653">
        <v>70.0</v>
      </c>
      <c r="BH465" s="653">
        <v>40.0</v>
      </c>
      <c r="BI465" s="607"/>
      <c r="BJ465" s="655" t="s">
        <v>149</v>
      </c>
      <c r="BK465" s="703" t="s">
        <v>149</v>
      </c>
      <c r="BL465" s="610"/>
      <c r="BM465" s="657" t="s">
        <v>1236</v>
      </c>
      <c r="BN465" s="704"/>
      <c r="BO465" s="607"/>
      <c r="BP465" s="659" t="s">
        <v>4114</v>
      </c>
      <c r="BQ465" s="614"/>
      <c r="BR465" s="660" t="s">
        <v>4430</v>
      </c>
      <c r="BS465" s="614"/>
    </row>
    <row r="466" ht="15.75" customHeight="1">
      <c r="A466" s="841"/>
      <c r="B466" s="661" t="s">
        <v>4117</v>
      </c>
      <c r="C466" s="662"/>
      <c r="D466" s="571"/>
      <c r="E466" s="672">
        <v>45.0</v>
      </c>
      <c r="F466" s="664">
        <v>20.0</v>
      </c>
      <c r="G466" s="665">
        <v>50.0</v>
      </c>
      <c r="H466" s="666">
        <v>60.0</v>
      </c>
      <c r="I466" s="667">
        <v>120.0</v>
      </c>
      <c r="J466" s="668">
        <v>50.0</v>
      </c>
      <c r="K466" s="669">
        <v>345.0</v>
      </c>
      <c r="L466" s="670">
        <v>45.0</v>
      </c>
      <c r="M466" s="664">
        <v>20.0</v>
      </c>
      <c r="N466" s="665">
        <v>50.0</v>
      </c>
      <c r="O466" s="666">
        <v>60.0</v>
      </c>
      <c r="P466" s="667">
        <v>120.0</v>
      </c>
      <c r="Q466" s="668">
        <v>50.0</v>
      </c>
      <c r="R466" s="671">
        <v>345.0</v>
      </c>
      <c r="S466" s="672">
        <v>45.0</v>
      </c>
      <c r="T466" s="664">
        <v>20.0</v>
      </c>
      <c r="U466" s="665">
        <v>50.0</v>
      </c>
      <c r="V466" s="666">
        <v>60.0</v>
      </c>
      <c r="W466" s="667">
        <v>120.0</v>
      </c>
      <c r="X466" s="668">
        <v>50.0</v>
      </c>
      <c r="Y466" s="671">
        <f t="shared" si="1"/>
        <v>345</v>
      </c>
      <c r="Z466" s="571"/>
      <c r="AA466" s="673" t="str">
        <f t="shared" si="2"/>
        <v>#NAME?</v>
      </c>
      <c r="AB466" s="871" t="s">
        <v>32</v>
      </c>
      <c r="AC466" s="675" t="str">
        <f t="shared" si="3"/>
        <v>#NAME?</v>
      </c>
      <c r="AD466" s="872" t="s">
        <v>18</v>
      </c>
      <c r="AE466" s="676" t="str">
        <f t="shared" si="4"/>
        <v>#NAME?</v>
      </c>
      <c r="AF466" s="871" t="s">
        <v>32</v>
      </c>
      <c r="AG466" s="675" t="str">
        <f t="shared" si="5"/>
        <v>#NAME?</v>
      </c>
      <c r="AH466" s="586" t="s">
        <v>18</v>
      </c>
      <c r="AI466" s="677" t="str">
        <f t="shared" si="6"/>
        <v>#NAME?</v>
      </c>
      <c r="AJ466" s="586" t="s">
        <v>32</v>
      </c>
      <c r="AK466" s="584" t="str">
        <f t="shared" si="7"/>
        <v>#NAME?</v>
      </c>
      <c r="AL466" s="678" t="s">
        <v>18</v>
      </c>
      <c r="AM466" s="571"/>
      <c r="AN466" s="679" t="s">
        <v>1212</v>
      </c>
      <c r="AO466" s="680" t="s">
        <v>698</v>
      </c>
      <c r="AP466" s="705" t="s">
        <v>1212</v>
      </c>
      <c r="AQ466" s="680" t="s">
        <v>698</v>
      </c>
      <c r="AR466" s="705" t="s">
        <v>1212</v>
      </c>
      <c r="AS466" s="680" t="s">
        <v>698</v>
      </c>
      <c r="AT466" s="595"/>
      <c r="AU466" s="676"/>
      <c r="AV466" s="679"/>
      <c r="AW466" s="673"/>
      <c r="AX466" s="866"/>
      <c r="AY466" s="571"/>
      <c r="AZ466" s="695" t="s">
        <v>27</v>
      </c>
      <c r="BA466" s="700"/>
      <c r="BB466" s="690"/>
      <c r="BC466" s="571"/>
      <c r="BD466" s="651" t="s">
        <v>683</v>
      </c>
      <c r="BE466" s="653">
        <v>108.0</v>
      </c>
      <c r="BF466" s="653">
        <v>25.0</v>
      </c>
      <c r="BG466" s="653">
        <v>70.0</v>
      </c>
      <c r="BH466" s="653">
        <v>80.0</v>
      </c>
      <c r="BI466" s="607"/>
      <c r="BJ466" s="655" t="s">
        <v>149</v>
      </c>
      <c r="BK466" s="703" t="s">
        <v>149</v>
      </c>
      <c r="BL466" s="610"/>
      <c r="BM466" s="657" t="s">
        <v>411</v>
      </c>
      <c r="BN466" s="704"/>
      <c r="BO466" s="607"/>
      <c r="BP466" s="659" t="s">
        <v>4120</v>
      </c>
      <c r="BQ466" s="614"/>
      <c r="BR466" s="660" t="s">
        <v>4430</v>
      </c>
      <c r="BS466" s="614"/>
    </row>
    <row r="467" ht="15.75" customHeight="1">
      <c r="A467" s="841"/>
      <c r="B467" s="617" t="s">
        <v>4123</v>
      </c>
      <c r="C467" s="618"/>
      <c r="D467" s="619"/>
      <c r="E467" s="629">
        <v>60.0</v>
      </c>
      <c r="F467" s="621">
        <v>62.0</v>
      </c>
      <c r="G467" s="622">
        <v>50.0</v>
      </c>
      <c r="H467" s="748">
        <v>62.0</v>
      </c>
      <c r="I467" s="624">
        <v>60.0</v>
      </c>
      <c r="J467" s="625">
        <v>40.0</v>
      </c>
      <c r="K467" s="749">
        <v>334.0</v>
      </c>
      <c r="L467" s="627">
        <v>60.0</v>
      </c>
      <c r="M467" s="621">
        <v>62.0</v>
      </c>
      <c r="N467" s="622">
        <v>50.0</v>
      </c>
      <c r="O467" s="623">
        <v>62.0</v>
      </c>
      <c r="P467" s="624">
        <v>60.0</v>
      </c>
      <c r="Q467" s="625">
        <v>40.0</v>
      </c>
      <c r="R467" s="628">
        <v>334.0</v>
      </c>
      <c r="S467" s="629">
        <v>60.0</v>
      </c>
      <c r="T467" s="621">
        <v>62.0</v>
      </c>
      <c r="U467" s="622">
        <v>50.0</v>
      </c>
      <c r="V467" s="623">
        <v>62.0</v>
      </c>
      <c r="W467" s="624">
        <v>60.0</v>
      </c>
      <c r="X467" s="625">
        <v>40.0</v>
      </c>
      <c r="Y467" s="628">
        <f t="shared" si="1"/>
        <v>334</v>
      </c>
      <c r="Z467" s="619"/>
      <c r="AA467" s="630" t="str">
        <f t="shared" si="2"/>
        <v>#NAME?</v>
      </c>
      <c r="AB467" s="869" t="s">
        <v>120</v>
      </c>
      <c r="AC467" s="632" t="str">
        <f t="shared" si="3"/>
        <v>#NAME?</v>
      </c>
      <c r="AD467" s="870" t="s">
        <v>6</v>
      </c>
      <c r="AE467" s="633" t="str">
        <f t="shared" si="4"/>
        <v>#NAME?</v>
      </c>
      <c r="AF467" s="869" t="s">
        <v>120</v>
      </c>
      <c r="AG467" s="632" t="str">
        <f t="shared" si="5"/>
        <v>#NAME?</v>
      </c>
      <c r="AH467" s="634" t="s">
        <v>6</v>
      </c>
      <c r="AI467" s="635" t="str">
        <f t="shared" si="6"/>
        <v>#NAME?</v>
      </c>
      <c r="AJ467" s="634" t="s">
        <v>120</v>
      </c>
      <c r="AK467" s="636" t="str">
        <f t="shared" si="7"/>
        <v>#NAME?</v>
      </c>
      <c r="AL467" s="637" t="s">
        <v>6</v>
      </c>
      <c r="AM467" s="619"/>
      <c r="AN467" s="638" t="s">
        <v>4127</v>
      </c>
      <c r="AO467" s="639"/>
      <c r="AP467" s="712" t="s">
        <v>4127</v>
      </c>
      <c r="AQ467" s="845" t="s">
        <v>3764</v>
      </c>
      <c r="AR467" s="712" t="s">
        <v>4127</v>
      </c>
      <c r="AS467" s="845" t="s">
        <v>3764</v>
      </c>
      <c r="AT467" s="644"/>
      <c r="AU467" s="633" t="str">
        <f t="shared" ref="AU467:AU468" si="59">image("https://www.pokebip.com/pages/icones/objets/glace-eternelle.png", 3)</f>
        <v/>
      </c>
      <c r="AV467" s="638" t="s">
        <v>4129</v>
      </c>
      <c r="AW467" s="630"/>
      <c r="AX467" s="647"/>
      <c r="AY467" s="619"/>
      <c r="AZ467" s="648" t="s">
        <v>325</v>
      </c>
      <c r="BA467" s="694"/>
      <c r="BB467" s="690"/>
      <c r="BC467" s="619"/>
      <c r="BD467" s="651" t="s">
        <v>683</v>
      </c>
      <c r="BE467" s="653">
        <v>131.0</v>
      </c>
      <c r="BF467" s="653">
        <v>120.0</v>
      </c>
      <c r="BG467" s="653">
        <v>70.0</v>
      </c>
      <c r="BH467" s="653">
        <v>80.0</v>
      </c>
      <c r="BI467" s="607"/>
      <c r="BJ467" s="655" t="s">
        <v>149</v>
      </c>
      <c r="BK467" s="703" t="s">
        <v>149</v>
      </c>
      <c r="BL467" s="610"/>
      <c r="BM467" s="657" t="s">
        <v>14</v>
      </c>
      <c r="BN467" s="658" t="s">
        <v>6</v>
      </c>
      <c r="BO467" s="607"/>
      <c r="BP467" s="659" t="s">
        <v>4128</v>
      </c>
      <c r="BQ467" s="614"/>
      <c r="BR467" s="660" t="s">
        <v>4431</v>
      </c>
      <c r="BS467" s="614"/>
    </row>
    <row r="468" ht="15.75" customHeight="1">
      <c r="A468" s="841"/>
      <c r="B468" s="661" t="s">
        <v>4132</v>
      </c>
      <c r="C468" s="662"/>
      <c r="D468" s="571"/>
      <c r="E468" s="672">
        <v>90.0</v>
      </c>
      <c r="F468" s="664">
        <v>92.0</v>
      </c>
      <c r="G468" s="665">
        <v>75.0</v>
      </c>
      <c r="H468" s="666">
        <v>92.0</v>
      </c>
      <c r="I468" s="667">
        <v>85.0</v>
      </c>
      <c r="J468" s="668">
        <v>60.0</v>
      </c>
      <c r="K468" s="669">
        <v>494.0</v>
      </c>
      <c r="L468" s="670">
        <v>90.0</v>
      </c>
      <c r="M468" s="664">
        <v>92.0</v>
      </c>
      <c r="N468" s="665">
        <v>75.0</v>
      </c>
      <c r="O468" s="666">
        <v>92.0</v>
      </c>
      <c r="P468" s="667">
        <v>85.0</v>
      </c>
      <c r="Q468" s="668">
        <v>60.0</v>
      </c>
      <c r="R468" s="671">
        <v>494.0</v>
      </c>
      <c r="S468" s="672">
        <v>90.0</v>
      </c>
      <c r="T468" s="664">
        <v>92.0</v>
      </c>
      <c r="U468" s="665">
        <v>75.0</v>
      </c>
      <c r="V468" s="666">
        <v>92.0</v>
      </c>
      <c r="W468" s="667">
        <v>85.0</v>
      </c>
      <c r="X468" s="668">
        <v>60.0</v>
      </c>
      <c r="Y468" s="671">
        <f t="shared" si="1"/>
        <v>494</v>
      </c>
      <c r="Z468" s="571"/>
      <c r="AA468" s="673" t="str">
        <f t="shared" si="2"/>
        <v>#NAME?</v>
      </c>
      <c r="AB468" s="871" t="s">
        <v>120</v>
      </c>
      <c r="AC468" s="675" t="str">
        <f t="shared" si="3"/>
        <v>#NAME?</v>
      </c>
      <c r="AD468" s="872" t="s">
        <v>6</v>
      </c>
      <c r="AE468" s="676" t="str">
        <f t="shared" si="4"/>
        <v>#NAME?</v>
      </c>
      <c r="AF468" s="871" t="s">
        <v>120</v>
      </c>
      <c r="AG468" s="675" t="str">
        <f t="shared" si="5"/>
        <v>#NAME?</v>
      </c>
      <c r="AH468" s="586" t="s">
        <v>6</v>
      </c>
      <c r="AI468" s="677" t="str">
        <f t="shared" si="6"/>
        <v>#NAME?</v>
      </c>
      <c r="AJ468" s="586" t="s">
        <v>120</v>
      </c>
      <c r="AK468" s="584" t="str">
        <f t="shared" si="7"/>
        <v>#NAME?</v>
      </c>
      <c r="AL468" s="678" t="s">
        <v>6</v>
      </c>
      <c r="AM468" s="571"/>
      <c r="AN468" s="679" t="s">
        <v>4127</v>
      </c>
      <c r="AO468" s="680"/>
      <c r="AP468" s="705" t="s">
        <v>4127</v>
      </c>
      <c r="AQ468" s="756" t="s">
        <v>3764</v>
      </c>
      <c r="AR468" s="705" t="s">
        <v>4127</v>
      </c>
      <c r="AS468" s="707" t="s">
        <v>3764</v>
      </c>
      <c r="AT468" s="595"/>
      <c r="AU468" s="676" t="str">
        <f t="shared" si="59"/>
        <v/>
      </c>
      <c r="AV468" s="679" t="s">
        <v>4129</v>
      </c>
      <c r="AW468" s="673"/>
      <c r="AX468" s="866"/>
      <c r="AY468" s="571"/>
      <c r="AZ468" s="695" t="s">
        <v>325</v>
      </c>
      <c r="BA468" s="691" t="s">
        <v>4</v>
      </c>
      <c r="BB468" s="696"/>
      <c r="BC468" s="571"/>
      <c r="BD468" s="651" t="s">
        <v>683</v>
      </c>
      <c r="BE468" s="653">
        <v>214.0</v>
      </c>
      <c r="BF468" s="653">
        <v>60.0</v>
      </c>
      <c r="BG468" s="653">
        <v>70.0</v>
      </c>
      <c r="BH468" s="653">
        <v>100.0</v>
      </c>
      <c r="BI468" s="607"/>
      <c r="BJ468" s="655" t="s">
        <v>149</v>
      </c>
      <c r="BK468" s="703" t="s">
        <v>149</v>
      </c>
      <c r="BL468" s="610"/>
      <c r="BM468" s="657" t="s">
        <v>14</v>
      </c>
      <c r="BN468" s="658" t="s">
        <v>6</v>
      </c>
      <c r="BO468" s="607"/>
      <c r="BP468" s="659" t="s">
        <v>4136</v>
      </c>
      <c r="BQ468" s="614"/>
      <c r="BR468" s="660" t="s">
        <v>4431</v>
      </c>
      <c r="BS468" s="614"/>
    </row>
    <row r="469" ht="15.75" customHeight="1">
      <c r="A469" s="841"/>
      <c r="B469" s="617" t="s">
        <v>4139</v>
      </c>
      <c r="C469" s="618"/>
      <c r="D469" s="619"/>
      <c r="E469" s="629">
        <v>70.0</v>
      </c>
      <c r="F469" s="621">
        <v>120.0</v>
      </c>
      <c r="G469" s="622">
        <v>65.0</v>
      </c>
      <c r="H469" s="623">
        <v>45.0</v>
      </c>
      <c r="I469" s="624">
        <v>85.0</v>
      </c>
      <c r="J469" s="625">
        <v>125.0</v>
      </c>
      <c r="K469" s="626">
        <v>510.0</v>
      </c>
      <c r="L469" s="627">
        <v>70.0</v>
      </c>
      <c r="M469" s="621">
        <v>120.0</v>
      </c>
      <c r="N469" s="622">
        <v>65.0</v>
      </c>
      <c r="O469" s="623">
        <v>45.0</v>
      </c>
      <c r="P469" s="624">
        <v>85.0</v>
      </c>
      <c r="Q469" s="625">
        <v>125.0</v>
      </c>
      <c r="R469" s="628">
        <v>510.0</v>
      </c>
      <c r="S469" s="629">
        <v>70.0</v>
      </c>
      <c r="T469" s="621">
        <v>120.0</v>
      </c>
      <c r="U469" s="622">
        <v>65.0</v>
      </c>
      <c r="V469" s="623">
        <v>45.0</v>
      </c>
      <c r="W469" s="624">
        <v>85.0</v>
      </c>
      <c r="X469" s="625">
        <v>125.0</v>
      </c>
      <c r="Y469" s="628">
        <f t="shared" si="1"/>
        <v>510</v>
      </c>
      <c r="Z469" s="619"/>
      <c r="AA469" s="630" t="str">
        <f t="shared" si="2"/>
        <v>#NAME?</v>
      </c>
      <c r="AB469" s="869" t="s">
        <v>76</v>
      </c>
      <c r="AC469" s="632" t="str">
        <f t="shared" si="3"/>
        <v>#NAME?</v>
      </c>
      <c r="AD469" s="870" t="s">
        <v>120</v>
      </c>
      <c r="AE469" s="633" t="str">
        <f t="shared" si="4"/>
        <v>#NAME?</v>
      </c>
      <c r="AF469" s="869" t="s">
        <v>76</v>
      </c>
      <c r="AG469" s="632" t="str">
        <f t="shared" si="5"/>
        <v>#NAME?</v>
      </c>
      <c r="AH469" s="634" t="s">
        <v>120</v>
      </c>
      <c r="AI469" s="635" t="str">
        <f t="shared" si="6"/>
        <v>#NAME?</v>
      </c>
      <c r="AJ469" s="634" t="s">
        <v>76</v>
      </c>
      <c r="AK469" s="636" t="str">
        <f t="shared" si="7"/>
        <v>#NAME?</v>
      </c>
      <c r="AL469" s="637" t="s">
        <v>120</v>
      </c>
      <c r="AM469" s="619"/>
      <c r="AN469" s="638" t="s">
        <v>1447</v>
      </c>
      <c r="AO469" s="639"/>
      <c r="AP469" s="712" t="s">
        <v>1447</v>
      </c>
      <c r="AQ469" s="639"/>
      <c r="AR469" s="854" t="s">
        <v>1278</v>
      </c>
      <c r="AS469" s="843" t="s">
        <v>1447</v>
      </c>
      <c r="AT469" s="644"/>
      <c r="AU469" s="633" t="str">
        <f>image("https://www.pokebip.com/pages/icones/objets/vive-griffe.png", 3)</f>
        <v/>
      </c>
      <c r="AV469" s="638" t="s">
        <v>631</v>
      </c>
      <c r="AW469" s="630"/>
      <c r="AX469" s="647"/>
      <c r="AY469" s="619"/>
      <c r="AZ469" s="648" t="s">
        <v>325</v>
      </c>
      <c r="BA469" s="649" t="s">
        <v>56</v>
      </c>
      <c r="BB469" s="650"/>
      <c r="BC469" s="619"/>
      <c r="BD469" s="651" t="s">
        <v>15</v>
      </c>
      <c r="BE469" s="653">
        <v>199.0</v>
      </c>
      <c r="BF469" s="653">
        <v>45.0</v>
      </c>
      <c r="BG469" s="653">
        <v>35.0</v>
      </c>
      <c r="BH469" s="653">
        <v>60.0</v>
      </c>
      <c r="BI469" s="607"/>
      <c r="BJ469" s="655" t="s">
        <v>149</v>
      </c>
      <c r="BK469" s="703" t="s">
        <v>149</v>
      </c>
      <c r="BL469" s="610"/>
      <c r="BM469" s="657" t="s">
        <v>277</v>
      </c>
      <c r="BN469" s="704"/>
      <c r="BO469" s="607"/>
      <c r="BP469" s="659" t="s">
        <v>4143</v>
      </c>
      <c r="BQ469" s="614"/>
      <c r="BR469" s="660" t="s">
        <v>4449</v>
      </c>
      <c r="BS469" s="614"/>
    </row>
    <row r="470" ht="15.75" customHeight="1">
      <c r="A470" s="841"/>
      <c r="B470" s="661" t="s">
        <v>4146</v>
      </c>
      <c r="C470" s="662"/>
      <c r="D470" s="571"/>
      <c r="E470" s="672">
        <v>70.0</v>
      </c>
      <c r="F470" s="664">
        <v>70.0</v>
      </c>
      <c r="G470" s="665">
        <v>115.0</v>
      </c>
      <c r="H470" s="666">
        <v>130.0</v>
      </c>
      <c r="I470" s="667">
        <v>90.0</v>
      </c>
      <c r="J470" s="668">
        <v>60.0</v>
      </c>
      <c r="K470" s="669">
        <v>535.0</v>
      </c>
      <c r="L470" s="670">
        <v>70.0</v>
      </c>
      <c r="M470" s="664">
        <v>70.0</v>
      </c>
      <c r="N470" s="665">
        <v>115.0</v>
      </c>
      <c r="O470" s="666">
        <v>130.0</v>
      </c>
      <c r="P470" s="667">
        <v>90.0</v>
      </c>
      <c r="Q470" s="668">
        <v>60.0</v>
      </c>
      <c r="R470" s="671">
        <v>535.0</v>
      </c>
      <c r="S470" s="672">
        <v>70.0</v>
      </c>
      <c r="T470" s="664">
        <v>70.0</v>
      </c>
      <c r="U470" s="665">
        <v>115.0</v>
      </c>
      <c r="V470" s="666">
        <v>130.0</v>
      </c>
      <c r="W470" s="667">
        <v>90.0</v>
      </c>
      <c r="X470" s="668">
        <v>60.0</v>
      </c>
      <c r="Y470" s="671">
        <f t="shared" si="1"/>
        <v>535</v>
      </c>
      <c r="Z470" s="571"/>
      <c r="AA470" s="673" t="str">
        <f t="shared" si="2"/>
        <v>#NAME?</v>
      </c>
      <c r="AB470" s="871" t="s">
        <v>197</v>
      </c>
      <c r="AC470" s="675" t="str">
        <f t="shared" si="3"/>
        <v>#NAME?</v>
      </c>
      <c r="AD470" s="872" t="s">
        <v>95</v>
      </c>
      <c r="AE470" s="676" t="str">
        <f t="shared" si="4"/>
        <v>#NAME?</v>
      </c>
      <c r="AF470" s="871" t="s">
        <v>197</v>
      </c>
      <c r="AG470" s="675" t="str">
        <f t="shared" si="5"/>
        <v>#NAME?</v>
      </c>
      <c r="AH470" s="586" t="s">
        <v>95</v>
      </c>
      <c r="AI470" s="677" t="str">
        <f t="shared" si="6"/>
        <v>#NAME?</v>
      </c>
      <c r="AJ470" s="586" t="s">
        <v>197</v>
      </c>
      <c r="AK470" s="584" t="str">
        <f t="shared" si="7"/>
        <v>#NAME?</v>
      </c>
      <c r="AL470" s="678" t="s">
        <v>95</v>
      </c>
      <c r="AM470" s="571"/>
      <c r="AN470" s="679" t="s">
        <v>889</v>
      </c>
      <c r="AO470" s="680" t="s">
        <v>825</v>
      </c>
      <c r="AP470" s="705" t="s">
        <v>889</v>
      </c>
      <c r="AQ470" s="680" t="s">
        <v>825</v>
      </c>
      <c r="AR470" s="705" t="s">
        <v>889</v>
      </c>
      <c r="AS470" s="680" t="s">
        <v>825</v>
      </c>
      <c r="AT470" s="595"/>
      <c r="AU470" s="676" t="str">
        <f>image("https://www.pokebip.com/pages/icones/objets/peau-metal.png", 3)</f>
        <v/>
      </c>
      <c r="AV470" s="679" t="s">
        <v>892</v>
      </c>
      <c r="AW470" s="673"/>
      <c r="AX470" s="866"/>
      <c r="AY470" s="571"/>
      <c r="AZ470" s="689" t="s">
        <v>85</v>
      </c>
      <c r="BA470" s="699"/>
      <c r="BB470" s="690"/>
      <c r="BC470" s="571"/>
      <c r="BD470" s="651" t="s">
        <v>150</v>
      </c>
      <c r="BE470" s="653">
        <v>211.0</v>
      </c>
      <c r="BF470" s="653">
        <v>30.0</v>
      </c>
      <c r="BG470" s="653">
        <v>70.0</v>
      </c>
      <c r="BH470" s="653">
        <v>100.0</v>
      </c>
      <c r="BI470" s="607"/>
      <c r="BJ470" s="765" t="s">
        <v>890</v>
      </c>
      <c r="BK470" s="766"/>
      <c r="BL470" s="610"/>
      <c r="BM470" s="767" t="s">
        <v>826</v>
      </c>
      <c r="BN470" s="704"/>
      <c r="BO470" s="607"/>
      <c r="BP470" s="659" t="s">
        <v>4150</v>
      </c>
      <c r="BQ470" s="614"/>
      <c r="BR470" s="660" t="s">
        <v>4437</v>
      </c>
      <c r="BS470" s="614"/>
    </row>
    <row r="471" ht="15.75" customHeight="1">
      <c r="A471" s="841"/>
      <c r="B471" s="617" t="s">
        <v>4153</v>
      </c>
      <c r="C471" s="618"/>
      <c r="D471" s="619"/>
      <c r="E471" s="629">
        <v>110.0</v>
      </c>
      <c r="F471" s="621">
        <v>85.0</v>
      </c>
      <c r="G471" s="622">
        <v>95.0</v>
      </c>
      <c r="H471" s="748">
        <v>80.0</v>
      </c>
      <c r="I471" s="624">
        <v>95.0</v>
      </c>
      <c r="J471" s="625">
        <v>50.0</v>
      </c>
      <c r="K471" s="749">
        <v>515.0</v>
      </c>
      <c r="L471" s="627">
        <v>110.0</v>
      </c>
      <c r="M471" s="621">
        <v>85.0</v>
      </c>
      <c r="N471" s="622">
        <v>95.0</v>
      </c>
      <c r="O471" s="623">
        <v>80.0</v>
      </c>
      <c r="P471" s="624">
        <v>95.0</v>
      </c>
      <c r="Q471" s="625">
        <v>50.0</v>
      </c>
      <c r="R471" s="628">
        <v>515.0</v>
      </c>
      <c r="S471" s="629">
        <v>110.0</v>
      </c>
      <c r="T471" s="621">
        <v>85.0</v>
      </c>
      <c r="U471" s="622">
        <v>95.0</v>
      </c>
      <c r="V471" s="623">
        <v>80.0</v>
      </c>
      <c r="W471" s="624">
        <v>95.0</v>
      </c>
      <c r="X471" s="625">
        <v>50.0</v>
      </c>
      <c r="Y471" s="628">
        <f t="shared" si="1"/>
        <v>515</v>
      </c>
      <c r="Z471" s="619"/>
      <c r="AA471" s="630" t="str">
        <f t="shared" si="2"/>
        <v>#NAME?</v>
      </c>
      <c r="AB471" s="869" t="s">
        <v>156</v>
      </c>
      <c r="AC471" s="632" t="str">
        <f t="shared" si="3"/>
        <v>#NAME?</v>
      </c>
      <c r="AD471" s="870" t="s">
        <v>4428</v>
      </c>
      <c r="AE471" s="633" t="str">
        <f t="shared" si="4"/>
        <v>#NAME?</v>
      </c>
      <c r="AF471" s="869" t="s">
        <v>156</v>
      </c>
      <c r="AG471" s="632" t="str">
        <f t="shared" si="5"/>
        <v>#NAME?</v>
      </c>
      <c r="AH471" s="634" t="s">
        <v>4428</v>
      </c>
      <c r="AI471" s="635" t="str">
        <f t="shared" si="6"/>
        <v>#NAME?</v>
      </c>
      <c r="AJ471" s="634" t="s">
        <v>156</v>
      </c>
      <c r="AK471" s="636" t="str">
        <f t="shared" si="7"/>
        <v>#NAME?</v>
      </c>
      <c r="AL471" s="637" t="s">
        <v>4428</v>
      </c>
      <c r="AM471" s="619"/>
      <c r="AN471" s="638" t="s">
        <v>871</v>
      </c>
      <c r="AO471" s="639" t="s">
        <v>870</v>
      </c>
      <c r="AP471" s="712" t="s">
        <v>871</v>
      </c>
      <c r="AQ471" s="639" t="s">
        <v>870</v>
      </c>
      <c r="AR471" s="712" t="s">
        <v>871</v>
      </c>
      <c r="AS471" s="639" t="s">
        <v>870</v>
      </c>
      <c r="AT471" s="644"/>
      <c r="AU471" s="633" t="str">
        <f>image("https://www.pokebip.com/pages/icones/objets/ralentiqueue.png", 3)</f>
        <v/>
      </c>
      <c r="AV471" s="638" t="s">
        <v>874</v>
      </c>
      <c r="AW471" s="630"/>
      <c r="AX471" s="647"/>
      <c r="AY471" s="619"/>
      <c r="AZ471" s="698" t="s">
        <v>422</v>
      </c>
      <c r="BA471" s="699"/>
      <c r="BB471" s="690"/>
      <c r="BC471" s="619"/>
      <c r="BD471" s="651" t="s">
        <v>150</v>
      </c>
      <c r="BE471" s="653">
        <v>193.0</v>
      </c>
      <c r="BF471" s="653">
        <v>30.0</v>
      </c>
      <c r="BG471" s="653">
        <v>70.0</v>
      </c>
      <c r="BH471" s="653">
        <v>100.0</v>
      </c>
      <c r="BI471" s="607"/>
      <c r="BJ471" s="655" t="s">
        <v>149</v>
      </c>
      <c r="BK471" s="703" t="s">
        <v>149</v>
      </c>
      <c r="BL471" s="610"/>
      <c r="BM471" s="657" t="s">
        <v>14</v>
      </c>
      <c r="BN471" s="704"/>
      <c r="BO471" s="607"/>
      <c r="BP471" s="659" t="s">
        <v>4157</v>
      </c>
      <c r="BQ471" s="614"/>
      <c r="BR471" s="660" t="s">
        <v>4435</v>
      </c>
      <c r="BS471" s="614"/>
    </row>
    <row r="472" ht="15.75" customHeight="1">
      <c r="A472" s="841"/>
      <c r="B472" s="661" t="s">
        <v>4160</v>
      </c>
      <c r="C472" s="662"/>
      <c r="D472" s="571"/>
      <c r="E472" s="672">
        <v>115.0</v>
      </c>
      <c r="F472" s="664">
        <v>140.0</v>
      </c>
      <c r="G472" s="665">
        <v>130.0</v>
      </c>
      <c r="H472" s="666">
        <v>55.0</v>
      </c>
      <c r="I472" s="667">
        <v>55.0</v>
      </c>
      <c r="J472" s="668">
        <v>40.0</v>
      </c>
      <c r="K472" s="669">
        <v>535.0</v>
      </c>
      <c r="L472" s="670">
        <v>115.0</v>
      </c>
      <c r="M472" s="664">
        <v>140.0</v>
      </c>
      <c r="N472" s="665">
        <v>130.0</v>
      </c>
      <c r="O472" s="666">
        <v>55.0</v>
      </c>
      <c r="P472" s="667">
        <v>55.0</v>
      </c>
      <c r="Q472" s="668">
        <v>40.0</v>
      </c>
      <c r="R472" s="671">
        <v>535.0</v>
      </c>
      <c r="S472" s="672">
        <v>115.0</v>
      </c>
      <c r="T472" s="664">
        <v>140.0</v>
      </c>
      <c r="U472" s="665">
        <v>130.0</v>
      </c>
      <c r="V472" s="666">
        <v>55.0</v>
      </c>
      <c r="W472" s="667">
        <v>55.0</v>
      </c>
      <c r="X472" s="668">
        <v>40.0</v>
      </c>
      <c r="Y472" s="671">
        <f t="shared" si="1"/>
        <v>535</v>
      </c>
      <c r="Z472" s="571"/>
      <c r="AA472" s="673" t="str">
        <f t="shared" si="2"/>
        <v>#NAME?</v>
      </c>
      <c r="AB472" s="871" t="s">
        <v>79</v>
      </c>
      <c r="AC472" s="675" t="str">
        <f t="shared" si="3"/>
        <v>#NAME?</v>
      </c>
      <c r="AD472" s="872" t="s">
        <v>66</v>
      </c>
      <c r="AE472" s="676" t="str">
        <f t="shared" si="4"/>
        <v>#NAME?</v>
      </c>
      <c r="AF472" s="871" t="s">
        <v>79</v>
      </c>
      <c r="AG472" s="675" t="str">
        <f t="shared" si="5"/>
        <v>#NAME?</v>
      </c>
      <c r="AH472" s="586" t="s">
        <v>66</v>
      </c>
      <c r="AI472" s="677" t="str">
        <f t="shared" si="6"/>
        <v>#NAME?</v>
      </c>
      <c r="AJ472" s="586" t="s">
        <v>79</v>
      </c>
      <c r="AK472" s="584" t="str">
        <f t="shared" si="7"/>
        <v>#NAME?</v>
      </c>
      <c r="AL472" s="678" t="s">
        <v>66</v>
      </c>
      <c r="AM472" s="571"/>
      <c r="AN472" s="679" t="s">
        <v>353</v>
      </c>
      <c r="AO472" s="680" t="s">
        <v>2993</v>
      </c>
      <c r="AP472" s="715" t="s">
        <v>2993</v>
      </c>
      <c r="AQ472" s="892" t="s">
        <v>1166</v>
      </c>
      <c r="AR472" s="893" t="s">
        <v>2994</v>
      </c>
      <c r="AS472" s="772" t="s">
        <v>1166</v>
      </c>
      <c r="AT472" s="595"/>
      <c r="AU472" s="676"/>
      <c r="AV472" s="679"/>
      <c r="AW472" s="673"/>
      <c r="AX472" s="866"/>
      <c r="AY472" s="571"/>
      <c r="AZ472" s="689" t="s">
        <v>451</v>
      </c>
      <c r="BA472" s="699"/>
      <c r="BB472" s="690"/>
      <c r="BC472" s="571"/>
      <c r="BD472" s="651" t="s">
        <v>683</v>
      </c>
      <c r="BE472" s="653">
        <v>217.0</v>
      </c>
      <c r="BF472" s="653">
        <v>30.0</v>
      </c>
      <c r="BG472" s="653">
        <v>70.0</v>
      </c>
      <c r="BH472" s="653">
        <v>120.0</v>
      </c>
      <c r="BI472" s="607"/>
      <c r="BJ472" s="655" t="s">
        <v>149</v>
      </c>
      <c r="BK472" s="703" t="s">
        <v>149</v>
      </c>
      <c r="BL472" s="610"/>
      <c r="BM472" s="657" t="s">
        <v>14</v>
      </c>
      <c r="BN472" s="658" t="s">
        <v>277</v>
      </c>
      <c r="BO472" s="607"/>
      <c r="BP472" s="659" t="s">
        <v>4499</v>
      </c>
      <c r="BQ472" s="614"/>
      <c r="BR472" s="660" t="s">
        <v>4437</v>
      </c>
      <c r="BS472" s="614"/>
    </row>
    <row r="473" ht="15.75" customHeight="1">
      <c r="A473" s="841"/>
      <c r="B473" s="617" t="s">
        <v>4167</v>
      </c>
      <c r="C473" s="618"/>
      <c r="D473" s="619"/>
      <c r="E473" s="629">
        <v>100.0</v>
      </c>
      <c r="F473" s="621">
        <v>100.0</v>
      </c>
      <c r="G473" s="622">
        <v>125.0</v>
      </c>
      <c r="H473" s="623">
        <v>110.0</v>
      </c>
      <c r="I473" s="624">
        <v>50.0</v>
      </c>
      <c r="J473" s="625">
        <v>50.0</v>
      </c>
      <c r="K473" s="626">
        <v>535.0</v>
      </c>
      <c r="L473" s="627">
        <v>100.0</v>
      </c>
      <c r="M473" s="621">
        <v>100.0</v>
      </c>
      <c r="N473" s="622">
        <v>125.0</v>
      </c>
      <c r="O473" s="623">
        <v>110.0</v>
      </c>
      <c r="P473" s="624">
        <v>50.0</v>
      </c>
      <c r="Q473" s="625">
        <v>50.0</v>
      </c>
      <c r="R473" s="628">
        <v>535.0</v>
      </c>
      <c r="S473" s="629">
        <v>100.0</v>
      </c>
      <c r="T473" s="621">
        <v>100.0</v>
      </c>
      <c r="U473" s="622">
        <v>125.0</v>
      </c>
      <c r="V473" s="623">
        <v>110.0</v>
      </c>
      <c r="W473" s="624">
        <v>50.0</v>
      </c>
      <c r="X473" s="625">
        <v>50.0</v>
      </c>
      <c r="Y473" s="628">
        <f t="shared" si="1"/>
        <v>535</v>
      </c>
      <c r="Z473" s="619"/>
      <c r="AA473" s="630" t="str">
        <f t="shared" si="2"/>
        <v>#NAME?</v>
      </c>
      <c r="AB473" s="869" t="s">
        <v>6</v>
      </c>
      <c r="AC473" s="632" t="str">
        <f t="shared" si="3"/>
        <v>#NAME?</v>
      </c>
      <c r="AD473" s="870" t="s">
        <v>4428</v>
      </c>
      <c r="AE473" s="633" t="str">
        <f t="shared" si="4"/>
        <v>#NAME?</v>
      </c>
      <c r="AF473" s="869" t="s">
        <v>6</v>
      </c>
      <c r="AG473" s="632" t="str">
        <f t="shared" si="5"/>
        <v>#NAME?</v>
      </c>
      <c r="AH473" s="634" t="s">
        <v>4428</v>
      </c>
      <c r="AI473" s="635" t="str">
        <f t="shared" si="6"/>
        <v>#NAME?</v>
      </c>
      <c r="AJ473" s="634" t="s">
        <v>6</v>
      </c>
      <c r="AK473" s="636" t="str">
        <f t="shared" si="7"/>
        <v>#NAME?</v>
      </c>
      <c r="AL473" s="637" t="s">
        <v>4428</v>
      </c>
      <c r="AM473" s="619"/>
      <c r="AN473" s="638" t="s">
        <v>43</v>
      </c>
      <c r="AO473" s="639" t="s">
        <v>1194</v>
      </c>
      <c r="AP473" s="712" t="s">
        <v>43</v>
      </c>
      <c r="AQ473" s="639" t="s">
        <v>1194</v>
      </c>
      <c r="AR473" s="712" t="s">
        <v>43</v>
      </c>
      <c r="AS473" s="639" t="s">
        <v>1194</v>
      </c>
      <c r="AT473" s="644"/>
      <c r="AU473" s="633"/>
      <c r="AV473" s="638"/>
      <c r="AW473" s="630"/>
      <c r="AX473" s="647"/>
      <c r="AY473" s="619"/>
      <c r="AZ473" s="698" t="s">
        <v>162</v>
      </c>
      <c r="BA473" s="690"/>
      <c r="BB473" s="650"/>
      <c r="BC473" s="619"/>
      <c r="BD473" s="651" t="s">
        <v>150</v>
      </c>
      <c r="BE473" s="653">
        <v>211.0</v>
      </c>
      <c r="BF473" s="653">
        <v>30.0</v>
      </c>
      <c r="BG473" s="653">
        <v>70.0</v>
      </c>
      <c r="BH473" s="653">
        <v>100.0</v>
      </c>
      <c r="BI473" s="607"/>
      <c r="BJ473" s="655" t="s">
        <v>149</v>
      </c>
      <c r="BK473" s="703" t="s">
        <v>149</v>
      </c>
      <c r="BL473" s="610"/>
      <c r="BM473" s="657" t="s">
        <v>6</v>
      </c>
      <c r="BN473" s="704"/>
      <c r="BO473" s="607"/>
      <c r="BP473" s="659" t="s">
        <v>4171</v>
      </c>
      <c r="BQ473" s="614"/>
      <c r="BR473" s="660" t="s">
        <v>4430</v>
      </c>
      <c r="BS473" s="614"/>
    </row>
    <row r="474" ht="15.75" customHeight="1">
      <c r="A474" s="841"/>
      <c r="B474" s="661" t="s">
        <v>4174</v>
      </c>
      <c r="C474" s="662"/>
      <c r="D474" s="571"/>
      <c r="E474" s="672">
        <v>75.0</v>
      </c>
      <c r="F474" s="664">
        <v>123.0</v>
      </c>
      <c r="G474" s="665">
        <v>67.0</v>
      </c>
      <c r="H474" s="666">
        <v>95.0</v>
      </c>
      <c r="I474" s="667">
        <v>85.0</v>
      </c>
      <c r="J474" s="668">
        <v>95.0</v>
      </c>
      <c r="K474" s="669">
        <v>540.0</v>
      </c>
      <c r="L474" s="670">
        <v>75.0</v>
      </c>
      <c r="M474" s="664">
        <v>123.0</v>
      </c>
      <c r="N474" s="665">
        <v>67.0</v>
      </c>
      <c r="O474" s="666">
        <v>95.0</v>
      </c>
      <c r="P474" s="667">
        <v>85.0</v>
      </c>
      <c r="Q474" s="668">
        <v>95.0</v>
      </c>
      <c r="R474" s="671">
        <v>540.0</v>
      </c>
      <c r="S474" s="672">
        <v>75.0</v>
      </c>
      <c r="T474" s="664">
        <v>123.0</v>
      </c>
      <c r="U474" s="665">
        <v>67.0</v>
      </c>
      <c r="V474" s="666">
        <v>95.0</v>
      </c>
      <c r="W474" s="667">
        <v>85.0</v>
      </c>
      <c r="X474" s="668">
        <v>95.0</v>
      </c>
      <c r="Y474" s="671">
        <f t="shared" si="1"/>
        <v>540</v>
      </c>
      <c r="Z474" s="571"/>
      <c r="AA474" s="673" t="str">
        <f t="shared" si="2"/>
        <v>#NAME?</v>
      </c>
      <c r="AB474" s="871" t="s">
        <v>197</v>
      </c>
      <c r="AC474" s="675" t="str">
        <f t="shared" si="3"/>
        <v>#NAME?</v>
      </c>
      <c r="AD474" s="872" t="s">
        <v>4428</v>
      </c>
      <c r="AE474" s="676" t="str">
        <f t="shared" si="4"/>
        <v>#NAME?</v>
      </c>
      <c r="AF474" s="871" t="s">
        <v>197</v>
      </c>
      <c r="AG474" s="675" t="str">
        <f t="shared" si="5"/>
        <v>#NAME?</v>
      </c>
      <c r="AH474" s="586" t="s">
        <v>4428</v>
      </c>
      <c r="AI474" s="677" t="str">
        <f t="shared" si="6"/>
        <v>#NAME?</v>
      </c>
      <c r="AJ474" s="586" t="s">
        <v>197</v>
      </c>
      <c r="AK474" s="697" t="str">
        <f t="shared" si="7"/>
        <v>#NAME?</v>
      </c>
      <c r="AL474" s="678" t="s">
        <v>909</v>
      </c>
      <c r="AM474" s="571"/>
      <c r="AN474" s="679" t="s">
        <v>4178</v>
      </c>
      <c r="AO474" s="680"/>
      <c r="AP474" s="705" t="s">
        <v>4178</v>
      </c>
      <c r="AQ474" s="722" t="s">
        <v>1306</v>
      </c>
      <c r="AR474" s="705" t="s">
        <v>4178</v>
      </c>
      <c r="AS474" s="722" t="s">
        <v>1306</v>
      </c>
      <c r="AT474" s="595"/>
      <c r="AU474" s="676" t="str">
        <f>image("https://www.pokebip.com/pages/icones/objets/electriseur.png", 3)</f>
        <v/>
      </c>
      <c r="AV474" s="679" t="s">
        <v>1308</v>
      </c>
      <c r="AW474" s="673"/>
      <c r="AX474" s="866"/>
      <c r="AY474" s="571"/>
      <c r="AZ474" s="689" t="s">
        <v>451</v>
      </c>
      <c r="BA474" s="699"/>
      <c r="BB474" s="690"/>
      <c r="BC474" s="571"/>
      <c r="BD474" s="651" t="s">
        <v>150</v>
      </c>
      <c r="BE474" s="653">
        <v>199.0</v>
      </c>
      <c r="BF474" s="653">
        <v>30.0</v>
      </c>
      <c r="BG474" s="653">
        <v>70.0</v>
      </c>
      <c r="BH474" s="653">
        <v>100.0</v>
      </c>
      <c r="BI474" s="607"/>
      <c r="BJ474" s="655" t="s">
        <v>467</v>
      </c>
      <c r="BK474" s="656">
        <v>0.25</v>
      </c>
      <c r="BL474" s="610"/>
      <c r="BM474" s="657" t="s">
        <v>728</v>
      </c>
      <c r="BN474" s="704"/>
      <c r="BO474" s="607"/>
      <c r="BP474" s="659" t="s">
        <v>4500</v>
      </c>
      <c r="BQ474" s="614"/>
      <c r="BR474" s="660" t="s">
        <v>4433</v>
      </c>
      <c r="BS474" s="614"/>
    </row>
    <row r="475" ht="15.75" customHeight="1">
      <c r="A475" s="841"/>
      <c r="B475" s="617" t="s">
        <v>4183</v>
      </c>
      <c r="C475" s="618"/>
      <c r="D475" s="619"/>
      <c r="E475" s="629">
        <v>75.0</v>
      </c>
      <c r="F475" s="621">
        <v>95.0</v>
      </c>
      <c r="G475" s="622">
        <v>67.0</v>
      </c>
      <c r="H475" s="748">
        <v>125.0</v>
      </c>
      <c r="I475" s="624">
        <v>95.0</v>
      </c>
      <c r="J475" s="625">
        <v>83.0</v>
      </c>
      <c r="K475" s="749">
        <v>540.0</v>
      </c>
      <c r="L475" s="627">
        <v>75.0</v>
      </c>
      <c r="M475" s="621">
        <v>95.0</v>
      </c>
      <c r="N475" s="622">
        <v>67.0</v>
      </c>
      <c r="O475" s="623">
        <v>125.0</v>
      </c>
      <c r="P475" s="624">
        <v>95.0</v>
      </c>
      <c r="Q475" s="625">
        <v>83.0</v>
      </c>
      <c r="R475" s="628">
        <v>540.0</v>
      </c>
      <c r="S475" s="629">
        <v>75.0</v>
      </c>
      <c r="T475" s="621">
        <v>95.0</v>
      </c>
      <c r="U475" s="622">
        <v>67.0</v>
      </c>
      <c r="V475" s="623">
        <v>125.0</v>
      </c>
      <c r="W475" s="624">
        <v>95.0</v>
      </c>
      <c r="X475" s="625">
        <v>83.0</v>
      </c>
      <c r="Y475" s="628">
        <f t="shared" si="1"/>
        <v>540</v>
      </c>
      <c r="Z475" s="619"/>
      <c r="AA475" s="630" t="str">
        <f t="shared" si="2"/>
        <v>#NAME?</v>
      </c>
      <c r="AB475" s="869" t="s">
        <v>34</v>
      </c>
      <c r="AC475" s="632" t="str">
        <f t="shared" si="3"/>
        <v>#NAME?</v>
      </c>
      <c r="AD475" s="870" t="s">
        <v>4428</v>
      </c>
      <c r="AE475" s="633" t="str">
        <f t="shared" si="4"/>
        <v>#NAME?</v>
      </c>
      <c r="AF475" s="869" t="s">
        <v>34</v>
      </c>
      <c r="AG475" s="632" t="str">
        <f t="shared" si="5"/>
        <v>#NAME?</v>
      </c>
      <c r="AH475" s="634" t="s">
        <v>4428</v>
      </c>
      <c r="AI475" s="635" t="str">
        <f t="shared" si="6"/>
        <v>#NAME?</v>
      </c>
      <c r="AJ475" s="634" t="s">
        <v>34</v>
      </c>
      <c r="AK475" s="636" t="str">
        <f t="shared" si="7"/>
        <v>#NAME?</v>
      </c>
      <c r="AL475" s="637" t="s">
        <v>4428</v>
      </c>
      <c r="AM475" s="619"/>
      <c r="AN475" s="638" t="s">
        <v>1315</v>
      </c>
      <c r="AO475" s="639"/>
      <c r="AP475" s="712" t="s">
        <v>1315</v>
      </c>
      <c r="AQ475" s="714" t="s">
        <v>1306</v>
      </c>
      <c r="AR475" s="712" t="s">
        <v>1315</v>
      </c>
      <c r="AS475" s="714" t="s">
        <v>1306</v>
      </c>
      <c r="AT475" s="644"/>
      <c r="AU475" s="633" t="str">
        <f>image("https://www.pokebip.com/pages/icones/objets/magmariseur.png", 3)</f>
        <v/>
      </c>
      <c r="AV475" s="638" t="s">
        <v>1318</v>
      </c>
      <c r="AW475" s="630"/>
      <c r="AX475" s="647"/>
      <c r="AY475" s="619"/>
      <c r="AZ475" s="698" t="s">
        <v>85</v>
      </c>
      <c r="BA475" s="699"/>
      <c r="BB475" s="690"/>
      <c r="BC475" s="619"/>
      <c r="BD475" s="651" t="s">
        <v>150</v>
      </c>
      <c r="BE475" s="653">
        <v>199.0</v>
      </c>
      <c r="BF475" s="653">
        <v>30.0</v>
      </c>
      <c r="BG475" s="653">
        <v>70.0</v>
      </c>
      <c r="BH475" s="653">
        <v>80.0</v>
      </c>
      <c r="BI475" s="607"/>
      <c r="BJ475" s="655" t="s">
        <v>467</v>
      </c>
      <c r="BK475" s="656">
        <v>0.25</v>
      </c>
      <c r="BL475" s="610"/>
      <c r="BM475" s="657" t="s">
        <v>728</v>
      </c>
      <c r="BN475" s="704"/>
      <c r="BO475" s="607"/>
      <c r="BP475" s="659" t="s">
        <v>4501</v>
      </c>
      <c r="BQ475" s="614"/>
      <c r="BR475" s="660" t="s">
        <v>4429</v>
      </c>
      <c r="BS475" s="614"/>
    </row>
    <row r="476" ht="15.75" customHeight="1">
      <c r="A476" s="841"/>
      <c r="B476" s="661" t="s">
        <v>4190</v>
      </c>
      <c r="C476" s="662"/>
      <c r="D476" s="571"/>
      <c r="E476" s="672">
        <v>85.0</v>
      </c>
      <c r="F476" s="664">
        <v>50.0</v>
      </c>
      <c r="G476" s="665">
        <v>95.0</v>
      </c>
      <c r="H476" s="666">
        <v>120.0</v>
      </c>
      <c r="I476" s="667">
        <v>115.0</v>
      </c>
      <c r="J476" s="668">
        <v>80.0</v>
      </c>
      <c r="K476" s="669">
        <v>545.0</v>
      </c>
      <c r="L476" s="670">
        <v>85.0</v>
      </c>
      <c r="M476" s="664">
        <v>50.0</v>
      </c>
      <c r="N476" s="665">
        <v>95.0</v>
      </c>
      <c r="O476" s="666">
        <v>120.0</v>
      </c>
      <c r="P476" s="667">
        <v>115.0</v>
      </c>
      <c r="Q476" s="668">
        <v>80.0</v>
      </c>
      <c r="R476" s="671">
        <v>545.0</v>
      </c>
      <c r="S476" s="672">
        <v>85.0</v>
      </c>
      <c r="T476" s="664">
        <v>50.0</v>
      </c>
      <c r="U476" s="665">
        <v>95.0</v>
      </c>
      <c r="V476" s="666">
        <v>120.0</v>
      </c>
      <c r="W476" s="667">
        <v>115.0</v>
      </c>
      <c r="X476" s="668">
        <v>80.0</v>
      </c>
      <c r="Y476" s="671">
        <f t="shared" si="1"/>
        <v>545</v>
      </c>
      <c r="Z476" s="571"/>
      <c r="AA476" s="673" t="str">
        <f t="shared" si="2"/>
        <v>#NAME?</v>
      </c>
      <c r="AB476" s="871" t="s">
        <v>156</v>
      </c>
      <c r="AC476" s="675" t="str">
        <f t="shared" si="3"/>
        <v>#NAME?</v>
      </c>
      <c r="AD476" s="872" t="s">
        <v>18</v>
      </c>
      <c r="AE476" s="847" t="str">
        <f t="shared" si="4"/>
        <v>#NAME?</v>
      </c>
      <c r="AF476" s="871" t="s">
        <v>3017</v>
      </c>
      <c r="AG476" s="675" t="str">
        <f t="shared" si="5"/>
        <v>#NAME?</v>
      </c>
      <c r="AH476" s="586" t="s">
        <v>18</v>
      </c>
      <c r="AI476" s="770" t="str">
        <f t="shared" si="6"/>
        <v>#NAME?</v>
      </c>
      <c r="AJ476" s="771" t="s">
        <v>3017</v>
      </c>
      <c r="AK476" s="584" t="str">
        <f t="shared" si="7"/>
        <v>#NAME?</v>
      </c>
      <c r="AL476" s="678" t="s">
        <v>18</v>
      </c>
      <c r="AM476" s="571"/>
      <c r="AN476" s="679" t="s">
        <v>1733</v>
      </c>
      <c r="AO476" s="680" t="s">
        <v>1183</v>
      </c>
      <c r="AP476" s="715" t="s">
        <v>1183</v>
      </c>
      <c r="AQ476" s="894" t="s">
        <v>912</v>
      </c>
      <c r="AR476" s="893" t="s">
        <v>1184</v>
      </c>
      <c r="AS476" s="718" t="s">
        <v>912</v>
      </c>
      <c r="AT476" s="595"/>
      <c r="AU476" s="676"/>
      <c r="AV476" s="679"/>
      <c r="AW476" s="673"/>
      <c r="AX476" s="866"/>
      <c r="AY476" s="571"/>
      <c r="AZ476" s="689" t="s">
        <v>42</v>
      </c>
      <c r="BA476" s="690"/>
      <c r="BB476" s="691" t="s">
        <v>27</v>
      </c>
      <c r="BC476" s="571"/>
      <c r="BD476" s="651" t="s">
        <v>468</v>
      </c>
      <c r="BE476" s="653">
        <v>220.0</v>
      </c>
      <c r="BF476" s="653">
        <v>30.0</v>
      </c>
      <c r="BG476" s="653">
        <v>70.0</v>
      </c>
      <c r="BH476" s="653">
        <v>60.0</v>
      </c>
      <c r="BI476" s="607"/>
      <c r="BJ476" s="655" t="s">
        <v>13</v>
      </c>
      <c r="BK476" s="656">
        <v>0.125</v>
      </c>
      <c r="BL476" s="610"/>
      <c r="BM476" s="657" t="s">
        <v>18</v>
      </c>
      <c r="BN476" s="658" t="s">
        <v>153</v>
      </c>
      <c r="BO476" s="607"/>
      <c r="BP476" s="659" t="s">
        <v>4194</v>
      </c>
      <c r="BQ476" s="614"/>
      <c r="BR476" s="660" t="s">
        <v>4431</v>
      </c>
      <c r="BS476" s="614"/>
    </row>
    <row r="477" ht="15.75" customHeight="1">
      <c r="A477" s="841"/>
      <c r="B477" s="617" t="s">
        <v>4197</v>
      </c>
      <c r="C477" s="618"/>
      <c r="D477" s="619"/>
      <c r="E477" s="629">
        <v>86.0</v>
      </c>
      <c r="F477" s="621">
        <v>76.0</v>
      </c>
      <c r="G477" s="622">
        <v>86.0</v>
      </c>
      <c r="H477" s="623">
        <v>116.0</v>
      </c>
      <c r="I477" s="624">
        <v>56.0</v>
      </c>
      <c r="J477" s="625">
        <v>95.0</v>
      </c>
      <c r="K477" s="626">
        <v>515.0</v>
      </c>
      <c r="L477" s="627">
        <v>86.0</v>
      </c>
      <c r="M477" s="621">
        <v>76.0</v>
      </c>
      <c r="N477" s="622">
        <v>86.0</v>
      </c>
      <c r="O477" s="623">
        <v>116.0</v>
      </c>
      <c r="P477" s="624">
        <v>56.0</v>
      </c>
      <c r="Q477" s="625">
        <v>95.0</v>
      </c>
      <c r="R477" s="628">
        <v>515.0</v>
      </c>
      <c r="S477" s="629">
        <v>86.0</v>
      </c>
      <c r="T477" s="621">
        <v>76.0</v>
      </c>
      <c r="U477" s="622">
        <v>86.0</v>
      </c>
      <c r="V477" s="623">
        <v>116.0</v>
      </c>
      <c r="W477" s="624">
        <v>56.0</v>
      </c>
      <c r="X477" s="625">
        <v>95.0</v>
      </c>
      <c r="Y477" s="628">
        <f t="shared" si="1"/>
        <v>515</v>
      </c>
      <c r="Z477" s="619"/>
      <c r="AA477" s="630" t="str">
        <f t="shared" si="2"/>
        <v>#NAME?</v>
      </c>
      <c r="AB477" s="869" t="s">
        <v>109</v>
      </c>
      <c r="AC477" s="632" t="str">
        <f t="shared" si="3"/>
        <v>#NAME?</v>
      </c>
      <c r="AD477" s="870" t="s">
        <v>18</v>
      </c>
      <c r="AE477" s="633" t="str">
        <f t="shared" si="4"/>
        <v>#NAME?</v>
      </c>
      <c r="AF477" s="869" t="s">
        <v>109</v>
      </c>
      <c r="AG477" s="632" t="str">
        <f t="shared" si="5"/>
        <v>#NAME?</v>
      </c>
      <c r="AH477" s="634" t="s">
        <v>18</v>
      </c>
      <c r="AI477" s="635" t="str">
        <f t="shared" si="6"/>
        <v>#NAME?</v>
      </c>
      <c r="AJ477" s="634" t="s">
        <v>109</v>
      </c>
      <c r="AK477" s="636" t="str">
        <f t="shared" si="7"/>
        <v>#NAME?</v>
      </c>
      <c r="AL477" s="637" t="s">
        <v>18</v>
      </c>
      <c r="AM477" s="619"/>
      <c r="AN477" s="638" t="s">
        <v>1883</v>
      </c>
      <c r="AO477" s="639" t="s">
        <v>179</v>
      </c>
      <c r="AP477" s="712" t="s">
        <v>1883</v>
      </c>
      <c r="AQ477" s="639" t="s">
        <v>179</v>
      </c>
      <c r="AR477" s="712" t="s">
        <v>1883</v>
      </c>
      <c r="AS477" s="639" t="s">
        <v>179</v>
      </c>
      <c r="AT477" s="644"/>
      <c r="AU477" s="633" t="str">
        <f>image("https://www.pokebip.com/pages/icones/objets/loupe.png", 3)</f>
        <v/>
      </c>
      <c r="AV477" s="638" t="s">
        <v>1885</v>
      </c>
      <c r="AW477" s="630"/>
      <c r="AX477" s="647"/>
      <c r="AY477" s="619"/>
      <c r="AZ477" s="698" t="s">
        <v>216</v>
      </c>
      <c r="BA477" s="690"/>
      <c r="BB477" s="650"/>
      <c r="BC477" s="619"/>
      <c r="BD477" s="651" t="s">
        <v>150</v>
      </c>
      <c r="BE477" s="653">
        <v>198.0</v>
      </c>
      <c r="BF477" s="653">
        <v>30.0</v>
      </c>
      <c r="BG477" s="653">
        <v>70.0</v>
      </c>
      <c r="BH477" s="653">
        <v>80.0</v>
      </c>
      <c r="BI477" s="607"/>
      <c r="BJ477" s="655" t="s">
        <v>149</v>
      </c>
      <c r="BK477" s="703" t="s">
        <v>149</v>
      </c>
      <c r="BL477" s="610"/>
      <c r="BM477" s="657" t="s">
        <v>109</v>
      </c>
      <c r="BN477" s="704"/>
      <c r="BO477" s="607"/>
      <c r="BP477" s="659" t="s">
        <v>4201</v>
      </c>
      <c r="BQ477" s="614"/>
      <c r="BR477" s="660" t="s">
        <v>4427</v>
      </c>
      <c r="BS477" s="614"/>
    </row>
    <row r="478" ht="15.75" customHeight="1">
      <c r="A478" s="841"/>
      <c r="B478" s="661" t="s">
        <v>4204</v>
      </c>
      <c r="C478" s="662"/>
      <c r="D478" s="571"/>
      <c r="E478" s="672">
        <v>65.0</v>
      </c>
      <c r="F478" s="664">
        <v>110.0</v>
      </c>
      <c r="G478" s="665">
        <v>130.0</v>
      </c>
      <c r="H478" s="666">
        <v>60.0</v>
      </c>
      <c r="I478" s="667">
        <v>65.0</v>
      </c>
      <c r="J478" s="668">
        <v>95.0</v>
      </c>
      <c r="K478" s="669">
        <v>525.0</v>
      </c>
      <c r="L478" s="670">
        <v>65.0</v>
      </c>
      <c r="M478" s="664">
        <v>110.0</v>
      </c>
      <c r="N478" s="665">
        <v>130.0</v>
      </c>
      <c r="O478" s="666">
        <v>60.0</v>
      </c>
      <c r="P478" s="667">
        <v>65.0</v>
      </c>
      <c r="Q478" s="668">
        <v>95.0</v>
      </c>
      <c r="R478" s="671">
        <v>525.0</v>
      </c>
      <c r="S478" s="672">
        <v>65.0</v>
      </c>
      <c r="T478" s="664">
        <v>110.0</v>
      </c>
      <c r="U478" s="665">
        <v>130.0</v>
      </c>
      <c r="V478" s="666">
        <v>60.0</v>
      </c>
      <c r="W478" s="667">
        <v>65.0</v>
      </c>
      <c r="X478" s="668">
        <v>95.0</v>
      </c>
      <c r="Y478" s="671">
        <f t="shared" si="1"/>
        <v>525</v>
      </c>
      <c r="Z478" s="571"/>
      <c r="AA478" s="673" t="str">
        <f t="shared" si="2"/>
        <v>#NAME?</v>
      </c>
      <c r="AB478" s="871" t="s">
        <v>6</v>
      </c>
      <c r="AC478" s="675" t="str">
        <f t="shared" si="3"/>
        <v>#NAME?</v>
      </c>
      <c r="AD478" s="872" t="s">
        <v>4428</v>
      </c>
      <c r="AE478" s="676" t="str">
        <f t="shared" si="4"/>
        <v>#NAME?</v>
      </c>
      <c r="AF478" s="871" t="s">
        <v>6</v>
      </c>
      <c r="AG478" s="675" t="str">
        <f t="shared" si="5"/>
        <v>#NAME?</v>
      </c>
      <c r="AH478" s="586" t="s">
        <v>4428</v>
      </c>
      <c r="AI478" s="677" t="str">
        <f t="shared" si="6"/>
        <v>#NAME?</v>
      </c>
      <c r="AJ478" s="586" t="s">
        <v>6</v>
      </c>
      <c r="AK478" s="584" t="str">
        <f t="shared" si="7"/>
        <v>#NAME?</v>
      </c>
      <c r="AL478" s="678" t="s">
        <v>4428</v>
      </c>
      <c r="AM478" s="571"/>
      <c r="AN478" s="679" t="s">
        <v>1194</v>
      </c>
      <c r="AO478" s="680"/>
      <c r="AP478" s="705" t="s">
        <v>1194</v>
      </c>
      <c r="AQ478" s="680"/>
      <c r="AR478" s="705" t="s">
        <v>1194</v>
      </c>
      <c r="AS478" s="680"/>
      <c r="AT478" s="595"/>
      <c r="AU478" s="676"/>
      <c r="AV478" s="679"/>
      <c r="AW478" s="673"/>
      <c r="AX478" s="866"/>
      <c r="AY478" s="571"/>
      <c r="AZ478" s="689" t="s">
        <v>162</v>
      </c>
      <c r="BA478" s="690"/>
      <c r="BB478" s="696"/>
      <c r="BC478" s="571"/>
      <c r="BD478" s="651" t="s">
        <v>150</v>
      </c>
      <c r="BE478" s="653">
        <v>196.0</v>
      </c>
      <c r="BF478" s="653">
        <v>45.0</v>
      </c>
      <c r="BG478" s="653">
        <v>35.0</v>
      </c>
      <c r="BH478" s="653">
        <v>60.0</v>
      </c>
      <c r="BI478" s="607"/>
      <c r="BJ478" s="655" t="s">
        <v>13</v>
      </c>
      <c r="BK478" s="656">
        <v>0.125</v>
      </c>
      <c r="BL478" s="610"/>
      <c r="BM478" s="657" t="s">
        <v>277</v>
      </c>
      <c r="BN478" s="704"/>
      <c r="BO478" s="607"/>
      <c r="BP478" s="659" t="s">
        <v>4502</v>
      </c>
      <c r="BQ478" s="614"/>
      <c r="BR478" s="660" t="s">
        <v>4427</v>
      </c>
      <c r="BS478" s="614"/>
    </row>
    <row r="479" ht="15.75" customHeight="1">
      <c r="A479" s="841"/>
      <c r="B479" s="617" t="s">
        <v>4210</v>
      </c>
      <c r="C479" s="618"/>
      <c r="D479" s="619"/>
      <c r="E479" s="629">
        <v>65.0</v>
      </c>
      <c r="F479" s="621">
        <v>60.0</v>
      </c>
      <c r="G479" s="622">
        <v>110.0</v>
      </c>
      <c r="H479" s="623">
        <v>130.0</v>
      </c>
      <c r="I479" s="624">
        <v>95.0</v>
      </c>
      <c r="J479" s="625">
        <v>65.0</v>
      </c>
      <c r="K479" s="626">
        <v>525.0</v>
      </c>
      <c r="L479" s="627">
        <v>65.0</v>
      </c>
      <c r="M479" s="621">
        <v>60.0</v>
      </c>
      <c r="N479" s="622">
        <v>110.0</v>
      </c>
      <c r="O479" s="623">
        <v>130.0</v>
      </c>
      <c r="P479" s="624">
        <v>95.0</v>
      </c>
      <c r="Q479" s="625">
        <v>65.0</v>
      </c>
      <c r="R479" s="628">
        <v>525.0</v>
      </c>
      <c r="S479" s="629">
        <v>65.0</v>
      </c>
      <c r="T479" s="621">
        <v>60.0</v>
      </c>
      <c r="U479" s="622">
        <v>110.0</v>
      </c>
      <c r="V479" s="623">
        <v>130.0</v>
      </c>
      <c r="W479" s="752">
        <v>65.0</v>
      </c>
      <c r="X479" s="753">
        <v>95.0</v>
      </c>
      <c r="Y479" s="628">
        <f t="shared" si="1"/>
        <v>525</v>
      </c>
      <c r="Z479" s="619"/>
      <c r="AA479" s="630" t="str">
        <f t="shared" si="2"/>
        <v>#NAME?</v>
      </c>
      <c r="AB479" s="869" t="s">
        <v>120</v>
      </c>
      <c r="AC479" s="632" t="str">
        <f t="shared" si="3"/>
        <v>#NAME?</v>
      </c>
      <c r="AD479" s="870" t="s">
        <v>4428</v>
      </c>
      <c r="AE479" s="633" t="str">
        <f t="shared" si="4"/>
        <v>#NAME?</v>
      </c>
      <c r="AF479" s="869" t="s">
        <v>120</v>
      </c>
      <c r="AG479" s="632" t="str">
        <f t="shared" si="5"/>
        <v>#NAME?</v>
      </c>
      <c r="AH479" s="634" t="s">
        <v>4428</v>
      </c>
      <c r="AI479" s="635" t="str">
        <f t="shared" si="6"/>
        <v>#NAME?</v>
      </c>
      <c r="AJ479" s="634" t="s">
        <v>120</v>
      </c>
      <c r="AK479" s="636" t="str">
        <f t="shared" si="7"/>
        <v>#NAME?</v>
      </c>
      <c r="AL479" s="637" t="s">
        <v>4428</v>
      </c>
      <c r="AM479" s="619"/>
      <c r="AN479" s="638" t="s">
        <v>1467</v>
      </c>
      <c r="AO479" s="639"/>
      <c r="AP479" s="712" t="s">
        <v>1467</v>
      </c>
      <c r="AQ479" s="639"/>
      <c r="AR479" s="712" t="s">
        <v>1467</v>
      </c>
      <c r="AS479" s="639"/>
      <c r="AT479" s="644"/>
      <c r="AU479" s="633"/>
      <c r="AV479" s="638"/>
      <c r="AW479" s="630"/>
      <c r="AX479" s="647"/>
      <c r="AY479" s="619"/>
      <c r="AZ479" s="698" t="s">
        <v>42</v>
      </c>
      <c r="BA479" s="690"/>
      <c r="BB479" s="650"/>
      <c r="BC479" s="619"/>
      <c r="BD479" s="651" t="s">
        <v>150</v>
      </c>
      <c r="BE479" s="653">
        <v>196.0</v>
      </c>
      <c r="BF479" s="653">
        <v>45.0</v>
      </c>
      <c r="BG479" s="653">
        <v>35.0</v>
      </c>
      <c r="BH479" s="653">
        <v>60.0</v>
      </c>
      <c r="BI479" s="607"/>
      <c r="BJ479" s="655" t="s">
        <v>13</v>
      </c>
      <c r="BK479" s="656">
        <v>0.125</v>
      </c>
      <c r="BL479" s="610"/>
      <c r="BM479" s="657" t="s">
        <v>277</v>
      </c>
      <c r="BN479" s="704"/>
      <c r="BO479" s="607"/>
      <c r="BP479" s="659" t="s">
        <v>4503</v>
      </c>
      <c r="BQ479" s="614"/>
      <c r="BR479" s="660" t="s">
        <v>4430</v>
      </c>
      <c r="BS479" s="614"/>
    </row>
    <row r="480" ht="15.75" customHeight="1">
      <c r="A480" s="841"/>
      <c r="B480" s="661" t="s">
        <v>4217</v>
      </c>
      <c r="C480" s="662"/>
      <c r="D480" s="571"/>
      <c r="E480" s="672">
        <v>75.0</v>
      </c>
      <c r="F480" s="664">
        <v>95.0</v>
      </c>
      <c r="G480" s="665">
        <v>125.0</v>
      </c>
      <c r="H480" s="666">
        <v>45.0</v>
      </c>
      <c r="I480" s="667">
        <v>75.0</v>
      </c>
      <c r="J480" s="668">
        <v>95.0</v>
      </c>
      <c r="K480" s="669">
        <v>510.0</v>
      </c>
      <c r="L480" s="670">
        <v>75.0</v>
      </c>
      <c r="M480" s="664">
        <v>95.0</v>
      </c>
      <c r="N480" s="665">
        <v>125.0</v>
      </c>
      <c r="O480" s="666">
        <v>45.0</v>
      </c>
      <c r="P480" s="667">
        <v>75.0</v>
      </c>
      <c r="Q480" s="668">
        <v>95.0</v>
      </c>
      <c r="R480" s="671">
        <v>510.0</v>
      </c>
      <c r="S480" s="672">
        <v>75.0</v>
      </c>
      <c r="T480" s="664">
        <v>95.0</v>
      </c>
      <c r="U480" s="665">
        <v>125.0</v>
      </c>
      <c r="V480" s="666">
        <v>45.0</v>
      </c>
      <c r="W480" s="667">
        <v>75.0</v>
      </c>
      <c r="X480" s="668">
        <v>95.0</v>
      </c>
      <c r="Y480" s="671">
        <f t="shared" si="1"/>
        <v>510</v>
      </c>
      <c r="Z480" s="571"/>
      <c r="AA480" s="673" t="str">
        <f t="shared" si="2"/>
        <v>#NAME?</v>
      </c>
      <c r="AB480" s="871" t="s">
        <v>79</v>
      </c>
      <c r="AC480" s="675" t="str">
        <f t="shared" si="3"/>
        <v>#NAME?</v>
      </c>
      <c r="AD480" s="872" t="s">
        <v>18</v>
      </c>
      <c r="AE480" s="676" t="str">
        <f t="shared" si="4"/>
        <v>#NAME?</v>
      </c>
      <c r="AF480" s="871" t="s">
        <v>79</v>
      </c>
      <c r="AG480" s="675" t="str">
        <f t="shared" si="5"/>
        <v>#NAME?</v>
      </c>
      <c r="AH480" s="586" t="s">
        <v>18</v>
      </c>
      <c r="AI480" s="677" t="str">
        <f t="shared" si="6"/>
        <v>#NAME?</v>
      </c>
      <c r="AJ480" s="586" t="s">
        <v>79</v>
      </c>
      <c r="AK480" s="584" t="str">
        <f t="shared" si="7"/>
        <v>#NAME?</v>
      </c>
      <c r="AL480" s="678" t="s">
        <v>18</v>
      </c>
      <c r="AM480" s="571"/>
      <c r="AN480" s="679" t="s">
        <v>1050</v>
      </c>
      <c r="AO480" s="680" t="s">
        <v>376</v>
      </c>
      <c r="AP480" s="734" t="s">
        <v>4504</v>
      </c>
      <c r="AQ480" s="892" t="s">
        <v>1050</v>
      </c>
      <c r="AR480" s="895" t="s">
        <v>4220</v>
      </c>
      <c r="AS480" s="772" t="s">
        <v>1050</v>
      </c>
      <c r="AT480" s="595"/>
      <c r="AU480" s="676"/>
      <c r="AV480" s="679"/>
      <c r="AW480" s="673"/>
      <c r="AX480" s="866"/>
      <c r="AY480" s="571"/>
      <c r="AZ480" s="689" t="s">
        <v>162</v>
      </c>
      <c r="BA480" s="690"/>
      <c r="BB480" s="696"/>
      <c r="BC480" s="571"/>
      <c r="BD480" s="651" t="s">
        <v>15</v>
      </c>
      <c r="BE480" s="653">
        <v>192.0</v>
      </c>
      <c r="BF480" s="653">
        <v>30.0</v>
      </c>
      <c r="BG480" s="653">
        <v>70.0</v>
      </c>
      <c r="BH480" s="653">
        <v>60.0</v>
      </c>
      <c r="BI480" s="607"/>
      <c r="BJ480" s="655" t="s">
        <v>149</v>
      </c>
      <c r="BK480" s="703" t="s">
        <v>149</v>
      </c>
      <c r="BL480" s="610"/>
      <c r="BM480" s="657" t="s">
        <v>109</v>
      </c>
      <c r="BN480" s="704"/>
      <c r="BO480" s="607"/>
      <c r="BP480" s="659" t="s">
        <v>4222</v>
      </c>
      <c r="BQ480" s="614"/>
      <c r="BR480" s="660" t="s">
        <v>4434</v>
      </c>
      <c r="BS480" s="614"/>
    </row>
    <row r="481" ht="15.75" customHeight="1">
      <c r="A481" s="841"/>
      <c r="B481" s="617" t="s">
        <v>4225</v>
      </c>
      <c r="C481" s="618"/>
      <c r="D481" s="619"/>
      <c r="E481" s="629">
        <v>110.0</v>
      </c>
      <c r="F481" s="621">
        <v>130.0</v>
      </c>
      <c r="G481" s="622">
        <v>80.0</v>
      </c>
      <c r="H481" s="623">
        <v>70.0</v>
      </c>
      <c r="I481" s="624">
        <v>60.0</v>
      </c>
      <c r="J481" s="625">
        <v>80.0</v>
      </c>
      <c r="K481" s="626">
        <v>530.0</v>
      </c>
      <c r="L481" s="627">
        <v>110.0</v>
      </c>
      <c r="M481" s="621">
        <v>130.0</v>
      </c>
      <c r="N481" s="622">
        <v>80.0</v>
      </c>
      <c r="O481" s="623">
        <v>70.0</v>
      </c>
      <c r="P481" s="624">
        <v>60.0</v>
      </c>
      <c r="Q481" s="625">
        <v>80.0</v>
      </c>
      <c r="R481" s="628">
        <v>530.0</v>
      </c>
      <c r="S481" s="629">
        <v>110.0</v>
      </c>
      <c r="T481" s="621">
        <v>130.0</v>
      </c>
      <c r="U481" s="622">
        <v>80.0</v>
      </c>
      <c r="V481" s="623">
        <v>70.0</v>
      </c>
      <c r="W481" s="624">
        <v>60.0</v>
      </c>
      <c r="X481" s="625">
        <v>80.0</v>
      </c>
      <c r="Y481" s="628">
        <f t="shared" si="1"/>
        <v>530</v>
      </c>
      <c r="Z481" s="619"/>
      <c r="AA481" s="630" t="str">
        <f t="shared" si="2"/>
        <v>#NAME?</v>
      </c>
      <c r="AB481" s="869" t="s">
        <v>120</v>
      </c>
      <c r="AC481" s="632" t="str">
        <f t="shared" si="3"/>
        <v>#NAME?</v>
      </c>
      <c r="AD481" s="870" t="s">
        <v>79</v>
      </c>
      <c r="AE481" s="633" t="str">
        <f t="shared" si="4"/>
        <v>#NAME?</v>
      </c>
      <c r="AF481" s="869" t="s">
        <v>120</v>
      </c>
      <c r="AG481" s="632" t="str">
        <f t="shared" si="5"/>
        <v>#NAME?</v>
      </c>
      <c r="AH481" s="634" t="s">
        <v>79</v>
      </c>
      <c r="AI481" s="635" t="str">
        <f t="shared" si="6"/>
        <v>#NAME?</v>
      </c>
      <c r="AJ481" s="634" t="s">
        <v>120</v>
      </c>
      <c r="AK481" s="636" t="str">
        <f t="shared" si="7"/>
        <v>#NAME?</v>
      </c>
      <c r="AL481" s="637" t="s">
        <v>79</v>
      </c>
      <c r="AM481" s="619"/>
      <c r="AN481" s="638" t="s">
        <v>870</v>
      </c>
      <c r="AO481" s="639" t="s">
        <v>1467</v>
      </c>
      <c r="AP481" s="721" t="s">
        <v>44</v>
      </c>
      <c r="AQ481" s="639" t="s">
        <v>1467</v>
      </c>
      <c r="AR481" s="721" t="s">
        <v>4228</v>
      </c>
      <c r="AS481" s="639" t="s">
        <v>1467</v>
      </c>
      <c r="AT481" s="644"/>
      <c r="AU481" s="633"/>
      <c r="AV481" s="638"/>
      <c r="AW481" s="630"/>
      <c r="AX481" s="647"/>
      <c r="AY481" s="619"/>
      <c r="AZ481" s="698" t="s">
        <v>451</v>
      </c>
      <c r="BA481" s="699"/>
      <c r="BB481" s="690"/>
      <c r="BC481" s="619"/>
      <c r="BD481" s="651" t="s">
        <v>683</v>
      </c>
      <c r="BE481" s="653">
        <v>207.0</v>
      </c>
      <c r="BF481" s="653">
        <v>50.0</v>
      </c>
      <c r="BG481" s="653">
        <v>70.0</v>
      </c>
      <c r="BH481" s="653">
        <v>120.0</v>
      </c>
      <c r="BI481" s="607"/>
      <c r="BJ481" s="655" t="s">
        <v>149</v>
      </c>
      <c r="BK481" s="703" t="s">
        <v>149</v>
      </c>
      <c r="BL481" s="610"/>
      <c r="BM481" s="657" t="s">
        <v>277</v>
      </c>
      <c r="BN481" s="704"/>
      <c r="BO481" s="607"/>
      <c r="BP481" s="659" t="s">
        <v>4230</v>
      </c>
      <c r="BQ481" s="614"/>
      <c r="BR481" s="660" t="s">
        <v>4432</v>
      </c>
      <c r="BS481" s="614"/>
    </row>
    <row r="482" ht="15.75" customHeight="1">
      <c r="A482" s="841"/>
      <c r="B482" s="661" t="s">
        <v>4233</v>
      </c>
      <c r="C482" s="662"/>
      <c r="D482" s="571"/>
      <c r="E482" s="672">
        <v>85.0</v>
      </c>
      <c r="F482" s="664">
        <v>80.0</v>
      </c>
      <c r="G482" s="665">
        <v>70.0</v>
      </c>
      <c r="H482" s="666">
        <v>135.0</v>
      </c>
      <c r="I482" s="667">
        <v>75.0</v>
      </c>
      <c r="J482" s="668">
        <v>90.0</v>
      </c>
      <c r="K482" s="669">
        <v>535.0</v>
      </c>
      <c r="L482" s="670">
        <v>85.0</v>
      </c>
      <c r="M482" s="664">
        <v>80.0</v>
      </c>
      <c r="N482" s="665">
        <v>70.0</v>
      </c>
      <c r="O482" s="666">
        <v>135.0</v>
      </c>
      <c r="P482" s="667">
        <v>75.0</v>
      </c>
      <c r="Q482" s="668">
        <v>90.0</v>
      </c>
      <c r="R482" s="671">
        <v>535.0</v>
      </c>
      <c r="S482" s="672">
        <v>85.0</v>
      </c>
      <c r="T482" s="664">
        <v>80.0</v>
      </c>
      <c r="U482" s="665">
        <v>70.0</v>
      </c>
      <c r="V482" s="666">
        <v>135.0</v>
      </c>
      <c r="W482" s="667">
        <v>75.0</v>
      </c>
      <c r="X482" s="668">
        <v>90.0</v>
      </c>
      <c r="Y482" s="671">
        <f t="shared" si="1"/>
        <v>535</v>
      </c>
      <c r="Z482" s="571"/>
      <c r="AA482" s="673" t="str">
        <f t="shared" si="2"/>
        <v>#NAME?</v>
      </c>
      <c r="AB482" s="871" t="s">
        <v>156</v>
      </c>
      <c r="AC482" s="675" t="str">
        <f t="shared" si="3"/>
        <v>#NAME?</v>
      </c>
      <c r="AD482" s="872" t="s">
        <v>4428</v>
      </c>
      <c r="AE482" s="676" t="str">
        <f t="shared" si="4"/>
        <v>#NAME?</v>
      </c>
      <c r="AF482" s="871" t="s">
        <v>156</v>
      </c>
      <c r="AG482" s="675" t="str">
        <f t="shared" si="5"/>
        <v>#NAME?</v>
      </c>
      <c r="AH482" s="586" t="s">
        <v>4428</v>
      </c>
      <c r="AI482" s="677" t="str">
        <f t="shared" si="6"/>
        <v>#NAME?</v>
      </c>
      <c r="AJ482" s="586" t="s">
        <v>156</v>
      </c>
      <c r="AK482" s="584" t="str">
        <f t="shared" si="7"/>
        <v>#NAME?</v>
      </c>
      <c r="AL482" s="678" t="s">
        <v>4428</v>
      </c>
      <c r="AM482" s="571"/>
      <c r="AN482" s="679" t="s">
        <v>1371</v>
      </c>
      <c r="AO482" s="680" t="s">
        <v>1405</v>
      </c>
      <c r="AP482" s="705" t="s">
        <v>1371</v>
      </c>
      <c r="AQ482" s="680" t="s">
        <v>1405</v>
      </c>
      <c r="AR482" s="705" t="s">
        <v>1371</v>
      </c>
      <c r="AS482" s="680" t="s">
        <v>1405</v>
      </c>
      <c r="AT482" s="595"/>
      <c r="AU482" s="676"/>
      <c r="AV482" s="679"/>
      <c r="AW482" s="673"/>
      <c r="AX482" s="866"/>
      <c r="AY482" s="571"/>
      <c r="AZ482" s="689" t="s">
        <v>85</v>
      </c>
      <c r="BA482" s="699"/>
      <c r="BB482" s="690"/>
      <c r="BC482" s="571"/>
      <c r="BD482" s="651" t="s">
        <v>150</v>
      </c>
      <c r="BE482" s="653">
        <v>185.0</v>
      </c>
      <c r="BF482" s="653">
        <v>30.0</v>
      </c>
      <c r="BG482" s="653">
        <v>70.0</v>
      </c>
      <c r="BH482" s="653">
        <v>60.0</v>
      </c>
      <c r="BI482" s="607"/>
      <c r="BJ482" s="765" t="s">
        <v>890</v>
      </c>
      <c r="BK482" s="766"/>
      <c r="BL482" s="610"/>
      <c r="BM482" s="767" t="s">
        <v>826</v>
      </c>
      <c r="BN482" s="704"/>
      <c r="BO482" s="607"/>
      <c r="BP482" s="659" t="s">
        <v>4505</v>
      </c>
      <c r="BQ482" s="614"/>
      <c r="BR482" s="660" t="s">
        <v>4429</v>
      </c>
      <c r="BS482" s="614"/>
    </row>
    <row r="483" ht="15.75" customHeight="1">
      <c r="A483" s="841"/>
      <c r="B483" s="617" t="s">
        <v>4238</v>
      </c>
      <c r="C483" s="618"/>
      <c r="D483" s="619"/>
      <c r="E483" s="629">
        <v>68.0</v>
      </c>
      <c r="F483" s="621">
        <v>125.0</v>
      </c>
      <c r="G483" s="622">
        <v>65.0</v>
      </c>
      <c r="H483" s="623">
        <v>65.0</v>
      </c>
      <c r="I483" s="624">
        <v>115.0</v>
      </c>
      <c r="J483" s="625">
        <v>80.0</v>
      </c>
      <c r="K483" s="626">
        <v>518.0</v>
      </c>
      <c r="L483" s="627">
        <v>68.0</v>
      </c>
      <c r="M483" s="621">
        <v>125.0</v>
      </c>
      <c r="N483" s="622">
        <v>65.0</v>
      </c>
      <c r="O483" s="623">
        <v>65.0</v>
      </c>
      <c r="P483" s="624">
        <v>115.0</v>
      </c>
      <c r="Q483" s="625">
        <v>80.0</v>
      </c>
      <c r="R483" s="628">
        <v>518.0</v>
      </c>
      <c r="S483" s="629">
        <v>68.0</v>
      </c>
      <c r="T483" s="621">
        <v>125.0</v>
      </c>
      <c r="U483" s="622">
        <v>65.0</v>
      </c>
      <c r="V483" s="623">
        <v>65.0</v>
      </c>
      <c r="W483" s="624">
        <v>115.0</v>
      </c>
      <c r="X483" s="625">
        <v>80.0</v>
      </c>
      <c r="Y483" s="628">
        <f t="shared" si="1"/>
        <v>518</v>
      </c>
      <c r="Z483" s="619"/>
      <c r="AA483" s="630" t="str">
        <f t="shared" si="2"/>
        <v>#NAME?</v>
      </c>
      <c r="AB483" s="869" t="s">
        <v>122</v>
      </c>
      <c r="AC483" s="632" t="str">
        <f t="shared" si="3"/>
        <v>#NAME?</v>
      </c>
      <c r="AD483" s="870" t="s">
        <v>64</v>
      </c>
      <c r="AE483" s="633" t="str">
        <f t="shared" si="4"/>
        <v>#NAME?</v>
      </c>
      <c r="AF483" s="869" t="s">
        <v>122</v>
      </c>
      <c r="AG483" s="632" t="str">
        <f t="shared" si="5"/>
        <v>#NAME?</v>
      </c>
      <c r="AH483" s="634" t="s">
        <v>64</v>
      </c>
      <c r="AI483" s="635" t="str">
        <f t="shared" si="6"/>
        <v>#NAME?</v>
      </c>
      <c r="AJ483" s="634" t="s">
        <v>122</v>
      </c>
      <c r="AK483" s="636" t="str">
        <f t="shared" si="7"/>
        <v>#NAME?</v>
      </c>
      <c r="AL483" s="637" t="s">
        <v>64</v>
      </c>
      <c r="AM483" s="619"/>
      <c r="AN483" s="638" t="s">
        <v>2243</v>
      </c>
      <c r="AO483" s="639"/>
      <c r="AP483" s="712" t="s">
        <v>2243</v>
      </c>
      <c r="AQ483" s="639"/>
      <c r="AR483" s="712" t="s">
        <v>2243</v>
      </c>
      <c r="AS483" s="639"/>
      <c r="AT483" s="644"/>
      <c r="AU483" s="633"/>
      <c r="AV483" s="638"/>
      <c r="AW483" s="630"/>
      <c r="AX483" s="647"/>
      <c r="AY483" s="619"/>
      <c r="AZ483" s="698" t="s">
        <v>451</v>
      </c>
      <c r="BA483" s="699"/>
      <c r="BB483" s="690"/>
      <c r="BC483" s="619"/>
      <c r="BD483" s="651" t="s">
        <v>683</v>
      </c>
      <c r="BE483" s="653">
        <v>208.0</v>
      </c>
      <c r="BF483" s="653">
        <v>45.0</v>
      </c>
      <c r="BG483" s="653">
        <v>35.0</v>
      </c>
      <c r="BH483" s="653">
        <v>80.0</v>
      </c>
      <c r="BI483" s="607"/>
      <c r="BJ483" s="860" t="s">
        <v>397</v>
      </c>
      <c r="BK483" s="896">
        <v>0.0</v>
      </c>
      <c r="BL483" s="610"/>
      <c r="BM483" s="657" t="s">
        <v>964</v>
      </c>
      <c r="BN483" s="704"/>
      <c r="BO483" s="607"/>
      <c r="BP483" s="659" t="s">
        <v>4242</v>
      </c>
      <c r="BQ483" s="614"/>
      <c r="BR483" s="660" t="s">
        <v>4431</v>
      </c>
      <c r="BS483" s="614"/>
    </row>
    <row r="484" ht="15.75" customHeight="1">
      <c r="A484" s="841"/>
      <c r="B484" s="661" t="s">
        <v>4244</v>
      </c>
      <c r="C484" s="662"/>
      <c r="D484" s="571"/>
      <c r="E484" s="672">
        <v>60.0</v>
      </c>
      <c r="F484" s="664">
        <v>55.0</v>
      </c>
      <c r="G484" s="665">
        <v>145.0</v>
      </c>
      <c r="H484" s="666">
        <v>75.0</v>
      </c>
      <c r="I484" s="667">
        <v>150.0</v>
      </c>
      <c r="J484" s="668">
        <v>40.0</v>
      </c>
      <c r="K484" s="669">
        <v>525.0</v>
      </c>
      <c r="L484" s="670">
        <v>60.0</v>
      </c>
      <c r="M484" s="664">
        <v>55.0</v>
      </c>
      <c r="N484" s="665">
        <v>145.0</v>
      </c>
      <c r="O484" s="666">
        <v>75.0</v>
      </c>
      <c r="P484" s="667">
        <v>150.0</v>
      </c>
      <c r="Q484" s="668">
        <v>40.0</v>
      </c>
      <c r="R484" s="671">
        <v>525.0</v>
      </c>
      <c r="S484" s="672">
        <v>60.0</v>
      </c>
      <c r="T484" s="741">
        <v>45.0</v>
      </c>
      <c r="U484" s="665">
        <v>145.0</v>
      </c>
      <c r="V484" s="743">
        <v>85.0</v>
      </c>
      <c r="W484" s="667">
        <v>150.0</v>
      </c>
      <c r="X484" s="668">
        <v>40.0</v>
      </c>
      <c r="Y484" s="671">
        <f t="shared" si="1"/>
        <v>525</v>
      </c>
      <c r="Z484" s="571"/>
      <c r="AA484" s="673" t="str">
        <f t="shared" si="2"/>
        <v>#NAME?</v>
      </c>
      <c r="AB484" s="871" t="s">
        <v>66</v>
      </c>
      <c r="AC484" s="675" t="str">
        <f t="shared" si="3"/>
        <v>#NAME?</v>
      </c>
      <c r="AD484" s="872" t="s">
        <v>95</v>
      </c>
      <c r="AE484" s="676" t="str">
        <f t="shared" si="4"/>
        <v>#NAME?</v>
      </c>
      <c r="AF484" s="871" t="s">
        <v>66</v>
      </c>
      <c r="AG484" s="675" t="str">
        <f t="shared" si="5"/>
        <v>#NAME?</v>
      </c>
      <c r="AH484" s="586" t="s">
        <v>95</v>
      </c>
      <c r="AI484" s="677" t="str">
        <f t="shared" si="6"/>
        <v>#NAME?</v>
      </c>
      <c r="AJ484" s="586" t="s">
        <v>66</v>
      </c>
      <c r="AK484" s="584" t="str">
        <f t="shared" si="7"/>
        <v>#NAME?</v>
      </c>
      <c r="AL484" s="678" t="s">
        <v>95</v>
      </c>
      <c r="AM484" s="571"/>
      <c r="AN484" s="679" t="s">
        <v>825</v>
      </c>
      <c r="AO484" s="680" t="s">
        <v>889</v>
      </c>
      <c r="AP484" s="705" t="s">
        <v>825</v>
      </c>
      <c r="AQ484" s="680" t="s">
        <v>889</v>
      </c>
      <c r="AR484" s="705" t="s">
        <v>825</v>
      </c>
      <c r="AS484" s="680" t="s">
        <v>889</v>
      </c>
      <c r="AT484" s="595"/>
      <c r="AU484" s="676" t="str">
        <f>image("https://www.pokebip.com/pages/icones/objets/aimant.png", 3)</f>
        <v/>
      </c>
      <c r="AV484" s="679" t="s">
        <v>2775</v>
      </c>
      <c r="AW484" s="673"/>
      <c r="AX484" s="866"/>
      <c r="AY484" s="571"/>
      <c r="AZ484" s="695" t="s">
        <v>101</v>
      </c>
      <c r="BA484" s="773" t="s">
        <v>815</v>
      </c>
      <c r="BB484" s="690"/>
      <c r="BC484" s="571"/>
      <c r="BD484" s="651" t="s">
        <v>150</v>
      </c>
      <c r="BE484" s="653">
        <v>198.0</v>
      </c>
      <c r="BF484" s="653">
        <v>60.0</v>
      </c>
      <c r="BG484" s="653">
        <v>70.0</v>
      </c>
      <c r="BH484" s="653">
        <v>120.0</v>
      </c>
      <c r="BI484" s="607"/>
      <c r="BJ484" s="781" t="s">
        <v>149</v>
      </c>
      <c r="BK484" s="782" t="s">
        <v>149</v>
      </c>
      <c r="BL484" s="610"/>
      <c r="BM484" s="657" t="s">
        <v>826</v>
      </c>
      <c r="BN484" s="704"/>
      <c r="BO484" s="607"/>
      <c r="BP484" s="659" t="s">
        <v>4248</v>
      </c>
      <c r="BQ484" s="614"/>
      <c r="BR484" s="660" t="s">
        <v>4437</v>
      </c>
      <c r="BS484" s="614"/>
    </row>
    <row r="485" ht="15.75" customHeight="1">
      <c r="A485" s="841"/>
      <c r="B485" s="617" t="s">
        <v>4250</v>
      </c>
      <c r="C485" s="618"/>
      <c r="D485" s="619"/>
      <c r="E485" s="629">
        <v>45.0</v>
      </c>
      <c r="F485" s="621">
        <v>100.0</v>
      </c>
      <c r="G485" s="622">
        <v>135.0</v>
      </c>
      <c r="H485" s="623">
        <v>65.0</v>
      </c>
      <c r="I485" s="624">
        <v>135.0</v>
      </c>
      <c r="J485" s="625">
        <v>45.0</v>
      </c>
      <c r="K485" s="626">
        <v>525.0</v>
      </c>
      <c r="L485" s="627">
        <v>45.0</v>
      </c>
      <c r="M485" s="621">
        <v>100.0</v>
      </c>
      <c r="N485" s="622">
        <v>135.0</v>
      </c>
      <c r="O485" s="623">
        <v>65.0</v>
      </c>
      <c r="P485" s="624">
        <v>135.0</v>
      </c>
      <c r="Q485" s="625">
        <v>45.0</v>
      </c>
      <c r="R485" s="628">
        <v>525.0</v>
      </c>
      <c r="S485" s="629">
        <v>45.0</v>
      </c>
      <c r="T485" s="621">
        <v>100.0</v>
      </c>
      <c r="U485" s="622">
        <v>135.0</v>
      </c>
      <c r="V485" s="623">
        <v>65.0</v>
      </c>
      <c r="W485" s="624">
        <v>135.0</v>
      </c>
      <c r="X485" s="625">
        <v>45.0</v>
      </c>
      <c r="Y485" s="628">
        <f t="shared" si="1"/>
        <v>525</v>
      </c>
      <c r="Z485" s="619"/>
      <c r="AA485" s="630" t="str">
        <f t="shared" si="2"/>
        <v>#NAME?</v>
      </c>
      <c r="AB485" s="869" t="s">
        <v>92</v>
      </c>
      <c r="AC485" s="632" t="str">
        <f t="shared" si="3"/>
        <v>#NAME?</v>
      </c>
      <c r="AD485" s="870" t="s">
        <v>4428</v>
      </c>
      <c r="AE485" s="633" t="str">
        <f t="shared" si="4"/>
        <v>#NAME?</v>
      </c>
      <c r="AF485" s="869" t="s">
        <v>92</v>
      </c>
      <c r="AG485" s="632" t="str">
        <f t="shared" si="5"/>
        <v>#NAME?</v>
      </c>
      <c r="AH485" s="634" t="s">
        <v>4428</v>
      </c>
      <c r="AI485" s="635" t="str">
        <f t="shared" si="6"/>
        <v>#NAME?</v>
      </c>
      <c r="AJ485" s="634" t="s">
        <v>92</v>
      </c>
      <c r="AK485" s="636" t="str">
        <f t="shared" si="7"/>
        <v>#NAME?</v>
      </c>
      <c r="AL485" s="637" t="s">
        <v>4428</v>
      </c>
      <c r="AM485" s="619"/>
      <c r="AN485" s="638" t="s">
        <v>1447</v>
      </c>
      <c r="AO485" s="639"/>
      <c r="AP485" s="712" t="s">
        <v>1447</v>
      </c>
      <c r="AQ485" s="897" t="s">
        <v>3303</v>
      </c>
      <c r="AR485" s="709" t="s">
        <v>4253</v>
      </c>
      <c r="AS485" s="758" t="s">
        <v>1447</v>
      </c>
      <c r="AT485" s="644"/>
      <c r="AU485" s="633" t="str">
        <f>image("https://www.pokebip.com/pages/icones/objets/rune-sort.png", 3)</f>
        <v/>
      </c>
      <c r="AV485" s="638" t="s">
        <v>3286</v>
      </c>
      <c r="AW485" s="630"/>
      <c r="AX485" s="647"/>
      <c r="AY485" s="619"/>
      <c r="AZ485" s="648" t="s">
        <v>101</v>
      </c>
      <c r="BA485" s="842" t="s">
        <v>815</v>
      </c>
      <c r="BB485" s="690"/>
      <c r="BC485" s="619"/>
      <c r="BD485" s="651" t="s">
        <v>468</v>
      </c>
      <c r="BE485" s="653">
        <v>210.0</v>
      </c>
      <c r="BF485" s="653">
        <v>45.0</v>
      </c>
      <c r="BG485" s="653">
        <v>35.0</v>
      </c>
      <c r="BH485" s="653">
        <v>100.0</v>
      </c>
      <c r="BI485" s="607"/>
      <c r="BJ485" s="860" t="s">
        <v>149</v>
      </c>
      <c r="BK485" s="784" t="s">
        <v>149</v>
      </c>
      <c r="BL485" s="610"/>
      <c r="BM485" s="657" t="s">
        <v>964</v>
      </c>
      <c r="BN485" s="704"/>
      <c r="BO485" s="607"/>
      <c r="BP485" s="659" t="s">
        <v>4506</v>
      </c>
      <c r="BQ485" s="614"/>
      <c r="BR485" s="660" t="s">
        <v>4449</v>
      </c>
      <c r="BS485" s="614"/>
    </row>
    <row r="486" ht="15.75" customHeight="1">
      <c r="A486" s="841"/>
      <c r="B486" s="661" t="s">
        <v>4257</v>
      </c>
      <c r="C486" s="662"/>
      <c r="D486" s="571"/>
      <c r="E486" s="672">
        <v>70.0</v>
      </c>
      <c r="F486" s="664">
        <v>80.0</v>
      </c>
      <c r="G486" s="665">
        <v>70.0</v>
      </c>
      <c r="H486" s="666">
        <v>80.0</v>
      </c>
      <c r="I486" s="667">
        <v>70.0</v>
      </c>
      <c r="J486" s="668">
        <v>110.0</v>
      </c>
      <c r="K486" s="669">
        <v>480.0</v>
      </c>
      <c r="L486" s="670">
        <v>70.0</v>
      </c>
      <c r="M486" s="664">
        <v>80.0</v>
      </c>
      <c r="N486" s="665">
        <v>70.0</v>
      </c>
      <c r="O486" s="666">
        <v>80.0</v>
      </c>
      <c r="P486" s="667">
        <v>70.0</v>
      </c>
      <c r="Q486" s="668">
        <v>110.0</v>
      </c>
      <c r="R486" s="671">
        <v>480.0</v>
      </c>
      <c r="S486" s="672">
        <v>70.0</v>
      </c>
      <c r="T486" s="741">
        <v>70.0</v>
      </c>
      <c r="U486" s="665">
        <v>70.0</v>
      </c>
      <c r="V486" s="743">
        <v>110.0</v>
      </c>
      <c r="W486" s="667">
        <v>70.0</v>
      </c>
      <c r="X486" s="668">
        <v>110.0</v>
      </c>
      <c r="Y486" s="671">
        <f t="shared" si="1"/>
        <v>500</v>
      </c>
      <c r="Z486" s="571"/>
      <c r="AA486" s="673" t="str">
        <f t="shared" si="2"/>
        <v>#NAME?</v>
      </c>
      <c r="AB486" s="871" t="s">
        <v>120</v>
      </c>
      <c r="AC486" s="675" t="str">
        <f t="shared" si="3"/>
        <v>#NAME?</v>
      </c>
      <c r="AD486" s="872" t="s">
        <v>92</v>
      </c>
      <c r="AE486" s="676" t="str">
        <f t="shared" si="4"/>
        <v>#NAME?</v>
      </c>
      <c r="AF486" s="871" t="s">
        <v>120</v>
      </c>
      <c r="AG486" s="675" t="str">
        <f t="shared" si="5"/>
        <v>#NAME?</v>
      </c>
      <c r="AH486" s="586" t="s">
        <v>92</v>
      </c>
      <c r="AI486" s="677" t="str">
        <f t="shared" si="6"/>
        <v>#NAME?</v>
      </c>
      <c r="AJ486" s="586" t="s">
        <v>120</v>
      </c>
      <c r="AK486" s="584" t="str">
        <f t="shared" si="7"/>
        <v>#NAME?</v>
      </c>
      <c r="AL486" s="678" t="s">
        <v>92</v>
      </c>
      <c r="AM486" s="571"/>
      <c r="AN486" s="679" t="s">
        <v>1467</v>
      </c>
      <c r="AO486" s="680"/>
      <c r="AP486" s="705" t="s">
        <v>1467</v>
      </c>
      <c r="AQ486" s="680"/>
      <c r="AR486" s="710" t="s">
        <v>4261</v>
      </c>
      <c r="AS486" s="718" t="s">
        <v>1467</v>
      </c>
      <c r="AT486" s="595"/>
      <c r="AU486" s="676"/>
      <c r="AV486" s="679"/>
      <c r="AW486" s="673"/>
      <c r="AX486" s="866"/>
      <c r="AY486" s="571"/>
      <c r="AZ486" s="689" t="s">
        <v>248</v>
      </c>
      <c r="BA486" s="690"/>
      <c r="BB486" s="696"/>
      <c r="BC486" s="571"/>
      <c r="BD486" s="651" t="s">
        <v>150</v>
      </c>
      <c r="BE486" s="653">
        <v>187.0</v>
      </c>
      <c r="BF486" s="653">
        <v>75.0</v>
      </c>
      <c r="BG486" s="653">
        <v>70.0</v>
      </c>
      <c r="BH486" s="653">
        <v>60.0</v>
      </c>
      <c r="BI486" s="607"/>
      <c r="BJ486" s="898">
        <v>0.0</v>
      </c>
      <c r="BK486" s="782" t="s">
        <v>397</v>
      </c>
      <c r="BL486" s="610"/>
      <c r="BM486" s="657" t="s">
        <v>153</v>
      </c>
      <c r="BN486" s="658" t="s">
        <v>826</v>
      </c>
      <c r="BO486" s="607"/>
      <c r="BP486" s="659" t="s">
        <v>4263</v>
      </c>
      <c r="BQ486" s="614"/>
      <c r="BR486" s="660" t="s">
        <v>4431</v>
      </c>
      <c r="BS486" s="614"/>
    </row>
    <row r="487" ht="15.75" customHeight="1">
      <c r="A487" s="841"/>
      <c r="B487" s="617" t="s">
        <v>4265</v>
      </c>
      <c r="C487" s="618"/>
      <c r="D487" s="619"/>
      <c r="E487" s="629">
        <v>50.0</v>
      </c>
      <c r="F487" s="621">
        <v>50.0</v>
      </c>
      <c r="G487" s="622">
        <v>77.0</v>
      </c>
      <c r="H487" s="623">
        <v>95.0</v>
      </c>
      <c r="I487" s="624">
        <v>77.0</v>
      </c>
      <c r="J487" s="625">
        <v>91.0</v>
      </c>
      <c r="K487" s="626">
        <v>440.0</v>
      </c>
      <c r="L487" s="627">
        <v>50.0</v>
      </c>
      <c r="M487" s="621">
        <v>50.0</v>
      </c>
      <c r="N487" s="622">
        <v>77.0</v>
      </c>
      <c r="O487" s="623">
        <v>95.0</v>
      </c>
      <c r="P487" s="624">
        <v>77.0</v>
      </c>
      <c r="Q487" s="625">
        <v>91.0</v>
      </c>
      <c r="R487" s="628">
        <v>440.0</v>
      </c>
      <c r="S487" s="629">
        <v>50.0</v>
      </c>
      <c r="T487" s="621">
        <v>50.0</v>
      </c>
      <c r="U487" s="622">
        <v>77.0</v>
      </c>
      <c r="V487" s="623">
        <v>95.0</v>
      </c>
      <c r="W487" s="624">
        <v>77.0</v>
      </c>
      <c r="X487" s="753">
        <v>101.0</v>
      </c>
      <c r="Y487" s="628">
        <f t="shared" si="1"/>
        <v>450</v>
      </c>
      <c r="Z487" s="619"/>
      <c r="AA487" s="630" t="str">
        <f t="shared" si="2"/>
        <v>#NAME?</v>
      </c>
      <c r="AB487" s="869" t="s">
        <v>197</v>
      </c>
      <c r="AC487" s="632" t="str">
        <f t="shared" si="3"/>
        <v>#NAME?</v>
      </c>
      <c r="AD487" s="870" t="s">
        <v>92</v>
      </c>
      <c r="AE487" s="633" t="str">
        <f t="shared" si="4"/>
        <v>#NAME?</v>
      </c>
      <c r="AF487" s="869" t="s">
        <v>197</v>
      </c>
      <c r="AG487" s="632" t="str">
        <f t="shared" si="5"/>
        <v>#NAME?</v>
      </c>
      <c r="AH487" s="634" t="s">
        <v>92</v>
      </c>
      <c r="AI487" s="635" t="str">
        <f t="shared" si="6"/>
        <v>#NAME?</v>
      </c>
      <c r="AJ487" s="634" t="s">
        <v>197</v>
      </c>
      <c r="AK487" s="636" t="str">
        <f t="shared" si="7"/>
        <v>#NAME?</v>
      </c>
      <c r="AL487" s="637" t="s">
        <v>92</v>
      </c>
      <c r="AM487" s="619"/>
      <c r="AN487" s="638" t="s">
        <v>1001</v>
      </c>
      <c r="AO487" s="639"/>
      <c r="AP487" s="712" t="s">
        <v>1001</v>
      </c>
      <c r="AQ487" s="639"/>
      <c r="AR487" s="712" t="s">
        <v>1001</v>
      </c>
      <c r="AS487" s="639"/>
      <c r="AT487" s="644"/>
      <c r="AU487" s="633"/>
      <c r="AV487" s="638"/>
      <c r="AW487" s="630"/>
      <c r="AX487" s="647"/>
      <c r="AY487" s="619"/>
      <c r="AZ487" s="648" t="s">
        <v>4</v>
      </c>
      <c r="BA487" s="649" t="s">
        <v>56</v>
      </c>
      <c r="BB487" s="650"/>
      <c r="BC487" s="619"/>
      <c r="BD487" s="651" t="s">
        <v>150</v>
      </c>
      <c r="BE487" s="653">
        <v>132.0</v>
      </c>
      <c r="BF487" s="653">
        <v>45.0</v>
      </c>
      <c r="BG487" s="653">
        <v>70.0</v>
      </c>
      <c r="BH487" s="653">
        <v>20.0</v>
      </c>
      <c r="BI487" s="607"/>
      <c r="BJ487" s="768" t="s">
        <v>890</v>
      </c>
      <c r="BK487" s="766"/>
      <c r="BL487" s="610"/>
      <c r="BM487" s="767" t="s">
        <v>964</v>
      </c>
      <c r="BN487" s="704"/>
      <c r="BO487" s="607"/>
      <c r="BP487" s="659" t="s">
        <v>914</v>
      </c>
      <c r="BQ487" s="614"/>
      <c r="BR487" s="660" t="s">
        <v>4429</v>
      </c>
      <c r="BS487" s="614"/>
    </row>
    <row r="488" ht="15.75" customHeight="1">
      <c r="A488" s="841"/>
      <c r="B488" s="661" t="s">
        <v>4275</v>
      </c>
      <c r="C488" s="662"/>
      <c r="D488" s="571"/>
      <c r="E488" s="672">
        <v>50.0</v>
      </c>
      <c r="F488" s="664">
        <v>65.0</v>
      </c>
      <c r="G488" s="665">
        <v>107.0</v>
      </c>
      <c r="H488" s="666">
        <v>105.0</v>
      </c>
      <c r="I488" s="667">
        <v>107.0</v>
      </c>
      <c r="J488" s="668">
        <v>86.0</v>
      </c>
      <c r="K488" s="669">
        <v>520.0</v>
      </c>
      <c r="L488" s="670">
        <v>50.0</v>
      </c>
      <c r="M488" s="664">
        <v>65.0</v>
      </c>
      <c r="N488" s="665">
        <v>107.0</v>
      </c>
      <c r="O488" s="666">
        <v>105.0</v>
      </c>
      <c r="P488" s="667">
        <v>107.0</v>
      </c>
      <c r="Q488" s="668">
        <v>86.0</v>
      </c>
      <c r="R488" s="671">
        <v>520.0</v>
      </c>
      <c r="S488" s="672">
        <v>50.0</v>
      </c>
      <c r="T488" s="664">
        <v>65.0</v>
      </c>
      <c r="U488" s="665">
        <v>107.0</v>
      </c>
      <c r="V488" s="666">
        <v>105.0</v>
      </c>
      <c r="W488" s="667">
        <v>107.0</v>
      </c>
      <c r="X488" s="668">
        <v>86.0</v>
      </c>
      <c r="Y488" s="671">
        <f t="shared" si="1"/>
        <v>520</v>
      </c>
      <c r="Z488" s="571"/>
      <c r="AA488" s="673" t="str">
        <f t="shared" si="2"/>
        <v>#NAME?</v>
      </c>
      <c r="AB488" s="871" t="s">
        <v>197</v>
      </c>
      <c r="AC488" s="675" t="str">
        <f t="shared" si="3"/>
        <v>#NAME?</v>
      </c>
      <c r="AD488" s="872" t="s">
        <v>92</v>
      </c>
      <c r="AE488" s="676" t="str">
        <f t="shared" si="4"/>
        <v>#NAME?</v>
      </c>
      <c r="AF488" s="871" t="s">
        <v>197</v>
      </c>
      <c r="AG488" s="850" t="str">
        <f t="shared" si="5"/>
        <v>#NAME?</v>
      </c>
      <c r="AH488" s="851" t="s">
        <v>4507</v>
      </c>
      <c r="AI488" s="677" t="str">
        <f t="shared" si="6"/>
        <v>#NAME?</v>
      </c>
      <c r="AJ488" s="586" t="s">
        <v>197</v>
      </c>
      <c r="AK488" s="738" t="str">
        <f t="shared" si="7"/>
        <v>#NAME?</v>
      </c>
      <c r="AL488" s="852" t="s">
        <v>4507</v>
      </c>
      <c r="AM488" s="571"/>
      <c r="AN488" s="679" t="s">
        <v>1001</v>
      </c>
      <c r="AO488" s="680"/>
      <c r="AP488" s="705" t="s">
        <v>1001</v>
      </c>
      <c r="AQ488" s="680"/>
      <c r="AR488" s="705" t="s">
        <v>1001</v>
      </c>
      <c r="AS488" s="680"/>
      <c r="AT488" s="595"/>
      <c r="AU488" s="676"/>
      <c r="AV488" s="679"/>
      <c r="AW488" s="673"/>
      <c r="AX488" s="866"/>
      <c r="AY488" s="571"/>
      <c r="AZ488" s="695" t="s">
        <v>4</v>
      </c>
      <c r="BA488" s="691" t="s">
        <v>56</v>
      </c>
      <c r="BB488" s="696"/>
      <c r="BC488" s="571"/>
      <c r="BD488" s="651" t="s">
        <v>150</v>
      </c>
      <c r="BE488" s="653">
        <v>132.0</v>
      </c>
      <c r="BF488" s="653">
        <v>45.0</v>
      </c>
      <c r="BG488" s="653">
        <v>70.0</v>
      </c>
      <c r="BH488" s="653">
        <v>20.0</v>
      </c>
      <c r="BI488" s="607"/>
      <c r="BJ488" s="899" t="s">
        <v>890</v>
      </c>
      <c r="BK488" s="690"/>
      <c r="BL488" s="610"/>
      <c r="BM488" s="767" t="s">
        <v>964</v>
      </c>
      <c r="BN488" s="704"/>
      <c r="BO488" s="607"/>
      <c r="BP488" s="659" t="s">
        <v>914</v>
      </c>
      <c r="BQ488" s="614"/>
      <c r="BR488" s="660" t="s">
        <v>4429</v>
      </c>
      <c r="BS488" s="614"/>
    </row>
    <row r="489" ht="15.75" customHeight="1">
      <c r="A489" s="841"/>
      <c r="B489" s="617" t="s">
        <v>4282</v>
      </c>
      <c r="C489" s="618"/>
      <c r="D489" s="619"/>
      <c r="E489" s="629">
        <v>50.0</v>
      </c>
      <c r="F489" s="621">
        <v>65.0</v>
      </c>
      <c r="G489" s="622">
        <v>107.0</v>
      </c>
      <c r="H489" s="623">
        <v>105.0</v>
      </c>
      <c r="I489" s="624">
        <v>107.0</v>
      </c>
      <c r="J489" s="625">
        <v>86.0</v>
      </c>
      <c r="K489" s="626">
        <v>520.0</v>
      </c>
      <c r="L489" s="627">
        <v>50.0</v>
      </c>
      <c r="M489" s="621">
        <v>65.0</v>
      </c>
      <c r="N489" s="622">
        <v>107.0</v>
      </c>
      <c r="O489" s="623">
        <v>105.0</v>
      </c>
      <c r="P489" s="624">
        <v>107.0</v>
      </c>
      <c r="Q489" s="625">
        <v>86.0</v>
      </c>
      <c r="R489" s="628">
        <v>520.0</v>
      </c>
      <c r="S489" s="629">
        <v>50.0</v>
      </c>
      <c r="T489" s="621">
        <v>65.0</v>
      </c>
      <c r="U489" s="622">
        <v>107.0</v>
      </c>
      <c r="V489" s="623">
        <v>105.0</v>
      </c>
      <c r="W489" s="624">
        <v>107.0</v>
      </c>
      <c r="X489" s="625">
        <v>86.0</v>
      </c>
      <c r="Y489" s="628">
        <f t="shared" si="1"/>
        <v>520</v>
      </c>
      <c r="Z489" s="619"/>
      <c r="AA489" s="630" t="str">
        <f t="shared" si="2"/>
        <v>#NAME?</v>
      </c>
      <c r="AB489" s="869" t="s">
        <v>197</v>
      </c>
      <c r="AC489" s="632" t="str">
        <f t="shared" si="3"/>
        <v>#NAME?</v>
      </c>
      <c r="AD489" s="870" t="s">
        <v>92</v>
      </c>
      <c r="AE489" s="633" t="str">
        <f t="shared" si="4"/>
        <v>#NAME?</v>
      </c>
      <c r="AF489" s="869" t="s">
        <v>197</v>
      </c>
      <c r="AG489" s="746" t="str">
        <f t="shared" si="5"/>
        <v>#NAME?</v>
      </c>
      <c r="AH489" s="900" t="s">
        <v>4466</v>
      </c>
      <c r="AI489" s="635" t="str">
        <f t="shared" si="6"/>
        <v>#NAME?</v>
      </c>
      <c r="AJ489" s="634" t="s">
        <v>197</v>
      </c>
      <c r="AK489" s="746" t="str">
        <f t="shared" si="7"/>
        <v>#NAME?</v>
      </c>
      <c r="AL489" s="901" t="s">
        <v>4466</v>
      </c>
      <c r="AM489" s="619"/>
      <c r="AN489" s="638" t="s">
        <v>1001</v>
      </c>
      <c r="AO489" s="639"/>
      <c r="AP489" s="712" t="s">
        <v>1001</v>
      </c>
      <c r="AQ489" s="639"/>
      <c r="AR489" s="712" t="s">
        <v>1001</v>
      </c>
      <c r="AS489" s="639"/>
      <c r="AT489" s="644"/>
      <c r="AU489" s="633"/>
      <c r="AV489" s="638"/>
      <c r="AW489" s="630"/>
      <c r="AX489" s="647"/>
      <c r="AY489" s="619"/>
      <c r="AZ489" s="648" t="s">
        <v>4</v>
      </c>
      <c r="BA489" s="649" t="s">
        <v>56</v>
      </c>
      <c r="BB489" s="650"/>
      <c r="BC489" s="619"/>
      <c r="BD489" s="651" t="s">
        <v>150</v>
      </c>
      <c r="BE489" s="653">
        <v>132.0</v>
      </c>
      <c r="BF489" s="653">
        <v>45.0</v>
      </c>
      <c r="BG489" s="653">
        <v>70.0</v>
      </c>
      <c r="BH489" s="653">
        <v>20.0</v>
      </c>
      <c r="BI489" s="607"/>
      <c r="BJ489" s="902" t="s">
        <v>890</v>
      </c>
      <c r="BK489" s="690"/>
      <c r="BL489" s="610"/>
      <c r="BM489" s="767" t="s">
        <v>964</v>
      </c>
      <c r="BN489" s="704"/>
      <c r="BO489" s="607"/>
      <c r="BP489" s="659" t="s">
        <v>914</v>
      </c>
      <c r="BQ489" s="614"/>
      <c r="BR489" s="660" t="s">
        <v>4429</v>
      </c>
      <c r="BS489" s="614"/>
    </row>
    <row r="490" ht="15.75" customHeight="1">
      <c r="A490" s="841"/>
      <c r="B490" s="661" t="s">
        <v>4289</v>
      </c>
      <c r="C490" s="662"/>
      <c r="D490" s="571"/>
      <c r="E490" s="672">
        <v>50.0</v>
      </c>
      <c r="F490" s="664">
        <v>65.0</v>
      </c>
      <c r="G490" s="665">
        <v>107.0</v>
      </c>
      <c r="H490" s="666">
        <v>105.0</v>
      </c>
      <c r="I490" s="667">
        <v>107.0</v>
      </c>
      <c r="J490" s="668">
        <v>86.0</v>
      </c>
      <c r="K490" s="669">
        <v>520.0</v>
      </c>
      <c r="L490" s="670">
        <v>50.0</v>
      </c>
      <c r="M490" s="664">
        <v>65.0</v>
      </c>
      <c r="N490" s="665">
        <v>107.0</v>
      </c>
      <c r="O490" s="666">
        <v>105.0</v>
      </c>
      <c r="P490" s="667">
        <v>107.0</v>
      </c>
      <c r="Q490" s="668">
        <v>86.0</v>
      </c>
      <c r="R490" s="671">
        <v>520.0</v>
      </c>
      <c r="S490" s="672">
        <v>50.0</v>
      </c>
      <c r="T490" s="664">
        <v>65.0</v>
      </c>
      <c r="U490" s="665">
        <v>107.0</v>
      </c>
      <c r="V490" s="666">
        <v>105.0</v>
      </c>
      <c r="W490" s="667">
        <v>107.0</v>
      </c>
      <c r="X490" s="668">
        <v>86.0</v>
      </c>
      <c r="Y490" s="671">
        <f t="shared" si="1"/>
        <v>520</v>
      </c>
      <c r="Z490" s="571"/>
      <c r="AA490" s="673" t="str">
        <f t="shared" si="2"/>
        <v>#NAME?</v>
      </c>
      <c r="AB490" s="871" t="s">
        <v>197</v>
      </c>
      <c r="AC490" s="675" t="str">
        <f t="shared" si="3"/>
        <v>#NAME?</v>
      </c>
      <c r="AD490" s="872" t="s">
        <v>92</v>
      </c>
      <c r="AE490" s="676" t="str">
        <f t="shared" si="4"/>
        <v>#NAME?</v>
      </c>
      <c r="AF490" s="871" t="s">
        <v>197</v>
      </c>
      <c r="AG490" s="746" t="str">
        <f t="shared" si="5"/>
        <v>#NAME?</v>
      </c>
      <c r="AH490" s="868" t="s">
        <v>4508</v>
      </c>
      <c r="AI490" s="677" t="str">
        <f t="shared" si="6"/>
        <v>#NAME?</v>
      </c>
      <c r="AJ490" s="586" t="s">
        <v>197</v>
      </c>
      <c r="AK490" s="746" t="str">
        <f t="shared" si="7"/>
        <v>#NAME?</v>
      </c>
      <c r="AL490" s="747" t="s">
        <v>4508</v>
      </c>
      <c r="AM490" s="571"/>
      <c r="AN490" s="679" t="s">
        <v>1001</v>
      </c>
      <c r="AO490" s="680"/>
      <c r="AP490" s="705" t="s">
        <v>1001</v>
      </c>
      <c r="AQ490" s="680"/>
      <c r="AR490" s="705" t="s">
        <v>1001</v>
      </c>
      <c r="AS490" s="680"/>
      <c r="AT490" s="595"/>
      <c r="AU490" s="676"/>
      <c r="AV490" s="679"/>
      <c r="AW490" s="673"/>
      <c r="AX490" s="866"/>
      <c r="AY490" s="571"/>
      <c r="AZ490" s="695" t="s">
        <v>4</v>
      </c>
      <c r="BA490" s="691" t="s">
        <v>56</v>
      </c>
      <c r="BB490" s="696"/>
      <c r="BC490" s="571"/>
      <c r="BD490" s="651" t="s">
        <v>150</v>
      </c>
      <c r="BE490" s="653">
        <v>132.0</v>
      </c>
      <c r="BF490" s="653">
        <v>45.0</v>
      </c>
      <c r="BG490" s="653">
        <v>70.0</v>
      </c>
      <c r="BH490" s="653">
        <v>20.0</v>
      </c>
      <c r="BI490" s="607"/>
      <c r="BJ490" s="899" t="s">
        <v>890</v>
      </c>
      <c r="BK490" s="690"/>
      <c r="BL490" s="610"/>
      <c r="BM490" s="767" t="s">
        <v>964</v>
      </c>
      <c r="BN490" s="704"/>
      <c r="BO490" s="607"/>
      <c r="BP490" s="659" t="s">
        <v>914</v>
      </c>
      <c r="BQ490" s="614"/>
      <c r="BR490" s="660" t="s">
        <v>4429</v>
      </c>
      <c r="BS490" s="614"/>
    </row>
    <row r="491" ht="15.75" customHeight="1">
      <c r="A491" s="841"/>
      <c r="B491" s="617" t="s">
        <v>4296</v>
      </c>
      <c r="C491" s="618"/>
      <c r="D491" s="619"/>
      <c r="E491" s="629">
        <v>50.0</v>
      </c>
      <c r="F491" s="621">
        <v>65.0</v>
      </c>
      <c r="G491" s="622">
        <v>107.0</v>
      </c>
      <c r="H491" s="623">
        <v>105.0</v>
      </c>
      <c r="I491" s="624">
        <v>107.0</v>
      </c>
      <c r="J491" s="625">
        <v>86.0</v>
      </c>
      <c r="K491" s="626">
        <v>520.0</v>
      </c>
      <c r="L491" s="627">
        <v>50.0</v>
      </c>
      <c r="M491" s="621">
        <v>65.0</v>
      </c>
      <c r="N491" s="622">
        <v>107.0</v>
      </c>
      <c r="O491" s="623">
        <v>105.0</v>
      </c>
      <c r="P491" s="624">
        <v>107.0</v>
      </c>
      <c r="Q491" s="625">
        <v>86.0</v>
      </c>
      <c r="R491" s="628">
        <v>520.0</v>
      </c>
      <c r="S491" s="629">
        <v>50.0</v>
      </c>
      <c r="T491" s="621">
        <v>65.0</v>
      </c>
      <c r="U491" s="622">
        <v>107.0</v>
      </c>
      <c r="V491" s="623">
        <v>105.0</v>
      </c>
      <c r="W491" s="624">
        <v>107.0</v>
      </c>
      <c r="X491" s="625">
        <v>86.0</v>
      </c>
      <c r="Y491" s="628">
        <f t="shared" si="1"/>
        <v>520</v>
      </c>
      <c r="Z491" s="619"/>
      <c r="AA491" s="630" t="str">
        <f t="shared" si="2"/>
        <v>#NAME?</v>
      </c>
      <c r="AB491" s="869" t="s">
        <v>197</v>
      </c>
      <c r="AC491" s="632" t="str">
        <f t="shared" si="3"/>
        <v>#NAME?</v>
      </c>
      <c r="AD491" s="870" t="s">
        <v>92</v>
      </c>
      <c r="AE491" s="633" t="str">
        <f t="shared" si="4"/>
        <v>#NAME?</v>
      </c>
      <c r="AF491" s="869" t="s">
        <v>197</v>
      </c>
      <c r="AG491" s="746" t="str">
        <f t="shared" si="5"/>
        <v>#NAME?</v>
      </c>
      <c r="AH491" s="900" t="s">
        <v>4509</v>
      </c>
      <c r="AI491" s="635" t="str">
        <f t="shared" si="6"/>
        <v>#NAME?</v>
      </c>
      <c r="AJ491" s="634" t="s">
        <v>197</v>
      </c>
      <c r="AK491" s="746" t="str">
        <f t="shared" si="7"/>
        <v>#NAME?</v>
      </c>
      <c r="AL491" s="901" t="s">
        <v>4509</v>
      </c>
      <c r="AM491" s="619"/>
      <c r="AN491" s="638" t="s">
        <v>1001</v>
      </c>
      <c r="AO491" s="639"/>
      <c r="AP491" s="712" t="s">
        <v>1001</v>
      </c>
      <c r="AQ491" s="639"/>
      <c r="AR491" s="712" t="s">
        <v>4298</v>
      </c>
      <c r="AS491" s="639"/>
      <c r="AT491" s="644"/>
      <c r="AU491" s="633"/>
      <c r="AV491" s="638"/>
      <c r="AW491" s="630"/>
      <c r="AX491" s="647"/>
      <c r="AY491" s="619"/>
      <c r="AZ491" s="648" t="s">
        <v>4</v>
      </c>
      <c r="BA491" s="649" t="s">
        <v>56</v>
      </c>
      <c r="BB491" s="650"/>
      <c r="BC491" s="619"/>
      <c r="BD491" s="651" t="s">
        <v>150</v>
      </c>
      <c r="BE491" s="653">
        <v>132.0</v>
      </c>
      <c r="BF491" s="653">
        <v>45.0</v>
      </c>
      <c r="BG491" s="653">
        <v>70.0</v>
      </c>
      <c r="BH491" s="653">
        <v>20.0</v>
      </c>
      <c r="BI491" s="607"/>
      <c r="BJ491" s="902" t="s">
        <v>890</v>
      </c>
      <c r="BK491" s="690"/>
      <c r="BL491" s="610"/>
      <c r="BM491" s="767" t="s">
        <v>964</v>
      </c>
      <c r="BN491" s="704"/>
      <c r="BO491" s="607"/>
      <c r="BP491" s="659" t="s">
        <v>914</v>
      </c>
      <c r="BQ491" s="614"/>
      <c r="BR491" s="660" t="s">
        <v>4429</v>
      </c>
      <c r="BS491" s="614"/>
    </row>
    <row r="492" ht="15.75" customHeight="1">
      <c r="A492" s="841"/>
      <c r="B492" s="661" t="s">
        <v>4304</v>
      </c>
      <c r="C492" s="662"/>
      <c r="D492" s="571"/>
      <c r="E492" s="672">
        <v>50.0</v>
      </c>
      <c r="F492" s="664">
        <v>65.0</v>
      </c>
      <c r="G492" s="665">
        <v>107.0</v>
      </c>
      <c r="H492" s="666">
        <v>105.0</v>
      </c>
      <c r="I492" s="667">
        <v>107.0</v>
      </c>
      <c r="J492" s="668">
        <v>86.0</v>
      </c>
      <c r="K492" s="669">
        <v>520.0</v>
      </c>
      <c r="L492" s="670">
        <v>50.0</v>
      </c>
      <c r="M492" s="664">
        <v>65.0</v>
      </c>
      <c r="N492" s="665">
        <v>107.0</v>
      </c>
      <c r="O492" s="666">
        <v>105.0</v>
      </c>
      <c r="P492" s="667">
        <v>107.0</v>
      </c>
      <c r="Q492" s="668">
        <v>86.0</v>
      </c>
      <c r="R492" s="671">
        <v>520.0</v>
      </c>
      <c r="S492" s="672">
        <v>50.0</v>
      </c>
      <c r="T492" s="664">
        <v>65.0</v>
      </c>
      <c r="U492" s="665">
        <v>107.0</v>
      </c>
      <c r="V492" s="666">
        <v>105.0</v>
      </c>
      <c r="W492" s="667">
        <v>107.0</v>
      </c>
      <c r="X492" s="668">
        <v>86.0</v>
      </c>
      <c r="Y492" s="671">
        <f t="shared" si="1"/>
        <v>520</v>
      </c>
      <c r="Z492" s="571"/>
      <c r="AA492" s="673" t="str">
        <f t="shared" si="2"/>
        <v>#NAME?</v>
      </c>
      <c r="AB492" s="871" t="s">
        <v>197</v>
      </c>
      <c r="AC492" s="675" t="str">
        <f t="shared" si="3"/>
        <v>#NAME?</v>
      </c>
      <c r="AD492" s="872" t="s">
        <v>92</v>
      </c>
      <c r="AE492" s="676" t="str">
        <f t="shared" si="4"/>
        <v>#NAME?</v>
      </c>
      <c r="AF492" s="871" t="s">
        <v>197</v>
      </c>
      <c r="AG492" s="754" t="str">
        <f t="shared" si="5"/>
        <v>#NAME?</v>
      </c>
      <c r="AH492" s="903" t="s">
        <v>515</v>
      </c>
      <c r="AI492" s="677" t="str">
        <f t="shared" si="6"/>
        <v>#NAME?</v>
      </c>
      <c r="AJ492" s="586" t="s">
        <v>197</v>
      </c>
      <c r="AK492" s="746" t="str">
        <f t="shared" si="7"/>
        <v>#NAME?</v>
      </c>
      <c r="AL492" s="747" t="s">
        <v>515</v>
      </c>
      <c r="AM492" s="571"/>
      <c r="AN492" s="679" t="s">
        <v>1001</v>
      </c>
      <c r="AO492" s="680"/>
      <c r="AP492" s="705" t="s">
        <v>1001</v>
      </c>
      <c r="AQ492" s="680"/>
      <c r="AR492" s="705" t="s">
        <v>1001</v>
      </c>
      <c r="AS492" s="680"/>
      <c r="AT492" s="595"/>
      <c r="AU492" s="676"/>
      <c r="AV492" s="679"/>
      <c r="AW492" s="673"/>
      <c r="AX492" s="866"/>
      <c r="AY492" s="571"/>
      <c r="AZ492" s="695" t="s">
        <v>4</v>
      </c>
      <c r="BA492" s="691" t="s">
        <v>56</v>
      </c>
      <c r="BB492" s="696"/>
      <c r="BC492" s="571"/>
      <c r="BD492" s="651" t="s">
        <v>150</v>
      </c>
      <c r="BE492" s="653">
        <v>132.0</v>
      </c>
      <c r="BF492" s="653">
        <v>45.0</v>
      </c>
      <c r="BG492" s="653">
        <v>70.0</v>
      </c>
      <c r="BH492" s="653">
        <v>20.0</v>
      </c>
      <c r="BI492" s="607"/>
      <c r="BJ492" s="899" t="s">
        <v>890</v>
      </c>
      <c r="BK492" s="690"/>
      <c r="BL492" s="610"/>
      <c r="BM492" s="767" t="s">
        <v>964</v>
      </c>
      <c r="BN492" s="704"/>
      <c r="BO492" s="607"/>
      <c r="BP492" s="659" t="s">
        <v>914</v>
      </c>
      <c r="BQ492" s="614"/>
      <c r="BR492" s="660" t="s">
        <v>4429</v>
      </c>
      <c r="BS492" s="614"/>
    </row>
    <row r="493" ht="15.75" customHeight="1">
      <c r="A493" s="841"/>
      <c r="B493" s="617" t="s">
        <v>4307</v>
      </c>
      <c r="C493" s="618"/>
      <c r="D493" s="619"/>
      <c r="E493" s="629">
        <v>75.0</v>
      </c>
      <c r="F493" s="621">
        <v>75.0</v>
      </c>
      <c r="G493" s="622">
        <v>130.0</v>
      </c>
      <c r="H493" s="623">
        <v>75.0</v>
      </c>
      <c r="I493" s="624">
        <v>130.0</v>
      </c>
      <c r="J493" s="625">
        <v>95.0</v>
      </c>
      <c r="K493" s="626">
        <v>580.0</v>
      </c>
      <c r="L493" s="627">
        <v>75.0</v>
      </c>
      <c r="M493" s="621">
        <v>75.0</v>
      </c>
      <c r="N493" s="622">
        <v>130.0</v>
      </c>
      <c r="O493" s="623">
        <v>75.0</v>
      </c>
      <c r="P493" s="624">
        <v>130.0</v>
      </c>
      <c r="Q493" s="625">
        <v>95.0</v>
      </c>
      <c r="R493" s="628">
        <v>580.0</v>
      </c>
      <c r="S493" s="629">
        <v>75.0</v>
      </c>
      <c r="T493" s="621">
        <v>75.0</v>
      </c>
      <c r="U493" s="622">
        <v>130.0</v>
      </c>
      <c r="V493" s="623">
        <v>75.0</v>
      </c>
      <c r="W493" s="624">
        <v>130.0</v>
      </c>
      <c r="X493" s="625">
        <v>95.0</v>
      </c>
      <c r="Y493" s="628">
        <f t="shared" si="1"/>
        <v>580</v>
      </c>
      <c r="Z493" s="619"/>
      <c r="AA493" s="630" t="str">
        <f t="shared" si="2"/>
        <v>#NAME?</v>
      </c>
      <c r="AB493" s="869" t="s">
        <v>122</v>
      </c>
      <c r="AC493" s="632" t="str">
        <f t="shared" si="3"/>
        <v>#NAME?</v>
      </c>
      <c r="AD493" s="870" t="s">
        <v>4428</v>
      </c>
      <c r="AE493" s="633" t="str">
        <f t="shared" si="4"/>
        <v>#NAME?</v>
      </c>
      <c r="AF493" s="869" t="s">
        <v>122</v>
      </c>
      <c r="AG493" s="632" t="str">
        <f t="shared" si="5"/>
        <v>#NAME?</v>
      </c>
      <c r="AH493" s="634" t="s">
        <v>4428</v>
      </c>
      <c r="AI493" s="635" t="str">
        <f t="shared" si="6"/>
        <v>#NAME?</v>
      </c>
      <c r="AJ493" s="634" t="s">
        <v>122</v>
      </c>
      <c r="AK493" s="746" t="str">
        <f t="shared" si="7"/>
        <v>#NAME?</v>
      </c>
      <c r="AL493" s="901" t="s">
        <v>3017</v>
      </c>
      <c r="AM493" s="619"/>
      <c r="AN493" s="638" t="s">
        <v>1001</v>
      </c>
      <c r="AO493" s="639"/>
      <c r="AP493" s="712" t="s">
        <v>1001</v>
      </c>
      <c r="AQ493" s="639"/>
      <c r="AR493" s="712" t="s">
        <v>1001</v>
      </c>
      <c r="AS493" s="639"/>
      <c r="AT493" s="644"/>
      <c r="AU493" s="633"/>
      <c r="AV493" s="638"/>
      <c r="AW493" s="630"/>
      <c r="AX493" s="647"/>
      <c r="AY493" s="619"/>
      <c r="AZ493" s="698" t="s">
        <v>162</v>
      </c>
      <c r="BA493" s="690"/>
      <c r="BB493" s="649" t="s">
        <v>27</v>
      </c>
      <c r="BC493" s="619"/>
      <c r="BD493" s="651" t="s">
        <v>683</v>
      </c>
      <c r="BE493" s="653">
        <v>210.0</v>
      </c>
      <c r="BF493" s="653">
        <v>3.0</v>
      </c>
      <c r="BG493" s="653">
        <v>140.0</v>
      </c>
      <c r="BH493" s="653">
        <v>20.0</v>
      </c>
      <c r="BI493" s="607"/>
      <c r="BJ493" s="902" t="s">
        <v>890</v>
      </c>
      <c r="BK493" s="690"/>
      <c r="BL493" s="610"/>
      <c r="BM493" s="657" t="s">
        <v>411</v>
      </c>
      <c r="BN493" s="704"/>
      <c r="BO493" s="607"/>
      <c r="BP493" s="659" t="s">
        <v>914</v>
      </c>
      <c r="BQ493" s="614"/>
      <c r="BR493" s="660" t="s">
        <v>4433</v>
      </c>
      <c r="BS493" s="614"/>
    </row>
    <row r="494" ht="15.75" customHeight="1">
      <c r="A494" s="841"/>
      <c r="B494" s="661" t="s">
        <v>4311</v>
      </c>
      <c r="C494" s="662"/>
      <c r="D494" s="571"/>
      <c r="E494" s="672">
        <v>80.0</v>
      </c>
      <c r="F494" s="664">
        <v>105.0</v>
      </c>
      <c r="G494" s="665">
        <v>105.0</v>
      </c>
      <c r="H494" s="666">
        <v>105.0</v>
      </c>
      <c r="I494" s="667">
        <v>105.0</v>
      </c>
      <c r="J494" s="668">
        <v>80.0</v>
      </c>
      <c r="K494" s="669">
        <v>580.0</v>
      </c>
      <c r="L494" s="670">
        <v>80.0</v>
      </c>
      <c r="M494" s="664">
        <v>105.0</v>
      </c>
      <c r="N494" s="665">
        <v>105.0</v>
      </c>
      <c r="O494" s="666">
        <v>105.0</v>
      </c>
      <c r="P494" s="667">
        <v>105.0</v>
      </c>
      <c r="Q494" s="668">
        <v>80.0</v>
      </c>
      <c r="R494" s="671">
        <v>580.0</v>
      </c>
      <c r="S494" s="672">
        <v>80.0</v>
      </c>
      <c r="T494" s="664">
        <v>105.0</v>
      </c>
      <c r="U494" s="665">
        <v>105.0</v>
      </c>
      <c r="V494" s="666">
        <v>105.0</v>
      </c>
      <c r="W494" s="667">
        <v>105.0</v>
      </c>
      <c r="X494" s="668">
        <v>80.0</v>
      </c>
      <c r="Y494" s="671">
        <f t="shared" si="1"/>
        <v>580</v>
      </c>
      <c r="Z494" s="571"/>
      <c r="AA494" s="673" t="str">
        <f t="shared" si="2"/>
        <v>#NAME?</v>
      </c>
      <c r="AB494" s="871" t="s">
        <v>122</v>
      </c>
      <c r="AC494" s="675" t="str">
        <f t="shared" si="3"/>
        <v>#NAME?</v>
      </c>
      <c r="AD494" s="872" t="s">
        <v>4428</v>
      </c>
      <c r="AE494" s="676" t="str">
        <f t="shared" si="4"/>
        <v>#NAME?</v>
      </c>
      <c r="AF494" s="871" t="s">
        <v>122</v>
      </c>
      <c r="AG494" s="675" t="str">
        <f t="shared" si="5"/>
        <v>#NAME?</v>
      </c>
      <c r="AH494" s="586" t="s">
        <v>4428</v>
      </c>
      <c r="AI494" s="677" t="str">
        <f t="shared" si="6"/>
        <v>#NAME?</v>
      </c>
      <c r="AJ494" s="586" t="s">
        <v>122</v>
      </c>
      <c r="AK494" s="746" t="str">
        <f t="shared" si="7"/>
        <v>#NAME?</v>
      </c>
      <c r="AL494" s="747" t="s">
        <v>3017</v>
      </c>
      <c r="AM494" s="571"/>
      <c r="AN494" s="679" t="s">
        <v>1001</v>
      </c>
      <c r="AO494" s="680"/>
      <c r="AP494" s="705" t="s">
        <v>1001</v>
      </c>
      <c r="AQ494" s="680"/>
      <c r="AR494" s="705" t="s">
        <v>1001</v>
      </c>
      <c r="AS494" s="680"/>
      <c r="AT494" s="595"/>
      <c r="AU494" s="676"/>
      <c r="AV494" s="679"/>
      <c r="AW494" s="673"/>
      <c r="AX494" s="866"/>
      <c r="AY494" s="571"/>
      <c r="AZ494" s="695" t="s">
        <v>325</v>
      </c>
      <c r="BA494" s="691" t="s">
        <v>4</v>
      </c>
      <c r="BB494" s="691" t="s">
        <v>27</v>
      </c>
      <c r="BC494" s="571"/>
      <c r="BD494" s="651" t="s">
        <v>683</v>
      </c>
      <c r="BE494" s="653">
        <v>210.0</v>
      </c>
      <c r="BF494" s="653">
        <v>3.0</v>
      </c>
      <c r="BG494" s="653">
        <v>140.0</v>
      </c>
      <c r="BH494" s="653">
        <v>20.0</v>
      </c>
      <c r="BI494" s="607"/>
      <c r="BJ494" s="899" t="s">
        <v>890</v>
      </c>
      <c r="BK494" s="690"/>
      <c r="BL494" s="610"/>
      <c r="BM494" s="657" t="s">
        <v>411</v>
      </c>
      <c r="BN494" s="704"/>
      <c r="BO494" s="607"/>
      <c r="BP494" s="659" t="s">
        <v>914</v>
      </c>
      <c r="BQ494" s="614"/>
      <c r="BR494" s="660" t="s">
        <v>4435</v>
      </c>
      <c r="BS494" s="614"/>
    </row>
    <row r="495" ht="15.75" customHeight="1">
      <c r="A495" s="841"/>
      <c r="B495" s="617" t="s">
        <v>4315</v>
      </c>
      <c r="C495" s="618"/>
      <c r="D495" s="619"/>
      <c r="E495" s="629">
        <v>75.0</v>
      </c>
      <c r="F495" s="621">
        <v>125.0</v>
      </c>
      <c r="G495" s="622">
        <v>70.0</v>
      </c>
      <c r="H495" s="623">
        <v>125.0</v>
      </c>
      <c r="I495" s="624">
        <v>70.0</v>
      </c>
      <c r="J495" s="625">
        <v>115.0</v>
      </c>
      <c r="K495" s="626">
        <v>580.0</v>
      </c>
      <c r="L495" s="627">
        <v>75.0</v>
      </c>
      <c r="M495" s="621">
        <v>125.0</v>
      </c>
      <c r="N495" s="622">
        <v>70.0</v>
      </c>
      <c r="O495" s="623">
        <v>125.0</v>
      </c>
      <c r="P495" s="624">
        <v>70.0</v>
      </c>
      <c r="Q495" s="625">
        <v>115.0</v>
      </c>
      <c r="R495" s="628">
        <v>580.0</v>
      </c>
      <c r="S495" s="629">
        <v>75.0</v>
      </c>
      <c r="T495" s="621">
        <v>125.0</v>
      </c>
      <c r="U495" s="622">
        <v>70.0</v>
      </c>
      <c r="V495" s="623">
        <v>125.0</v>
      </c>
      <c r="W495" s="624">
        <v>70.0</v>
      </c>
      <c r="X495" s="625">
        <v>115.0</v>
      </c>
      <c r="Y495" s="628">
        <f t="shared" si="1"/>
        <v>580</v>
      </c>
      <c r="Z495" s="619"/>
      <c r="AA495" s="630" t="str">
        <f t="shared" si="2"/>
        <v>#NAME?</v>
      </c>
      <c r="AB495" s="869" t="s">
        <v>122</v>
      </c>
      <c r="AC495" s="632" t="str">
        <f t="shared" si="3"/>
        <v>#NAME?</v>
      </c>
      <c r="AD495" s="870" t="s">
        <v>4428</v>
      </c>
      <c r="AE495" s="633" t="str">
        <f t="shared" si="4"/>
        <v>#NAME?</v>
      </c>
      <c r="AF495" s="869" t="s">
        <v>122</v>
      </c>
      <c r="AG495" s="632" t="str">
        <f t="shared" si="5"/>
        <v>#NAME?</v>
      </c>
      <c r="AH495" s="634" t="s">
        <v>4428</v>
      </c>
      <c r="AI495" s="635" t="str">
        <f t="shared" si="6"/>
        <v>#NAME?</v>
      </c>
      <c r="AJ495" s="634" t="s">
        <v>122</v>
      </c>
      <c r="AK495" s="754" t="str">
        <f t="shared" si="7"/>
        <v>#NAME?</v>
      </c>
      <c r="AL495" s="755" t="s">
        <v>3017</v>
      </c>
      <c r="AM495" s="619"/>
      <c r="AN495" s="638" t="s">
        <v>1001</v>
      </c>
      <c r="AO495" s="639"/>
      <c r="AP495" s="712" t="s">
        <v>1001</v>
      </c>
      <c r="AQ495" s="639"/>
      <c r="AR495" s="712" t="s">
        <v>1001</v>
      </c>
      <c r="AS495" s="639"/>
      <c r="AT495" s="644"/>
      <c r="AU495" s="633"/>
      <c r="AV495" s="638"/>
      <c r="AW495" s="630"/>
      <c r="AX495" s="647"/>
      <c r="AY495" s="619"/>
      <c r="AZ495" s="698" t="s">
        <v>216</v>
      </c>
      <c r="BA495" s="690"/>
      <c r="BB495" s="649" t="s">
        <v>4</v>
      </c>
      <c r="BC495" s="619"/>
      <c r="BD495" s="651" t="s">
        <v>683</v>
      </c>
      <c r="BE495" s="653">
        <v>210.0</v>
      </c>
      <c r="BF495" s="653">
        <v>3.0</v>
      </c>
      <c r="BG495" s="653">
        <v>140.0</v>
      </c>
      <c r="BH495" s="653">
        <v>20.0</v>
      </c>
      <c r="BI495" s="607"/>
      <c r="BJ495" s="902" t="s">
        <v>890</v>
      </c>
      <c r="BK495" s="690"/>
      <c r="BL495" s="610"/>
      <c r="BM495" s="657" t="s">
        <v>411</v>
      </c>
      <c r="BN495" s="704"/>
      <c r="BO495" s="607"/>
      <c r="BP495" s="659" t="s">
        <v>914</v>
      </c>
      <c r="BQ495" s="614"/>
      <c r="BR495" s="660" t="s">
        <v>4430</v>
      </c>
      <c r="BS495" s="614"/>
    </row>
    <row r="496" ht="15.75" customHeight="1">
      <c r="A496" s="841"/>
      <c r="B496" s="661" t="s">
        <v>4319</v>
      </c>
      <c r="C496" s="662"/>
      <c r="D496" s="571"/>
      <c r="E496" s="672">
        <v>100.0</v>
      </c>
      <c r="F496" s="664">
        <v>120.0</v>
      </c>
      <c r="G496" s="665">
        <v>120.0</v>
      </c>
      <c r="H496" s="666">
        <v>150.0</v>
      </c>
      <c r="I496" s="667">
        <v>100.0</v>
      </c>
      <c r="J496" s="668">
        <v>90.0</v>
      </c>
      <c r="K496" s="669">
        <v>680.0</v>
      </c>
      <c r="L496" s="670">
        <v>100.0</v>
      </c>
      <c r="M496" s="664">
        <v>120.0</v>
      </c>
      <c r="N496" s="665">
        <v>120.0</v>
      </c>
      <c r="O496" s="666">
        <v>150.0</v>
      </c>
      <c r="P496" s="667">
        <v>100.0</v>
      </c>
      <c r="Q496" s="668">
        <v>90.0</v>
      </c>
      <c r="R496" s="671">
        <v>680.0</v>
      </c>
      <c r="S496" s="672">
        <v>100.0</v>
      </c>
      <c r="T496" s="664">
        <v>120.0</v>
      </c>
      <c r="U496" s="665">
        <v>120.0</v>
      </c>
      <c r="V496" s="666">
        <v>150.0</v>
      </c>
      <c r="W496" s="667">
        <v>100.0</v>
      </c>
      <c r="X496" s="668">
        <v>90.0</v>
      </c>
      <c r="Y496" s="671">
        <f t="shared" si="1"/>
        <v>680</v>
      </c>
      <c r="Z496" s="571"/>
      <c r="AA496" s="673" t="str">
        <f t="shared" si="2"/>
        <v>#NAME?</v>
      </c>
      <c r="AB496" s="871" t="s">
        <v>95</v>
      </c>
      <c r="AC496" s="675" t="str">
        <f t="shared" si="3"/>
        <v>#NAME?</v>
      </c>
      <c r="AD496" s="872" t="s">
        <v>61</v>
      </c>
      <c r="AE496" s="676" t="str">
        <f t="shared" si="4"/>
        <v>#NAME?</v>
      </c>
      <c r="AF496" s="871" t="s">
        <v>95</v>
      </c>
      <c r="AG496" s="675" t="str">
        <f t="shared" si="5"/>
        <v>#NAME?</v>
      </c>
      <c r="AH496" s="586" t="s">
        <v>61</v>
      </c>
      <c r="AI496" s="677" t="str">
        <f t="shared" si="6"/>
        <v>#NAME?</v>
      </c>
      <c r="AJ496" s="586" t="s">
        <v>95</v>
      </c>
      <c r="AK496" s="584" t="str">
        <f t="shared" si="7"/>
        <v>#NAME?</v>
      </c>
      <c r="AL496" s="678" t="s">
        <v>61</v>
      </c>
      <c r="AM496" s="571"/>
      <c r="AN496" s="679" t="s">
        <v>1447</v>
      </c>
      <c r="AO496" s="680"/>
      <c r="AP496" s="705" t="s">
        <v>1447</v>
      </c>
      <c r="AQ496" s="680"/>
      <c r="AR496" s="705" t="s">
        <v>1447</v>
      </c>
      <c r="AS496" s="680"/>
      <c r="AT496" s="595"/>
      <c r="AU496" s="676"/>
      <c r="AV496" s="679"/>
      <c r="AW496" s="673"/>
      <c r="AX496" s="866"/>
      <c r="AY496" s="571"/>
      <c r="AZ496" s="689" t="s">
        <v>85</v>
      </c>
      <c r="BA496" s="699"/>
      <c r="BB496" s="690"/>
      <c r="BC496" s="571"/>
      <c r="BD496" s="651" t="s">
        <v>683</v>
      </c>
      <c r="BE496" s="653">
        <v>220.0</v>
      </c>
      <c r="BF496" s="653">
        <v>30.0</v>
      </c>
      <c r="BG496" s="654">
        <v>0.0</v>
      </c>
      <c r="BH496" s="653">
        <v>120.0</v>
      </c>
      <c r="BI496" s="607"/>
      <c r="BJ496" s="899" t="s">
        <v>890</v>
      </c>
      <c r="BK496" s="690"/>
      <c r="BL496" s="610"/>
      <c r="BM496" s="657" t="s">
        <v>411</v>
      </c>
      <c r="BN496" s="704"/>
      <c r="BO496" s="607"/>
      <c r="BP496" s="659" t="s">
        <v>914</v>
      </c>
      <c r="BQ496" s="614"/>
      <c r="BR496" s="660" t="s">
        <v>4431</v>
      </c>
      <c r="BS496" s="614"/>
    </row>
    <row r="497" ht="15.75" customHeight="1">
      <c r="A497" s="841"/>
      <c r="B497" s="617" t="s">
        <v>4325</v>
      </c>
      <c r="C497" s="618"/>
      <c r="D497" s="619"/>
      <c r="E497" s="629">
        <v>90.0</v>
      </c>
      <c r="F497" s="621">
        <v>120.0</v>
      </c>
      <c r="G497" s="622">
        <v>100.0</v>
      </c>
      <c r="H497" s="623">
        <v>150.0</v>
      </c>
      <c r="I497" s="624">
        <v>120.0</v>
      </c>
      <c r="J497" s="625">
        <v>100.0</v>
      </c>
      <c r="K497" s="626">
        <v>680.0</v>
      </c>
      <c r="L497" s="627">
        <v>90.0</v>
      </c>
      <c r="M497" s="621">
        <v>120.0</v>
      </c>
      <c r="N497" s="622">
        <v>100.0</v>
      </c>
      <c r="O497" s="623">
        <v>150.0</v>
      </c>
      <c r="P497" s="624">
        <v>120.0</v>
      </c>
      <c r="Q497" s="625">
        <v>100.0</v>
      </c>
      <c r="R497" s="628">
        <v>680.0</v>
      </c>
      <c r="S497" s="629">
        <v>90.0</v>
      </c>
      <c r="T497" s="621">
        <v>120.0</v>
      </c>
      <c r="U497" s="622">
        <v>100.0</v>
      </c>
      <c r="V497" s="623">
        <v>150.0</v>
      </c>
      <c r="W497" s="624">
        <v>120.0</v>
      </c>
      <c r="X497" s="625">
        <v>100.0</v>
      </c>
      <c r="Y497" s="628">
        <f t="shared" si="1"/>
        <v>680</v>
      </c>
      <c r="Z497" s="619"/>
      <c r="AA497" s="630" t="str">
        <f t="shared" si="2"/>
        <v>#NAME?</v>
      </c>
      <c r="AB497" s="869" t="s">
        <v>32</v>
      </c>
      <c r="AC497" s="632" t="str">
        <f t="shared" si="3"/>
        <v>#NAME?</v>
      </c>
      <c r="AD497" s="870" t="s">
        <v>61</v>
      </c>
      <c r="AE497" s="633" t="str">
        <f t="shared" si="4"/>
        <v>#NAME?</v>
      </c>
      <c r="AF497" s="869" t="s">
        <v>32</v>
      </c>
      <c r="AG497" s="632" t="str">
        <f t="shared" si="5"/>
        <v>#NAME?</v>
      </c>
      <c r="AH497" s="634" t="s">
        <v>61</v>
      </c>
      <c r="AI497" s="635" t="str">
        <f t="shared" si="6"/>
        <v>#NAME?</v>
      </c>
      <c r="AJ497" s="634" t="s">
        <v>32</v>
      </c>
      <c r="AK497" s="636" t="str">
        <f t="shared" si="7"/>
        <v>#NAME?</v>
      </c>
      <c r="AL497" s="637" t="s">
        <v>61</v>
      </c>
      <c r="AM497" s="619"/>
      <c r="AN497" s="638" t="s">
        <v>1447</v>
      </c>
      <c r="AO497" s="639"/>
      <c r="AP497" s="712" t="s">
        <v>1447</v>
      </c>
      <c r="AQ497" s="639"/>
      <c r="AR497" s="712" t="s">
        <v>1447</v>
      </c>
      <c r="AS497" s="639"/>
      <c r="AT497" s="644"/>
      <c r="AU497" s="633"/>
      <c r="AV497" s="638"/>
      <c r="AW497" s="630"/>
      <c r="AX497" s="647"/>
      <c r="AY497" s="619"/>
      <c r="AZ497" s="698" t="s">
        <v>85</v>
      </c>
      <c r="BA497" s="699"/>
      <c r="BB497" s="690"/>
      <c r="BC497" s="619"/>
      <c r="BD497" s="651" t="s">
        <v>683</v>
      </c>
      <c r="BE497" s="653">
        <v>220.0</v>
      </c>
      <c r="BF497" s="653">
        <v>30.0</v>
      </c>
      <c r="BG497" s="653">
        <v>0.0</v>
      </c>
      <c r="BH497" s="653">
        <v>120.0</v>
      </c>
      <c r="BI497" s="607"/>
      <c r="BJ497" s="902" t="s">
        <v>890</v>
      </c>
      <c r="BK497" s="690"/>
      <c r="BL497" s="610"/>
      <c r="BM497" s="657" t="s">
        <v>411</v>
      </c>
      <c r="BN497" s="704"/>
      <c r="BO497" s="607"/>
      <c r="BP497" s="659" t="s">
        <v>914</v>
      </c>
      <c r="BQ497" s="614"/>
      <c r="BR497" s="660" t="s">
        <v>4434</v>
      </c>
      <c r="BS497" s="614"/>
    </row>
    <row r="498" ht="15.75" customHeight="1">
      <c r="A498" s="841"/>
      <c r="B498" s="661" t="s">
        <v>4330</v>
      </c>
      <c r="C498" s="662"/>
      <c r="D498" s="571"/>
      <c r="E498" s="672">
        <v>91.0</v>
      </c>
      <c r="F498" s="664">
        <v>90.0</v>
      </c>
      <c r="G498" s="665">
        <v>106.0</v>
      </c>
      <c r="H498" s="666">
        <v>130.0</v>
      </c>
      <c r="I498" s="667">
        <v>106.0</v>
      </c>
      <c r="J498" s="668">
        <v>77.0</v>
      </c>
      <c r="K498" s="669">
        <v>600.0</v>
      </c>
      <c r="L498" s="670">
        <v>91.0</v>
      </c>
      <c r="M498" s="664">
        <v>90.0</v>
      </c>
      <c r="N498" s="665">
        <v>106.0</v>
      </c>
      <c r="O498" s="666">
        <v>130.0</v>
      </c>
      <c r="P498" s="667">
        <v>106.0</v>
      </c>
      <c r="Q498" s="668">
        <v>77.0</v>
      </c>
      <c r="R498" s="671">
        <v>600.0</v>
      </c>
      <c r="S498" s="672">
        <v>91.0</v>
      </c>
      <c r="T498" s="664">
        <v>90.0</v>
      </c>
      <c r="U498" s="665">
        <v>106.0</v>
      </c>
      <c r="V498" s="666">
        <v>130.0</v>
      </c>
      <c r="W498" s="667">
        <v>106.0</v>
      </c>
      <c r="X498" s="668">
        <v>77.0</v>
      </c>
      <c r="Y498" s="671">
        <f t="shared" si="1"/>
        <v>600</v>
      </c>
      <c r="Z498" s="571"/>
      <c r="AA498" s="673" t="str">
        <f t="shared" si="2"/>
        <v>#NAME?</v>
      </c>
      <c r="AB498" s="871" t="s">
        <v>34</v>
      </c>
      <c r="AC498" s="675" t="str">
        <f t="shared" si="3"/>
        <v>#NAME?</v>
      </c>
      <c r="AD498" s="872" t="s">
        <v>95</v>
      </c>
      <c r="AE498" s="676" t="str">
        <f t="shared" si="4"/>
        <v>#NAME?</v>
      </c>
      <c r="AF498" s="871" t="s">
        <v>34</v>
      </c>
      <c r="AG498" s="675" t="str">
        <f t="shared" si="5"/>
        <v>#NAME?</v>
      </c>
      <c r="AH498" s="586" t="s">
        <v>95</v>
      </c>
      <c r="AI498" s="677" t="str">
        <f t="shared" si="6"/>
        <v>#NAME?</v>
      </c>
      <c r="AJ498" s="586" t="s">
        <v>34</v>
      </c>
      <c r="AK498" s="584" t="str">
        <f t="shared" si="7"/>
        <v>#NAME?</v>
      </c>
      <c r="AL498" s="678" t="s">
        <v>95</v>
      </c>
      <c r="AM498" s="571"/>
      <c r="AN498" s="679" t="s">
        <v>486</v>
      </c>
      <c r="AO498" s="680"/>
      <c r="AP498" s="705" t="s">
        <v>486</v>
      </c>
      <c r="AQ498" s="680" t="s">
        <v>852</v>
      </c>
      <c r="AR498" s="705" t="s">
        <v>486</v>
      </c>
      <c r="AS498" s="680" t="s">
        <v>852</v>
      </c>
      <c r="AT498" s="595"/>
      <c r="AU498" s="676"/>
      <c r="AV498" s="679"/>
      <c r="AW498" s="673"/>
      <c r="AX498" s="866"/>
      <c r="AY498" s="571"/>
      <c r="AZ498" s="689" t="s">
        <v>85</v>
      </c>
      <c r="BA498" s="699"/>
      <c r="BB498" s="690"/>
      <c r="BC498" s="571"/>
      <c r="BD498" s="651" t="s">
        <v>683</v>
      </c>
      <c r="BE498" s="653">
        <v>215.0</v>
      </c>
      <c r="BF498" s="653">
        <v>3.0</v>
      </c>
      <c r="BG498" s="653">
        <v>100.0</v>
      </c>
      <c r="BH498" s="653">
        <v>120.0</v>
      </c>
      <c r="BI498" s="607"/>
      <c r="BJ498" s="899" t="s">
        <v>890</v>
      </c>
      <c r="BK498" s="690"/>
      <c r="BL498" s="610"/>
      <c r="BM498" s="657" t="s">
        <v>411</v>
      </c>
      <c r="BN498" s="704"/>
      <c r="BO498" s="607"/>
      <c r="BP498" s="659" t="s">
        <v>914</v>
      </c>
      <c r="BQ498" s="614"/>
      <c r="BR498" s="660" t="s">
        <v>4432</v>
      </c>
      <c r="BS498" s="614"/>
    </row>
    <row r="499" ht="15.75" customHeight="1">
      <c r="A499" s="841"/>
      <c r="B499" s="617" t="s">
        <v>4336</v>
      </c>
      <c r="C499" s="618"/>
      <c r="D499" s="619"/>
      <c r="E499" s="629">
        <v>110.0</v>
      </c>
      <c r="F499" s="621">
        <v>160.0</v>
      </c>
      <c r="G499" s="622">
        <v>110.0</v>
      </c>
      <c r="H499" s="623">
        <v>80.0</v>
      </c>
      <c r="I499" s="624">
        <v>110.0</v>
      </c>
      <c r="J499" s="625">
        <v>100.0</v>
      </c>
      <c r="K499" s="626">
        <v>670.0</v>
      </c>
      <c r="L499" s="627">
        <v>110.0</v>
      </c>
      <c r="M499" s="621">
        <v>160.0</v>
      </c>
      <c r="N499" s="622">
        <v>110.0</v>
      </c>
      <c r="O499" s="623">
        <v>80.0</v>
      </c>
      <c r="P499" s="624">
        <v>110.0</v>
      </c>
      <c r="Q499" s="625">
        <v>100.0</v>
      </c>
      <c r="R499" s="628">
        <v>670.0</v>
      </c>
      <c r="S499" s="629">
        <v>110.0</v>
      </c>
      <c r="T499" s="621">
        <v>160.0</v>
      </c>
      <c r="U499" s="622">
        <v>110.0</v>
      </c>
      <c r="V499" s="623">
        <v>80.0</v>
      </c>
      <c r="W499" s="624">
        <v>110.0</v>
      </c>
      <c r="X499" s="625">
        <v>100.0</v>
      </c>
      <c r="Y499" s="628">
        <f t="shared" si="1"/>
        <v>670</v>
      </c>
      <c r="Z499" s="619"/>
      <c r="AA499" s="630" t="str">
        <f t="shared" si="2"/>
        <v>#NAME?</v>
      </c>
      <c r="AB499" s="869" t="s">
        <v>156</v>
      </c>
      <c r="AC499" s="632" t="str">
        <f t="shared" si="3"/>
        <v>#NAME?</v>
      </c>
      <c r="AD499" s="870" t="s">
        <v>4428</v>
      </c>
      <c r="AE499" s="633" t="str">
        <f t="shared" si="4"/>
        <v>#NAME?</v>
      </c>
      <c r="AF499" s="869" t="s">
        <v>156</v>
      </c>
      <c r="AG499" s="632" t="str">
        <f t="shared" si="5"/>
        <v>#NAME?</v>
      </c>
      <c r="AH499" s="634" t="s">
        <v>4428</v>
      </c>
      <c r="AI499" s="635" t="str">
        <f t="shared" si="6"/>
        <v>#NAME?</v>
      </c>
      <c r="AJ499" s="634" t="s">
        <v>156</v>
      </c>
      <c r="AK499" s="636" t="str">
        <f t="shared" si="7"/>
        <v>#NAME?</v>
      </c>
      <c r="AL499" s="637" t="s">
        <v>4428</v>
      </c>
      <c r="AM499" s="619"/>
      <c r="AN499" s="638" t="s">
        <v>4339</v>
      </c>
      <c r="AO499" s="639"/>
      <c r="AP499" s="712" t="s">
        <v>4339</v>
      </c>
      <c r="AQ499" s="639"/>
      <c r="AR499" s="712" t="s">
        <v>4339</v>
      </c>
      <c r="AS499" s="639"/>
      <c r="AT499" s="644"/>
      <c r="AU499" s="633"/>
      <c r="AV499" s="638"/>
      <c r="AW499" s="630"/>
      <c r="AX499" s="647"/>
      <c r="AY499" s="619"/>
      <c r="AZ499" s="698" t="s">
        <v>451</v>
      </c>
      <c r="BA499" s="699"/>
      <c r="BB499" s="690"/>
      <c r="BC499" s="619"/>
      <c r="BD499" s="651" t="s">
        <v>683</v>
      </c>
      <c r="BE499" s="653">
        <v>220.0</v>
      </c>
      <c r="BF499" s="653">
        <v>3.0</v>
      </c>
      <c r="BG499" s="653">
        <v>0.0</v>
      </c>
      <c r="BH499" s="653">
        <v>120.0</v>
      </c>
      <c r="BI499" s="607"/>
      <c r="BJ499" s="902" t="s">
        <v>890</v>
      </c>
      <c r="BK499" s="690"/>
      <c r="BL499" s="610"/>
      <c r="BM499" s="657" t="s">
        <v>411</v>
      </c>
      <c r="BN499" s="704"/>
      <c r="BO499" s="607"/>
      <c r="BP499" s="659" t="s">
        <v>914</v>
      </c>
      <c r="BQ499" s="614"/>
      <c r="BR499" s="660" t="s">
        <v>4431</v>
      </c>
      <c r="BS499" s="614"/>
    </row>
    <row r="500" ht="15.75" customHeight="1">
      <c r="A500" s="841"/>
      <c r="B500" s="661" t="s">
        <v>4342</v>
      </c>
      <c r="C500" s="662"/>
      <c r="D500" s="571"/>
      <c r="E500" s="672">
        <v>150.0</v>
      </c>
      <c r="F500" s="664">
        <v>100.0</v>
      </c>
      <c r="G500" s="665">
        <v>120.0</v>
      </c>
      <c r="H500" s="666">
        <v>100.0</v>
      </c>
      <c r="I500" s="667">
        <v>120.0</v>
      </c>
      <c r="J500" s="668">
        <v>90.0</v>
      </c>
      <c r="K500" s="669">
        <v>680.0</v>
      </c>
      <c r="L500" s="670">
        <v>150.0</v>
      </c>
      <c r="M500" s="664">
        <v>100.0</v>
      </c>
      <c r="N500" s="665">
        <v>120.0</v>
      </c>
      <c r="O500" s="666">
        <v>100.0</v>
      </c>
      <c r="P500" s="667">
        <v>120.0</v>
      </c>
      <c r="Q500" s="668">
        <v>90.0</v>
      </c>
      <c r="R500" s="671">
        <v>680.0</v>
      </c>
      <c r="S500" s="672">
        <v>150.0</v>
      </c>
      <c r="T500" s="664">
        <v>100.0</v>
      </c>
      <c r="U500" s="665">
        <v>120.0</v>
      </c>
      <c r="V500" s="666">
        <v>100.0</v>
      </c>
      <c r="W500" s="667">
        <v>120.0</v>
      </c>
      <c r="X500" s="668">
        <v>90.0</v>
      </c>
      <c r="Y500" s="671">
        <f t="shared" si="1"/>
        <v>680</v>
      </c>
      <c r="Z500" s="571"/>
      <c r="AA500" s="673" t="str">
        <f t="shared" si="2"/>
        <v>#NAME?</v>
      </c>
      <c r="AB500" s="871" t="s">
        <v>92</v>
      </c>
      <c r="AC500" s="675" t="str">
        <f t="shared" si="3"/>
        <v>#NAME?</v>
      </c>
      <c r="AD500" s="872" t="s">
        <v>61</v>
      </c>
      <c r="AE500" s="676" t="str">
        <f t="shared" si="4"/>
        <v>#NAME?</v>
      </c>
      <c r="AF500" s="871" t="s">
        <v>92</v>
      </c>
      <c r="AG500" s="675" t="str">
        <f t="shared" si="5"/>
        <v>#NAME?</v>
      </c>
      <c r="AH500" s="586" t="s">
        <v>61</v>
      </c>
      <c r="AI500" s="677" t="str">
        <f t="shared" si="6"/>
        <v>#NAME?</v>
      </c>
      <c r="AJ500" s="586" t="s">
        <v>92</v>
      </c>
      <c r="AK500" s="584" t="str">
        <f t="shared" si="7"/>
        <v>#NAME?</v>
      </c>
      <c r="AL500" s="678" t="s">
        <v>61</v>
      </c>
      <c r="AM500" s="571"/>
      <c r="AN500" s="679" t="s">
        <v>1447</v>
      </c>
      <c r="AO500" s="680"/>
      <c r="AP500" s="705" t="s">
        <v>1447</v>
      </c>
      <c r="AQ500" s="680"/>
      <c r="AR500" s="705" t="s">
        <v>1447</v>
      </c>
      <c r="AS500" s="680"/>
      <c r="AT500" s="595"/>
      <c r="AU500" s="904" t="str">
        <f t="shared" ref="AU500:AU501" si="60">image("https://www.pokebip.com/pages/icones/objets/orbe-platine.png", 3)</f>
        <v/>
      </c>
      <c r="AV500" s="905" t="s">
        <v>4347</v>
      </c>
      <c r="AW500" s="673"/>
      <c r="AX500" s="866"/>
      <c r="AY500" s="571"/>
      <c r="AZ500" s="689" t="s">
        <v>422</v>
      </c>
      <c r="BA500" s="699"/>
      <c r="BB500" s="690"/>
      <c r="BC500" s="571"/>
      <c r="BD500" s="651" t="s">
        <v>683</v>
      </c>
      <c r="BE500" s="653">
        <v>220.0</v>
      </c>
      <c r="BF500" s="653">
        <v>3.0</v>
      </c>
      <c r="BG500" s="653">
        <v>0.0</v>
      </c>
      <c r="BH500" s="653">
        <v>120.0</v>
      </c>
      <c r="BI500" s="607"/>
      <c r="BJ500" s="899" t="s">
        <v>890</v>
      </c>
      <c r="BK500" s="690"/>
      <c r="BL500" s="610"/>
      <c r="BM500" s="657" t="s">
        <v>411</v>
      </c>
      <c r="BN500" s="704"/>
      <c r="BO500" s="607"/>
      <c r="BP500" s="659" t="s">
        <v>914</v>
      </c>
      <c r="BQ500" s="614"/>
      <c r="BR500" s="660" t="s">
        <v>4449</v>
      </c>
      <c r="BS500" s="614"/>
    </row>
    <row r="501" ht="15.75" customHeight="1">
      <c r="A501" s="841"/>
      <c r="B501" s="617" t="s">
        <v>4353</v>
      </c>
      <c r="C501" s="618"/>
      <c r="D501" s="619"/>
      <c r="E501" s="629">
        <v>150.0</v>
      </c>
      <c r="F501" s="621">
        <v>120.0</v>
      </c>
      <c r="G501" s="622">
        <v>100.0</v>
      </c>
      <c r="H501" s="623">
        <v>120.0</v>
      </c>
      <c r="I501" s="624">
        <v>100.0</v>
      </c>
      <c r="J501" s="625">
        <v>90.0</v>
      </c>
      <c r="K501" s="626">
        <v>680.0</v>
      </c>
      <c r="L501" s="627">
        <v>150.0</v>
      </c>
      <c r="M501" s="621">
        <v>120.0</v>
      </c>
      <c r="N501" s="622">
        <v>100.0</v>
      </c>
      <c r="O501" s="623">
        <v>120.0</v>
      </c>
      <c r="P501" s="624">
        <v>100.0</v>
      </c>
      <c r="Q501" s="625">
        <v>90.0</v>
      </c>
      <c r="R501" s="628">
        <v>680.0</v>
      </c>
      <c r="S501" s="629">
        <v>150.0</v>
      </c>
      <c r="T501" s="621">
        <v>120.0</v>
      </c>
      <c r="U501" s="622">
        <v>100.0</v>
      </c>
      <c r="V501" s="623">
        <v>120.0</v>
      </c>
      <c r="W501" s="624">
        <v>100.0</v>
      </c>
      <c r="X501" s="625">
        <v>90.0</v>
      </c>
      <c r="Y501" s="628">
        <f t="shared" si="1"/>
        <v>680</v>
      </c>
      <c r="Z501" s="619"/>
      <c r="AA501" s="630" t="str">
        <f t="shared" si="2"/>
        <v>#NAME?</v>
      </c>
      <c r="AB501" s="869" t="s">
        <v>92</v>
      </c>
      <c r="AC501" s="632" t="str">
        <f t="shared" si="3"/>
        <v>#NAME?</v>
      </c>
      <c r="AD501" s="870" t="s">
        <v>61</v>
      </c>
      <c r="AE501" s="633" t="str">
        <f t="shared" si="4"/>
        <v>#NAME?</v>
      </c>
      <c r="AF501" s="869" t="s">
        <v>92</v>
      </c>
      <c r="AG501" s="632" t="str">
        <f t="shared" si="5"/>
        <v>#NAME?</v>
      </c>
      <c r="AH501" s="634" t="s">
        <v>61</v>
      </c>
      <c r="AI501" s="635" t="str">
        <f t="shared" si="6"/>
        <v>#NAME?</v>
      </c>
      <c r="AJ501" s="634" t="s">
        <v>92</v>
      </c>
      <c r="AK501" s="636" t="str">
        <f t="shared" si="7"/>
        <v>#NAME?</v>
      </c>
      <c r="AL501" s="637" t="s">
        <v>61</v>
      </c>
      <c r="AM501" s="619"/>
      <c r="AN501" s="638" t="s">
        <v>1001</v>
      </c>
      <c r="AO501" s="639"/>
      <c r="AP501" s="712" t="s">
        <v>1001</v>
      </c>
      <c r="AQ501" s="639"/>
      <c r="AR501" s="712" t="s">
        <v>1001</v>
      </c>
      <c r="AS501" s="639"/>
      <c r="AT501" s="644"/>
      <c r="AU501" s="906" t="str">
        <f t="shared" si="60"/>
        <v/>
      </c>
      <c r="AV501" s="907" t="s">
        <v>4347</v>
      </c>
      <c r="AW501" s="630"/>
      <c r="AX501" s="647"/>
      <c r="AY501" s="619"/>
      <c r="AZ501" s="698" t="s">
        <v>422</v>
      </c>
      <c r="BA501" s="699"/>
      <c r="BB501" s="690"/>
      <c r="BC501" s="619"/>
      <c r="BD501" s="651" t="s">
        <v>683</v>
      </c>
      <c r="BE501" s="653">
        <v>220.0</v>
      </c>
      <c r="BF501" s="653">
        <v>3.0</v>
      </c>
      <c r="BG501" s="653">
        <v>0.0</v>
      </c>
      <c r="BH501" s="653">
        <v>120.0</v>
      </c>
      <c r="BI501" s="607"/>
      <c r="BJ501" s="902" t="s">
        <v>890</v>
      </c>
      <c r="BK501" s="690"/>
      <c r="BL501" s="610"/>
      <c r="BM501" s="657" t="s">
        <v>411</v>
      </c>
      <c r="BN501" s="704"/>
      <c r="BO501" s="607"/>
      <c r="BP501" s="659" t="s">
        <v>914</v>
      </c>
      <c r="BQ501" s="614"/>
      <c r="BR501" s="660" t="s">
        <v>4449</v>
      </c>
      <c r="BS501" s="614"/>
    </row>
    <row r="502" ht="15.75" customHeight="1">
      <c r="A502" s="841"/>
      <c r="B502" s="661" t="s">
        <v>4356</v>
      </c>
      <c r="C502" s="662"/>
      <c r="D502" s="571"/>
      <c r="E502" s="672">
        <v>120.0</v>
      </c>
      <c r="F502" s="664">
        <v>70.0</v>
      </c>
      <c r="G502" s="665">
        <v>120.0</v>
      </c>
      <c r="H502" s="666">
        <v>75.0</v>
      </c>
      <c r="I502" s="667">
        <v>130.0</v>
      </c>
      <c r="J502" s="668">
        <v>85.0</v>
      </c>
      <c r="K502" s="669">
        <v>600.0</v>
      </c>
      <c r="L502" s="670">
        <v>120.0</v>
      </c>
      <c r="M502" s="664">
        <v>70.0</v>
      </c>
      <c r="N502" s="665">
        <v>120.0</v>
      </c>
      <c r="O502" s="666">
        <v>75.0</v>
      </c>
      <c r="P502" s="667">
        <v>130.0</v>
      </c>
      <c r="Q502" s="668">
        <v>85.0</v>
      </c>
      <c r="R502" s="671">
        <v>600.0</v>
      </c>
      <c r="S502" s="672">
        <v>120.0</v>
      </c>
      <c r="T502" s="664">
        <v>70.0</v>
      </c>
      <c r="U502" s="665">
        <v>120.0</v>
      </c>
      <c r="V502" s="666">
        <v>75.0</v>
      </c>
      <c r="W502" s="667">
        <v>130.0</v>
      </c>
      <c r="X502" s="668">
        <v>85.0</v>
      </c>
      <c r="Y502" s="671">
        <f t="shared" si="1"/>
        <v>600</v>
      </c>
      <c r="Z502" s="571"/>
      <c r="AA502" s="673" t="str">
        <f t="shared" si="2"/>
        <v>#NAME?</v>
      </c>
      <c r="AB502" s="871" t="s">
        <v>122</v>
      </c>
      <c r="AC502" s="675" t="str">
        <f t="shared" si="3"/>
        <v>#NAME?</v>
      </c>
      <c r="AD502" s="872" t="s">
        <v>4428</v>
      </c>
      <c r="AE502" s="676" t="str">
        <f t="shared" si="4"/>
        <v>#NAME?</v>
      </c>
      <c r="AF502" s="871" t="s">
        <v>122</v>
      </c>
      <c r="AG502" s="675" t="str">
        <f t="shared" si="5"/>
        <v>#NAME?</v>
      </c>
      <c r="AH502" s="586" t="s">
        <v>4428</v>
      </c>
      <c r="AI502" s="677" t="str">
        <f t="shared" si="6"/>
        <v>#NAME?</v>
      </c>
      <c r="AJ502" s="586" t="s">
        <v>122</v>
      </c>
      <c r="AK502" s="584" t="str">
        <f t="shared" si="7"/>
        <v>#NAME?</v>
      </c>
      <c r="AL502" s="678" t="s">
        <v>4428</v>
      </c>
      <c r="AM502" s="571"/>
      <c r="AN502" s="679" t="s">
        <v>1001</v>
      </c>
      <c r="AO502" s="680"/>
      <c r="AP502" s="705" t="s">
        <v>1001</v>
      </c>
      <c r="AQ502" s="680"/>
      <c r="AR502" s="705" t="s">
        <v>1001</v>
      </c>
      <c r="AS502" s="680"/>
      <c r="AT502" s="595"/>
      <c r="AU502" s="676"/>
      <c r="AV502" s="679"/>
      <c r="AW502" s="673"/>
      <c r="AX502" s="866"/>
      <c r="AY502" s="571"/>
      <c r="AZ502" s="689" t="s">
        <v>129</v>
      </c>
      <c r="BA502" s="699"/>
      <c r="BB502" s="690"/>
      <c r="BC502" s="571"/>
      <c r="BD502" s="651" t="s">
        <v>683</v>
      </c>
      <c r="BE502" s="653">
        <v>210.0</v>
      </c>
      <c r="BF502" s="653">
        <v>3.0</v>
      </c>
      <c r="BG502" s="653">
        <v>100.0</v>
      </c>
      <c r="BH502" s="653">
        <v>80.0</v>
      </c>
      <c r="BI502" s="607"/>
      <c r="BJ502" s="908">
        <v>0.0</v>
      </c>
      <c r="BK502" s="909" t="s">
        <v>397</v>
      </c>
      <c r="BL502" s="610"/>
      <c r="BM502" s="657" t="s">
        <v>411</v>
      </c>
      <c r="BN502" s="704"/>
      <c r="BO502" s="607"/>
      <c r="BP502" s="659" t="s">
        <v>914</v>
      </c>
      <c r="BQ502" s="614"/>
      <c r="BR502" s="660" t="s">
        <v>4433</v>
      </c>
      <c r="BS502" s="614"/>
    </row>
    <row r="503" ht="15.75" customHeight="1">
      <c r="A503" s="841"/>
      <c r="B503" s="617" t="s">
        <v>4361</v>
      </c>
      <c r="C503" s="618"/>
      <c r="D503" s="619"/>
      <c r="E503" s="629">
        <v>80.0</v>
      </c>
      <c r="F503" s="621">
        <v>80.0</v>
      </c>
      <c r="G503" s="622">
        <v>80.0</v>
      </c>
      <c r="H503" s="623">
        <v>80.0</v>
      </c>
      <c r="I503" s="624">
        <v>80.0</v>
      </c>
      <c r="J503" s="625">
        <v>80.0</v>
      </c>
      <c r="K503" s="626">
        <v>480.0</v>
      </c>
      <c r="L503" s="627">
        <v>80.0</v>
      </c>
      <c r="M503" s="621">
        <v>80.0</v>
      </c>
      <c r="N503" s="622">
        <v>80.0</v>
      </c>
      <c r="O503" s="623">
        <v>80.0</v>
      </c>
      <c r="P503" s="624">
        <v>80.0</v>
      </c>
      <c r="Q503" s="625">
        <v>80.0</v>
      </c>
      <c r="R503" s="628">
        <v>480.0</v>
      </c>
      <c r="S503" s="629">
        <v>80.0</v>
      </c>
      <c r="T503" s="621">
        <v>80.0</v>
      </c>
      <c r="U503" s="622">
        <v>80.0</v>
      </c>
      <c r="V503" s="623">
        <v>80.0</v>
      </c>
      <c r="W503" s="624">
        <v>80.0</v>
      </c>
      <c r="X503" s="625">
        <v>80.0</v>
      </c>
      <c r="Y503" s="628">
        <f t="shared" si="1"/>
        <v>480</v>
      </c>
      <c r="Z503" s="619"/>
      <c r="AA503" s="630" t="str">
        <f t="shared" si="2"/>
        <v>#NAME?</v>
      </c>
      <c r="AB503" s="869" t="s">
        <v>32</v>
      </c>
      <c r="AC503" s="632" t="str">
        <f t="shared" si="3"/>
        <v>#NAME?</v>
      </c>
      <c r="AD503" s="870" t="s">
        <v>4428</v>
      </c>
      <c r="AE503" s="633" t="str">
        <f t="shared" si="4"/>
        <v>#NAME?</v>
      </c>
      <c r="AF503" s="869" t="s">
        <v>32</v>
      </c>
      <c r="AG503" s="632" t="str">
        <f t="shared" si="5"/>
        <v>#NAME?</v>
      </c>
      <c r="AH503" s="634" t="s">
        <v>4428</v>
      </c>
      <c r="AI503" s="635" t="str">
        <f t="shared" si="6"/>
        <v>#NAME?</v>
      </c>
      <c r="AJ503" s="634" t="s">
        <v>32</v>
      </c>
      <c r="AK503" s="636" t="str">
        <f t="shared" si="7"/>
        <v>#NAME?</v>
      </c>
      <c r="AL503" s="637" t="s">
        <v>4428</v>
      </c>
      <c r="AM503" s="619"/>
      <c r="AN503" s="638" t="s">
        <v>945</v>
      </c>
      <c r="AO503" s="639"/>
      <c r="AP503" s="712" t="s">
        <v>945</v>
      </c>
      <c r="AQ503" s="639"/>
      <c r="AR503" s="712" t="s">
        <v>945</v>
      </c>
      <c r="AS503" s="639"/>
      <c r="AT503" s="644"/>
      <c r="AU503" s="633"/>
      <c r="AV503" s="638"/>
      <c r="AW503" s="630"/>
      <c r="AX503" s="647"/>
      <c r="AY503" s="619"/>
      <c r="AZ503" s="648" t="s">
        <v>144</v>
      </c>
      <c r="BA503" s="694"/>
      <c r="BB503" s="690"/>
      <c r="BC503" s="619"/>
      <c r="BD503" s="651" t="s">
        <v>683</v>
      </c>
      <c r="BE503" s="653">
        <v>165.0</v>
      </c>
      <c r="BF503" s="653">
        <v>30.0</v>
      </c>
      <c r="BG503" s="653">
        <v>70.0</v>
      </c>
      <c r="BH503" s="653">
        <v>20.0</v>
      </c>
      <c r="BI503" s="607"/>
      <c r="BJ503" s="910" t="s">
        <v>890</v>
      </c>
      <c r="BK503" s="766"/>
      <c r="BL503" s="610"/>
      <c r="BM503" s="657" t="s">
        <v>411</v>
      </c>
      <c r="BN503" s="704"/>
      <c r="BO503" s="607"/>
      <c r="BP503" s="659" t="s">
        <v>914</v>
      </c>
      <c r="BQ503" s="614"/>
      <c r="BR503" s="660" t="s">
        <v>4430</v>
      </c>
      <c r="BS503" s="614"/>
    </row>
    <row r="504" ht="15.75" customHeight="1">
      <c r="A504" s="841"/>
      <c r="B504" s="661" t="s">
        <v>4366</v>
      </c>
      <c r="C504" s="662"/>
      <c r="D504" s="571"/>
      <c r="E504" s="672">
        <v>100.0</v>
      </c>
      <c r="F504" s="664">
        <v>100.0</v>
      </c>
      <c r="G504" s="665">
        <v>100.0</v>
      </c>
      <c r="H504" s="666">
        <v>100.0</v>
      </c>
      <c r="I504" s="667">
        <v>100.0</v>
      </c>
      <c r="J504" s="668">
        <v>100.0</v>
      </c>
      <c r="K504" s="669">
        <v>600.0</v>
      </c>
      <c r="L504" s="670">
        <v>100.0</v>
      </c>
      <c r="M504" s="664">
        <v>100.0</v>
      </c>
      <c r="N504" s="665">
        <v>100.0</v>
      </c>
      <c r="O504" s="666">
        <v>100.0</v>
      </c>
      <c r="P504" s="667">
        <v>100.0</v>
      </c>
      <c r="Q504" s="668">
        <v>100.0</v>
      </c>
      <c r="R504" s="671">
        <v>600.0</v>
      </c>
      <c r="S504" s="672">
        <v>100.0</v>
      </c>
      <c r="T504" s="664">
        <v>100.0</v>
      </c>
      <c r="U504" s="665">
        <v>100.0</v>
      </c>
      <c r="V504" s="666">
        <v>100.0</v>
      </c>
      <c r="W504" s="667">
        <v>100.0</v>
      </c>
      <c r="X504" s="668">
        <v>100.0</v>
      </c>
      <c r="Y504" s="671">
        <f t="shared" si="1"/>
        <v>600</v>
      </c>
      <c r="Z504" s="571"/>
      <c r="AA504" s="673" t="str">
        <f t="shared" si="2"/>
        <v>#NAME?</v>
      </c>
      <c r="AB504" s="871" t="s">
        <v>32</v>
      </c>
      <c r="AC504" s="675" t="str">
        <f t="shared" si="3"/>
        <v>#NAME?</v>
      </c>
      <c r="AD504" s="872" t="s">
        <v>4428</v>
      </c>
      <c r="AE504" s="676" t="str">
        <f t="shared" si="4"/>
        <v>#NAME?</v>
      </c>
      <c r="AF504" s="871" t="s">
        <v>32</v>
      </c>
      <c r="AG504" s="675" t="str">
        <f t="shared" si="5"/>
        <v>#NAME?</v>
      </c>
      <c r="AH504" s="586" t="s">
        <v>4428</v>
      </c>
      <c r="AI504" s="677" t="str">
        <f t="shared" si="6"/>
        <v>#NAME?</v>
      </c>
      <c r="AJ504" s="586" t="s">
        <v>32</v>
      </c>
      <c r="AK504" s="584" t="str">
        <f t="shared" si="7"/>
        <v>#NAME?</v>
      </c>
      <c r="AL504" s="678" t="s">
        <v>4428</v>
      </c>
      <c r="AM504" s="571"/>
      <c r="AN504" s="679" t="s">
        <v>945</v>
      </c>
      <c r="AO504" s="680"/>
      <c r="AP504" s="705" t="s">
        <v>945</v>
      </c>
      <c r="AQ504" s="680"/>
      <c r="AR504" s="705" t="s">
        <v>945</v>
      </c>
      <c r="AS504" s="680"/>
      <c r="AT504" s="595"/>
      <c r="AU504" s="676"/>
      <c r="AV504" s="679"/>
      <c r="AW504" s="673"/>
      <c r="AX504" s="866"/>
      <c r="AY504" s="571"/>
      <c r="AZ504" s="689" t="s">
        <v>422</v>
      </c>
      <c r="BA504" s="699"/>
      <c r="BB504" s="690"/>
      <c r="BC504" s="571"/>
      <c r="BD504" s="651" t="s">
        <v>683</v>
      </c>
      <c r="BE504" s="653">
        <v>215.0</v>
      </c>
      <c r="BF504" s="653">
        <v>3.0</v>
      </c>
      <c r="BG504" s="653">
        <v>70.0</v>
      </c>
      <c r="BH504" s="653">
        <v>20.0</v>
      </c>
      <c r="BI504" s="607"/>
      <c r="BJ504" s="911" t="s">
        <v>890</v>
      </c>
      <c r="BK504" s="690"/>
      <c r="BL504" s="610"/>
      <c r="BM504" s="657" t="s">
        <v>411</v>
      </c>
      <c r="BN504" s="704"/>
      <c r="BO504" s="607"/>
      <c r="BP504" s="659" t="s">
        <v>914</v>
      </c>
      <c r="BQ504" s="614"/>
      <c r="BR504" s="660" t="s">
        <v>4430</v>
      </c>
      <c r="BS504" s="614"/>
    </row>
    <row r="505" ht="15.75" customHeight="1">
      <c r="A505" s="841"/>
      <c r="B505" s="617" t="s">
        <v>4371</v>
      </c>
      <c r="C505" s="618"/>
      <c r="D505" s="619"/>
      <c r="E505" s="629">
        <v>70.0</v>
      </c>
      <c r="F505" s="621">
        <v>90.0</v>
      </c>
      <c r="G505" s="622">
        <v>90.0</v>
      </c>
      <c r="H505" s="623">
        <v>135.0</v>
      </c>
      <c r="I505" s="624">
        <v>90.0</v>
      </c>
      <c r="J505" s="625">
        <v>125.0</v>
      </c>
      <c r="K505" s="626">
        <v>600.0</v>
      </c>
      <c r="L505" s="627">
        <v>70.0</v>
      </c>
      <c r="M505" s="621">
        <v>90.0</v>
      </c>
      <c r="N505" s="622">
        <v>90.0</v>
      </c>
      <c r="O505" s="623">
        <v>135.0</v>
      </c>
      <c r="P505" s="624">
        <v>90.0</v>
      </c>
      <c r="Q505" s="625">
        <v>125.0</v>
      </c>
      <c r="R505" s="628">
        <v>600.0</v>
      </c>
      <c r="S505" s="629">
        <v>70.0</v>
      </c>
      <c r="T505" s="621">
        <v>90.0</v>
      </c>
      <c r="U505" s="622">
        <v>90.0</v>
      </c>
      <c r="V505" s="623">
        <v>135.0</v>
      </c>
      <c r="W505" s="624">
        <v>90.0</v>
      </c>
      <c r="X505" s="625">
        <v>125.0</v>
      </c>
      <c r="Y505" s="628">
        <f t="shared" si="1"/>
        <v>600</v>
      </c>
      <c r="Z505" s="619"/>
      <c r="AA505" s="630" t="str">
        <f t="shared" si="2"/>
        <v>#NAME?</v>
      </c>
      <c r="AB505" s="869" t="s">
        <v>76</v>
      </c>
      <c r="AC505" s="632" t="str">
        <f t="shared" si="3"/>
        <v>#NAME?</v>
      </c>
      <c r="AD505" s="870" t="s">
        <v>4428</v>
      </c>
      <c r="AE505" s="633" t="str">
        <f t="shared" si="4"/>
        <v>#NAME?</v>
      </c>
      <c r="AF505" s="869" t="s">
        <v>76</v>
      </c>
      <c r="AG505" s="632" t="str">
        <f t="shared" si="5"/>
        <v>#NAME?</v>
      </c>
      <c r="AH505" s="634" t="s">
        <v>4428</v>
      </c>
      <c r="AI505" s="635" t="str">
        <f t="shared" si="6"/>
        <v>#NAME?</v>
      </c>
      <c r="AJ505" s="634" t="s">
        <v>76</v>
      </c>
      <c r="AK505" s="636" t="str">
        <f t="shared" si="7"/>
        <v>#NAME?</v>
      </c>
      <c r="AL505" s="637" t="s">
        <v>4428</v>
      </c>
      <c r="AM505" s="619"/>
      <c r="AN505" s="638" t="s">
        <v>4374</v>
      </c>
      <c r="AO505" s="639"/>
      <c r="AP505" s="712" t="s">
        <v>4374</v>
      </c>
      <c r="AQ505" s="639"/>
      <c r="AR505" s="712" t="s">
        <v>4374</v>
      </c>
      <c r="AS505" s="639"/>
      <c r="AT505" s="644"/>
      <c r="AU505" s="633"/>
      <c r="AV505" s="638"/>
      <c r="AW505" s="630"/>
      <c r="AX505" s="647" t="s">
        <v>4510</v>
      </c>
      <c r="AY505" s="619"/>
      <c r="AZ505" s="698" t="s">
        <v>42</v>
      </c>
      <c r="BA505" s="690"/>
      <c r="BB505" s="649" t="s">
        <v>56</v>
      </c>
      <c r="BC505" s="619"/>
      <c r="BD505" s="651" t="s">
        <v>683</v>
      </c>
      <c r="BE505" s="653">
        <v>210.0</v>
      </c>
      <c r="BF505" s="653">
        <v>3.0</v>
      </c>
      <c r="BG505" s="653">
        <v>0.0</v>
      </c>
      <c r="BH505" s="653">
        <v>80.0</v>
      </c>
      <c r="BI505" s="607"/>
      <c r="BJ505" s="912" t="s">
        <v>890</v>
      </c>
      <c r="BK505" s="690"/>
      <c r="BL505" s="610"/>
      <c r="BM505" s="657" t="s">
        <v>411</v>
      </c>
      <c r="BN505" s="704"/>
      <c r="BO505" s="607"/>
      <c r="BP505" s="659" t="s">
        <v>914</v>
      </c>
      <c r="BQ505" s="614"/>
      <c r="BR505" s="660" t="s">
        <v>4449</v>
      </c>
      <c r="BS505" s="614"/>
    </row>
    <row r="506" ht="15.75" customHeight="1">
      <c r="A506" s="841"/>
      <c r="B506" s="661" t="s">
        <v>4377</v>
      </c>
      <c r="C506" s="662"/>
      <c r="D506" s="571"/>
      <c r="E506" s="672">
        <v>100.0</v>
      </c>
      <c r="F506" s="664">
        <v>100.0</v>
      </c>
      <c r="G506" s="665">
        <v>100.0</v>
      </c>
      <c r="H506" s="666">
        <v>100.0</v>
      </c>
      <c r="I506" s="667">
        <v>100.0</v>
      </c>
      <c r="J506" s="668">
        <v>100.0</v>
      </c>
      <c r="K506" s="669">
        <v>600.0</v>
      </c>
      <c r="L506" s="670">
        <v>100.0</v>
      </c>
      <c r="M506" s="664">
        <v>100.0</v>
      </c>
      <c r="N506" s="665">
        <v>100.0</v>
      </c>
      <c r="O506" s="666">
        <v>100.0</v>
      </c>
      <c r="P506" s="667">
        <v>100.0</v>
      </c>
      <c r="Q506" s="668">
        <v>100.0</v>
      </c>
      <c r="R506" s="671">
        <v>600.0</v>
      </c>
      <c r="S506" s="672">
        <v>100.0</v>
      </c>
      <c r="T506" s="664">
        <v>100.0</v>
      </c>
      <c r="U506" s="665">
        <v>100.0</v>
      </c>
      <c r="V506" s="666">
        <v>100.0</v>
      </c>
      <c r="W506" s="667">
        <v>100.0</v>
      </c>
      <c r="X506" s="668">
        <v>100.0</v>
      </c>
      <c r="Y506" s="671">
        <f t="shared" si="1"/>
        <v>600</v>
      </c>
      <c r="Z506" s="571"/>
      <c r="AA506" s="673" t="str">
        <f t="shared" si="2"/>
        <v>#NAME?</v>
      </c>
      <c r="AB506" s="871" t="s">
        <v>6</v>
      </c>
      <c r="AC506" s="675" t="str">
        <f t="shared" si="3"/>
        <v>#NAME?</v>
      </c>
      <c r="AD506" s="872" t="s">
        <v>4428</v>
      </c>
      <c r="AE506" s="676" t="str">
        <f t="shared" si="4"/>
        <v>#NAME?</v>
      </c>
      <c r="AF506" s="871" t="s">
        <v>6</v>
      </c>
      <c r="AG506" s="675" t="str">
        <f t="shared" si="5"/>
        <v>#NAME?</v>
      </c>
      <c r="AH506" s="586" t="s">
        <v>4428</v>
      </c>
      <c r="AI506" s="677" t="str">
        <f t="shared" si="6"/>
        <v>#NAME?</v>
      </c>
      <c r="AJ506" s="586" t="s">
        <v>6</v>
      </c>
      <c r="AK506" s="584" t="str">
        <f t="shared" si="7"/>
        <v>#NAME?</v>
      </c>
      <c r="AL506" s="678" t="s">
        <v>4428</v>
      </c>
      <c r="AM506" s="571"/>
      <c r="AN506" s="679" t="s">
        <v>1182</v>
      </c>
      <c r="AO506" s="680"/>
      <c r="AP506" s="705" t="s">
        <v>1182</v>
      </c>
      <c r="AQ506" s="680"/>
      <c r="AR506" s="705" t="s">
        <v>1182</v>
      </c>
      <c r="AS506" s="680"/>
      <c r="AT506" s="595"/>
      <c r="AU506" s="676" t="str">
        <f t="shared" ref="AU506:AU507" si="61">image("https://www.serebii.net/diamondpearl/berries/09.png", 3)</f>
        <v/>
      </c>
      <c r="AV506" s="679" t="s">
        <v>1526</v>
      </c>
      <c r="AW506" s="673"/>
      <c r="AX506" s="866"/>
      <c r="AY506" s="571"/>
      <c r="AZ506" s="689" t="s">
        <v>422</v>
      </c>
      <c r="BA506" s="699"/>
      <c r="BB506" s="690"/>
      <c r="BC506" s="571"/>
      <c r="BD506" s="651" t="s">
        <v>15</v>
      </c>
      <c r="BE506" s="653">
        <v>64.0</v>
      </c>
      <c r="BF506" s="653">
        <v>45.0</v>
      </c>
      <c r="BG506" s="653">
        <v>100.0</v>
      </c>
      <c r="BH506" s="653">
        <v>20.0</v>
      </c>
      <c r="BI506" s="607"/>
      <c r="BJ506" s="911" t="s">
        <v>890</v>
      </c>
      <c r="BK506" s="690"/>
      <c r="BL506" s="610"/>
      <c r="BM506" s="657" t="s">
        <v>411</v>
      </c>
      <c r="BN506" s="704"/>
      <c r="BO506" s="607"/>
      <c r="BP506" s="659" t="s">
        <v>914</v>
      </c>
      <c r="BQ506" s="614"/>
      <c r="BR506" s="660" t="s">
        <v>4427</v>
      </c>
      <c r="BS506" s="614"/>
    </row>
    <row r="507" ht="15.75" customHeight="1">
      <c r="A507" s="841"/>
      <c r="B507" s="617" t="s">
        <v>4385</v>
      </c>
      <c r="C507" s="618"/>
      <c r="D507" s="619"/>
      <c r="E507" s="629">
        <v>100.0</v>
      </c>
      <c r="F507" s="621">
        <v>103.0</v>
      </c>
      <c r="G507" s="622">
        <v>75.0</v>
      </c>
      <c r="H507" s="623">
        <v>120.0</v>
      </c>
      <c r="I507" s="624">
        <v>75.0</v>
      </c>
      <c r="J507" s="625">
        <v>127.0</v>
      </c>
      <c r="K507" s="626">
        <v>600.0</v>
      </c>
      <c r="L507" s="627">
        <v>100.0</v>
      </c>
      <c r="M507" s="621">
        <v>103.0</v>
      </c>
      <c r="N507" s="622">
        <v>75.0</v>
      </c>
      <c r="O507" s="623">
        <v>120.0</v>
      </c>
      <c r="P507" s="624">
        <v>75.0</v>
      </c>
      <c r="Q507" s="625">
        <v>127.0</v>
      </c>
      <c r="R507" s="628">
        <v>600.0</v>
      </c>
      <c r="S507" s="629">
        <v>100.0</v>
      </c>
      <c r="T507" s="621">
        <v>103.0</v>
      </c>
      <c r="U507" s="622">
        <v>75.0</v>
      </c>
      <c r="V507" s="623">
        <v>120.0</v>
      </c>
      <c r="W507" s="624">
        <v>75.0</v>
      </c>
      <c r="X507" s="625">
        <v>127.0</v>
      </c>
      <c r="Y507" s="628">
        <f t="shared" si="1"/>
        <v>600</v>
      </c>
      <c r="Z507" s="619"/>
      <c r="AA507" s="630" t="str">
        <f t="shared" si="2"/>
        <v>#NAME?</v>
      </c>
      <c r="AB507" s="869" t="s">
        <v>6</v>
      </c>
      <c r="AC507" s="632" t="str">
        <f t="shared" si="3"/>
        <v>#NAME?</v>
      </c>
      <c r="AD507" s="870" t="s">
        <v>18</v>
      </c>
      <c r="AE507" s="633" t="str">
        <f t="shared" si="4"/>
        <v>#NAME?</v>
      </c>
      <c r="AF507" s="869" t="s">
        <v>6</v>
      </c>
      <c r="AG507" s="632" t="str">
        <f t="shared" si="5"/>
        <v>#NAME?</v>
      </c>
      <c r="AH507" s="634" t="s">
        <v>18</v>
      </c>
      <c r="AI507" s="635" t="str">
        <f t="shared" si="6"/>
        <v>#NAME?</v>
      </c>
      <c r="AJ507" s="634" t="s">
        <v>6</v>
      </c>
      <c r="AK507" s="636" t="str">
        <f t="shared" si="7"/>
        <v>#NAME?</v>
      </c>
      <c r="AL507" s="637" t="s">
        <v>18</v>
      </c>
      <c r="AM507" s="619"/>
      <c r="AN507" s="638" t="s">
        <v>1183</v>
      </c>
      <c r="AO507" s="639"/>
      <c r="AP507" s="712" t="s">
        <v>1183</v>
      </c>
      <c r="AQ507" s="639"/>
      <c r="AR507" s="712" t="s">
        <v>1183</v>
      </c>
      <c r="AS507" s="639"/>
      <c r="AT507" s="644"/>
      <c r="AU507" s="633" t="str">
        <f t="shared" si="61"/>
        <v/>
      </c>
      <c r="AV507" s="638" t="s">
        <v>1526</v>
      </c>
      <c r="AW507" s="630"/>
      <c r="AX507" s="647"/>
      <c r="AY507" s="619"/>
      <c r="AZ507" s="698" t="s">
        <v>422</v>
      </c>
      <c r="BA507" s="699"/>
      <c r="BB507" s="690"/>
      <c r="BC507" s="619"/>
      <c r="BD507" s="651" t="s">
        <v>15</v>
      </c>
      <c r="BE507" s="653">
        <v>64.0</v>
      </c>
      <c r="BF507" s="653">
        <v>45.0</v>
      </c>
      <c r="BG507" s="653">
        <v>100.0</v>
      </c>
      <c r="BH507" s="653">
        <v>20.0</v>
      </c>
      <c r="BI507" s="607"/>
      <c r="BJ507" s="912" t="s">
        <v>890</v>
      </c>
      <c r="BK507" s="690"/>
      <c r="BL507" s="610"/>
      <c r="BM507" s="657" t="s">
        <v>411</v>
      </c>
      <c r="BN507" s="704"/>
      <c r="BO507" s="607"/>
      <c r="BP507" s="659" t="s">
        <v>914</v>
      </c>
      <c r="BQ507" s="614"/>
      <c r="BR507" s="660" t="s">
        <v>4427</v>
      </c>
      <c r="BS507" s="614"/>
    </row>
    <row r="508" ht="15.75" customHeight="1">
      <c r="A508" s="913"/>
      <c r="B508" s="914" t="s">
        <v>4387</v>
      </c>
      <c r="C508" s="915"/>
      <c r="D508" s="916"/>
      <c r="E508" s="917">
        <v>120.0</v>
      </c>
      <c r="F508" s="918">
        <v>120.0</v>
      </c>
      <c r="G508" s="919">
        <v>120.0</v>
      </c>
      <c r="H508" s="920">
        <v>120.0</v>
      </c>
      <c r="I508" s="921">
        <v>120.0</v>
      </c>
      <c r="J508" s="922">
        <v>120.0</v>
      </c>
      <c r="K508" s="923">
        <v>720.0</v>
      </c>
      <c r="L508" s="924">
        <v>120.0</v>
      </c>
      <c r="M508" s="918">
        <v>120.0</v>
      </c>
      <c r="N508" s="919">
        <v>120.0</v>
      </c>
      <c r="O508" s="920">
        <v>120.0</v>
      </c>
      <c r="P508" s="921">
        <v>120.0</v>
      </c>
      <c r="Q508" s="922">
        <v>120.0</v>
      </c>
      <c r="R508" s="925">
        <v>720.0</v>
      </c>
      <c r="S508" s="917">
        <v>120.0</v>
      </c>
      <c r="T508" s="918">
        <v>120.0</v>
      </c>
      <c r="U508" s="919">
        <v>120.0</v>
      </c>
      <c r="V508" s="920">
        <v>120.0</v>
      </c>
      <c r="W508" s="921">
        <v>120.0</v>
      </c>
      <c r="X508" s="922">
        <v>120.0</v>
      </c>
      <c r="Y508" s="925">
        <f t="shared" si="1"/>
        <v>720</v>
      </c>
      <c r="Z508" s="916"/>
      <c r="AA508" s="926" t="str">
        <f t="shared" si="2"/>
        <v>#NAME?</v>
      </c>
      <c r="AB508" s="927" t="s">
        <v>156</v>
      </c>
      <c r="AC508" s="928" t="str">
        <f t="shared" si="3"/>
        <v>#NAME?</v>
      </c>
      <c r="AD508" s="929" t="s">
        <v>4428</v>
      </c>
      <c r="AE508" s="930" t="str">
        <f t="shared" si="4"/>
        <v>#NAME?</v>
      </c>
      <c r="AF508" s="927" t="s">
        <v>156</v>
      </c>
      <c r="AG508" s="928" t="str">
        <f t="shared" si="5"/>
        <v>#NAME?</v>
      </c>
      <c r="AH508" s="931" t="s">
        <v>4428</v>
      </c>
      <c r="AI508" s="932" t="str">
        <f t="shared" si="6"/>
        <v>#NAME?</v>
      </c>
      <c r="AJ508" s="931" t="s">
        <v>156</v>
      </c>
      <c r="AK508" s="933" t="str">
        <f t="shared" si="7"/>
        <v>#NAME?</v>
      </c>
      <c r="AL508" s="934" t="s">
        <v>4428</v>
      </c>
      <c r="AM508" s="916"/>
      <c r="AN508" s="935" t="s">
        <v>4390</v>
      </c>
      <c r="AO508" s="936"/>
      <c r="AP508" s="937" t="s">
        <v>4390</v>
      </c>
      <c r="AQ508" s="936"/>
      <c r="AR508" s="937" t="s">
        <v>4390</v>
      </c>
      <c r="AS508" s="936"/>
      <c r="AT508" s="938"/>
      <c r="AU508" s="930"/>
      <c r="AV508" s="935"/>
      <c r="AW508" s="926"/>
      <c r="AX508" s="939"/>
      <c r="AY508" s="916"/>
      <c r="AZ508" s="689" t="s">
        <v>422</v>
      </c>
      <c r="BA508" s="699"/>
      <c r="BB508" s="690"/>
      <c r="BC508" s="916"/>
      <c r="BD508" s="940" t="s">
        <v>683</v>
      </c>
      <c r="BE508" s="941">
        <v>255.0</v>
      </c>
      <c r="BF508" s="941">
        <v>3.0</v>
      </c>
      <c r="BG508" s="941">
        <v>0.0</v>
      </c>
      <c r="BH508" s="941">
        <v>120.0</v>
      </c>
      <c r="BI508" s="942"/>
      <c r="BJ508" s="911" t="s">
        <v>890</v>
      </c>
      <c r="BK508" s="690"/>
      <c r="BL508" s="943"/>
      <c r="BM508" s="944" t="s">
        <v>411</v>
      </c>
      <c r="BN508" s="945"/>
      <c r="BO508" s="942"/>
      <c r="BP508" s="946" t="s">
        <v>914</v>
      </c>
      <c r="BQ508" s="947"/>
      <c r="BR508" s="948" t="s">
        <v>4437</v>
      </c>
      <c r="BS508" s="947"/>
    </row>
    <row r="509" ht="15.75" customHeight="1"/>
  </sheetData>
  <mergeCells count="551">
    <mergeCell ref="BJ1:BK1"/>
    <mergeCell ref="BJ2:BJ3"/>
    <mergeCell ref="BK2:BK3"/>
    <mergeCell ref="BE1:BE3"/>
    <mergeCell ref="BF1:BF3"/>
    <mergeCell ref="BG1:BG3"/>
    <mergeCell ref="BH1:BH3"/>
    <mergeCell ref="BM1:BN1"/>
    <mergeCell ref="BP1:BP3"/>
    <mergeCell ref="BR1:BR3"/>
    <mergeCell ref="BA26:BB26"/>
    <mergeCell ref="AZ27:BA27"/>
    <mergeCell ref="BA19:BB19"/>
    <mergeCell ref="AZ20:BA20"/>
    <mergeCell ref="AZ21:BB21"/>
    <mergeCell ref="BA22:BB22"/>
    <mergeCell ref="AZ23:BA23"/>
    <mergeCell ref="BA24:BB24"/>
    <mergeCell ref="AZ25:BA25"/>
    <mergeCell ref="BA35:BB35"/>
    <mergeCell ref="AZ36:BA36"/>
    <mergeCell ref="AZ28:BA28"/>
    <mergeCell ref="AZ29:BB29"/>
    <mergeCell ref="BA30:BB30"/>
    <mergeCell ref="AZ31:BA31"/>
    <mergeCell ref="BA32:BB32"/>
    <mergeCell ref="AZ33:BA33"/>
    <mergeCell ref="AZ34:BB34"/>
    <mergeCell ref="AZ45:BA45"/>
    <mergeCell ref="BA46:BB46"/>
    <mergeCell ref="AZ37:BB37"/>
    <mergeCell ref="AZ38:BA38"/>
    <mergeCell ref="AZ39:BB39"/>
    <mergeCell ref="BA40:BB40"/>
    <mergeCell ref="AZ42:BA42"/>
    <mergeCell ref="AZ43:BB43"/>
    <mergeCell ref="BA44:BB44"/>
    <mergeCell ref="BA55:BB55"/>
    <mergeCell ref="AZ56:BA56"/>
    <mergeCell ref="AZ47:BA47"/>
    <mergeCell ref="AZ48:BB48"/>
    <mergeCell ref="BA49:BB49"/>
    <mergeCell ref="AZ50:BA50"/>
    <mergeCell ref="BA51:BB51"/>
    <mergeCell ref="BA53:BB53"/>
    <mergeCell ref="AZ54:BA54"/>
    <mergeCell ref="AZ64:BA64"/>
    <mergeCell ref="AZ65:BB65"/>
    <mergeCell ref="BA57:BB57"/>
    <mergeCell ref="AZ58:BA58"/>
    <mergeCell ref="BA59:BB59"/>
    <mergeCell ref="AZ60:BA60"/>
    <mergeCell ref="BA61:BB61"/>
    <mergeCell ref="AZ62:BA62"/>
    <mergeCell ref="BA63:BB63"/>
    <mergeCell ref="AZ73:BA73"/>
    <mergeCell ref="AZ74:BB74"/>
    <mergeCell ref="BA66:BB66"/>
    <mergeCell ref="AZ67:BA67"/>
    <mergeCell ref="AZ68:BB68"/>
    <mergeCell ref="BA69:BB69"/>
    <mergeCell ref="AZ70:BA70"/>
    <mergeCell ref="AZ71:BB71"/>
    <mergeCell ref="BA72:BB72"/>
    <mergeCell ref="BA82:BB82"/>
    <mergeCell ref="AZ83:BA83"/>
    <mergeCell ref="BA75:BB75"/>
    <mergeCell ref="AZ76:BA76"/>
    <mergeCell ref="BA77:BB77"/>
    <mergeCell ref="AZ78:BA78"/>
    <mergeCell ref="AZ79:BB79"/>
    <mergeCell ref="BA80:BB80"/>
    <mergeCell ref="AZ81:BA81"/>
    <mergeCell ref="BA91:BB91"/>
    <mergeCell ref="BA93:BB93"/>
    <mergeCell ref="BA84:BB84"/>
    <mergeCell ref="AZ85:BA85"/>
    <mergeCell ref="BA86:BB86"/>
    <mergeCell ref="BA87:BB87"/>
    <mergeCell ref="AZ88:BA88"/>
    <mergeCell ref="BA89:BB89"/>
    <mergeCell ref="AZ90:BA90"/>
    <mergeCell ref="AZ104:BA104"/>
    <mergeCell ref="BA105:BB105"/>
    <mergeCell ref="AZ97:BB97"/>
    <mergeCell ref="BA98:BB98"/>
    <mergeCell ref="BA99:BB99"/>
    <mergeCell ref="AZ100:BA100"/>
    <mergeCell ref="BA101:BB101"/>
    <mergeCell ref="AZ102:BA102"/>
    <mergeCell ref="BA103:BB103"/>
    <mergeCell ref="AZ113:BA113"/>
    <mergeCell ref="BA114:BB114"/>
    <mergeCell ref="AZ106:BA106"/>
    <mergeCell ref="BA107:BB107"/>
    <mergeCell ref="AZ108:BA108"/>
    <mergeCell ref="AZ109:BA109"/>
    <mergeCell ref="AZ110:BA110"/>
    <mergeCell ref="AZ111:BA111"/>
    <mergeCell ref="BA112:BB112"/>
    <mergeCell ref="BA123:BB123"/>
    <mergeCell ref="BJ123:BK123"/>
    <mergeCell ref="AZ115:BA115"/>
    <mergeCell ref="AZ116:BA116"/>
    <mergeCell ref="BA117:BB117"/>
    <mergeCell ref="AZ118:BA118"/>
    <mergeCell ref="BA119:BB119"/>
    <mergeCell ref="BA121:BB121"/>
    <mergeCell ref="BA122:BB122"/>
    <mergeCell ref="AZ130:BA130"/>
    <mergeCell ref="BA132:BB132"/>
    <mergeCell ref="AZ124:BA124"/>
    <mergeCell ref="BJ124:BK124"/>
    <mergeCell ref="AZ125:BA125"/>
    <mergeCell ref="BA126:BB126"/>
    <mergeCell ref="AZ127:BA127"/>
    <mergeCell ref="AZ128:BA128"/>
    <mergeCell ref="AZ129:BA129"/>
    <mergeCell ref="AZ139:BA139"/>
    <mergeCell ref="BA140:BB140"/>
    <mergeCell ref="AZ133:BA133"/>
    <mergeCell ref="AZ134:BA134"/>
    <mergeCell ref="BA135:BB135"/>
    <mergeCell ref="BJ135:BK135"/>
    <mergeCell ref="BA136:BB136"/>
    <mergeCell ref="AZ137:BA137"/>
    <mergeCell ref="AZ138:BA138"/>
    <mergeCell ref="AZ12:BB12"/>
    <mergeCell ref="BA13:BB13"/>
    <mergeCell ref="AR2:AS2"/>
    <mergeCell ref="AU2:AV3"/>
    <mergeCell ref="BA4:BB4"/>
    <mergeCell ref="AZ6:BA6"/>
    <mergeCell ref="BA7:BB7"/>
    <mergeCell ref="AZ9:BB9"/>
    <mergeCell ref="BA10:BB10"/>
    <mergeCell ref="AZ147:BB147"/>
    <mergeCell ref="BJ147:BK147"/>
    <mergeCell ref="BJ140:BK140"/>
    <mergeCell ref="BA141:BB141"/>
    <mergeCell ref="AZ142:BA142"/>
    <mergeCell ref="BA143:BB143"/>
    <mergeCell ref="AZ144:BA144"/>
    <mergeCell ref="AZ145:BA145"/>
    <mergeCell ref="AZ146:BA146"/>
    <mergeCell ref="BJ149:BK149"/>
    <mergeCell ref="BJ153:BK153"/>
    <mergeCell ref="AZ148:BB148"/>
    <mergeCell ref="BJ148:BK148"/>
    <mergeCell ref="AZ149:BB149"/>
    <mergeCell ref="BA150:BB150"/>
    <mergeCell ref="AZ151:BA151"/>
    <mergeCell ref="AZ152:BB152"/>
    <mergeCell ref="AZ153:BB153"/>
    <mergeCell ref="AZ172:BB172"/>
    <mergeCell ref="BA173:BB173"/>
    <mergeCell ref="AZ165:BA165"/>
    <mergeCell ref="BA166:BB166"/>
    <mergeCell ref="AZ167:BA167"/>
    <mergeCell ref="BA168:BB168"/>
    <mergeCell ref="AZ169:BA169"/>
    <mergeCell ref="BA170:BB170"/>
    <mergeCell ref="AZ171:BA171"/>
    <mergeCell ref="BA182:BB182"/>
    <mergeCell ref="AZ183:BA183"/>
    <mergeCell ref="AZ174:BA174"/>
    <mergeCell ref="BA175:BB175"/>
    <mergeCell ref="AZ176:BA176"/>
    <mergeCell ref="BA177:BB177"/>
    <mergeCell ref="BA178:BB178"/>
    <mergeCell ref="AZ179:BA179"/>
    <mergeCell ref="BA180:BB180"/>
    <mergeCell ref="AZ191:BA191"/>
    <mergeCell ref="AZ192:BB192"/>
    <mergeCell ref="AZ184:BB184"/>
    <mergeCell ref="AZ185:BB185"/>
    <mergeCell ref="AZ186:BA186"/>
    <mergeCell ref="AZ187:BB187"/>
    <mergeCell ref="AZ188:BA188"/>
    <mergeCell ref="AZ189:BB189"/>
    <mergeCell ref="BA190:BB190"/>
    <mergeCell ref="AZ200:BA200"/>
    <mergeCell ref="BA201:BB201"/>
    <mergeCell ref="BA193:BB193"/>
    <mergeCell ref="BA194:BB194"/>
    <mergeCell ref="AZ195:BA195"/>
    <mergeCell ref="AZ196:BA196"/>
    <mergeCell ref="BA197:BB197"/>
    <mergeCell ref="AZ198:BA198"/>
    <mergeCell ref="AZ199:BA199"/>
    <mergeCell ref="AZ163:BA163"/>
    <mergeCell ref="BA164:BB164"/>
    <mergeCell ref="AZ154:BB154"/>
    <mergeCell ref="BJ154:BK154"/>
    <mergeCell ref="BA155:BB155"/>
    <mergeCell ref="BA157:BB157"/>
    <mergeCell ref="BA158:BB158"/>
    <mergeCell ref="AZ160:BB160"/>
    <mergeCell ref="BA161:BB161"/>
    <mergeCell ref="BA209:BB209"/>
    <mergeCell ref="BA210:BB210"/>
    <mergeCell ref="AZ202:BB202"/>
    <mergeCell ref="BA203:BB203"/>
    <mergeCell ref="BJ204:BK204"/>
    <mergeCell ref="AZ205:BA205"/>
    <mergeCell ref="AZ206:BA206"/>
    <mergeCell ref="BA207:BB207"/>
    <mergeCell ref="AZ208:BA208"/>
    <mergeCell ref="BA219:BB219"/>
    <mergeCell ref="AZ220:BA220"/>
    <mergeCell ref="AZ211:BA211"/>
    <mergeCell ref="BA212:BB212"/>
    <mergeCell ref="AZ213:BA213"/>
    <mergeCell ref="BA214:BB214"/>
    <mergeCell ref="AZ215:BA215"/>
    <mergeCell ref="AZ217:BA217"/>
    <mergeCell ref="BA218:BB218"/>
    <mergeCell ref="BA231:BB231"/>
    <mergeCell ref="AZ232:BA232"/>
    <mergeCell ref="BA221:BB221"/>
    <mergeCell ref="AZ222:BA222"/>
    <mergeCell ref="BA223:BB223"/>
    <mergeCell ref="BA226:BB226"/>
    <mergeCell ref="BA228:BB228"/>
    <mergeCell ref="AZ229:BA229"/>
    <mergeCell ref="AZ230:BA230"/>
    <mergeCell ref="BA241:BB241"/>
    <mergeCell ref="BA242:BB242"/>
    <mergeCell ref="BA234:BB234"/>
    <mergeCell ref="AZ236:BA236"/>
    <mergeCell ref="BJ236:BK236"/>
    <mergeCell ref="BA237:BB237"/>
    <mergeCell ref="BA238:BB238"/>
    <mergeCell ref="BA239:BB239"/>
    <mergeCell ref="AZ240:BA240"/>
    <mergeCell ref="BJ247:BK247"/>
    <mergeCell ref="BJ248:BK248"/>
    <mergeCell ref="BA243:BB243"/>
    <mergeCell ref="AZ244:BA244"/>
    <mergeCell ref="AZ245:BB245"/>
    <mergeCell ref="BA246:BB246"/>
    <mergeCell ref="BJ246:BK246"/>
    <mergeCell ref="BA247:BB247"/>
    <mergeCell ref="BA248:BB248"/>
    <mergeCell ref="E2:K2"/>
    <mergeCell ref="L2:R2"/>
    <mergeCell ref="A4:A154"/>
    <mergeCell ref="A155:A254"/>
    <mergeCell ref="S2:Y2"/>
    <mergeCell ref="AA2:AD2"/>
    <mergeCell ref="AE2:AH2"/>
    <mergeCell ref="AI2:AL2"/>
    <mergeCell ref="AA1:AL1"/>
    <mergeCell ref="AA3:AB3"/>
    <mergeCell ref="AC3:AD3"/>
    <mergeCell ref="AE3:AF3"/>
    <mergeCell ref="AG3:AH3"/>
    <mergeCell ref="AI3:AJ3"/>
    <mergeCell ref="AK3:AL3"/>
    <mergeCell ref="A1:C3"/>
    <mergeCell ref="E1:Y1"/>
    <mergeCell ref="AN1:AS1"/>
    <mergeCell ref="AU1:AX1"/>
    <mergeCell ref="AZ1:BB3"/>
    <mergeCell ref="BD1:BD3"/>
    <mergeCell ref="AW2:AX3"/>
    <mergeCell ref="AN2:AO2"/>
    <mergeCell ref="AP2:AQ2"/>
    <mergeCell ref="AZ14:BA14"/>
    <mergeCell ref="AZ15:BA15"/>
    <mergeCell ref="BA16:BB16"/>
    <mergeCell ref="AZ17:BA17"/>
    <mergeCell ref="AZ18:BA18"/>
    <mergeCell ref="BM2:BM3"/>
    <mergeCell ref="BN2:BN3"/>
    <mergeCell ref="BJ84:BK84"/>
    <mergeCell ref="BJ85:BK85"/>
    <mergeCell ref="AZ94:BA94"/>
    <mergeCell ref="BA95:BB95"/>
    <mergeCell ref="AZ96:BA96"/>
    <mergeCell ref="BA249:BB249"/>
    <mergeCell ref="BA250:BB250"/>
    <mergeCell ref="AZ251:BB251"/>
    <mergeCell ref="AZ252:BB252"/>
    <mergeCell ref="BJ252:BK252"/>
    <mergeCell ref="AZ253:BB253"/>
    <mergeCell ref="AZ254:BB254"/>
    <mergeCell ref="AZ260:BB260"/>
    <mergeCell ref="BA261:BB261"/>
    <mergeCell ref="AZ262:BA262"/>
    <mergeCell ref="AZ263:BB263"/>
    <mergeCell ref="BA264:BB264"/>
    <mergeCell ref="AZ265:BA265"/>
    <mergeCell ref="BA266:BB266"/>
    <mergeCell ref="AZ267:BA267"/>
    <mergeCell ref="BA268:BB268"/>
    <mergeCell ref="AZ269:BA269"/>
    <mergeCell ref="AZ270:BB270"/>
    <mergeCell ref="AZ271:BA271"/>
    <mergeCell ref="AZ272:BB272"/>
    <mergeCell ref="BA273:BB273"/>
    <mergeCell ref="AZ274:BA274"/>
    <mergeCell ref="AZ275:BB275"/>
    <mergeCell ref="BA276:BB276"/>
    <mergeCell ref="AZ277:BA277"/>
    <mergeCell ref="AZ278:BB278"/>
    <mergeCell ref="BA279:BB279"/>
    <mergeCell ref="AZ280:BA280"/>
    <mergeCell ref="BA281:BB281"/>
    <mergeCell ref="AZ282:BA282"/>
    <mergeCell ref="BA283:BB283"/>
    <mergeCell ref="AZ284:BA284"/>
    <mergeCell ref="AZ285:BB285"/>
    <mergeCell ref="BA286:BB286"/>
    <mergeCell ref="BA288:BB288"/>
    <mergeCell ref="AZ289:BA289"/>
    <mergeCell ref="BA290:BB290"/>
    <mergeCell ref="AZ291:BA291"/>
    <mergeCell ref="AZ292:BB292"/>
    <mergeCell ref="BA293:BB293"/>
    <mergeCell ref="AZ294:BA294"/>
    <mergeCell ref="BA296:BB296"/>
    <mergeCell ref="AZ297:BA297"/>
    <mergeCell ref="AZ298:BB298"/>
    <mergeCell ref="BA299:BB299"/>
    <mergeCell ref="AZ300:BA300"/>
    <mergeCell ref="BA301:BB301"/>
    <mergeCell ref="BA302:BB302"/>
    <mergeCell ref="BA303:BB303"/>
    <mergeCell ref="BA307:BB307"/>
    <mergeCell ref="AZ308:BA308"/>
    <mergeCell ref="AZ309:BB309"/>
    <mergeCell ref="BA310:BB310"/>
    <mergeCell ref="AZ311:BA311"/>
    <mergeCell ref="BA312:BB312"/>
    <mergeCell ref="AZ313:BA313"/>
    <mergeCell ref="BA314:BB314"/>
    <mergeCell ref="BA315:BB315"/>
    <mergeCell ref="BA316:BB316"/>
    <mergeCell ref="BA317:BB317"/>
    <mergeCell ref="AZ318:BA318"/>
    <mergeCell ref="BA319:BB319"/>
    <mergeCell ref="AZ320:BA320"/>
    <mergeCell ref="BA321:BB321"/>
    <mergeCell ref="AZ322:BA322"/>
    <mergeCell ref="BA323:BB323"/>
    <mergeCell ref="AZ324:BA324"/>
    <mergeCell ref="BA325:BB325"/>
    <mergeCell ref="AZ327:BA327"/>
    <mergeCell ref="BA328:BB328"/>
    <mergeCell ref="AZ329:BA329"/>
    <mergeCell ref="BA330:BB330"/>
    <mergeCell ref="BA331:BB331"/>
    <mergeCell ref="BA336:BB336"/>
    <mergeCell ref="AZ337:BA337"/>
    <mergeCell ref="AZ295:BA295"/>
    <mergeCell ref="BJ295:BK295"/>
    <mergeCell ref="AZ338:BA338"/>
    <mergeCell ref="AZ340:BA340"/>
    <mergeCell ref="BA342:BB342"/>
    <mergeCell ref="AZ343:BA343"/>
    <mergeCell ref="BA344:BB344"/>
    <mergeCell ref="AZ345:BA345"/>
    <mergeCell ref="BA346:BB346"/>
    <mergeCell ref="BJ346:BK346"/>
    <mergeCell ref="AZ347:BA347"/>
    <mergeCell ref="BJ347:BK347"/>
    <mergeCell ref="BA348:BB348"/>
    <mergeCell ref="AZ349:BA349"/>
    <mergeCell ref="BA350:BB350"/>
    <mergeCell ref="AZ351:BA351"/>
    <mergeCell ref="BA352:BB352"/>
    <mergeCell ref="AZ353:BA353"/>
    <mergeCell ref="BA354:BB354"/>
    <mergeCell ref="BA355:BB355"/>
    <mergeCell ref="BA356:BB356"/>
    <mergeCell ref="AZ357:BA357"/>
    <mergeCell ref="BA358:BB358"/>
    <mergeCell ref="AZ360:BA360"/>
    <mergeCell ref="AZ362:BA362"/>
    <mergeCell ref="BA363:BB363"/>
    <mergeCell ref="BA364:BB364"/>
    <mergeCell ref="AZ365:BA365"/>
    <mergeCell ref="BA464:BB464"/>
    <mergeCell ref="AZ465:BA465"/>
    <mergeCell ref="BA466:BB466"/>
    <mergeCell ref="BA467:BB467"/>
    <mergeCell ref="AZ470:BB470"/>
    <mergeCell ref="BJ470:BK470"/>
    <mergeCell ref="AZ471:BB471"/>
    <mergeCell ref="AZ472:BB472"/>
    <mergeCell ref="AZ473:BA473"/>
    <mergeCell ref="AZ474:BB474"/>
    <mergeCell ref="AZ475:BB475"/>
    <mergeCell ref="AZ476:BA476"/>
    <mergeCell ref="AZ477:BA477"/>
    <mergeCell ref="AZ478:BA478"/>
    <mergeCell ref="AZ479:BA479"/>
    <mergeCell ref="AZ480:BA480"/>
    <mergeCell ref="AZ481:BB481"/>
    <mergeCell ref="AZ482:BB482"/>
    <mergeCell ref="BJ482:BK482"/>
    <mergeCell ref="AZ483:BB483"/>
    <mergeCell ref="BA484:BB484"/>
    <mergeCell ref="BA485:BB485"/>
    <mergeCell ref="AZ486:BA486"/>
    <mergeCell ref="BJ487:BK487"/>
    <mergeCell ref="BJ488:BK488"/>
    <mergeCell ref="BJ489:BK489"/>
    <mergeCell ref="BJ490:BK490"/>
    <mergeCell ref="BJ491:BK491"/>
    <mergeCell ref="BJ492:BK492"/>
    <mergeCell ref="AZ493:BA493"/>
    <mergeCell ref="BJ493:BK493"/>
    <mergeCell ref="BJ494:BK494"/>
    <mergeCell ref="AZ495:BA495"/>
    <mergeCell ref="BJ495:BK495"/>
    <mergeCell ref="AZ496:BB496"/>
    <mergeCell ref="BJ496:BK496"/>
    <mergeCell ref="AZ497:BB497"/>
    <mergeCell ref="BJ497:BK497"/>
    <mergeCell ref="AZ498:BB498"/>
    <mergeCell ref="BJ498:BK498"/>
    <mergeCell ref="AZ499:BB499"/>
    <mergeCell ref="BJ499:BK499"/>
    <mergeCell ref="AZ500:BB500"/>
    <mergeCell ref="BJ500:BK500"/>
    <mergeCell ref="BA258:BB258"/>
    <mergeCell ref="BA393:BB393"/>
    <mergeCell ref="BJ253:BK253"/>
    <mergeCell ref="BJ254:BK254"/>
    <mergeCell ref="A255:A392"/>
    <mergeCell ref="BA255:BB255"/>
    <mergeCell ref="AZ256:BA256"/>
    <mergeCell ref="AZ257:BB257"/>
    <mergeCell ref="A393:A508"/>
    <mergeCell ref="AZ501:BB501"/>
    <mergeCell ref="BJ501:BK501"/>
    <mergeCell ref="AZ502:BB502"/>
    <mergeCell ref="BA503:BB503"/>
    <mergeCell ref="BJ503:BK503"/>
    <mergeCell ref="AZ504:BB504"/>
    <mergeCell ref="BJ504:BK504"/>
    <mergeCell ref="AZ505:BA505"/>
    <mergeCell ref="BJ505:BK505"/>
    <mergeCell ref="AZ506:BB506"/>
    <mergeCell ref="BJ506:BK506"/>
    <mergeCell ref="AZ507:BB507"/>
    <mergeCell ref="BJ507:BK507"/>
    <mergeCell ref="AZ508:BB508"/>
    <mergeCell ref="BJ508:BK508"/>
    <mergeCell ref="BJ340:BK340"/>
    <mergeCell ref="AZ341:BA341"/>
    <mergeCell ref="BJ341:BK341"/>
    <mergeCell ref="BA366:BB366"/>
    <mergeCell ref="AZ367:BA367"/>
    <mergeCell ref="AZ368:BB368"/>
    <mergeCell ref="BA369:BB369"/>
    <mergeCell ref="AZ371:BA371"/>
    <mergeCell ref="BA373:BB373"/>
    <mergeCell ref="BA374:BB374"/>
    <mergeCell ref="AZ375:BA375"/>
    <mergeCell ref="AZ376:BB376"/>
    <mergeCell ref="BA377:BB377"/>
    <mergeCell ref="AZ379:BB379"/>
    <mergeCell ref="BJ379:BK379"/>
    <mergeCell ref="AZ380:BB380"/>
    <mergeCell ref="BJ380:BK380"/>
    <mergeCell ref="AZ381:BB381"/>
    <mergeCell ref="BJ381:BK381"/>
    <mergeCell ref="AZ382:BA382"/>
    <mergeCell ref="BJ382:BK382"/>
    <mergeCell ref="AZ383:BB383"/>
    <mergeCell ref="AZ384:BB384"/>
    <mergeCell ref="AZ385:BB385"/>
    <mergeCell ref="BJ385:BK385"/>
    <mergeCell ref="AZ386:BB386"/>
    <mergeCell ref="BJ386:BK386"/>
    <mergeCell ref="AZ387:BA387"/>
    <mergeCell ref="BJ387:BK387"/>
    <mergeCell ref="BJ377:BK377"/>
    <mergeCell ref="AZ378:BA378"/>
    <mergeCell ref="BJ378:BK378"/>
    <mergeCell ref="AZ388:BB388"/>
    <mergeCell ref="BJ388:BK388"/>
    <mergeCell ref="BJ389:BK389"/>
    <mergeCell ref="BJ390:BK390"/>
    <mergeCell ref="BJ391:BK391"/>
    <mergeCell ref="BJ392:BK392"/>
    <mergeCell ref="AZ395:BA395"/>
    <mergeCell ref="BA396:BB396"/>
    <mergeCell ref="BA399:BB399"/>
    <mergeCell ref="AZ400:BA400"/>
    <mergeCell ref="AZ401:BB401"/>
    <mergeCell ref="BA402:BB402"/>
    <mergeCell ref="AZ403:BA403"/>
    <mergeCell ref="AZ404:BB404"/>
    <mergeCell ref="BA405:BB405"/>
    <mergeCell ref="AZ406:BA406"/>
    <mergeCell ref="BA407:BB407"/>
    <mergeCell ref="AZ408:BA408"/>
    <mergeCell ref="BA409:BB409"/>
    <mergeCell ref="AZ410:BA410"/>
    <mergeCell ref="AZ411:BB411"/>
    <mergeCell ref="BA412:BB412"/>
    <mergeCell ref="AZ413:BB413"/>
    <mergeCell ref="BA414:BB414"/>
    <mergeCell ref="AZ415:BA415"/>
    <mergeCell ref="BA416:BB416"/>
    <mergeCell ref="AZ417:BA417"/>
    <mergeCell ref="BA418:BB418"/>
    <mergeCell ref="AZ419:BA419"/>
    <mergeCell ref="AZ420:BA420"/>
    <mergeCell ref="BA423:BB423"/>
    <mergeCell ref="BA425:BB425"/>
    <mergeCell ref="BA426:BB426"/>
    <mergeCell ref="AZ427:BA427"/>
    <mergeCell ref="BA428:BB428"/>
    <mergeCell ref="AZ429:BA429"/>
    <mergeCell ref="BA430:BB430"/>
    <mergeCell ref="AZ431:BA431"/>
    <mergeCell ref="AZ432:BA432"/>
    <mergeCell ref="BA433:BB433"/>
    <mergeCell ref="AZ434:BA434"/>
    <mergeCell ref="BA435:BB435"/>
    <mergeCell ref="AZ436:BA436"/>
    <mergeCell ref="AZ438:BA438"/>
    <mergeCell ref="BA439:BB439"/>
    <mergeCell ref="AZ440:BA440"/>
    <mergeCell ref="BA441:BB441"/>
    <mergeCell ref="BA442:BB442"/>
    <mergeCell ref="AZ443:BA443"/>
    <mergeCell ref="BA444:BB444"/>
    <mergeCell ref="BJ444:BK444"/>
    <mergeCell ref="BJ445:BK445"/>
    <mergeCell ref="BA446:BB446"/>
    <mergeCell ref="BA447:BB447"/>
    <mergeCell ref="BA448:BB448"/>
    <mergeCell ref="BA449:BB449"/>
    <mergeCell ref="BA451:BB451"/>
    <mergeCell ref="AZ452:BA452"/>
    <mergeCell ref="AZ453:BB453"/>
    <mergeCell ref="BA454:BB454"/>
    <mergeCell ref="BA455:BB455"/>
    <mergeCell ref="BA457:BB457"/>
    <mergeCell ref="AZ458:BA458"/>
    <mergeCell ref="BA459:BB459"/>
    <mergeCell ref="AZ460:BA460"/>
    <mergeCell ref="BA461:BB461"/>
    <mergeCell ref="AZ462:BA462"/>
    <mergeCell ref="AZ463:BA463"/>
  </mergeCells>
  <conditionalFormatting sqref="A1:BL508 BM1:BN3 BO1:BS508">
    <cfRule type="containsText" dxfId="18" priority="1" operator="containsText" text=" ឵">
      <formula>NOT(ISERROR(SEARCH((" ឵"),(A1))))</formula>
    </cfRule>
  </conditionalFormatting>
  <conditionalFormatting sqref="A1:BL508 BM1:BN3 BO1:BS508">
    <cfRule type="containsText" dxfId="18" priority="2" operator="containsText" text="(!)">
      <formula>NOT(ISERROR(SEARCH(("(!)"),(A1))))</formula>
    </cfRule>
  </conditionalFormatting>
  <conditionalFormatting sqref="L4:R508">
    <cfRule type="cellIs" dxfId="18" priority="3" operator="greaterThan">
      <formula>E4</formula>
    </cfRule>
  </conditionalFormatting>
  <conditionalFormatting sqref="L4:R508">
    <cfRule type="cellIs" dxfId="19" priority="4" operator="lessThan">
      <formula>E4</formula>
    </cfRule>
  </conditionalFormatting>
  <conditionalFormatting sqref="S4:Y508">
    <cfRule type="cellIs" dxfId="20" priority="5" operator="lessThan">
      <formula>E4</formula>
    </cfRule>
  </conditionalFormatting>
  <conditionalFormatting sqref="S4:Y508">
    <cfRule type="cellIs" dxfId="18" priority="6" operator="greaterThan">
      <formula>E4</formula>
    </cfRule>
  </conditionalFormatting>
  <conditionalFormatting sqref="AF4:AF508">
    <cfRule type="cellIs" dxfId="18" priority="7" operator="notEqual">
      <formula>AB4</formula>
    </cfRule>
  </conditionalFormatting>
  <conditionalFormatting sqref="AH4:AH508">
    <cfRule type="cellIs" dxfId="18" priority="8" operator="notEqual">
      <formula>AD4</formula>
    </cfRule>
  </conditionalFormatting>
  <conditionalFormatting sqref="AJ4:AJ508 AL4:AL508">
    <cfRule type="cellIs" dxfId="18" priority="9" operator="notEqual">
      <formula>AB4</formula>
    </cfRule>
  </conditionalFormatting>
  <conditionalFormatting sqref="AP23">
    <cfRule type="cellIs" dxfId="18" priority="10" operator="notEqual">
      <formula>AN23</formula>
    </cfRule>
  </conditionalFormatting>
  <conditionalFormatting sqref="AP4:AS508 AS419:AS421">
    <cfRule type="cellIs" dxfId="18" priority="11" operator="notEqual">
      <formula>AN4</formula>
    </cfRule>
  </conditionalFormatting>
  <conditionalFormatting sqref="AZ1:BB508">
    <cfRule type="containsText" dxfId="21" priority="12" operator="containsText" text="Spa">
      <formula>NOT(ISERROR(SEARCH(("Spa"),(AZ1))))</formula>
    </cfRule>
  </conditionalFormatting>
  <conditionalFormatting sqref="AZ1:BB508">
    <cfRule type="containsText" dxfId="12" priority="13" operator="containsText" text="Spd">
      <formula>NOT(ISERROR(SEARCH(("Spd"),(AZ1))))</formula>
    </cfRule>
  </conditionalFormatting>
  <conditionalFormatting sqref="AZ1:BB508">
    <cfRule type="containsText" dxfId="22" priority="14" operator="containsText" text="Spe">
      <formula>NOT(ISERROR(SEARCH(("Spe"),(AZ1))))</formula>
    </cfRule>
  </conditionalFormatting>
  <conditionalFormatting sqref="AZ1:BB508">
    <cfRule type="containsText" dxfId="23" priority="15" operator="containsText" text="Def">
      <formula>NOT(ISERROR(SEARCH(("Def"),(AZ1))))</formula>
    </cfRule>
  </conditionalFormatting>
  <conditionalFormatting sqref="AZ1:BB508">
    <cfRule type="containsText" dxfId="24" priority="16" operator="containsText" text="Atk">
      <formula>NOT(ISERROR(SEARCH(("Atk"),(AZ1))))</formula>
    </cfRule>
  </conditionalFormatting>
  <conditionalFormatting sqref="AZ1:BB508">
    <cfRule type="containsText" dxfId="11" priority="17" operator="containsText" text="Hp">
      <formula>NOT(ISERROR(SEARCH(("Hp"),(AZ1))))</formula>
    </cfRule>
  </conditionalFormatting>
  <conditionalFormatting sqref="BD1:BD508">
    <cfRule type="cellIs" dxfId="11" priority="18" operator="equal">
      <formula>"Slow"</formula>
    </cfRule>
  </conditionalFormatting>
  <conditionalFormatting sqref="BD1:BD508">
    <cfRule type="cellIs" dxfId="11" priority="19" operator="equal">
      <formula>"MediumSlow"</formula>
    </cfRule>
  </conditionalFormatting>
  <conditionalFormatting sqref="BD1:BD508">
    <cfRule type="cellIs" dxfId="12" priority="20" operator="equal">
      <formula>"MediumFast"</formula>
    </cfRule>
  </conditionalFormatting>
  <conditionalFormatting sqref="BD1:BD508">
    <cfRule type="cellIs" dxfId="25" priority="21" operator="equal">
      <formula>"Fast"</formula>
    </cfRule>
  </conditionalFormatting>
  <conditionalFormatting sqref="BD1:BD508">
    <cfRule type="cellIs" dxfId="24" priority="22" operator="equal">
      <formula>"Erratic"</formula>
    </cfRule>
  </conditionalFormatting>
  <conditionalFormatting sqref="BD1:BD508">
    <cfRule type="cellIs" dxfId="23" priority="23" operator="equal">
      <formula>"Fluctuating"</formula>
    </cfRule>
  </conditionalFormatting>
  <conditionalFormatting sqref="BE4:BE508">
    <cfRule type="colorScale" priority="24">
      <colorScale>
        <cfvo type="min"/>
        <cfvo type="max"/>
        <color rgb="FFFFFFFF"/>
        <color rgb="FFEEF7E3"/>
      </colorScale>
    </cfRule>
  </conditionalFormatting>
  <conditionalFormatting sqref="BF4:BF508">
    <cfRule type="colorScale" priority="25">
      <colorScale>
        <cfvo type="min"/>
        <cfvo type="max"/>
        <color rgb="FFFFFFFF"/>
        <color rgb="FFF4CCCC"/>
      </colorScale>
    </cfRule>
  </conditionalFormatting>
  <conditionalFormatting sqref="BG4:BG508">
    <cfRule type="colorScale" priority="26">
      <colorScale>
        <cfvo type="min"/>
        <cfvo type="formula" val="140"/>
        <color rgb="FFFFFFFF"/>
        <color rgb="FFFEF8E3"/>
      </colorScale>
    </cfRule>
  </conditionalFormatting>
  <conditionalFormatting sqref="BH4:BH508">
    <cfRule type="colorScale" priority="27">
      <colorScale>
        <cfvo type="min"/>
        <cfvo type="max"/>
        <color rgb="FFFFFFFF"/>
        <color rgb="FFFFE6DD"/>
      </colorScale>
    </cfRule>
  </conditionalFormatting>
  <conditionalFormatting sqref="BR1:BR508">
    <cfRule type="cellIs" dxfId="12" priority="28" operator="equal">
      <formula>"Green"</formula>
    </cfRule>
  </conditionalFormatting>
  <conditionalFormatting sqref="BR1:BR508">
    <cfRule type="cellIs" dxfId="11" priority="29" operator="equal">
      <formula>"Red"</formula>
    </cfRule>
  </conditionalFormatting>
  <conditionalFormatting sqref="BR1:BR508">
    <cfRule type="cellIs" dxfId="21" priority="30" operator="equal">
      <formula>"Blue"</formula>
    </cfRule>
  </conditionalFormatting>
  <conditionalFormatting sqref="BR1:BR508">
    <cfRule type="cellIs" dxfId="23" priority="31" operator="equal">
      <formula>"Yellow"</formula>
    </cfRule>
  </conditionalFormatting>
  <conditionalFormatting sqref="BR1:BR508">
    <cfRule type="cellIs" dxfId="26" priority="32" operator="equal">
      <formula>"Brown"</formula>
    </cfRule>
  </conditionalFormatting>
  <conditionalFormatting sqref="BR1:BR508">
    <cfRule type="cellIs" dxfId="27" priority="33" operator="equal">
      <formula>"Purple"</formula>
    </cfRule>
  </conditionalFormatting>
  <conditionalFormatting sqref="BR1:BR508">
    <cfRule type="cellIs" dxfId="22" priority="34" operator="equal">
      <formula>"Pink"</formula>
    </cfRule>
  </conditionalFormatting>
  <conditionalFormatting sqref="BR1:BR508">
    <cfRule type="cellIs" dxfId="28" priority="35" operator="equal">
      <formula>"Gray"</formula>
    </cfRule>
  </conditionalFormatting>
  <conditionalFormatting sqref="BR1:BR508">
    <cfRule type="cellIs" dxfId="29" priority="36" operator="equal">
      <formula>"Black"</formula>
    </cfRule>
  </conditionalFormatting>
  <printOptions horizontalCentered="1"/>
  <pageMargins bottom="0.75" footer="0.0" header="0.0" left="0.25" right="0.25" top="0.75"/>
  <pageSetup scale="50" orientation="landscape" pageOrder="overThenDown"/>
  <drawing r:id="rId2"/>
  <legacyDrawing r:id="rId3"/>
  <tableParts count="29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C34A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7.25"/>
    <col customWidth="1" min="3" max="4" width="2.38"/>
    <col customWidth="1" min="5" max="5" width="4.5"/>
    <col customWidth="1" min="6" max="6" width="15.38"/>
    <col customWidth="1" min="7" max="7" width="4.75"/>
    <col customWidth="1" min="8" max="11" width="2.38"/>
    <col customWidth="1" min="12" max="12" width="4.5"/>
    <col customWidth="1" min="13" max="13" width="15.38"/>
    <col customWidth="1" min="14" max="14" width="4.75"/>
    <col customWidth="1" min="15" max="18" width="2.38"/>
    <col customWidth="1" min="19" max="19" width="4.5"/>
    <col customWidth="1" min="20" max="20" width="15.38"/>
    <col customWidth="1" min="21" max="21" width="4.75"/>
    <col customWidth="1" min="22" max="25" width="2.38"/>
    <col customWidth="1" min="26" max="26" width="4.5"/>
    <col customWidth="1" min="27" max="27" width="15.38"/>
    <col customWidth="1" min="28" max="28" width="4.75"/>
    <col customWidth="1" min="29" max="32" width="2.38"/>
    <col customWidth="1" min="33" max="33" width="4.5"/>
    <col customWidth="1" min="34" max="34" width="15.38"/>
    <col customWidth="1" min="35" max="35" width="4.75"/>
    <col customWidth="1" min="36" max="39" width="2.38"/>
    <col customWidth="1" min="40" max="40" width="4.5"/>
    <col customWidth="1" min="41" max="41" width="15.38"/>
    <col customWidth="1" min="42" max="42" width="4.75"/>
    <col customWidth="1" min="43" max="46" width="2.38"/>
    <col customWidth="1" min="47" max="47" width="4.5"/>
    <col customWidth="1" min="48" max="48" width="15.38"/>
    <col customWidth="1" min="49" max="49" width="4.75"/>
    <col customWidth="1" min="50" max="53" width="2.38"/>
    <col customWidth="1" min="54" max="54" width="4.5"/>
    <col customWidth="1" min="55" max="55" width="15.38"/>
    <col customWidth="1" min="56" max="56" width="4.75"/>
    <col customWidth="1" min="57" max="60" width="2.38"/>
    <col customWidth="1" min="61" max="61" width="4.5"/>
    <col customWidth="1" min="62" max="62" width="15.38"/>
    <col customWidth="1" min="63" max="63" width="4.75"/>
    <col customWidth="1" min="64" max="67" width="2.38"/>
    <col customWidth="1" min="68" max="68" width="4.5"/>
    <col customWidth="1" min="69" max="69" width="15.38"/>
    <col customWidth="1" min="70" max="70" width="4.75"/>
    <col customWidth="1" min="71" max="74" width="2.38"/>
    <col customWidth="1" min="75" max="75" width="4.5"/>
    <col customWidth="1" min="76" max="76" width="15.38"/>
    <col customWidth="1" min="77" max="77" width="4.75"/>
    <col customWidth="1" min="78" max="81" width="2.38"/>
    <col customWidth="1" min="82" max="82" width="4.5"/>
    <col customWidth="1" min="83" max="83" width="15.38"/>
    <col customWidth="1" min="84" max="84" width="4.75"/>
    <col customWidth="1" min="85" max="88" width="2.38"/>
    <col customWidth="1" min="89" max="89" width="4.5"/>
    <col customWidth="1" min="90" max="90" width="15.38"/>
    <col customWidth="1" min="91" max="91" width="4.75"/>
    <col customWidth="1" min="92" max="95" width="2.38"/>
    <col customWidth="1" min="96" max="96" width="4.5"/>
    <col customWidth="1" min="97" max="97" width="15.38"/>
    <col customWidth="1" min="98" max="98" width="4.75"/>
    <col customWidth="1" min="99" max="102" width="2.38"/>
    <col customWidth="1" min="103" max="103" width="4.5"/>
    <col customWidth="1" min="104" max="104" width="15.38"/>
    <col customWidth="1" min="105" max="105" width="4.75"/>
    <col customWidth="1" min="106" max="109" width="2.38"/>
    <col customWidth="1" min="110" max="110" width="4.5"/>
    <col customWidth="1" min="111" max="111" width="15.38"/>
    <col customWidth="1" min="112" max="112" width="4.75"/>
    <col customWidth="1" min="113" max="116" width="2.38"/>
    <col customWidth="1" min="117" max="117" width="4.5"/>
    <col customWidth="1" min="118" max="118" width="15.38"/>
    <col customWidth="1" min="119" max="119" width="4.75"/>
    <col customWidth="1" min="120" max="123" width="2.38"/>
    <col customWidth="1" min="124" max="124" width="4.5"/>
    <col customWidth="1" min="125" max="125" width="15.38"/>
    <col customWidth="1" min="126" max="126" width="4.75"/>
    <col customWidth="1" min="127" max="130" width="2.38"/>
    <col customWidth="1" min="131" max="131" width="4.5"/>
    <col customWidth="1" min="132" max="132" width="15.38"/>
    <col customWidth="1" min="133" max="133" width="4.75"/>
    <col customWidth="1" min="134" max="137" width="2.38"/>
    <col customWidth="1" min="138" max="138" width="4.5"/>
    <col customWidth="1" min="139" max="139" width="15.38"/>
    <col customWidth="1" min="140" max="140" width="4.75"/>
    <col customWidth="1" min="141" max="144" width="2.38"/>
    <col customWidth="1" min="145" max="145" width="4.5"/>
    <col customWidth="1" min="146" max="146" width="15.38"/>
    <col customWidth="1" min="147" max="147" width="4.75"/>
    <col customWidth="1" min="148" max="151" width="2.38"/>
    <col customWidth="1" min="152" max="152" width="4.5"/>
    <col customWidth="1" min="153" max="153" width="15.38"/>
    <col customWidth="1" min="154" max="154" width="4.75"/>
    <col customWidth="1" min="155" max="158" width="2.38"/>
    <col customWidth="1" min="159" max="159" width="4.5"/>
    <col customWidth="1" min="160" max="160" width="15.38"/>
    <col customWidth="1" min="161" max="161" width="4.75"/>
    <col customWidth="1" min="162" max="165" width="2.38"/>
    <col customWidth="1" min="166" max="166" width="4.5"/>
    <col customWidth="1" min="167" max="167" width="15.38"/>
    <col customWidth="1" min="168" max="168" width="4.75"/>
    <col customWidth="1" min="169" max="172" width="2.38"/>
    <col customWidth="1" min="173" max="173" width="4.5"/>
    <col customWidth="1" min="174" max="174" width="15.38"/>
    <col customWidth="1" min="175" max="175" width="4.75"/>
    <col customWidth="1" min="176" max="179" width="2.38"/>
    <col customWidth="1" min="180" max="180" width="4.5"/>
    <col customWidth="1" min="181" max="181" width="15.38"/>
    <col customWidth="1" min="182" max="182" width="4.75"/>
    <col customWidth="1" min="183" max="186" width="2.38"/>
    <col customWidth="1" min="187" max="187" width="4.5"/>
    <col customWidth="1" min="188" max="188" width="15.38"/>
    <col customWidth="1" min="189" max="189" width="4.75"/>
    <col customWidth="1" min="190" max="193" width="2.38"/>
    <col customWidth="1" min="194" max="194" width="4.5"/>
    <col customWidth="1" min="195" max="195" width="15.38"/>
    <col customWidth="1" min="196" max="196" width="4.75"/>
    <col customWidth="1" min="197" max="200" width="2.38"/>
    <col customWidth="1" min="201" max="201" width="4.5"/>
    <col customWidth="1" min="202" max="202" width="15.38"/>
    <col customWidth="1" min="203" max="203" width="4.75"/>
    <col customWidth="1" min="204" max="207" width="2.38"/>
    <col customWidth="1" min="208" max="208" width="4.5"/>
    <col customWidth="1" min="209" max="209" width="15.38"/>
    <col customWidth="1" min="210" max="210" width="4.75"/>
    <col customWidth="1" min="211" max="214" width="2.38"/>
    <col customWidth="1" min="215" max="215" width="4.5"/>
    <col customWidth="1" min="216" max="216" width="15.38"/>
    <col customWidth="1" min="217" max="217" width="4.75"/>
    <col customWidth="1" min="218" max="221" width="2.38"/>
    <col customWidth="1" min="222" max="222" width="4.5"/>
    <col customWidth="1" min="223" max="223" width="15.38"/>
    <col customWidth="1" min="224" max="224" width="4.75"/>
    <col customWidth="1" min="225" max="228" width="2.38"/>
    <col customWidth="1" min="229" max="229" width="4.5"/>
    <col customWidth="1" min="230" max="230" width="15.38"/>
    <col customWidth="1" min="231" max="231" width="4.75"/>
    <col customWidth="1" min="232" max="235" width="2.38"/>
    <col customWidth="1" min="236" max="236" width="4.5"/>
    <col customWidth="1" min="237" max="237" width="15.38"/>
    <col customWidth="1" min="238" max="238" width="4.75"/>
    <col customWidth="1" min="239" max="242" width="2.38"/>
    <col customWidth="1" min="243" max="243" width="4.5"/>
    <col customWidth="1" min="244" max="244" width="15.38"/>
    <col customWidth="1" min="245" max="245" width="4.75"/>
    <col customWidth="1" min="246" max="249" width="2.38"/>
    <col customWidth="1" min="250" max="250" width="4.5"/>
    <col customWidth="1" min="251" max="251" width="15.38"/>
    <col customWidth="1" min="252" max="252" width="4.75"/>
    <col customWidth="1" min="253" max="256" width="2.38"/>
    <col customWidth="1" min="257" max="257" width="4.5"/>
    <col customWidth="1" min="258" max="258" width="15.38"/>
    <col customWidth="1" min="259" max="259" width="4.75"/>
    <col customWidth="1" min="260" max="263" width="2.38"/>
    <col customWidth="1" min="264" max="264" width="4.5"/>
    <col customWidth="1" min="265" max="265" width="15.38"/>
    <col customWidth="1" min="266" max="266" width="4.75"/>
    <col customWidth="1" min="267" max="270" width="2.38"/>
    <col customWidth="1" min="271" max="271" width="4.5"/>
    <col customWidth="1" min="272" max="272" width="15.38"/>
    <col customWidth="1" min="273" max="273" width="4.75"/>
    <col customWidth="1" min="274" max="277" width="2.38"/>
    <col customWidth="1" min="278" max="278" width="4.5"/>
    <col customWidth="1" min="279" max="279" width="15.38"/>
    <col customWidth="1" min="280" max="280" width="4.75"/>
    <col customWidth="1" min="281" max="284" width="2.38"/>
    <col customWidth="1" min="285" max="285" width="4.5"/>
    <col customWidth="1" min="286" max="286" width="15.38"/>
    <col customWidth="1" min="287" max="287" width="4.75"/>
    <col customWidth="1" min="288" max="291" width="2.38"/>
    <col customWidth="1" min="292" max="292" width="4.5"/>
    <col customWidth="1" min="293" max="293" width="15.38"/>
    <col customWidth="1" min="294" max="294" width="4.75"/>
    <col customWidth="1" min="295" max="297" width="2.38"/>
    <col customWidth="1" min="298" max="298" width="4.75"/>
    <col customWidth="1" min="299" max="299" width="4.5"/>
    <col customWidth="1" min="300" max="300" width="15.38"/>
    <col customWidth="1" min="301" max="301" width="4.75"/>
    <col customWidth="1" min="302" max="305" width="2.38"/>
    <col customWidth="1" min="306" max="306" width="4.5"/>
    <col customWidth="1" min="307" max="307" width="15.38"/>
    <col customWidth="1" min="308" max="308" width="4.75"/>
    <col customWidth="1" min="309" max="312" width="2.38"/>
    <col customWidth="1" min="313" max="313" width="4.5"/>
    <col customWidth="1" min="314" max="314" width="15.38"/>
    <col customWidth="1" min="315" max="315" width="4.75"/>
    <col customWidth="1" min="316" max="319" width="2.38"/>
    <col customWidth="1" min="320" max="320" width="4.5"/>
    <col customWidth="1" min="321" max="321" width="15.38"/>
    <col customWidth="1" min="322" max="322" width="4.75"/>
    <col customWidth="1" min="323" max="326" width="2.38"/>
    <col customWidth="1" min="327" max="327" width="4.5"/>
    <col customWidth="1" min="328" max="328" width="15.38"/>
    <col customWidth="1" min="329" max="329" width="4.75"/>
    <col customWidth="1" min="330" max="333" width="2.38"/>
    <col customWidth="1" min="334" max="334" width="4.5"/>
    <col customWidth="1" min="335" max="335" width="15.38"/>
    <col customWidth="1" min="336" max="336" width="4.75"/>
    <col customWidth="1" min="337" max="340" width="2.38"/>
  </cols>
  <sheetData>
    <row r="1" ht="15.75" customHeight="1">
      <c r="A1" s="949"/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950"/>
      <c r="AA1" s="950"/>
      <c r="AB1" s="950"/>
      <c r="AC1" s="950"/>
      <c r="AD1" s="950"/>
      <c r="AE1" s="950"/>
      <c r="AF1" s="950"/>
      <c r="AG1" s="950"/>
      <c r="AH1" s="950"/>
      <c r="AI1" s="950"/>
      <c r="AJ1" s="950"/>
      <c r="AK1" s="950"/>
      <c r="AL1" s="950"/>
      <c r="AM1" s="950"/>
      <c r="AN1" s="950"/>
      <c r="AO1" s="950"/>
      <c r="AP1" s="950"/>
      <c r="AQ1" s="950"/>
      <c r="AR1" s="950"/>
      <c r="AS1" s="950"/>
      <c r="AT1" s="950"/>
      <c r="AU1" s="950"/>
      <c r="AV1" s="950"/>
      <c r="AW1" s="950"/>
      <c r="AX1" s="950"/>
      <c r="AY1" s="950"/>
      <c r="AZ1" s="950"/>
      <c r="BA1" s="950"/>
      <c r="BB1" s="950"/>
      <c r="BC1" s="950"/>
      <c r="BD1" s="950"/>
      <c r="BE1" s="950"/>
      <c r="BF1" s="950"/>
      <c r="BG1" s="950"/>
      <c r="BH1" s="950"/>
      <c r="BI1" s="950"/>
      <c r="BJ1" s="950"/>
      <c r="BK1" s="950"/>
      <c r="BL1" s="950"/>
      <c r="BM1" s="950"/>
      <c r="BN1" s="950"/>
      <c r="BO1" s="950"/>
      <c r="BP1" s="950"/>
      <c r="BQ1" s="950"/>
      <c r="BR1" s="950"/>
      <c r="BS1" s="950"/>
      <c r="BT1" s="950"/>
      <c r="BU1" s="950"/>
      <c r="BV1" s="950"/>
      <c r="BW1" s="950"/>
      <c r="BX1" s="950"/>
      <c r="BY1" s="950"/>
      <c r="BZ1" s="950"/>
      <c r="CA1" s="950"/>
      <c r="CB1" s="950"/>
      <c r="CC1" s="950"/>
      <c r="CD1" s="950"/>
      <c r="CE1" s="950"/>
      <c r="CF1" s="950"/>
      <c r="CG1" s="950"/>
      <c r="CH1" s="950"/>
      <c r="CI1" s="950"/>
      <c r="CJ1" s="950"/>
      <c r="CK1" s="950"/>
      <c r="CL1" s="950"/>
      <c r="CM1" s="950"/>
      <c r="CN1" s="950"/>
      <c r="CO1" s="950"/>
      <c r="CP1" s="950"/>
      <c r="CQ1" s="950"/>
      <c r="CR1" s="950"/>
      <c r="CS1" s="950"/>
      <c r="CT1" s="950"/>
      <c r="CU1" s="950"/>
      <c r="CV1" s="950"/>
      <c r="CW1" s="950"/>
      <c r="CX1" s="950"/>
      <c r="CY1" s="950"/>
      <c r="CZ1" s="950"/>
      <c r="DA1" s="950"/>
      <c r="DB1" s="950"/>
      <c r="DC1" s="950"/>
      <c r="DD1" s="950"/>
      <c r="DE1" s="950"/>
      <c r="DF1" s="950"/>
      <c r="DG1" s="950"/>
      <c r="DH1" s="950"/>
      <c r="DI1" s="950"/>
      <c r="DJ1" s="950"/>
      <c r="DK1" s="950"/>
      <c r="DL1" s="950"/>
      <c r="DM1" s="950"/>
      <c r="DN1" s="950"/>
      <c r="DO1" s="950"/>
      <c r="DP1" s="950"/>
      <c r="DQ1" s="950"/>
      <c r="DR1" s="950"/>
      <c r="DS1" s="950"/>
      <c r="DT1" s="950"/>
      <c r="DU1" s="950"/>
      <c r="DV1" s="950"/>
      <c r="DW1" s="950"/>
      <c r="DX1" s="950"/>
      <c r="DY1" s="950"/>
      <c r="DZ1" s="950"/>
      <c r="EA1" s="950"/>
      <c r="EB1" s="950"/>
      <c r="EC1" s="950"/>
      <c r="ED1" s="950"/>
      <c r="EE1" s="950"/>
      <c r="EF1" s="950"/>
      <c r="EG1" s="950"/>
      <c r="EH1" s="950"/>
      <c r="EI1" s="950"/>
      <c r="EJ1" s="950"/>
      <c r="EK1" s="950"/>
      <c r="EL1" s="950"/>
      <c r="EM1" s="950"/>
      <c r="EN1" s="950"/>
      <c r="EO1" s="951"/>
      <c r="EP1" s="951"/>
      <c r="EQ1" s="951"/>
      <c r="ER1" s="951"/>
      <c r="ES1" s="951"/>
      <c r="ET1" s="951"/>
      <c r="EU1" s="950"/>
      <c r="EV1" s="950"/>
      <c r="EW1" s="950"/>
      <c r="EX1" s="950"/>
      <c r="EY1" s="950"/>
      <c r="EZ1" s="950"/>
      <c r="FA1" s="950"/>
      <c r="FB1" s="950"/>
      <c r="FC1" s="951"/>
      <c r="FD1" s="951"/>
      <c r="FE1" s="951"/>
      <c r="FF1" s="951"/>
      <c r="FG1" s="951"/>
      <c r="FH1" s="951"/>
      <c r="FI1" s="950"/>
      <c r="FJ1" s="950"/>
      <c r="FK1" s="950"/>
      <c r="FL1" s="950"/>
      <c r="FM1" s="950"/>
      <c r="FN1" s="950"/>
      <c r="FO1" s="950"/>
      <c r="FP1" s="950"/>
      <c r="FQ1" s="950"/>
      <c r="FR1" s="950"/>
      <c r="FS1" s="950"/>
      <c r="FT1" s="950"/>
      <c r="FU1" s="950"/>
      <c r="FV1" s="950"/>
      <c r="FW1" s="950"/>
      <c r="FX1" s="950"/>
      <c r="FY1" s="950"/>
      <c r="FZ1" s="950"/>
      <c r="GA1" s="950"/>
      <c r="GB1" s="950"/>
      <c r="GC1" s="950"/>
      <c r="GD1" s="950"/>
      <c r="GE1" s="950"/>
      <c r="GF1" s="950"/>
      <c r="GG1" s="950"/>
      <c r="GH1" s="950"/>
      <c r="GI1" s="950"/>
      <c r="GJ1" s="950"/>
      <c r="GK1" s="950"/>
      <c r="GL1" s="950"/>
      <c r="GM1" s="950"/>
      <c r="GN1" s="950"/>
      <c r="GO1" s="950"/>
      <c r="GP1" s="950"/>
      <c r="GQ1" s="950"/>
      <c r="GR1" s="950"/>
      <c r="GS1" s="950"/>
      <c r="GT1" s="950"/>
      <c r="GU1" s="950"/>
      <c r="GV1" s="950"/>
      <c r="GW1" s="950"/>
      <c r="GX1" s="950"/>
      <c r="GY1" s="950"/>
      <c r="GZ1" s="950"/>
      <c r="HA1" s="950"/>
      <c r="HB1" s="950"/>
      <c r="HC1" s="950"/>
      <c r="HD1" s="950"/>
      <c r="HE1" s="950"/>
      <c r="HF1" s="950"/>
      <c r="HG1" s="950"/>
      <c r="HH1" s="950"/>
      <c r="HI1" s="950"/>
      <c r="HJ1" s="950"/>
      <c r="HK1" s="950"/>
      <c r="HL1" s="950"/>
      <c r="HM1" s="950"/>
      <c r="HN1" s="950"/>
      <c r="HO1" s="950"/>
      <c r="HP1" s="950"/>
      <c r="HQ1" s="950"/>
      <c r="HR1" s="950"/>
      <c r="HS1" s="950"/>
      <c r="HT1" s="950"/>
      <c r="HU1" s="950"/>
      <c r="HV1" s="950"/>
      <c r="HW1" s="950"/>
      <c r="HX1" s="950"/>
      <c r="HY1" s="950"/>
      <c r="HZ1" s="950"/>
      <c r="IA1" s="950"/>
      <c r="IB1" s="951"/>
      <c r="IC1" s="951"/>
      <c r="ID1" s="951"/>
      <c r="IE1" s="951"/>
      <c r="IF1" s="951"/>
      <c r="IG1" s="951"/>
      <c r="IH1" s="950"/>
      <c r="II1" s="950"/>
      <c r="IJ1" s="950"/>
      <c r="IK1" s="950"/>
      <c r="IL1" s="950"/>
      <c r="IM1" s="950"/>
      <c r="IN1" s="950"/>
      <c r="IO1" s="950"/>
      <c r="IP1" s="950"/>
      <c r="IQ1" s="950"/>
      <c r="IR1" s="950"/>
      <c r="IS1" s="950"/>
      <c r="IT1" s="950"/>
      <c r="IU1" s="950"/>
      <c r="IV1" s="950"/>
      <c r="IW1" s="950"/>
      <c r="IX1" s="950"/>
      <c r="IY1" s="950"/>
      <c r="IZ1" s="950"/>
      <c r="JA1" s="950"/>
      <c r="JB1" s="950"/>
      <c r="JC1" s="950"/>
      <c r="JD1" s="950"/>
      <c r="JE1" s="950"/>
      <c r="JF1" s="950"/>
      <c r="JG1" s="950"/>
      <c r="JH1" s="950"/>
      <c r="JI1" s="950"/>
      <c r="JJ1" s="950"/>
      <c r="JK1" s="950"/>
      <c r="JL1" s="950"/>
      <c r="JM1" s="950"/>
      <c r="JN1" s="950"/>
      <c r="JO1" s="950"/>
      <c r="JP1" s="950"/>
      <c r="JQ1" s="950"/>
      <c r="JR1" s="950"/>
      <c r="JS1" s="950"/>
      <c r="JT1" s="950"/>
      <c r="JU1" s="950"/>
      <c r="JV1" s="950"/>
      <c r="JW1" s="950"/>
      <c r="JX1" s="950"/>
      <c r="JY1" s="950"/>
      <c r="JZ1" s="950"/>
      <c r="KA1" s="950"/>
      <c r="KB1" s="950"/>
      <c r="KC1" s="950"/>
      <c r="KD1" s="950"/>
      <c r="KE1" s="950"/>
      <c r="KF1" s="950"/>
      <c r="KG1" s="950"/>
      <c r="KH1" s="950"/>
      <c r="KI1" s="950"/>
      <c r="KJ1" s="950"/>
      <c r="KK1" s="950"/>
      <c r="KL1" s="950"/>
      <c r="KM1" s="951"/>
      <c r="KN1" s="951"/>
      <c r="KO1" s="951"/>
      <c r="KP1" s="951"/>
      <c r="KQ1" s="951"/>
      <c r="KR1" s="951"/>
      <c r="KS1" s="950"/>
      <c r="KT1" s="950"/>
      <c r="KU1" s="950"/>
      <c r="KV1" s="950"/>
      <c r="KW1" s="950"/>
      <c r="KX1" s="950"/>
      <c r="KY1" s="950"/>
      <c r="KZ1" s="950"/>
      <c r="LA1" s="950"/>
      <c r="LB1" s="950"/>
      <c r="LC1" s="950"/>
      <c r="LD1" s="950"/>
      <c r="LE1" s="950"/>
      <c r="LF1" s="950"/>
      <c r="LG1" s="950"/>
      <c r="LH1" s="950"/>
      <c r="LI1" s="950"/>
      <c r="LJ1" s="950"/>
      <c r="LK1" s="950"/>
      <c r="LL1" s="950"/>
      <c r="LM1" s="950"/>
      <c r="LN1" s="950"/>
      <c r="LO1" s="950"/>
      <c r="LP1" s="950"/>
      <c r="LQ1" s="950"/>
      <c r="LR1" s="950"/>
      <c r="LS1" s="950"/>
      <c r="LT1" s="950"/>
      <c r="LU1" s="950"/>
      <c r="LV1" s="950"/>
      <c r="LW1" s="950"/>
      <c r="LX1" s="950"/>
      <c r="LY1" s="950"/>
      <c r="LZ1" s="950"/>
      <c r="MA1" s="950"/>
      <c r="MB1" s="952"/>
    </row>
    <row r="2" ht="15.75" customHeight="1">
      <c r="A2" s="10"/>
      <c r="B2" s="953" t="s">
        <v>4511</v>
      </c>
      <c r="C2" s="954"/>
      <c r="D2" s="955"/>
      <c r="E2" s="956" t="s">
        <v>4512</v>
      </c>
      <c r="F2" s="957"/>
      <c r="G2" s="958"/>
      <c r="H2" s="959"/>
      <c r="I2" s="959"/>
      <c r="J2" s="960"/>
      <c r="K2" s="108"/>
      <c r="L2" s="956" t="s">
        <v>4513</v>
      </c>
      <c r="M2" s="957"/>
      <c r="N2" s="958"/>
      <c r="O2" s="959"/>
      <c r="P2" s="959"/>
      <c r="Q2" s="960"/>
      <c r="R2" s="108"/>
      <c r="S2" s="956" t="s">
        <v>4514</v>
      </c>
      <c r="T2" s="957"/>
      <c r="U2" s="958"/>
      <c r="V2" s="959"/>
      <c r="W2" s="959"/>
      <c r="X2" s="960"/>
      <c r="Y2" s="442"/>
      <c r="Z2" s="961" t="s">
        <v>4515</v>
      </c>
      <c r="AA2" s="962"/>
      <c r="AB2" s="963"/>
      <c r="AC2" s="12"/>
      <c r="AD2" s="12"/>
      <c r="AE2" s="48"/>
      <c r="AF2" s="442"/>
      <c r="AG2" s="956" t="s">
        <v>4516</v>
      </c>
      <c r="AH2" s="957"/>
      <c r="AI2" s="958"/>
      <c r="AJ2" s="959"/>
      <c r="AK2" s="959"/>
      <c r="AL2" s="960"/>
      <c r="AM2" s="108"/>
      <c r="AN2" s="956" t="s">
        <v>4517</v>
      </c>
      <c r="AO2" s="957"/>
      <c r="AP2" s="958"/>
      <c r="AQ2" s="959"/>
      <c r="AR2" s="959"/>
      <c r="AS2" s="960"/>
      <c r="AT2" s="108"/>
      <c r="AU2" s="964" t="s">
        <v>4518</v>
      </c>
      <c r="AV2" s="962"/>
      <c r="AW2" s="963"/>
      <c r="AX2" s="12"/>
      <c r="AY2" s="12"/>
      <c r="AZ2" s="48"/>
      <c r="BA2" s="108"/>
      <c r="BB2" s="965" t="s">
        <v>4519</v>
      </c>
      <c r="BC2" s="957"/>
      <c r="BD2" s="958"/>
      <c r="BE2" s="959"/>
      <c r="BF2" s="959"/>
      <c r="BG2" s="960"/>
      <c r="BH2" s="108"/>
      <c r="BI2" s="956" t="s">
        <v>4520</v>
      </c>
      <c r="BJ2" s="957"/>
      <c r="BK2" s="958"/>
      <c r="BL2" s="959"/>
      <c r="BM2" s="959"/>
      <c r="BN2" s="960"/>
      <c r="BO2" s="108"/>
      <c r="BP2" s="956" t="s">
        <v>4521</v>
      </c>
      <c r="BQ2" s="957"/>
      <c r="BR2" s="958"/>
      <c r="BS2" s="959"/>
      <c r="BT2" s="959"/>
      <c r="BU2" s="960"/>
      <c r="BV2" s="108"/>
      <c r="BW2" s="956" t="s">
        <v>4522</v>
      </c>
      <c r="BX2" s="957"/>
      <c r="BY2" s="958"/>
      <c r="BZ2" s="959"/>
      <c r="CA2" s="959"/>
      <c r="CB2" s="960"/>
      <c r="CC2" s="108"/>
      <c r="CD2" s="956" t="s">
        <v>4523</v>
      </c>
      <c r="CE2" s="957"/>
      <c r="CF2" s="958"/>
      <c r="CG2" s="959"/>
      <c r="CH2" s="959"/>
      <c r="CI2" s="960"/>
      <c r="CJ2" s="108"/>
      <c r="CK2" s="965" t="s">
        <v>4524</v>
      </c>
      <c r="CL2" s="957"/>
      <c r="CM2" s="966"/>
      <c r="CN2" s="967"/>
      <c r="CO2" s="967"/>
      <c r="CP2" s="263"/>
      <c r="CQ2" s="108"/>
      <c r="CR2" s="956" t="s">
        <v>4525</v>
      </c>
      <c r="CS2" s="957"/>
      <c r="CT2" s="958"/>
      <c r="CU2" s="959"/>
      <c r="CV2" s="959"/>
      <c r="CW2" s="960"/>
      <c r="CX2" s="108"/>
      <c r="CY2" s="968"/>
      <c r="CZ2" s="969" t="s">
        <v>526</v>
      </c>
      <c r="DA2" s="970" t="s">
        <v>4526</v>
      </c>
      <c r="DB2" s="970">
        <v>10.0</v>
      </c>
      <c r="DC2" s="971">
        <v>10.0</v>
      </c>
      <c r="DD2" s="972">
        <v>10.0</v>
      </c>
      <c r="DE2" s="108"/>
      <c r="DF2" s="956" t="s">
        <v>4527</v>
      </c>
      <c r="DG2" s="957"/>
      <c r="DH2" s="958"/>
      <c r="DI2" s="959"/>
      <c r="DJ2" s="959"/>
      <c r="DK2" s="960"/>
      <c r="DL2" s="108"/>
      <c r="DM2" s="973" t="s">
        <v>4528</v>
      </c>
      <c r="DN2" s="974"/>
      <c r="DO2" s="975"/>
      <c r="DP2" s="976"/>
      <c r="DQ2" s="976"/>
      <c r="DR2" s="954"/>
      <c r="DS2" s="108"/>
      <c r="DT2" s="977"/>
      <c r="DU2" s="978" t="s">
        <v>2141</v>
      </c>
      <c r="DV2" s="319"/>
      <c r="DW2" s="977">
        <v>30.0</v>
      </c>
      <c r="DX2" s="979">
        <v>30.0</v>
      </c>
      <c r="DY2" s="980">
        <v>0.0</v>
      </c>
      <c r="DZ2" s="108"/>
      <c r="EA2" s="973" t="s">
        <v>4529</v>
      </c>
      <c r="EB2" s="974"/>
      <c r="EC2" s="981"/>
      <c r="ED2" s="519"/>
      <c r="EE2" s="519"/>
      <c r="EF2" s="982"/>
      <c r="EG2" s="108"/>
      <c r="EH2" s="983"/>
      <c r="EI2" s="978" t="s">
        <v>1637</v>
      </c>
      <c r="EJ2" s="319"/>
      <c r="EK2" s="977">
        <v>20.0</v>
      </c>
      <c r="EL2" s="984"/>
      <c r="EM2" s="319"/>
      <c r="EN2" s="442"/>
      <c r="EO2" s="956" t="s">
        <v>4530</v>
      </c>
      <c r="EP2" s="957"/>
      <c r="EQ2" s="958"/>
      <c r="ER2" s="959"/>
      <c r="ES2" s="959"/>
      <c r="ET2" s="960"/>
      <c r="EU2" s="108"/>
      <c r="EV2" s="956" t="s">
        <v>4531</v>
      </c>
      <c r="EW2" s="957"/>
      <c r="EX2" s="958"/>
      <c r="EY2" s="959"/>
      <c r="EZ2" s="959"/>
      <c r="FA2" s="960"/>
      <c r="FB2" s="108"/>
      <c r="FC2" s="956" t="s">
        <v>4532</v>
      </c>
      <c r="FD2" s="957"/>
      <c r="FE2" s="966"/>
      <c r="FF2" s="967"/>
      <c r="FG2" s="967"/>
      <c r="FH2" s="263"/>
      <c r="FI2" s="108"/>
      <c r="FJ2" s="956" t="s">
        <v>4533</v>
      </c>
      <c r="FK2" s="957"/>
      <c r="FL2" s="958"/>
      <c r="FM2" s="959"/>
      <c r="FN2" s="959"/>
      <c r="FO2" s="960"/>
      <c r="FP2" s="108"/>
      <c r="FQ2" s="956" t="s">
        <v>4534</v>
      </c>
      <c r="FR2" s="957"/>
      <c r="FS2" s="966"/>
      <c r="FT2" s="967"/>
      <c r="FU2" s="967"/>
      <c r="FV2" s="263"/>
      <c r="FW2" s="108"/>
      <c r="FX2" s="985" t="s">
        <v>4535</v>
      </c>
      <c r="FY2" s="12"/>
      <c r="FZ2" s="12"/>
      <c r="GA2" s="986" t="s">
        <v>2249</v>
      </c>
      <c r="GB2" s="986" t="s">
        <v>2440</v>
      </c>
      <c r="GC2" s="987" t="s">
        <v>2408</v>
      </c>
      <c r="GD2" s="108"/>
      <c r="GE2" s="956" t="s">
        <v>4536</v>
      </c>
      <c r="GF2" s="957"/>
      <c r="GG2" s="958"/>
      <c r="GH2" s="959"/>
      <c r="GI2" s="959"/>
      <c r="GJ2" s="960"/>
      <c r="GK2" s="108"/>
      <c r="GL2" s="956" t="s">
        <v>4537</v>
      </c>
      <c r="GM2" s="957"/>
      <c r="GN2" s="958"/>
      <c r="GO2" s="959"/>
      <c r="GP2" s="959"/>
      <c r="GQ2" s="960"/>
      <c r="GR2" s="108"/>
      <c r="GS2" s="956" t="s">
        <v>4538</v>
      </c>
      <c r="GT2" s="957"/>
      <c r="GU2" s="958"/>
      <c r="GV2" s="959"/>
      <c r="GW2" s="959"/>
      <c r="GX2" s="960"/>
      <c r="GY2" s="442"/>
      <c r="GZ2" s="956" t="s">
        <v>4539</v>
      </c>
      <c r="HA2" s="957"/>
      <c r="HB2" s="958"/>
      <c r="HC2" s="959"/>
      <c r="HD2" s="959"/>
      <c r="HE2" s="960"/>
      <c r="HF2" s="442"/>
      <c r="HG2" s="956" t="s">
        <v>4540</v>
      </c>
      <c r="HH2" s="957"/>
      <c r="HI2" s="958"/>
      <c r="HJ2" s="959"/>
      <c r="HK2" s="959"/>
      <c r="HL2" s="960"/>
      <c r="HM2" s="442"/>
      <c r="HN2" s="956" t="s">
        <v>4541</v>
      </c>
      <c r="HO2" s="957"/>
      <c r="HP2" s="958"/>
      <c r="HQ2" s="959"/>
      <c r="HR2" s="959"/>
      <c r="HS2" s="960"/>
      <c r="HT2" s="442"/>
      <c r="HU2" s="973" t="s">
        <v>4542</v>
      </c>
      <c r="HV2" s="974"/>
      <c r="HW2" s="975"/>
      <c r="HX2" s="976"/>
      <c r="HY2" s="976"/>
      <c r="HZ2" s="954"/>
      <c r="IA2" s="442"/>
      <c r="IB2" s="973" t="s">
        <v>4543</v>
      </c>
      <c r="IC2" s="974"/>
      <c r="ID2" s="975"/>
      <c r="IE2" s="976"/>
      <c r="IF2" s="976"/>
      <c r="IG2" s="954"/>
      <c r="IH2" s="442"/>
      <c r="II2" s="956" t="s">
        <v>4544</v>
      </c>
      <c r="IJ2" s="957"/>
      <c r="IK2" s="958"/>
      <c r="IL2" s="959"/>
      <c r="IM2" s="959"/>
      <c r="IN2" s="960"/>
      <c r="IO2" s="442"/>
      <c r="IP2" s="983"/>
      <c r="IQ2" s="978" t="s">
        <v>458</v>
      </c>
      <c r="IR2" s="977" t="s">
        <v>4545</v>
      </c>
      <c r="IS2" s="977">
        <v>10.0</v>
      </c>
      <c r="IT2" s="979">
        <v>10.0</v>
      </c>
      <c r="IU2" s="980">
        <v>10.0</v>
      </c>
      <c r="IV2" s="442"/>
      <c r="IW2" s="961" t="s">
        <v>4546</v>
      </c>
      <c r="IX2" s="962"/>
      <c r="IY2" s="958"/>
      <c r="IZ2" s="959"/>
      <c r="JA2" s="959"/>
      <c r="JB2" s="960"/>
      <c r="JC2" s="442"/>
      <c r="JD2" s="956" t="s">
        <v>4547</v>
      </c>
      <c r="JE2" s="957"/>
      <c r="JF2" s="958"/>
      <c r="JG2" s="959"/>
      <c r="JH2" s="959"/>
      <c r="JI2" s="960"/>
      <c r="JJ2" s="442"/>
      <c r="JK2" s="988"/>
      <c r="JL2" s="989" t="s">
        <v>2141</v>
      </c>
      <c r="JM2" s="990"/>
      <c r="JN2" s="991">
        <v>30.0</v>
      </c>
      <c r="JO2" s="992">
        <v>30.0</v>
      </c>
      <c r="JP2" s="993">
        <v>0.0</v>
      </c>
      <c r="JQ2" s="442"/>
      <c r="JR2" s="956" t="s">
        <v>4548</v>
      </c>
      <c r="JS2" s="957"/>
      <c r="JT2" s="958"/>
      <c r="JU2" s="959"/>
      <c r="JV2" s="959"/>
      <c r="JW2" s="960"/>
      <c r="JX2" s="442"/>
      <c r="JY2" s="968"/>
      <c r="JZ2" s="994" t="s">
        <v>3843</v>
      </c>
      <c r="KA2" s="970" t="s">
        <v>4549</v>
      </c>
      <c r="KB2" s="970">
        <v>20.0</v>
      </c>
      <c r="KC2" s="971">
        <v>20.0</v>
      </c>
      <c r="KD2" s="972">
        <v>20.0</v>
      </c>
      <c r="KE2" s="442"/>
      <c r="KF2" s="956" t="s">
        <v>4550</v>
      </c>
      <c r="KG2" s="957"/>
      <c r="KH2" s="963"/>
      <c r="KI2" s="12"/>
      <c r="KJ2" s="12"/>
      <c r="KK2" s="48"/>
      <c r="KL2" s="442"/>
      <c r="KM2" s="995" t="s">
        <v>4551</v>
      </c>
      <c r="KN2" s="976"/>
      <c r="KO2" s="976"/>
      <c r="KP2" s="976"/>
      <c r="KQ2" s="976"/>
      <c r="KR2" s="954"/>
      <c r="KS2" s="442"/>
      <c r="KT2" s="956" t="s">
        <v>4552</v>
      </c>
      <c r="KU2" s="957"/>
      <c r="KV2" s="958"/>
      <c r="KW2" s="959"/>
      <c r="KX2" s="959"/>
      <c r="KY2" s="960"/>
      <c r="KZ2" s="442"/>
      <c r="LA2" s="956" t="s">
        <v>4553</v>
      </c>
      <c r="LB2" s="957"/>
      <c r="LC2" s="958"/>
      <c r="LD2" s="959"/>
      <c r="LE2" s="959"/>
      <c r="LF2" s="960"/>
      <c r="LG2" s="442"/>
      <c r="LH2" s="956" t="s">
        <v>4554</v>
      </c>
      <c r="LI2" s="957"/>
      <c r="LJ2" s="958"/>
      <c r="LK2" s="959"/>
      <c r="LL2" s="959"/>
      <c r="LM2" s="960"/>
      <c r="LN2" s="442"/>
      <c r="LO2" s="956" t="s">
        <v>4555</v>
      </c>
      <c r="LP2" s="957"/>
      <c r="LQ2" s="958"/>
      <c r="LR2" s="959"/>
      <c r="LS2" s="959"/>
      <c r="LT2" s="960"/>
      <c r="LU2" s="442"/>
      <c r="LV2" s="973" t="s">
        <v>4556</v>
      </c>
      <c r="LW2" s="974"/>
      <c r="LX2" s="975"/>
      <c r="LY2" s="976"/>
      <c r="LZ2" s="976"/>
      <c r="MA2" s="954"/>
      <c r="MB2" s="996"/>
    </row>
    <row r="3" ht="15.75" customHeight="1">
      <c r="A3" s="10"/>
      <c r="B3" s="997"/>
      <c r="C3" s="998"/>
      <c r="D3" s="955"/>
      <c r="E3" s="999" t="s">
        <v>4557</v>
      </c>
      <c r="F3" s="959"/>
      <c r="G3" s="959"/>
      <c r="H3" s="959"/>
      <c r="I3" s="959"/>
      <c r="J3" s="960"/>
      <c r="K3" s="108"/>
      <c r="L3" s="1000" t="s">
        <v>4558</v>
      </c>
      <c r="M3" s="976"/>
      <c r="N3" s="976"/>
      <c r="O3" s="1001" t="s">
        <v>4559</v>
      </c>
      <c r="P3" s="1001" t="s">
        <v>4560</v>
      </c>
      <c r="Q3" s="1002" t="s">
        <v>914</v>
      </c>
      <c r="R3" s="108"/>
      <c r="S3" s="985" t="s">
        <v>4561</v>
      </c>
      <c r="T3" s="12"/>
      <c r="U3" s="12"/>
      <c r="V3" s="1003" t="s">
        <v>4559</v>
      </c>
      <c r="W3" s="1003" t="s">
        <v>4560</v>
      </c>
      <c r="X3" s="1004" t="s">
        <v>914</v>
      </c>
      <c r="Y3" s="442"/>
      <c r="Z3" s="999" t="s">
        <v>4562</v>
      </c>
      <c r="AA3" s="959"/>
      <c r="AB3" s="959"/>
      <c r="AC3" s="959"/>
      <c r="AD3" s="959"/>
      <c r="AE3" s="960"/>
      <c r="AF3" s="442"/>
      <c r="AG3" s="1005" t="s">
        <v>4563</v>
      </c>
      <c r="AH3" s="12"/>
      <c r="AI3" s="962"/>
      <c r="AJ3" s="1006" t="s">
        <v>4559</v>
      </c>
      <c r="AK3" s="1006" t="s">
        <v>4560</v>
      </c>
      <c r="AL3" s="1007" t="s">
        <v>914</v>
      </c>
      <c r="AM3" s="108"/>
      <c r="AN3" s="1005" t="s">
        <v>4564</v>
      </c>
      <c r="AO3" s="12"/>
      <c r="AP3" s="962"/>
      <c r="AQ3" s="1008" t="s">
        <v>4559</v>
      </c>
      <c r="AR3" s="1008" t="s">
        <v>4560</v>
      </c>
      <c r="AS3" s="1009" t="s">
        <v>914</v>
      </c>
      <c r="AT3" s="108"/>
      <c r="AU3" s="999" t="s">
        <v>4562</v>
      </c>
      <c r="AV3" s="959"/>
      <c r="AW3" s="959"/>
      <c r="AX3" s="959"/>
      <c r="AY3" s="959"/>
      <c r="AZ3" s="960"/>
      <c r="BA3" s="108"/>
      <c r="BB3" s="1010" t="s">
        <v>4565</v>
      </c>
      <c r="BC3" s="12"/>
      <c r="BD3" s="962"/>
      <c r="BE3" s="1003" t="s">
        <v>4559</v>
      </c>
      <c r="BF3" s="1003" t="s">
        <v>4560</v>
      </c>
      <c r="BG3" s="1004" t="s">
        <v>914</v>
      </c>
      <c r="BH3" s="108"/>
      <c r="BI3" s="1011" t="s">
        <v>4566</v>
      </c>
      <c r="BJ3" s="12"/>
      <c r="BK3" s="962"/>
      <c r="BL3" s="1003" t="s">
        <v>4559</v>
      </c>
      <c r="BM3" s="1003" t="s">
        <v>4560</v>
      </c>
      <c r="BN3" s="1004" t="s">
        <v>914</v>
      </c>
      <c r="BO3" s="108"/>
      <c r="BP3" s="1011" t="s">
        <v>4566</v>
      </c>
      <c r="BQ3" s="12"/>
      <c r="BR3" s="962"/>
      <c r="BS3" s="1003" t="s">
        <v>4559</v>
      </c>
      <c r="BT3" s="1003" t="s">
        <v>4560</v>
      </c>
      <c r="BU3" s="1004" t="s">
        <v>914</v>
      </c>
      <c r="BV3" s="108"/>
      <c r="BW3" s="1011" t="s">
        <v>4567</v>
      </c>
      <c r="BX3" s="12"/>
      <c r="BY3" s="962"/>
      <c r="BZ3" s="1003" t="s">
        <v>4559</v>
      </c>
      <c r="CA3" s="1003" t="s">
        <v>4560</v>
      </c>
      <c r="CB3" s="1004" t="s">
        <v>914</v>
      </c>
      <c r="CC3" s="108"/>
      <c r="CD3" s="985" t="s">
        <v>4568</v>
      </c>
      <c r="CE3" s="12"/>
      <c r="CF3" s="12"/>
      <c r="CG3" s="1003" t="s">
        <v>4559</v>
      </c>
      <c r="CH3" s="1003" t="s">
        <v>4560</v>
      </c>
      <c r="CI3" s="1004" t="s">
        <v>914</v>
      </c>
      <c r="CJ3" s="108"/>
      <c r="CK3" s="985" t="s">
        <v>4569</v>
      </c>
      <c r="CL3" s="12"/>
      <c r="CM3" s="12"/>
      <c r="CN3" s="12"/>
      <c r="CO3" s="12"/>
      <c r="CP3" s="48"/>
      <c r="CQ3" s="108"/>
      <c r="CR3" s="1011" t="s">
        <v>4570</v>
      </c>
      <c r="CS3" s="12"/>
      <c r="CT3" s="962"/>
      <c r="CU3" s="1003" t="s">
        <v>4559</v>
      </c>
      <c r="CV3" s="1003" t="s">
        <v>4560</v>
      </c>
      <c r="CW3" s="1004" t="s">
        <v>914</v>
      </c>
      <c r="CX3" s="108"/>
      <c r="CY3" s="1012"/>
      <c r="CZ3" s="89" t="s">
        <v>3477</v>
      </c>
      <c r="DA3" s="1013" t="s">
        <v>4571</v>
      </c>
      <c r="DB3" s="1013">
        <v>10.0</v>
      </c>
      <c r="DC3" s="1014">
        <v>10.0</v>
      </c>
      <c r="DD3" s="1015">
        <v>10.0</v>
      </c>
      <c r="DE3" s="108"/>
      <c r="DF3" s="985" t="s">
        <v>4572</v>
      </c>
      <c r="DG3" s="12"/>
      <c r="DH3" s="12"/>
      <c r="DI3" s="1003" t="s">
        <v>4559</v>
      </c>
      <c r="DJ3" s="1003" t="s">
        <v>4560</v>
      </c>
      <c r="DK3" s="1004" t="s">
        <v>914</v>
      </c>
      <c r="DL3" s="108"/>
      <c r="DM3" s="1016"/>
      <c r="DN3" s="1017"/>
      <c r="DO3" s="1018"/>
      <c r="DP3" s="1019"/>
      <c r="DQ3" s="1019"/>
      <c r="DR3" s="1020"/>
      <c r="DS3" s="108"/>
      <c r="DT3" s="1021"/>
      <c r="DU3" s="1022" t="s">
        <v>1343</v>
      </c>
      <c r="DV3" s="128"/>
      <c r="DW3" s="1021">
        <v>0.0</v>
      </c>
      <c r="DX3" s="1023">
        <v>0.0</v>
      </c>
      <c r="DY3" s="1024">
        <v>40.0</v>
      </c>
      <c r="DZ3" s="108"/>
      <c r="EA3" s="1016"/>
      <c r="EB3" s="1017"/>
      <c r="EC3" s="1025"/>
      <c r="ED3" s="1026"/>
      <c r="EE3" s="1026"/>
      <c r="EF3" s="998"/>
      <c r="EG3" s="108"/>
      <c r="EH3" s="1027"/>
      <c r="EI3" s="1028" t="s">
        <v>2583</v>
      </c>
      <c r="EJ3" s="128"/>
      <c r="EK3" s="1029">
        <v>20.0</v>
      </c>
      <c r="EL3" s="138"/>
      <c r="EM3" s="128"/>
      <c r="EN3" s="442"/>
      <c r="EO3" s="1030" t="s">
        <v>4573</v>
      </c>
      <c r="EP3" s="12"/>
      <c r="EQ3" s="962"/>
      <c r="ER3" s="1008" t="s">
        <v>4559</v>
      </c>
      <c r="ES3" s="1008" t="s">
        <v>4560</v>
      </c>
      <c r="ET3" s="1009" t="s">
        <v>914</v>
      </c>
      <c r="EU3" s="108"/>
      <c r="EV3" s="985" t="s">
        <v>4574</v>
      </c>
      <c r="EW3" s="12"/>
      <c r="EX3" s="12"/>
      <c r="EY3" s="1003" t="s">
        <v>4559</v>
      </c>
      <c r="EZ3" s="1003" t="s">
        <v>4560</v>
      </c>
      <c r="FA3" s="1004" t="s">
        <v>914</v>
      </c>
      <c r="FB3" s="108"/>
      <c r="FC3" s="985" t="s">
        <v>4575</v>
      </c>
      <c r="FD3" s="12"/>
      <c r="FE3" s="12"/>
      <c r="FF3" s="1003" t="s">
        <v>4559</v>
      </c>
      <c r="FG3" s="1003" t="s">
        <v>4560</v>
      </c>
      <c r="FH3" s="1004" t="s">
        <v>914</v>
      </c>
      <c r="FI3" s="108"/>
      <c r="FJ3" s="985" t="s">
        <v>4576</v>
      </c>
      <c r="FK3" s="12"/>
      <c r="FL3" s="12"/>
      <c r="FM3" s="1003" t="s">
        <v>4559</v>
      </c>
      <c r="FN3" s="1003" t="s">
        <v>4560</v>
      </c>
      <c r="FO3" s="1004" t="s">
        <v>914</v>
      </c>
      <c r="FP3" s="108"/>
      <c r="FQ3" s="985" t="s">
        <v>4569</v>
      </c>
      <c r="FR3" s="12"/>
      <c r="FS3" s="12"/>
      <c r="FT3" s="12"/>
      <c r="FU3" s="12"/>
      <c r="FV3" s="48"/>
      <c r="FW3" s="108"/>
      <c r="FX3" s="1012"/>
      <c r="FY3" s="1031" t="s">
        <v>1336</v>
      </c>
      <c r="FZ3" s="1032"/>
      <c r="GA3" s="1033">
        <v>40.0</v>
      </c>
      <c r="GB3" s="1034">
        <v>40.0</v>
      </c>
      <c r="GC3" s="1035">
        <v>0.0</v>
      </c>
      <c r="GD3" s="108"/>
      <c r="GE3" s="985" t="s">
        <v>4577</v>
      </c>
      <c r="GF3" s="12"/>
      <c r="GG3" s="12"/>
      <c r="GH3" s="1003" t="s">
        <v>4559</v>
      </c>
      <c r="GI3" s="1003" t="s">
        <v>4560</v>
      </c>
      <c r="GJ3" s="1004" t="s">
        <v>914</v>
      </c>
      <c r="GK3" s="108"/>
      <c r="GL3" s="985" t="s">
        <v>4578</v>
      </c>
      <c r="GM3" s="12"/>
      <c r="GN3" s="12"/>
      <c r="GO3" s="12"/>
      <c r="GP3" s="12"/>
      <c r="GQ3" s="48"/>
      <c r="GR3" s="108"/>
      <c r="GS3" s="985" t="s">
        <v>4579</v>
      </c>
      <c r="GT3" s="12"/>
      <c r="GU3" s="12"/>
      <c r="GV3" s="1003" t="s">
        <v>4559</v>
      </c>
      <c r="GW3" s="1003" t="s">
        <v>4560</v>
      </c>
      <c r="GX3" s="1004" t="s">
        <v>914</v>
      </c>
      <c r="GY3" s="442"/>
      <c r="GZ3" s="985" t="s">
        <v>4580</v>
      </c>
      <c r="HA3" s="12"/>
      <c r="HB3" s="12"/>
      <c r="HC3" s="1003" t="s">
        <v>4559</v>
      </c>
      <c r="HD3" s="1003" t="s">
        <v>4560</v>
      </c>
      <c r="HE3" s="1004" t="s">
        <v>914</v>
      </c>
      <c r="HF3" s="442"/>
      <c r="HG3" s="985" t="s">
        <v>4581</v>
      </c>
      <c r="HH3" s="12"/>
      <c r="HI3" s="12"/>
      <c r="HJ3" s="1003" t="s">
        <v>4559</v>
      </c>
      <c r="HK3" s="1003" t="s">
        <v>4560</v>
      </c>
      <c r="HL3" s="1004" t="s">
        <v>914</v>
      </c>
      <c r="HM3" s="442"/>
      <c r="HN3" s="985" t="s">
        <v>4578</v>
      </c>
      <c r="HO3" s="12"/>
      <c r="HP3" s="12"/>
      <c r="HQ3" s="12"/>
      <c r="HR3" s="12"/>
      <c r="HS3" s="48"/>
      <c r="HT3" s="442"/>
      <c r="HU3" s="1016"/>
      <c r="HV3" s="1017"/>
      <c r="HW3" s="1018"/>
      <c r="HX3" s="1019"/>
      <c r="HY3" s="1019"/>
      <c r="HZ3" s="1020"/>
      <c r="IA3" s="442"/>
      <c r="IB3" s="1016"/>
      <c r="IC3" s="1017"/>
      <c r="ID3" s="1018"/>
      <c r="IE3" s="1019"/>
      <c r="IF3" s="1019"/>
      <c r="IG3" s="1020"/>
      <c r="IH3" s="442"/>
      <c r="II3" s="1005" t="s">
        <v>4582</v>
      </c>
      <c r="IJ3" s="12"/>
      <c r="IK3" s="962"/>
      <c r="IL3" s="1008" t="s">
        <v>4559</v>
      </c>
      <c r="IM3" s="1008" t="s">
        <v>4560</v>
      </c>
      <c r="IN3" s="1009" t="s">
        <v>914</v>
      </c>
      <c r="IO3" s="442"/>
      <c r="IP3" s="1036"/>
      <c r="IQ3" s="1037" t="s">
        <v>2770</v>
      </c>
      <c r="IR3" s="1038" t="s">
        <v>4545</v>
      </c>
      <c r="IS3" s="1038">
        <v>10.0</v>
      </c>
      <c r="IT3" s="1039">
        <v>10.0</v>
      </c>
      <c r="IU3" s="1040">
        <v>10.0</v>
      </c>
      <c r="IV3" s="442"/>
      <c r="IW3" s="1041" t="s">
        <v>4583</v>
      </c>
      <c r="IX3" s="12"/>
      <c r="IY3" s="12"/>
      <c r="IZ3" s="12"/>
      <c r="JA3" s="12"/>
      <c r="JB3" s="962"/>
      <c r="JC3" s="442"/>
      <c r="JD3" s="985" t="s">
        <v>4584</v>
      </c>
      <c r="JE3" s="12"/>
      <c r="JF3" s="12"/>
      <c r="JG3" s="1003" t="s">
        <v>4559</v>
      </c>
      <c r="JH3" s="1003" t="s">
        <v>4560</v>
      </c>
      <c r="JI3" s="1004" t="s">
        <v>914</v>
      </c>
      <c r="JJ3" s="442"/>
      <c r="JK3" s="1012"/>
      <c r="JL3" s="1042" t="s">
        <v>2962</v>
      </c>
      <c r="JM3" s="138"/>
      <c r="JN3" s="1013">
        <v>30.0</v>
      </c>
      <c r="JO3" s="1014">
        <v>30.0</v>
      </c>
      <c r="JP3" s="1015">
        <v>30.0</v>
      </c>
      <c r="JQ3" s="442"/>
      <c r="JR3" s="1005" t="s">
        <v>4585</v>
      </c>
      <c r="JS3" s="12"/>
      <c r="JT3" s="962"/>
      <c r="JU3" s="1008" t="s">
        <v>4559</v>
      </c>
      <c r="JV3" s="1008" t="s">
        <v>4560</v>
      </c>
      <c r="JW3" s="1009" t="s">
        <v>914</v>
      </c>
      <c r="JX3" s="442"/>
      <c r="JY3" s="1012"/>
      <c r="JZ3" s="1042" t="s">
        <v>831</v>
      </c>
      <c r="KA3" s="1013" t="s">
        <v>4549</v>
      </c>
      <c r="KB3" s="1013">
        <v>10.0</v>
      </c>
      <c r="KC3" s="1014">
        <v>10.0</v>
      </c>
      <c r="KD3" s="1015">
        <v>10.0</v>
      </c>
      <c r="KE3" s="442"/>
      <c r="KF3" s="985" t="s">
        <v>4586</v>
      </c>
      <c r="KG3" s="12"/>
      <c r="KH3" s="12"/>
      <c r="KI3" s="12"/>
      <c r="KJ3" s="12"/>
      <c r="KK3" s="48"/>
      <c r="KL3" s="442"/>
      <c r="KM3" s="997"/>
      <c r="KN3" s="1026"/>
      <c r="KO3" s="1026"/>
      <c r="KP3" s="1026"/>
      <c r="KQ3" s="1026"/>
      <c r="KR3" s="998"/>
      <c r="KS3" s="442"/>
      <c r="KT3" s="985" t="s">
        <v>4587</v>
      </c>
      <c r="KU3" s="12"/>
      <c r="KV3" s="12"/>
      <c r="KW3" s="1003" t="s">
        <v>4559</v>
      </c>
      <c r="KX3" s="1003" t="s">
        <v>4560</v>
      </c>
      <c r="KY3" s="1004" t="s">
        <v>914</v>
      </c>
      <c r="KZ3" s="442"/>
      <c r="LA3" s="985" t="s">
        <v>4588</v>
      </c>
      <c r="LB3" s="12"/>
      <c r="LC3" s="12"/>
      <c r="LD3" s="12"/>
      <c r="LE3" s="12"/>
      <c r="LF3" s="48"/>
      <c r="LG3" s="442"/>
      <c r="LH3" s="985" t="s">
        <v>4587</v>
      </c>
      <c r="LI3" s="12"/>
      <c r="LJ3" s="12"/>
      <c r="LK3" s="1003" t="s">
        <v>4559</v>
      </c>
      <c r="LL3" s="1003" t="s">
        <v>4560</v>
      </c>
      <c r="LM3" s="1004" t="s">
        <v>914</v>
      </c>
      <c r="LN3" s="442"/>
      <c r="LO3" s="985" t="s">
        <v>4587</v>
      </c>
      <c r="LP3" s="12"/>
      <c r="LQ3" s="12"/>
      <c r="LR3" s="1003" t="s">
        <v>4559</v>
      </c>
      <c r="LS3" s="1003" t="s">
        <v>4560</v>
      </c>
      <c r="LT3" s="1004" t="s">
        <v>914</v>
      </c>
      <c r="LU3" s="442"/>
      <c r="LV3" s="1016"/>
      <c r="LW3" s="1017"/>
      <c r="LX3" s="1018"/>
      <c r="LY3" s="1019"/>
      <c r="LZ3" s="1019"/>
      <c r="MA3" s="1020"/>
      <c r="MB3" s="996"/>
    </row>
    <row r="4" ht="15.75" customHeight="1">
      <c r="A4" s="10"/>
      <c r="B4" s="108"/>
      <c r="C4" s="108"/>
      <c r="D4" s="108"/>
      <c r="E4" s="983"/>
      <c r="F4" s="978" t="s">
        <v>3587</v>
      </c>
      <c r="G4" s="1043">
        <v>5.0</v>
      </c>
      <c r="H4" s="977" t="s">
        <v>411</v>
      </c>
      <c r="I4" s="984"/>
      <c r="J4" s="319"/>
      <c r="K4" s="108"/>
      <c r="L4" s="983"/>
      <c r="M4" s="978" t="s">
        <v>3657</v>
      </c>
      <c r="N4" s="1044">
        <v>45781.0</v>
      </c>
      <c r="O4" s="977">
        <v>30.0</v>
      </c>
      <c r="P4" s="979">
        <v>30.0</v>
      </c>
      <c r="Q4" s="980">
        <v>30.0</v>
      </c>
      <c r="R4" s="108"/>
      <c r="S4" s="1012"/>
      <c r="T4" s="1031" t="s">
        <v>3707</v>
      </c>
      <c r="U4" s="1045">
        <v>45782.0</v>
      </c>
      <c r="V4" s="1033">
        <v>20.0</v>
      </c>
      <c r="W4" s="1034">
        <v>20.0</v>
      </c>
      <c r="X4" s="1035">
        <v>20.0</v>
      </c>
      <c r="Y4" s="442"/>
      <c r="Z4" s="983"/>
      <c r="AA4" s="978" t="s">
        <v>1</v>
      </c>
      <c r="AB4" s="1043">
        <v>5.0</v>
      </c>
      <c r="AC4" s="977" t="s">
        <v>411</v>
      </c>
      <c r="AD4" s="984"/>
      <c r="AE4" s="319"/>
      <c r="AF4" s="442"/>
      <c r="AG4" s="1012"/>
      <c r="AH4" s="1046" t="s">
        <v>526</v>
      </c>
      <c r="AI4" s="1045">
        <v>45875.0</v>
      </c>
      <c r="AJ4" s="1033">
        <v>30.0</v>
      </c>
      <c r="AK4" s="1034">
        <v>30.0</v>
      </c>
      <c r="AL4" s="1035">
        <v>30.0</v>
      </c>
      <c r="AM4" s="108"/>
      <c r="AN4" s="1012"/>
      <c r="AO4" s="1046" t="s">
        <v>526</v>
      </c>
      <c r="AP4" s="1045">
        <v>45907.0</v>
      </c>
      <c r="AQ4" s="1033">
        <v>35.0</v>
      </c>
      <c r="AR4" s="1034">
        <v>35.0</v>
      </c>
      <c r="AS4" s="1035">
        <v>35.0</v>
      </c>
      <c r="AT4" s="108"/>
      <c r="AU4" s="983"/>
      <c r="AV4" s="978" t="s">
        <v>2374</v>
      </c>
      <c r="AW4" s="1043">
        <v>10.0</v>
      </c>
      <c r="AX4" s="977" t="s">
        <v>411</v>
      </c>
      <c r="AY4" s="984"/>
      <c r="AZ4" s="319"/>
      <c r="BA4" s="108"/>
      <c r="BB4" s="1012"/>
      <c r="BC4" s="38" t="s">
        <v>3657</v>
      </c>
      <c r="BD4" s="1047">
        <v>45972.0</v>
      </c>
      <c r="BE4" s="1033">
        <v>20.0</v>
      </c>
      <c r="BF4" s="1034">
        <v>20.0</v>
      </c>
      <c r="BG4" s="1035">
        <v>20.0</v>
      </c>
      <c r="BH4" s="108"/>
      <c r="BI4" s="1012"/>
      <c r="BJ4" s="1046" t="s">
        <v>885</v>
      </c>
      <c r="BK4" s="1044">
        <v>45972.0</v>
      </c>
      <c r="BL4" s="977">
        <v>20.0</v>
      </c>
      <c r="BM4" s="979">
        <v>20.0</v>
      </c>
      <c r="BN4" s="980">
        <v>20.0</v>
      </c>
      <c r="BO4" s="108"/>
      <c r="BP4" s="1012"/>
      <c r="BQ4" s="1046" t="s">
        <v>3865</v>
      </c>
      <c r="BR4" s="1033" t="s">
        <v>4589</v>
      </c>
      <c r="BS4" s="1033">
        <v>30.0</v>
      </c>
      <c r="BT4" s="1034">
        <v>30.0</v>
      </c>
      <c r="BU4" s="1035">
        <v>30.0</v>
      </c>
      <c r="BV4" s="108"/>
      <c r="BW4" s="1012"/>
      <c r="BX4" s="1046" t="s">
        <v>3902</v>
      </c>
      <c r="BY4" s="1033" t="s">
        <v>4590</v>
      </c>
      <c r="BZ4" s="1033">
        <v>30.0</v>
      </c>
      <c r="CA4" s="1034">
        <v>30.0</v>
      </c>
      <c r="CB4" s="1035">
        <v>30.0</v>
      </c>
      <c r="CC4" s="108"/>
      <c r="CD4" s="1012"/>
      <c r="CE4" s="38" t="s">
        <v>3677</v>
      </c>
      <c r="CF4" s="1034" t="s">
        <v>4591</v>
      </c>
      <c r="CG4" s="1033">
        <v>20.0</v>
      </c>
      <c r="CH4" s="1034">
        <v>20.0</v>
      </c>
      <c r="CI4" s="1035">
        <v>20.0</v>
      </c>
      <c r="CJ4" s="108"/>
      <c r="CK4" s="1012"/>
      <c r="CL4" s="1046" t="s">
        <v>643</v>
      </c>
      <c r="CM4" s="1033" t="s">
        <v>4592</v>
      </c>
      <c r="CN4" s="1033">
        <v>90.0</v>
      </c>
      <c r="CO4" s="1032"/>
      <c r="CP4" s="30"/>
      <c r="CQ4" s="108"/>
      <c r="CR4" s="1012"/>
      <c r="CS4" s="1046" t="s">
        <v>2839</v>
      </c>
      <c r="CT4" s="1034" t="s">
        <v>4593</v>
      </c>
      <c r="CU4" s="1033">
        <v>30.0</v>
      </c>
      <c r="CV4" s="1034">
        <v>30.0</v>
      </c>
      <c r="CW4" s="1035">
        <v>30.0</v>
      </c>
      <c r="CX4" s="108"/>
      <c r="CY4" s="1036"/>
      <c r="CZ4" s="1048" t="s">
        <v>3139</v>
      </c>
      <c r="DA4" s="1038" t="s">
        <v>4571</v>
      </c>
      <c r="DB4" s="1038">
        <v>5.0</v>
      </c>
      <c r="DC4" s="1039">
        <v>5.0</v>
      </c>
      <c r="DD4" s="1040">
        <v>5.0</v>
      </c>
      <c r="DE4" s="108"/>
      <c r="DF4" s="1012"/>
      <c r="DG4" s="1046" t="s">
        <v>3955</v>
      </c>
      <c r="DH4" s="1034" t="s">
        <v>4594</v>
      </c>
      <c r="DI4" s="1033">
        <v>20.0</v>
      </c>
      <c r="DJ4" s="1034">
        <v>20.0</v>
      </c>
      <c r="DK4" s="1035">
        <v>20.0</v>
      </c>
      <c r="DL4" s="108"/>
      <c r="DM4" s="40" t="s">
        <v>4595</v>
      </c>
      <c r="DN4" s="12"/>
      <c r="DO4" s="12"/>
      <c r="DP4" s="1008" t="s">
        <v>4559</v>
      </c>
      <c r="DQ4" s="1008" t="s">
        <v>4560</v>
      </c>
      <c r="DR4" s="1009" t="s">
        <v>914</v>
      </c>
      <c r="DS4" s="108"/>
      <c r="DT4" s="1013"/>
      <c r="DU4" s="1042" t="s">
        <v>1242</v>
      </c>
      <c r="DV4" s="128"/>
      <c r="DW4" s="1013">
        <v>0.0</v>
      </c>
      <c r="DX4" s="1014">
        <v>0.0</v>
      </c>
      <c r="DY4" s="1015">
        <v>30.0</v>
      </c>
      <c r="DZ4" s="108"/>
      <c r="EA4" s="985" t="s">
        <v>4596</v>
      </c>
      <c r="EB4" s="12"/>
      <c r="EC4" s="12"/>
      <c r="ED4" s="1003" t="s">
        <v>4559</v>
      </c>
      <c r="EE4" s="1003" t="s">
        <v>4560</v>
      </c>
      <c r="EF4" s="1004" t="s">
        <v>914</v>
      </c>
      <c r="EG4" s="108"/>
      <c r="EH4" s="1049"/>
      <c r="EI4" s="1050" t="s">
        <v>903</v>
      </c>
      <c r="EJ4" s="414"/>
      <c r="EK4" s="1051">
        <v>10.0</v>
      </c>
      <c r="EL4" s="413"/>
      <c r="EM4" s="414"/>
      <c r="EN4" s="442"/>
      <c r="EO4" s="40"/>
      <c r="EP4" s="1052" t="s">
        <v>1949</v>
      </c>
      <c r="EQ4" s="1053" t="s">
        <v>4592</v>
      </c>
      <c r="ER4" s="1053">
        <v>100.0</v>
      </c>
      <c r="ES4" s="1054">
        <v>100.0</v>
      </c>
      <c r="ET4" s="1055">
        <v>100.0</v>
      </c>
      <c r="EU4" s="108"/>
      <c r="EV4" s="1012"/>
      <c r="EW4" s="1046" t="s">
        <v>1797</v>
      </c>
      <c r="EX4" s="1034" t="s">
        <v>4597</v>
      </c>
      <c r="EY4" s="1033">
        <v>25.0</v>
      </c>
      <c r="EZ4" s="1034">
        <v>25.0</v>
      </c>
      <c r="FA4" s="1035">
        <v>25.0</v>
      </c>
      <c r="FB4" s="108"/>
      <c r="FC4" s="1012"/>
      <c r="FD4" s="1046" t="s">
        <v>831</v>
      </c>
      <c r="FE4" s="1034" t="s">
        <v>4598</v>
      </c>
      <c r="FF4" s="1033">
        <v>30.0</v>
      </c>
      <c r="FG4" s="1034">
        <v>30.0</v>
      </c>
      <c r="FH4" s="1035">
        <v>30.0</v>
      </c>
      <c r="FI4" s="108"/>
      <c r="FJ4" s="1012"/>
      <c r="FK4" s="1046" t="s">
        <v>3872</v>
      </c>
      <c r="FL4" s="1034" t="s">
        <v>4599</v>
      </c>
      <c r="FM4" s="1033">
        <v>25.0</v>
      </c>
      <c r="FN4" s="1034">
        <v>25.0</v>
      </c>
      <c r="FO4" s="1035">
        <v>35.0</v>
      </c>
      <c r="FP4" s="108"/>
      <c r="FQ4" s="1012"/>
      <c r="FR4" s="1031" t="s">
        <v>800</v>
      </c>
      <c r="FS4" s="1033" t="s">
        <v>4592</v>
      </c>
      <c r="FT4" s="1033">
        <v>60.0</v>
      </c>
      <c r="FU4" s="1032"/>
      <c r="FV4" s="30"/>
      <c r="FW4" s="108"/>
      <c r="FX4" s="1056"/>
      <c r="FY4" s="1022" t="s">
        <v>3148</v>
      </c>
      <c r="FZ4" s="1057"/>
      <c r="GA4" s="1021">
        <v>30.0</v>
      </c>
      <c r="GB4" s="1023">
        <v>30.0</v>
      </c>
      <c r="GC4" s="1024">
        <v>0.0</v>
      </c>
      <c r="GD4" s="108"/>
      <c r="GE4" s="1012"/>
      <c r="GF4" s="1046" t="s">
        <v>3092</v>
      </c>
      <c r="GG4" s="1034" t="s">
        <v>4600</v>
      </c>
      <c r="GH4" s="1033">
        <v>20.0</v>
      </c>
      <c r="GI4" s="1034">
        <v>20.0</v>
      </c>
      <c r="GJ4" s="1035">
        <v>20.0</v>
      </c>
      <c r="GK4" s="108"/>
      <c r="GL4" s="1012"/>
      <c r="GM4" s="1031" t="s">
        <v>2591</v>
      </c>
      <c r="GN4" s="1033" t="s">
        <v>4601</v>
      </c>
      <c r="GO4" s="1033">
        <v>60.0</v>
      </c>
      <c r="GP4" s="1032"/>
      <c r="GQ4" s="30"/>
      <c r="GR4" s="108"/>
      <c r="GS4" s="1012"/>
      <c r="GT4" s="1046" t="s">
        <v>1816</v>
      </c>
      <c r="GU4" s="1034" t="s">
        <v>4602</v>
      </c>
      <c r="GV4" s="1033">
        <v>20.0</v>
      </c>
      <c r="GW4" s="1034">
        <v>20.0</v>
      </c>
      <c r="GX4" s="1035">
        <v>20.0</v>
      </c>
      <c r="GY4" s="442"/>
      <c r="GZ4" s="1012"/>
      <c r="HA4" s="1046" t="s">
        <v>885</v>
      </c>
      <c r="HB4" s="1034" t="s">
        <v>4603</v>
      </c>
      <c r="HC4" s="1033">
        <v>30.0</v>
      </c>
      <c r="HD4" s="1034">
        <v>30.0</v>
      </c>
      <c r="HE4" s="1035">
        <v>30.0</v>
      </c>
      <c r="HF4" s="442"/>
      <c r="HG4" s="1012"/>
      <c r="HH4" s="1046" t="s">
        <v>3843</v>
      </c>
      <c r="HI4" s="1034" t="s">
        <v>4602</v>
      </c>
      <c r="HJ4" s="1033">
        <v>20.0</v>
      </c>
      <c r="HK4" s="1034">
        <v>20.0</v>
      </c>
      <c r="HL4" s="1035">
        <v>20.0</v>
      </c>
      <c r="HM4" s="442"/>
      <c r="HN4" s="1012"/>
      <c r="HO4" s="1031" t="s">
        <v>800</v>
      </c>
      <c r="HP4" s="1033" t="s">
        <v>4601</v>
      </c>
      <c r="HQ4" s="1033">
        <v>60.0</v>
      </c>
      <c r="HR4" s="1032"/>
      <c r="HS4" s="30"/>
      <c r="HT4" s="442"/>
      <c r="HU4" s="985" t="s">
        <v>4604</v>
      </c>
      <c r="HV4" s="12"/>
      <c r="HW4" s="12"/>
      <c r="HX4" s="1008" t="s">
        <v>4559</v>
      </c>
      <c r="HY4" s="1008" t="s">
        <v>4560</v>
      </c>
      <c r="HZ4" s="1009" t="s">
        <v>914</v>
      </c>
      <c r="IA4" s="442"/>
      <c r="IB4" s="1058" t="s">
        <v>4605</v>
      </c>
      <c r="IC4" s="12"/>
      <c r="ID4" s="962"/>
      <c r="IE4" s="1059" t="s">
        <v>4559</v>
      </c>
      <c r="IF4" s="1059" t="s">
        <v>4560</v>
      </c>
      <c r="IG4" s="1060" t="s">
        <v>914</v>
      </c>
      <c r="IH4" s="442"/>
      <c r="II4" s="1012"/>
      <c r="IJ4" s="1031" t="s">
        <v>831</v>
      </c>
      <c r="IK4" s="1033" t="s">
        <v>4545</v>
      </c>
      <c r="IL4" s="1033">
        <v>20.0</v>
      </c>
      <c r="IM4" s="1034">
        <v>20.0</v>
      </c>
      <c r="IN4" s="1035">
        <v>20.0</v>
      </c>
      <c r="IO4" s="442"/>
      <c r="IP4" s="1012"/>
      <c r="IQ4" s="1042" t="s">
        <v>3324</v>
      </c>
      <c r="IR4" s="1013" t="s">
        <v>4606</v>
      </c>
      <c r="IS4" s="1013">
        <v>10.0</v>
      </c>
      <c r="IT4" s="1014">
        <v>10.0</v>
      </c>
      <c r="IU4" s="1015">
        <v>10.0</v>
      </c>
      <c r="IV4" s="442"/>
      <c r="IW4" s="1061" t="s">
        <v>4607</v>
      </c>
      <c r="IX4" s="959"/>
      <c r="IY4" s="957"/>
      <c r="IZ4" s="1062" t="s">
        <v>4608</v>
      </c>
      <c r="JA4" s="959"/>
      <c r="JB4" s="960"/>
      <c r="JC4" s="442"/>
      <c r="JD4" s="1012"/>
      <c r="JE4" s="1046" t="s">
        <v>2075</v>
      </c>
      <c r="JF4" s="1034" t="s">
        <v>4609</v>
      </c>
      <c r="JG4" s="1033">
        <v>30.0</v>
      </c>
      <c r="JH4" s="1034">
        <v>30.0</v>
      </c>
      <c r="JI4" s="1035">
        <v>30.0</v>
      </c>
      <c r="JJ4" s="442"/>
      <c r="JK4" s="1056"/>
      <c r="JL4" s="1022" t="s">
        <v>1343</v>
      </c>
      <c r="JM4" s="1057"/>
      <c r="JN4" s="1021">
        <v>0.0</v>
      </c>
      <c r="JO4" s="1023">
        <v>0.0</v>
      </c>
      <c r="JP4" s="1024">
        <v>40.0</v>
      </c>
      <c r="JQ4" s="442"/>
      <c r="JR4" s="1012"/>
      <c r="JS4" s="978" t="s">
        <v>759</v>
      </c>
      <c r="JT4" s="977" t="s">
        <v>4549</v>
      </c>
      <c r="JU4" s="977">
        <v>20.0</v>
      </c>
      <c r="JV4" s="979">
        <v>20.0</v>
      </c>
      <c r="JW4" s="980">
        <v>20.0</v>
      </c>
      <c r="JX4" s="442"/>
      <c r="JY4" s="1036"/>
      <c r="JZ4" s="1037" t="s">
        <v>759</v>
      </c>
      <c r="KA4" s="1038" t="s">
        <v>4549</v>
      </c>
      <c r="KB4" s="1038">
        <v>10.0</v>
      </c>
      <c r="KC4" s="1039">
        <v>10.0</v>
      </c>
      <c r="KD4" s="1040">
        <v>10.0</v>
      </c>
      <c r="KE4" s="442"/>
      <c r="KF4" s="1061" t="s">
        <v>4610</v>
      </c>
      <c r="KG4" s="959"/>
      <c r="KH4" s="957"/>
      <c r="KI4" s="1062" t="s">
        <v>4608</v>
      </c>
      <c r="KJ4" s="959"/>
      <c r="KK4" s="960"/>
      <c r="KL4" s="442"/>
      <c r="KS4" s="442"/>
      <c r="KT4" s="1012"/>
      <c r="KU4" s="1046" t="s">
        <v>311</v>
      </c>
      <c r="KV4" s="1033" t="s">
        <v>4611</v>
      </c>
      <c r="KW4" s="1033">
        <v>20.0</v>
      </c>
      <c r="KX4" s="1034">
        <v>20.0</v>
      </c>
      <c r="KY4" s="1035">
        <v>20.0</v>
      </c>
      <c r="KZ4" s="442"/>
      <c r="LA4" s="40"/>
      <c r="LB4" s="1063" t="s">
        <v>1336</v>
      </c>
      <c r="LC4" s="1053" t="s">
        <v>4612</v>
      </c>
      <c r="LD4" s="1053">
        <v>100.0</v>
      </c>
      <c r="LE4" s="1026"/>
      <c r="LF4" s="998"/>
      <c r="LG4" s="442"/>
      <c r="LH4" s="1012"/>
      <c r="LI4" s="1046" t="s">
        <v>3083</v>
      </c>
      <c r="LJ4" s="1033" t="s">
        <v>4611</v>
      </c>
      <c r="LK4" s="1033">
        <v>20.0</v>
      </c>
      <c r="LL4" s="1034">
        <v>20.0</v>
      </c>
      <c r="LM4" s="1035">
        <v>20.0</v>
      </c>
      <c r="LN4" s="442"/>
      <c r="LO4" s="1012"/>
      <c r="LP4" s="1046" t="s">
        <v>1284</v>
      </c>
      <c r="LQ4" s="1033" t="s">
        <v>4611</v>
      </c>
      <c r="LR4" s="1033">
        <v>20.0</v>
      </c>
      <c r="LS4" s="1034">
        <v>20.0</v>
      </c>
      <c r="LT4" s="1035">
        <v>20.0</v>
      </c>
      <c r="LU4" s="442"/>
      <c r="LV4" s="985" t="s">
        <v>4613</v>
      </c>
      <c r="LW4" s="12"/>
      <c r="LX4" s="12"/>
      <c r="LY4" s="1008" t="s">
        <v>4559</v>
      </c>
      <c r="LZ4" s="1008" t="s">
        <v>4560</v>
      </c>
      <c r="MA4" s="1009" t="s">
        <v>914</v>
      </c>
      <c r="MB4" s="996"/>
    </row>
    <row r="5" ht="15.75" customHeight="1">
      <c r="A5" s="10"/>
      <c r="B5" s="1010" t="s">
        <v>4614</v>
      </c>
      <c r="C5" s="48"/>
      <c r="D5" s="108"/>
      <c r="E5" s="1064"/>
      <c r="F5" s="1065" t="s">
        <v>3613</v>
      </c>
      <c r="G5" s="1066">
        <v>5.0</v>
      </c>
      <c r="H5" s="1067" t="s">
        <v>411</v>
      </c>
      <c r="I5" s="138"/>
      <c r="J5" s="128"/>
      <c r="K5" s="108"/>
      <c r="L5" s="1068"/>
      <c r="M5" s="1069" t="s">
        <v>3677</v>
      </c>
      <c r="N5" s="1070">
        <v>45751.0</v>
      </c>
      <c r="O5" s="1071">
        <v>20.0</v>
      </c>
      <c r="P5" s="1072">
        <v>20.0</v>
      </c>
      <c r="Q5" s="1073">
        <v>20.0</v>
      </c>
      <c r="R5" s="108"/>
      <c r="S5" s="1068"/>
      <c r="T5" s="1069" t="s">
        <v>2466</v>
      </c>
      <c r="U5" s="1070">
        <v>45782.0</v>
      </c>
      <c r="V5" s="1071">
        <v>20.0</v>
      </c>
      <c r="W5" s="1072">
        <v>20.0</v>
      </c>
      <c r="X5" s="1073">
        <v>20.0</v>
      </c>
      <c r="Y5" s="108"/>
      <c r="Z5" s="1064"/>
      <c r="AA5" s="1065" t="s">
        <v>53</v>
      </c>
      <c r="AB5" s="1066">
        <v>5.0</v>
      </c>
      <c r="AC5" s="1067" t="s">
        <v>411</v>
      </c>
      <c r="AD5" s="138"/>
      <c r="AE5" s="128"/>
      <c r="AF5" s="108"/>
      <c r="AG5" s="1036"/>
      <c r="AH5" s="1074" t="s">
        <v>820</v>
      </c>
      <c r="AI5" s="1075">
        <v>45875.0</v>
      </c>
      <c r="AJ5" s="1038">
        <v>20.0</v>
      </c>
      <c r="AK5" s="1039">
        <v>20.0</v>
      </c>
      <c r="AL5" s="1040">
        <v>20.0</v>
      </c>
      <c r="AM5" s="108"/>
      <c r="AN5" s="1036"/>
      <c r="AO5" s="1074" t="s">
        <v>820</v>
      </c>
      <c r="AP5" s="1075">
        <v>45907.0</v>
      </c>
      <c r="AQ5" s="1038">
        <v>35.0</v>
      </c>
      <c r="AR5" s="1039">
        <v>35.0</v>
      </c>
      <c r="AS5" s="1040">
        <v>35.0</v>
      </c>
      <c r="AT5" s="108"/>
      <c r="AU5" s="1064"/>
      <c r="AV5" s="1065" t="s">
        <v>2402</v>
      </c>
      <c r="AW5" s="1066">
        <v>10.0</v>
      </c>
      <c r="AX5" s="1067" t="s">
        <v>411</v>
      </c>
      <c r="AY5" s="138"/>
      <c r="AZ5" s="128"/>
      <c r="BA5" s="108"/>
      <c r="BB5" s="1068"/>
      <c r="BC5" s="1076" t="s">
        <v>3730</v>
      </c>
      <c r="BD5" s="1077">
        <v>45972.0</v>
      </c>
      <c r="BE5" s="1071">
        <v>20.0</v>
      </c>
      <c r="BF5" s="1072">
        <v>20.0</v>
      </c>
      <c r="BG5" s="1073">
        <v>20.0</v>
      </c>
      <c r="BH5" s="108"/>
      <c r="BI5" s="1068"/>
      <c r="BJ5" s="1076" t="s">
        <v>2268</v>
      </c>
      <c r="BK5" s="1070">
        <v>45972.0</v>
      </c>
      <c r="BL5" s="1071">
        <v>20.0</v>
      </c>
      <c r="BM5" s="1072">
        <v>20.0</v>
      </c>
      <c r="BN5" s="1073">
        <v>20.0</v>
      </c>
      <c r="BO5" s="108"/>
      <c r="BP5" s="1068"/>
      <c r="BQ5" s="1076" t="s">
        <v>1763</v>
      </c>
      <c r="BR5" s="1071" t="s">
        <v>4589</v>
      </c>
      <c r="BS5" s="1071">
        <v>20.0</v>
      </c>
      <c r="BT5" s="1072">
        <v>20.0</v>
      </c>
      <c r="BU5" s="1073">
        <v>20.0</v>
      </c>
      <c r="BV5" s="108"/>
      <c r="BW5" s="1068"/>
      <c r="BX5" s="1076" t="s">
        <v>2651</v>
      </c>
      <c r="BY5" s="1071" t="s">
        <v>4591</v>
      </c>
      <c r="BZ5" s="1071">
        <v>20.0</v>
      </c>
      <c r="CA5" s="1072">
        <v>20.0</v>
      </c>
      <c r="CB5" s="1073">
        <v>20.0</v>
      </c>
      <c r="CC5" s="108"/>
      <c r="CD5" s="1068"/>
      <c r="CE5" s="1078" t="s">
        <v>866</v>
      </c>
      <c r="CF5" s="1072" t="s">
        <v>4615</v>
      </c>
      <c r="CG5" s="1071">
        <v>20.0</v>
      </c>
      <c r="CH5" s="1072">
        <v>20.0</v>
      </c>
      <c r="CI5" s="1073">
        <v>20.0</v>
      </c>
      <c r="CJ5" s="108"/>
      <c r="CK5" s="1056"/>
      <c r="CL5" s="1079" t="s">
        <v>653</v>
      </c>
      <c r="CM5" s="1080" t="s">
        <v>4616</v>
      </c>
      <c r="CN5" s="1081">
        <v>10.0</v>
      </c>
      <c r="CO5" s="413"/>
      <c r="CP5" s="414"/>
      <c r="CQ5" s="108"/>
      <c r="CR5" s="1068"/>
      <c r="CS5" s="1076" t="s">
        <v>750</v>
      </c>
      <c r="CT5" s="1072" t="s">
        <v>4617</v>
      </c>
      <c r="CU5" s="1071">
        <v>20.0</v>
      </c>
      <c r="CV5" s="1072">
        <v>20.0</v>
      </c>
      <c r="CW5" s="1073">
        <v>20.0</v>
      </c>
      <c r="CX5" s="108"/>
      <c r="CY5" s="1012"/>
      <c r="CZ5" s="499" t="s">
        <v>3130</v>
      </c>
      <c r="DA5" s="1082" t="s">
        <v>4571</v>
      </c>
      <c r="DB5" s="1082">
        <v>5.0</v>
      </c>
      <c r="DC5" s="1083">
        <v>5.0</v>
      </c>
      <c r="DD5" s="1084">
        <v>5.0</v>
      </c>
      <c r="DE5" s="108"/>
      <c r="DF5" s="1068"/>
      <c r="DG5" s="1076" t="s">
        <v>2098</v>
      </c>
      <c r="DH5" s="1072" t="s">
        <v>4594</v>
      </c>
      <c r="DI5" s="1071">
        <v>20.0</v>
      </c>
      <c r="DJ5" s="1072">
        <v>20.0</v>
      </c>
      <c r="DK5" s="1073">
        <v>20.0</v>
      </c>
      <c r="DL5" s="108"/>
      <c r="DM5" s="1012"/>
      <c r="DN5" s="38" t="s">
        <v>820</v>
      </c>
      <c r="DO5" s="1033" t="s">
        <v>4618</v>
      </c>
      <c r="DP5" s="1033">
        <v>20.0</v>
      </c>
      <c r="DQ5" s="1034">
        <v>20.0</v>
      </c>
      <c r="DR5" s="1035">
        <v>20.0</v>
      </c>
      <c r="DS5" s="108"/>
      <c r="DT5" s="1080"/>
      <c r="DU5" s="1085" t="s">
        <v>2148</v>
      </c>
      <c r="DV5" s="414"/>
      <c r="DW5" s="1086">
        <v>0.0</v>
      </c>
      <c r="DX5" s="1087">
        <v>0.0</v>
      </c>
      <c r="DY5" s="1088">
        <v>30.0</v>
      </c>
      <c r="DZ5" s="108"/>
      <c r="EA5" s="1012"/>
      <c r="EB5" s="1046" t="s">
        <v>1705</v>
      </c>
      <c r="EC5" s="1033" t="s">
        <v>4619</v>
      </c>
      <c r="ED5" s="1033">
        <v>20.0</v>
      </c>
      <c r="EE5" s="1034">
        <v>20.0</v>
      </c>
      <c r="EF5" s="1035">
        <v>20.0</v>
      </c>
      <c r="EG5" s="108"/>
      <c r="EH5" s="985" t="s">
        <v>4583</v>
      </c>
      <c r="EI5" s="12"/>
      <c r="EJ5" s="12"/>
      <c r="EK5" s="12"/>
      <c r="EL5" s="12"/>
      <c r="EM5" s="48"/>
      <c r="EN5" s="442"/>
      <c r="EO5" s="985" t="s">
        <v>4620</v>
      </c>
      <c r="EP5" s="12"/>
      <c r="EQ5" s="12"/>
      <c r="ER5" s="12"/>
      <c r="ES5" s="12"/>
      <c r="ET5" s="48"/>
      <c r="EU5" s="108"/>
      <c r="EV5" s="1068"/>
      <c r="EW5" s="1076" t="s">
        <v>1029</v>
      </c>
      <c r="EX5" s="1072" t="s">
        <v>4621</v>
      </c>
      <c r="EY5" s="1071">
        <v>20.0</v>
      </c>
      <c r="EZ5" s="1072">
        <v>20.0</v>
      </c>
      <c r="FA5" s="1073">
        <v>20.0</v>
      </c>
      <c r="FB5" s="108"/>
      <c r="FC5" s="1068"/>
      <c r="FD5" s="1076" t="s">
        <v>2178</v>
      </c>
      <c r="FE5" s="1072" t="s">
        <v>4622</v>
      </c>
      <c r="FF5" s="1071">
        <v>20.0</v>
      </c>
      <c r="FG5" s="1072">
        <v>20.0</v>
      </c>
      <c r="FH5" s="1073">
        <v>20.0</v>
      </c>
      <c r="FI5" s="108"/>
      <c r="FJ5" s="1068"/>
      <c r="FK5" s="1076" t="s">
        <v>3843</v>
      </c>
      <c r="FL5" s="1072" t="s">
        <v>4623</v>
      </c>
      <c r="FM5" s="1071">
        <v>20.0</v>
      </c>
      <c r="FN5" s="1072">
        <v>20.0</v>
      </c>
      <c r="FO5" s="1073">
        <v>20.0</v>
      </c>
      <c r="FP5" s="108"/>
      <c r="FQ5" s="1056"/>
      <c r="FR5" s="1089" t="s">
        <v>3865</v>
      </c>
      <c r="FS5" s="1021" t="s">
        <v>4592</v>
      </c>
      <c r="FT5" s="1090">
        <v>30.0</v>
      </c>
      <c r="FU5" s="138"/>
      <c r="FV5" s="128"/>
      <c r="FW5" s="108"/>
      <c r="FX5" s="1012"/>
      <c r="FY5" s="1042" t="s">
        <v>2942</v>
      </c>
      <c r="FZ5" s="138"/>
      <c r="GA5" s="1013">
        <v>30.0</v>
      </c>
      <c r="GB5" s="1014">
        <v>30.0</v>
      </c>
      <c r="GC5" s="1015">
        <v>0.0</v>
      </c>
      <c r="GD5" s="108"/>
      <c r="GE5" s="1068"/>
      <c r="GF5" s="1076" t="s">
        <v>311</v>
      </c>
      <c r="GG5" s="1072" t="s">
        <v>4624</v>
      </c>
      <c r="GH5" s="1071">
        <v>20.0</v>
      </c>
      <c r="GI5" s="1072">
        <v>20.0</v>
      </c>
      <c r="GJ5" s="1073">
        <v>20.0</v>
      </c>
      <c r="GK5" s="108"/>
      <c r="GL5" s="1056"/>
      <c r="GM5" s="1089" t="s">
        <v>800</v>
      </c>
      <c r="GN5" s="1021" t="s">
        <v>4601</v>
      </c>
      <c r="GO5" s="1090">
        <v>30.0</v>
      </c>
      <c r="GP5" s="138"/>
      <c r="GQ5" s="128"/>
      <c r="GR5" s="108"/>
      <c r="GS5" s="1068"/>
      <c r="GT5" s="1076" t="s">
        <v>3964</v>
      </c>
      <c r="GU5" s="1072" t="s">
        <v>4625</v>
      </c>
      <c r="GV5" s="1071">
        <v>20.0</v>
      </c>
      <c r="GW5" s="1072">
        <v>20.0</v>
      </c>
      <c r="GX5" s="1073">
        <v>20.0</v>
      </c>
      <c r="GY5" s="442"/>
      <c r="GZ5" s="1068"/>
      <c r="HA5" s="1076" t="s">
        <v>1312</v>
      </c>
      <c r="HB5" s="1072" t="s">
        <v>4626</v>
      </c>
      <c r="HC5" s="1071">
        <v>20.0</v>
      </c>
      <c r="HD5" s="1072">
        <v>20.0</v>
      </c>
      <c r="HE5" s="1073">
        <v>20.0</v>
      </c>
      <c r="HF5" s="442"/>
      <c r="HG5" s="1068"/>
      <c r="HH5" s="1076" t="s">
        <v>3872</v>
      </c>
      <c r="HI5" s="1072" t="s">
        <v>4602</v>
      </c>
      <c r="HJ5" s="1071">
        <v>20.0</v>
      </c>
      <c r="HK5" s="1072">
        <v>20.0</v>
      </c>
      <c r="HL5" s="1073">
        <v>20.0</v>
      </c>
      <c r="HM5" s="442"/>
      <c r="HN5" s="1056"/>
      <c r="HO5" s="1089" t="s">
        <v>3865</v>
      </c>
      <c r="HP5" s="1021" t="s">
        <v>4601</v>
      </c>
      <c r="HQ5" s="1090">
        <v>30.0</v>
      </c>
      <c r="HR5" s="138"/>
      <c r="HS5" s="128"/>
      <c r="HT5" s="442"/>
      <c r="HU5" s="1012"/>
      <c r="HV5" s="1031" t="s">
        <v>831</v>
      </c>
      <c r="HW5" s="1033" t="s">
        <v>4627</v>
      </c>
      <c r="HX5" s="1033">
        <v>25.0</v>
      </c>
      <c r="HY5" s="1034">
        <v>25.0</v>
      </c>
      <c r="HZ5" s="1035">
        <v>25.0</v>
      </c>
      <c r="IA5" s="442"/>
      <c r="IB5" s="1012"/>
      <c r="IC5" s="1031" t="s">
        <v>535</v>
      </c>
      <c r="ID5" s="1033" t="s">
        <v>4628</v>
      </c>
      <c r="IE5" s="1033">
        <v>25.0</v>
      </c>
      <c r="IF5" s="1034">
        <v>25.0</v>
      </c>
      <c r="IG5" s="1035">
        <v>25.0</v>
      </c>
      <c r="IH5" s="442"/>
      <c r="II5" s="1036"/>
      <c r="IJ5" s="1037" t="s">
        <v>3978</v>
      </c>
      <c r="IK5" s="1038" t="s">
        <v>4606</v>
      </c>
      <c r="IL5" s="1038">
        <v>20.0</v>
      </c>
      <c r="IM5" s="1039">
        <v>20.0</v>
      </c>
      <c r="IN5" s="1040">
        <v>20.0</v>
      </c>
      <c r="IO5" s="442"/>
      <c r="IP5" s="1036"/>
      <c r="IQ5" s="1037" t="s">
        <v>535</v>
      </c>
      <c r="IR5" s="1038" t="s">
        <v>4606</v>
      </c>
      <c r="IS5" s="1038">
        <v>10.0</v>
      </c>
      <c r="IT5" s="1039">
        <v>10.0</v>
      </c>
      <c r="IU5" s="1040">
        <v>10.0</v>
      </c>
      <c r="IV5" s="442"/>
      <c r="IW5" s="40"/>
      <c r="IX5" s="398" t="s">
        <v>4342</v>
      </c>
      <c r="IY5" s="1091">
        <v>70.0</v>
      </c>
      <c r="IZ5" s="1092" t="s">
        <v>411</v>
      </c>
      <c r="JA5" s="12"/>
      <c r="JB5" s="48"/>
      <c r="JC5" s="442"/>
      <c r="JD5" s="1068"/>
      <c r="JE5" s="1076" t="s">
        <v>4132</v>
      </c>
      <c r="JF5" s="1072" t="s">
        <v>4629</v>
      </c>
      <c r="JG5" s="1071">
        <v>25.0</v>
      </c>
      <c r="JH5" s="1072">
        <v>25.0</v>
      </c>
      <c r="JI5" s="1073">
        <v>25.0</v>
      </c>
      <c r="JJ5" s="442"/>
      <c r="JK5" s="1012"/>
      <c r="JL5" s="1042" t="s">
        <v>2148</v>
      </c>
      <c r="JM5" s="138"/>
      <c r="JN5" s="1013">
        <v>0.0</v>
      </c>
      <c r="JO5" s="1014">
        <v>0.0</v>
      </c>
      <c r="JP5" s="1015">
        <v>15.0</v>
      </c>
      <c r="JQ5" s="442"/>
      <c r="JR5" s="1036"/>
      <c r="JS5" s="1037" t="s">
        <v>535</v>
      </c>
      <c r="JT5" s="1038" t="s">
        <v>4549</v>
      </c>
      <c r="JU5" s="1038">
        <v>20.0</v>
      </c>
      <c r="JV5" s="1039">
        <v>20.0</v>
      </c>
      <c r="JW5" s="1040">
        <v>20.0</v>
      </c>
      <c r="JX5" s="442"/>
      <c r="JY5" s="1012"/>
      <c r="JZ5" s="1042" t="s">
        <v>2849</v>
      </c>
      <c r="KA5" s="1013" t="s">
        <v>4549</v>
      </c>
      <c r="KB5" s="1013">
        <v>10.0</v>
      </c>
      <c r="KC5" s="1014">
        <v>10.0</v>
      </c>
      <c r="KD5" s="1015">
        <v>10.0</v>
      </c>
      <c r="KE5" s="442"/>
      <c r="KF5" s="40"/>
      <c r="KG5" s="398" t="s">
        <v>4377</v>
      </c>
      <c r="KH5" s="1091">
        <v>30.0</v>
      </c>
      <c r="KI5" s="1092" t="s">
        <v>411</v>
      </c>
      <c r="KJ5" s="12"/>
      <c r="KK5" s="48"/>
      <c r="KL5" s="442"/>
      <c r="KM5" s="956" t="s">
        <v>4630</v>
      </c>
      <c r="KN5" s="957"/>
      <c r="KO5" s="958"/>
      <c r="KP5" s="959"/>
      <c r="KQ5" s="959"/>
      <c r="KR5" s="960"/>
      <c r="KS5" s="442"/>
      <c r="KT5" s="1068"/>
      <c r="KU5" s="1076" t="s">
        <v>759</v>
      </c>
      <c r="KV5" s="1071" t="s">
        <v>4631</v>
      </c>
      <c r="KW5" s="1071">
        <v>20.0</v>
      </c>
      <c r="KX5" s="1072">
        <v>20.0</v>
      </c>
      <c r="KY5" s="1073">
        <v>20.0</v>
      </c>
      <c r="KZ5" s="442"/>
      <c r="LA5" s="442"/>
      <c r="LB5" s="442"/>
      <c r="LC5" s="442"/>
      <c r="LD5" s="442"/>
      <c r="LE5" s="442"/>
      <c r="LF5" s="442"/>
      <c r="LG5" s="442"/>
      <c r="LH5" s="1068"/>
      <c r="LI5" s="1076" t="s">
        <v>383</v>
      </c>
      <c r="LJ5" s="1071" t="s">
        <v>4611</v>
      </c>
      <c r="LK5" s="1071">
        <v>20.0</v>
      </c>
      <c r="LL5" s="1072">
        <v>20.0</v>
      </c>
      <c r="LM5" s="1073">
        <v>20.0</v>
      </c>
      <c r="LN5" s="442"/>
      <c r="LO5" s="1068"/>
      <c r="LP5" s="1076" t="s">
        <v>1321</v>
      </c>
      <c r="LQ5" s="1093" t="s">
        <v>4611</v>
      </c>
      <c r="LR5" s="1071">
        <v>20.0</v>
      </c>
      <c r="LS5" s="1072">
        <v>20.0</v>
      </c>
      <c r="LT5" s="1073">
        <v>20.0</v>
      </c>
      <c r="LU5" s="442"/>
      <c r="LV5" s="1012"/>
      <c r="LW5" s="1031" t="s">
        <v>535</v>
      </c>
      <c r="LX5" s="1033" t="s">
        <v>4632</v>
      </c>
      <c r="LY5" s="1033">
        <v>20.0</v>
      </c>
      <c r="LZ5" s="1034">
        <v>20.0</v>
      </c>
      <c r="MA5" s="1035">
        <v>20.0</v>
      </c>
      <c r="MB5" s="996"/>
    </row>
    <row r="6" ht="15.75" customHeight="1">
      <c r="A6" s="10"/>
      <c r="B6" s="442"/>
      <c r="C6" s="442"/>
      <c r="D6" s="108"/>
      <c r="E6" s="1094"/>
      <c r="F6" s="1050" t="s">
        <v>3635</v>
      </c>
      <c r="G6" s="1095">
        <v>5.0</v>
      </c>
      <c r="H6" s="1051" t="s">
        <v>411</v>
      </c>
      <c r="I6" s="413"/>
      <c r="J6" s="414"/>
      <c r="K6" s="108"/>
      <c r="L6" s="1096"/>
      <c r="M6" s="1042" t="s">
        <v>2633</v>
      </c>
      <c r="N6" s="1097">
        <v>45781.0</v>
      </c>
      <c r="O6" s="1013">
        <v>20.0</v>
      </c>
      <c r="P6" s="1014">
        <v>20.0</v>
      </c>
      <c r="Q6" s="1015">
        <v>20.0</v>
      </c>
      <c r="R6" s="108"/>
      <c r="S6" s="1096"/>
      <c r="T6" s="1042" t="s">
        <v>1609</v>
      </c>
      <c r="U6" s="1097">
        <v>45782.0</v>
      </c>
      <c r="V6" s="1013">
        <v>20.0</v>
      </c>
      <c r="W6" s="1014">
        <v>20.0</v>
      </c>
      <c r="X6" s="1015">
        <v>0.0</v>
      </c>
      <c r="Y6" s="108"/>
      <c r="Z6" s="1094"/>
      <c r="AA6" s="1050" t="s">
        <v>98</v>
      </c>
      <c r="AB6" s="1095">
        <v>5.0</v>
      </c>
      <c r="AC6" s="1051" t="s">
        <v>411</v>
      </c>
      <c r="AD6" s="413"/>
      <c r="AE6" s="414"/>
      <c r="AF6" s="108"/>
      <c r="AG6" s="1012"/>
      <c r="AH6" s="1098" t="s">
        <v>1889</v>
      </c>
      <c r="AI6" s="1097">
        <v>45814.0</v>
      </c>
      <c r="AJ6" s="1013">
        <v>20.0</v>
      </c>
      <c r="AK6" s="1014">
        <v>20.0</v>
      </c>
      <c r="AL6" s="1015">
        <v>20.0</v>
      </c>
      <c r="AM6" s="108"/>
      <c r="AN6" s="1012"/>
      <c r="AO6" s="1098" t="s">
        <v>605</v>
      </c>
      <c r="AP6" s="1097">
        <v>45907.0</v>
      </c>
      <c r="AQ6" s="1013">
        <v>20.0</v>
      </c>
      <c r="AR6" s="1014">
        <v>20.0</v>
      </c>
      <c r="AS6" s="1015">
        <v>20.0</v>
      </c>
      <c r="AT6" s="108"/>
      <c r="AU6" s="1094"/>
      <c r="AV6" s="1050" t="s">
        <v>2426</v>
      </c>
      <c r="AW6" s="1095">
        <v>10.0</v>
      </c>
      <c r="AX6" s="1051" t="s">
        <v>411</v>
      </c>
      <c r="AY6" s="413"/>
      <c r="AZ6" s="414"/>
      <c r="BA6" s="108"/>
      <c r="BB6" s="1012"/>
      <c r="BC6" s="1098" t="s">
        <v>775</v>
      </c>
      <c r="BD6" s="1099">
        <v>46002.0</v>
      </c>
      <c r="BE6" s="1013">
        <v>10.0</v>
      </c>
      <c r="BF6" s="1014">
        <v>10.0</v>
      </c>
      <c r="BG6" s="1015">
        <v>10.0</v>
      </c>
      <c r="BH6" s="108"/>
      <c r="BI6" s="1012"/>
      <c r="BJ6" s="1098" t="s">
        <v>2858</v>
      </c>
      <c r="BK6" s="1097">
        <v>46002.0</v>
      </c>
      <c r="BL6" s="1013">
        <v>20.0</v>
      </c>
      <c r="BM6" s="1014">
        <v>20.0</v>
      </c>
      <c r="BN6" s="1015">
        <v>20.0</v>
      </c>
      <c r="BO6" s="108"/>
      <c r="BP6" s="1012"/>
      <c r="BQ6" s="1098" t="s">
        <v>3837</v>
      </c>
      <c r="BR6" s="1097">
        <v>46003.0</v>
      </c>
      <c r="BS6" s="1013">
        <v>20.0</v>
      </c>
      <c r="BT6" s="1014">
        <v>20.0</v>
      </c>
      <c r="BU6" s="1015">
        <v>20.0</v>
      </c>
      <c r="BV6" s="108"/>
      <c r="BW6" s="1012"/>
      <c r="BX6" s="1098" t="s">
        <v>570</v>
      </c>
      <c r="BY6" s="1013" t="s">
        <v>4633</v>
      </c>
      <c r="BZ6" s="1013">
        <v>20.0</v>
      </c>
      <c r="CA6" s="1014">
        <v>20.0</v>
      </c>
      <c r="CB6" s="1015">
        <v>0.0</v>
      </c>
      <c r="CC6" s="108"/>
      <c r="CD6" s="1012"/>
      <c r="CE6" s="89" t="s">
        <v>1797</v>
      </c>
      <c r="CF6" s="1014" t="s">
        <v>4633</v>
      </c>
      <c r="CG6" s="1013">
        <v>20.0</v>
      </c>
      <c r="CH6" s="1014">
        <v>20.0</v>
      </c>
      <c r="CI6" s="1015">
        <v>20.0</v>
      </c>
      <c r="CJ6" s="108"/>
      <c r="CK6" s="985" t="s">
        <v>4535</v>
      </c>
      <c r="CL6" s="12"/>
      <c r="CM6" s="12"/>
      <c r="CN6" s="986" t="s">
        <v>2249</v>
      </c>
      <c r="CO6" s="986" t="s">
        <v>2440</v>
      </c>
      <c r="CP6" s="987" t="s">
        <v>2408</v>
      </c>
      <c r="CQ6" s="108"/>
      <c r="CR6" s="1012"/>
      <c r="CS6" s="1098" t="s">
        <v>3092</v>
      </c>
      <c r="CT6" s="1014" t="s">
        <v>4617</v>
      </c>
      <c r="CU6" s="1013">
        <v>20.0</v>
      </c>
      <c r="CV6" s="1014">
        <v>20.0</v>
      </c>
      <c r="CW6" s="1015">
        <v>20.0</v>
      </c>
      <c r="CX6" s="108"/>
      <c r="CY6" s="985" t="s">
        <v>4578</v>
      </c>
      <c r="CZ6" s="12"/>
      <c r="DA6" s="12"/>
      <c r="DB6" s="12"/>
      <c r="DC6" s="12"/>
      <c r="DD6" s="48"/>
      <c r="DE6" s="108"/>
      <c r="DF6" s="1012"/>
      <c r="DG6" s="1098" t="s">
        <v>663</v>
      </c>
      <c r="DH6" s="1014" t="s">
        <v>4634</v>
      </c>
      <c r="DI6" s="1013">
        <v>20.0</v>
      </c>
      <c r="DJ6" s="1014">
        <v>20.0</v>
      </c>
      <c r="DK6" s="1015">
        <v>20.0</v>
      </c>
      <c r="DL6" s="108"/>
      <c r="DM6" s="1036"/>
      <c r="DN6" s="1048" t="s">
        <v>3970</v>
      </c>
      <c r="DO6" s="1038" t="s">
        <v>4618</v>
      </c>
      <c r="DP6" s="1038">
        <v>20.0</v>
      </c>
      <c r="DQ6" s="1039">
        <v>20.0</v>
      </c>
      <c r="DR6" s="1040">
        <v>20.0</v>
      </c>
      <c r="DS6" s="108"/>
      <c r="DT6" s="985" t="s">
        <v>4635</v>
      </c>
      <c r="DU6" s="12"/>
      <c r="DV6" s="12"/>
      <c r="DW6" s="12"/>
      <c r="DX6" s="12"/>
      <c r="DY6" s="48"/>
      <c r="DZ6" s="108"/>
      <c r="EA6" s="1068"/>
      <c r="EB6" s="1076" t="s">
        <v>347</v>
      </c>
      <c r="EC6" s="1071" t="s">
        <v>4636</v>
      </c>
      <c r="ED6" s="1071">
        <v>20.0</v>
      </c>
      <c r="EE6" s="1072">
        <v>20.0</v>
      </c>
      <c r="EF6" s="1073">
        <v>20.0</v>
      </c>
      <c r="EG6" s="108"/>
      <c r="EH6" s="1061" t="s">
        <v>4610</v>
      </c>
      <c r="EI6" s="959"/>
      <c r="EJ6" s="957"/>
      <c r="EK6" s="1062" t="s">
        <v>4608</v>
      </c>
      <c r="EL6" s="959"/>
      <c r="EM6" s="960"/>
      <c r="EN6" s="108"/>
      <c r="EO6" s="1061" t="s">
        <v>4610</v>
      </c>
      <c r="EP6" s="959"/>
      <c r="EQ6" s="957"/>
      <c r="ER6" s="1062" t="s">
        <v>4608</v>
      </c>
      <c r="ES6" s="959"/>
      <c r="ET6" s="960"/>
      <c r="EU6" s="108"/>
      <c r="EV6" s="1012"/>
      <c r="EW6" s="1098" t="s">
        <v>1135</v>
      </c>
      <c r="EX6" s="1014" t="s">
        <v>4637</v>
      </c>
      <c r="EY6" s="1013">
        <v>15.0</v>
      </c>
      <c r="EZ6" s="1014">
        <v>15.0</v>
      </c>
      <c r="FA6" s="1015">
        <v>15.0</v>
      </c>
      <c r="FB6" s="108"/>
      <c r="FC6" s="1012"/>
      <c r="FD6" s="1098" t="s">
        <v>1161</v>
      </c>
      <c r="FE6" s="1014" t="s">
        <v>4638</v>
      </c>
      <c r="FF6" s="1013">
        <v>15.0</v>
      </c>
      <c r="FG6" s="1014">
        <v>15.0</v>
      </c>
      <c r="FH6" s="1015">
        <v>15.0</v>
      </c>
      <c r="FI6" s="108"/>
      <c r="FJ6" s="1012"/>
      <c r="FK6" s="1098" t="s">
        <v>2598</v>
      </c>
      <c r="FL6" s="1014" t="s">
        <v>4623</v>
      </c>
      <c r="FM6" s="1013">
        <v>20.0</v>
      </c>
      <c r="FN6" s="1014">
        <v>20.0</v>
      </c>
      <c r="FO6" s="1015">
        <v>20.0</v>
      </c>
      <c r="FP6" s="108"/>
      <c r="FQ6" s="1012"/>
      <c r="FR6" s="1042" t="s">
        <v>812</v>
      </c>
      <c r="FS6" s="1013" t="s">
        <v>4616</v>
      </c>
      <c r="FT6" s="1013">
        <v>5.0</v>
      </c>
      <c r="FU6" s="138"/>
      <c r="FV6" s="128"/>
      <c r="FW6" s="108"/>
      <c r="FX6" s="1056"/>
      <c r="FY6" s="1022" t="s">
        <v>1343</v>
      </c>
      <c r="FZ6" s="1057"/>
      <c r="GA6" s="1021">
        <v>0.0</v>
      </c>
      <c r="GB6" s="1023">
        <v>0.0</v>
      </c>
      <c r="GC6" s="1024">
        <v>40.0</v>
      </c>
      <c r="GD6" s="108"/>
      <c r="GE6" s="1012"/>
      <c r="GF6" s="1098" t="s">
        <v>759</v>
      </c>
      <c r="GG6" s="1014" t="s">
        <v>4639</v>
      </c>
      <c r="GH6" s="1013">
        <v>10.0</v>
      </c>
      <c r="GI6" s="1014">
        <v>10.0</v>
      </c>
      <c r="GJ6" s="1015">
        <v>10.0</v>
      </c>
      <c r="GK6" s="108"/>
      <c r="GL6" s="1012"/>
      <c r="GM6" s="1042" t="s">
        <v>2598</v>
      </c>
      <c r="GN6" s="1013" t="s">
        <v>4640</v>
      </c>
      <c r="GO6" s="1013">
        <v>5.0</v>
      </c>
      <c r="GP6" s="138"/>
      <c r="GQ6" s="128"/>
      <c r="GR6" s="108"/>
      <c r="GS6" s="1012"/>
      <c r="GT6" s="1098" t="s">
        <v>406</v>
      </c>
      <c r="GU6" s="1014" t="s">
        <v>4641</v>
      </c>
      <c r="GV6" s="1013">
        <v>15.0</v>
      </c>
      <c r="GW6" s="1014">
        <v>15.0</v>
      </c>
      <c r="GX6" s="1015">
        <v>15.0</v>
      </c>
      <c r="GY6" s="442"/>
      <c r="GZ6" s="1012"/>
      <c r="HA6" s="1098" t="s">
        <v>896</v>
      </c>
      <c r="HB6" s="1014" t="s">
        <v>4625</v>
      </c>
      <c r="HC6" s="1013">
        <v>20.0</v>
      </c>
      <c r="HD6" s="1014">
        <v>20.0</v>
      </c>
      <c r="HE6" s="1015">
        <v>20.0</v>
      </c>
      <c r="HF6" s="442"/>
      <c r="HG6" s="1012"/>
      <c r="HH6" s="1098" t="s">
        <v>3941</v>
      </c>
      <c r="HI6" s="1014" t="s">
        <v>4602</v>
      </c>
      <c r="HJ6" s="1013">
        <v>10.0</v>
      </c>
      <c r="HK6" s="1014">
        <v>10.0</v>
      </c>
      <c r="HL6" s="1015">
        <v>20.0</v>
      </c>
      <c r="HM6" s="442"/>
      <c r="HN6" s="1012"/>
      <c r="HO6" s="1042" t="s">
        <v>812</v>
      </c>
      <c r="HP6" s="1013" t="s">
        <v>4640</v>
      </c>
      <c r="HQ6" s="1013">
        <v>5.0</v>
      </c>
      <c r="HR6" s="138"/>
      <c r="HS6" s="128"/>
      <c r="HT6" s="442"/>
      <c r="HU6" s="1036"/>
      <c r="HV6" s="1037" t="s">
        <v>535</v>
      </c>
      <c r="HW6" s="1038" t="s">
        <v>4642</v>
      </c>
      <c r="HX6" s="1038">
        <v>20.0</v>
      </c>
      <c r="HY6" s="1039">
        <v>20.0</v>
      </c>
      <c r="HZ6" s="1040">
        <v>20.0</v>
      </c>
      <c r="IA6" s="442"/>
      <c r="IB6" s="1100"/>
      <c r="IC6" s="1101" t="s">
        <v>831</v>
      </c>
      <c r="ID6" s="1102" t="s">
        <v>4643</v>
      </c>
      <c r="IE6" s="1102">
        <v>20.0</v>
      </c>
      <c r="IF6" s="1103">
        <v>20.0</v>
      </c>
      <c r="IG6" s="1104">
        <v>20.0</v>
      </c>
      <c r="IH6" s="442"/>
      <c r="II6" s="1012"/>
      <c r="IJ6" s="1042" t="s">
        <v>458</v>
      </c>
      <c r="IK6" s="1013" t="s">
        <v>4644</v>
      </c>
      <c r="IL6" s="1013">
        <v>10.0</v>
      </c>
      <c r="IM6" s="1014">
        <v>10.0</v>
      </c>
      <c r="IN6" s="1015">
        <v>10.0</v>
      </c>
      <c r="IO6" s="442"/>
      <c r="IP6" s="1012"/>
      <c r="IQ6" s="1042" t="s">
        <v>3477</v>
      </c>
      <c r="IR6" s="1013" t="s">
        <v>4645</v>
      </c>
      <c r="IS6" s="1013">
        <v>10.0</v>
      </c>
      <c r="IT6" s="1014">
        <v>10.0</v>
      </c>
      <c r="IU6" s="1015">
        <v>10.0</v>
      </c>
      <c r="IV6" s="442"/>
      <c r="IW6" s="442"/>
      <c r="IX6" s="442"/>
      <c r="IY6" s="442"/>
      <c r="IZ6" s="442"/>
      <c r="JA6" s="442"/>
      <c r="JB6" s="442"/>
      <c r="JC6" s="442"/>
      <c r="JD6" s="1012"/>
      <c r="JE6" s="1098" t="s">
        <v>2125</v>
      </c>
      <c r="JF6" s="1014" t="s">
        <v>4609</v>
      </c>
      <c r="JG6" s="1013">
        <v>20.0</v>
      </c>
      <c r="JH6" s="1014">
        <v>20.0</v>
      </c>
      <c r="JI6" s="1015">
        <v>20.0</v>
      </c>
      <c r="JJ6" s="442"/>
      <c r="JK6" s="1105"/>
      <c r="JL6" s="1106" t="s">
        <v>2970</v>
      </c>
      <c r="JM6" s="1107"/>
      <c r="JN6" s="1086">
        <v>0.0</v>
      </c>
      <c r="JO6" s="1087">
        <v>0.0</v>
      </c>
      <c r="JP6" s="1088">
        <v>15.0</v>
      </c>
      <c r="JQ6" s="442"/>
      <c r="JR6" s="1012"/>
      <c r="JS6" s="1042" t="s">
        <v>831</v>
      </c>
      <c r="JT6" s="1013" t="s">
        <v>4549</v>
      </c>
      <c r="JU6" s="1013">
        <v>10.0</v>
      </c>
      <c r="JV6" s="1014">
        <v>10.0</v>
      </c>
      <c r="JW6" s="1015">
        <v>10.0</v>
      </c>
      <c r="JX6" s="442"/>
      <c r="JY6" s="1036"/>
      <c r="JZ6" s="1037" t="s">
        <v>2012</v>
      </c>
      <c r="KA6" s="1038" t="s">
        <v>4549</v>
      </c>
      <c r="KB6" s="1038">
        <v>10.0</v>
      </c>
      <c r="KC6" s="1039">
        <v>10.0</v>
      </c>
      <c r="KD6" s="1040">
        <v>10.0</v>
      </c>
      <c r="KE6" s="442"/>
      <c r="KF6" s="442"/>
      <c r="KG6" s="442"/>
      <c r="KH6" s="442"/>
      <c r="KI6" s="442"/>
      <c r="KJ6" s="442"/>
      <c r="KK6" s="442"/>
      <c r="KL6" s="442"/>
      <c r="KM6" s="985" t="s">
        <v>4646</v>
      </c>
      <c r="KN6" s="12"/>
      <c r="KO6" s="12"/>
      <c r="KP6" s="1008" t="s">
        <v>4559</v>
      </c>
      <c r="KQ6" s="1008" t="s">
        <v>4560</v>
      </c>
      <c r="KR6" s="1009" t="s">
        <v>914</v>
      </c>
      <c r="KS6" s="442"/>
      <c r="KT6" s="1012"/>
      <c r="KU6" s="1098" t="s">
        <v>831</v>
      </c>
      <c r="KV6" s="1013" t="s">
        <v>4647</v>
      </c>
      <c r="KW6" s="1013">
        <v>20.0</v>
      </c>
      <c r="KX6" s="1014">
        <v>20.0</v>
      </c>
      <c r="KY6" s="1015">
        <v>20.0</v>
      </c>
      <c r="KZ6" s="442"/>
      <c r="LA6" s="956" t="s">
        <v>4648</v>
      </c>
      <c r="LB6" s="957"/>
      <c r="LC6" s="958"/>
      <c r="LD6" s="959"/>
      <c r="LE6" s="959"/>
      <c r="LF6" s="960"/>
      <c r="LG6" s="442"/>
      <c r="LH6" s="1012"/>
      <c r="LI6" s="1098" t="s">
        <v>615</v>
      </c>
      <c r="LJ6" s="1013" t="s">
        <v>4649</v>
      </c>
      <c r="LK6" s="1013">
        <v>20.0</v>
      </c>
      <c r="LL6" s="1014">
        <v>20.0</v>
      </c>
      <c r="LM6" s="1015">
        <v>20.0</v>
      </c>
      <c r="LN6" s="442"/>
      <c r="LO6" s="1012"/>
      <c r="LP6" s="1098" t="s">
        <v>1657</v>
      </c>
      <c r="LQ6" s="1108" t="s">
        <v>4649</v>
      </c>
      <c r="LR6" s="1013">
        <v>20.0</v>
      </c>
      <c r="LS6" s="1014">
        <v>0.0</v>
      </c>
      <c r="LT6" s="1015">
        <v>0.0</v>
      </c>
      <c r="LU6" s="442"/>
      <c r="LV6" s="1036"/>
      <c r="LW6" s="1037" t="s">
        <v>1173</v>
      </c>
      <c r="LX6" s="1038" t="s">
        <v>4650</v>
      </c>
      <c r="LY6" s="1038">
        <v>20.0</v>
      </c>
      <c r="LZ6" s="1039">
        <v>20.0</v>
      </c>
      <c r="MA6" s="1040">
        <v>20.0</v>
      </c>
      <c r="MB6" s="996"/>
    </row>
    <row r="7" ht="15.75" customHeight="1">
      <c r="A7" s="10"/>
      <c r="B7" s="1109" t="s">
        <v>4651</v>
      </c>
      <c r="C7" s="954"/>
      <c r="D7" s="108"/>
      <c r="E7" s="985" t="s">
        <v>4558</v>
      </c>
      <c r="F7" s="12"/>
      <c r="G7" s="12"/>
      <c r="H7" s="1003" t="s">
        <v>4559</v>
      </c>
      <c r="I7" s="1003" t="s">
        <v>4560</v>
      </c>
      <c r="J7" s="1004" t="s">
        <v>914</v>
      </c>
      <c r="K7" s="108"/>
      <c r="L7" s="1068"/>
      <c r="M7" s="1069" t="s">
        <v>2761</v>
      </c>
      <c r="N7" s="1070">
        <v>45782.0</v>
      </c>
      <c r="O7" s="1071">
        <v>10.0</v>
      </c>
      <c r="P7" s="1072">
        <v>10.0</v>
      </c>
      <c r="Q7" s="1073">
        <v>10.0</v>
      </c>
      <c r="R7" s="108"/>
      <c r="S7" s="1068"/>
      <c r="T7" s="1069" t="s">
        <v>270</v>
      </c>
      <c r="U7" s="1070">
        <v>45782.0</v>
      </c>
      <c r="V7" s="1071">
        <v>10.0</v>
      </c>
      <c r="W7" s="1072">
        <v>10.0</v>
      </c>
      <c r="X7" s="1073">
        <v>10.0</v>
      </c>
      <c r="Y7" s="108"/>
      <c r="Z7" s="442"/>
      <c r="AA7" s="442"/>
      <c r="AB7" s="442"/>
      <c r="AC7" s="442"/>
      <c r="AD7" s="442"/>
      <c r="AE7" s="442"/>
      <c r="AF7" s="108"/>
      <c r="AG7" s="1036"/>
      <c r="AH7" s="1074" t="s">
        <v>643</v>
      </c>
      <c r="AI7" s="1075">
        <v>45814.0</v>
      </c>
      <c r="AJ7" s="1038">
        <v>10.0</v>
      </c>
      <c r="AK7" s="1039">
        <v>10.0</v>
      </c>
      <c r="AL7" s="1040">
        <v>10.0</v>
      </c>
      <c r="AM7" s="108"/>
      <c r="AN7" s="1036"/>
      <c r="AO7" s="1110" t="s">
        <v>4043</v>
      </c>
      <c r="AP7" s="1111">
        <v>45877.0</v>
      </c>
      <c r="AQ7" s="1112">
        <v>10.0</v>
      </c>
      <c r="AR7" s="1113">
        <v>10.0</v>
      </c>
      <c r="AS7" s="1114">
        <v>10.0</v>
      </c>
      <c r="AT7" s="108"/>
      <c r="AU7" s="999" t="s">
        <v>4652</v>
      </c>
      <c r="AV7" s="959"/>
      <c r="AW7" s="959"/>
      <c r="AX7" s="959"/>
      <c r="AY7" s="959"/>
      <c r="AZ7" s="960"/>
      <c r="BA7" s="108"/>
      <c r="BB7" s="1068"/>
      <c r="BC7" s="1076" t="s">
        <v>2607</v>
      </c>
      <c r="BD7" s="1077">
        <v>46002.0</v>
      </c>
      <c r="BE7" s="1071">
        <v>10.0</v>
      </c>
      <c r="BF7" s="1072">
        <v>10.0</v>
      </c>
      <c r="BG7" s="1073">
        <v>10.0</v>
      </c>
      <c r="BH7" s="108"/>
      <c r="BI7" s="1068"/>
      <c r="BJ7" s="1076" t="s">
        <v>1064</v>
      </c>
      <c r="BK7" s="1070">
        <v>46002.0</v>
      </c>
      <c r="BL7" s="1071">
        <v>20.0</v>
      </c>
      <c r="BM7" s="1072">
        <v>20.0</v>
      </c>
      <c r="BN7" s="1073">
        <v>20.0</v>
      </c>
      <c r="BO7" s="108"/>
      <c r="BP7" s="1068"/>
      <c r="BQ7" s="1076" t="s">
        <v>1832</v>
      </c>
      <c r="BR7" s="1071" t="s">
        <v>4589</v>
      </c>
      <c r="BS7" s="1071">
        <v>20.0</v>
      </c>
      <c r="BT7" s="1072">
        <v>20.0</v>
      </c>
      <c r="BU7" s="1073">
        <v>0.0</v>
      </c>
      <c r="BV7" s="108"/>
      <c r="BW7" s="1068"/>
      <c r="BX7" s="1076" t="s">
        <v>2669</v>
      </c>
      <c r="BY7" s="1071" t="s">
        <v>4591</v>
      </c>
      <c r="BZ7" s="1071">
        <v>10.0</v>
      </c>
      <c r="CA7" s="1072">
        <v>10.0</v>
      </c>
      <c r="CB7" s="1073">
        <v>10.0</v>
      </c>
      <c r="CC7" s="108"/>
      <c r="CD7" s="1068"/>
      <c r="CE7" s="1078" t="s">
        <v>4083</v>
      </c>
      <c r="CF7" s="1072" t="s">
        <v>4615</v>
      </c>
      <c r="CG7" s="1071">
        <v>10.0</v>
      </c>
      <c r="CH7" s="1072">
        <v>10.0</v>
      </c>
      <c r="CI7" s="1073">
        <v>10.0</v>
      </c>
      <c r="CJ7" s="108"/>
      <c r="CK7" s="1012"/>
      <c r="CL7" s="1115" t="s">
        <v>1336</v>
      </c>
      <c r="CM7" s="319"/>
      <c r="CN7" s="1033">
        <v>40.0</v>
      </c>
      <c r="CO7" s="1034">
        <v>40.0</v>
      </c>
      <c r="CP7" s="1035">
        <v>0.0</v>
      </c>
      <c r="CQ7" s="108"/>
      <c r="CR7" s="1068"/>
      <c r="CS7" s="1076" t="s">
        <v>2083</v>
      </c>
      <c r="CT7" s="1072" t="s">
        <v>4617</v>
      </c>
      <c r="CU7" s="1071">
        <v>10.0</v>
      </c>
      <c r="CV7" s="1072">
        <v>10.0</v>
      </c>
      <c r="CW7" s="1073">
        <v>10.0</v>
      </c>
      <c r="CX7" s="108"/>
      <c r="CY7" s="1033"/>
      <c r="CZ7" s="1046" t="s">
        <v>3370</v>
      </c>
      <c r="DA7" s="1033" t="s">
        <v>4653</v>
      </c>
      <c r="DB7" s="1033">
        <v>60.0</v>
      </c>
      <c r="DC7" s="1032"/>
      <c r="DD7" s="30"/>
      <c r="DE7" s="108"/>
      <c r="DF7" s="1068"/>
      <c r="DG7" s="1076" t="s">
        <v>2277</v>
      </c>
      <c r="DH7" s="1072" t="s">
        <v>4571</v>
      </c>
      <c r="DI7" s="1071">
        <v>10.0</v>
      </c>
      <c r="DJ7" s="1072">
        <v>10.0</v>
      </c>
      <c r="DK7" s="1073">
        <v>10.0</v>
      </c>
      <c r="DL7" s="108"/>
      <c r="DM7" s="1012"/>
      <c r="DN7" s="89" t="s">
        <v>458</v>
      </c>
      <c r="DO7" s="1013" t="s">
        <v>4618</v>
      </c>
      <c r="DP7" s="1013">
        <v>10.0</v>
      </c>
      <c r="DQ7" s="1014">
        <v>10.0</v>
      </c>
      <c r="DR7" s="1015">
        <v>10.0</v>
      </c>
      <c r="DS7" s="108"/>
      <c r="DT7" s="1012"/>
      <c r="DU7" s="978" t="s">
        <v>3849</v>
      </c>
      <c r="DV7" s="319"/>
      <c r="DW7" s="1033">
        <v>30.0</v>
      </c>
      <c r="DX7" s="1032"/>
      <c r="DY7" s="30"/>
      <c r="DZ7" s="108"/>
      <c r="EA7" s="1012"/>
      <c r="EB7" s="1098" t="s">
        <v>1714</v>
      </c>
      <c r="EC7" s="1013" t="s">
        <v>4619</v>
      </c>
      <c r="ED7" s="1013">
        <v>10.0</v>
      </c>
      <c r="EE7" s="1014">
        <v>10.0</v>
      </c>
      <c r="EF7" s="1015">
        <v>10.0</v>
      </c>
      <c r="EG7" s="108"/>
      <c r="EH7" s="40"/>
      <c r="EI7" s="398" t="s">
        <v>4010</v>
      </c>
      <c r="EJ7" s="1091">
        <v>30.0</v>
      </c>
      <c r="EK7" s="1092" t="s">
        <v>411</v>
      </c>
      <c r="EL7" s="12"/>
      <c r="EM7" s="48"/>
      <c r="EN7" s="108"/>
      <c r="EO7" s="40"/>
      <c r="EP7" s="398" t="s">
        <v>3548</v>
      </c>
      <c r="EQ7" s="1091">
        <v>40.0</v>
      </c>
      <c r="ER7" s="1092" t="s">
        <v>411</v>
      </c>
      <c r="ES7" s="12"/>
      <c r="ET7" s="48"/>
      <c r="EU7" s="108"/>
      <c r="EV7" s="1068"/>
      <c r="EW7" s="1076" t="s">
        <v>734</v>
      </c>
      <c r="EX7" s="1072" t="s">
        <v>4637</v>
      </c>
      <c r="EY7" s="1071">
        <v>15.0</v>
      </c>
      <c r="EZ7" s="1072">
        <v>15.0</v>
      </c>
      <c r="FA7" s="1073">
        <v>15.0</v>
      </c>
      <c r="FB7" s="108"/>
      <c r="FC7" s="1068"/>
      <c r="FD7" s="1076" t="s">
        <v>2979</v>
      </c>
      <c r="FE7" s="1072" t="s">
        <v>4654</v>
      </c>
      <c r="FF7" s="1071">
        <v>15.0</v>
      </c>
      <c r="FG7" s="1072">
        <v>15.0</v>
      </c>
      <c r="FH7" s="1073">
        <v>15.0</v>
      </c>
      <c r="FI7" s="108"/>
      <c r="FJ7" s="1068"/>
      <c r="FK7" s="1076" t="s">
        <v>2583</v>
      </c>
      <c r="FL7" s="1072" t="s">
        <v>4599</v>
      </c>
      <c r="FM7" s="1071">
        <v>20.0</v>
      </c>
      <c r="FN7" s="1072">
        <v>20.0</v>
      </c>
      <c r="FO7" s="1073">
        <v>20.0</v>
      </c>
      <c r="FP7" s="108"/>
      <c r="FQ7" s="1056"/>
      <c r="FR7" s="1116" t="s">
        <v>3872</v>
      </c>
      <c r="FS7" s="1086" t="s">
        <v>4616</v>
      </c>
      <c r="FT7" s="1117">
        <v>5.0</v>
      </c>
      <c r="FU7" s="306"/>
      <c r="FV7" s="307"/>
      <c r="FW7" s="108"/>
      <c r="FX7" s="1012"/>
      <c r="FY7" s="1042" t="s">
        <v>3158</v>
      </c>
      <c r="FZ7" s="138"/>
      <c r="GA7" s="1013">
        <v>0.0</v>
      </c>
      <c r="GB7" s="1014">
        <v>0.0</v>
      </c>
      <c r="GC7" s="1015">
        <v>30.0</v>
      </c>
      <c r="GD7" s="108"/>
      <c r="GE7" s="1068"/>
      <c r="GF7" s="1076" t="s">
        <v>3896</v>
      </c>
      <c r="GG7" s="1072" t="s">
        <v>4655</v>
      </c>
      <c r="GH7" s="1071">
        <v>10.0</v>
      </c>
      <c r="GI7" s="1072">
        <v>10.0</v>
      </c>
      <c r="GJ7" s="1073">
        <v>10.0</v>
      </c>
      <c r="GK7" s="108"/>
      <c r="GL7" s="1056"/>
      <c r="GM7" s="1116" t="s">
        <v>812</v>
      </c>
      <c r="GN7" s="1086" t="s">
        <v>4640</v>
      </c>
      <c r="GO7" s="1117">
        <v>5.0</v>
      </c>
      <c r="GP7" s="306"/>
      <c r="GQ7" s="307"/>
      <c r="GR7" s="108"/>
      <c r="GS7" s="1068"/>
      <c r="GT7" s="1076" t="s">
        <v>438</v>
      </c>
      <c r="GU7" s="1072" t="s">
        <v>4655</v>
      </c>
      <c r="GV7" s="1071">
        <v>15.0</v>
      </c>
      <c r="GW7" s="1072">
        <v>15.0</v>
      </c>
      <c r="GX7" s="1073">
        <v>15.0</v>
      </c>
      <c r="GY7" s="442"/>
      <c r="GZ7" s="1068"/>
      <c r="HA7" s="1076" t="s">
        <v>2867</v>
      </c>
      <c r="HB7" s="1072" t="s">
        <v>4656</v>
      </c>
      <c r="HC7" s="1071">
        <v>15.0</v>
      </c>
      <c r="HD7" s="1072">
        <v>15.0</v>
      </c>
      <c r="HE7" s="1073">
        <v>15.0</v>
      </c>
      <c r="HF7" s="442"/>
      <c r="HG7" s="1068"/>
      <c r="HH7" s="1076" t="s">
        <v>1272</v>
      </c>
      <c r="HI7" s="1072" t="s">
        <v>4602</v>
      </c>
      <c r="HJ7" s="1071">
        <v>10.0</v>
      </c>
      <c r="HK7" s="1072">
        <v>10.0</v>
      </c>
      <c r="HL7" s="1073">
        <v>10.0</v>
      </c>
      <c r="HM7" s="442"/>
      <c r="HN7" s="1056"/>
      <c r="HO7" s="1116" t="s">
        <v>3872</v>
      </c>
      <c r="HP7" s="1086" t="s">
        <v>4640</v>
      </c>
      <c r="HQ7" s="1117">
        <v>5.0</v>
      </c>
      <c r="HR7" s="306"/>
      <c r="HS7" s="307"/>
      <c r="HT7" s="442"/>
      <c r="HU7" s="1012"/>
      <c r="HV7" s="1042" t="s">
        <v>2824</v>
      </c>
      <c r="HW7" s="1013" t="s">
        <v>4627</v>
      </c>
      <c r="HX7" s="1013">
        <v>15.0</v>
      </c>
      <c r="HY7" s="1014">
        <v>15.0</v>
      </c>
      <c r="HZ7" s="1015">
        <v>15.0</v>
      </c>
      <c r="IA7" s="442"/>
      <c r="IB7" s="1012"/>
      <c r="IC7" s="1042" t="s">
        <v>2075</v>
      </c>
      <c r="ID7" s="1013" t="s">
        <v>4657</v>
      </c>
      <c r="IE7" s="1013">
        <v>20.0</v>
      </c>
      <c r="IF7" s="1014">
        <v>20.0</v>
      </c>
      <c r="IG7" s="1015">
        <v>20.0</v>
      </c>
      <c r="IH7" s="442"/>
      <c r="II7" s="1036"/>
      <c r="IJ7" s="1037" t="s">
        <v>2770</v>
      </c>
      <c r="IK7" s="1038" t="s">
        <v>4644</v>
      </c>
      <c r="IL7" s="1038">
        <v>10.0</v>
      </c>
      <c r="IM7" s="1039">
        <v>10.0</v>
      </c>
      <c r="IN7" s="1040">
        <v>10.0</v>
      </c>
      <c r="IO7" s="442"/>
      <c r="IP7" s="1036"/>
      <c r="IQ7" s="1037" t="s">
        <v>3139</v>
      </c>
      <c r="IR7" s="1038" t="s">
        <v>4645</v>
      </c>
      <c r="IS7" s="1038">
        <v>5.0</v>
      </c>
      <c r="IT7" s="1039">
        <v>5.0</v>
      </c>
      <c r="IU7" s="1040">
        <v>5.0</v>
      </c>
      <c r="IV7" s="442"/>
      <c r="IW7" s="956" t="s">
        <v>4658</v>
      </c>
      <c r="IX7" s="957"/>
      <c r="IY7" s="958"/>
      <c r="IZ7" s="959"/>
      <c r="JA7" s="959"/>
      <c r="JB7" s="960"/>
      <c r="JC7" s="442"/>
      <c r="JD7" s="1068"/>
      <c r="JE7" s="1076" t="s">
        <v>1292</v>
      </c>
      <c r="JF7" s="1072" t="s">
        <v>4629</v>
      </c>
      <c r="JG7" s="1071">
        <v>15.0</v>
      </c>
      <c r="JH7" s="1072">
        <v>15.0</v>
      </c>
      <c r="JI7" s="1073">
        <v>15.0</v>
      </c>
      <c r="JJ7" s="442"/>
      <c r="JK7" s="985" t="s">
        <v>4659</v>
      </c>
      <c r="JL7" s="12"/>
      <c r="JM7" s="12"/>
      <c r="JN7" s="12"/>
      <c r="JO7" s="12"/>
      <c r="JP7" s="48"/>
      <c r="JQ7" s="442"/>
      <c r="JR7" s="1036"/>
      <c r="JS7" s="1037" t="s">
        <v>2849</v>
      </c>
      <c r="JT7" s="1038" t="s">
        <v>4549</v>
      </c>
      <c r="JU7" s="1038">
        <v>10.0</v>
      </c>
      <c r="JV7" s="1039">
        <v>10.0</v>
      </c>
      <c r="JW7" s="1040">
        <v>10.0</v>
      </c>
      <c r="JX7" s="442"/>
      <c r="JY7" s="1012"/>
      <c r="JZ7" s="1042" t="s">
        <v>535</v>
      </c>
      <c r="KA7" s="1013" t="s">
        <v>4549</v>
      </c>
      <c r="KB7" s="1013">
        <v>10.0</v>
      </c>
      <c r="KC7" s="1014">
        <v>10.0</v>
      </c>
      <c r="KD7" s="1015">
        <v>10.0</v>
      </c>
      <c r="KE7" s="442"/>
      <c r="KF7" s="956" t="s">
        <v>4660</v>
      </c>
      <c r="KG7" s="957"/>
      <c r="KH7" s="958"/>
      <c r="KI7" s="959"/>
      <c r="KJ7" s="959"/>
      <c r="KK7" s="960"/>
      <c r="KL7" s="442"/>
      <c r="KM7" s="1012"/>
      <c r="KN7" s="1031" t="s">
        <v>535</v>
      </c>
      <c r="KO7" s="1033" t="s">
        <v>4631</v>
      </c>
      <c r="KP7" s="1033">
        <v>20.0</v>
      </c>
      <c r="KQ7" s="1034">
        <v>20.0</v>
      </c>
      <c r="KR7" s="1035">
        <v>20.0</v>
      </c>
      <c r="KS7" s="442"/>
      <c r="KT7" s="1068"/>
      <c r="KU7" s="1076" t="s">
        <v>284</v>
      </c>
      <c r="KV7" s="1071" t="s">
        <v>4649</v>
      </c>
      <c r="KW7" s="1071">
        <v>15.0</v>
      </c>
      <c r="KX7" s="1072">
        <v>15.0</v>
      </c>
      <c r="KY7" s="1073">
        <v>15.0</v>
      </c>
      <c r="KZ7" s="442"/>
      <c r="LA7" s="985" t="s">
        <v>4587</v>
      </c>
      <c r="LB7" s="12"/>
      <c r="LC7" s="12"/>
      <c r="LD7" s="1003" t="s">
        <v>4559</v>
      </c>
      <c r="LE7" s="1003" t="s">
        <v>4560</v>
      </c>
      <c r="LF7" s="1004" t="s">
        <v>914</v>
      </c>
      <c r="LG7" s="442"/>
      <c r="LH7" s="1068"/>
      <c r="LI7" s="1076" t="s">
        <v>3047</v>
      </c>
      <c r="LJ7" s="1071" t="s">
        <v>4631</v>
      </c>
      <c r="LK7" s="1071">
        <v>10.0</v>
      </c>
      <c r="LL7" s="1072">
        <v>10.0</v>
      </c>
      <c r="LM7" s="1073">
        <v>10.0</v>
      </c>
      <c r="LN7" s="442"/>
      <c r="LO7" s="1068"/>
      <c r="LP7" s="1076" t="s">
        <v>1865</v>
      </c>
      <c r="LQ7" s="1118" t="s">
        <v>4649</v>
      </c>
      <c r="LR7" s="1119">
        <v>0.0</v>
      </c>
      <c r="LS7" s="1120">
        <v>20.0</v>
      </c>
      <c r="LT7" s="1118">
        <v>0.0</v>
      </c>
      <c r="LU7" s="442"/>
      <c r="LV7" s="1012"/>
      <c r="LW7" s="1042" t="s">
        <v>2106</v>
      </c>
      <c r="LX7" s="1013" t="s">
        <v>4661</v>
      </c>
      <c r="LY7" s="1013">
        <v>10.0</v>
      </c>
      <c r="LZ7" s="1014">
        <v>10.0</v>
      </c>
      <c r="MA7" s="1015">
        <v>10.0</v>
      </c>
      <c r="MB7" s="996"/>
    </row>
    <row r="8" ht="15.75" customHeight="1">
      <c r="A8" s="10"/>
      <c r="B8" s="997"/>
      <c r="C8" s="998"/>
      <c r="D8" s="108"/>
      <c r="E8" s="1012"/>
      <c r="F8" s="1031" t="s">
        <v>3657</v>
      </c>
      <c r="G8" s="1045">
        <v>45781.0</v>
      </c>
      <c r="H8" s="1033">
        <v>30.0</v>
      </c>
      <c r="I8" s="1034">
        <v>30.0</v>
      </c>
      <c r="J8" s="1035">
        <v>30.0</v>
      </c>
      <c r="K8" s="108"/>
      <c r="L8" s="1096"/>
      <c r="M8" s="1042" t="s">
        <v>643</v>
      </c>
      <c r="N8" s="1097">
        <v>45782.0</v>
      </c>
      <c r="O8" s="1013">
        <v>10.0</v>
      </c>
      <c r="P8" s="1014">
        <v>10.0</v>
      </c>
      <c r="Q8" s="1015">
        <v>10.0</v>
      </c>
      <c r="R8" s="108"/>
      <c r="S8" s="1096"/>
      <c r="T8" s="1042" t="s">
        <v>2450</v>
      </c>
      <c r="U8" s="1097">
        <v>45813.0</v>
      </c>
      <c r="V8" s="1013">
        <v>10.0</v>
      </c>
      <c r="W8" s="1014">
        <v>10.0</v>
      </c>
      <c r="X8" s="1015">
        <v>10.0</v>
      </c>
      <c r="Y8" s="442"/>
      <c r="Z8" s="956" t="s">
        <v>4662</v>
      </c>
      <c r="AA8" s="957"/>
      <c r="AB8" s="958"/>
      <c r="AC8" s="959"/>
      <c r="AD8" s="959"/>
      <c r="AE8" s="960"/>
      <c r="AF8" s="442"/>
      <c r="AG8" s="1012"/>
      <c r="AH8" s="1098" t="s">
        <v>373</v>
      </c>
      <c r="AI8" s="1097">
        <v>45814.0</v>
      </c>
      <c r="AJ8" s="1013">
        <v>10.0</v>
      </c>
      <c r="AK8" s="1014">
        <v>10.0</v>
      </c>
      <c r="AL8" s="1015">
        <v>10.0</v>
      </c>
      <c r="AM8" s="108"/>
      <c r="AN8" s="956" t="s">
        <v>4663</v>
      </c>
      <c r="AO8" s="957"/>
      <c r="AP8" s="958"/>
      <c r="AQ8" s="959"/>
      <c r="AR8" s="959"/>
      <c r="AS8" s="960"/>
      <c r="AT8" s="108"/>
      <c r="AU8" s="1121" t="s">
        <v>4664</v>
      </c>
      <c r="AV8" s="12"/>
      <c r="AW8" s="12"/>
      <c r="AX8" s="12"/>
      <c r="AY8" s="12"/>
      <c r="AZ8" s="48"/>
      <c r="BA8" s="108"/>
      <c r="BB8" s="1012"/>
      <c r="BC8" s="1098" t="s">
        <v>141</v>
      </c>
      <c r="BD8" s="1099">
        <v>45972.0</v>
      </c>
      <c r="BE8" s="1013">
        <v>10.0</v>
      </c>
      <c r="BF8" s="1014">
        <v>10.0</v>
      </c>
      <c r="BG8" s="1015">
        <v>10.0</v>
      </c>
      <c r="BH8" s="442"/>
      <c r="BI8" s="1012"/>
      <c r="BJ8" s="1098" t="s">
        <v>3886</v>
      </c>
      <c r="BK8" s="1013" t="s">
        <v>4589</v>
      </c>
      <c r="BL8" s="1013">
        <v>10.0</v>
      </c>
      <c r="BM8" s="1014">
        <v>10.0</v>
      </c>
      <c r="BN8" s="1015">
        <v>10.0</v>
      </c>
      <c r="BO8" s="108"/>
      <c r="BP8" s="1012"/>
      <c r="BQ8" s="1098" t="s">
        <v>3832</v>
      </c>
      <c r="BR8" s="1013" t="s">
        <v>4589</v>
      </c>
      <c r="BS8" s="1013">
        <v>10.0</v>
      </c>
      <c r="BT8" s="1014">
        <v>10.0</v>
      </c>
      <c r="BU8" s="1015">
        <v>10.0</v>
      </c>
      <c r="BV8" s="108"/>
      <c r="BW8" s="1012"/>
      <c r="BX8" s="1098" t="s">
        <v>2694</v>
      </c>
      <c r="BY8" s="1013" t="s">
        <v>4591</v>
      </c>
      <c r="BZ8" s="1013">
        <v>10.0</v>
      </c>
      <c r="CA8" s="1014">
        <v>10.0</v>
      </c>
      <c r="CB8" s="1015">
        <v>10.0</v>
      </c>
      <c r="CC8" s="108"/>
      <c r="CD8" s="1012"/>
      <c r="CE8" s="89" t="s">
        <v>1082</v>
      </c>
      <c r="CF8" s="1014" t="s">
        <v>4615</v>
      </c>
      <c r="CG8" s="1013">
        <v>10.0</v>
      </c>
      <c r="CH8" s="1014">
        <v>10.0</v>
      </c>
      <c r="CI8" s="1015">
        <v>10.0</v>
      </c>
      <c r="CJ8" s="108"/>
      <c r="CK8" s="1056"/>
      <c r="CL8" s="1122" t="s">
        <v>695</v>
      </c>
      <c r="CM8" s="128"/>
      <c r="CN8" s="1021">
        <v>30.0</v>
      </c>
      <c r="CO8" s="1023">
        <v>30.0</v>
      </c>
      <c r="CP8" s="1024">
        <v>0.0</v>
      </c>
      <c r="CQ8" s="108"/>
      <c r="CR8" s="1012"/>
      <c r="CS8" s="1098" t="s">
        <v>1748</v>
      </c>
      <c r="CT8" s="1014" t="s">
        <v>4617</v>
      </c>
      <c r="CU8" s="1013">
        <v>10.0</v>
      </c>
      <c r="CV8" s="1014">
        <v>10.0</v>
      </c>
      <c r="CW8" s="1015">
        <v>10.0</v>
      </c>
      <c r="CX8" s="108"/>
      <c r="CY8" s="1021"/>
      <c r="CZ8" s="1123" t="s">
        <v>941</v>
      </c>
      <c r="DA8" s="1021" t="s">
        <v>4653</v>
      </c>
      <c r="DB8" s="1090">
        <v>30.0</v>
      </c>
      <c r="DC8" s="138"/>
      <c r="DD8" s="128"/>
      <c r="DE8" s="108"/>
      <c r="DF8" s="1012"/>
      <c r="DG8" s="1098" t="s">
        <v>3011</v>
      </c>
      <c r="DH8" s="1014" t="s">
        <v>4594</v>
      </c>
      <c r="DI8" s="1013">
        <v>10.0</v>
      </c>
      <c r="DJ8" s="1014">
        <v>10.0</v>
      </c>
      <c r="DK8" s="1015">
        <v>10.0</v>
      </c>
      <c r="DL8" s="108"/>
      <c r="DM8" s="1036"/>
      <c r="DN8" s="1048" t="s">
        <v>2770</v>
      </c>
      <c r="DO8" s="1038" t="s">
        <v>4618</v>
      </c>
      <c r="DP8" s="1038">
        <v>10.0</v>
      </c>
      <c r="DQ8" s="1039">
        <v>10.0</v>
      </c>
      <c r="DR8" s="1040">
        <v>10.0</v>
      </c>
      <c r="DS8" s="108"/>
      <c r="DT8" s="1027"/>
      <c r="DU8" s="1028" t="s">
        <v>2651</v>
      </c>
      <c r="DV8" s="128"/>
      <c r="DW8" s="1029">
        <v>20.0</v>
      </c>
      <c r="DX8" s="138"/>
      <c r="DY8" s="128"/>
      <c r="DZ8" s="108"/>
      <c r="EA8" s="1068"/>
      <c r="EB8" s="1076" t="s">
        <v>1722</v>
      </c>
      <c r="EC8" s="1071" t="s">
        <v>4619</v>
      </c>
      <c r="ED8" s="1071">
        <v>10.0</v>
      </c>
      <c r="EE8" s="1072">
        <v>10.0</v>
      </c>
      <c r="EF8" s="1073">
        <v>10.0</v>
      </c>
      <c r="EG8" s="108"/>
      <c r="EH8" s="956" t="s">
        <v>4665</v>
      </c>
      <c r="EI8" s="957"/>
      <c r="EJ8" s="958"/>
      <c r="EK8" s="959"/>
      <c r="EL8" s="959"/>
      <c r="EM8" s="960"/>
      <c r="EN8" s="108"/>
      <c r="EO8" s="442"/>
      <c r="EP8" s="442"/>
      <c r="EQ8" s="442"/>
      <c r="ER8" s="442"/>
      <c r="ES8" s="442"/>
      <c r="ET8" s="442"/>
      <c r="EU8" s="108"/>
      <c r="EV8" s="1012"/>
      <c r="EW8" s="1098" t="s">
        <v>2458</v>
      </c>
      <c r="EX8" s="1014" t="s">
        <v>4666</v>
      </c>
      <c r="EY8" s="1013">
        <v>10.0</v>
      </c>
      <c r="EZ8" s="1014">
        <v>10.0</v>
      </c>
      <c r="FA8" s="1015">
        <v>10.0</v>
      </c>
      <c r="FB8" s="108"/>
      <c r="FC8" s="1012"/>
      <c r="FD8" s="1098" t="s">
        <v>3011</v>
      </c>
      <c r="FE8" s="1014" t="s">
        <v>4622</v>
      </c>
      <c r="FF8" s="1013">
        <v>10.0</v>
      </c>
      <c r="FG8" s="1014">
        <v>10.0</v>
      </c>
      <c r="FH8" s="1015">
        <v>10.0</v>
      </c>
      <c r="FI8" s="108"/>
      <c r="FJ8" s="1012"/>
      <c r="FK8" s="1098" t="s">
        <v>4004</v>
      </c>
      <c r="FL8" s="1014" t="s">
        <v>4667</v>
      </c>
      <c r="FM8" s="1013">
        <v>10.0</v>
      </c>
      <c r="FN8" s="1014">
        <v>10.0</v>
      </c>
      <c r="FO8" s="1015">
        <v>0.0</v>
      </c>
      <c r="FP8" s="108"/>
      <c r="FQ8" s="985" t="s">
        <v>4535</v>
      </c>
      <c r="FR8" s="12"/>
      <c r="FS8" s="12"/>
      <c r="FT8" s="986" t="s">
        <v>2249</v>
      </c>
      <c r="FU8" s="986" t="s">
        <v>2440</v>
      </c>
      <c r="FV8" s="987" t="s">
        <v>2408</v>
      </c>
      <c r="FW8" s="108"/>
      <c r="FX8" s="1105"/>
      <c r="FY8" s="1085" t="s">
        <v>2954</v>
      </c>
      <c r="FZ8" s="1124"/>
      <c r="GA8" s="1080">
        <v>0.0</v>
      </c>
      <c r="GB8" s="1125">
        <v>0.0</v>
      </c>
      <c r="GC8" s="1126">
        <v>30.0</v>
      </c>
      <c r="GD8" s="108"/>
      <c r="GE8" s="1012"/>
      <c r="GF8" s="1098" t="s">
        <v>3113</v>
      </c>
      <c r="GG8" s="1014" t="s">
        <v>4655</v>
      </c>
      <c r="GH8" s="1013">
        <v>10.0</v>
      </c>
      <c r="GI8" s="1014">
        <v>10.0</v>
      </c>
      <c r="GJ8" s="1015">
        <v>10.0</v>
      </c>
      <c r="GK8" s="108"/>
      <c r="GL8" s="985" t="s">
        <v>4535</v>
      </c>
      <c r="GM8" s="12"/>
      <c r="GN8" s="12"/>
      <c r="GO8" s="986" t="s">
        <v>2249</v>
      </c>
      <c r="GP8" s="986" t="s">
        <v>2440</v>
      </c>
      <c r="GQ8" s="987" t="s">
        <v>2408</v>
      </c>
      <c r="GR8" s="108"/>
      <c r="GS8" s="1012"/>
      <c r="GT8" s="1098" t="s">
        <v>903</v>
      </c>
      <c r="GU8" s="1014" t="s">
        <v>4668</v>
      </c>
      <c r="GV8" s="1013">
        <v>10.0</v>
      </c>
      <c r="GW8" s="1014">
        <v>10.0</v>
      </c>
      <c r="GX8" s="1015">
        <v>10.0</v>
      </c>
      <c r="GY8" s="442"/>
      <c r="GZ8" s="1049"/>
      <c r="HA8" s="1127" t="s">
        <v>1984</v>
      </c>
      <c r="HB8" s="1083" t="s">
        <v>4625</v>
      </c>
      <c r="HC8" s="1082">
        <v>15.0</v>
      </c>
      <c r="HD8" s="1083">
        <v>15.0</v>
      </c>
      <c r="HE8" s="1084">
        <v>15.0</v>
      </c>
      <c r="HF8" s="442"/>
      <c r="HG8" s="1012"/>
      <c r="HH8" s="1098" t="s">
        <v>1073</v>
      </c>
      <c r="HI8" s="1014" t="s">
        <v>4602</v>
      </c>
      <c r="HJ8" s="1013">
        <v>10.0</v>
      </c>
      <c r="HK8" s="1014">
        <v>10.0</v>
      </c>
      <c r="HL8" s="1015">
        <v>10.0</v>
      </c>
      <c r="HM8" s="442"/>
      <c r="HN8" s="985" t="s">
        <v>4535</v>
      </c>
      <c r="HO8" s="12"/>
      <c r="HP8" s="12"/>
      <c r="HQ8" s="986" t="s">
        <v>2249</v>
      </c>
      <c r="HR8" s="986" t="s">
        <v>2440</v>
      </c>
      <c r="HS8" s="987" t="s">
        <v>2408</v>
      </c>
      <c r="HT8" s="442"/>
      <c r="HU8" s="1036"/>
      <c r="HV8" s="1037" t="s">
        <v>2806</v>
      </c>
      <c r="HW8" s="1038" t="s">
        <v>4642</v>
      </c>
      <c r="HX8" s="1038">
        <v>10.0</v>
      </c>
      <c r="HY8" s="1039">
        <v>10.0</v>
      </c>
      <c r="HZ8" s="1040">
        <v>10.0</v>
      </c>
      <c r="IA8" s="442"/>
      <c r="IB8" s="1100"/>
      <c r="IC8" s="1101" t="s">
        <v>2012</v>
      </c>
      <c r="ID8" s="1102" t="s">
        <v>4545</v>
      </c>
      <c r="IE8" s="1102">
        <v>10.0</v>
      </c>
      <c r="IF8" s="1103">
        <v>10.0</v>
      </c>
      <c r="IG8" s="1104">
        <v>10.0</v>
      </c>
      <c r="IH8" s="442"/>
      <c r="II8" s="1012"/>
      <c r="IJ8" s="1042" t="s">
        <v>3324</v>
      </c>
      <c r="IK8" s="1013" t="s">
        <v>4545</v>
      </c>
      <c r="IL8" s="1013">
        <v>10.0</v>
      </c>
      <c r="IM8" s="1014">
        <v>10.0</v>
      </c>
      <c r="IN8" s="1015">
        <v>10.0</v>
      </c>
      <c r="IO8" s="442"/>
      <c r="IP8" s="1012"/>
      <c r="IQ8" s="1128" t="s">
        <v>3130</v>
      </c>
      <c r="IR8" s="1082" t="s">
        <v>4645</v>
      </c>
      <c r="IS8" s="1082">
        <v>5.0</v>
      </c>
      <c r="IT8" s="1083">
        <v>5.0</v>
      </c>
      <c r="IU8" s="1084">
        <v>5.0</v>
      </c>
      <c r="IV8" s="442"/>
      <c r="IW8" s="1129" t="s">
        <v>4669</v>
      </c>
      <c r="IX8" s="957"/>
      <c r="IY8" s="1003"/>
      <c r="IZ8" s="1003" t="s">
        <v>4559</v>
      </c>
      <c r="JA8" s="1003" t="s">
        <v>4560</v>
      </c>
      <c r="JB8" s="1004" t="s">
        <v>914</v>
      </c>
      <c r="JC8" s="442"/>
      <c r="JD8" s="1012"/>
      <c r="JE8" s="1127" t="s">
        <v>3360</v>
      </c>
      <c r="JF8" s="1130" t="s">
        <v>4545</v>
      </c>
      <c r="JG8" s="1051">
        <v>10.0</v>
      </c>
      <c r="JH8" s="1130">
        <v>10.0</v>
      </c>
      <c r="JI8" s="1131">
        <v>10.0</v>
      </c>
      <c r="JJ8" s="442"/>
      <c r="JK8" s="1012"/>
      <c r="JL8" s="1031" t="s">
        <v>1191</v>
      </c>
      <c r="JM8" s="1032"/>
      <c r="JN8" s="1033">
        <v>30.0</v>
      </c>
      <c r="JO8" s="1032"/>
      <c r="JP8" s="30"/>
      <c r="JQ8" s="442"/>
      <c r="JR8" s="1012"/>
      <c r="JS8" s="1042" t="s">
        <v>2752</v>
      </c>
      <c r="JT8" s="1013" t="s">
        <v>4549</v>
      </c>
      <c r="JU8" s="1013">
        <v>10.0</v>
      </c>
      <c r="JV8" s="1014">
        <v>10.0</v>
      </c>
      <c r="JW8" s="1015">
        <v>10.0</v>
      </c>
      <c r="JX8" s="442"/>
      <c r="JY8" s="1132"/>
      <c r="JZ8" s="1133" t="s">
        <v>4025</v>
      </c>
      <c r="KA8" s="1112" t="s">
        <v>4549</v>
      </c>
      <c r="KB8" s="1112">
        <v>10.0</v>
      </c>
      <c r="KC8" s="1113">
        <v>10.0</v>
      </c>
      <c r="KD8" s="1114">
        <v>10.0</v>
      </c>
      <c r="KE8" s="442"/>
      <c r="KF8" s="985" t="s">
        <v>4670</v>
      </c>
      <c r="KG8" s="12"/>
      <c r="KH8" s="12"/>
      <c r="KI8" s="12"/>
      <c r="KJ8" s="12"/>
      <c r="KK8" s="48"/>
      <c r="KL8" s="442"/>
      <c r="KM8" s="1036"/>
      <c r="KN8" s="1037" t="s">
        <v>1007</v>
      </c>
      <c r="KO8" s="1038" t="s">
        <v>4631</v>
      </c>
      <c r="KP8" s="1038">
        <v>20.0</v>
      </c>
      <c r="KQ8" s="1039">
        <v>20.0</v>
      </c>
      <c r="KR8" s="1040">
        <v>20.0</v>
      </c>
      <c r="KS8" s="442"/>
      <c r="KT8" s="1012"/>
      <c r="KU8" s="1098" t="s">
        <v>673</v>
      </c>
      <c r="KV8" s="1013" t="s">
        <v>4649</v>
      </c>
      <c r="KW8" s="1013">
        <v>15.0</v>
      </c>
      <c r="KX8" s="1014">
        <v>15.0</v>
      </c>
      <c r="KY8" s="1015">
        <v>15.0</v>
      </c>
      <c r="KZ8" s="442"/>
      <c r="LA8" s="1012"/>
      <c r="LB8" s="1046" t="s">
        <v>284</v>
      </c>
      <c r="LC8" s="1033" t="s">
        <v>4631</v>
      </c>
      <c r="LD8" s="1033">
        <v>20.0</v>
      </c>
      <c r="LE8" s="1034">
        <v>20.0</v>
      </c>
      <c r="LF8" s="1035">
        <v>20.0</v>
      </c>
      <c r="LG8" s="442"/>
      <c r="LH8" s="1012"/>
      <c r="LI8" s="1098" t="s">
        <v>3196</v>
      </c>
      <c r="LJ8" s="1013" t="s">
        <v>4632</v>
      </c>
      <c r="LK8" s="1013">
        <v>10.0</v>
      </c>
      <c r="LL8" s="1014">
        <v>10.0</v>
      </c>
      <c r="LM8" s="1015">
        <v>10.0</v>
      </c>
      <c r="LN8" s="442"/>
      <c r="LO8" s="1012"/>
      <c r="LP8" s="1098" t="s">
        <v>1672</v>
      </c>
      <c r="LQ8" s="1084" t="s">
        <v>4649</v>
      </c>
      <c r="LR8" s="1082">
        <v>0.0</v>
      </c>
      <c r="LS8" s="1083">
        <v>0.0</v>
      </c>
      <c r="LT8" s="1084">
        <v>20.0</v>
      </c>
      <c r="LU8" s="442"/>
      <c r="LV8" s="1036"/>
      <c r="LW8" s="1037" t="s">
        <v>831</v>
      </c>
      <c r="LX8" s="1036" t="s">
        <v>4632</v>
      </c>
      <c r="LY8" s="1036">
        <v>10.0</v>
      </c>
      <c r="LZ8" s="1037">
        <v>10.0</v>
      </c>
      <c r="MA8" s="1074">
        <v>10.0</v>
      </c>
      <c r="MB8" s="996"/>
    </row>
    <row r="9" ht="15.75" customHeight="1">
      <c r="A9" s="10"/>
      <c r="B9" s="442"/>
      <c r="C9" s="442"/>
      <c r="D9" s="108"/>
      <c r="E9" s="1068"/>
      <c r="F9" s="1069" t="s">
        <v>3677</v>
      </c>
      <c r="G9" s="1070">
        <v>45781.0</v>
      </c>
      <c r="H9" s="1071">
        <v>30.0</v>
      </c>
      <c r="I9" s="1072">
        <v>30.0</v>
      </c>
      <c r="J9" s="1073">
        <v>30.0</v>
      </c>
      <c r="K9" s="108"/>
      <c r="L9" s="1134"/>
      <c r="M9" s="1135" t="s">
        <v>2591</v>
      </c>
      <c r="N9" s="1136">
        <v>45781.0</v>
      </c>
      <c r="O9" s="1137">
        <v>10.0</v>
      </c>
      <c r="P9" s="1138">
        <v>10.0</v>
      </c>
      <c r="Q9" s="1139">
        <v>10.0</v>
      </c>
      <c r="R9" s="108"/>
      <c r="S9" s="1068"/>
      <c r="T9" s="1069" t="s">
        <v>680</v>
      </c>
      <c r="U9" s="1070">
        <v>45813.0</v>
      </c>
      <c r="V9" s="1071">
        <v>10.0</v>
      </c>
      <c r="W9" s="1072">
        <v>10.0</v>
      </c>
      <c r="X9" s="1073">
        <v>10.0</v>
      </c>
      <c r="Y9" s="442"/>
      <c r="Z9" s="985" t="s">
        <v>4671</v>
      </c>
      <c r="AA9" s="12"/>
      <c r="AB9" s="12"/>
      <c r="AC9" s="1003" t="s">
        <v>4559</v>
      </c>
      <c r="AD9" s="1003" t="s">
        <v>4560</v>
      </c>
      <c r="AE9" s="1004" t="s">
        <v>914</v>
      </c>
      <c r="AF9" s="442"/>
      <c r="AG9" s="1132"/>
      <c r="AH9" s="1110" t="s">
        <v>2743</v>
      </c>
      <c r="AI9" s="1140">
        <v>45814.0</v>
      </c>
      <c r="AJ9" s="1141">
        <v>10.0</v>
      </c>
      <c r="AK9" s="1142">
        <v>10.0</v>
      </c>
      <c r="AL9" s="1143">
        <v>10.0</v>
      </c>
      <c r="AM9" s="108"/>
      <c r="AN9" s="1005" t="s">
        <v>4672</v>
      </c>
      <c r="AO9" s="12"/>
      <c r="AP9" s="962"/>
      <c r="AQ9" s="1008" t="s">
        <v>4559</v>
      </c>
      <c r="AR9" s="1008" t="s">
        <v>4560</v>
      </c>
      <c r="AS9" s="1009" t="s">
        <v>914</v>
      </c>
      <c r="AT9" s="108"/>
      <c r="AU9" s="1144"/>
      <c r="AV9" s="398" t="s">
        <v>3468</v>
      </c>
      <c r="AW9" s="1091">
        <v>10.0</v>
      </c>
      <c r="AX9" s="1092" t="s">
        <v>411</v>
      </c>
      <c r="AY9" s="12"/>
      <c r="AZ9" s="48"/>
      <c r="BA9" s="108"/>
      <c r="BB9" s="1068"/>
      <c r="BC9" s="1076" t="s">
        <v>188</v>
      </c>
      <c r="BD9" s="1077">
        <v>45972.0</v>
      </c>
      <c r="BE9" s="1071">
        <v>10.0</v>
      </c>
      <c r="BF9" s="1072">
        <v>10.0</v>
      </c>
      <c r="BG9" s="1073">
        <v>10.0</v>
      </c>
      <c r="BH9" s="442"/>
      <c r="BI9" s="1068"/>
      <c r="BJ9" s="1145" t="s">
        <v>3832</v>
      </c>
      <c r="BK9" s="1146" t="s">
        <v>4589</v>
      </c>
      <c r="BL9" s="1146">
        <v>10.0</v>
      </c>
      <c r="BM9" s="1147">
        <v>10.0</v>
      </c>
      <c r="BN9" s="1148">
        <v>10.0</v>
      </c>
      <c r="BO9" s="108"/>
      <c r="BP9" s="1068"/>
      <c r="BQ9" s="1145" t="s">
        <v>589</v>
      </c>
      <c r="BR9" s="1146" t="s">
        <v>4589</v>
      </c>
      <c r="BS9" s="1146">
        <v>0.0</v>
      </c>
      <c r="BT9" s="1147">
        <v>0.0</v>
      </c>
      <c r="BU9" s="1148">
        <v>20.0</v>
      </c>
      <c r="BV9" s="108"/>
      <c r="BW9" s="1068"/>
      <c r="BX9" s="1076" t="s">
        <v>2575</v>
      </c>
      <c r="BY9" s="1071" t="s">
        <v>4590</v>
      </c>
      <c r="BZ9" s="1071">
        <v>10.0</v>
      </c>
      <c r="CA9" s="1072">
        <v>10.0</v>
      </c>
      <c r="CB9" s="1073">
        <v>10.0</v>
      </c>
      <c r="CC9" s="108"/>
      <c r="CD9" s="1068"/>
      <c r="CE9" s="1078" t="s">
        <v>2893</v>
      </c>
      <c r="CF9" s="1072" t="s">
        <v>4673</v>
      </c>
      <c r="CG9" s="1071">
        <v>10.0</v>
      </c>
      <c r="CH9" s="1072">
        <v>10.0</v>
      </c>
      <c r="CI9" s="1073">
        <v>10.0</v>
      </c>
      <c r="CJ9" s="108"/>
      <c r="CK9" s="1012"/>
      <c r="CL9" s="1149" t="s">
        <v>1489</v>
      </c>
      <c r="CM9" s="128"/>
      <c r="CN9" s="1013">
        <v>30.0</v>
      </c>
      <c r="CO9" s="1014">
        <v>30.0</v>
      </c>
      <c r="CP9" s="1015">
        <v>0.0</v>
      </c>
      <c r="CQ9" s="108"/>
      <c r="CR9" s="1068"/>
      <c r="CS9" s="1145" t="s">
        <v>3443</v>
      </c>
      <c r="CT9" s="1138" t="s">
        <v>4617</v>
      </c>
      <c r="CU9" s="1137">
        <v>10.0</v>
      </c>
      <c r="CV9" s="1138">
        <v>10.0</v>
      </c>
      <c r="CW9" s="1139">
        <v>10.0</v>
      </c>
      <c r="CX9" s="108"/>
      <c r="CY9" s="1013"/>
      <c r="CZ9" s="1127" t="s">
        <v>3379</v>
      </c>
      <c r="DA9" s="1082" t="s">
        <v>4653</v>
      </c>
      <c r="DB9" s="1082">
        <v>10.0</v>
      </c>
      <c r="DC9" s="1150"/>
      <c r="DD9" s="1151"/>
      <c r="DE9" s="108"/>
      <c r="DF9" s="1068"/>
      <c r="DG9" s="1076" t="s">
        <v>2979</v>
      </c>
      <c r="DH9" s="1072" t="s">
        <v>4634</v>
      </c>
      <c r="DI9" s="1071">
        <v>10.0</v>
      </c>
      <c r="DJ9" s="1072">
        <v>10.0</v>
      </c>
      <c r="DK9" s="1073">
        <v>10.0</v>
      </c>
      <c r="DL9" s="108"/>
      <c r="DM9" s="1012"/>
      <c r="DN9" s="89" t="s">
        <v>3324</v>
      </c>
      <c r="DO9" s="1013" t="s">
        <v>4618</v>
      </c>
      <c r="DP9" s="1013">
        <v>10.0</v>
      </c>
      <c r="DQ9" s="1014">
        <v>10.0</v>
      </c>
      <c r="DR9" s="1015">
        <v>10.0</v>
      </c>
      <c r="DS9" s="108"/>
      <c r="DT9" s="1012"/>
      <c r="DU9" s="1042" t="s">
        <v>1082</v>
      </c>
      <c r="DV9" s="128"/>
      <c r="DW9" s="1013">
        <v>20.0</v>
      </c>
      <c r="DX9" s="138"/>
      <c r="DY9" s="128"/>
      <c r="DZ9" s="108"/>
      <c r="EA9" s="1012"/>
      <c r="EB9" s="1098" t="s">
        <v>1730</v>
      </c>
      <c r="EC9" s="1013" t="s">
        <v>4619</v>
      </c>
      <c r="ED9" s="1013">
        <v>10.0</v>
      </c>
      <c r="EE9" s="1014">
        <v>10.0</v>
      </c>
      <c r="EF9" s="1015">
        <v>10.0</v>
      </c>
      <c r="EG9" s="108"/>
      <c r="EH9" s="1058" t="s">
        <v>4674</v>
      </c>
      <c r="EI9" s="12"/>
      <c r="EJ9" s="962"/>
      <c r="EK9" s="1059" t="s">
        <v>4559</v>
      </c>
      <c r="EL9" s="1059" t="s">
        <v>4560</v>
      </c>
      <c r="EM9" s="1060" t="s">
        <v>914</v>
      </c>
      <c r="EN9" s="108"/>
      <c r="EO9" s="956" t="s">
        <v>4675</v>
      </c>
      <c r="EP9" s="957"/>
      <c r="EQ9" s="958"/>
      <c r="ER9" s="959"/>
      <c r="ES9" s="959"/>
      <c r="ET9" s="960"/>
      <c r="EU9" s="108"/>
      <c r="EV9" s="1068"/>
      <c r="EW9" s="1076" t="s">
        <v>2477</v>
      </c>
      <c r="EX9" s="1072" t="s">
        <v>4666</v>
      </c>
      <c r="EY9" s="1071">
        <v>10.0</v>
      </c>
      <c r="EZ9" s="1072">
        <v>10.0</v>
      </c>
      <c r="FA9" s="1073">
        <v>10.0</v>
      </c>
      <c r="FB9" s="108"/>
      <c r="FC9" s="1068"/>
      <c r="FD9" s="1145" t="s">
        <v>3072</v>
      </c>
      <c r="FE9" s="1147" t="s">
        <v>4622</v>
      </c>
      <c r="FF9" s="1146">
        <v>10.0</v>
      </c>
      <c r="FG9" s="1147">
        <v>10.0</v>
      </c>
      <c r="FH9" s="1148">
        <v>10.0</v>
      </c>
      <c r="FI9" s="108"/>
      <c r="FJ9" s="1068"/>
      <c r="FK9" s="1145" t="s">
        <v>2056</v>
      </c>
      <c r="FL9" s="1138" t="s">
        <v>4667</v>
      </c>
      <c r="FM9" s="1137">
        <v>5.0</v>
      </c>
      <c r="FN9" s="1138">
        <v>5.0</v>
      </c>
      <c r="FO9" s="1139">
        <v>5.0</v>
      </c>
      <c r="FP9" s="108"/>
      <c r="FQ9" s="1012"/>
      <c r="FR9" s="1031" t="s">
        <v>1336</v>
      </c>
      <c r="FS9" s="1032"/>
      <c r="FT9" s="1033">
        <v>40.0</v>
      </c>
      <c r="FU9" s="1034">
        <v>40.0</v>
      </c>
      <c r="FV9" s="1035">
        <v>0.0</v>
      </c>
      <c r="FW9" s="108"/>
      <c r="GD9" s="108"/>
      <c r="GE9" s="1068"/>
      <c r="GF9" s="1076" t="s">
        <v>3121</v>
      </c>
      <c r="GG9" s="1072" t="s">
        <v>4655</v>
      </c>
      <c r="GH9" s="1071">
        <v>10.0</v>
      </c>
      <c r="GI9" s="1072">
        <v>10.0</v>
      </c>
      <c r="GJ9" s="1073">
        <v>10.0</v>
      </c>
      <c r="GK9" s="108"/>
      <c r="GL9" s="1012"/>
      <c r="GM9" s="1031" t="s">
        <v>1047</v>
      </c>
      <c r="GN9" s="1032"/>
      <c r="GO9" s="1033">
        <v>40.0</v>
      </c>
      <c r="GP9" s="1034">
        <v>40.0</v>
      </c>
      <c r="GQ9" s="1035">
        <v>0.0</v>
      </c>
      <c r="GR9" s="108"/>
      <c r="GS9" s="1068"/>
      <c r="GT9" s="1076" t="s">
        <v>1968</v>
      </c>
      <c r="GU9" s="1072" t="s">
        <v>4602</v>
      </c>
      <c r="GV9" s="1071">
        <v>10.0</v>
      </c>
      <c r="GW9" s="1072">
        <v>10.0</v>
      </c>
      <c r="GX9" s="1073">
        <v>10.0</v>
      </c>
      <c r="GY9" s="442"/>
      <c r="GZ9" s="1011" t="s">
        <v>2416</v>
      </c>
      <c r="HA9" s="12"/>
      <c r="HB9" s="12"/>
      <c r="HC9" s="12"/>
      <c r="HD9" s="12"/>
      <c r="HE9" s="48"/>
      <c r="HF9" s="442"/>
      <c r="HG9" s="1068"/>
      <c r="HH9" s="1076" t="s">
        <v>1360</v>
      </c>
      <c r="HI9" s="1072" t="s">
        <v>4626</v>
      </c>
      <c r="HJ9" s="1071">
        <v>10.0</v>
      </c>
      <c r="HK9" s="1072">
        <v>10.0</v>
      </c>
      <c r="HL9" s="1073">
        <v>10.0</v>
      </c>
      <c r="HM9" s="442"/>
      <c r="HN9" s="1012"/>
      <c r="HO9" s="1031" t="s">
        <v>1336</v>
      </c>
      <c r="HP9" s="1032"/>
      <c r="HQ9" s="1033">
        <v>40.0</v>
      </c>
      <c r="HR9" s="1034">
        <v>40.0</v>
      </c>
      <c r="HS9" s="1035">
        <v>0.0</v>
      </c>
      <c r="HT9" s="442"/>
      <c r="HU9" s="1012"/>
      <c r="HV9" s="1042" t="s">
        <v>2798</v>
      </c>
      <c r="HW9" s="1013" t="s">
        <v>4642</v>
      </c>
      <c r="HX9" s="1013">
        <v>10.0</v>
      </c>
      <c r="HY9" s="1014">
        <v>10.0</v>
      </c>
      <c r="HZ9" s="1015">
        <v>10.0</v>
      </c>
      <c r="IA9" s="442"/>
      <c r="IB9" s="1012"/>
      <c r="IC9" s="1042" t="s">
        <v>1292</v>
      </c>
      <c r="ID9" s="1013" t="s">
        <v>4644</v>
      </c>
      <c r="IE9" s="1013">
        <v>10.0</v>
      </c>
      <c r="IF9" s="1014">
        <v>10.0</v>
      </c>
      <c r="IG9" s="1015">
        <v>10.0</v>
      </c>
      <c r="IH9" s="442"/>
      <c r="II9" s="1036"/>
      <c r="IJ9" s="1037" t="s">
        <v>535</v>
      </c>
      <c r="IK9" s="1038" t="s">
        <v>4545</v>
      </c>
      <c r="IL9" s="1038">
        <v>10.0</v>
      </c>
      <c r="IM9" s="1039">
        <v>10.0</v>
      </c>
      <c r="IN9" s="1040">
        <v>10.0</v>
      </c>
      <c r="IO9" s="442"/>
      <c r="IP9" s="985" t="s">
        <v>4676</v>
      </c>
      <c r="IQ9" s="12"/>
      <c r="IR9" s="12"/>
      <c r="IS9" s="12"/>
      <c r="IT9" s="12"/>
      <c r="IU9" s="48"/>
      <c r="IV9" s="442"/>
      <c r="IW9" s="1012"/>
      <c r="IX9" s="1046" t="s">
        <v>3664</v>
      </c>
      <c r="IY9" s="1034" t="s">
        <v>4677</v>
      </c>
      <c r="IZ9" s="1033">
        <v>30.0</v>
      </c>
      <c r="JA9" s="1034">
        <v>30.0</v>
      </c>
      <c r="JB9" s="1035">
        <v>30.0</v>
      </c>
      <c r="JC9" s="442"/>
      <c r="JD9" s="985" t="s">
        <v>2416</v>
      </c>
      <c r="JE9" s="12"/>
      <c r="JF9" s="12"/>
      <c r="JG9" s="12"/>
      <c r="JH9" s="12"/>
      <c r="JI9" s="48"/>
      <c r="JJ9" s="442"/>
      <c r="JK9" s="1027"/>
      <c r="JL9" s="1028" t="s">
        <v>2065</v>
      </c>
      <c r="JM9" s="1057"/>
      <c r="JN9" s="1029">
        <v>30.0</v>
      </c>
      <c r="JO9" s="138"/>
      <c r="JP9" s="128"/>
      <c r="JQ9" s="442"/>
      <c r="JR9" s="1036"/>
      <c r="JS9" s="1037" t="s">
        <v>4025</v>
      </c>
      <c r="JT9" s="1038" t="s">
        <v>4549</v>
      </c>
      <c r="JU9" s="1038">
        <v>10.0</v>
      </c>
      <c r="JV9" s="1039">
        <v>10.0</v>
      </c>
      <c r="JW9" s="1040">
        <v>10.0</v>
      </c>
      <c r="JX9" s="442"/>
      <c r="JY9" s="985" t="s">
        <v>4670</v>
      </c>
      <c r="JZ9" s="12"/>
      <c r="KA9" s="12"/>
      <c r="KB9" s="12"/>
      <c r="KC9" s="12"/>
      <c r="KD9" s="48"/>
      <c r="KE9" s="442"/>
      <c r="KF9" s="1012"/>
      <c r="KG9" s="1031" t="s">
        <v>812</v>
      </c>
      <c r="KH9" s="1033" t="s">
        <v>4678</v>
      </c>
      <c r="KI9" s="1033">
        <v>60.0</v>
      </c>
      <c r="KJ9" s="1032"/>
      <c r="KK9" s="30"/>
      <c r="KL9" s="442"/>
      <c r="KM9" s="1012"/>
      <c r="KN9" s="1042" t="s">
        <v>3309</v>
      </c>
      <c r="KO9" s="1013" t="s">
        <v>4631</v>
      </c>
      <c r="KP9" s="1013">
        <v>10.0</v>
      </c>
      <c r="KQ9" s="1014">
        <v>10.0</v>
      </c>
      <c r="KR9" s="1015">
        <v>10.0</v>
      </c>
      <c r="KS9" s="442"/>
      <c r="KT9" s="1068"/>
      <c r="KU9" s="1076" t="s">
        <v>2752</v>
      </c>
      <c r="KV9" s="1071" t="s">
        <v>4632</v>
      </c>
      <c r="KW9" s="1071">
        <v>5.0</v>
      </c>
      <c r="KX9" s="1072">
        <v>5.0</v>
      </c>
      <c r="KY9" s="1073">
        <v>5.0</v>
      </c>
      <c r="KZ9" s="442"/>
      <c r="LA9" s="1068"/>
      <c r="LB9" s="1076" t="s">
        <v>311</v>
      </c>
      <c r="LC9" s="1071" t="s">
        <v>4611</v>
      </c>
      <c r="LD9" s="1071">
        <v>20.0</v>
      </c>
      <c r="LE9" s="1072">
        <v>20.0</v>
      </c>
      <c r="LF9" s="1073">
        <v>20.0</v>
      </c>
      <c r="LG9" s="442"/>
      <c r="LH9" s="1068"/>
      <c r="LI9" s="1076" t="s">
        <v>4063</v>
      </c>
      <c r="LJ9" s="1071" t="s">
        <v>4679</v>
      </c>
      <c r="LK9" s="1071">
        <v>10.0</v>
      </c>
      <c r="LL9" s="1072">
        <v>10.0</v>
      </c>
      <c r="LM9" s="1073">
        <v>10.0</v>
      </c>
      <c r="LN9" s="442"/>
      <c r="LO9" s="1068"/>
      <c r="LP9" s="1076" t="s">
        <v>2914</v>
      </c>
      <c r="LQ9" s="1093" t="s">
        <v>4649</v>
      </c>
      <c r="LR9" s="1071">
        <v>15.0</v>
      </c>
      <c r="LS9" s="1072">
        <v>15.0</v>
      </c>
      <c r="LT9" s="1073">
        <v>15.0</v>
      </c>
      <c r="LU9" s="442"/>
      <c r="LV9" s="1012"/>
      <c r="LW9" s="1042" t="s">
        <v>759</v>
      </c>
      <c r="LX9" s="1096" t="s">
        <v>4632</v>
      </c>
      <c r="LY9" s="1096">
        <v>10.0</v>
      </c>
      <c r="LZ9" s="1042">
        <v>10.0</v>
      </c>
      <c r="MA9" s="1098">
        <v>10.0</v>
      </c>
      <c r="MB9" s="996"/>
    </row>
    <row r="10" ht="15.75" customHeight="1">
      <c r="A10" s="10"/>
      <c r="B10" s="1109" t="s">
        <v>4680</v>
      </c>
      <c r="C10" s="954"/>
      <c r="D10" s="108"/>
      <c r="E10" s="1096"/>
      <c r="F10" s="1042" t="s">
        <v>229</v>
      </c>
      <c r="G10" s="1097">
        <v>45751.0</v>
      </c>
      <c r="H10" s="1013">
        <v>10.0</v>
      </c>
      <c r="I10" s="1014">
        <v>20.0</v>
      </c>
      <c r="J10" s="1015">
        <v>0.0</v>
      </c>
      <c r="K10" s="108"/>
      <c r="L10" s="985" t="s">
        <v>2416</v>
      </c>
      <c r="M10" s="12"/>
      <c r="N10" s="12"/>
      <c r="O10" s="12"/>
      <c r="P10" s="12"/>
      <c r="Q10" s="48"/>
      <c r="R10" s="108"/>
      <c r="S10" s="1096"/>
      <c r="T10" s="1042" t="s">
        <v>3778</v>
      </c>
      <c r="U10" s="1097">
        <v>45782.0</v>
      </c>
      <c r="V10" s="1013">
        <v>10.0</v>
      </c>
      <c r="W10" s="1014">
        <v>10.0</v>
      </c>
      <c r="X10" s="1015">
        <v>10.0</v>
      </c>
      <c r="Y10" s="442"/>
      <c r="Z10" s="1012"/>
      <c r="AA10" s="1031" t="s">
        <v>3657</v>
      </c>
      <c r="AB10" s="1045">
        <v>45814.0</v>
      </c>
      <c r="AC10" s="1033">
        <v>20.0</v>
      </c>
      <c r="AD10" s="1034">
        <v>20.0</v>
      </c>
      <c r="AE10" s="1035">
        <v>20.0</v>
      </c>
      <c r="AF10" s="442"/>
      <c r="AG10" s="985" t="s">
        <v>4569</v>
      </c>
      <c r="AH10" s="12"/>
      <c r="AI10" s="12"/>
      <c r="AJ10" s="12"/>
      <c r="AK10" s="12"/>
      <c r="AL10" s="48"/>
      <c r="AM10" s="108"/>
      <c r="AN10" s="1012"/>
      <c r="AO10" s="1046" t="s">
        <v>526</v>
      </c>
      <c r="AP10" s="1045">
        <v>45938.0</v>
      </c>
      <c r="AQ10" s="1033">
        <v>35.0</v>
      </c>
      <c r="AR10" s="1034">
        <v>35.0</v>
      </c>
      <c r="AS10" s="1035">
        <v>35.0</v>
      </c>
      <c r="AT10" s="108"/>
      <c r="AU10" s="1152" t="s">
        <v>4681</v>
      </c>
      <c r="AV10" s="12"/>
      <c r="AW10" s="962"/>
      <c r="AX10" s="1153" t="s">
        <v>4608</v>
      </c>
      <c r="AY10" s="12"/>
      <c r="AZ10" s="48"/>
      <c r="BA10" s="108"/>
      <c r="BB10" s="1096"/>
      <c r="BC10" s="1098" t="s">
        <v>2485</v>
      </c>
      <c r="BD10" s="1099">
        <v>45972.0</v>
      </c>
      <c r="BE10" s="1013">
        <v>10.0</v>
      </c>
      <c r="BF10" s="1014">
        <v>10.0</v>
      </c>
      <c r="BG10" s="1015">
        <v>0.0</v>
      </c>
      <c r="BH10" s="442"/>
      <c r="BI10" s="985" t="s">
        <v>2416</v>
      </c>
      <c r="BJ10" s="12"/>
      <c r="BK10" s="12"/>
      <c r="BL10" s="12"/>
      <c r="BM10" s="12"/>
      <c r="BN10" s="48"/>
      <c r="BO10" s="108"/>
      <c r="BP10" s="985" t="s">
        <v>2416</v>
      </c>
      <c r="BQ10" s="12"/>
      <c r="BR10" s="12"/>
      <c r="BS10" s="12"/>
      <c r="BT10" s="12"/>
      <c r="BU10" s="48"/>
      <c r="BV10" s="108"/>
      <c r="BW10" s="1096"/>
      <c r="BX10" s="1098" t="s">
        <v>1924</v>
      </c>
      <c r="BY10" s="1013" t="s">
        <v>4591</v>
      </c>
      <c r="BZ10" s="1013">
        <v>0.0</v>
      </c>
      <c r="CA10" s="1014">
        <v>0.0</v>
      </c>
      <c r="CB10" s="1015">
        <v>10.0</v>
      </c>
      <c r="CC10" s="108"/>
      <c r="CD10" s="1096"/>
      <c r="CE10" s="499" t="s">
        <v>2905</v>
      </c>
      <c r="CF10" s="1083" t="s">
        <v>4673</v>
      </c>
      <c r="CG10" s="1082">
        <v>10.0</v>
      </c>
      <c r="CH10" s="1083">
        <v>10.0</v>
      </c>
      <c r="CI10" s="1084">
        <v>10.0</v>
      </c>
      <c r="CJ10" s="108"/>
      <c r="CK10" s="1056"/>
      <c r="CL10" s="1122" t="s">
        <v>1343</v>
      </c>
      <c r="CM10" s="128"/>
      <c r="CN10" s="1021">
        <v>0.0</v>
      </c>
      <c r="CO10" s="1023">
        <v>0.0</v>
      </c>
      <c r="CP10" s="1024">
        <v>40.0</v>
      </c>
      <c r="CQ10" s="108"/>
      <c r="CR10" s="985" t="s">
        <v>2416</v>
      </c>
      <c r="CS10" s="12"/>
      <c r="CT10" s="12"/>
      <c r="CU10" s="12"/>
      <c r="CV10" s="12"/>
      <c r="CW10" s="48"/>
      <c r="CX10" s="108"/>
      <c r="CY10" s="985" t="s">
        <v>4535</v>
      </c>
      <c r="CZ10" s="12"/>
      <c r="DA10" s="12"/>
      <c r="DB10" s="986" t="s">
        <v>2249</v>
      </c>
      <c r="DC10" s="986" t="s">
        <v>2440</v>
      </c>
      <c r="DD10" s="987" t="s">
        <v>2408</v>
      </c>
      <c r="DE10" s="108"/>
      <c r="DF10" s="1012"/>
      <c r="DG10" s="1127" t="s">
        <v>2000</v>
      </c>
      <c r="DH10" s="1130" t="s">
        <v>4682</v>
      </c>
      <c r="DI10" s="1051">
        <v>10.0</v>
      </c>
      <c r="DJ10" s="1130">
        <v>10.0</v>
      </c>
      <c r="DK10" s="1131">
        <v>10.0</v>
      </c>
      <c r="DL10" s="108"/>
      <c r="DM10" s="1036"/>
      <c r="DN10" s="1048" t="s">
        <v>535</v>
      </c>
      <c r="DO10" s="1038" t="s">
        <v>4683</v>
      </c>
      <c r="DP10" s="1038">
        <v>10.0</v>
      </c>
      <c r="DQ10" s="1039">
        <v>10.0</v>
      </c>
      <c r="DR10" s="1040">
        <v>10.0</v>
      </c>
      <c r="DS10" s="108"/>
      <c r="DT10" s="1027"/>
      <c r="DU10" s="1028" t="s">
        <v>2551</v>
      </c>
      <c r="DV10" s="128"/>
      <c r="DW10" s="1029">
        <v>20.0</v>
      </c>
      <c r="DX10" s="138"/>
      <c r="DY10" s="128"/>
      <c r="DZ10" s="108"/>
      <c r="EA10" s="1068"/>
      <c r="EB10" s="1076" t="s">
        <v>1401</v>
      </c>
      <c r="EC10" s="1071" t="s">
        <v>4636</v>
      </c>
      <c r="ED10" s="1071">
        <v>10.0</v>
      </c>
      <c r="EE10" s="1072">
        <v>10.0</v>
      </c>
      <c r="EF10" s="1073">
        <v>10.0</v>
      </c>
      <c r="EG10" s="108"/>
      <c r="EH10" s="1012"/>
      <c r="EI10" s="1046" t="s">
        <v>3282</v>
      </c>
      <c r="EJ10" s="1033" t="s">
        <v>4636</v>
      </c>
      <c r="EK10" s="1033">
        <v>20.0</v>
      </c>
      <c r="EL10" s="1034">
        <v>20.0</v>
      </c>
      <c r="EM10" s="1035">
        <v>20.0</v>
      </c>
      <c r="EN10" s="108"/>
      <c r="EO10" s="1011" t="s">
        <v>4684</v>
      </c>
      <c r="EP10" s="12"/>
      <c r="EQ10" s="962"/>
      <c r="ER10" s="1003" t="s">
        <v>4559</v>
      </c>
      <c r="ES10" s="1003" t="s">
        <v>4560</v>
      </c>
      <c r="ET10" s="1004" t="s">
        <v>914</v>
      </c>
      <c r="EU10" s="108"/>
      <c r="EV10" s="1012"/>
      <c r="EW10" s="1127" t="s">
        <v>1039</v>
      </c>
      <c r="EX10" s="1083" t="s">
        <v>4685</v>
      </c>
      <c r="EY10" s="1082">
        <v>5.0</v>
      </c>
      <c r="EZ10" s="1083">
        <v>5.0</v>
      </c>
      <c r="FA10" s="1084">
        <v>5.0</v>
      </c>
      <c r="FB10" s="108"/>
      <c r="FC10" s="985" t="s">
        <v>2416</v>
      </c>
      <c r="FD10" s="12"/>
      <c r="FE10" s="12"/>
      <c r="FF10" s="12"/>
      <c r="FG10" s="12"/>
      <c r="FH10" s="48"/>
      <c r="FI10" s="108"/>
      <c r="FJ10" s="985" t="s">
        <v>2416</v>
      </c>
      <c r="FK10" s="12"/>
      <c r="FL10" s="12"/>
      <c r="FM10" s="12"/>
      <c r="FN10" s="12"/>
      <c r="FO10" s="48"/>
      <c r="FP10" s="108"/>
      <c r="FQ10" s="1056"/>
      <c r="FR10" s="1022" t="s">
        <v>695</v>
      </c>
      <c r="FS10" s="1057"/>
      <c r="FT10" s="1021">
        <v>30.0</v>
      </c>
      <c r="FU10" s="1023">
        <v>30.0</v>
      </c>
      <c r="FV10" s="1024">
        <v>0.0</v>
      </c>
      <c r="FW10" s="108"/>
      <c r="FX10" s="956" t="s">
        <v>4686</v>
      </c>
      <c r="FY10" s="957"/>
      <c r="FZ10" s="958"/>
      <c r="GA10" s="959"/>
      <c r="GB10" s="959"/>
      <c r="GC10" s="960"/>
      <c r="GD10" s="108"/>
      <c r="GE10" s="1012"/>
      <c r="GF10" s="1098" t="s">
        <v>2170</v>
      </c>
      <c r="GG10" s="1014" t="s">
        <v>4687</v>
      </c>
      <c r="GH10" s="1013">
        <v>10.0</v>
      </c>
      <c r="GI10" s="1014">
        <v>10.0</v>
      </c>
      <c r="GJ10" s="1015">
        <v>10.0</v>
      </c>
      <c r="GK10" s="108"/>
      <c r="GL10" s="1056"/>
      <c r="GM10" s="1022" t="s">
        <v>1209</v>
      </c>
      <c r="GN10" s="1057"/>
      <c r="GO10" s="1021">
        <v>30.0</v>
      </c>
      <c r="GP10" s="1023">
        <v>30.0</v>
      </c>
      <c r="GQ10" s="1024">
        <v>0.0</v>
      </c>
      <c r="GR10" s="108"/>
      <c r="GS10" s="1012"/>
      <c r="GT10" s="1127" t="s">
        <v>930</v>
      </c>
      <c r="GU10" s="1083" t="s">
        <v>4625</v>
      </c>
      <c r="GV10" s="1082">
        <v>10.0</v>
      </c>
      <c r="GW10" s="1083">
        <v>10.0</v>
      </c>
      <c r="GX10" s="1084">
        <v>10.0</v>
      </c>
      <c r="GY10" s="442"/>
      <c r="GZ10" s="40"/>
      <c r="HA10" s="1052" t="s">
        <v>1152</v>
      </c>
      <c r="HB10" s="108" t="s">
        <v>4641</v>
      </c>
      <c r="HC10" s="10">
        <v>22.0</v>
      </c>
      <c r="HE10" s="1154"/>
      <c r="HF10" s="442"/>
      <c r="HG10" s="1012"/>
      <c r="HH10" s="1098" t="s">
        <v>1303</v>
      </c>
      <c r="HI10" s="1014" t="s">
        <v>4626</v>
      </c>
      <c r="HJ10" s="1013">
        <v>10.0</v>
      </c>
      <c r="HK10" s="1014">
        <v>10.0</v>
      </c>
      <c r="HL10" s="1015">
        <v>10.0</v>
      </c>
      <c r="HM10" s="442"/>
      <c r="HN10" s="1056"/>
      <c r="HO10" s="1022" t="s">
        <v>4105</v>
      </c>
      <c r="HP10" s="1057"/>
      <c r="HQ10" s="1021">
        <v>30.0</v>
      </c>
      <c r="HR10" s="1023">
        <v>30.0</v>
      </c>
      <c r="HS10" s="1024">
        <v>0.0</v>
      </c>
      <c r="HT10" s="442"/>
      <c r="HU10" s="1036"/>
      <c r="HV10" s="1037" t="s">
        <v>2770</v>
      </c>
      <c r="HW10" s="1038" t="s">
        <v>4642</v>
      </c>
      <c r="HX10" s="1038">
        <v>10.0</v>
      </c>
      <c r="HY10" s="1039">
        <v>10.0</v>
      </c>
      <c r="HZ10" s="1040">
        <v>10.0</v>
      </c>
      <c r="IA10" s="442"/>
      <c r="IB10" s="1100"/>
      <c r="IC10" s="1101" t="s">
        <v>3360</v>
      </c>
      <c r="ID10" s="1102" t="s">
        <v>4644</v>
      </c>
      <c r="IE10" s="1102">
        <v>5.0</v>
      </c>
      <c r="IF10" s="1103">
        <v>5.0</v>
      </c>
      <c r="IG10" s="1104">
        <v>5.0</v>
      </c>
      <c r="IH10" s="442"/>
      <c r="II10" s="1012"/>
      <c r="IJ10" s="1042" t="s">
        <v>3477</v>
      </c>
      <c r="IK10" s="1013" t="s">
        <v>4688</v>
      </c>
      <c r="IL10" s="1013">
        <v>10.0</v>
      </c>
      <c r="IM10" s="1014">
        <v>10.0</v>
      </c>
      <c r="IN10" s="1015">
        <v>10.0</v>
      </c>
      <c r="IO10" s="442"/>
      <c r="IP10" s="1012"/>
      <c r="IQ10" s="1031" t="s">
        <v>526</v>
      </c>
      <c r="IR10" s="1033" t="s">
        <v>4640</v>
      </c>
      <c r="IS10" s="1033">
        <v>90.0</v>
      </c>
      <c r="IT10" s="1032"/>
      <c r="IU10" s="30"/>
      <c r="IV10" s="442"/>
      <c r="IW10" s="1068"/>
      <c r="IX10" s="1076" t="s">
        <v>3683</v>
      </c>
      <c r="IY10" s="1072" t="s">
        <v>4689</v>
      </c>
      <c r="IZ10" s="1071">
        <v>20.0</v>
      </c>
      <c r="JA10" s="1072">
        <v>20.0</v>
      </c>
      <c r="JB10" s="1073">
        <v>20.0</v>
      </c>
      <c r="JC10" s="442"/>
      <c r="JD10" s="40"/>
      <c r="JE10" s="1052" t="s">
        <v>1960</v>
      </c>
      <c r="JF10" s="108" t="s">
        <v>4545</v>
      </c>
      <c r="JG10" s="10">
        <v>22.0</v>
      </c>
      <c r="JI10" s="1154"/>
      <c r="JJ10" s="442"/>
      <c r="JK10" s="1012"/>
      <c r="JL10" s="1042" t="s">
        <v>903</v>
      </c>
      <c r="JM10" s="138"/>
      <c r="JN10" s="1013">
        <v>30.0</v>
      </c>
      <c r="JO10" s="138"/>
      <c r="JP10" s="128"/>
      <c r="JQ10" s="442"/>
      <c r="JR10" s="1012"/>
      <c r="JS10" s="1042" t="s">
        <v>1173</v>
      </c>
      <c r="JT10" s="1013" t="s">
        <v>4549</v>
      </c>
      <c r="JU10" s="1013">
        <v>10.0</v>
      </c>
      <c r="JV10" s="1014">
        <v>10.0</v>
      </c>
      <c r="JW10" s="1015">
        <v>10.0</v>
      </c>
      <c r="JX10" s="442"/>
      <c r="JY10" s="1012"/>
      <c r="JZ10" s="1031" t="s">
        <v>3379</v>
      </c>
      <c r="KA10" s="1033" t="s">
        <v>4678</v>
      </c>
      <c r="KB10" s="1033">
        <v>60.0</v>
      </c>
      <c r="KC10" s="1032"/>
      <c r="KD10" s="30"/>
      <c r="KE10" s="442"/>
      <c r="KF10" s="1056"/>
      <c r="KG10" s="1089" t="s">
        <v>2598</v>
      </c>
      <c r="KH10" s="1021" t="s">
        <v>4678</v>
      </c>
      <c r="KI10" s="1090">
        <v>30.0</v>
      </c>
      <c r="KJ10" s="138"/>
      <c r="KK10" s="128"/>
      <c r="KL10" s="442"/>
      <c r="KM10" s="1036"/>
      <c r="KN10" s="1037" t="s">
        <v>3291</v>
      </c>
      <c r="KO10" s="1038" t="s">
        <v>4631</v>
      </c>
      <c r="KP10" s="1038">
        <v>10.0</v>
      </c>
      <c r="KQ10" s="1039">
        <v>10.0</v>
      </c>
      <c r="KR10" s="1040">
        <v>10.0</v>
      </c>
      <c r="KS10" s="442"/>
      <c r="KT10" s="1012"/>
      <c r="KU10" s="1127" t="s">
        <v>3021</v>
      </c>
      <c r="KV10" s="1082" t="s">
        <v>4679</v>
      </c>
      <c r="KW10" s="1082">
        <v>5.0</v>
      </c>
      <c r="KX10" s="1083">
        <v>5.0</v>
      </c>
      <c r="KY10" s="1084">
        <v>5.0</v>
      </c>
      <c r="KZ10" s="442"/>
      <c r="LA10" s="1012"/>
      <c r="LB10" s="1098" t="s">
        <v>333</v>
      </c>
      <c r="LC10" s="1013" t="s">
        <v>4679</v>
      </c>
      <c r="LD10" s="1013">
        <v>15.0</v>
      </c>
      <c r="LE10" s="1014">
        <v>15.0</v>
      </c>
      <c r="LF10" s="1015">
        <v>15.0</v>
      </c>
      <c r="LG10" s="442"/>
      <c r="LH10" s="1012"/>
      <c r="LI10" s="1098" t="s">
        <v>3477</v>
      </c>
      <c r="LJ10" s="1013" t="s">
        <v>4631</v>
      </c>
      <c r="LK10" s="1013">
        <v>5.0</v>
      </c>
      <c r="LL10" s="1014">
        <v>5.0</v>
      </c>
      <c r="LM10" s="1015">
        <v>5.0</v>
      </c>
      <c r="LN10" s="442"/>
      <c r="LO10" s="1012"/>
      <c r="LP10" s="1098" t="s">
        <v>596</v>
      </c>
      <c r="LQ10" s="1013" t="s">
        <v>4632</v>
      </c>
      <c r="LR10" s="1013">
        <v>10.0</v>
      </c>
      <c r="LS10" s="1014">
        <v>10.0</v>
      </c>
      <c r="LT10" s="1015">
        <v>10.0</v>
      </c>
      <c r="LU10" s="442"/>
      <c r="LV10" s="1036"/>
      <c r="LW10" s="1037" t="s">
        <v>1152</v>
      </c>
      <c r="LX10" s="1036" t="s">
        <v>4690</v>
      </c>
      <c r="LY10" s="1036">
        <v>10.0</v>
      </c>
      <c r="LZ10" s="1037">
        <v>10.0</v>
      </c>
      <c r="MA10" s="1074">
        <v>10.0</v>
      </c>
      <c r="MB10" s="996"/>
    </row>
    <row r="11" ht="15.75" customHeight="1">
      <c r="A11" s="10"/>
      <c r="B11" s="1155"/>
      <c r="C11" s="1154"/>
      <c r="D11" s="108"/>
      <c r="E11" s="1068"/>
      <c r="F11" s="1069" t="s">
        <v>3691</v>
      </c>
      <c r="G11" s="1070">
        <v>45751.0</v>
      </c>
      <c r="H11" s="1071">
        <v>10.0</v>
      </c>
      <c r="I11" s="1072">
        <v>0.0</v>
      </c>
      <c r="J11" s="1073">
        <v>10.0</v>
      </c>
      <c r="K11" s="108"/>
      <c r="L11" s="983"/>
      <c r="M11" s="1063" t="s">
        <v>3342</v>
      </c>
      <c r="N11" s="1156">
        <v>45782.0</v>
      </c>
      <c r="O11" s="1053">
        <v>22.0</v>
      </c>
      <c r="P11" s="1026"/>
      <c r="Q11" s="998"/>
      <c r="R11" s="108"/>
      <c r="S11" s="1134"/>
      <c r="T11" s="1135" t="s">
        <v>1629</v>
      </c>
      <c r="U11" s="1136">
        <v>45782.0</v>
      </c>
      <c r="V11" s="1137">
        <v>0.0</v>
      </c>
      <c r="W11" s="1138">
        <v>0.0</v>
      </c>
      <c r="X11" s="1139">
        <v>20.0</v>
      </c>
      <c r="Y11" s="442"/>
      <c r="Z11" s="1068"/>
      <c r="AA11" s="1069" t="s">
        <v>3730</v>
      </c>
      <c r="AB11" s="1070">
        <v>45814.0</v>
      </c>
      <c r="AC11" s="1071">
        <v>20.0</v>
      </c>
      <c r="AD11" s="1072">
        <v>20.0</v>
      </c>
      <c r="AE11" s="1073">
        <v>20.0</v>
      </c>
      <c r="AF11" s="442"/>
      <c r="AG11" s="1013"/>
      <c r="AH11" s="1046" t="s">
        <v>1889</v>
      </c>
      <c r="AI11" s="1033" t="s">
        <v>4592</v>
      </c>
      <c r="AJ11" s="1033">
        <v>90.0</v>
      </c>
      <c r="AK11" s="1032"/>
      <c r="AL11" s="30"/>
      <c r="AM11" s="108"/>
      <c r="AN11" s="1036"/>
      <c r="AO11" s="1074" t="s">
        <v>820</v>
      </c>
      <c r="AP11" s="1075">
        <v>45938.0</v>
      </c>
      <c r="AQ11" s="1038">
        <v>35.0</v>
      </c>
      <c r="AR11" s="1039">
        <v>35.0</v>
      </c>
      <c r="AS11" s="1040">
        <v>35.0</v>
      </c>
      <c r="AT11" s="108"/>
      <c r="AU11" s="983"/>
      <c r="AV11" s="1157" t="s">
        <v>848</v>
      </c>
      <c r="AW11" s="1043" t="s">
        <v>411</v>
      </c>
      <c r="AX11" s="977" t="s">
        <v>4691</v>
      </c>
      <c r="AY11" s="984"/>
      <c r="AZ11" s="319"/>
      <c r="BA11" s="108"/>
      <c r="BB11" s="1068"/>
      <c r="BC11" s="1076" t="s">
        <v>1647</v>
      </c>
      <c r="BD11" s="1077">
        <v>45972.0</v>
      </c>
      <c r="BE11" s="1071">
        <v>10.0</v>
      </c>
      <c r="BF11" s="1072">
        <v>0.0</v>
      </c>
      <c r="BG11" s="1073">
        <v>0.0</v>
      </c>
      <c r="BH11" s="442"/>
      <c r="BI11" s="1096"/>
      <c r="BJ11" s="1046" t="s">
        <v>2876</v>
      </c>
      <c r="BK11" s="1033" t="s">
        <v>4692</v>
      </c>
      <c r="BL11" s="1033">
        <v>11.0</v>
      </c>
      <c r="BM11" s="1032"/>
      <c r="BN11" s="30"/>
      <c r="BO11" s="108"/>
      <c r="BP11" s="1096"/>
      <c r="BQ11" s="1046" t="s">
        <v>2876</v>
      </c>
      <c r="BR11" s="977" t="s">
        <v>4693</v>
      </c>
      <c r="BS11" s="977">
        <v>11.0</v>
      </c>
      <c r="BT11" s="984"/>
      <c r="BU11" s="319"/>
      <c r="BV11" s="108"/>
      <c r="BW11" s="1068"/>
      <c r="BX11" s="1145" t="s">
        <v>1941</v>
      </c>
      <c r="BY11" s="1138" t="s">
        <v>4615</v>
      </c>
      <c r="BZ11" s="1137">
        <v>0.0</v>
      </c>
      <c r="CA11" s="1138">
        <v>0.0</v>
      </c>
      <c r="CB11" s="1139">
        <v>10.0</v>
      </c>
      <c r="CC11" s="108"/>
      <c r="CD11" s="985" t="s">
        <v>2416</v>
      </c>
      <c r="CE11" s="12"/>
      <c r="CF11" s="12"/>
      <c r="CG11" s="12"/>
      <c r="CH11" s="12"/>
      <c r="CI11" s="48"/>
      <c r="CJ11" s="108"/>
      <c r="CK11" s="1012"/>
      <c r="CL11" s="1149" t="s">
        <v>705</v>
      </c>
      <c r="CM11" s="128"/>
      <c r="CN11" s="1013">
        <v>0.0</v>
      </c>
      <c r="CO11" s="1014">
        <v>0.0</v>
      </c>
      <c r="CP11" s="1015">
        <v>30.0</v>
      </c>
      <c r="CQ11" s="108"/>
      <c r="CR11" s="1144"/>
      <c r="CS11" s="1052" t="s">
        <v>2239</v>
      </c>
      <c r="CT11" s="986" t="s">
        <v>4593</v>
      </c>
      <c r="CU11" s="1092">
        <v>22.0</v>
      </c>
      <c r="CV11" s="12"/>
      <c r="CW11" s="48"/>
      <c r="CX11" s="108"/>
      <c r="CY11" s="1144"/>
      <c r="CZ11" s="39" t="s">
        <v>3246</v>
      </c>
      <c r="DA11" s="48"/>
      <c r="DB11" s="1053">
        <v>100.0</v>
      </c>
      <c r="DC11" s="1054">
        <v>100.0</v>
      </c>
      <c r="DD11" s="1055">
        <v>100.0</v>
      </c>
      <c r="DE11" s="108"/>
      <c r="DF11" s="985" t="s">
        <v>2416</v>
      </c>
      <c r="DG11" s="12"/>
      <c r="DH11" s="12"/>
      <c r="DI11" s="12"/>
      <c r="DJ11" s="12"/>
      <c r="DK11" s="48"/>
      <c r="DL11" s="108"/>
      <c r="DM11" s="1012"/>
      <c r="DN11" s="89" t="s">
        <v>3477</v>
      </c>
      <c r="DO11" s="1013" t="s">
        <v>4618</v>
      </c>
      <c r="DP11" s="1013">
        <v>10.0</v>
      </c>
      <c r="DQ11" s="1014">
        <v>10.0</v>
      </c>
      <c r="DR11" s="1015">
        <v>10.0</v>
      </c>
      <c r="DS11" s="108"/>
      <c r="DT11" s="1012"/>
      <c r="DU11" s="1050" t="s">
        <v>1191</v>
      </c>
      <c r="DV11" s="414"/>
      <c r="DW11" s="1051">
        <v>10.0</v>
      </c>
      <c r="DX11" s="413"/>
      <c r="DY11" s="414"/>
      <c r="DZ11" s="108"/>
      <c r="EA11" s="1012"/>
      <c r="EB11" s="1098" t="s">
        <v>3996</v>
      </c>
      <c r="EC11" s="1013" t="s">
        <v>4619</v>
      </c>
      <c r="ED11" s="1013">
        <v>10.0</v>
      </c>
      <c r="EE11" s="1014">
        <v>10.0</v>
      </c>
      <c r="EF11" s="1015">
        <v>10.0</v>
      </c>
      <c r="EG11" s="108"/>
      <c r="EH11" s="1100"/>
      <c r="EI11" s="1158" t="s">
        <v>3299</v>
      </c>
      <c r="EJ11" s="1102" t="s">
        <v>4636</v>
      </c>
      <c r="EK11" s="1102">
        <v>20.0</v>
      </c>
      <c r="EL11" s="1103">
        <v>20.0</v>
      </c>
      <c r="EM11" s="1104">
        <v>20.0</v>
      </c>
      <c r="EN11" s="108"/>
      <c r="EO11" s="1012"/>
      <c r="EP11" s="1046" t="s">
        <v>3700</v>
      </c>
      <c r="EQ11" s="1034" t="s">
        <v>4622</v>
      </c>
      <c r="ER11" s="1033">
        <v>20.0</v>
      </c>
      <c r="ES11" s="1034">
        <v>20.0</v>
      </c>
      <c r="ET11" s="1035">
        <v>20.0</v>
      </c>
      <c r="EU11" s="108"/>
      <c r="EV11" s="985" t="s">
        <v>2416</v>
      </c>
      <c r="EW11" s="12"/>
      <c r="EX11" s="12"/>
      <c r="EY11" s="12"/>
      <c r="EZ11" s="12"/>
      <c r="FA11" s="48"/>
      <c r="FB11" s="108"/>
      <c r="FC11" s="40"/>
      <c r="FD11" s="1052" t="s">
        <v>3030</v>
      </c>
      <c r="FE11" s="108" t="s">
        <v>4694</v>
      </c>
      <c r="FF11" s="10">
        <v>22.0</v>
      </c>
      <c r="FH11" s="1154"/>
      <c r="FI11" s="108"/>
      <c r="FJ11" s="40"/>
      <c r="FK11" s="1052" t="s">
        <v>3333</v>
      </c>
      <c r="FL11" s="108" t="s">
        <v>4599</v>
      </c>
      <c r="FM11" s="10">
        <v>22.0</v>
      </c>
      <c r="FO11" s="1154"/>
      <c r="FP11" s="108"/>
      <c r="FQ11" s="1012"/>
      <c r="FR11" s="1042" t="s">
        <v>2942</v>
      </c>
      <c r="FS11" s="138"/>
      <c r="FT11" s="1013">
        <v>30.0</v>
      </c>
      <c r="FU11" s="1014">
        <v>30.0</v>
      </c>
      <c r="FV11" s="1015">
        <v>0.0</v>
      </c>
      <c r="FW11" s="108"/>
      <c r="FX11" s="985" t="s">
        <v>4695</v>
      </c>
      <c r="FY11" s="12"/>
      <c r="FZ11" s="12"/>
      <c r="GA11" s="1003" t="s">
        <v>4559</v>
      </c>
      <c r="GB11" s="1003" t="s">
        <v>4560</v>
      </c>
      <c r="GC11" s="1004" t="s">
        <v>914</v>
      </c>
      <c r="GD11" s="108"/>
      <c r="GE11" s="1068"/>
      <c r="GF11" s="1145" t="s">
        <v>3453</v>
      </c>
      <c r="GG11" s="1138" t="s">
        <v>4687</v>
      </c>
      <c r="GH11" s="1137">
        <v>10.0</v>
      </c>
      <c r="GI11" s="1138">
        <v>10.0</v>
      </c>
      <c r="GJ11" s="1139">
        <v>10.0</v>
      </c>
      <c r="GK11" s="108"/>
      <c r="GL11" s="1012"/>
      <c r="GM11" s="1042" t="s">
        <v>3397</v>
      </c>
      <c r="GN11" s="138"/>
      <c r="GO11" s="1013">
        <v>30.0</v>
      </c>
      <c r="GP11" s="1014">
        <v>30.0</v>
      </c>
      <c r="GQ11" s="1015">
        <v>0.0</v>
      </c>
      <c r="GR11" s="108"/>
      <c r="GS11" s="985" t="s">
        <v>4578</v>
      </c>
      <c r="GT11" s="12"/>
      <c r="GU11" s="12"/>
      <c r="GV11" s="12"/>
      <c r="GW11" s="12"/>
      <c r="GX11" s="48"/>
      <c r="GY11" s="442"/>
      <c r="GZ11" s="985" t="s">
        <v>4578</v>
      </c>
      <c r="HA11" s="12"/>
      <c r="HB11" s="12"/>
      <c r="HC11" s="12"/>
      <c r="HD11" s="12"/>
      <c r="HE11" s="48"/>
      <c r="HF11" s="442"/>
      <c r="HG11" s="1068"/>
      <c r="HH11" s="1145" t="s">
        <v>4004</v>
      </c>
      <c r="HI11" s="1147" t="s">
        <v>4655</v>
      </c>
      <c r="HJ11" s="1146">
        <v>10.0</v>
      </c>
      <c r="HK11" s="1147">
        <v>10.0</v>
      </c>
      <c r="HL11" s="1148">
        <v>0.0</v>
      </c>
      <c r="HM11" s="442"/>
      <c r="HN11" s="1012"/>
      <c r="HO11" s="1042" t="s">
        <v>1253</v>
      </c>
      <c r="HP11" s="138"/>
      <c r="HQ11" s="1013">
        <v>30.0</v>
      </c>
      <c r="HR11" s="1014">
        <v>30.0</v>
      </c>
      <c r="HS11" s="1015">
        <v>0.0</v>
      </c>
      <c r="HT11" s="442"/>
      <c r="HU11" s="1012"/>
      <c r="HV11" s="1042" t="s">
        <v>1173</v>
      </c>
      <c r="HW11" s="1013" t="s">
        <v>4696</v>
      </c>
      <c r="HX11" s="1013">
        <v>5.0</v>
      </c>
      <c r="HY11" s="1014">
        <v>5.0</v>
      </c>
      <c r="HZ11" s="1015">
        <v>5.0</v>
      </c>
      <c r="IA11" s="442"/>
      <c r="IB11" s="1012"/>
      <c r="IC11" s="1042" t="s">
        <v>4257</v>
      </c>
      <c r="ID11" s="1013" t="s">
        <v>4644</v>
      </c>
      <c r="IE11" s="1013">
        <v>5.0</v>
      </c>
      <c r="IF11" s="1014">
        <v>5.0</v>
      </c>
      <c r="IG11" s="1015">
        <v>5.0</v>
      </c>
      <c r="IH11" s="442"/>
      <c r="II11" s="1036"/>
      <c r="IJ11" s="1037" t="s">
        <v>3139</v>
      </c>
      <c r="IK11" s="1038" t="s">
        <v>4688</v>
      </c>
      <c r="IL11" s="1038">
        <v>5.0</v>
      </c>
      <c r="IM11" s="1039">
        <v>5.0</v>
      </c>
      <c r="IN11" s="1040">
        <v>5.0</v>
      </c>
      <c r="IO11" s="442"/>
      <c r="IP11" s="1105"/>
      <c r="IQ11" s="1116" t="s">
        <v>535</v>
      </c>
      <c r="IR11" s="1086" t="s">
        <v>4697</v>
      </c>
      <c r="IS11" s="1117">
        <v>10.0</v>
      </c>
      <c r="IT11" s="306"/>
      <c r="IU11" s="307"/>
      <c r="IV11" s="442"/>
      <c r="IW11" s="1012"/>
      <c r="IX11" s="1098" t="s">
        <v>3324</v>
      </c>
      <c r="IY11" s="1014" t="s">
        <v>4698</v>
      </c>
      <c r="IZ11" s="1013">
        <v>20.0</v>
      </c>
      <c r="JA11" s="1014">
        <v>20.0</v>
      </c>
      <c r="JB11" s="1015">
        <v>20.0</v>
      </c>
      <c r="JC11" s="442"/>
      <c r="JD11" s="1049" t="s">
        <v>4699</v>
      </c>
      <c r="JE11" s="1026"/>
      <c r="JF11" s="1026"/>
      <c r="JG11" s="1026"/>
      <c r="JH11" s="1026"/>
      <c r="JI11" s="998"/>
      <c r="JJ11" s="442"/>
      <c r="JK11" s="1159"/>
      <c r="JL11" s="1160" t="s">
        <v>1452</v>
      </c>
      <c r="JM11" s="1124"/>
      <c r="JN11" s="1161">
        <v>10.0</v>
      </c>
      <c r="JO11" s="413"/>
      <c r="JP11" s="414"/>
      <c r="JQ11" s="442"/>
      <c r="JR11" s="1132"/>
      <c r="JS11" s="1162" t="s">
        <v>2012</v>
      </c>
      <c r="JT11" s="1141" t="s">
        <v>4549</v>
      </c>
      <c r="JU11" s="1141">
        <v>10.0</v>
      </c>
      <c r="JV11" s="1142">
        <v>10.0</v>
      </c>
      <c r="JW11" s="1143">
        <v>10.0</v>
      </c>
      <c r="JX11" s="442"/>
      <c r="JY11" s="1056"/>
      <c r="JZ11" s="1089" t="s">
        <v>951</v>
      </c>
      <c r="KA11" s="1021" t="s">
        <v>4678</v>
      </c>
      <c r="KB11" s="1090">
        <v>30.0</v>
      </c>
      <c r="KC11" s="138"/>
      <c r="KD11" s="128"/>
      <c r="KE11" s="442"/>
      <c r="KF11" s="1049"/>
      <c r="KG11" s="1128" t="s">
        <v>2163</v>
      </c>
      <c r="KH11" s="1082" t="s">
        <v>4678</v>
      </c>
      <c r="KI11" s="1082">
        <v>10.0</v>
      </c>
      <c r="KJ11" s="1150"/>
      <c r="KK11" s="1151"/>
      <c r="KL11" s="442"/>
      <c r="KM11" s="1012"/>
      <c r="KN11" s="1042" t="s">
        <v>3978</v>
      </c>
      <c r="KO11" s="1013" t="s">
        <v>4611</v>
      </c>
      <c r="KP11" s="1013">
        <v>10.0</v>
      </c>
      <c r="KQ11" s="1014">
        <v>10.0</v>
      </c>
      <c r="KR11" s="1015">
        <v>10.0</v>
      </c>
      <c r="KS11" s="442"/>
      <c r="KT11" s="985" t="s">
        <v>4700</v>
      </c>
      <c r="KU11" s="12"/>
      <c r="KV11" s="12"/>
      <c r="KW11" s="12"/>
      <c r="KX11" s="12"/>
      <c r="KY11" s="48"/>
      <c r="KZ11" s="442"/>
      <c r="LA11" s="1068"/>
      <c r="LB11" s="1076" t="s">
        <v>383</v>
      </c>
      <c r="LC11" s="1071" t="s">
        <v>4679</v>
      </c>
      <c r="LD11" s="1071">
        <v>15.0</v>
      </c>
      <c r="LE11" s="1072">
        <v>15.0</v>
      </c>
      <c r="LF11" s="1073">
        <v>15.0</v>
      </c>
      <c r="LG11" s="442"/>
      <c r="LH11" s="1068"/>
      <c r="LI11" s="1145" t="s">
        <v>4025</v>
      </c>
      <c r="LJ11" s="1137" t="s">
        <v>4631</v>
      </c>
      <c r="LK11" s="1137">
        <v>5.0</v>
      </c>
      <c r="LL11" s="1138">
        <v>5.0</v>
      </c>
      <c r="LM11" s="1139">
        <v>5.0</v>
      </c>
      <c r="LN11" s="442"/>
      <c r="LO11" s="1068"/>
      <c r="LP11" s="1076" t="s">
        <v>2905</v>
      </c>
      <c r="LQ11" s="1071" t="s">
        <v>4649</v>
      </c>
      <c r="LR11" s="1071">
        <v>5.0</v>
      </c>
      <c r="LS11" s="1072">
        <v>5.0</v>
      </c>
      <c r="LT11" s="1073">
        <v>5.0</v>
      </c>
      <c r="LU11" s="442"/>
      <c r="LV11" s="1012"/>
      <c r="LW11" s="1042" t="s">
        <v>969</v>
      </c>
      <c r="LX11" s="1096" t="s">
        <v>4690</v>
      </c>
      <c r="LY11" s="1096">
        <v>10.0</v>
      </c>
      <c r="LZ11" s="1042">
        <v>10.0</v>
      </c>
      <c r="MA11" s="1098">
        <v>10.0</v>
      </c>
      <c r="MB11" s="996"/>
    </row>
    <row r="12" ht="15.75" customHeight="1">
      <c r="A12" s="10"/>
      <c r="B12" s="997"/>
      <c r="C12" s="998"/>
      <c r="D12" s="108"/>
      <c r="E12" s="1096"/>
      <c r="F12" s="1042" t="s">
        <v>429</v>
      </c>
      <c r="G12" s="1097">
        <v>45781.0</v>
      </c>
      <c r="H12" s="1013">
        <v>10.0</v>
      </c>
      <c r="I12" s="1014">
        <v>10.0</v>
      </c>
      <c r="J12" s="1015">
        <v>10.0</v>
      </c>
      <c r="K12" s="108"/>
      <c r="L12" s="985" t="s">
        <v>4569</v>
      </c>
      <c r="M12" s="12"/>
      <c r="N12" s="12"/>
      <c r="O12" s="12"/>
      <c r="P12" s="12"/>
      <c r="Q12" s="48"/>
      <c r="R12" s="108"/>
      <c r="S12" s="985" t="s">
        <v>2416</v>
      </c>
      <c r="T12" s="12"/>
      <c r="U12" s="12"/>
      <c r="V12" s="12"/>
      <c r="W12" s="12"/>
      <c r="X12" s="48"/>
      <c r="Y12" s="442"/>
      <c r="Z12" s="1012"/>
      <c r="AA12" s="1042" t="s">
        <v>775</v>
      </c>
      <c r="AB12" s="1097">
        <v>45844.0</v>
      </c>
      <c r="AC12" s="1013">
        <v>10.0</v>
      </c>
      <c r="AD12" s="1014">
        <v>10.0</v>
      </c>
      <c r="AE12" s="1015">
        <v>10.0</v>
      </c>
      <c r="AF12" s="442"/>
      <c r="AG12" s="1080"/>
      <c r="AH12" s="1079" t="s">
        <v>1901</v>
      </c>
      <c r="AI12" s="1086" t="s">
        <v>4616</v>
      </c>
      <c r="AJ12" s="1117">
        <v>10.0</v>
      </c>
      <c r="AK12" s="306"/>
      <c r="AL12" s="307"/>
      <c r="AM12" s="108"/>
      <c r="AN12" s="1012"/>
      <c r="AO12" s="1098" t="s">
        <v>605</v>
      </c>
      <c r="AP12" s="1097">
        <v>45938.0</v>
      </c>
      <c r="AQ12" s="1013">
        <v>20.0</v>
      </c>
      <c r="AR12" s="1014">
        <v>20.0</v>
      </c>
      <c r="AS12" s="1015">
        <v>20.0</v>
      </c>
      <c r="AT12" s="108"/>
      <c r="AU12" s="1094"/>
      <c r="AV12" s="1050" t="s">
        <v>3370</v>
      </c>
      <c r="AW12" s="1095" t="s">
        <v>411</v>
      </c>
      <c r="AX12" s="1051" t="s">
        <v>4701</v>
      </c>
      <c r="AY12" s="413"/>
      <c r="AZ12" s="414"/>
      <c r="BA12" s="108"/>
      <c r="BB12" s="1096"/>
      <c r="BC12" s="1098" t="s">
        <v>1865</v>
      </c>
      <c r="BD12" s="1099">
        <v>45972.0</v>
      </c>
      <c r="BE12" s="1013">
        <v>0.0</v>
      </c>
      <c r="BF12" s="1014">
        <v>10.0</v>
      </c>
      <c r="BG12" s="1015">
        <v>0.0</v>
      </c>
      <c r="BH12" s="442"/>
      <c r="BI12" s="1068"/>
      <c r="BJ12" s="1145" t="s">
        <v>2884</v>
      </c>
      <c r="BK12" s="1146" t="s">
        <v>4692</v>
      </c>
      <c r="BL12" s="1163">
        <v>11.0</v>
      </c>
      <c r="BM12" s="413"/>
      <c r="BN12" s="414"/>
      <c r="BO12" s="108"/>
      <c r="BP12" s="1068"/>
      <c r="BQ12" s="1145" t="s">
        <v>2884</v>
      </c>
      <c r="BR12" s="1146" t="s">
        <v>4589</v>
      </c>
      <c r="BS12" s="1163">
        <v>11.0</v>
      </c>
      <c r="BT12" s="413"/>
      <c r="BU12" s="414"/>
      <c r="BV12" s="108"/>
      <c r="BW12" s="985" t="s">
        <v>2416</v>
      </c>
      <c r="BX12" s="12"/>
      <c r="BY12" s="12"/>
      <c r="BZ12" s="12"/>
      <c r="CA12" s="12"/>
      <c r="CB12" s="48"/>
      <c r="CC12" s="108"/>
      <c r="CD12" s="1144"/>
      <c r="CE12" s="41" t="s">
        <v>1880</v>
      </c>
      <c r="CF12" s="108" t="s">
        <v>4702</v>
      </c>
      <c r="CG12" s="10">
        <v>22.0</v>
      </c>
      <c r="CI12" s="1154"/>
      <c r="CJ12" s="108"/>
      <c r="CK12" s="1056"/>
      <c r="CL12" s="1164" t="s">
        <v>1499</v>
      </c>
      <c r="CM12" s="414"/>
      <c r="CN12" s="1080">
        <v>0.0</v>
      </c>
      <c r="CO12" s="1125">
        <v>0.0</v>
      </c>
      <c r="CP12" s="1126">
        <v>30.0</v>
      </c>
      <c r="CQ12" s="108"/>
      <c r="CR12" s="40" t="s">
        <v>4703</v>
      </c>
      <c r="CS12" s="12"/>
      <c r="CT12" s="12"/>
      <c r="CU12" s="12"/>
      <c r="CV12" s="12"/>
      <c r="CW12" s="48"/>
      <c r="CX12" s="108"/>
      <c r="CY12" s="985" t="s">
        <v>4704</v>
      </c>
      <c r="CZ12" s="12"/>
      <c r="DA12" s="12"/>
      <c r="DB12" s="12"/>
      <c r="DC12" s="12"/>
      <c r="DD12" s="48"/>
      <c r="DE12" s="108"/>
      <c r="DF12" s="1144"/>
      <c r="DG12" s="1052" t="s">
        <v>3000</v>
      </c>
      <c r="DH12" s="1053" t="s">
        <v>4705</v>
      </c>
      <c r="DI12" s="1053">
        <v>22.0</v>
      </c>
      <c r="DJ12" s="1026"/>
      <c r="DK12" s="998"/>
      <c r="DL12" s="108"/>
      <c r="DM12" s="1036"/>
      <c r="DN12" s="1048" t="s">
        <v>3139</v>
      </c>
      <c r="DO12" s="1038" t="s">
        <v>4683</v>
      </c>
      <c r="DP12" s="1038">
        <v>5.0</v>
      </c>
      <c r="DQ12" s="1039">
        <v>5.0</v>
      </c>
      <c r="DR12" s="1040">
        <v>5.0</v>
      </c>
      <c r="DS12" s="108"/>
      <c r="DT12" s="985" t="s">
        <v>4706</v>
      </c>
      <c r="DU12" s="12"/>
      <c r="DV12" s="12"/>
      <c r="DW12" s="12"/>
      <c r="DX12" s="12"/>
      <c r="DY12" s="48"/>
      <c r="DZ12" s="108"/>
      <c r="EA12" s="1068"/>
      <c r="EB12" s="1145" t="s">
        <v>1368</v>
      </c>
      <c r="EC12" s="1137" t="s">
        <v>4707</v>
      </c>
      <c r="ED12" s="1137">
        <v>10.0</v>
      </c>
      <c r="EE12" s="1138">
        <v>10.0</v>
      </c>
      <c r="EF12" s="1139">
        <v>10.0</v>
      </c>
      <c r="EG12" s="108"/>
      <c r="EH12" s="1012"/>
      <c r="EI12" s="1098" t="s">
        <v>535</v>
      </c>
      <c r="EJ12" s="1013" t="s">
        <v>4597</v>
      </c>
      <c r="EK12" s="1013">
        <v>15.0</v>
      </c>
      <c r="EL12" s="1014">
        <v>15.0</v>
      </c>
      <c r="EM12" s="1015">
        <v>15.0</v>
      </c>
      <c r="EN12" s="108"/>
      <c r="EO12" s="1068"/>
      <c r="EP12" s="1076" t="s">
        <v>2559</v>
      </c>
      <c r="EQ12" s="1072" t="s">
        <v>4622</v>
      </c>
      <c r="ER12" s="1071">
        <v>20.0</v>
      </c>
      <c r="ES12" s="1072">
        <v>20.0</v>
      </c>
      <c r="ET12" s="1073">
        <v>20.0</v>
      </c>
      <c r="EU12" s="108"/>
      <c r="EV12" s="40"/>
      <c r="EW12" s="1052" t="s">
        <v>3333</v>
      </c>
      <c r="EX12" s="108" t="s">
        <v>4638</v>
      </c>
      <c r="EY12" s="10">
        <v>22.0</v>
      </c>
      <c r="FA12" s="1154"/>
      <c r="FB12" s="108"/>
      <c r="FC12" s="985" t="s">
        <v>4569</v>
      </c>
      <c r="FD12" s="12"/>
      <c r="FE12" s="12"/>
      <c r="FF12" s="12"/>
      <c r="FG12" s="12"/>
      <c r="FH12" s="48"/>
      <c r="FI12" s="108"/>
      <c r="FJ12" s="985" t="s">
        <v>4569</v>
      </c>
      <c r="FK12" s="12"/>
      <c r="FL12" s="12"/>
      <c r="FM12" s="12"/>
      <c r="FN12" s="12"/>
      <c r="FO12" s="48"/>
      <c r="FP12" s="108"/>
      <c r="FQ12" s="1056"/>
      <c r="FR12" s="1022" t="s">
        <v>1343</v>
      </c>
      <c r="FS12" s="1057"/>
      <c r="FT12" s="1021">
        <v>0.0</v>
      </c>
      <c r="FU12" s="1023">
        <v>0.0</v>
      </c>
      <c r="FV12" s="1024">
        <v>40.0</v>
      </c>
      <c r="FW12" s="108"/>
      <c r="FX12" s="1012"/>
      <c r="FY12" s="1046" t="s">
        <v>4083</v>
      </c>
      <c r="FZ12" s="1034" t="s">
        <v>4623</v>
      </c>
      <c r="GA12" s="1033">
        <v>20.0</v>
      </c>
      <c r="GB12" s="1034">
        <v>20.0</v>
      </c>
      <c r="GC12" s="1035">
        <v>20.0</v>
      </c>
      <c r="GD12" s="108"/>
      <c r="GE12" s="985" t="s">
        <v>2416</v>
      </c>
      <c r="GF12" s="12"/>
      <c r="GG12" s="12"/>
      <c r="GH12" s="12"/>
      <c r="GI12" s="12"/>
      <c r="GJ12" s="48"/>
      <c r="GK12" s="108"/>
      <c r="GL12" s="1056"/>
      <c r="GM12" s="1022" t="s">
        <v>1057</v>
      </c>
      <c r="GN12" s="1057"/>
      <c r="GO12" s="1021">
        <v>0.0</v>
      </c>
      <c r="GP12" s="1023">
        <v>0.0</v>
      </c>
      <c r="GQ12" s="1024">
        <v>40.0</v>
      </c>
      <c r="GR12" s="108"/>
      <c r="GS12" s="1012"/>
      <c r="GT12" s="1031" t="s">
        <v>2591</v>
      </c>
      <c r="GU12" s="1033" t="s">
        <v>4601</v>
      </c>
      <c r="GV12" s="1033">
        <v>60.0</v>
      </c>
      <c r="GW12" s="1032"/>
      <c r="GX12" s="30"/>
      <c r="GY12" s="442"/>
      <c r="GZ12" s="1012"/>
      <c r="HA12" s="978" t="s">
        <v>3865</v>
      </c>
      <c r="HB12" s="977" t="s">
        <v>4601</v>
      </c>
      <c r="HC12" s="977">
        <v>60.0</v>
      </c>
      <c r="HD12" s="984"/>
      <c r="HE12" s="319"/>
      <c r="HF12" s="442"/>
      <c r="HG12" s="985" t="s">
        <v>4708</v>
      </c>
      <c r="HH12" s="12"/>
      <c r="HI12" s="12"/>
      <c r="HJ12" s="12"/>
      <c r="HK12" s="12"/>
      <c r="HL12" s="48"/>
      <c r="HM12" s="442"/>
      <c r="HN12" s="1056"/>
      <c r="HO12" s="1022" t="s">
        <v>1343</v>
      </c>
      <c r="HP12" s="1057"/>
      <c r="HQ12" s="1021">
        <v>0.0</v>
      </c>
      <c r="HR12" s="1023">
        <v>0.0</v>
      </c>
      <c r="HS12" s="1024">
        <v>40.0</v>
      </c>
      <c r="HT12" s="442"/>
      <c r="HU12" s="1036"/>
      <c r="HV12" s="1133" t="s">
        <v>2012</v>
      </c>
      <c r="HW12" s="1112" t="s">
        <v>4696</v>
      </c>
      <c r="HX12" s="1112">
        <v>5.0</v>
      </c>
      <c r="HY12" s="1113">
        <v>5.0</v>
      </c>
      <c r="HZ12" s="1114">
        <v>5.0</v>
      </c>
      <c r="IA12" s="442"/>
      <c r="IB12" s="1100"/>
      <c r="IC12" s="1165" t="s">
        <v>4139</v>
      </c>
      <c r="ID12" s="1166" t="s">
        <v>4545</v>
      </c>
      <c r="IE12" s="1166">
        <v>5.0</v>
      </c>
      <c r="IF12" s="1167">
        <v>5.0</v>
      </c>
      <c r="IG12" s="1168">
        <v>5.0</v>
      </c>
      <c r="IH12" s="442"/>
      <c r="II12" s="1012"/>
      <c r="IJ12" s="1050" t="s">
        <v>3130</v>
      </c>
      <c r="IK12" s="1051" t="s">
        <v>4688</v>
      </c>
      <c r="IL12" s="1051">
        <v>5.0</v>
      </c>
      <c r="IM12" s="1130">
        <v>5.0</v>
      </c>
      <c r="IN12" s="1131">
        <v>5.0</v>
      </c>
      <c r="IO12" s="442"/>
      <c r="IP12" s="985" t="s">
        <v>4535</v>
      </c>
      <c r="IQ12" s="12"/>
      <c r="IR12" s="12"/>
      <c r="IS12" s="986" t="s">
        <v>2249</v>
      </c>
      <c r="IT12" s="986" t="s">
        <v>2440</v>
      </c>
      <c r="IU12" s="987" t="s">
        <v>2408</v>
      </c>
      <c r="IV12" s="442"/>
      <c r="IW12" s="1068"/>
      <c r="IX12" s="1076" t="s">
        <v>3139</v>
      </c>
      <c r="IY12" s="1072" t="s">
        <v>4689</v>
      </c>
      <c r="IZ12" s="1071">
        <v>10.0</v>
      </c>
      <c r="JA12" s="1072">
        <v>10.0</v>
      </c>
      <c r="JB12" s="1073">
        <v>10.0</v>
      </c>
      <c r="JC12" s="442"/>
      <c r="JD12" s="1012"/>
      <c r="JE12" s="1031" t="s">
        <v>3379</v>
      </c>
      <c r="JF12" s="1033" t="s">
        <v>4709</v>
      </c>
      <c r="JG12" s="1033">
        <v>60.0</v>
      </c>
      <c r="JH12" s="1032"/>
      <c r="JI12" s="30"/>
      <c r="JJ12" s="442"/>
      <c r="JQ12" s="442"/>
      <c r="JR12" s="956" t="s">
        <v>4710</v>
      </c>
      <c r="JS12" s="957"/>
      <c r="JT12" s="958"/>
      <c r="JU12" s="959"/>
      <c r="JV12" s="959"/>
      <c r="JW12" s="960"/>
      <c r="JX12" s="442"/>
      <c r="JY12" s="1049"/>
      <c r="JZ12" s="1050" t="s">
        <v>1352</v>
      </c>
      <c r="KA12" s="1051" t="s">
        <v>4678</v>
      </c>
      <c r="KB12" s="1051">
        <v>10.0</v>
      </c>
      <c r="KC12" s="413"/>
      <c r="KD12" s="414"/>
      <c r="KE12" s="442"/>
      <c r="KF12" s="985" t="s">
        <v>4535</v>
      </c>
      <c r="KG12" s="12"/>
      <c r="KH12" s="12"/>
      <c r="KI12" s="986" t="s">
        <v>2249</v>
      </c>
      <c r="KJ12" s="986" t="s">
        <v>2440</v>
      </c>
      <c r="KK12" s="987" t="s">
        <v>2408</v>
      </c>
      <c r="KL12" s="442"/>
      <c r="KM12" s="1036"/>
      <c r="KN12" s="1037" t="s">
        <v>3324</v>
      </c>
      <c r="KO12" s="1038" t="s">
        <v>4631</v>
      </c>
      <c r="KP12" s="1038">
        <v>10.0</v>
      </c>
      <c r="KQ12" s="1039">
        <v>10.0</v>
      </c>
      <c r="KR12" s="1040">
        <v>10.0</v>
      </c>
      <c r="KS12" s="442"/>
      <c r="KT12" s="1012"/>
      <c r="KU12" s="1031" t="s">
        <v>705</v>
      </c>
      <c r="KV12" s="1033" t="s">
        <v>4649</v>
      </c>
      <c r="KW12" s="1033">
        <v>60.0</v>
      </c>
      <c r="KX12" s="1032"/>
      <c r="KY12" s="30"/>
      <c r="KZ12" s="442"/>
      <c r="LA12" s="1012"/>
      <c r="LB12" s="1098" t="s">
        <v>857</v>
      </c>
      <c r="LC12" s="1013" t="s">
        <v>4632</v>
      </c>
      <c r="LD12" s="1013">
        <v>10.0</v>
      </c>
      <c r="LE12" s="1014">
        <v>10.0</v>
      </c>
      <c r="LF12" s="1015">
        <v>10.0</v>
      </c>
      <c r="LG12" s="442"/>
      <c r="LH12" s="985" t="s">
        <v>4700</v>
      </c>
      <c r="LI12" s="12"/>
      <c r="LJ12" s="12"/>
      <c r="LK12" s="12"/>
      <c r="LL12" s="12"/>
      <c r="LM12" s="48"/>
      <c r="LN12" s="442"/>
      <c r="LO12" s="1012"/>
      <c r="LP12" s="1098" t="s">
        <v>2893</v>
      </c>
      <c r="LQ12" s="1013" t="s">
        <v>4649</v>
      </c>
      <c r="LR12" s="1013">
        <v>5.0</v>
      </c>
      <c r="LS12" s="1014">
        <v>5.0</v>
      </c>
      <c r="LT12" s="1015">
        <v>5.0</v>
      </c>
      <c r="LU12" s="442"/>
      <c r="LV12" s="1132"/>
      <c r="LW12" s="1133" t="s">
        <v>3000</v>
      </c>
      <c r="LX12" s="1132" t="s">
        <v>4661</v>
      </c>
      <c r="LY12" s="1132">
        <v>10.0</v>
      </c>
      <c r="LZ12" s="1133">
        <v>10.0</v>
      </c>
      <c r="MA12" s="1110">
        <v>10.0</v>
      </c>
      <c r="MB12" s="996"/>
    </row>
    <row r="13" ht="15.75" customHeight="1">
      <c r="A13" s="10"/>
      <c r="B13" s="442"/>
      <c r="C13" s="442"/>
      <c r="D13" s="108"/>
      <c r="E13" s="1068"/>
      <c r="F13" s="1069" t="s">
        <v>391</v>
      </c>
      <c r="G13" s="1070">
        <v>45781.0</v>
      </c>
      <c r="H13" s="1071">
        <v>10.0</v>
      </c>
      <c r="I13" s="1072">
        <v>10.0</v>
      </c>
      <c r="J13" s="1073">
        <v>10.0</v>
      </c>
      <c r="K13" s="108"/>
      <c r="L13" s="1033"/>
      <c r="M13" s="1031" t="s">
        <v>2633</v>
      </c>
      <c r="N13" s="1033" t="s">
        <v>4616</v>
      </c>
      <c r="O13" s="1033">
        <v>90.0</v>
      </c>
      <c r="P13" s="1032"/>
      <c r="Q13" s="30"/>
      <c r="R13" s="108"/>
      <c r="S13" s="1049"/>
      <c r="T13" s="1063" t="s">
        <v>2178</v>
      </c>
      <c r="U13" s="1156">
        <v>45813.0</v>
      </c>
      <c r="V13" s="1053">
        <v>22.0</v>
      </c>
      <c r="W13" s="1026"/>
      <c r="X13" s="998"/>
      <c r="Y13" s="442"/>
      <c r="Z13" s="1068"/>
      <c r="AA13" s="1069" t="s">
        <v>2607</v>
      </c>
      <c r="AB13" s="1070">
        <v>45844.0</v>
      </c>
      <c r="AC13" s="1071">
        <v>10.0</v>
      </c>
      <c r="AD13" s="1072">
        <v>10.0</v>
      </c>
      <c r="AE13" s="1073">
        <v>10.0</v>
      </c>
      <c r="AF13" s="442"/>
      <c r="AG13" s="985" t="s">
        <v>4535</v>
      </c>
      <c r="AH13" s="12"/>
      <c r="AI13" s="12"/>
      <c r="AJ13" s="986" t="s">
        <v>2249</v>
      </c>
      <c r="AK13" s="986" t="s">
        <v>2440</v>
      </c>
      <c r="AL13" s="987" t="s">
        <v>2408</v>
      </c>
      <c r="AM13" s="108"/>
      <c r="AN13" s="1036"/>
      <c r="AO13" s="1110" t="s">
        <v>4043</v>
      </c>
      <c r="AP13" s="1140">
        <v>45909.0</v>
      </c>
      <c r="AQ13" s="1141">
        <v>10.0</v>
      </c>
      <c r="AR13" s="1142">
        <v>10.0</v>
      </c>
      <c r="AS13" s="1143">
        <v>10.0</v>
      </c>
      <c r="AT13" s="108"/>
      <c r="AU13" s="442"/>
      <c r="AV13" s="442"/>
      <c r="AW13" s="442"/>
      <c r="AX13" s="442"/>
      <c r="AY13" s="442"/>
      <c r="AZ13" s="442"/>
      <c r="BA13" s="108"/>
      <c r="BB13" s="1068"/>
      <c r="BC13" s="1076" t="s">
        <v>543</v>
      </c>
      <c r="BD13" s="1077">
        <v>45972.0</v>
      </c>
      <c r="BE13" s="1071">
        <v>0.0</v>
      </c>
      <c r="BF13" s="1072">
        <v>0.0</v>
      </c>
      <c r="BG13" s="1073">
        <v>10.0</v>
      </c>
      <c r="BH13" s="442"/>
      <c r="BI13" s="985" t="s">
        <v>4569</v>
      </c>
      <c r="BJ13" s="12"/>
      <c r="BK13" s="12"/>
      <c r="BL13" s="12"/>
      <c r="BM13" s="12"/>
      <c r="BN13" s="48"/>
      <c r="BO13" s="108"/>
      <c r="BP13" s="985" t="s">
        <v>4569</v>
      </c>
      <c r="BQ13" s="12"/>
      <c r="BR13" s="12"/>
      <c r="BS13" s="12"/>
      <c r="BT13" s="12"/>
      <c r="BU13" s="48"/>
      <c r="BV13" s="108"/>
      <c r="BW13" s="1096"/>
      <c r="BX13" s="1046" t="s">
        <v>2503</v>
      </c>
      <c r="BY13" s="1034" t="s">
        <v>4633</v>
      </c>
      <c r="BZ13" s="1033">
        <v>11.0</v>
      </c>
      <c r="CA13" s="1032"/>
      <c r="CB13" s="30"/>
      <c r="CC13" s="108"/>
      <c r="CD13" s="985" t="s">
        <v>4569</v>
      </c>
      <c r="CE13" s="12"/>
      <c r="CF13" s="12"/>
      <c r="CG13" s="12"/>
      <c r="CH13" s="12"/>
      <c r="CI13" s="48"/>
      <c r="CJ13" s="108"/>
      <c r="CK13" s="1152" t="s">
        <v>4711</v>
      </c>
      <c r="CL13" s="12"/>
      <c r="CM13" s="962"/>
      <c r="CN13" s="1169" t="s">
        <v>4608</v>
      </c>
      <c r="CO13" s="12"/>
      <c r="CP13" s="48"/>
      <c r="CQ13" s="108"/>
      <c r="CR13" s="1012"/>
      <c r="CS13" s="1115" t="s">
        <v>1858</v>
      </c>
      <c r="CT13" s="319"/>
      <c r="CU13" s="1033">
        <v>30.0</v>
      </c>
      <c r="CV13" s="1032"/>
      <c r="CW13" s="30"/>
      <c r="CX13" s="108"/>
      <c r="CY13" s="1061" t="s">
        <v>4610</v>
      </c>
      <c r="CZ13" s="959"/>
      <c r="DA13" s="957"/>
      <c r="DB13" s="1062" t="s">
        <v>4608</v>
      </c>
      <c r="DC13" s="959"/>
      <c r="DD13" s="960"/>
      <c r="DE13" s="108"/>
      <c r="DF13" s="985" t="s">
        <v>4712</v>
      </c>
      <c r="DG13" s="12"/>
      <c r="DH13" s="12"/>
      <c r="DI13" s="12"/>
      <c r="DJ13" s="12"/>
      <c r="DK13" s="48"/>
      <c r="DL13" s="108"/>
      <c r="DM13" s="1012"/>
      <c r="DN13" s="499" t="s">
        <v>3130</v>
      </c>
      <c r="DO13" s="1082" t="s">
        <v>4683</v>
      </c>
      <c r="DP13" s="1082">
        <v>5.0</v>
      </c>
      <c r="DQ13" s="1083">
        <v>5.0</v>
      </c>
      <c r="DR13" s="1084">
        <v>5.0</v>
      </c>
      <c r="DS13" s="108"/>
      <c r="DT13" s="1061" t="s">
        <v>4610</v>
      </c>
      <c r="DU13" s="959"/>
      <c r="DV13" s="957"/>
      <c r="DW13" s="1062" t="s">
        <v>4608</v>
      </c>
      <c r="DX13" s="959"/>
      <c r="DY13" s="960"/>
      <c r="DZ13" s="108"/>
      <c r="EA13" s="985" t="s">
        <v>2416</v>
      </c>
      <c r="EB13" s="12"/>
      <c r="EC13" s="12"/>
      <c r="ED13" s="12"/>
      <c r="EE13" s="12"/>
      <c r="EF13" s="48"/>
      <c r="EG13" s="108"/>
      <c r="EH13" s="1100"/>
      <c r="EI13" s="1158" t="s">
        <v>1007</v>
      </c>
      <c r="EJ13" s="1102" t="s">
        <v>4597</v>
      </c>
      <c r="EK13" s="1102">
        <v>15.0</v>
      </c>
      <c r="EL13" s="1103">
        <v>15.0</v>
      </c>
      <c r="EM13" s="1104">
        <v>15.0</v>
      </c>
      <c r="EN13" s="108"/>
      <c r="EO13" s="1012"/>
      <c r="EP13" s="1098" t="s">
        <v>1284</v>
      </c>
      <c r="EQ13" s="1014" t="s">
        <v>4637</v>
      </c>
      <c r="ER13" s="1013">
        <v>15.0</v>
      </c>
      <c r="ES13" s="1014">
        <v>15.0</v>
      </c>
      <c r="ET13" s="1015">
        <v>15.0</v>
      </c>
      <c r="EU13" s="108"/>
      <c r="EV13" s="985" t="s">
        <v>4713</v>
      </c>
      <c r="EW13" s="12"/>
      <c r="EX13" s="12"/>
      <c r="EY13" s="12"/>
      <c r="EZ13" s="12"/>
      <c r="FA13" s="48"/>
      <c r="FB13" s="108"/>
      <c r="FC13" s="1012"/>
      <c r="FD13" s="1031" t="s">
        <v>643</v>
      </c>
      <c r="FE13" s="1033" t="s">
        <v>4592</v>
      </c>
      <c r="FF13" s="1033">
        <v>90.0</v>
      </c>
      <c r="FG13" s="1032"/>
      <c r="FH13" s="30"/>
      <c r="FI13" s="108"/>
      <c r="FJ13" s="1012"/>
      <c r="FK13" s="1031" t="s">
        <v>800</v>
      </c>
      <c r="FL13" s="1033" t="s">
        <v>4592</v>
      </c>
      <c r="FM13" s="1033">
        <v>60.0</v>
      </c>
      <c r="FN13" s="1032"/>
      <c r="FO13" s="30"/>
      <c r="FP13" s="108"/>
      <c r="FQ13" s="1012"/>
      <c r="FR13" s="1042" t="s">
        <v>705</v>
      </c>
      <c r="FS13" s="138"/>
      <c r="FT13" s="1013">
        <v>0.0</v>
      </c>
      <c r="FU13" s="1014">
        <v>0.0</v>
      </c>
      <c r="FV13" s="1015">
        <v>30.0</v>
      </c>
      <c r="FW13" s="108"/>
      <c r="FX13" s="1068"/>
      <c r="FY13" s="1076" t="s">
        <v>960</v>
      </c>
      <c r="FZ13" s="1072" t="s">
        <v>4623</v>
      </c>
      <c r="GA13" s="1071">
        <v>20.0</v>
      </c>
      <c r="GB13" s="1072">
        <v>20.0</v>
      </c>
      <c r="GC13" s="1073">
        <v>20.0</v>
      </c>
      <c r="GD13" s="108"/>
      <c r="GE13" s="40"/>
      <c r="GF13" s="1052" t="s">
        <v>3103</v>
      </c>
      <c r="GG13" s="108" t="s">
        <v>4655</v>
      </c>
      <c r="GH13" s="10">
        <v>22.0</v>
      </c>
      <c r="GJ13" s="1154"/>
      <c r="GK13" s="108"/>
      <c r="GL13" s="1012"/>
      <c r="GM13" s="1042" t="s">
        <v>1219</v>
      </c>
      <c r="GN13" s="138"/>
      <c r="GO13" s="1013">
        <v>0.0</v>
      </c>
      <c r="GP13" s="1014">
        <v>0.0</v>
      </c>
      <c r="GQ13" s="1015">
        <v>30.0</v>
      </c>
      <c r="GR13" s="442"/>
      <c r="GS13" s="1056"/>
      <c r="GT13" s="1089" t="s">
        <v>800</v>
      </c>
      <c r="GU13" s="1021" t="s">
        <v>4601</v>
      </c>
      <c r="GV13" s="1090">
        <v>30.0</v>
      </c>
      <c r="GW13" s="138"/>
      <c r="GX13" s="128"/>
      <c r="GY13" s="442"/>
      <c r="GZ13" s="1056"/>
      <c r="HA13" s="1089" t="s">
        <v>800</v>
      </c>
      <c r="HB13" s="1021" t="s">
        <v>4601</v>
      </c>
      <c r="HC13" s="1090">
        <v>30.0</v>
      </c>
      <c r="HD13" s="138"/>
      <c r="HE13" s="128"/>
      <c r="HF13" s="442"/>
      <c r="HG13" s="1012"/>
      <c r="HH13" s="1031" t="s">
        <v>800</v>
      </c>
      <c r="HI13" s="1033" t="s">
        <v>4714</v>
      </c>
      <c r="HJ13" s="1033">
        <v>60.0</v>
      </c>
      <c r="HK13" s="1032"/>
      <c r="HL13" s="30"/>
      <c r="HM13" s="442"/>
      <c r="HN13" s="1012"/>
      <c r="HO13" s="1042" t="s">
        <v>4111</v>
      </c>
      <c r="HP13" s="138"/>
      <c r="HQ13" s="1013">
        <v>0.0</v>
      </c>
      <c r="HR13" s="1014">
        <v>0.0</v>
      </c>
      <c r="HS13" s="1015">
        <v>30.0</v>
      </c>
      <c r="HT13" s="442"/>
      <c r="HU13" s="985" t="s">
        <v>4706</v>
      </c>
      <c r="HV13" s="12"/>
      <c r="HW13" s="12"/>
      <c r="HX13" s="12"/>
      <c r="HY13" s="12"/>
      <c r="HZ13" s="48"/>
      <c r="IA13" s="442"/>
      <c r="IB13" s="973" t="s">
        <v>4715</v>
      </c>
      <c r="IC13" s="974"/>
      <c r="ID13" s="975"/>
      <c r="IE13" s="976"/>
      <c r="IF13" s="976"/>
      <c r="IG13" s="954"/>
      <c r="IH13" s="442"/>
      <c r="II13" s="973" t="s">
        <v>4716</v>
      </c>
      <c r="IJ13" s="974"/>
      <c r="IK13" s="975"/>
      <c r="IL13" s="976"/>
      <c r="IM13" s="976"/>
      <c r="IN13" s="954"/>
      <c r="IO13" s="442"/>
      <c r="IP13" s="1012"/>
      <c r="IQ13" s="1031" t="s">
        <v>1336</v>
      </c>
      <c r="IR13" s="1032"/>
      <c r="IS13" s="1033">
        <v>40.0</v>
      </c>
      <c r="IT13" s="1034">
        <v>40.0</v>
      </c>
      <c r="IU13" s="1035">
        <v>0.0</v>
      </c>
      <c r="IV13" s="442"/>
      <c r="IW13" s="1012"/>
      <c r="IX13" s="1098" t="s">
        <v>3130</v>
      </c>
      <c r="IY13" s="1014" t="s">
        <v>4689</v>
      </c>
      <c r="IZ13" s="1013">
        <v>10.0</v>
      </c>
      <c r="JA13" s="1014">
        <v>10.0</v>
      </c>
      <c r="JB13" s="1015">
        <v>10.0</v>
      </c>
      <c r="JC13" s="442"/>
      <c r="JD13" s="1056"/>
      <c r="JE13" s="1089" t="s">
        <v>951</v>
      </c>
      <c r="JF13" s="1021" t="s">
        <v>4709</v>
      </c>
      <c r="JG13" s="1090">
        <v>35.0</v>
      </c>
      <c r="JH13" s="138"/>
      <c r="JI13" s="128"/>
      <c r="JJ13" s="442"/>
      <c r="JK13" s="956" t="s">
        <v>4717</v>
      </c>
      <c r="JL13" s="957"/>
      <c r="JM13" s="963"/>
      <c r="JN13" s="12"/>
      <c r="JO13" s="12"/>
      <c r="JP13" s="48"/>
      <c r="JQ13" s="442"/>
      <c r="JR13" s="1005" t="s">
        <v>4585</v>
      </c>
      <c r="JS13" s="12"/>
      <c r="JT13" s="962"/>
      <c r="JU13" s="1008" t="s">
        <v>4559</v>
      </c>
      <c r="JV13" s="1008" t="s">
        <v>4560</v>
      </c>
      <c r="JW13" s="1009" t="s">
        <v>914</v>
      </c>
      <c r="JX13" s="442"/>
      <c r="JY13" s="985" t="s">
        <v>4535</v>
      </c>
      <c r="JZ13" s="12"/>
      <c r="KA13" s="12"/>
      <c r="KB13" s="986" t="s">
        <v>2249</v>
      </c>
      <c r="KC13" s="986" t="s">
        <v>2440</v>
      </c>
      <c r="KD13" s="987" t="s">
        <v>2408</v>
      </c>
      <c r="KE13" s="442"/>
      <c r="KF13" s="1012"/>
      <c r="KG13" s="1031" t="s">
        <v>1336</v>
      </c>
      <c r="KH13" s="1032"/>
      <c r="KI13" s="1033">
        <v>40.0</v>
      </c>
      <c r="KJ13" s="1034">
        <v>40.0</v>
      </c>
      <c r="KK13" s="1035">
        <v>0.0</v>
      </c>
      <c r="KL13" s="442"/>
      <c r="KM13" s="1012"/>
      <c r="KN13" s="1042" t="s">
        <v>3130</v>
      </c>
      <c r="KO13" s="1013" t="s">
        <v>4647</v>
      </c>
      <c r="KP13" s="1013">
        <v>10.0</v>
      </c>
      <c r="KQ13" s="1014">
        <v>10.0</v>
      </c>
      <c r="KR13" s="1015">
        <v>10.0</v>
      </c>
      <c r="KS13" s="442"/>
      <c r="KT13" s="1105"/>
      <c r="KU13" s="1116" t="s">
        <v>653</v>
      </c>
      <c r="KV13" s="1086" t="s">
        <v>4649</v>
      </c>
      <c r="KW13" s="1117">
        <v>40.0</v>
      </c>
      <c r="KX13" s="306"/>
      <c r="KY13" s="307"/>
      <c r="KZ13" s="442"/>
      <c r="LA13" s="1068"/>
      <c r="LB13" s="1076" t="s">
        <v>930</v>
      </c>
      <c r="LC13" s="1071" t="s">
        <v>4632</v>
      </c>
      <c r="LD13" s="1071">
        <v>10.0</v>
      </c>
      <c r="LE13" s="1072">
        <v>10.0</v>
      </c>
      <c r="LF13" s="1073">
        <v>10.0</v>
      </c>
      <c r="LG13" s="442"/>
      <c r="LH13" s="40"/>
      <c r="LI13" s="1063" t="s">
        <v>705</v>
      </c>
      <c r="LJ13" s="1053" t="s">
        <v>4649</v>
      </c>
      <c r="LK13" s="1053">
        <v>100.0</v>
      </c>
      <c r="LL13" s="1026"/>
      <c r="LM13" s="998"/>
      <c r="LN13" s="442"/>
      <c r="LO13" s="1068"/>
      <c r="LP13" s="1145" t="s">
        <v>785</v>
      </c>
      <c r="LQ13" s="1137" t="s">
        <v>4611</v>
      </c>
      <c r="LR13" s="1137">
        <v>5.0</v>
      </c>
      <c r="LS13" s="1138">
        <v>5.0</v>
      </c>
      <c r="LT13" s="1139">
        <v>5.0</v>
      </c>
      <c r="LU13" s="442"/>
      <c r="LV13" s="973" t="s">
        <v>4718</v>
      </c>
      <c r="LW13" s="974"/>
      <c r="LX13" s="975"/>
      <c r="LY13" s="976"/>
      <c r="LZ13" s="976"/>
      <c r="MA13" s="954"/>
      <c r="MB13" s="996"/>
    </row>
    <row r="14" ht="15.75" customHeight="1">
      <c r="A14" s="10"/>
      <c r="B14" s="1109" t="s">
        <v>4719</v>
      </c>
      <c r="C14" s="954"/>
      <c r="D14" s="108"/>
      <c r="E14" s="1170"/>
      <c r="F14" s="1171" t="s">
        <v>1629</v>
      </c>
      <c r="G14" s="1172">
        <v>45751.0</v>
      </c>
      <c r="H14" s="1082">
        <v>0.0</v>
      </c>
      <c r="I14" s="1083">
        <v>0.0</v>
      </c>
      <c r="J14" s="1084">
        <v>10.0</v>
      </c>
      <c r="K14" s="108"/>
      <c r="L14" s="1080"/>
      <c r="M14" s="1173" t="s">
        <v>2642</v>
      </c>
      <c r="N14" s="1080" t="s">
        <v>4601</v>
      </c>
      <c r="O14" s="1081">
        <v>10.0</v>
      </c>
      <c r="P14" s="413"/>
      <c r="Q14" s="414"/>
      <c r="R14" s="108"/>
      <c r="S14" s="442"/>
      <c r="T14" s="442"/>
      <c r="U14" s="442"/>
      <c r="V14" s="442"/>
      <c r="W14" s="442"/>
      <c r="X14" s="442"/>
      <c r="Y14" s="442"/>
      <c r="Z14" s="1012"/>
      <c r="AA14" s="1042" t="s">
        <v>141</v>
      </c>
      <c r="AB14" s="1097">
        <v>45814.0</v>
      </c>
      <c r="AC14" s="1013">
        <v>10.0</v>
      </c>
      <c r="AD14" s="1014">
        <v>10.0</v>
      </c>
      <c r="AE14" s="1015">
        <v>10.0</v>
      </c>
      <c r="AF14" s="442"/>
      <c r="AG14" s="1033"/>
      <c r="AH14" s="978" t="s">
        <v>1336</v>
      </c>
      <c r="AI14" s="319"/>
      <c r="AJ14" s="1033">
        <v>70.0</v>
      </c>
      <c r="AK14" s="1034">
        <v>70.0</v>
      </c>
      <c r="AL14" s="1035">
        <v>0.0</v>
      </c>
      <c r="AM14" s="108"/>
      <c r="AN14" s="985" t="s">
        <v>4569</v>
      </c>
      <c r="AO14" s="12"/>
      <c r="AP14" s="12"/>
      <c r="AQ14" s="12"/>
      <c r="AR14" s="12"/>
      <c r="AS14" s="48"/>
      <c r="AT14" s="108"/>
      <c r="AU14" s="964" t="s">
        <v>4720</v>
      </c>
      <c r="AV14" s="962"/>
      <c r="AW14" s="963"/>
      <c r="AX14" s="12"/>
      <c r="AY14" s="12"/>
      <c r="AZ14" s="48"/>
      <c r="BA14" s="108"/>
      <c r="BB14" s="1170"/>
      <c r="BC14" s="1127" t="s">
        <v>1665</v>
      </c>
      <c r="BD14" s="1174">
        <v>45972.0</v>
      </c>
      <c r="BE14" s="1082">
        <v>0.0</v>
      </c>
      <c r="BF14" s="1083">
        <v>0.0</v>
      </c>
      <c r="BG14" s="1084">
        <v>10.0</v>
      </c>
      <c r="BH14" s="442"/>
      <c r="BI14" s="1033"/>
      <c r="BJ14" s="1046" t="s">
        <v>3865</v>
      </c>
      <c r="BK14" s="1033" t="s">
        <v>4592</v>
      </c>
      <c r="BL14" s="1033">
        <v>60.0</v>
      </c>
      <c r="BM14" s="1032"/>
      <c r="BN14" s="30"/>
      <c r="BO14" s="108"/>
      <c r="BP14" s="1033"/>
      <c r="BQ14" s="1046" t="s">
        <v>3865</v>
      </c>
      <c r="BR14" s="1033" t="s">
        <v>4592</v>
      </c>
      <c r="BS14" s="1033">
        <v>60.0</v>
      </c>
      <c r="BT14" s="1032"/>
      <c r="BU14" s="30"/>
      <c r="BV14" s="108"/>
      <c r="BW14" s="1068"/>
      <c r="BX14" s="1145" t="s">
        <v>2519</v>
      </c>
      <c r="BY14" s="1147" t="s">
        <v>4633</v>
      </c>
      <c r="BZ14" s="1163">
        <v>11.0</v>
      </c>
      <c r="CA14" s="413"/>
      <c r="CB14" s="414"/>
      <c r="CC14" s="108"/>
      <c r="CD14" s="1012"/>
      <c r="CE14" s="38" t="s">
        <v>1797</v>
      </c>
      <c r="CF14" s="1033" t="s">
        <v>4592</v>
      </c>
      <c r="CG14" s="1033">
        <v>90.0</v>
      </c>
      <c r="CH14" s="1032"/>
      <c r="CI14" s="30"/>
      <c r="CJ14" s="108"/>
      <c r="CK14" s="983"/>
      <c r="CL14" s="1157" t="s">
        <v>3350</v>
      </c>
      <c r="CM14" s="1043" t="s">
        <v>411</v>
      </c>
      <c r="CN14" s="977" t="s">
        <v>4691</v>
      </c>
      <c r="CO14" s="984"/>
      <c r="CP14" s="319"/>
      <c r="CQ14" s="108"/>
      <c r="CR14" s="1027"/>
      <c r="CS14" s="1175" t="s">
        <v>2669</v>
      </c>
      <c r="CT14" s="128"/>
      <c r="CU14" s="1029">
        <v>20.0</v>
      </c>
      <c r="CV14" s="138"/>
      <c r="CW14" s="128"/>
      <c r="CX14" s="108"/>
      <c r="CY14" s="40"/>
      <c r="CZ14" s="398" t="s">
        <v>3526</v>
      </c>
      <c r="DA14" s="1091">
        <v>70.0</v>
      </c>
      <c r="DB14" s="1092" t="s">
        <v>411</v>
      </c>
      <c r="DC14" s="12"/>
      <c r="DD14" s="48"/>
      <c r="DE14" s="108"/>
      <c r="DF14" s="1012"/>
      <c r="DG14" s="978" t="s">
        <v>3817</v>
      </c>
      <c r="DH14" s="319"/>
      <c r="DI14" s="1033">
        <v>30.0</v>
      </c>
      <c r="DJ14" s="1032"/>
      <c r="DK14" s="30"/>
      <c r="DL14" s="108"/>
      <c r="DM14" s="985" t="s">
        <v>4569</v>
      </c>
      <c r="DN14" s="12"/>
      <c r="DO14" s="12"/>
      <c r="DP14" s="12"/>
      <c r="DQ14" s="12"/>
      <c r="DR14" s="48"/>
      <c r="DS14" s="108"/>
      <c r="DT14" s="40"/>
      <c r="DU14" s="398" t="s">
        <v>2302</v>
      </c>
      <c r="DV14" s="1091">
        <v>60.0</v>
      </c>
      <c r="DW14" s="1092" t="s">
        <v>411</v>
      </c>
      <c r="DX14" s="12"/>
      <c r="DY14" s="48"/>
      <c r="DZ14" s="108"/>
      <c r="EA14" s="1144"/>
      <c r="EB14" s="1052" t="s">
        <v>3265</v>
      </c>
      <c r="EC14" s="1053" t="s">
        <v>4721</v>
      </c>
      <c r="ED14" s="1053">
        <v>22.0</v>
      </c>
      <c r="EE14" s="1026"/>
      <c r="EF14" s="998"/>
      <c r="EG14" s="108"/>
      <c r="EH14" s="1012"/>
      <c r="EI14" s="1098" t="s">
        <v>1924</v>
      </c>
      <c r="EJ14" s="1013" t="s">
        <v>4621</v>
      </c>
      <c r="EK14" s="1013">
        <v>10.0</v>
      </c>
      <c r="EL14" s="1014">
        <v>10.0</v>
      </c>
      <c r="EM14" s="1015">
        <v>10.0</v>
      </c>
      <c r="EN14" s="108"/>
      <c r="EO14" s="1068"/>
      <c r="EP14" s="1076" t="s">
        <v>1321</v>
      </c>
      <c r="EQ14" s="1072" t="s">
        <v>4666</v>
      </c>
      <c r="ER14" s="1071">
        <v>10.0</v>
      </c>
      <c r="ES14" s="1072">
        <v>10.0</v>
      </c>
      <c r="ET14" s="1073">
        <v>10.0</v>
      </c>
      <c r="EU14" s="108"/>
      <c r="EV14" s="1012"/>
      <c r="EW14" s="1031" t="s">
        <v>1858</v>
      </c>
      <c r="EX14" s="1032"/>
      <c r="EY14" s="1033">
        <v>30.0</v>
      </c>
      <c r="EZ14" s="1032"/>
      <c r="FA14" s="30"/>
      <c r="FB14" s="108"/>
      <c r="FC14" s="1056"/>
      <c r="FD14" s="1116" t="s">
        <v>653</v>
      </c>
      <c r="FE14" s="1086" t="s">
        <v>4616</v>
      </c>
      <c r="FF14" s="1117">
        <v>10.0</v>
      </c>
      <c r="FG14" s="306"/>
      <c r="FH14" s="307"/>
      <c r="FI14" s="108"/>
      <c r="FJ14" s="1056"/>
      <c r="FK14" s="1089" t="s">
        <v>2591</v>
      </c>
      <c r="FL14" s="1021" t="s">
        <v>4592</v>
      </c>
      <c r="FM14" s="1090">
        <v>30.0</v>
      </c>
      <c r="FN14" s="138"/>
      <c r="FO14" s="128"/>
      <c r="FP14" s="108"/>
      <c r="FQ14" s="1056"/>
      <c r="FR14" s="1085" t="s">
        <v>2954</v>
      </c>
      <c r="FS14" s="1124"/>
      <c r="FT14" s="1080">
        <v>0.0</v>
      </c>
      <c r="FU14" s="1125">
        <v>0.0</v>
      </c>
      <c r="FV14" s="1126">
        <v>30.0</v>
      </c>
      <c r="FW14" s="108"/>
      <c r="FX14" s="1012"/>
      <c r="FY14" s="1098" t="s">
        <v>1143</v>
      </c>
      <c r="FZ14" s="1014" t="s">
        <v>4722</v>
      </c>
      <c r="GA14" s="1013">
        <v>15.0</v>
      </c>
      <c r="GB14" s="1014">
        <v>15.0</v>
      </c>
      <c r="GC14" s="1015">
        <v>15.0</v>
      </c>
      <c r="GD14" s="108"/>
      <c r="GE14" s="985" t="s">
        <v>4569</v>
      </c>
      <c r="GF14" s="12"/>
      <c r="GG14" s="12"/>
      <c r="GH14" s="12"/>
      <c r="GI14" s="12"/>
      <c r="GJ14" s="48"/>
      <c r="GK14" s="108"/>
      <c r="GL14" s="1056"/>
      <c r="GM14" s="1022" t="s">
        <v>3406</v>
      </c>
      <c r="GN14" s="1057"/>
      <c r="GO14" s="1021">
        <v>0.0</v>
      </c>
      <c r="GP14" s="1023">
        <v>0.0</v>
      </c>
      <c r="GQ14" s="1024">
        <v>15.0</v>
      </c>
      <c r="GR14" s="442"/>
      <c r="GS14" s="1012"/>
      <c r="GT14" s="1042" t="s">
        <v>2598</v>
      </c>
      <c r="GU14" s="1013" t="s">
        <v>4640</v>
      </c>
      <c r="GV14" s="1013">
        <v>5.0</v>
      </c>
      <c r="GW14" s="138"/>
      <c r="GX14" s="128"/>
      <c r="GY14" s="442"/>
      <c r="GZ14" s="1012"/>
      <c r="HA14" s="1042" t="s">
        <v>812</v>
      </c>
      <c r="HB14" s="1013" t="s">
        <v>4640</v>
      </c>
      <c r="HC14" s="1013">
        <v>9.0</v>
      </c>
      <c r="HD14" s="138"/>
      <c r="HE14" s="128"/>
      <c r="HF14" s="442"/>
      <c r="HG14" s="1056"/>
      <c r="HH14" s="1089" t="s">
        <v>3865</v>
      </c>
      <c r="HI14" s="1021" t="s">
        <v>4714</v>
      </c>
      <c r="HJ14" s="1090">
        <v>30.0</v>
      </c>
      <c r="HK14" s="138"/>
      <c r="HL14" s="128"/>
      <c r="HM14" s="442"/>
      <c r="HN14" s="1105"/>
      <c r="HO14" s="1085" t="s">
        <v>1264</v>
      </c>
      <c r="HP14" s="1124"/>
      <c r="HQ14" s="1080">
        <v>0.0</v>
      </c>
      <c r="HR14" s="1125">
        <v>0.0</v>
      </c>
      <c r="HS14" s="1126">
        <v>30.0</v>
      </c>
      <c r="HT14" s="442"/>
      <c r="HU14" s="1061" t="s">
        <v>4610</v>
      </c>
      <c r="HV14" s="959"/>
      <c r="HW14" s="957"/>
      <c r="HX14" s="1062" t="s">
        <v>4608</v>
      </c>
      <c r="HY14" s="959"/>
      <c r="HZ14" s="960"/>
      <c r="IA14" s="442"/>
      <c r="IB14" s="1016"/>
      <c r="IC14" s="1017"/>
      <c r="ID14" s="1018"/>
      <c r="IE14" s="1019"/>
      <c r="IF14" s="1019"/>
      <c r="IG14" s="1020"/>
      <c r="IH14" s="442"/>
      <c r="II14" s="1016"/>
      <c r="IJ14" s="1017"/>
      <c r="IK14" s="1018"/>
      <c r="IL14" s="1019"/>
      <c r="IM14" s="1019"/>
      <c r="IN14" s="1020"/>
      <c r="IO14" s="442"/>
      <c r="IP14" s="1056"/>
      <c r="IQ14" s="1022" t="s">
        <v>1209</v>
      </c>
      <c r="IR14" s="1057"/>
      <c r="IS14" s="1021">
        <v>30.0</v>
      </c>
      <c r="IT14" s="1023">
        <v>30.0</v>
      </c>
      <c r="IU14" s="1024">
        <v>0.0</v>
      </c>
      <c r="IV14" s="442"/>
      <c r="IW14" s="1068"/>
      <c r="IX14" s="1145" t="s">
        <v>3309</v>
      </c>
      <c r="IY14" s="1138" t="s">
        <v>4689</v>
      </c>
      <c r="IZ14" s="1137">
        <v>10.0</v>
      </c>
      <c r="JA14" s="1138">
        <v>10.0</v>
      </c>
      <c r="JB14" s="1139">
        <v>10.0</v>
      </c>
      <c r="JC14" s="442"/>
      <c r="JD14" s="1012"/>
      <c r="JE14" s="1128" t="s">
        <v>1352</v>
      </c>
      <c r="JF14" s="1082" t="s">
        <v>4709</v>
      </c>
      <c r="JG14" s="1082">
        <v>5.0</v>
      </c>
      <c r="JH14" s="1150"/>
      <c r="JI14" s="1151"/>
      <c r="JJ14" s="442"/>
      <c r="JK14" s="985" t="s">
        <v>4670</v>
      </c>
      <c r="JL14" s="12"/>
      <c r="JM14" s="12"/>
      <c r="JN14" s="12"/>
      <c r="JO14" s="12"/>
      <c r="JP14" s="48"/>
      <c r="JQ14" s="442"/>
      <c r="JR14" s="1012"/>
      <c r="JS14" s="1031" t="s">
        <v>2012</v>
      </c>
      <c r="JT14" s="1033" t="s">
        <v>4549</v>
      </c>
      <c r="JU14" s="1033">
        <v>20.0</v>
      </c>
      <c r="JV14" s="1034">
        <v>20.0</v>
      </c>
      <c r="JW14" s="1035">
        <v>20.0</v>
      </c>
      <c r="JX14" s="442"/>
      <c r="JY14" s="1012"/>
      <c r="JZ14" s="1031" t="s">
        <v>1336</v>
      </c>
      <c r="KA14" s="1032"/>
      <c r="KB14" s="1033">
        <v>100.0</v>
      </c>
      <c r="KC14" s="1034">
        <v>100.0</v>
      </c>
      <c r="KD14" s="1035">
        <v>0.0</v>
      </c>
      <c r="KE14" s="442"/>
      <c r="KF14" s="1056"/>
      <c r="KG14" s="1022" t="s">
        <v>3433</v>
      </c>
      <c r="KH14" s="1057"/>
      <c r="KI14" s="1021">
        <v>30.0</v>
      </c>
      <c r="KJ14" s="1023">
        <v>30.0</v>
      </c>
      <c r="KK14" s="1024">
        <v>30.0</v>
      </c>
      <c r="KL14" s="442"/>
      <c r="KM14" s="1132"/>
      <c r="KN14" s="1133" t="s">
        <v>3139</v>
      </c>
      <c r="KO14" s="1112" t="s">
        <v>4647</v>
      </c>
      <c r="KP14" s="1112">
        <v>10.0</v>
      </c>
      <c r="KQ14" s="1113">
        <v>10.0</v>
      </c>
      <c r="KR14" s="1114">
        <v>10.0</v>
      </c>
      <c r="KS14" s="442"/>
      <c r="KT14" s="985" t="s">
        <v>4535</v>
      </c>
      <c r="KU14" s="12"/>
      <c r="KV14" s="12"/>
      <c r="KW14" s="986" t="s">
        <v>2249</v>
      </c>
      <c r="KX14" s="986" t="s">
        <v>2440</v>
      </c>
      <c r="KY14" s="987" t="s">
        <v>2408</v>
      </c>
      <c r="KZ14" s="442"/>
      <c r="LA14" s="1012"/>
      <c r="LB14" s="1127" t="s">
        <v>1057</v>
      </c>
      <c r="LC14" s="1051" t="s">
        <v>4679</v>
      </c>
      <c r="LD14" s="1051">
        <v>10.0</v>
      </c>
      <c r="LE14" s="1130">
        <v>10.0</v>
      </c>
      <c r="LF14" s="1131">
        <v>10.0</v>
      </c>
      <c r="LG14" s="442"/>
      <c r="LH14" s="985" t="s">
        <v>4535</v>
      </c>
      <c r="LI14" s="12"/>
      <c r="LJ14" s="12"/>
      <c r="LK14" s="986" t="s">
        <v>2249</v>
      </c>
      <c r="LL14" s="986" t="s">
        <v>2440</v>
      </c>
      <c r="LM14" s="987" t="s">
        <v>2408</v>
      </c>
      <c r="LN14" s="442"/>
      <c r="LO14" s="985" t="s">
        <v>4700</v>
      </c>
      <c r="LP14" s="12"/>
      <c r="LQ14" s="12"/>
      <c r="LR14" s="12"/>
      <c r="LS14" s="12"/>
      <c r="LT14" s="48"/>
      <c r="LU14" s="442"/>
      <c r="LV14" s="1016"/>
      <c r="LW14" s="1017"/>
      <c r="LX14" s="1018"/>
      <c r="LY14" s="1019"/>
      <c r="LZ14" s="1019"/>
      <c r="MA14" s="1020"/>
      <c r="MB14" s="996"/>
    </row>
    <row r="15" ht="15.75" customHeight="1">
      <c r="A15" s="10"/>
      <c r="B15" s="1155"/>
      <c r="C15" s="1154"/>
      <c r="D15" s="108"/>
      <c r="E15" s="40" t="s">
        <v>2416</v>
      </c>
      <c r="F15" s="12"/>
      <c r="G15" s="12"/>
      <c r="H15" s="12"/>
      <c r="I15" s="12"/>
      <c r="J15" s="48"/>
      <c r="K15" s="108"/>
      <c r="L15" s="985" t="s">
        <v>4535</v>
      </c>
      <c r="M15" s="12"/>
      <c r="N15" s="12"/>
      <c r="O15" s="986" t="s">
        <v>2249</v>
      </c>
      <c r="P15" s="986" t="s">
        <v>2440</v>
      </c>
      <c r="Q15" s="987" t="s">
        <v>2408</v>
      </c>
      <c r="R15" s="108"/>
      <c r="S15" s="961" t="s">
        <v>4723</v>
      </c>
      <c r="T15" s="962"/>
      <c r="U15" s="963"/>
      <c r="V15" s="12"/>
      <c r="W15" s="12"/>
      <c r="X15" s="48"/>
      <c r="Y15" s="442"/>
      <c r="Z15" s="1068"/>
      <c r="AA15" s="1069" t="s">
        <v>188</v>
      </c>
      <c r="AB15" s="1070">
        <v>45814.0</v>
      </c>
      <c r="AC15" s="1071">
        <v>10.0</v>
      </c>
      <c r="AD15" s="1072">
        <v>10.0</v>
      </c>
      <c r="AE15" s="1073">
        <v>10.0</v>
      </c>
      <c r="AF15" s="442"/>
      <c r="AG15" s="1021"/>
      <c r="AH15" s="1022" t="s">
        <v>3148</v>
      </c>
      <c r="AI15" s="128"/>
      <c r="AJ15" s="1021">
        <v>30.0</v>
      </c>
      <c r="AK15" s="1023">
        <v>30.0</v>
      </c>
      <c r="AL15" s="1024">
        <v>0.0</v>
      </c>
      <c r="AM15" s="108"/>
      <c r="AN15" s="1012"/>
      <c r="AO15" s="1046" t="s">
        <v>526</v>
      </c>
      <c r="AP15" s="1033" t="s">
        <v>4592</v>
      </c>
      <c r="AQ15" s="1033">
        <v>90.0</v>
      </c>
      <c r="AR15" s="1032"/>
      <c r="AS15" s="30"/>
      <c r="AT15" s="108"/>
      <c r="AU15" s="999" t="s">
        <v>4724</v>
      </c>
      <c r="AV15" s="959"/>
      <c r="AW15" s="959"/>
      <c r="AX15" s="959"/>
      <c r="AY15" s="959"/>
      <c r="AZ15" s="960"/>
      <c r="BA15" s="108"/>
      <c r="BB15" s="985" t="s">
        <v>2416</v>
      </c>
      <c r="BC15" s="12"/>
      <c r="BD15" s="12"/>
      <c r="BE15" s="12"/>
      <c r="BF15" s="12"/>
      <c r="BG15" s="48"/>
      <c r="BH15" s="442"/>
      <c r="BI15" s="1021"/>
      <c r="BJ15" s="1123" t="s">
        <v>800</v>
      </c>
      <c r="BK15" s="1021" t="s">
        <v>4592</v>
      </c>
      <c r="BL15" s="1090">
        <v>30.0</v>
      </c>
      <c r="BM15" s="138"/>
      <c r="BN15" s="128"/>
      <c r="BO15" s="108"/>
      <c r="BP15" s="1021"/>
      <c r="BQ15" s="1123" t="s">
        <v>800</v>
      </c>
      <c r="BR15" s="1021" t="s">
        <v>4592</v>
      </c>
      <c r="BS15" s="1090">
        <v>30.0</v>
      </c>
      <c r="BT15" s="138"/>
      <c r="BU15" s="128"/>
      <c r="BV15" s="108"/>
      <c r="BW15" s="985" t="s">
        <v>4725</v>
      </c>
      <c r="BX15" s="12"/>
      <c r="BY15" s="12"/>
      <c r="BZ15" s="12"/>
      <c r="CA15" s="12"/>
      <c r="CB15" s="48"/>
      <c r="CC15" s="108"/>
      <c r="CD15" s="1056"/>
      <c r="CE15" s="1176" t="s">
        <v>1808</v>
      </c>
      <c r="CF15" s="1086" t="s">
        <v>4616</v>
      </c>
      <c r="CG15" s="1117">
        <v>10.0</v>
      </c>
      <c r="CH15" s="306"/>
      <c r="CI15" s="307"/>
      <c r="CJ15" s="108"/>
      <c r="CK15" s="1094"/>
      <c r="CL15" s="1050" t="s">
        <v>4004</v>
      </c>
      <c r="CM15" s="1095" t="s">
        <v>411</v>
      </c>
      <c r="CN15" s="1051" t="s">
        <v>4701</v>
      </c>
      <c r="CO15" s="413"/>
      <c r="CP15" s="414"/>
      <c r="CQ15" s="108"/>
      <c r="CR15" s="1096"/>
      <c r="CS15" s="1149" t="s">
        <v>159</v>
      </c>
      <c r="CT15" s="128"/>
      <c r="CU15" s="1013">
        <v>20.0</v>
      </c>
      <c r="CV15" s="138"/>
      <c r="CW15" s="128"/>
      <c r="CX15" s="108"/>
      <c r="CY15" s="973" t="s">
        <v>4726</v>
      </c>
      <c r="CZ15" s="974"/>
      <c r="DA15" s="975"/>
      <c r="DB15" s="976"/>
      <c r="DC15" s="976"/>
      <c r="DD15" s="954"/>
      <c r="DE15" s="108"/>
      <c r="DF15" s="1027"/>
      <c r="DG15" s="1028" t="s">
        <v>3778</v>
      </c>
      <c r="DH15" s="128"/>
      <c r="DI15" s="1029">
        <v>20.0</v>
      </c>
      <c r="DJ15" s="138"/>
      <c r="DK15" s="128"/>
      <c r="DL15" s="108"/>
      <c r="DM15" s="1012"/>
      <c r="DN15" s="1046" t="s">
        <v>526</v>
      </c>
      <c r="DO15" s="1033" t="s">
        <v>4592</v>
      </c>
      <c r="DP15" s="1033">
        <v>90.0</v>
      </c>
      <c r="DQ15" s="1032"/>
      <c r="DR15" s="30"/>
      <c r="DS15" s="108"/>
      <c r="DZ15" s="108"/>
      <c r="EA15" s="1041" t="s">
        <v>4727</v>
      </c>
      <c r="EB15" s="12"/>
      <c r="EC15" s="12"/>
      <c r="ED15" s="12"/>
      <c r="EE15" s="12"/>
      <c r="EF15" s="48"/>
      <c r="EG15" s="108"/>
      <c r="EH15" s="1100"/>
      <c r="EI15" s="1158" t="s">
        <v>1941</v>
      </c>
      <c r="EJ15" s="1102" t="s">
        <v>4621</v>
      </c>
      <c r="EK15" s="1102">
        <v>10.0</v>
      </c>
      <c r="EL15" s="1103">
        <v>10.0</v>
      </c>
      <c r="EM15" s="1104">
        <v>10.0</v>
      </c>
      <c r="EN15" s="108"/>
      <c r="EO15" s="1012"/>
      <c r="EP15" s="1098" t="s">
        <v>2285</v>
      </c>
      <c r="EQ15" s="1014" t="s">
        <v>4666</v>
      </c>
      <c r="ER15" s="1013">
        <v>10.0</v>
      </c>
      <c r="ES15" s="1014">
        <v>10.0</v>
      </c>
      <c r="ET15" s="1015">
        <v>10.0</v>
      </c>
      <c r="EU15" s="108"/>
      <c r="EV15" s="1027"/>
      <c r="EW15" s="1028" t="s">
        <v>2678</v>
      </c>
      <c r="EX15" s="1057"/>
      <c r="EY15" s="1029">
        <v>20.0</v>
      </c>
      <c r="EZ15" s="138"/>
      <c r="FA15" s="128"/>
      <c r="FB15" s="108"/>
      <c r="FC15" s="985" t="s">
        <v>4535</v>
      </c>
      <c r="FD15" s="12"/>
      <c r="FE15" s="12"/>
      <c r="FF15" s="986" t="s">
        <v>2249</v>
      </c>
      <c r="FG15" s="986" t="s">
        <v>2440</v>
      </c>
      <c r="FH15" s="987" t="s">
        <v>2408</v>
      </c>
      <c r="FI15" s="108"/>
      <c r="FJ15" s="1012"/>
      <c r="FK15" s="1042" t="s">
        <v>812</v>
      </c>
      <c r="FL15" s="1013" t="s">
        <v>4616</v>
      </c>
      <c r="FM15" s="1013">
        <v>5.0</v>
      </c>
      <c r="FN15" s="138"/>
      <c r="FO15" s="128"/>
      <c r="FP15" s="108"/>
      <c r="FQ15" s="1041" t="s">
        <v>4728</v>
      </c>
      <c r="FR15" s="12"/>
      <c r="FS15" s="12"/>
      <c r="FT15" s="12"/>
      <c r="FU15" s="12"/>
      <c r="FV15" s="48"/>
      <c r="FW15" s="108"/>
      <c r="FX15" s="1068"/>
      <c r="FY15" s="1076" t="s">
        <v>322</v>
      </c>
      <c r="FZ15" s="1072" t="s">
        <v>4722</v>
      </c>
      <c r="GA15" s="1071">
        <v>15.0</v>
      </c>
      <c r="GB15" s="1072">
        <v>15.0</v>
      </c>
      <c r="GC15" s="1073">
        <v>15.0</v>
      </c>
      <c r="GD15" s="108"/>
      <c r="GE15" s="1012"/>
      <c r="GF15" s="1031" t="s">
        <v>643</v>
      </c>
      <c r="GG15" s="1033" t="s">
        <v>4592</v>
      </c>
      <c r="GH15" s="1033">
        <v>90.0</v>
      </c>
      <c r="GI15" s="1032"/>
      <c r="GJ15" s="30"/>
      <c r="GK15" s="108"/>
      <c r="GL15" s="1094"/>
      <c r="GM15" s="1050" t="s">
        <v>3415</v>
      </c>
      <c r="GN15" s="413"/>
      <c r="GO15" s="1051">
        <v>0.0</v>
      </c>
      <c r="GP15" s="1130">
        <v>0.0</v>
      </c>
      <c r="GQ15" s="1131">
        <v>15.0</v>
      </c>
      <c r="GR15" s="442"/>
      <c r="GS15" s="1056"/>
      <c r="GT15" s="1116" t="s">
        <v>812</v>
      </c>
      <c r="GU15" s="1086" t="s">
        <v>4640</v>
      </c>
      <c r="GV15" s="1117">
        <v>5.0</v>
      </c>
      <c r="GW15" s="306"/>
      <c r="GX15" s="307"/>
      <c r="GY15" s="442"/>
      <c r="GZ15" s="1056"/>
      <c r="HA15" s="1116" t="s">
        <v>3872</v>
      </c>
      <c r="HB15" s="1086" t="s">
        <v>4640</v>
      </c>
      <c r="HC15" s="1117">
        <v>1.0</v>
      </c>
      <c r="HD15" s="306"/>
      <c r="HE15" s="307"/>
      <c r="HF15" s="442"/>
      <c r="HG15" s="1012"/>
      <c r="HH15" s="1042" t="s">
        <v>812</v>
      </c>
      <c r="HI15" s="1013" t="s">
        <v>4714</v>
      </c>
      <c r="HJ15" s="1013">
        <v>5.0</v>
      </c>
      <c r="HK15" s="138"/>
      <c r="HL15" s="128"/>
      <c r="HM15" s="442"/>
      <c r="HN15" s="442"/>
      <c r="HO15" s="442"/>
      <c r="HP15" s="442"/>
      <c r="HQ15" s="442"/>
      <c r="HR15" s="442"/>
      <c r="HS15" s="442"/>
      <c r="HT15" s="442"/>
      <c r="HU15" s="40"/>
      <c r="HV15" s="398" t="s">
        <v>3505</v>
      </c>
      <c r="HW15" s="1091">
        <v>60.0</v>
      </c>
      <c r="HX15" s="1092" t="s">
        <v>411</v>
      </c>
      <c r="HY15" s="12"/>
      <c r="HZ15" s="48"/>
      <c r="IA15" s="442"/>
      <c r="IB15" s="1058" t="s">
        <v>4605</v>
      </c>
      <c r="IC15" s="12"/>
      <c r="ID15" s="962"/>
      <c r="IE15" s="1059" t="s">
        <v>4559</v>
      </c>
      <c r="IF15" s="1059" t="s">
        <v>4560</v>
      </c>
      <c r="IG15" s="1060" t="s">
        <v>914</v>
      </c>
      <c r="IH15" s="442"/>
      <c r="II15" s="985" t="s">
        <v>4729</v>
      </c>
      <c r="IJ15" s="12"/>
      <c r="IK15" s="12"/>
      <c r="IL15" s="1003" t="s">
        <v>4559</v>
      </c>
      <c r="IM15" s="1003" t="s">
        <v>4560</v>
      </c>
      <c r="IN15" s="1004" t="s">
        <v>914</v>
      </c>
      <c r="IO15" s="442"/>
      <c r="IP15" s="1012"/>
      <c r="IQ15" s="1042" t="s">
        <v>1489</v>
      </c>
      <c r="IR15" s="138"/>
      <c r="IS15" s="1013">
        <v>30.0</v>
      </c>
      <c r="IT15" s="1014">
        <v>30.0</v>
      </c>
      <c r="IU15" s="1015">
        <v>0.0</v>
      </c>
      <c r="IV15" s="442"/>
      <c r="IW15" s="1011" t="s">
        <v>2416</v>
      </c>
      <c r="IX15" s="12"/>
      <c r="IY15" s="12"/>
      <c r="IZ15" s="12"/>
      <c r="JA15" s="12"/>
      <c r="JB15" s="48"/>
      <c r="JC15" s="442"/>
      <c r="JD15" s="985" t="s">
        <v>4535</v>
      </c>
      <c r="JE15" s="12"/>
      <c r="JF15" s="12"/>
      <c r="JG15" s="986" t="s">
        <v>2249</v>
      </c>
      <c r="JH15" s="986" t="s">
        <v>2440</v>
      </c>
      <c r="JI15" s="987" t="s">
        <v>2408</v>
      </c>
      <c r="JJ15" s="442"/>
      <c r="JK15" s="1012"/>
      <c r="JL15" s="978" t="s">
        <v>812</v>
      </c>
      <c r="JM15" s="977" t="s">
        <v>4678</v>
      </c>
      <c r="JN15" s="977">
        <v>60.0</v>
      </c>
      <c r="JO15" s="984"/>
      <c r="JP15" s="319"/>
      <c r="JQ15" s="442"/>
      <c r="JR15" s="1036"/>
      <c r="JS15" s="1037" t="s">
        <v>896</v>
      </c>
      <c r="JT15" s="1038" t="s">
        <v>4549</v>
      </c>
      <c r="JU15" s="1038">
        <v>20.0</v>
      </c>
      <c r="JV15" s="1039">
        <v>20.0</v>
      </c>
      <c r="JW15" s="1040">
        <v>20.0</v>
      </c>
      <c r="JX15" s="442"/>
      <c r="JY15" s="1105"/>
      <c r="JZ15" s="1085" t="s">
        <v>1343</v>
      </c>
      <c r="KA15" s="1124"/>
      <c r="KB15" s="1080">
        <v>0.0</v>
      </c>
      <c r="KC15" s="1125">
        <v>0.0</v>
      </c>
      <c r="KD15" s="1126">
        <v>100.0</v>
      </c>
      <c r="KE15" s="442"/>
      <c r="KF15" s="1012"/>
      <c r="KG15" s="1042" t="s">
        <v>2133</v>
      </c>
      <c r="KH15" s="138"/>
      <c r="KI15" s="1013">
        <v>30.0</v>
      </c>
      <c r="KJ15" s="1014">
        <v>30.0</v>
      </c>
      <c r="KK15" s="1015">
        <v>30.0</v>
      </c>
      <c r="KL15" s="442"/>
      <c r="KM15" s="985" t="s">
        <v>4730</v>
      </c>
      <c r="KN15" s="12"/>
      <c r="KO15" s="12"/>
      <c r="KP15" s="12"/>
      <c r="KQ15" s="12"/>
      <c r="KR15" s="48"/>
      <c r="KS15" s="442"/>
      <c r="KT15" s="1012"/>
      <c r="KU15" s="1031" t="s">
        <v>1336</v>
      </c>
      <c r="KV15" s="1032"/>
      <c r="KW15" s="1033">
        <v>55.0</v>
      </c>
      <c r="KX15" s="1034">
        <v>40.0</v>
      </c>
      <c r="KY15" s="1035">
        <v>0.0</v>
      </c>
      <c r="KZ15" s="442"/>
      <c r="LA15" s="985" t="s">
        <v>4700</v>
      </c>
      <c r="LB15" s="12"/>
      <c r="LC15" s="12"/>
      <c r="LD15" s="12"/>
      <c r="LE15" s="12"/>
      <c r="LF15" s="48"/>
      <c r="LG15" s="442"/>
      <c r="LH15" s="1012"/>
      <c r="LI15" s="1031" t="s">
        <v>1336</v>
      </c>
      <c r="LJ15" s="1032"/>
      <c r="LK15" s="1033">
        <v>55.0</v>
      </c>
      <c r="LL15" s="1034">
        <v>55.0</v>
      </c>
      <c r="LM15" s="1035">
        <v>0.0</v>
      </c>
      <c r="LN15" s="442"/>
      <c r="LO15" s="40"/>
      <c r="LP15" s="951" t="s">
        <v>2642</v>
      </c>
      <c r="LQ15" s="949" t="s">
        <v>4649</v>
      </c>
      <c r="LR15" s="949">
        <v>100.0</v>
      </c>
      <c r="LS15" s="976"/>
      <c r="LT15" s="954"/>
      <c r="LU15" s="442"/>
      <c r="LV15" s="985" t="s">
        <v>4613</v>
      </c>
      <c r="LW15" s="12"/>
      <c r="LX15" s="12"/>
      <c r="LY15" s="1008" t="s">
        <v>4559</v>
      </c>
      <c r="LZ15" s="1008" t="s">
        <v>4560</v>
      </c>
      <c r="MA15" s="1009" t="s">
        <v>914</v>
      </c>
      <c r="MB15" s="996"/>
    </row>
    <row r="16" ht="15.75" customHeight="1">
      <c r="A16" s="10"/>
      <c r="B16" s="1155"/>
      <c r="C16" s="1154"/>
      <c r="D16" s="108"/>
      <c r="E16" s="1170"/>
      <c r="F16" s="41" t="s">
        <v>921</v>
      </c>
      <c r="G16" s="1177">
        <v>45782.0</v>
      </c>
      <c r="H16" s="1053">
        <v>22.0</v>
      </c>
      <c r="I16" s="1026"/>
      <c r="J16" s="998"/>
      <c r="K16" s="108"/>
      <c r="L16" s="1178" t="s">
        <v>4731</v>
      </c>
      <c r="M16" s="967"/>
      <c r="N16" s="967"/>
      <c r="O16" s="967"/>
      <c r="P16" s="967"/>
      <c r="Q16" s="263"/>
      <c r="R16" s="108"/>
      <c r="S16" s="999" t="s">
        <v>4732</v>
      </c>
      <c r="T16" s="959"/>
      <c r="U16" s="959"/>
      <c r="V16" s="959"/>
      <c r="W16" s="959"/>
      <c r="X16" s="960"/>
      <c r="Y16" s="442"/>
      <c r="Z16" s="1096"/>
      <c r="AA16" s="1042" t="s">
        <v>2485</v>
      </c>
      <c r="AB16" s="1097">
        <v>45814.0</v>
      </c>
      <c r="AC16" s="1013">
        <v>10.0</v>
      </c>
      <c r="AD16" s="1014">
        <v>10.0</v>
      </c>
      <c r="AE16" s="1015">
        <v>0.0</v>
      </c>
      <c r="AF16" s="442"/>
      <c r="AG16" s="1013"/>
      <c r="AH16" s="1042" t="s">
        <v>1343</v>
      </c>
      <c r="AI16" s="128"/>
      <c r="AJ16" s="1013">
        <v>0.0</v>
      </c>
      <c r="AK16" s="1014">
        <v>0.0</v>
      </c>
      <c r="AL16" s="1015">
        <v>55.0</v>
      </c>
      <c r="AM16" s="108"/>
      <c r="AN16" s="1056"/>
      <c r="AO16" s="1079" t="s">
        <v>535</v>
      </c>
      <c r="AP16" s="1086" t="s">
        <v>4616</v>
      </c>
      <c r="AQ16" s="1117">
        <v>10.0</v>
      </c>
      <c r="AR16" s="306"/>
      <c r="AS16" s="307"/>
      <c r="AT16" s="108"/>
      <c r="AU16" s="983"/>
      <c r="AV16" s="978" t="s">
        <v>1411</v>
      </c>
      <c r="AW16" s="1043">
        <v>20.0</v>
      </c>
      <c r="AX16" s="977" t="s">
        <v>411</v>
      </c>
      <c r="AY16" s="984"/>
      <c r="AZ16" s="319"/>
      <c r="BA16" s="108"/>
      <c r="BB16" s="1144"/>
      <c r="BC16" s="1052" t="s">
        <v>2914</v>
      </c>
      <c r="BD16" s="1177">
        <v>46002.0</v>
      </c>
      <c r="BE16" s="1053">
        <v>22.0</v>
      </c>
      <c r="BF16" s="1026"/>
      <c r="BG16" s="998"/>
      <c r="BH16" s="442"/>
      <c r="BI16" s="1013"/>
      <c r="BJ16" s="1098" t="s">
        <v>3872</v>
      </c>
      <c r="BK16" s="1013" t="s">
        <v>4616</v>
      </c>
      <c r="BL16" s="1013">
        <v>9.0</v>
      </c>
      <c r="BM16" s="138"/>
      <c r="BN16" s="128"/>
      <c r="BO16" s="108"/>
      <c r="BP16" s="1013"/>
      <c r="BQ16" s="1098" t="s">
        <v>3872</v>
      </c>
      <c r="BR16" s="1013" t="s">
        <v>4616</v>
      </c>
      <c r="BS16" s="1013">
        <v>9.0</v>
      </c>
      <c r="BT16" s="138"/>
      <c r="BU16" s="128"/>
      <c r="BV16" s="108"/>
      <c r="BW16" s="1061" t="s">
        <v>4610</v>
      </c>
      <c r="BX16" s="959"/>
      <c r="BY16" s="957"/>
      <c r="BZ16" s="1062" t="s">
        <v>4608</v>
      </c>
      <c r="CA16" s="959"/>
      <c r="CB16" s="960"/>
      <c r="CC16" s="108"/>
      <c r="CD16" s="985" t="s">
        <v>4535</v>
      </c>
      <c r="CE16" s="12"/>
      <c r="CF16" s="12"/>
      <c r="CG16" s="986" t="s">
        <v>2249</v>
      </c>
      <c r="CH16" s="986" t="s">
        <v>2440</v>
      </c>
      <c r="CI16" s="987" t="s">
        <v>2408</v>
      </c>
      <c r="CJ16" s="108"/>
      <c r="CK16" s="1041" t="s">
        <v>4733</v>
      </c>
      <c r="CL16" s="12"/>
      <c r="CM16" s="12"/>
      <c r="CN16" s="12"/>
      <c r="CO16" s="12"/>
      <c r="CP16" s="48"/>
      <c r="CQ16" s="108"/>
      <c r="CR16" s="1027"/>
      <c r="CS16" s="1175" t="s">
        <v>200</v>
      </c>
      <c r="CT16" s="128"/>
      <c r="CU16" s="1029">
        <v>20.0</v>
      </c>
      <c r="CV16" s="138"/>
      <c r="CW16" s="128"/>
      <c r="CX16" s="108"/>
      <c r="CY16" s="1016"/>
      <c r="CZ16" s="1017"/>
      <c r="DA16" s="1018"/>
      <c r="DB16" s="1019"/>
      <c r="DC16" s="1019"/>
      <c r="DD16" s="1020"/>
      <c r="DE16" s="108"/>
      <c r="DF16" s="1096"/>
      <c r="DG16" s="1042" t="s">
        <v>1976</v>
      </c>
      <c r="DH16" s="128"/>
      <c r="DI16" s="1013">
        <v>20.0</v>
      </c>
      <c r="DJ16" s="138"/>
      <c r="DK16" s="128"/>
      <c r="DL16" s="108"/>
      <c r="DM16" s="1056"/>
      <c r="DN16" s="1079" t="s">
        <v>535</v>
      </c>
      <c r="DO16" s="1086" t="s">
        <v>4616</v>
      </c>
      <c r="DP16" s="1117">
        <v>10.0</v>
      </c>
      <c r="DQ16" s="306"/>
      <c r="DR16" s="307"/>
      <c r="DS16" s="108"/>
      <c r="DT16" s="956" t="s">
        <v>4734</v>
      </c>
      <c r="DU16" s="957"/>
      <c r="DV16" s="958"/>
      <c r="DW16" s="959"/>
      <c r="DX16" s="959"/>
      <c r="DY16" s="960"/>
      <c r="DZ16" s="108"/>
      <c r="EA16" s="1144"/>
      <c r="EB16" s="398" t="s">
        <v>4366</v>
      </c>
      <c r="EC16" s="1091">
        <v>1.0</v>
      </c>
      <c r="ED16" s="1092" t="s">
        <v>411</v>
      </c>
      <c r="EE16" s="12"/>
      <c r="EF16" s="48"/>
      <c r="EG16" s="108"/>
      <c r="EH16" s="1012"/>
      <c r="EI16" s="1098" t="s">
        <v>3309</v>
      </c>
      <c r="EJ16" s="1013" t="s">
        <v>4654</v>
      </c>
      <c r="EK16" s="1013">
        <v>5.0</v>
      </c>
      <c r="EL16" s="1014">
        <v>5.0</v>
      </c>
      <c r="EM16" s="1015">
        <v>5.0</v>
      </c>
      <c r="EN16" s="108"/>
      <c r="EO16" s="1068"/>
      <c r="EP16" s="1076" t="s">
        <v>1328</v>
      </c>
      <c r="EQ16" s="1072" t="s">
        <v>4666</v>
      </c>
      <c r="ER16" s="1071">
        <v>10.0</v>
      </c>
      <c r="ES16" s="1072">
        <v>10.0</v>
      </c>
      <c r="ET16" s="1073">
        <v>10.0</v>
      </c>
      <c r="EU16" s="108"/>
      <c r="EV16" s="1012"/>
      <c r="EW16" s="1042" t="s">
        <v>159</v>
      </c>
      <c r="EX16" s="138"/>
      <c r="EY16" s="1013">
        <v>20.0</v>
      </c>
      <c r="EZ16" s="138"/>
      <c r="FA16" s="128"/>
      <c r="FB16" s="108"/>
      <c r="FC16" s="1012"/>
      <c r="FD16" s="1031" t="s">
        <v>1336</v>
      </c>
      <c r="FE16" s="1032"/>
      <c r="FF16" s="1033">
        <v>55.0</v>
      </c>
      <c r="FG16" s="1034">
        <v>55.0</v>
      </c>
      <c r="FH16" s="1035">
        <v>0.0</v>
      </c>
      <c r="FI16" s="108"/>
      <c r="FJ16" s="1056"/>
      <c r="FK16" s="1173" t="s">
        <v>2598</v>
      </c>
      <c r="FL16" s="1080" t="s">
        <v>4616</v>
      </c>
      <c r="FM16" s="1081">
        <v>5.0</v>
      </c>
      <c r="FN16" s="413"/>
      <c r="FO16" s="414"/>
      <c r="FP16" s="108"/>
      <c r="FQ16" s="40"/>
      <c r="FR16" s="398" t="s">
        <v>1352</v>
      </c>
      <c r="FS16" s="1091">
        <v>35.0</v>
      </c>
      <c r="FT16" s="1092" t="s">
        <v>411</v>
      </c>
      <c r="FU16" s="12"/>
      <c r="FV16" s="48"/>
      <c r="FW16" s="108"/>
      <c r="FX16" s="1012"/>
      <c r="FY16" s="1098" t="s">
        <v>785</v>
      </c>
      <c r="FZ16" s="1014" t="s">
        <v>4639</v>
      </c>
      <c r="GA16" s="1013">
        <v>10.0</v>
      </c>
      <c r="GB16" s="1014">
        <v>10.0</v>
      </c>
      <c r="GC16" s="1015">
        <v>10.0</v>
      </c>
      <c r="GD16" s="108"/>
      <c r="GE16" s="1056"/>
      <c r="GF16" s="1116" t="s">
        <v>653</v>
      </c>
      <c r="GG16" s="1086" t="s">
        <v>4616</v>
      </c>
      <c r="GH16" s="1117">
        <v>10.0</v>
      </c>
      <c r="GI16" s="306"/>
      <c r="GJ16" s="307"/>
      <c r="GK16" s="108"/>
      <c r="GL16" s="442"/>
      <c r="GM16" s="442"/>
      <c r="GN16" s="442"/>
      <c r="GO16" s="442"/>
      <c r="GP16" s="442"/>
      <c r="GQ16" s="442"/>
      <c r="GR16" s="442"/>
      <c r="GS16" s="985" t="s">
        <v>4535</v>
      </c>
      <c r="GT16" s="12"/>
      <c r="GU16" s="12"/>
      <c r="GV16" s="986" t="s">
        <v>2249</v>
      </c>
      <c r="GW16" s="986" t="s">
        <v>2440</v>
      </c>
      <c r="GX16" s="987" t="s">
        <v>2408</v>
      </c>
      <c r="GY16" s="442"/>
      <c r="GZ16" s="985" t="s">
        <v>4535</v>
      </c>
      <c r="HA16" s="12"/>
      <c r="HB16" s="12"/>
      <c r="HC16" s="986" t="s">
        <v>2249</v>
      </c>
      <c r="HD16" s="986" t="s">
        <v>2440</v>
      </c>
      <c r="HE16" s="987" t="s">
        <v>2408</v>
      </c>
      <c r="HF16" s="442"/>
      <c r="HG16" s="1056"/>
      <c r="HH16" s="1116" t="s">
        <v>3872</v>
      </c>
      <c r="HI16" s="1086" t="s">
        <v>4653</v>
      </c>
      <c r="HJ16" s="1117">
        <v>5.0</v>
      </c>
      <c r="HK16" s="306"/>
      <c r="HL16" s="307"/>
      <c r="HM16" s="442"/>
      <c r="HN16" s="956" t="s">
        <v>4735</v>
      </c>
      <c r="HO16" s="957"/>
      <c r="HP16" s="958"/>
      <c r="HQ16" s="959"/>
      <c r="HR16" s="959"/>
      <c r="HS16" s="960"/>
      <c r="HT16" s="442"/>
      <c r="IA16" s="442"/>
      <c r="IB16" s="1012"/>
      <c r="IC16" s="1031" t="s">
        <v>535</v>
      </c>
      <c r="ID16" s="1033" t="s">
        <v>4736</v>
      </c>
      <c r="IE16" s="1033">
        <v>25.0</v>
      </c>
      <c r="IF16" s="1034">
        <v>25.0</v>
      </c>
      <c r="IG16" s="1035">
        <v>25.0</v>
      </c>
      <c r="IH16" s="442"/>
      <c r="II16" s="1012"/>
      <c r="IJ16" s="1046" t="s">
        <v>4132</v>
      </c>
      <c r="IK16" s="1034" t="s">
        <v>4645</v>
      </c>
      <c r="IL16" s="1033">
        <v>30.0</v>
      </c>
      <c r="IM16" s="1034">
        <v>30.0</v>
      </c>
      <c r="IN16" s="1035">
        <v>30.0</v>
      </c>
      <c r="IO16" s="442"/>
      <c r="IP16" s="1056"/>
      <c r="IQ16" s="1022" t="s">
        <v>1343</v>
      </c>
      <c r="IR16" s="1057"/>
      <c r="IS16" s="1021">
        <v>0.0</v>
      </c>
      <c r="IT16" s="1023">
        <v>0.0</v>
      </c>
      <c r="IU16" s="1024">
        <v>40.0</v>
      </c>
      <c r="IV16" s="442"/>
      <c r="IW16" s="40"/>
      <c r="IX16" s="1052" t="s">
        <v>1960</v>
      </c>
      <c r="IY16" s="1054" t="s">
        <v>4689</v>
      </c>
      <c r="IZ16" s="1053">
        <v>22.0</v>
      </c>
      <c r="JA16" s="1026"/>
      <c r="JB16" s="998"/>
      <c r="JC16" s="442"/>
      <c r="JD16" s="1012"/>
      <c r="JE16" s="1031" t="s">
        <v>1336</v>
      </c>
      <c r="JF16" s="1032"/>
      <c r="JG16" s="1033">
        <v>100.0</v>
      </c>
      <c r="JH16" s="1034">
        <v>100.0</v>
      </c>
      <c r="JI16" s="1035">
        <v>0.0</v>
      </c>
      <c r="JJ16" s="442"/>
      <c r="JK16" s="1056"/>
      <c r="JL16" s="1089" t="s">
        <v>2598</v>
      </c>
      <c r="JM16" s="1021" t="s">
        <v>4678</v>
      </c>
      <c r="JN16" s="1090">
        <v>30.0</v>
      </c>
      <c r="JO16" s="138"/>
      <c r="JP16" s="128"/>
      <c r="JQ16" s="442"/>
      <c r="JR16" s="1012"/>
      <c r="JS16" s="1042" t="s">
        <v>831</v>
      </c>
      <c r="JT16" s="1013" t="s">
        <v>4549</v>
      </c>
      <c r="JU16" s="1013">
        <v>10.0</v>
      </c>
      <c r="JV16" s="1014">
        <v>10.0</v>
      </c>
      <c r="JW16" s="1015">
        <v>10.0</v>
      </c>
      <c r="JX16" s="442"/>
      <c r="JY16" s="985" t="s">
        <v>4583</v>
      </c>
      <c r="JZ16" s="12"/>
      <c r="KA16" s="12"/>
      <c r="KB16" s="12"/>
      <c r="KC16" s="12"/>
      <c r="KD16" s="48"/>
      <c r="KE16" s="442"/>
      <c r="KF16" s="1105"/>
      <c r="KG16" s="1085" t="s">
        <v>1343</v>
      </c>
      <c r="KH16" s="1124"/>
      <c r="KI16" s="1080">
        <v>0.0</v>
      </c>
      <c r="KJ16" s="1125">
        <v>0.0</v>
      </c>
      <c r="KK16" s="1126">
        <v>40.0</v>
      </c>
      <c r="KL16" s="442"/>
      <c r="KM16" s="1061" t="s">
        <v>4610</v>
      </c>
      <c r="KN16" s="959"/>
      <c r="KO16" s="957"/>
      <c r="KP16" s="1062" t="s">
        <v>4608</v>
      </c>
      <c r="KQ16" s="959"/>
      <c r="KR16" s="960"/>
      <c r="KS16" s="442"/>
      <c r="KT16" s="1056"/>
      <c r="KU16" s="1022" t="s">
        <v>3148</v>
      </c>
      <c r="KV16" s="1057"/>
      <c r="KW16" s="1021">
        <v>45.0</v>
      </c>
      <c r="KX16" s="1023">
        <v>60.0</v>
      </c>
      <c r="KY16" s="1024">
        <v>0.0</v>
      </c>
      <c r="KZ16" s="442"/>
      <c r="LA16" s="1012"/>
      <c r="LB16" s="1031" t="s">
        <v>2591</v>
      </c>
      <c r="LC16" s="1033" t="s">
        <v>4649</v>
      </c>
      <c r="LD16" s="1033">
        <v>60.0</v>
      </c>
      <c r="LE16" s="1032"/>
      <c r="LF16" s="30"/>
      <c r="LG16" s="442"/>
      <c r="LH16" s="1056"/>
      <c r="LI16" s="1022" t="s">
        <v>3148</v>
      </c>
      <c r="LJ16" s="1057"/>
      <c r="LK16" s="1021">
        <v>45.0</v>
      </c>
      <c r="LL16" s="1023">
        <v>30.0</v>
      </c>
      <c r="LM16" s="1024">
        <v>0.0</v>
      </c>
      <c r="LN16" s="442"/>
      <c r="LO16" s="985" t="s">
        <v>4535</v>
      </c>
      <c r="LP16" s="12"/>
      <c r="LQ16" s="12"/>
      <c r="LR16" s="986" t="s">
        <v>2249</v>
      </c>
      <c r="LS16" s="986" t="s">
        <v>2440</v>
      </c>
      <c r="LT16" s="987" t="s">
        <v>2408</v>
      </c>
      <c r="LU16" s="442"/>
      <c r="LV16" s="1012"/>
      <c r="LW16" s="1031" t="s">
        <v>2106</v>
      </c>
      <c r="LX16" s="1033" t="s">
        <v>4661</v>
      </c>
      <c r="LY16" s="1033">
        <v>20.0</v>
      </c>
      <c r="LZ16" s="1034">
        <v>20.0</v>
      </c>
      <c r="MA16" s="1035">
        <v>20.0</v>
      </c>
      <c r="MB16" s="996"/>
    </row>
    <row r="17" ht="15.75" customHeight="1">
      <c r="A17" s="10"/>
      <c r="B17" s="1155"/>
      <c r="C17" s="1154"/>
      <c r="D17" s="108"/>
      <c r="E17" s="40" t="s">
        <v>4737</v>
      </c>
      <c r="F17" s="12"/>
      <c r="G17" s="12"/>
      <c r="H17" s="12"/>
      <c r="I17" s="12"/>
      <c r="J17" s="48"/>
      <c r="K17" s="108"/>
      <c r="L17" s="1033"/>
      <c r="M17" s="1031" t="s">
        <v>1336</v>
      </c>
      <c r="N17" s="1032"/>
      <c r="O17" s="1033">
        <v>85.0</v>
      </c>
      <c r="P17" s="1034">
        <v>100.0</v>
      </c>
      <c r="Q17" s="1035">
        <v>0.0</v>
      </c>
      <c r="R17" s="108"/>
      <c r="S17" s="1121" t="s">
        <v>4738</v>
      </c>
      <c r="T17" s="12"/>
      <c r="U17" s="12"/>
      <c r="V17" s="12"/>
      <c r="W17" s="12"/>
      <c r="X17" s="48"/>
      <c r="Y17" s="442"/>
      <c r="Z17" s="1068"/>
      <c r="AA17" s="1069" t="s">
        <v>1647</v>
      </c>
      <c r="AB17" s="1070">
        <v>45814.0</v>
      </c>
      <c r="AC17" s="1071">
        <v>10.0</v>
      </c>
      <c r="AD17" s="1072">
        <v>0.0</v>
      </c>
      <c r="AE17" s="1073">
        <v>0.0</v>
      </c>
      <c r="AF17" s="442"/>
      <c r="AG17" s="1080"/>
      <c r="AH17" s="1085" t="s">
        <v>3158</v>
      </c>
      <c r="AI17" s="414"/>
      <c r="AJ17" s="1080">
        <v>0.0</v>
      </c>
      <c r="AK17" s="1125">
        <v>0.0</v>
      </c>
      <c r="AL17" s="1126">
        <v>45.0</v>
      </c>
      <c r="AM17" s="108"/>
      <c r="AN17" s="985" t="s">
        <v>4535</v>
      </c>
      <c r="AO17" s="12"/>
      <c r="AP17" s="12"/>
      <c r="AQ17" s="986" t="s">
        <v>2249</v>
      </c>
      <c r="AR17" s="986" t="s">
        <v>2440</v>
      </c>
      <c r="AS17" s="987" t="s">
        <v>2408</v>
      </c>
      <c r="AT17" s="108"/>
      <c r="AU17" s="1064"/>
      <c r="AV17" s="1065" t="s">
        <v>1427</v>
      </c>
      <c r="AW17" s="1066">
        <v>20.0</v>
      </c>
      <c r="AX17" s="1067" t="s">
        <v>411</v>
      </c>
      <c r="AY17" s="138"/>
      <c r="AZ17" s="128"/>
      <c r="BA17" s="108"/>
      <c r="BB17" s="442"/>
      <c r="BC17" s="442"/>
      <c r="BD17" s="442"/>
      <c r="BE17" s="442"/>
      <c r="BF17" s="442"/>
      <c r="BG17" s="442"/>
      <c r="BH17" s="442"/>
      <c r="BI17" s="1080"/>
      <c r="BJ17" s="1079" t="s">
        <v>812</v>
      </c>
      <c r="BK17" s="1086" t="s">
        <v>4616</v>
      </c>
      <c r="BL17" s="1117">
        <v>1.0</v>
      </c>
      <c r="BM17" s="306"/>
      <c r="BN17" s="307"/>
      <c r="BO17" s="108"/>
      <c r="BP17" s="1080"/>
      <c r="BQ17" s="1079" t="s">
        <v>812</v>
      </c>
      <c r="BR17" s="1086" t="s">
        <v>4616</v>
      </c>
      <c r="BS17" s="1117">
        <v>1.0</v>
      </c>
      <c r="BT17" s="306"/>
      <c r="BU17" s="307"/>
      <c r="BV17" s="108"/>
      <c r="BW17" s="40"/>
      <c r="BX17" s="398" t="s">
        <v>2367</v>
      </c>
      <c r="BY17" s="1091">
        <v>40.0</v>
      </c>
      <c r="BZ17" s="1092" t="s">
        <v>411</v>
      </c>
      <c r="CA17" s="12"/>
      <c r="CB17" s="48"/>
      <c r="CC17" s="108"/>
      <c r="CD17" s="1033"/>
      <c r="CE17" s="1115" t="s">
        <v>1336</v>
      </c>
      <c r="CF17" s="319"/>
      <c r="CG17" s="1033">
        <v>55.0</v>
      </c>
      <c r="CH17" s="1034">
        <v>55.0</v>
      </c>
      <c r="CI17" s="1035">
        <v>0.0</v>
      </c>
      <c r="CJ17" s="108"/>
      <c r="CK17" s="1061" t="s">
        <v>4739</v>
      </c>
      <c r="CL17" s="959"/>
      <c r="CM17" s="957"/>
      <c r="CN17" s="1062" t="s">
        <v>4608</v>
      </c>
      <c r="CO17" s="959"/>
      <c r="CP17" s="960"/>
      <c r="CQ17" s="108"/>
      <c r="CR17" s="1094"/>
      <c r="CS17" s="1179" t="s">
        <v>4037</v>
      </c>
      <c r="CT17" s="414"/>
      <c r="CU17" s="1051">
        <v>10.0</v>
      </c>
      <c r="CV17" s="413"/>
      <c r="CW17" s="414"/>
      <c r="CX17" s="108"/>
      <c r="CY17" s="40" t="s">
        <v>4740</v>
      </c>
      <c r="CZ17" s="12"/>
      <c r="DA17" s="12"/>
      <c r="DB17" s="1008" t="s">
        <v>4559</v>
      </c>
      <c r="DC17" s="1008" t="s">
        <v>4560</v>
      </c>
      <c r="DD17" s="1009" t="s">
        <v>914</v>
      </c>
      <c r="DE17" s="108"/>
      <c r="DF17" s="1027"/>
      <c r="DG17" s="1028" t="s">
        <v>2495</v>
      </c>
      <c r="DH17" s="128"/>
      <c r="DI17" s="1029">
        <v>10.0</v>
      </c>
      <c r="DJ17" s="138"/>
      <c r="DK17" s="128"/>
      <c r="DL17" s="108"/>
      <c r="DM17" s="985" t="s">
        <v>4535</v>
      </c>
      <c r="DN17" s="12"/>
      <c r="DO17" s="12"/>
      <c r="DP17" s="986" t="s">
        <v>2249</v>
      </c>
      <c r="DQ17" s="986" t="s">
        <v>2440</v>
      </c>
      <c r="DR17" s="987" t="s">
        <v>2408</v>
      </c>
      <c r="DS17" s="108"/>
      <c r="DT17" s="985" t="s">
        <v>4596</v>
      </c>
      <c r="DU17" s="12"/>
      <c r="DV17" s="12"/>
      <c r="DW17" s="1003" t="s">
        <v>4559</v>
      </c>
      <c r="DX17" s="1003" t="s">
        <v>4560</v>
      </c>
      <c r="DY17" s="1004" t="s">
        <v>914</v>
      </c>
      <c r="DZ17" s="108"/>
      <c r="EA17" s="108"/>
      <c r="EB17" s="108"/>
      <c r="EC17" s="108"/>
      <c r="ED17" s="108"/>
      <c r="EE17" s="108"/>
      <c r="EF17" s="108"/>
      <c r="EG17" s="108"/>
      <c r="EH17" s="1100"/>
      <c r="EI17" s="1180" t="s">
        <v>3291</v>
      </c>
      <c r="EJ17" s="1166" t="s">
        <v>4654</v>
      </c>
      <c r="EK17" s="1166">
        <v>5.0</v>
      </c>
      <c r="EL17" s="1167">
        <v>5.0</v>
      </c>
      <c r="EM17" s="1168">
        <v>5.0</v>
      </c>
      <c r="EN17" s="108"/>
      <c r="EO17" s="1012"/>
      <c r="EP17" s="1181" t="s">
        <v>243</v>
      </c>
      <c r="EQ17" s="1182" t="s">
        <v>4622</v>
      </c>
      <c r="ER17" s="1183">
        <v>10.0</v>
      </c>
      <c r="ES17" s="1182">
        <v>10.0</v>
      </c>
      <c r="ET17" s="1184">
        <v>0.0</v>
      </c>
      <c r="EU17" s="108"/>
      <c r="EV17" s="1027"/>
      <c r="EW17" s="1028" t="s">
        <v>200</v>
      </c>
      <c r="EX17" s="1057"/>
      <c r="EY17" s="1029">
        <v>20.0</v>
      </c>
      <c r="EZ17" s="138"/>
      <c r="FA17" s="128"/>
      <c r="FB17" s="108"/>
      <c r="FC17" s="1056"/>
      <c r="FD17" s="1022" t="s">
        <v>1228</v>
      </c>
      <c r="FE17" s="1057"/>
      <c r="FF17" s="1021">
        <v>45.0</v>
      </c>
      <c r="FG17" s="1023">
        <v>45.0</v>
      </c>
      <c r="FH17" s="1024">
        <v>0.0</v>
      </c>
      <c r="FI17" s="108"/>
      <c r="FJ17" s="985" t="s">
        <v>4535</v>
      </c>
      <c r="FK17" s="12"/>
      <c r="FL17" s="12"/>
      <c r="FM17" s="986" t="s">
        <v>2249</v>
      </c>
      <c r="FN17" s="986" t="s">
        <v>2440</v>
      </c>
      <c r="FO17" s="987" t="s">
        <v>2408</v>
      </c>
      <c r="FP17" s="108"/>
      <c r="FQ17" s="956" t="s">
        <v>4741</v>
      </c>
      <c r="FR17" s="957"/>
      <c r="FS17" s="958"/>
      <c r="FT17" s="959"/>
      <c r="FU17" s="959"/>
      <c r="FV17" s="960"/>
      <c r="FW17" s="108"/>
      <c r="FX17" s="1068"/>
      <c r="FY17" s="1076" t="s">
        <v>2537</v>
      </c>
      <c r="FZ17" s="1072" t="s">
        <v>4639</v>
      </c>
      <c r="GA17" s="1071">
        <v>10.0</v>
      </c>
      <c r="GB17" s="1072">
        <v>10.0</v>
      </c>
      <c r="GC17" s="1073">
        <v>10.0</v>
      </c>
      <c r="GD17" s="108"/>
      <c r="GE17" s="985" t="s">
        <v>4535</v>
      </c>
      <c r="GF17" s="12"/>
      <c r="GG17" s="12"/>
      <c r="GH17" s="986" t="s">
        <v>2249</v>
      </c>
      <c r="GI17" s="986" t="s">
        <v>2440</v>
      </c>
      <c r="GJ17" s="987" t="s">
        <v>2408</v>
      </c>
      <c r="GK17" s="108"/>
      <c r="GL17" s="956" t="s">
        <v>4742</v>
      </c>
      <c r="GM17" s="957"/>
      <c r="GN17" s="958"/>
      <c r="GO17" s="959"/>
      <c r="GP17" s="959"/>
      <c r="GQ17" s="960"/>
      <c r="GR17" s="442"/>
      <c r="GS17" s="1012"/>
      <c r="GT17" s="1031" t="s">
        <v>1047</v>
      </c>
      <c r="GU17" s="1032"/>
      <c r="GV17" s="1033">
        <v>40.0</v>
      </c>
      <c r="GW17" s="1034">
        <v>40.0</v>
      </c>
      <c r="GX17" s="1035">
        <v>0.0</v>
      </c>
      <c r="GY17" s="442"/>
      <c r="GZ17" s="1012"/>
      <c r="HA17" s="1031" t="s">
        <v>1336</v>
      </c>
      <c r="HB17" s="1032"/>
      <c r="HC17" s="1033">
        <v>100.0</v>
      </c>
      <c r="HD17" s="1034">
        <v>55.0</v>
      </c>
      <c r="HE17" s="1035">
        <v>0.0</v>
      </c>
      <c r="HF17" s="442"/>
      <c r="HG17" s="985" t="s">
        <v>4535</v>
      </c>
      <c r="HH17" s="12"/>
      <c r="HI17" s="12"/>
      <c r="HJ17" s="986" t="s">
        <v>2249</v>
      </c>
      <c r="HK17" s="986" t="s">
        <v>2440</v>
      </c>
      <c r="HL17" s="987" t="s">
        <v>2408</v>
      </c>
      <c r="HM17" s="442"/>
      <c r="HN17" s="985" t="s">
        <v>4708</v>
      </c>
      <c r="HO17" s="12"/>
      <c r="HP17" s="12"/>
      <c r="HQ17" s="12"/>
      <c r="HR17" s="12"/>
      <c r="HS17" s="48"/>
      <c r="HT17" s="442"/>
      <c r="HU17" s="956" t="s">
        <v>4743</v>
      </c>
      <c r="HV17" s="957"/>
      <c r="HW17" s="958"/>
      <c r="HX17" s="959"/>
      <c r="HY17" s="959"/>
      <c r="HZ17" s="960"/>
      <c r="IA17" s="442"/>
      <c r="IB17" s="1100"/>
      <c r="IC17" s="1101" t="s">
        <v>831</v>
      </c>
      <c r="ID17" s="1102" t="s">
        <v>4643</v>
      </c>
      <c r="IE17" s="1102">
        <v>20.0</v>
      </c>
      <c r="IF17" s="1103">
        <v>20.0</v>
      </c>
      <c r="IG17" s="1104">
        <v>20.0</v>
      </c>
      <c r="IH17" s="442"/>
      <c r="II17" s="1068"/>
      <c r="IJ17" s="1076" t="s">
        <v>2849</v>
      </c>
      <c r="IK17" s="1072" t="s">
        <v>4744</v>
      </c>
      <c r="IL17" s="1071">
        <v>20.0</v>
      </c>
      <c r="IM17" s="1072">
        <v>20.0</v>
      </c>
      <c r="IN17" s="1073">
        <v>20.0</v>
      </c>
      <c r="IO17" s="442"/>
      <c r="IP17" s="1012"/>
      <c r="IQ17" s="1042" t="s">
        <v>1219</v>
      </c>
      <c r="IR17" s="138"/>
      <c r="IS17" s="1013">
        <v>0.0</v>
      </c>
      <c r="IT17" s="1014">
        <v>0.0</v>
      </c>
      <c r="IU17" s="1015">
        <v>30.0</v>
      </c>
      <c r="IV17" s="442"/>
      <c r="IW17" s="1049" t="s">
        <v>4745</v>
      </c>
      <c r="IX17" s="1026"/>
      <c r="IY17" s="1026"/>
      <c r="IZ17" s="1026"/>
      <c r="JA17" s="1026"/>
      <c r="JB17" s="998"/>
      <c r="JC17" s="442"/>
      <c r="JD17" s="1105"/>
      <c r="JE17" s="1085" t="s">
        <v>1343</v>
      </c>
      <c r="JF17" s="1124"/>
      <c r="JG17" s="1080">
        <v>0.0</v>
      </c>
      <c r="JH17" s="1125">
        <v>0.0</v>
      </c>
      <c r="JI17" s="1126">
        <v>100.0</v>
      </c>
      <c r="JJ17" s="442"/>
      <c r="JK17" s="1049"/>
      <c r="JL17" s="1050" t="s">
        <v>2163</v>
      </c>
      <c r="JM17" s="1051" t="s">
        <v>4678</v>
      </c>
      <c r="JN17" s="1051">
        <v>10.0</v>
      </c>
      <c r="JO17" s="413"/>
      <c r="JP17" s="414"/>
      <c r="JQ17" s="442"/>
      <c r="JR17" s="1036"/>
      <c r="JS17" s="1037" t="s">
        <v>734</v>
      </c>
      <c r="JT17" s="1038" t="s">
        <v>4549</v>
      </c>
      <c r="JU17" s="1038">
        <v>10.0</v>
      </c>
      <c r="JV17" s="1039">
        <v>10.0</v>
      </c>
      <c r="JW17" s="1040">
        <v>10.0</v>
      </c>
      <c r="JX17" s="442"/>
      <c r="JY17" s="1061" t="s">
        <v>4610</v>
      </c>
      <c r="JZ17" s="959"/>
      <c r="KA17" s="957"/>
      <c r="KB17" s="1062" t="s">
        <v>4608</v>
      </c>
      <c r="KC17" s="959"/>
      <c r="KD17" s="960"/>
      <c r="KE17" s="442"/>
      <c r="KF17" s="985" t="s">
        <v>4704</v>
      </c>
      <c r="KG17" s="12"/>
      <c r="KH17" s="12"/>
      <c r="KI17" s="12"/>
      <c r="KJ17" s="12"/>
      <c r="KK17" s="48"/>
      <c r="KL17" s="442"/>
      <c r="KM17" s="40"/>
      <c r="KN17" s="398" t="s">
        <v>4342</v>
      </c>
      <c r="KO17" s="1091">
        <v>70.0</v>
      </c>
      <c r="KP17" s="1092" t="s">
        <v>411</v>
      </c>
      <c r="KQ17" s="12"/>
      <c r="KR17" s="48"/>
      <c r="KS17" s="442"/>
      <c r="KT17" s="1012"/>
      <c r="KU17" s="1042" t="s">
        <v>1343</v>
      </c>
      <c r="KV17" s="138"/>
      <c r="KW17" s="1013">
        <v>0.0</v>
      </c>
      <c r="KX17" s="1014">
        <v>0.0</v>
      </c>
      <c r="KY17" s="1015">
        <v>55.0</v>
      </c>
      <c r="KZ17" s="442"/>
      <c r="LA17" s="1056"/>
      <c r="LB17" s="1089" t="s">
        <v>2598</v>
      </c>
      <c r="LC17" s="1021" t="s">
        <v>4649</v>
      </c>
      <c r="LD17" s="1090">
        <v>30.0</v>
      </c>
      <c r="LE17" s="138"/>
      <c r="LF17" s="128"/>
      <c r="LG17" s="442"/>
      <c r="LH17" s="1012"/>
      <c r="LI17" s="1042" t="s">
        <v>1343</v>
      </c>
      <c r="LJ17" s="138"/>
      <c r="LK17" s="1013">
        <v>0.0</v>
      </c>
      <c r="LL17" s="1014">
        <v>0.0</v>
      </c>
      <c r="LM17" s="1015">
        <v>55.0</v>
      </c>
      <c r="LN17" s="442"/>
      <c r="LO17" s="1012"/>
      <c r="LP17" s="978" t="s">
        <v>1336</v>
      </c>
      <c r="LQ17" s="984"/>
      <c r="LR17" s="977">
        <v>55.0</v>
      </c>
      <c r="LS17" s="979">
        <v>55.0</v>
      </c>
      <c r="LT17" s="980">
        <v>0.0</v>
      </c>
      <c r="LU17" s="442"/>
      <c r="LV17" s="1036"/>
      <c r="LW17" s="1037" t="s">
        <v>1173</v>
      </c>
      <c r="LX17" s="1038" t="s">
        <v>4650</v>
      </c>
      <c r="LY17" s="1038">
        <v>20.0</v>
      </c>
      <c r="LZ17" s="1039">
        <v>20.0</v>
      </c>
      <c r="MA17" s="1040">
        <v>20.0</v>
      </c>
      <c r="MB17" s="996"/>
    </row>
    <row r="18" ht="15.75" customHeight="1">
      <c r="A18" s="10"/>
      <c r="B18" s="1155"/>
      <c r="C18" s="1154"/>
      <c r="D18" s="108"/>
      <c r="E18" s="1185" t="s">
        <v>4610</v>
      </c>
      <c r="F18" s="12"/>
      <c r="G18" s="962"/>
      <c r="H18" s="1186" t="s">
        <v>4608</v>
      </c>
      <c r="I18" s="12"/>
      <c r="J18" s="48"/>
      <c r="K18" s="108"/>
      <c r="L18" s="1021"/>
      <c r="M18" s="1022" t="s">
        <v>3246</v>
      </c>
      <c r="N18" s="1057"/>
      <c r="O18" s="1021">
        <v>15.0</v>
      </c>
      <c r="P18" s="1023">
        <v>0.0</v>
      </c>
      <c r="Q18" s="1024">
        <v>0.0</v>
      </c>
      <c r="R18" s="108"/>
      <c r="S18" s="983"/>
      <c r="T18" s="978" t="s">
        <v>1705</v>
      </c>
      <c r="U18" s="1043">
        <v>1.0</v>
      </c>
      <c r="V18" s="977" t="s">
        <v>411</v>
      </c>
      <c r="W18" s="984"/>
      <c r="X18" s="319"/>
      <c r="Y18" s="442"/>
      <c r="Z18" s="1096"/>
      <c r="AA18" s="1042" t="s">
        <v>1865</v>
      </c>
      <c r="AB18" s="1097">
        <v>45814.0</v>
      </c>
      <c r="AC18" s="1013">
        <v>0.0</v>
      </c>
      <c r="AD18" s="1014">
        <v>10.0</v>
      </c>
      <c r="AE18" s="1015">
        <v>0.0</v>
      </c>
      <c r="AF18" s="442"/>
      <c r="AG18" s="442"/>
      <c r="AH18" s="442"/>
      <c r="AI18" s="442"/>
      <c r="AJ18" s="442"/>
      <c r="AK18" s="442"/>
      <c r="AL18" s="442"/>
      <c r="AM18" s="108"/>
      <c r="AN18" s="1033"/>
      <c r="AO18" s="978" t="s">
        <v>1336</v>
      </c>
      <c r="AP18" s="319"/>
      <c r="AQ18" s="1033">
        <v>55.0</v>
      </c>
      <c r="AR18" s="1034">
        <v>40.0</v>
      </c>
      <c r="AS18" s="1035">
        <v>0.0</v>
      </c>
      <c r="AT18" s="108"/>
      <c r="AU18" s="1096"/>
      <c r="AV18" s="1042" t="s">
        <v>1443</v>
      </c>
      <c r="AW18" s="1108">
        <v>20.0</v>
      </c>
      <c r="AX18" s="1013" t="s">
        <v>411</v>
      </c>
      <c r="AY18" s="138"/>
      <c r="AZ18" s="128"/>
      <c r="BA18" s="108"/>
      <c r="BB18" s="961" t="s">
        <v>4746</v>
      </c>
      <c r="BC18" s="962"/>
      <c r="BD18" s="966"/>
      <c r="BE18" s="967"/>
      <c r="BF18" s="967"/>
      <c r="BG18" s="263"/>
      <c r="BH18" s="442"/>
      <c r="BI18" s="985" t="s">
        <v>4535</v>
      </c>
      <c r="BJ18" s="12"/>
      <c r="BK18" s="12"/>
      <c r="BL18" s="986" t="s">
        <v>2249</v>
      </c>
      <c r="BM18" s="986" t="s">
        <v>2440</v>
      </c>
      <c r="BN18" s="987" t="s">
        <v>2408</v>
      </c>
      <c r="BO18" s="108"/>
      <c r="BP18" s="985" t="s">
        <v>4535</v>
      </c>
      <c r="BQ18" s="12"/>
      <c r="BR18" s="12"/>
      <c r="BS18" s="986" t="s">
        <v>2249</v>
      </c>
      <c r="BT18" s="986" t="s">
        <v>2440</v>
      </c>
      <c r="BU18" s="987" t="s">
        <v>2408</v>
      </c>
      <c r="BV18" s="108"/>
      <c r="BW18" s="973" t="s">
        <v>4747</v>
      </c>
      <c r="BX18" s="974"/>
      <c r="BY18" s="975"/>
      <c r="BZ18" s="976"/>
      <c r="CA18" s="976"/>
      <c r="CB18" s="954"/>
      <c r="CC18" s="108"/>
      <c r="CD18" s="1021"/>
      <c r="CE18" s="1122" t="s">
        <v>3167</v>
      </c>
      <c r="CF18" s="128"/>
      <c r="CG18" s="1021">
        <v>45.0</v>
      </c>
      <c r="CH18" s="1023">
        <v>45.0</v>
      </c>
      <c r="CI18" s="1024">
        <v>0.0</v>
      </c>
      <c r="CJ18" s="108"/>
      <c r="CK18" s="40"/>
      <c r="CL18" s="398" t="s">
        <v>1730</v>
      </c>
      <c r="CM18" s="1091">
        <v>1.0</v>
      </c>
      <c r="CN18" s="1092" t="s">
        <v>411</v>
      </c>
      <c r="CO18" s="12"/>
      <c r="CP18" s="48"/>
      <c r="CQ18" s="108"/>
      <c r="CR18" s="985" t="s">
        <v>4706</v>
      </c>
      <c r="CS18" s="12"/>
      <c r="CT18" s="12"/>
      <c r="CU18" s="12"/>
      <c r="CV18" s="12"/>
      <c r="CW18" s="48"/>
      <c r="CX18" s="108"/>
      <c r="CY18" s="1012"/>
      <c r="CZ18" s="38" t="s">
        <v>820</v>
      </c>
      <c r="DA18" s="1033" t="s">
        <v>4617</v>
      </c>
      <c r="DB18" s="1033">
        <v>20.0</v>
      </c>
      <c r="DC18" s="1034">
        <v>20.0</v>
      </c>
      <c r="DD18" s="1035">
        <v>20.0</v>
      </c>
      <c r="DE18" s="108"/>
      <c r="DF18" s="1096"/>
      <c r="DG18" s="1042" t="s">
        <v>2512</v>
      </c>
      <c r="DH18" s="128"/>
      <c r="DI18" s="1013">
        <v>10.0</v>
      </c>
      <c r="DJ18" s="138"/>
      <c r="DK18" s="128"/>
      <c r="DL18" s="108"/>
      <c r="DM18" s="1033"/>
      <c r="DN18" s="978" t="s">
        <v>1336</v>
      </c>
      <c r="DO18" s="319"/>
      <c r="DP18" s="1033">
        <v>100.0</v>
      </c>
      <c r="DQ18" s="1034">
        <v>55.0</v>
      </c>
      <c r="DR18" s="1035">
        <v>0.0</v>
      </c>
      <c r="DS18" s="108"/>
      <c r="DT18" s="1012"/>
      <c r="DU18" s="1046" t="s">
        <v>3664</v>
      </c>
      <c r="DV18" s="1033" t="s">
        <v>4707</v>
      </c>
      <c r="DW18" s="1033">
        <v>30.0</v>
      </c>
      <c r="DX18" s="1034">
        <v>30.0</v>
      </c>
      <c r="DY18" s="1035">
        <v>30.0</v>
      </c>
      <c r="DZ18" s="108"/>
      <c r="EA18" s="956" t="s">
        <v>4748</v>
      </c>
      <c r="EB18" s="957"/>
      <c r="EC18" s="958"/>
      <c r="ED18" s="959"/>
      <c r="EE18" s="959"/>
      <c r="EF18" s="960"/>
      <c r="EG18" s="108"/>
      <c r="EH18" s="956" t="s">
        <v>4749</v>
      </c>
      <c r="EI18" s="957"/>
      <c r="EJ18" s="958"/>
      <c r="EK18" s="959"/>
      <c r="EL18" s="959"/>
      <c r="EM18" s="960"/>
      <c r="EN18" s="108"/>
      <c r="EO18" s="1068"/>
      <c r="EP18" s="1076" t="s">
        <v>857</v>
      </c>
      <c r="EQ18" s="1072" t="s">
        <v>4685</v>
      </c>
      <c r="ER18" s="1071">
        <v>5.0</v>
      </c>
      <c r="ES18" s="1072">
        <v>5.0</v>
      </c>
      <c r="ET18" s="1073">
        <v>5.0</v>
      </c>
      <c r="EU18" s="108"/>
      <c r="EV18" s="1049"/>
      <c r="EW18" s="1050" t="s">
        <v>4037</v>
      </c>
      <c r="EX18" s="413"/>
      <c r="EY18" s="1051">
        <v>10.0</v>
      </c>
      <c r="EZ18" s="413"/>
      <c r="FA18" s="414"/>
      <c r="FB18" s="108"/>
      <c r="FC18" s="1012"/>
      <c r="FD18" s="1042" t="s">
        <v>1343</v>
      </c>
      <c r="FE18" s="138"/>
      <c r="FF18" s="1013">
        <v>0.0</v>
      </c>
      <c r="FG18" s="1014">
        <v>0.0</v>
      </c>
      <c r="FH18" s="1015">
        <v>55.0</v>
      </c>
      <c r="FI18" s="108"/>
      <c r="FJ18" s="1012"/>
      <c r="FK18" s="1031" t="s">
        <v>1336</v>
      </c>
      <c r="FL18" s="1032"/>
      <c r="FM18" s="1033">
        <v>40.0</v>
      </c>
      <c r="FN18" s="1034">
        <v>40.0</v>
      </c>
      <c r="FO18" s="1035">
        <v>0.0</v>
      </c>
      <c r="FP18" s="108"/>
      <c r="FQ18" s="1011" t="s">
        <v>4750</v>
      </c>
      <c r="FR18" s="12"/>
      <c r="FS18" s="962"/>
      <c r="FT18" s="1003" t="s">
        <v>4559</v>
      </c>
      <c r="FU18" s="1003" t="s">
        <v>4560</v>
      </c>
      <c r="FV18" s="1004" t="s">
        <v>914</v>
      </c>
      <c r="FW18" s="108"/>
      <c r="FX18" s="1012"/>
      <c r="FY18" s="1098" t="s">
        <v>333</v>
      </c>
      <c r="FZ18" s="1014" t="s">
        <v>4639</v>
      </c>
      <c r="GA18" s="1013">
        <v>5.0</v>
      </c>
      <c r="GB18" s="1014">
        <v>5.0</v>
      </c>
      <c r="GC18" s="1015">
        <v>5.0</v>
      </c>
      <c r="GD18" s="108"/>
      <c r="GE18" s="1012"/>
      <c r="GF18" s="1031" t="s">
        <v>1336</v>
      </c>
      <c r="GG18" s="1032"/>
      <c r="GH18" s="1033">
        <v>40.0</v>
      </c>
      <c r="GI18" s="1034">
        <v>40.0</v>
      </c>
      <c r="GJ18" s="1035">
        <v>0.0</v>
      </c>
      <c r="GK18" s="108"/>
      <c r="GL18" s="985" t="s">
        <v>4578</v>
      </c>
      <c r="GM18" s="12"/>
      <c r="GN18" s="12"/>
      <c r="GO18" s="12"/>
      <c r="GP18" s="12"/>
      <c r="GQ18" s="48"/>
      <c r="GR18" s="442"/>
      <c r="GS18" s="1056"/>
      <c r="GT18" s="1022" t="s">
        <v>1209</v>
      </c>
      <c r="GU18" s="1057"/>
      <c r="GV18" s="1021">
        <v>30.0</v>
      </c>
      <c r="GW18" s="1023">
        <v>30.0</v>
      </c>
      <c r="GX18" s="1024">
        <v>0.0</v>
      </c>
      <c r="GY18" s="442"/>
      <c r="GZ18" s="1056"/>
      <c r="HA18" s="1022" t="s">
        <v>4105</v>
      </c>
      <c r="HB18" s="1057"/>
      <c r="HC18" s="1021">
        <v>0.0</v>
      </c>
      <c r="HD18" s="1023">
        <v>45.0</v>
      </c>
      <c r="HE18" s="1024">
        <v>0.0</v>
      </c>
      <c r="HF18" s="442"/>
      <c r="HG18" s="1012"/>
      <c r="HH18" s="1031" t="s">
        <v>1336</v>
      </c>
      <c r="HI18" s="1032"/>
      <c r="HJ18" s="1033">
        <v>40.0</v>
      </c>
      <c r="HK18" s="1034">
        <v>40.0</v>
      </c>
      <c r="HL18" s="1035">
        <v>0.0</v>
      </c>
      <c r="HM18" s="442"/>
      <c r="HN18" s="1012"/>
      <c r="HO18" s="1031" t="s">
        <v>2591</v>
      </c>
      <c r="HP18" s="1033" t="s">
        <v>4601</v>
      </c>
      <c r="HQ18" s="1033">
        <v>60.0</v>
      </c>
      <c r="HR18" s="1032"/>
      <c r="HS18" s="30"/>
      <c r="HT18" s="442"/>
      <c r="HU18" s="985" t="s">
        <v>4751</v>
      </c>
      <c r="HV18" s="12"/>
      <c r="HW18" s="12"/>
      <c r="HX18" s="1003" t="s">
        <v>4559</v>
      </c>
      <c r="HY18" s="1003" t="s">
        <v>4560</v>
      </c>
      <c r="HZ18" s="1004" t="s">
        <v>914</v>
      </c>
      <c r="IA18" s="442"/>
      <c r="IB18" s="1012"/>
      <c r="IC18" s="1042" t="s">
        <v>2075</v>
      </c>
      <c r="ID18" s="1013" t="s">
        <v>4657</v>
      </c>
      <c r="IE18" s="1013">
        <v>20.0</v>
      </c>
      <c r="IF18" s="1014">
        <v>20.0</v>
      </c>
      <c r="IG18" s="1015">
        <v>20.0</v>
      </c>
      <c r="IH18" s="442"/>
      <c r="II18" s="1012"/>
      <c r="IJ18" s="1098" t="s">
        <v>2728</v>
      </c>
      <c r="IK18" s="1014" t="s">
        <v>4688</v>
      </c>
      <c r="IL18" s="1013">
        <v>20.0</v>
      </c>
      <c r="IM18" s="1014">
        <v>20.0</v>
      </c>
      <c r="IN18" s="1015">
        <v>20.0</v>
      </c>
      <c r="IO18" s="442"/>
      <c r="IP18" s="1105"/>
      <c r="IQ18" s="1085" t="s">
        <v>1499</v>
      </c>
      <c r="IR18" s="1124"/>
      <c r="IS18" s="1080">
        <v>0.0</v>
      </c>
      <c r="IT18" s="1125">
        <v>0.0</v>
      </c>
      <c r="IU18" s="1126">
        <v>30.0</v>
      </c>
      <c r="IV18" s="442"/>
      <c r="IW18" s="40"/>
      <c r="IX18" s="442" t="s">
        <v>653</v>
      </c>
      <c r="IY18" s="10" t="s">
        <v>4697</v>
      </c>
      <c r="IZ18" s="10">
        <v>100.0</v>
      </c>
      <c r="JB18" s="1154"/>
      <c r="JC18" s="442"/>
      <c r="JD18" s="985" t="s">
        <v>4706</v>
      </c>
      <c r="JE18" s="12"/>
      <c r="JF18" s="12"/>
      <c r="JG18" s="12"/>
      <c r="JH18" s="12"/>
      <c r="JI18" s="48"/>
      <c r="JJ18" s="442"/>
      <c r="JK18" s="985" t="s">
        <v>4535</v>
      </c>
      <c r="JL18" s="12"/>
      <c r="JM18" s="12"/>
      <c r="JN18" s="986" t="s">
        <v>2249</v>
      </c>
      <c r="JO18" s="986" t="s">
        <v>2440</v>
      </c>
      <c r="JP18" s="987" t="s">
        <v>2408</v>
      </c>
      <c r="JQ18" s="442"/>
      <c r="JR18" s="1012"/>
      <c r="JS18" s="1042" t="s">
        <v>1135</v>
      </c>
      <c r="JT18" s="1013" t="s">
        <v>4549</v>
      </c>
      <c r="JU18" s="1013">
        <v>10.0</v>
      </c>
      <c r="JV18" s="1014">
        <v>10.0</v>
      </c>
      <c r="JW18" s="1015">
        <v>10.0</v>
      </c>
      <c r="JX18" s="442"/>
      <c r="JY18" s="40"/>
      <c r="JZ18" s="398" t="s">
        <v>1482</v>
      </c>
      <c r="KA18" s="1091">
        <v>60.0</v>
      </c>
      <c r="KB18" s="1092" t="s">
        <v>411</v>
      </c>
      <c r="KC18" s="12"/>
      <c r="KD18" s="48"/>
      <c r="KE18" s="442"/>
      <c r="KF18" s="1061" t="s">
        <v>4610</v>
      </c>
      <c r="KG18" s="959"/>
      <c r="KH18" s="957"/>
      <c r="KI18" s="1062" t="s">
        <v>4608</v>
      </c>
      <c r="KJ18" s="959"/>
      <c r="KK18" s="960"/>
      <c r="KL18" s="442"/>
      <c r="KS18" s="442"/>
      <c r="KT18" s="1105"/>
      <c r="KU18" s="1085" t="s">
        <v>3158</v>
      </c>
      <c r="KV18" s="1124"/>
      <c r="KW18" s="1080">
        <v>0.0</v>
      </c>
      <c r="KX18" s="1125">
        <v>0.0</v>
      </c>
      <c r="KY18" s="1126">
        <v>45.0</v>
      </c>
      <c r="KZ18" s="442"/>
      <c r="LA18" s="1049"/>
      <c r="LB18" s="1128" t="s">
        <v>812</v>
      </c>
      <c r="LC18" s="1082" t="s">
        <v>4649</v>
      </c>
      <c r="LD18" s="1013">
        <v>10.0</v>
      </c>
      <c r="LE18" s="138"/>
      <c r="LF18" s="128"/>
      <c r="LG18" s="442"/>
      <c r="LH18" s="1105"/>
      <c r="LI18" s="1085" t="s">
        <v>3158</v>
      </c>
      <c r="LJ18" s="1124"/>
      <c r="LK18" s="1080">
        <v>0.0</v>
      </c>
      <c r="LL18" s="1125">
        <v>15.0</v>
      </c>
      <c r="LM18" s="1126">
        <v>45.0</v>
      </c>
      <c r="LN18" s="442"/>
      <c r="LO18" s="1056"/>
      <c r="LP18" s="1022" t="s">
        <v>1228</v>
      </c>
      <c r="LQ18" s="1057"/>
      <c r="LR18" s="1021">
        <v>45.0</v>
      </c>
      <c r="LS18" s="1023">
        <v>45.0</v>
      </c>
      <c r="LT18" s="1024">
        <v>0.0</v>
      </c>
      <c r="LU18" s="442"/>
      <c r="LV18" s="1012"/>
      <c r="LW18" s="1098" t="s">
        <v>535</v>
      </c>
      <c r="LX18" s="1014" t="s">
        <v>4632</v>
      </c>
      <c r="LY18" s="1013">
        <v>10.0</v>
      </c>
      <c r="LZ18" s="1014">
        <v>10.0</v>
      </c>
      <c r="MA18" s="1015">
        <v>10.0</v>
      </c>
      <c r="MB18" s="996"/>
    </row>
    <row r="19" ht="15.75" customHeight="1">
      <c r="A19" s="10"/>
      <c r="B19" s="1155"/>
      <c r="C19" s="1154"/>
      <c r="D19" s="108"/>
      <c r="E19" s="1144"/>
      <c r="F19" s="39" t="s">
        <v>1523</v>
      </c>
      <c r="G19" s="1091">
        <v>40.0</v>
      </c>
      <c r="H19" s="1092" t="s">
        <v>411</v>
      </c>
      <c r="I19" s="12"/>
      <c r="J19" s="48"/>
      <c r="K19" s="108"/>
      <c r="L19" s="1051"/>
      <c r="M19" s="1050" t="s">
        <v>1343</v>
      </c>
      <c r="N19" s="413"/>
      <c r="O19" s="1051">
        <v>0.0</v>
      </c>
      <c r="P19" s="1130">
        <v>0.0</v>
      </c>
      <c r="Q19" s="1131">
        <v>100.0</v>
      </c>
      <c r="R19" s="108"/>
      <c r="S19" s="1064"/>
      <c r="T19" s="1065" t="s">
        <v>1714</v>
      </c>
      <c r="U19" s="1066">
        <v>1.0</v>
      </c>
      <c r="V19" s="1067" t="s">
        <v>411</v>
      </c>
      <c r="W19" s="138"/>
      <c r="X19" s="128"/>
      <c r="Y19" s="442"/>
      <c r="Z19" s="1068"/>
      <c r="AA19" s="1069" t="s">
        <v>543</v>
      </c>
      <c r="AB19" s="1070">
        <v>45814.0</v>
      </c>
      <c r="AC19" s="1071">
        <v>0.0</v>
      </c>
      <c r="AD19" s="1072">
        <v>0.0</v>
      </c>
      <c r="AE19" s="1073">
        <v>10.0</v>
      </c>
      <c r="AF19" s="442"/>
      <c r="AG19" s="956" t="s">
        <v>4752</v>
      </c>
      <c r="AH19" s="957"/>
      <c r="AI19" s="958"/>
      <c r="AJ19" s="959"/>
      <c r="AK19" s="959"/>
      <c r="AL19" s="960"/>
      <c r="AM19" s="108"/>
      <c r="AN19" s="1021"/>
      <c r="AO19" s="1022" t="s">
        <v>3148</v>
      </c>
      <c r="AP19" s="128"/>
      <c r="AQ19" s="1021">
        <v>45.0</v>
      </c>
      <c r="AR19" s="1023">
        <v>60.0</v>
      </c>
      <c r="AS19" s="1024">
        <v>15.0</v>
      </c>
      <c r="AT19" s="108"/>
      <c r="AU19" s="1064"/>
      <c r="AV19" s="1065" t="s">
        <v>3205</v>
      </c>
      <c r="AW19" s="1066">
        <v>20.0</v>
      </c>
      <c r="AX19" s="1067" t="s">
        <v>411</v>
      </c>
      <c r="AY19" s="138"/>
      <c r="AZ19" s="128"/>
      <c r="BA19" s="108"/>
      <c r="BB19" s="999" t="s">
        <v>4562</v>
      </c>
      <c r="BC19" s="959"/>
      <c r="BD19" s="959"/>
      <c r="BE19" s="959"/>
      <c r="BF19" s="959"/>
      <c r="BG19" s="960"/>
      <c r="BH19" s="442"/>
      <c r="BI19" s="1012"/>
      <c r="BJ19" s="978" t="s">
        <v>1336</v>
      </c>
      <c r="BK19" s="319"/>
      <c r="BL19" s="1033">
        <v>40.0</v>
      </c>
      <c r="BM19" s="1034">
        <v>40.0</v>
      </c>
      <c r="BN19" s="1035">
        <v>0.0</v>
      </c>
      <c r="BO19" s="108"/>
      <c r="BP19" s="1012"/>
      <c r="BQ19" s="978" t="s">
        <v>1336</v>
      </c>
      <c r="BR19" s="319"/>
      <c r="BS19" s="1033">
        <v>40.0</v>
      </c>
      <c r="BT19" s="1034">
        <v>40.0</v>
      </c>
      <c r="BU19" s="1035">
        <v>0.0</v>
      </c>
      <c r="BV19" s="108"/>
      <c r="BW19" s="1016"/>
      <c r="BX19" s="1017"/>
      <c r="BY19" s="1018"/>
      <c r="BZ19" s="1019"/>
      <c r="CA19" s="1019"/>
      <c r="CB19" s="1020"/>
      <c r="CC19" s="108"/>
      <c r="CD19" s="1013"/>
      <c r="CE19" s="1149" t="s">
        <v>1343</v>
      </c>
      <c r="CF19" s="128"/>
      <c r="CG19" s="1013">
        <v>0.0</v>
      </c>
      <c r="CH19" s="1014">
        <v>0.0</v>
      </c>
      <c r="CI19" s="1015">
        <v>55.0</v>
      </c>
      <c r="CJ19" s="108"/>
      <c r="CK19" s="442"/>
      <c r="CL19" s="442"/>
      <c r="CM19" s="442"/>
      <c r="CN19" s="442"/>
      <c r="CO19" s="442"/>
      <c r="CP19" s="442"/>
      <c r="CQ19" s="108"/>
      <c r="CR19" s="1061" t="s">
        <v>4610</v>
      </c>
      <c r="CS19" s="959"/>
      <c r="CT19" s="957"/>
      <c r="CU19" s="1062" t="s">
        <v>4608</v>
      </c>
      <c r="CV19" s="959"/>
      <c r="CW19" s="960"/>
      <c r="CX19" s="108"/>
      <c r="CY19" s="1036"/>
      <c r="CZ19" s="1048" t="s">
        <v>3970</v>
      </c>
      <c r="DA19" s="1038" t="s">
        <v>4617</v>
      </c>
      <c r="DB19" s="1038">
        <v>20.0</v>
      </c>
      <c r="DC19" s="1039">
        <v>20.0</v>
      </c>
      <c r="DD19" s="1040">
        <v>20.0</v>
      </c>
      <c r="DE19" s="108"/>
      <c r="DF19" s="1159"/>
      <c r="DG19" s="1160" t="s">
        <v>2065</v>
      </c>
      <c r="DH19" s="414"/>
      <c r="DI19" s="1161">
        <v>10.0</v>
      </c>
      <c r="DJ19" s="413"/>
      <c r="DK19" s="414"/>
      <c r="DL19" s="108"/>
      <c r="DM19" s="1021"/>
      <c r="DN19" s="1022" t="s">
        <v>3148</v>
      </c>
      <c r="DO19" s="128"/>
      <c r="DP19" s="1021">
        <v>0.0</v>
      </c>
      <c r="DQ19" s="1023">
        <v>45.0</v>
      </c>
      <c r="DR19" s="1024">
        <v>0.0</v>
      </c>
      <c r="DS19" s="108"/>
      <c r="DT19" s="1068"/>
      <c r="DU19" s="1076" t="s">
        <v>1797</v>
      </c>
      <c r="DV19" s="1071" t="s">
        <v>4619</v>
      </c>
      <c r="DW19" s="1071">
        <v>20.0</v>
      </c>
      <c r="DX19" s="1072">
        <v>20.0</v>
      </c>
      <c r="DY19" s="1073">
        <v>20.0</v>
      </c>
      <c r="DZ19" s="108"/>
      <c r="EA19" s="985" t="s">
        <v>4596</v>
      </c>
      <c r="EB19" s="12"/>
      <c r="EC19" s="12"/>
      <c r="ED19" s="1003" t="s">
        <v>4559</v>
      </c>
      <c r="EE19" s="1003" t="s">
        <v>4560</v>
      </c>
      <c r="EF19" s="1004" t="s">
        <v>914</v>
      </c>
      <c r="EG19" s="108"/>
      <c r="EH19" s="1058" t="s">
        <v>4753</v>
      </c>
      <c r="EI19" s="12"/>
      <c r="EJ19" s="962"/>
      <c r="EK19" s="1059" t="s">
        <v>4559</v>
      </c>
      <c r="EL19" s="1059" t="s">
        <v>4560</v>
      </c>
      <c r="EM19" s="1060" t="s">
        <v>914</v>
      </c>
      <c r="EN19" s="108"/>
      <c r="EO19" s="1012"/>
      <c r="EP19" s="1127" t="s">
        <v>1637</v>
      </c>
      <c r="EQ19" s="1083" t="s">
        <v>4622</v>
      </c>
      <c r="ER19" s="1082">
        <v>0.0</v>
      </c>
      <c r="ES19" s="1083">
        <v>0.0</v>
      </c>
      <c r="ET19" s="1084">
        <v>10.0</v>
      </c>
      <c r="EU19" s="108"/>
      <c r="EV19" s="442"/>
      <c r="EW19" s="442"/>
      <c r="EX19" s="442"/>
      <c r="EY19" s="442"/>
      <c r="EZ19" s="442"/>
      <c r="FA19" s="442"/>
      <c r="FB19" s="108"/>
      <c r="FC19" s="1056"/>
      <c r="FD19" s="1106" t="s">
        <v>1242</v>
      </c>
      <c r="FE19" s="1107"/>
      <c r="FF19" s="1086">
        <v>0.0</v>
      </c>
      <c r="FG19" s="1087">
        <v>0.0</v>
      </c>
      <c r="FH19" s="1088">
        <v>45.0</v>
      </c>
      <c r="FI19" s="108"/>
      <c r="FJ19" s="1056"/>
      <c r="FK19" s="1022" t="s">
        <v>2141</v>
      </c>
      <c r="FL19" s="1057"/>
      <c r="FM19" s="1021">
        <v>30.0</v>
      </c>
      <c r="FN19" s="1023">
        <v>30.0</v>
      </c>
      <c r="FO19" s="1024">
        <v>0.0</v>
      </c>
      <c r="FP19" s="108"/>
      <c r="FQ19" s="1012"/>
      <c r="FR19" s="1046" t="s">
        <v>3683</v>
      </c>
      <c r="FS19" s="1034" t="s">
        <v>4754</v>
      </c>
      <c r="FT19" s="1033">
        <v>30.0</v>
      </c>
      <c r="FU19" s="1034">
        <v>30.0</v>
      </c>
      <c r="FV19" s="1035">
        <v>30.0</v>
      </c>
      <c r="FW19" s="108"/>
      <c r="FX19" s="1068"/>
      <c r="FY19" s="1145" t="s">
        <v>4091</v>
      </c>
      <c r="FZ19" s="1147" t="s">
        <v>4639</v>
      </c>
      <c r="GA19" s="1146">
        <v>5.0</v>
      </c>
      <c r="GB19" s="1147">
        <v>5.0</v>
      </c>
      <c r="GC19" s="1148">
        <v>5.0</v>
      </c>
      <c r="GD19" s="108"/>
      <c r="GE19" s="1056"/>
      <c r="GF19" s="1022" t="s">
        <v>1209</v>
      </c>
      <c r="GG19" s="1057"/>
      <c r="GH19" s="1021">
        <v>30.0</v>
      </c>
      <c r="GI19" s="1023">
        <v>30.0</v>
      </c>
      <c r="GJ19" s="1024">
        <v>0.0</v>
      </c>
      <c r="GK19" s="108"/>
      <c r="GL19" s="1012"/>
      <c r="GM19" s="1031" t="s">
        <v>2591</v>
      </c>
      <c r="GN19" s="1033" t="s">
        <v>4601</v>
      </c>
      <c r="GO19" s="1033">
        <v>60.0</v>
      </c>
      <c r="GP19" s="1032"/>
      <c r="GQ19" s="30"/>
      <c r="GR19" s="442"/>
      <c r="GS19" s="1012"/>
      <c r="GT19" s="1042" t="s">
        <v>3397</v>
      </c>
      <c r="GU19" s="138"/>
      <c r="GV19" s="1013">
        <v>30.0</v>
      </c>
      <c r="GW19" s="1014">
        <v>30.0</v>
      </c>
      <c r="GX19" s="1015">
        <v>0.0</v>
      </c>
      <c r="GY19" s="442"/>
      <c r="GZ19" s="1012"/>
      <c r="HA19" s="1042" t="s">
        <v>1343</v>
      </c>
      <c r="HB19" s="138"/>
      <c r="HC19" s="1013">
        <v>0.0</v>
      </c>
      <c r="HD19" s="1014">
        <v>0.0</v>
      </c>
      <c r="HE19" s="1015">
        <v>40.0</v>
      </c>
      <c r="HF19" s="442"/>
      <c r="HG19" s="1056"/>
      <c r="HH19" s="1022" t="s">
        <v>4105</v>
      </c>
      <c r="HI19" s="1057"/>
      <c r="HJ19" s="1021">
        <v>30.0</v>
      </c>
      <c r="HK19" s="1023">
        <v>30.0</v>
      </c>
      <c r="HL19" s="1024">
        <v>0.0</v>
      </c>
      <c r="HM19" s="442"/>
      <c r="HN19" s="1056"/>
      <c r="HO19" s="1089" t="s">
        <v>800</v>
      </c>
      <c r="HP19" s="1021" t="s">
        <v>4601</v>
      </c>
      <c r="HQ19" s="1090">
        <v>30.0</v>
      </c>
      <c r="HR19" s="138"/>
      <c r="HS19" s="128"/>
      <c r="HT19" s="442"/>
      <c r="HU19" s="1012"/>
      <c r="HV19" s="1046" t="s">
        <v>2125</v>
      </c>
      <c r="HW19" s="1034" t="s">
        <v>4755</v>
      </c>
      <c r="HX19" s="1033">
        <v>30.0</v>
      </c>
      <c r="HY19" s="1034">
        <v>30.0</v>
      </c>
      <c r="HZ19" s="1035">
        <v>30.0</v>
      </c>
      <c r="IA19" s="442"/>
      <c r="IB19" s="1100"/>
      <c r="IC19" s="1101" t="s">
        <v>2012</v>
      </c>
      <c r="ID19" s="1102" t="s">
        <v>4545</v>
      </c>
      <c r="IE19" s="1102">
        <v>10.0</v>
      </c>
      <c r="IF19" s="1103">
        <v>10.0</v>
      </c>
      <c r="IG19" s="1104">
        <v>10.0</v>
      </c>
      <c r="IH19" s="442"/>
      <c r="II19" s="1068"/>
      <c r="IJ19" s="1076" t="s">
        <v>3333</v>
      </c>
      <c r="IK19" s="1072" t="s">
        <v>4606</v>
      </c>
      <c r="IL19" s="1071">
        <v>10.0</v>
      </c>
      <c r="IM19" s="1072">
        <v>10.0</v>
      </c>
      <c r="IN19" s="1073">
        <v>10.0</v>
      </c>
      <c r="IO19" s="442"/>
      <c r="IP19" s="956" t="s">
        <v>4756</v>
      </c>
      <c r="IQ19" s="957"/>
      <c r="IR19" s="958"/>
      <c r="IS19" s="959"/>
      <c r="IT19" s="959"/>
      <c r="IU19" s="960"/>
      <c r="IV19" s="442"/>
      <c r="IW19" s="985" t="s">
        <v>4535</v>
      </c>
      <c r="IX19" s="12"/>
      <c r="IY19" s="12"/>
      <c r="IZ19" s="986" t="s">
        <v>2249</v>
      </c>
      <c r="JA19" s="986" t="s">
        <v>2440</v>
      </c>
      <c r="JB19" s="987" t="s">
        <v>2408</v>
      </c>
      <c r="JC19" s="442"/>
      <c r="JD19" s="1061" t="s">
        <v>4610</v>
      </c>
      <c r="JE19" s="959"/>
      <c r="JF19" s="957"/>
      <c r="JG19" s="1062" t="s">
        <v>4608</v>
      </c>
      <c r="JH19" s="959"/>
      <c r="JI19" s="960"/>
      <c r="JJ19" s="442"/>
      <c r="JK19" s="1012"/>
      <c r="JL19" s="1031" t="s">
        <v>1336</v>
      </c>
      <c r="JM19" s="1032"/>
      <c r="JN19" s="1033">
        <v>40.0</v>
      </c>
      <c r="JO19" s="1034">
        <v>40.0</v>
      </c>
      <c r="JP19" s="1035">
        <v>0.0</v>
      </c>
      <c r="JQ19" s="442"/>
      <c r="JR19" s="1036"/>
      <c r="JS19" s="1037" t="s">
        <v>535</v>
      </c>
      <c r="JT19" s="1038" t="s">
        <v>4549</v>
      </c>
      <c r="JU19" s="1038">
        <v>10.0</v>
      </c>
      <c r="JV19" s="1039">
        <v>10.0</v>
      </c>
      <c r="JW19" s="1040">
        <v>10.0</v>
      </c>
      <c r="JX19" s="442"/>
      <c r="JY19" s="442"/>
      <c r="JZ19" s="442"/>
      <c r="KA19" s="442"/>
      <c r="KB19" s="442"/>
      <c r="KC19" s="442"/>
      <c r="KD19" s="442"/>
      <c r="KE19" s="442"/>
      <c r="KF19" s="40"/>
      <c r="KG19" s="398" t="s">
        <v>3539</v>
      </c>
      <c r="KH19" s="1091">
        <v>70.0</v>
      </c>
      <c r="KI19" s="1092" t="s">
        <v>411</v>
      </c>
      <c r="KJ19" s="12"/>
      <c r="KK19" s="48"/>
      <c r="KL19" s="442"/>
      <c r="KM19" s="956" t="s">
        <v>4757</v>
      </c>
      <c r="KN19" s="957"/>
      <c r="KO19" s="958"/>
      <c r="KP19" s="959"/>
      <c r="KQ19" s="959"/>
      <c r="KR19" s="960"/>
      <c r="KS19" s="442"/>
      <c r="KT19" s="442"/>
      <c r="KU19" s="442"/>
      <c r="KV19" s="442"/>
      <c r="KW19" s="442"/>
      <c r="KX19" s="442"/>
      <c r="KY19" s="442"/>
      <c r="KZ19" s="442"/>
      <c r="LA19" s="985" t="s">
        <v>4535</v>
      </c>
      <c r="LB19" s="12"/>
      <c r="LC19" s="12"/>
      <c r="LD19" s="1054" t="s">
        <v>2249</v>
      </c>
      <c r="LE19" s="1054" t="s">
        <v>2440</v>
      </c>
      <c r="LF19" s="1055" t="s">
        <v>2408</v>
      </c>
      <c r="LG19" s="442"/>
      <c r="LH19" s="985" t="s">
        <v>4583</v>
      </c>
      <c r="LI19" s="12"/>
      <c r="LJ19" s="12"/>
      <c r="LK19" s="12"/>
      <c r="LL19" s="12"/>
      <c r="LM19" s="48"/>
      <c r="LN19" s="442"/>
      <c r="LO19" s="1012"/>
      <c r="LP19" s="1042" t="s">
        <v>1343</v>
      </c>
      <c r="LQ19" s="138"/>
      <c r="LR19" s="1013">
        <v>0.0</v>
      </c>
      <c r="LS19" s="1014">
        <v>0.0</v>
      </c>
      <c r="LT19" s="1015">
        <v>55.0</v>
      </c>
      <c r="LU19" s="442"/>
      <c r="LV19" s="1036"/>
      <c r="LW19" s="1074" t="s">
        <v>831</v>
      </c>
      <c r="LX19" s="1036" t="s">
        <v>4632</v>
      </c>
      <c r="LY19" s="1036">
        <v>10.0</v>
      </c>
      <c r="LZ19" s="1037">
        <v>10.0</v>
      </c>
      <c r="MA19" s="1074">
        <v>10.0</v>
      </c>
      <c r="MB19" s="996"/>
    </row>
    <row r="20" ht="15.75" customHeight="1">
      <c r="A20" s="10"/>
      <c r="B20" s="1155"/>
      <c r="C20" s="1154"/>
      <c r="D20" s="108"/>
      <c r="K20" s="108"/>
      <c r="L20" s="985" t="s">
        <v>4706</v>
      </c>
      <c r="M20" s="12"/>
      <c r="N20" s="12"/>
      <c r="O20" s="12"/>
      <c r="P20" s="12"/>
      <c r="Q20" s="48"/>
      <c r="R20" s="108"/>
      <c r="S20" s="1096"/>
      <c r="T20" s="1042" t="s">
        <v>1722</v>
      </c>
      <c r="U20" s="1108">
        <v>1.0</v>
      </c>
      <c r="V20" s="1013" t="s">
        <v>411</v>
      </c>
      <c r="W20" s="138"/>
      <c r="X20" s="128"/>
      <c r="Y20" s="442"/>
      <c r="Z20" s="1170"/>
      <c r="AA20" s="1050" t="s">
        <v>1665</v>
      </c>
      <c r="AB20" s="1187">
        <v>45814.0</v>
      </c>
      <c r="AC20" s="1051">
        <v>0.0</v>
      </c>
      <c r="AD20" s="1130">
        <v>0.0</v>
      </c>
      <c r="AE20" s="1131">
        <v>10.0</v>
      </c>
      <c r="AF20" s="442"/>
      <c r="AG20" s="985" t="s">
        <v>4758</v>
      </c>
      <c r="AH20" s="12"/>
      <c r="AI20" s="12"/>
      <c r="AJ20" s="1003" t="s">
        <v>4559</v>
      </c>
      <c r="AK20" s="1003" t="s">
        <v>4560</v>
      </c>
      <c r="AL20" s="1004" t="s">
        <v>914</v>
      </c>
      <c r="AM20" s="108"/>
      <c r="AN20" s="1013"/>
      <c r="AO20" s="1042" t="s">
        <v>1343</v>
      </c>
      <c r="AP20" s="128"/>
      <c r="AQ20" s="1013">
        <v>0.0</v>
      </c>
      <c r="AR20" s="1014">
        <v>0.0</v>
      </c>
      <c r="AS20" s="1015">
        <v>40.0</v>
      </c>
      <c r="AT20" s="108"/>
      <c r="AU20" s="1096"/>
      <c r="AV20" s="1042" t="s">
        <v>3227</v>
      </c>
      <c r="AW20" s="1108">
        <v>20.0</v>
      </c>
      <c r="AX20" s="1013" t="s">
        <v>411</v>
      </c>
      <c r="AY20" s="138"/>
      <c r="AZ20" s="128"/>
      <c r="BA20" s="108"/>
      <c r="BB20" s="983"/>
      <c r="BC20" s="978" t="s">
        <v>1530</v>
      </c>
      <c r="BD20" s="1043">
        <v>15.0</v>
      </c>
      <c r="BE20" s="977" t="s">
        <v>411</v>
      </c>
      <c r="BF20" s="984"/>
      <c r="BG20" s="319"/>
      <c r="BH20" s="442"/>
      <c r="BI20" s="1056"/>
      <c r="BJ20" s="1022" t="s">
        <v>978</v>
      </c>
      <c r="BK20" s="128"/>
      <c r="BL20" s="1021">
        <v>30.0</v>
      </c>
      <c r="BM20" s="1023">
        <v>30.0</v>
      </c>
      <c r="BN20" s="1024">
        <v>0.0</v>
      </c>
      <c r="BO20" s="108"/>
      <c r="BP20" s="1056"/>
      <c r="BQ20" s="1022" t="s">
        <v>978</v>
      </c>
      <c r="BR20" s="128"/>
      <c r="BS20" s="1021">
        <v>30.0</v>
      </c>
      <c r="BT20" s="1023">
        <v>30.0</v>
      </c>
      <c r="BU20" s="1024">
        <v>0.0</v>
      </c>
      <c r="BV20" s="108"/>
      <c r="BW20" s="985" t="s">
        <v>4759</v>
      </c>
      <c r="BX20" s="12"/>
      <c r="BY20" s="12"/>
      <c r="BZ20" s="12"/>
      <c r="CA20" s="12"/>
      <c r="CB20" s="48"/>
      <c r="CC20" s="108"/>
      <c r="CD20" s="1080"/>
      <c r="CE20" s="1164" t="s">
        <v>3176</v>
      </c>
      <c r="CF20" s="414"/>
      <c r="CG20" s="1086">
        <v>0.0</v>
      </c>
      <c r="CH20" s="1087">
        <v>0.0</v>
      </c>
      <c r="CI20" s="1088">
        <v>45.0</v>
      </c>
      <c r="CJ20" s="108"/>
      <c r="CK20" s="1188" t="s">
        <v>4760</v>
      </c>
      <c r="CL20" s="974"/>
      <c r="CM20" s="1189"/>
      <c r="CN20" s="976"/>
      <c r="CO20" s="976"/>
      <c r="CP20" s="974"/>
      <c r="CQ20" s="108"/>
      <c r="CR20" s="40"/>
      <c r="CS20" s="398" t="s">
        <v>2311</v>
      </c>
      <c r="CT20" s="1091">
        <v>60.0</v>
      </c>
      <c r="CU20" s="1092" t="s">
        <v>411</v>
      </c>
      <c r="CV20" s="12"/>
      <c r="CW20" s="48"/>
      <c r="CX20" s="108"/>
      <c r="CY20" s="1012"/>
      <c r="CZ20" s="89" t="s">
        <v>458</v>
      </c>
      <c r="DA20" s="1013" t="s">
        <v>4617</v>
      </c>
      <c r="DB20" s="1013">
        <v>10.0</v>
      </c>
      <c r="DC20" s="1014">
        <v>10.0</v>
      </c>
      <c r="DD20" s="1015">
        <v>10.0</v>
      </c>
      <c r="DE20" s="108"/>
      <c r="DL20" s="108"/>
      <c r="DM20" s="1013"/>
      <c r="DN20" s="1042" t="s">
        <v>1343</v>
      </c>
      <c r="DO20" s="128"/>
      <c r="DP20" s="1013">
        <v>0.0</v>
      </c>
      <c r="DQ20" s="1014">
        <v>0.0</v>
      </c>
      <c r="DR20" s="1015">
        <v>55.0</v>
      </c>
      <c r="DS20" s="108"/>
      <c r="DT20" s="1012"/>
      <c r="DU20" s="1098" t="s">
        <v>2914</v>
      </c>
      <c r="DV20" s="1013" t="s">
        <v>4761</v>
      </c>
      <c r="DW20" s="1013">
        <v>10.0</v>
      </c>
      <c r="DX20" s="1014">
        <v>10.0</v>
      </c>
      <c r="DY20" s="1015">
        <v>10.0</v>
      </c>
      <c r="DZ20" s="108"/>
      <c r="EA20" s="1012"/>
      <c r="EB20" s="1046" t="s">
        <v>3664</v>
      </c>
      <c r="EC20" s="1033" t="s">
        <v>4636</v>
      </c>
      <c r="ED20" s="1033">
        <v>20.0</v>
      </c>
      <c r="EE20" s="1034">
        <v>20.0</v>
      </c>
      <c r="EF20" s="1035">
        <v>20.0</v>
      </c>
      <c r="EG20" s="108"/>
      <c r="EH20" s="1012"/>
      <c r="EI20" s="1046" t="s">
        <v>3282</v>
      </c>
      <c r="EJ20" s="1033" t="s">
        <v>4621</v>
      </c>
      <c r="EK20" s="1033">
        <v>20.0</v>
      </c>
      <c r="EL20" s="1034">
        <v>20.0</v>
      </c>
      <c r="EM20" s="1035">
        <v>20.0</v>
      </c>
      <c r="EN20" s="108"/>
      <c r="EO20" s="985" t="s">
        <v>2416</v>
      </c>
      <c r="EP20" s="12"/>
      <c r="EQ20" s="12"/>
      <c r="ER20" s="12"/>
      <c r="ES20" s="12"/>
      <c r="ET20" s="48"/>
      <c r="EU20" s="108"/>
      <c r="EV20" s="956" t="s">
        <v>4762</v>
      </c>
      <c r="EW20" s="957"/>
      <c r="EX20" s="963"/>
      <c r="EY20" s="12"/>
      <c r="EZ20" s="12"/>
      <c r="FA20" s="48"/>
      <c r="FB20" s="108"/>
      <c r="FC20" s="985" t="s">
        <v>4763</v>
      </c>
      <c r="FD20" s="12"/>
      <c r="FE20" s="12"/>
      <c r="FF20" s="12"/>
      <c r="FG20" s="12"/>
      <c r="FH20" s="48"/>
      <c r="FI20" s="108"/>
      <c r="FJ20" s="1012"/>
      <c r="FK20" s="1042" t="s">
        <v>2962</v>
      </c>
      <c r="FL20" s="138"/>
      <c r="FM20" s="1013">
        <v>30.0</v>
      </c>
      <c r="FN20" s="1014">
        <v>30.0</v>
      </c>
      <c r="FO20" s="1015">
        <v>0.0</v>
      </c>
      <c r="FP20" s="108"/>
      <c r="FQ20" s="1068"/>
      <c r="FR20" s="1076" t="s">
        <v>1901</v>
      </c>
      <c r="FS20" s="1072" t="s">
        <v>4600</v>
      </c>
      <c r="FT20" s="1071">
        <v>20.0</v>
      </c>
      <c r="FU20" s="1072">
        <v>20.0</v>
      </c>
      <c r="FV20" s="1073">
        <v>20.0</v>
      </c>
      <c r="FW20" s="108"/>
      <c r="FX20" s="985" t="s">
        <v>2416</v>
      </c>
      <c r="FY20" s="12"/>
      <c r="FZ20" s="12"/>
      <c r="GA20" s="12"/>
      <c r="GB20" s="12"/>
      <c r="GC20" s="48"/>
      <c r="GD20" s="108"/>
      <c r="GE20" s="1012"/>
      <c r="GF20" s="1042" t="s">
        <v>1489</v>
      </c>
      <c r="GG20" s="138"/>
      <c r="GH20" s="1013">
        <v>30.0</v>
      </c>
      <c r="GI20" s="1014">
        <v>30.0</v>
      </c>
      <c r="GJ20" s="1015">
        <v>0.0</v>
      </c>
      <c r="GK20" s="108"/>
      <c r="GL20" s="1056"/>
      <c r="GM20" s="1089" t="s">
        <v>4117</v>
      </c>
      <c r="GN20" s="1021" t="s">
        <v>4601</v>
      </c>
      <c r="GO20" s="1090">
        <v>30.0</v>
      </c>
      <c r="GP20" s="138"/>
      <c r="GQ20" s="128"/>
      <c r="GR20" s="442"/>
      <c r="GS20" s="1056"/>
      <c r="GT20" s="1022" t="s">
        <v>1057</v>
      </c>
      <c r="GU20" s="1057"/>
      <c r="GV20" s="1021">
        <v>0.0</v>
      </c>
      <c r="GW20" s="1023">
        <v>0.0</v>
      </c>
      <c r="GX20" s="1024">
        <v>40.0</v>
      </c>
      <c r="GY20" s="442"/>
      <c r="GZ20" s="1056"/>
      <c r="HA20" s="1022" t="s">
        <v>4111</v>
      </c>
      <c r="HB20" s="1057"/>
      <c r="HC20" s="1021">
        <v>0.0</v>
      </c>
      <c r="HD20" s="1023">
        <v>0.0</v>
      </c>
      <c r="HE20" s="1024">
        <v>45.0</v>
      </c>
      <c r="HF20" s="442"/>
      <c r="HG20" s="1012"/>
      <c r="HH20" s="1042" t="s">
        <v>1253</v>
      </c>
      <c r="HI20" s="138"/>
      <c r="HJ20" s="1013">
        <v>30.0</v>
      </c>
      <c r="HK20" s="1014">
        <v>30.0</v>
      </c>
      <c r="HL20" s="1015">
        <v>0.0</v>
      </c>
      <c r="HM20" s="442"/>
      <c r="HN20" s="1012"/>
      <c r="HO20" s="1042" t="s">
        <v>2598</v>
      </c>
      <c r="HP20" s="1013" t="s">
        <v>4640</v>
      </c>
      <c r="HQ20" s="1013">
        <v>5.0</v>
      </c>
      <c r="HR20" s="138"/>
      <c r="HS20" s="128"/>
      <c r="HT20" s="442"/>
      <c r="HU20" s="1068"/>
      <c r="HV20" s="1076" t="s">
        <v>3350</v>
      </c>
      <c r="HW20" s="1072" t="s">
        <v>4642</v>
      </c>
      <c r="HX20" s="1071">
        <v>20.0</v>
      </c>
      <c r="HY20" s="1072">
        <v>20.0</v>
      </c>
      <c r="HZ20" s="1073">
        <v>20.0</v>
      </c>
      <c r="IA20" s="442"/>
      <c r="IB20" s="1012"/>
      <c r="IC20" s="1042" t="s">
        <v>1292</v>
      </c>
      <c r="ID20" s="1013" t="s">
        <v>4545</v>
      </c>
      <c r="IE20" s="1013">
        <v>10.0</v>
      </c>
      <c r="IF20" s="1014">
        <v>10.0</v>
      </c>
      <c r="IG20" s="1015">
        <v>10.0</v>
      </c>
      <c r="IH20" s="442"/>
      <c r="II20" s="1012"/>
      <c r="IJ20" s="1098" t="s">
        <v>2210</v>
      </c>
      <c r="IK20" s="1014" t="s">
        <v>4645</v>
      </c>
      <c r="IL20" s="1013">
        <v>10.0</v>
      </c>
      <c r="IM20" s="1014">
        <v>10.0</v>
      </c>
      <c r="IN20" s="1015">
        <v>10.0</v>
      </c>
      <c r="IO20" s="442"/>
      <c r="IP20" s="1005" t="s">
        <v>4764</v>
      </c>
      <c r="IQ20" s="12"/>
      <c r="IR20" s="962"/>
      <c r="IS20" s="1008" t="s">
        <v>4559</v>
      </c>
      <c r="IT20" s="1008" t="s">
        <v>4560</v>
      </c>
      <c r="IU20" s="1009" t="s">
        <v>914</v>
      </c>
      <c r="IV20" s="442"/>
      <c r="IW20" s="1012"/>
      <c r="IX20" s="1031" t="s">
        <v>1336</v>
      </c>
      <c r="IY20" s="1032"/>
      <c r="IZ20" s="1033">
        <v>100.0</v>
      </c>
      <c r="JA20" s="1034">
        <v>100.0</v>
      </c>
      <c r="JB20" s="1035">
        <v>0.0</v>
      </c>
      <c r="JC20" s="442"/>
      <c r="JD20" s="40"/>
      <c r="JE20" s="398" t="s">
        <v>4307</v>
      </c>
      <c r="JF20" s="1091">
        <v>60.0</v>
      </c>
      <c r="JG20" s="1092" t="s">
        <v>411</v>
      </c>
      <c r="JH20" s="12"/>
      <c r="JI20" s="48"/>
      <c r="JJ20" s="442"/>
      <c r="JK20" s="1056"/>
      <c r="JL20" s="1022" t="s">
        <v>1047</v>
      </c>
      <c r="JM20" s="1057"/>
      <c r="JN20" s="1021">
        <v>30.0</v>
      </c>
      <c r="JO20" s="1023">
        <v>30.0</v>
      </c>
      <c r="JP20" s="1024">
        <v>0.0</v>
      </c>
      <c r="JQ20" s="442"/>
      <c r="JR20" s="1012"/>
      <c r="JS20" s="1042" t="s">
        <v>1107</v>
      </c>
      <c r="JT20" s="1013" t="s">
        <v>4549</v>
      </c>
      <c r="JU20" s="1013">
        <v>10.0</v>
      </c>
      <c r="JV20" s="1014">
        <v>10.0</v>
      </c>
      <c r="JW20" s="1015">
        <v>10.0</v>
      </c>
      <c r="JX20" s="442"/>
      <c r="JY20" s="956" t="s">
        <v>4765</v>
      </c>
      <c r="JZ20" s="957"/>
      <c r="KA20" s="958"/>
      <c r="KB20" s="959"/>
      <c r="KC20" s="959"/>
      <c r="KD20" s="960"/>
      <c r="KE20" s="442"/>
      <c r="KF20" s="442"/>
      <c r="KG20" s="442"/>
      <c r="KH20" s="442"/>
      <c r="KI20" s="442"/>
      <c r="KJ20" s="442"/>
      <c r="KK20" s="442"/>
      <c r="KL20" s="442"/>
      <c r="KM20" s="985" t="s">
        <v>4704</v>
      </c>
      <c r="KN20" s="12"/>
      <c r="KO20" s="12"/>
      <c r="KP20" s="12"/>
      <c r="KQ20" s="12"/>
      <c r="KR20" s="48"/>
      <c r="KS20" s="442"/>
      <c r="KT20" s="956" t="s">
        <v>4766</v>
      </c>
      <c r="KU20" s="957"/>
      <c r="KV20" s="958"/>
      <c r="KW20" s="959"/>
      <c r="KX20" s="959"/>
      <c r="KY20" s="960"/>
      <c r="KZ20" s="442"/>
      <c r="LA20" s="1012"/>
      <c r="LB20" s="1031" t="s">
        <v>1336</v>
      </c>
      <c r="LC20" s="1032"/>
      <c r="LD20" s="1033">
        <v>40.0</v>
      </c>
      <c r="LE20" s="1034">
        <v>40.0</v>
      </c>
      <c r="LF20" s="1035">
        <v>0.0</v>
      </c>
      <c r="LG20" s="442"/>
      <c r="LH20" s="1061" t="s">
        <v>4610</v>
      </c>
      <c r="LI20" s="959"/>
      <c r="LJ20" s="957"/>
      <c r="LK20" s="1062" t="s">
        <v>4608</v>
      </c>
      <c r="LL20" s="959"/>
      <c r="LM20" s="960"/>
      <c r="LN20" s="442"/>
      <c r="LO20" s="1105"/>
      <c r="LP20" s="1085" t="s">
        <v>1242</v>
      </c>
      <c r="LQ20" s="1124"/>
      <c r="LR20" s="1080">
        <v>0.0</v>
      </c>
      <c r="LS20" s="1125">
        <v>0.0</v>
      </c>
      <c r="LT20" s="1126">
        <v>45.0</v>
      </c>
      <c r="LU20" s="442"/>
      <c r="LV20" s="1012"/>
      <c r="LW20" s="1042" t="s">
        <v>759</v>
      </c>
      <c r="LX20" s="1096" t="s">
        <v>4632</v>
      </c>
      <c r="LY20" s="1096">
        <v>10.0</v>
      </c>
      <c r="LZ20" s="1042">
        <v>10.0</v>
      </c>
      <c r="MA20" s="1098">
        <v>10.0</v>
      </c>
      <c r="MB20" s="996"/>
    </row>
    <row r="21" ht="15.75" customHeight="1">
      <c r="A21" s="10"/>
      <c r="B21" s="997"/>
      <c r="C21" s="998"/>
      <c r="D21" s="108"/>
      <c r="E21" s="1190" t="s">
        <v>4767</v>
      </c>
      <c r="F21" s="1191"/>
      <c r="G21" s="966"/>
      <c r="H21" s="967"/>
      <c r="I21" s="967"/>
      <c r="J21" s="263"/>
      <c r="K21" s="108"/>
      <c r="L21" s="1121" t="s">
        <v>4610</v>
      </c>
      <c r="M21" s="12"/>
      <c r="N21" s="962"/>
      <c r="O21" s="1186" t="s">
        <v>4608</v>
      </c>
      <c r="P21" s="12"/>
      <c r="Q21" s="48"/>
      <c r="R21" s="108"/>
      <c r="S21" s="1064"/>
      <c r="T21" s="1065" t="s">
        <v>1730</v>
      </c>
      <c r="U21" s="1066">
        <v>1.0</v>
      </c>
      <c r="V21" s="1067" t="s">
        <v>411</v>
      </c>
      <c r="W21" s="138"/>
      <c r="X21" s="128"/>
      <c r="Y21" s="108"/>
      <c r="Z21" s="985" t="s">
        <v>2416</v>
      </c>
      <c r="AA21" s="12"/>
      <c r="AB21" s="12"/>
      <c r="AC21" s="12"/>
      <c r="AD21" s="12"/>
      <c r="AE21" s="48"/>
      <c r="AF21" s="108"/>
      <c r="AG21" s="1012"/>
      <c r="AH21" s="1046" t="s">
        <v>3657</v>
      </c>
      <c r="AI21" s="1045">
        <v>45876.0</v>
      </c>
      <c r="AJ21" s="1033">
        <v>25.0</v>
      </c>
      <c r="AK21" s="1034">
        <v>25.0</v>
      </c>
      <c r="AL21" s="1035">
        <v>25.0</v>
      </c>
      <c r="AM21" s="108"/>
      <c r="AN21" s="1080"/>
      <c r="AO21" s="1085" t="s">
        <v>3158</v>
      </c>
      <c r="AP21" s="414"/>
      <c r="AQ21" s="1080">
        <v>0.0</v>
      </c>
      <c r="AR21" s="1125">
        <v>0.0</v>
      </c>
      <c r="AS21" s="1126">
        <v>45.0</v>
      </c>
      <c r="AT21" s="108"/>
      <c r="AU21" s="1064"/>
      <c r="AV21" s="1065" t="s">
        <v>3744</v>
      </c>
      <c r="AW21" s="1066">
        <v>20.0</v>
      </c>
      <c r="AX21" s="1067" t="s">
        <v>411</v>
      </c>
      <c r="AY21" s="138"/>
      <c r="AZ21" s="128"/>
      <c r="BA21" s="108"/>
      <c r="BB21" s="1064"/>
      <c r="BC21" s="1065" t="s">
        <v>1557</v>
      </c>
      <c r="BD21" s="1066">
        <v>15.0</v>
      </c>
      <c r="BE21" s="1067" t="s">
        <v>411</v>
      </c>
      <c r="BF21" s="138"/>
      <c r="BG21" s="128"/>
      <c r="BH21" s="442"/>
      <c r="BI21" s="1012"/>
      <c r="BJ21" s="1042" t="s">
        <v>1687</v>
      </c>
      <c r="BK21" s="128"/>
      <c r="BL21" s="1013">
        <v>30.0</v>
      </c>
      <c r="BM21" s="1014">
        <v>30.0</v>
      </c>
      <c r="BN21" s="1015">
        <v>0.0</v>
      </c>
      <c r="BO21" s="108"/>
      <c r="BP21" s="1012"/>
      <c r="BQ21" s="1042" t="s">
        <v>1687</v>
      </c>
      <c r="BR21" s="128"/>
      <c r="BS21" s="1013">
        <v>30.0</v>
      </c>
      <c r="BT21" s="1014">
        <v>30.0</v>
      </c>
      <c r="BU21" s="1015">
        <v>0.0</v>
      </c>
      <c r="BV21" s="108"/>
      <c r="BW21" s="1144"/>
      <c r="BX21" s="398" t="s">
        <v>210</v>
      </c>
      <c r="BY21" s="48"/>
      <c r="BZ21" s="1053">
        <v>100.0</v>
      </c>
      <c r="CA21" s="1026"/>
      <c r="CB21" s="998"/>
      <c r="CC21" s="108"/>
      <c r="CD21" s="40" t="s">
        <v>4768</v>
      </c>
      <c r="CE21" s="12"/>
      <c r="CF21" s="12"/>
      <c r="CG21" s="12"/>
      <c r="CH21" s="12"/>
      <c r="CI21" s="48"/>
      <c r="CJ21" s="108"/>
      <c r="CK21" s="997"/>
      <c r="CL21" s="1192"/>
      <c r="CM21" s="1025"/>
      <c r="CN21" s="1026"/>
      <c r="CO21" s="1026"/>
      <c r="CP21" s="1192"/>
      <c r="CQ21" s="108"/>
      <c r="CR21" s="442"/>
      <c r="CS21" s="442"/>
      <c r="CT21" s="442"/>
      <c r="CU21" s="442"/>
      <c r="CV21" s="442"/>
      <c r="CW21" s="442"/>
      <c r="CX21" s="108"/>
      <c r="CY21" s="1036"/>
      <c r="CZ21" s="1048" t="s">
        <v>2770</v>
      </c>
      <c r="DA21" s="1038" t="s">
        <v>4617</v>
      </c>
      <c r="DB21" s="1038">
        <v>10.0</v>
      </c>
      <c r="DC21" s="1039">
        <v>10.0</v>
      </c>
      <c r="DD21" s="1040">
        <v>10.0</v>
      </c>
      <c r="DE21" s="108"/>
      <c r="DF21" s="956" t="s">
        <v>4769</v>
      </c>
      <c r="DG21" s="957"/>
      <c r="DH21" s="958"/>
      <c r="DI21" s="959"/>
      <c r="DJ21" s="959"/>
      <c r="DK21" s="960"/>
      <c r="DL21" s="108"/>
      <c r="DM21" s="1080"/>
      <c r="DN21" s="1085" t="s">
        <v>3158</v>
      </c>
      <c r="DO21" s="414"/>
      <c r="DP21" s="1080">
        <v>0.0</v>
      </c>
      <c r="DQ21" s="1125">
        <v>0.0</v>
      </c>
      <c r="DR21" s="1126">
        <v>45.0</v>
      </c>
      <c r="DS21" s="108"/>
      <c r="DT21" s="1068"/>
      <c r="DU21" s="1076" t="s">
        <v>785</v>
      </c>
      <c r="DV21" s="1071" t="s">
        <v>4636</v>
      </c>
      <c r="DW21" s="1071">
        <v>10.0</v>
      </c>
      <c r="DX21" s="1072">
        <v>10.0</v>
      </c>
      <c r="DY21" s="1073">
        <v>10.0</v>
      </c>
      <c r="DZ21" s="108"/>
      <c r="EA21" s="1068"/>
      <c r="EB21" s="1076" t="s">
        <v>3934</v>
      </c>
      <c r="EC21" s="1071" t="s">
        <v>4761</v>
      </c>
      <c r="ED21" s="1071">
        <v>20.0</v>
      </c>
      <c r="EE21" s="1072">
        <v>20.0</v>
      </c>
      <c r="EF21" s="1073">
        <v>20.0</v>
      </c>
      <c r="EG21" s="108"/>
      <c r="EH21" s="1100"/>
      <c r="EI21" s="1158" t="s">
        <v>3299</v>
      </c>
      <c r="EJ21" s="1102" t="s">
        <v>4621</v>
      </c>
      <c r="EK21" s="1102">
        <v>20.0</v>
      </c>
      <c r="EL21" s="1103">
        <v>20.0</v>
      </c>
      <c r="EM21" s="1104">
        <v>20.0</v>
      </c>
      <c r="EN21" s="108"/>
      <c r="EO21" s="40"/>
      <c r="EP21" s="1052" t="s">
        <v>3273</v>
      </c>
      <c r="EQ21" s="108" t="s">
        <v>4638</v>
      </c>
      <c r="ER21" s="10">
        <v>22.0</v>
      </c>
      <c r="ET21" s="1154"/>
      <c r="EU21" s="108"/>
      <c r="EV21" s="985" t="s">
        <v>4704</v>
      </c>
      <c r="EW21" s="12"/>
      <c r="EX21" s="12"/>
      <c r="EY21" s="12"/>
      <c r="EZ21" s="12"/>
      <c r="FA21" s="48"/>
      <c r="FB21" s="108"/>
      <c r="FC21" s="1012"/>
      <c r="FD21" s="1031" t="s">
        <v>1858</v>
      </c>
      <c r="FE21" s="1032"/>
      <c r="FF21" s="1033">
        <v>30.0</v>
      </c>
      <c r="FG21" s="1032"/>
      <c r="FH21" s="30"/>
      <c r="FI21" s="108"/>
      <c r="FJ21" s="1056"/>
      <c r="FK21" s="1022" t="s">
        <v>1343</v>
      </c>
      <c r="FL21" s="1057"/>
      <c r="FM21" s="1021">
        <v>0.0</v>
      </c>
      <c r="FN21" s="1023">
        <v>0.0</v>
      </c>
      <c r="FO21" s="1024">
        <v>40.0</v>
      </c>
      <c r="FP21" s="108"/>
      <c r="FQ21" s="1012"/>
      <c r="FR21" s="1098" t="s">
        <v>3317</v>
      </c>
      <c r="FS21" s="1014" t="s">
        <v>4770</v>
      </c>
      <c r="FT21" s="1013">
        <v>20.0</v>
      </c>
      <c r="FU21" s="1014">
        <v>20.0</v>
      </c>
      <c r="FV21" s="1015">
        <v>20.0</v>
      </c>
      <c r="FW21" s="108"/>
      <c r="FX21" s="1012"/>
      <c r="FY21" s="1046" t="s">
        <v>969</v>
      </c>
      <c r="FZ21" s="1034" t="s">
        <v>4639</v>
      </c>
      <c r="GA21" s="1033">
        <v>11.0</v>
      </c>
      <c r="GB21" s="1032"/>
      <c r="GC21" s="30"/>
      <c r="GD21" s="108"/>
      <c r="GE21" s="1056"/>
      <c r="GF21" s="1022" t="s">
        <v>1343</v>
      </c>
      <c r="GG21" s="1057"/>
      <c r="GH21" s="1021">
        <v>0.0</v>
      </c>
      <c r="GI21" s="1023">
        <v>0.0</v>
      </c>
      <c r="GJ21" s="1024">
        <v>40.0</v>
      </c>
      <c r="GK21" s="108"/>
      <c r="GL21" s="1012"/>
      <c r="GM21" s="1042" t="s">
        <v>2598</v>
      </c>
      <c r="GN21" s="1013" t="s">
        <v>4640</v>
      </c>
      <c r="GO21" s="1013">
        <v>5.0</v>
      </c>
      <c r="GP21" s="138"/>
      <c r="GQ21" s="128"/>
      <c r="GR21" s="442"/>
      <c r="GS21" s="1012"/>
      <c r="GT21" s="1042" t="s">
        <v>1219</v>
      </c>
      <c r="GU21" s="138"/>
      <c r="GV21" s="1013">
        <v>0.0</v>
      </c>
      <c r="GW21" s="1014">
        <v>0.0</v>
      </c>
      <c r="GX21" s="1015">
        <v>30.0</v>
      </c>
      <c r="GY21" s="442"/>
      <c r="GZ21" s="1012"/>
      <c r="HA21" s="1128" t="s">
        <v>978</v>
      </c>
      <c r="HB21" s="1150"/>
      <c r="HC21" s="1082">
        <v>0.0</v>
      </c>
      <c r="HD21" s="1083">
        <v>0.0</v>
      </c>
      <c r="HE21" s="1084">
        <v>15.0</v>
      </c>
      <c r="HF21" s="442"/>
      <c r="HG21" s="1056"/>
      <c r="HH21" s="1022" t="s">
        <v>1343</v>
      </c>
      <c r="HI21" s="1057"/>
      <c r="HJ21" s="1021">
        <v>0.0</v>
      </c>
      <c r="HK21" s="1023">
        <v>0.0</v>
      </c>
      <c r="HL21" s="1024">
        <v>40.0</v>
      </c>
      <c r="HM21" s="442"/>
      <c r="HN21" s="1056"/>
      <c r="HO21" s="1116" t="s">
        <v>812</v>
      </c>
      <c r="HP21" s="1086" t="s">
        <v>4640</v>
      </c>
      <c r="HQ21" s="1117">
        <v>5.0</v>
      </c>
      <c r="HR21" s="306"/>
      <c r="HS21" s="307"/>
      <c r="HT21" s="442"/>
      <c r="HU21" s="1012"/>
      <c r="HV21" s="1098" t="s">
        <v>2075</v>
      </c>
      <c r="HW21" s="1014" t="s">
        <v>4755</v>
      </c>
      <c r="HX21" s="1013">
        <v>10.0</v>
      </c>
      <c r="HY21" s="1014">
        <v>10.0</v>
      </c>
      <c r="HZ21" s="1015">
        <v>10.0</v>
      </c>
      <c r="IA21" s="442"/>
      <c r="IB21" s="1100"/>
      <c r="IC21" s="1101" t="s">
        <v>3360</v>
      </c>
      <c r="ID21" s="1102" t="s">
        <v>4545</v>
      </c>
      <c r="IE21" s="1102">
        <v>5.0</v>
      </c>
      <c r="IF21" s="1103">
        <v>5.0</v>
      </c>
      <c r="IG21" s="1104">
        <v>5.0</v>
      </c>
      <c r="IH21" s="442"/>
      <c r="II21" s="1068"/>
      <c r="IJ21" s="1145" t="s">
        <v>2091</v>
      </c>
      <c r="IK21" s="1138" t="s">
        <v>4645</v>
      </c>
      <c r="IL21" s="1137">
        <v>10.0</v>
      </c>
      <c r="IM21" s="1138">
        <v>10.0</v>
      </c>
      <c r="IN21" s="1139">
        <v>10.0</v>
      </c>
      <c r="IO21" s="442"/>
      <c r="IP21" s="1012"/>
      <c r="IQ21" s="1031" t="s">
        <v>831</v>
      </c>
      <c r="IR21" s="1033" t="s">
        <v>4744</v>
      </c>
      <c r="IS21" s="1033">
        <v>20.0</v>
      </c>
      <c r="IT21" s="1034">
        <v>20.0</v>
      </c>
      <c r="IU21" s="1035">
        <v>20.0</v>
      </c>
      <c r="IV21" s="442"/>
      <c r="IW21" s="1105"/>
      <c r="IX21" s="1085" t="s">
        <v>1343</v>
      </c>
      <c r="IY21" s="1124"/>
      <c r="IZ21" s="1080">
        <v>0.0</v>
      </c>
      <c r="JA21" s="1125">
        <v>0.0</v>
      </c>
      <c r="JB21" s="1126">
        <v>100.0</v>
      </c>
      <c r="JC21" s="442"/>
      <c r="JJ21" s="442"/>
      <c r="JK21" s="1012"/>
      <c r="JL21" s="1042" t="s">
        <v>1253</v>
      </c>
      <c r="JM21" s="138"/>
      <c r="JN21" s="1013">
        <v>30.0</v>
      </c>
      <c r="JO21" s="1014">
        <v>30.0</v>
      </c>
      <c r="JP21" s="1015">
        <v>0.0</v>
      </c>
      <c r="JQ21" s="442"/>
      <c r="JR21" s="1132"/>
      <c r="JS21" s="1133" t="s">
        <v>4025</v>
      </c>
      <c r="JT21" s="1112" t="s">
        <v>4549</v>
      </c>
      <c r="JU21" s="1112">
        <v>10.0</v>
      </c>
      <c r="JV21" s="1113">
        <v>10.0</v>
      </c>
      <c r="JW21" s="1114">
        <v>10.0</v>
      </c>
      <c r="JX21" s="442"/>
      <c r="JY21" s="985" t="s">
        <v>4771</v>
      </c>
      <c r="JZ21" s="12"/>
      <c r="KA21" s="12"/>
      <c r="KB21" s="1003" t="s">
        <v>4559</v>
      </c>
      <c r="KC21" s="1003" t="s">
        <v>4560</v>
      </c>
      <c r="KD21" s="1004" t="s">
        <v>914</v>
      </c>
      <c r="KE21" s="442"/>
      <c r="KL21" s="442"/>
      <c r="KM21" s="1061" t="s">
        <v>4610</v>
      </c>
      <c r="KN21" s="959"/>
      <c r="KO21" s="957"/>
      <c r="KP21" s="1062" t="s">
        <v>4608</v>
      </c>
      <c r="KQ21" s="959"/>
      <c r="KR21" s="960"/>
      <c r="KS21" s="442"/>
      <c r="KT21" s="985" t="s">
        <v>4587</v>
      </c>
      <c r="KU21" s="12"/>
      <c r="KV21" s="12"/>
      <c r="KW21" s="1003" t="s">
        <v>4559</v>
      </c>
      <c r="KX21" s="1003" t="s">
        <v>4560</v>
      </c>
      <c r="KY21" s="1004" t="s">
        <v>914</v>
      </c>
      <c r="KZ21" s="442"/>
      <c r="LA21" s="1056"/>
      <c r="LB21" s="1022" t="s">
        <v>1209</v>
      </c>
      <c r="LC21" s="1057"/>
      <c r="LD21" s="1021">
        <v>30.0</v>
      </c>
      <c r="LE21" s="1023">
        <v>30.0</v>
      </c>
      <c r="LF21" s="1024">
        <v>0.0</v>
      </c>
      <c r="LG21" s="442"/>
      <c r="LH21" s="40"/>
      <c r="LI21" s="398" t="s">
        <v>3493</v>
      </c>
      <c r="LJ21" s="1091">
        <v>60.0</v>
      </c>
      <c r="LK21" s="1092" t="s">
        <v>411</v>
      </c>
      <c r="LL21" s="12"/>
      <c r="LM21" s="48"/>
      <c r="LN21" s="442"/>
      <c r="LU21" s="442"/>
      <c r="LV21" s="1036"/>
      <c r="LW21" s="1037" t="s">
        <v>1152</v>
      </c>
      <c r="LX21" s="1036" t="s">
        <v>4690</v>
      </c>
      <c r="LY21" s="1036">
        <v>10.0</v>
      </c>
      <c r="LZ21" s="1037">
        <v>10.0</v>
      </c>
      <c r="MA21" s="1074">
        <v>10.0</v>
      </c>
      <c r="MB21" s="996"/>
    </row>
    <row r="22" ht="15.75" customHeight="1">
      <c r="A22" s="10"/>
      <c r="B22" s="442"/>
      <c r="C22" s="442"/>
      <c r="D22" s="108"/>
      <c r="E22" s="999" t="s">
        <v>4772</v>
      </c>
      <c r="F22" s="959"/>
      <c r="G22" s="959"/>
      <c r="H22" s="959"/>
      <c r="I22" s="959"/>
      <c r="J22" s="960"/>
      <c r="K22" s="108"/>
      <c r="L22" s="1053"/>
      <c r="M22" s="398" t="s">
        <v>4311</v>
      </c>
      <c r="N22" s="1091">
        <v>60.0</v>
      </c>
      <c r="O22" s="1092" t="s">
        <v>411</v>
      </c>
      <c r="P22" s="12"/>
      <c r="Q22" s="48"/>
      <c r="R22" s="108"/>
      <c r="S22" s="1096"/>
      <c r="T22" s="1042" t="s">
        <v>2239</v>
      </c>
      <c r="U22" s="1108">
        <v>1.0</v>
      </c>
      <c r="V22" s="1013" t="s">
        <v>411</v>
      </c>
      <c r="W22" s="138"/>
      <c r="X22" s="128"/>
      <c r="Y22" s="108"/>
      <c r="Z22" s="1144"/>
      <c r="AA22" s="1063" t="s">
        <v>2914</v>
      </c>
      <c r="AB22" s="1156">
        <v>45844.0</v>
      </c>
      <c r="AC22" s="1053">
        <v>22.0</v>
      </c>
      <c r="AD22" s="1026"/>
      <c r="AE22" s="998"/>
      <c r="AF22" s="108"/>
      <c r="AG22" s="1068"/>
      <c r="AH22" s="1076" t="s">
        <v>3677</v>
      </c>
      <c r="AI22" s="1070">
        <v>45845.0</v>
      </c>
      <c r="AJ22" s="1071">
        <v>20.0</v>
      </c>
      <c r="AK22" s="1072">
        <v>20.0</v>
      </c>
      <c r="AL22" s="1073">
        <v>20.0</v>
      </c>
      <c r="AM22" s="108"/>
      <c r="AN22" s="985" t="s">
        <v>4773</v>
      </c>
      <c r="AO22" s="12"/>
      <c r="AP22" s="12"/>
      <c r="AQ22" s="12"/>
      <c r="AR22" s="12"/>
      <c r="AS22" s="48"/>
      <c r="AT22" s="108"/>
      <c r="AU22" s="1094"/>
      <c r="AV22" s="1050" t="s">
        <v>3757</v>
      </c>
      <c r="AW22" s="1095">
        <v>20.0</v>
      </c>
      <c r="AX22" s="1051" t="s">
        <v>411</v>
      </c>
      <c r="AY22" s="413"/>
      <c r="AZ22" s="414"/>
      <c r="BA22" s="108"/>
      <c r="BB22" s="1094"/>
      <c r="BC22" s="1050" t="s">
        <v>1584</v>
      </c>
      <c r="BD22" s="1095">
        <v>15.0</v>
      </c>
      <c r="BE22" s="1051" t="s">
        <v>411</v>
      </c>
      <c r="BF22" s="413"/>
      <c r="BG22" s="414"/>
      <c r="BH22" s="442"/>
      <c r="BI22" s="1056"/>
      <c r="BJ22" s="1022" t="s">
        <v>1343</v>
      </c>
      <c r="BK22" s="128"/>
      <c r="BL22" s="1021">
        <v>0.0</v>
      </c>
      <c r="BM22" s="1023">
        <v>0.0</v>
      </c>
      <c r="BN22" s="1024">
        <v>40.0</v>
      </c>
      <c r="BO22" s="108"/>
      <c r="BP22" s="1056"/>
      <c r="BQ22" s="1022" t="s">
        <v>1343</v>
      </c>
      <c r="BR22" s="128"/>
      <c r="BS22" s="1021">
        <v>0.0</v>
      </c>
      <c r="BT22" s="1023">
        <v>0.0</v>
      </c>
      <c r="BU22" s="1024">
        <v>40.0</v>
      </c>
      <c r="BV22" s="108"/>
      <c r="BW22" s="442"/>
      <c r="BX22" s="442"/>
      <c r="BY22" s="442"/>
      <c r="BZ22" s="442"/>
      <c r="CA22" s="442"/>
      <c r="CB22" s="442"/>
      <c r="CC22" s="108"/>
      <c r="CD22" s="1012"/>
      <c r="CE22" s="1115" t="s">
        <v>3657</v>
      </c>
      <c r="CF22" s="319"/>
      <c r="CG22" s="1033">
        <v>30.0</v>
      </c>
      <c r="CH22" s="1032"/>
      <c r="CI22" s="30"/>
      <c r="CJ22" s="108"/>
      <c r="CK22" s="1041" t="s">
        <v>4774</v>
      </c>
      <c r="CL22" s="12"/>
      <c r="CM22" s="12"/>
      <c r="CN22" s="12"/>
      <c r="CO22" s="12"/>
      <c r="CP22" s="48"/>
      <c r="CQ22" s="108"/>
      <c r="CR22" s="973" t="s">
        <v>4775</v>
      </c>
      <c r="CS22" s="974"/>
      <c r="CT22" s="975"/>
      <c r="CU22" s="976"/>
      <c r="CV22" s="976"/>
      <c r="CW22" s="954"/>
      <c r="CX22" s="108"/>
      <c r="CY22" s="1012"/>
      <c r="CZ22" s="89" t="s">
        <v>3324</v>
      </c>
      <c r="DA22" s="1013" t="s">
        <v>4593</v>
      </c>
      <c r="DB22" s="1013">
        <v>10.0</v>
      </c>
      <c r="DC22" s="1014">
        <v>10.0</v>
      </c>
      <c r="DD22" s="1015">
        <v>10.0</v>
      </c>
      <c r="DE22" s="108"/>
      <c r="DF22" s="40" t="s">
        <v>4776</v>
      </c>
      <c r="DG22" s="12"/>
      <c r="DH22" s="12"/>
      <c r="DI22" s="1008" t="s">
        <v>4559</v>
      </c>
      <c r="DJ22" s="1008" t="s">
        <v>4560</v>
      </c>
      <c r="DK22" s="1009" t="s">
        <v>914</v>
      </c>
      <c r="DL22" s="108"/>
      <c r="DS22" s="108"/>
      <c r="DT22" s="1012"/>
      <c r="DU22" s="1098" t="s">
        <v>550</v>
      </c>
      <c r="DV22" s="1013" t="s">
        <v>4636</v>
      </c>
      <c r="DW22" s="1013">
        <v>10.0</v>
      </c>
      <c r="DX22" s="1014">
        <v>10.0</v>
      </c>
      <c r="DY22" s="1015">
        <v>10.0</v>
      </c>
      <c r="DZ22" s="108"/>
      <c r="EA22" s="1012"/>
      <c r="EB22" s="1098" t="s">
        <v>483</v>
      </c>
      <c r="EC22" s="1013" t="s">
        <v>4761</v>
      </c>
      <c r="ED22" s="1013">
        <v>10.0</v>
      </c>
      <c r="EE22" s="1014">
        <v>10.0</v>
      </c>
      <c r="EF22" s="1015">
        <v>10.0</v>
      </c>
      <c r="EG22" s="108"/>
      <c r="EH22" s="1012"/>
      <c r="EI22" s="1098" t="s">
        <v>535</v>
      </c>
      <c r="EJ22" s="1013" t="s">
        <v>4654</v>
      </c>
      <c r="EK22" s="1013">
        <v>15.0</v>
      </c>
      <c r="EL22" s="1014">
        <v>15.0</v>
      </c>
      <c r="EM22" s="1015">
        <v>15.0</v>
      </c>
      <c r="EN22" s="108"/>
      <c r="EO22" s="985" t="s">
        <v>4777</v>
      </c>
      <c r="EP22" s="12"/>
      <c r="EQ22" s="12"/>
      <c r="ER22" s="12"/>
      <c r="ES22" s="12"/>
      <c r="ET22" s="48"/>
      <c r="EU22" s="108"/>
      <c r="EV22" s="1061" t="s">
        <v>4610</v>
      </c>
      <c r="EW22" s="959"/>
      <c r="EX22" s="957"/>
      <c r="EY22" s="1062" t="s">
        <v>4608</v>
      </c>
      <c r="EZ22" s="959"/>
      <c r="FA22" s="960"/>
      <c r="FB22" s="108"/>
      <c r="FC22" s="1027"/>
      <c r="FD22" s="1028" t="s">
        <v>2678</v>
      </c>
      <c r="FE22" s="1057"/>
      <c r="FF22" s="1029">
        <v>20.0</v>
      </c>
      <c r="FG22" s="138"/>
      <c r="FH22" s="128"/>
      <c r="FI22" s="108"/>
      <c r="FJ22" s="1012"/>
      <c r="FK22" s="1042" t="s">
        <v>2148</v>
      </c>
      <c r="FL22" s="138"/>
      <c r="FM22" s="1013">
        <v>0.0</v>
      </c>
      <c r="FN22" s="1014">
        <v>0.0</v>
      </c>
      <c r="FO22" s="1015">
        <v>30.0</v>
      </c>
      <c r="FP22" s="108"/>
      <c r="FQ22" s="1068"/>
      <c r="FR22" s="1076" t="s">
        <v>1191</v>
      </c>
      <c r="FS22" s="1072" t="s">
        <v>4778</v>
      </c>
      <c r="FT22" s="1071">
        <v>20.0</v>
      </c>
      <c r="FU22" s="1072">
        <v>20.0</v>
      </c>
      <c r="FV22" s="1073">
        <v>20.0</v>
      </c>
      <c r="FW22" s="108"/>
      <c r="FX22" s="1193"/>
      <c r="FY22" s="1145" t="s">
        <v>1152</v>
      </c>
      <c r="FZ22" s="1138" t="s">
        <v>4639</v>
      </c>
      <c r="GA22" s="1194">
        <v>11.0</v>
      </c>
      <c r="GB22" s="306"/>
      <c r="GC22" s="307"/>
      <c r="GD22" s="108"/>
      <c r="GE22" s="1012"/>
      <c r="GF22" s="1042" t="s">
        <v>1219</v>
      </c>
      <c r="GG22" s="138"/>
      <c r="GH22" s="1013">
        <v>0.0</v>
      </c>
      <c r="GI22" s="1014">
        <v>0.0</v>
      </c>
      <c r="GJ22" s="1015">
        <v>30.0</v>
      </c>
      <c r="GK22" s="108"/>
      <c r="GL22" s="1056"/>
      <c r="GM22" s="1173" t="s">
        <v>2163</v>
      </c>
      <c r="GN22" s="1080" t="s">
        <v>4640</v>
      </c>
      <c r="GO22" s="1081">
        <v>5.0</v>
      </c>
      <c r="GP22" s="413"/>
      <c r="GQ22" s="414"/>
      <c r="GR22" s="442"/>
      <c r="GS22" s="1056"/>
      <c r="GT22" s="1022" t="s">
        <v>3406</v>
      </c>
      <c r="GU22" s="1057"/>
      <c r="GV22" s="1021">
        <v>0.0</v>
      </c>
      <c r="GW22" s="1023">
        <v>0.0</v>
      </c>
      <c r="GX22" s="1024">
        <v>15.0</v>
      </c>
      <c r="GY22" s="442"/>
      <c r="GZ22" s="985" t="s">
        <v>4779</v>
      </c>
      <c r="HA22" s="12"/>
      <c r="HB22" s="12"/>
      <c r="HC22" s="12"/>
      <c r="HD22" s="12"/>
      <c r="HE22" s="48"/>
      <c r="HF22" s="442"/>
      <c r="HG22" s="1012"/>
      <c r="HH22" s="1042" t="s">
        <v>4111</v>
      </c>
      <c r="HI22" s="138"/>
      <c r="HJ22" s="1013">
        <v>0.0</v>
      </c>
      <c r="HK22" s="1014">
        <v>0.0</v>
      </c>
      <c r="HL22" s="1015">
        <v>30.0</v>
      </c>
      <c r="HM22" s="442"/>
      <c r="HN22" s="985" t="s">
        <v>4535</v>
      </c>
      <c r="HO22" s="12"/>
      <c r="HP22" s="12"/>
      <c r="HQ22" s="986" t="s">
        <v>2249</v>
      </c>
      <c r="HR22" s="986" t="s">
        <v>2440</v>
      </c>
      <c r="HS22" s="987" t="s">
        <v>2408</v>
      </c>
      <c r="HT22" s="442"/>
      <c r="HU22" s="1068"/>
      <c r="HV22" s="1076" t="s">
        <v>1292</v>
      </c>
      <c r="HW22" s="1072" t="s">
        <v>4780</v>
      </c>
      <c r="HX22" s="1071">
        <v>10.0</v>
      </c>
      <c r="HY22" s="1072">
        <v>10.0</v>
      </c>
      <c r="HZ22" s="1073">
        <v>10.0</v>
      </c>
      <c r="IA22" s="442"/>
      <c r="IB22" s="1012"/>
      <c r="IC22" s="1042" t="s">
        <v>4257</v>
      </c>
      <c r="ID22" s="1013" t="s">
        <v>4545</v>
      </c>
      <c r="IE22" s="1013">
        <v>5.0</v>
      </c>
      <c r="IF22" s="1014">
        <v>5.0</v>
      </c>
      <c r="IG22" s="1015">
        <v>5.0</v>
      </c>
      <c r="IH22" s="442"/>
      <c r="II22" s="985" t="s">
        <v>2416</v>
      </c>
      <c r="IJ22" s="12"/>
      <c r="IK22" s="12"/>
      <c r="IL22" s="12"/>
      <c r="IM22" s="12"/>
      <c r="IN22" s="48"/>
      <c r="IO22" s="442"/>
      <c r="IP22" s="1036"/>
      <c r="IQ22" s="1037" t="s">
        <v>3978</v>
      </c>
      <c r="IR22" s="1038" t="s">
        <v>4677</v>
      </c>
      <c r="IS22" s="1038">
        <v>20.0</v>
      </c>
      <c r="IT22" s="1039">
        <v>20.0</v>
      </c>
      <c r="IU22" s="1040">
        <v>20.0</v>
      </c>
      <c r="IV22" s="442"/>
      <c r="IW22" s="442"/>
      <c r="IX22" s="442"/>
      <c r="IY22" s="442"/>
      <c r="IZ22" s="442"/>
      <c r="JA22" s="442"/>
      <c r="JB22" s="442"/>
      <c r="JC22" s="442"/>
      <c r="JD22" s="956" t="s">
        <v>4781</v>
      </c>
      <c r="JE22" s="957"/>
      <c r="JF22" s="958"/>
      <c r="JG22" s="959"/>
      <c r="JH22" s="959"/>
      <c r="JI22" s="960"/>
      <c r="JJ22" s="442"/>
      <c r="JK22" s="1056"/>
      <c r="JL22" s="1022" t="s">
        <v>1343</v>
      </c>
      <c r="JM22" s="1057"/>
      <c r="JN22" s="1021">
        <v>0.0</v>
      </c>
      <c r="JO22" s="1023">
        <v>0.0</v>
      </c>
      <c r="JP22" s="1024">
        <v>40.0</v>
      </c>
      <c r="JQ22" s="442"/>
      <c r="JR22" s="956" t="s">
        <v>4782</v>
      </c>
      <c r="JS22" s="957"/>
      <c r="JT22" s="958"/>
      <c r="JU22" s="959"/>
      <c r="JV22" s="959"/>
      <c r="JW22" s="960"/>
      <c r="JX22" s="442"/>
      <c r="JY22" s="1012"/>
      <c r="JZ22" s="1046" t="s">
        <v>2503</v>
      </c>
      <c r="KA22" s="1033" t="s">
        <v>4549</v>
      </c>
      <c r="KB22" s="1033">
        <v>20.0</v>
      </c>
      <c r="KC22" s="1034">
        <v>20.0</v>
      </c>
      <c r="KD22" s="1035">
        <v>20.0</v>
      </c>
      <c r="KE22" s="442"/>
      <c r="KL22" s="442"/>
      <c r="KM22" s="40"/>
      <c r="KN22" s="398" t="s">
        <v>4356</v>
      </c>
      <c r="KO22" s="1091">
        <v>68.0</v>
      </c>
      <c r="KP22" s="1092" t="s">
        <v>411</v>
      </c>
      <c r="KQ22" s="12"/>
      <c r="KR22" s="48"/>
      <c r="KS22" s="442"/>
      <c r="KT22" s="1012"/>
      <c r="KU22" s="1046" t="s">
        <v>2598</v>
      </c>
      <c r="KV22" s="1033" t="s">
        <v>4611</v>
      </c>
      <c r="KW22" s="1033">
        <v>20.0</v>
      </c>
      <c r="KX22" s="1034">
        <v>20.0</v>
      </c>
      <c r="KY22" s="1035">
        <v>20.0</v>
      </c>
      <c r="KZ22" s="442"/>
      <c r="LA22" s="1012"/>
      <c r="LB22" s="1042" t="s">
        <v>3424</v>
      </c>
      <c r="LC22" s="138"/>
      <c r="LD22" s="1013">
        <v>30.0</v>
      </c>
      <c r="LE22" s="1014">
        <v>30.0</v>
      </c>
      <c r="LF22" s="1015">
        <v>30.0</v>
      </c>
      <c r="LG22" s="442"/>
      <c r="LN22" s="442"/>
      <c r="LO22" s="973" t="s">
        <v>4783</v>
      </c>
      <c r="LP22" s="974"/>
      <c r="LQ22" s="975"/>
      <c r="LR22" s="976"/>
      <c r="LS22" s="976"/>
      <c r="LT22" s="954"/>
      <c r="LU22" s="442"/>
      <c r="LV22" s="1012"/>
      <c r="LW22" s="1042" t="s">
        <v>969</v>
      </c>
      <c r="LX22" s="1096" t="s">
        <v>4690</v>
      </c>
      <c r="LY22" s="1096">
        <v>10.0</v>
      </c>
      <c r="LZ22" s="1042">
        <v>10.0</v>
      </c>
      <c r="MA22" s="1098">
        <v>10.0</v>
      </c>
      <c r="MB22" s="996"/>
    </row>
    <row r="23" ht="15.75" customHeight="1">
      <c r="A23" s="10"/>
      <c r="B23" s="1195" t="s">
        <v>4784</v>
      </c>
      <c r="C23" s="954"/>
      <c r="D23" s="108"/>
      <c r="E23" s="1092"/>
      <c r="F23" s="1052" t="s">
        <v>1368</v>
      </c>
      <c r="G23" s="1092">
        <v>5.0</v>
      </c>
      <c r="H23" s="1092" t="s">
        <v>411</v>
      </c>
      <c r="I23" s="12"/>
      <c r="J23" s="48"/>
      <c r="K23" s="108"/>
      <c r="L23" s="442"/>
      <c r="M23" s="442"/>
      <c r="N23" s="442"/>
      <c r="O23" s="442"/>
      <c r="P23" s="442"/>
      <c r="Q23" s="442"/>
      <c r="R23" s="108"/>
      <c r="S23" s="1064"/>
      <c r="T23" s="1065" t="s">
        <v>2258</v>
      </c>
      <c r="U23" s="1066">
        <v>1.0</v>
      </c>
      <c r="V23" s="1067" t="s">
        <v>411</v>
      </c>
      <c r="W23" s="138"/>
      <c r="X23" s="128"/>
      <c r="Y23" s="108"/>
      <c r="Z23" s="985" t="s">
        <v>4569</v>
      </c>
      <c r="AA23" s="12"/>
      <c r="AB23" s="12"/>
      <c r="AC23" s="12"/>
      <c r="AD23" s="12"/>
      <c r="AE23" s="48"/>
      <c r="AF23" s="108"/>
      <c r="AG23" s="1096"/>
      <c r="AH23" s="1098" t="s">
        <v>298</v>
      </c>
      <c r="AI23" s="1097">
        <v>45876.0</v>
      </c>
      <c r="AJ23" s="1013">
        <v>15.0</v>
      </c>
      <c r="AK23" s="1014">
        <v>15.0</v>
      </c>
      <c r="AL23" s="1015">
        <v>15.0</v>
      </c>
      <c r="AM23" s="108"/>
      <c r="AN23" s="1121" t="s">
        <v>4610</v>
      </c>
      <c r="AO23" s="12"/>
      <c r="AP23" s="962"/>
      <c r="AQ23" s="1186" t="s">
        <v>4608</v>
      </c>
      <c r="AR23" s="12"/>
      <c r="AS23" s="48"/>
      <c r="AT23" s="108"/>
      <c r="AU23" s="442"/>
      <c r="AV23" s="442"/>
      <c r="AW23" s="442"/>
      <c r="AX23" s="442"/>
      <c r="AY23" s="442"/>
      <c r="AZ23" s="442"/>
      <c r="BA23" s="108"/>
      <c r="BB23" s="1152" t="s">
        <v>4785</v>
      </c>
      <c r="BC23" s="12"/>
      <c r="BD23" s="962"/>
      <c r="BE23" s="1153" t="s">
        <v>4608</v>
      </c>
      <c r="BF23" s="12"/>
      <c r="BG23" s="48"/>
      <c r="BH23" s="442"/>
      <c r="BI23" s="1012"/>
      <c r="BJ23" s="1042" t="s">
        <v>989</v>
      </c>
      <c r="BK23" s="128"/>
      <c r="BL23" s="1013">
        <v>0.0</v>
      </c>
      <c r="BM23" s="1014">
        <v>0.0</v>
      </c>
      <c r="BN23" s="1015">
        <v>30.0</v>
      </c>
      <c r="BO23" s="108"/>
      <c r="BP23" s="1012"/>
      <c r="BQ23" s="1042" t="s">
        <v>989</v>
      </c>
      <c r="BR23" s="128"/>
      <c r="BS23" s="1013">
        <v>0.0</v>
      </c>
      <c r="BT23" s="1014">
        <v>0.0</v>
      </c>
      <c r="BU23" s="1015">
        <v>30.0</v>
      </c>
      <c r="BV23" s="108"/>
      <c r="BW23" s="956" t="s">
        <v>4786</v>
      </c>
      <c r="BX23" s="957"/>
      <c r="BY23" s="958"/>
      <c r="BZ23" s="959"/>
      <c r="CA23" s="959"/>
      <c r="CB23" s="960"/>
      <c r="CC23" s="108"/>
      <c r="CD23" s="1027"/>
      <c r="CE23" s="1175" t="s">
        <v>229</v>
      </c>
      <c r="CF23" s="128"/>
      <c r="CG23" s="1029">
        <v>20.0</v>
      </c>
      <c r="CH23" s="138"/>
      <c r="CI23" s="128"/>
      <c r="CJ23" s="108"/>
      <c r="CK23" s="1144"/>
      <c r="CL23" s="1063" t="s">
        <v>1401</v>
      </c>
      <c r="CM23" s="1196">
        <v>22.0</v>
      </c>
      <c r="CN23" s="1053" t="s">
        <v>411</v>
      </c>
      <c r="CO23" s="1026"/>
      <c r="CP23" s="998"/>
      <c r="CQ23" s="108"/>
      <c r="CR23" s="1016"/>
      <c r="CS23" s="1017"/>
      <c r="CT23" s="1018"/>
      <c r="CU23" s="1019"/>
      <c r="CV23" s="1019"/>
      <c r="CW23" s="1020"/>
      <c r="CX23" s="108"/>
      <c r="CY23" s="1036"/>
      <c r="CZ23" s="1048" t="s">
        <v>526</v>
      </c>
      <c r="DA23" s="1038" t="s">
        <v>4617</v>
      </c>
      <c r="DB23" s="1038">
        <v>10.0</v>
      </c>
      <c r="DC23" s="1039">
        <v>10.0</v>
      </c>
      <c r="DD23" s="1040">
        <v>10.0</v>
      </c>
      <c r="DE23" s="108"/>
      <c r="DF23" s="1012"/>
      <c r="DG23" s="38" t="s">
        <v>526</v>
      </c>
      <c r="DH23" s="1033" t="s">
        <v>4594</v>
      </c>
      <c r="DI23" s="1033">
        <v>20.0</v>
      </c>
      <c r="DJ23" s="1034">
        <v>20.0</v>
      </c>
      <c r="DK23" s="1035">
        <v>20.0</v>
      </c>
      <c r="DL23" s="108"/>
      <c r="DM23" s="956" t="s">
        <v>4787</v>
      </c>
      <c r="DN23" s="957"/>
      <c r="DO23" s="958"/>
      <c r="DP23" s="959"/>
      <c r="DQ23" s="959"/>
      <c r="DR23" s="960"/>
      <c r="DS23" s="108"/>
      <c r="DT23" s="1068"/>
      <c r="DU23" s="1076" t="s">
        <v>2616</v>
      </c>
      <c r="DV23" s="1071" t="s">
        <v>4761</v>
      </c>
      <c r="DW23" s="1071">
        <v>10.0</v>
      </c>
      <c r="DX23" s="1072">
        <v>10.0</v>
      </c>
      <c r="DY23" s="1073">
        <v>10.0</v>
      </c>
      <c r="DZ23" s="108"/>
      <c r="EA23" s="1068"/>
      <c r="EB23" s="1076" t="s">
        <v>3984</v>
      </c>
      <c r="EC23" s="1071" t="s">
        <v>4761</v>
      </c>
      <c r="ED23" s="1071">
        <v>10.0</v>
      </c>
      <c r="EE23" s="1072">
        <v>10.0</v>
      </c>
      <c r="EF23" s="1073">
        <v>10.0</v>
      </c>
      <c r="EG23" s="108"/>
      <c r="EH23" s="1100"/>
      <c r="EI23" s="1158" t="s">
        <v>1007</v>
      </c>
      <c r="EJ23" s="1102" t="s">
        <v>4654</v>
      </c>
      <c r="EK23" s="1102">
        <v>15.0</v>
      </c>
      <c r="EL23" s="1103">
        <v>15.0</v>
      </c>
      <c r="EM23" s="1104">
        <v>15.0</v>
      </c>
      <c r="EN23" s="108"/>
      <c r="EO23" s="1197"/>
      <c r="EP23" s="978" t="s">
        <v>3817</v>
      </c>
      <c r="EQ23" s="319"/>
      <c r="ER23" s="1033">
        <v>30.0</v>
      </c>
      <c r="ES23" s="1032"/>
      <c r="ET23" s="30"/>
      <c r="EU23" s="108"/>
      <c r="EV23" s="40"/>
      <c r="EW23" s="398" t="s">
        <v>3556</v>
      </c>
      <c r="EX23" s="1091">
        <v>70.0</v>
      </c>
      <c r="EY23" s="1092" t="s">
        <v>411</v>
      </c>
      <c r="EZ23" s="12"/>
      <c r="FA23" s="48"/>
      <c r="FB23" s="108"/>
      <c r="FC23" s="1012"/>
      <c r="FD23" s="1042" t="s">
        <v>171</v>
      </c>
      <c r="FE23" s="138"/>
      <c r="FF23" s="1013">
        <v>20.0</v>
      </c>
      <c r="FG23" s="138"/>
      <c r="FH23" s="128"/>
      <c r="FI23" s="108"/>
      <c r="FJ23" s="1056"/>
      <c r="FK23" s="1106" t="s">
        <v>2970</v>
      </c>
      <c r="FL23" s="1107"/>
      <c r="FM23" s="1086">
        <v>0.0</v>
      </c>
      <c r="FN23" s="1087">
        <v>0.0</v>
      </c>
      <c r="FO23" s="1088">
        <v>30.0</v>
      </c>
      <c r="FP23" s="108"/>
      <c r="FQ23" s="1012"/>
      <c r="FR23" s="1127" t="s">
        <v>4098</v>
      </c>
      <c r="FS23" s="1083" t="s">
        <v>4600</v>
      </c>
      <c r="FT23" s="1082">
        <v>10.0</v>
      </c>
      <c r="FU23" s="1083">
        <v>10.0</v>
      </c>
      <c r="FV23" s="1084">
        <v>10.0</v>
      </c>
      <c r="FW23" s="108"/>
      <c r="FX23" s="1049" t="s">
        <v>4569</v>
      </c>
      <c r="FY23" s="1026"/>
      <c r="FZ23" s="1026"/>
      <c r="GA23" s="1026"/>
      <c r="GB23" s="1026"/>
      <c r="GC23" s="998"/>
      <c r="GD23" s="108"/>
      <c r="GE23" s="1056"/>
      <c r="GF23" s="1106" t="s">
        <v>1499</v>
      </c>
      <c r="GG23" s="1107"/>
      <c r="GH23" s="1086">
        <v>0.0</v>
      </c>
      <c r="GI23" s="1087">
        <v>0.0</v>
      </c>
      <c r="GJ23" s="1088">
        <v>30.0</v>
      </c>
      <c r="GK23" s="108"/>
      <c r="GL23" s="985" t="s">
        <v>4535</v>
      </c>
      <c r="GM23" s="12"/>
      <c r="GN23" s="12"/>
      <c r="GO23" s="986" t="s">
        <v>2249</v>
      </c>
      <c r="GP23" s="986" t="s">
        <v>2440</v>
      </c>
      <c r="GQ23" s="987" t="s">
        <v>2408</v>
      </c>
      <c r="GR23" s="442"/>
      <c r="GS23" s="1096"/>
      <c r="GT23" s="1128" t="s">
        <v>3415</v>
      </c>
      <c r="GU23" s="1150"/>
      <c r="GV23" s="1082">
        <v>0.0</v>
      </c>
      <c r="GW23" s="1083">
        <v>0.0</v>
      </c>
      <c r="GX23" s="1084">
        <v>15.0</v>
      </c>
      <c r="GY23" s="442"/>
      <c r="GZ23" s="1012"/>
      <c r="HA23" s="1031" t="s">
        <v>3817</v>
      </c>
      <c r="HB23" s="1032"/>
      <c r="HC23" s="1033">
        <v>30.0</v>
      </c>
      <c r="HD23" s="1032"/>
      <c r="HE23" s="30"/>
      <c r="HF23" s="442"/>
      <c r="HG23" s="1105"/>
      <c r="HH23" s="1106" t="s">
        <v>1264</v>
      </c>
      <c r="HI23" s="1107"/>
      <c r="HJ23" s="1086">
        <v>0.0</v>
      </c>
      <c r="HK23" s="1087">
        <v>0.0</v>
      </c>
      <c r="HL23" s="1088">
        <v>30.0</v>
      </c>
      <c r="HM23" s="442"/>
      <c r="HN23" s="1012"/>
      <c r="HO23" s="1031" t="s">
        <v>1336</v>
      </c>
      <c r="HP23" s="1032"/>
      <c r="HQ23" s="1033">
        <v>40.0</v>
      </c>
      <c r="HR23" s="1034">
        <v>40.0</v>
      </c>
      <c r="HS23" s="1035">
        <v>0.0</v>
      </c>
      <c r="HT23" s="442"/>
      <c r="HU23" s="1012"/>
      <c r="HV23" s="1098" t="s">
        <v>4132</v>
      </c>
      <c r="HW23" s="1014" t="s">
        <v>4643</v>
      </c>
      <c r="HX23" s="1013">
        <v>10.0</v>
      </c>
      <c r="HY23" s="1014">
        <v>10.0</v>
      </c>
      <c r="HZ23" s="1015">
        <v>10.0</v>
      </c>
      <c r="IA23" s="442"/>
      <c r="IB23" s="1100"/>
      <c r="IC23" s="1165" t="s">
        <v>4139</v>
      </c>
      <c r="ID23" s="1166" t="s">
        <v>4545</v>
      </c>
      <c r="IE23" s="1166">
        <v>5.0</v>
      </c>
      <c r="IF23" s="1167">
        <v>5.0</v>
      </c>
      <c r="IG23" s="1168">
        <v>5.0</v>
      </c>
      <c r="IH23" s="442"/>
      <c r="II23" s="40"/>
      <c r="IJ23" s="1052" t="s">
        <v>474</v>
      </c>
      <c r="IK23" s="1054" t="s">
        <v>4645</v>
      </c>
      <c r="IL23" s="1053">
        <v>22.0</v>
      </c>
      <c r="IM23" s="1026"/>
      <c r="IN23" s="998"/>
      <c r="IO23" s="442"/>
      <c r="IP23" s="1012"/>
      <c r="IQ23" s="1042" t="s">
        <v>458</v>
      </c>
      <c r="IR23" s="1013" t="s">
        <v>4606</v>
      </c>
      <c r="IS23" s="1013">
        <v>10.0</v>
      </c>
      <c r="IT23" s="1014">
        <v>10.0</v>
      </c>
      <c r="IU23" s="1015">
        <v>10.0</v>
      </c>
      <c r="IV23" s="442"/>
      <c r="IW23" s="956" t="s">
        <v>4788</v>
      </c>
      <c r="IX23" s="957"/>
      <c r="IY23" s="958"/>
      <c r="IZ23" s="959"/>
      <c r="JA23" s="959"/>
      <c r="JB23" s="960"/>
      <c r="JC23" s="442"/>
      <c r="JD23" s="985" t="s">
        <v>4669</v>
      </c>
      <c r="JE23" s="12"/>
      <c r="JF23" s="12"/>
      <c r="JG23" s="1003" t="s">
        <v>4559</v>
      </c>
      <c r="JH23" s="1003" t="s">
        <v>4560</v>
      </c>
      <c r="JI23" s="1004" t="s">
        <v>914</v>
      </c>
      <c r="JJ23" s="442"/>
      <c r="JK23" s="1012"/>
      <c r="JL23" s="1042" t="s">
        <v>1057</v>
      </c>
      <c r="JM23" s="138"/>
      <c r="JN23" s="1013">
        <v>0.0</v>
      </c>
      <c r="JO23" s="1014">
        <v>0.0</v>
      </c>
      <c r="JP23" s="1015">
        <v>30.0</v>
      </c>
      <c r="JQ23" s="442"/>
      <c r="JR23" s="985" t="s">
        <v>4585</v>
      </c>
      <c r="JS23" s="12"/>
      <c r="JT23" s="12"/>
      <c r="JU23" s="1008" t="s">
        <v>4559</v>
      </c>
      <c r="JV23" s="1008" t="s">
        <v>4560</v>
      </c>
      <c r="JW23" s="1009" t="s">
        <v>914</v>
      </c>
      <c r="JX23" s="442"/>
      <c r="JY23" s="1068"/>
      <c r="JZ23" s="1076" t="s">
        <v>2519</v>
      </c>
      <c r="KA23" s="1071" t="s">
        <v>4549</v>
      </c>
      <c r="KB23" s="1071">
        <v>20.0</v>
      </c>
      <c r="KC23" s="1072">
        <v>20.0</v>
      </c>
      <c r="KD23" s="1073">
        <v>20.0</v>
      </c>
      <c r="KE23" s="442"/>
      <c r="KL23" s="442"/>
      <c r="KM23" s="985" t="s">
        <v>4789</v>
      </c>
      <c r="KN23" s="12"/>
      <c r="KO23" s="12"/>
      <c r="KP23" s="12"/>
      <c r="KQ23" s="12"/>
      <c r="KR23" s="48"/>
      <c r="KS23" s="442"/>
      <c r="KT23" s="1068"/>
      <c r="KU23" s="1076" t="s">
        <v>3843</v>
      </c>
      <c r="KV23" s="1071" t="s">
        <v>4611</v>
      </c>
      <c r="KW23" s="1071">
        <v>20.0</v>
      </c>
      <c r="KX23" s="1072">
        <v>20.0</v>
      </c>
      <c r="KY23" s="1073">
        <v>20.0</v>
      </c>
      <c r="KZ23" s="442"/>
      <c r="LA23" s="1056"/>
      <c r="LB23" s="1022" t="s">
        <v>1343</v>
      </c>
      <c r="LC23" s="1057"/>
      <c r="LD23" s="1021">
        <v>0.0</v>
      </c>
      <c r="LE23" s="1023">
        <v>0.0</v>
      </c>
      <c r="LF23" s="1024">
        <v>40.0</v>
      </c>
      <c r="LG23" s="442"/>
      <c r="LH23" s="956" t="s">
        <v>4790</v>
      </c>
      <c r="LI23" s="957"/>
      <c r="LJ23" s="958"/>
      <c r="LK23" s="959"/>
      <c r="LL23" s="959"/>
      <c r="LM23" s="960"/>
      <c r="LN23" s="442"/>
      <c r="LO23" s="1016"/>
      <c r="LP23" s="1017"/>
      <c r="LQ23" s="1018"/>
      <c r="LR23" s="1019"/>
      <c r="LS23" s="1019"/>
      <c r="LT23" s="1020"/>
      <c r="LU23" s="442"/>
      <c r="LV23" s="1132"/>
      <c r="LW23" s="1133" t="s">
        <v>3000</v>
      </c>
      <c r="LX23" s="1132" t="s">
        <v>4661</v>
      </c>
      <c r="LY23" s="1132">
        <v>10.0</v>
      </c>
      <c r="LZ23" s="1133">
        <v>10.0</v>
      </c>
      <c r="MA23" s="1110">
        <v>10.0</v>
      </c>
      <c r="MB23" s="996"/>
    </row>
    <row r="24" ht="15.75" customHeight="1">
      <c r="A24" s="10"/>
      <c r="B24" s="1155"/>
      <c r="C24" s="1154"/>
      <c r="D24" s="108"/>
      <c r="E24" s="1000" t="s">
        <v>4569</v>
      </c>
      <c r="F24" s="976"/>
      <c r="G24" s="976"/>
      <c r="H24" s="976"/>
      <c r="I24" s="976"/>
      <c r="J24" s="954"/>
      <c r="K24" s="108"/>
      <c r="L24" s="961" t="s">
        <v>4791</v>
      </c>
      <c r="M24" s="962"/>
      <c r="N24" s="966"/>
      <c r="O24" s="967"/>
      <c r="P24" s="967"/>
      <c r="Q24" s="263"/>
      <c r="R24" s="108"/>
      <c r="S24" s="1096"/>
      <c r="T24" s="1042" t="s">
        <v>2268</v>
      </c>
      <c r="U24" s="1108">
        <v>1.0</v>
      </c>
      <c r="V24" s="1013" t="s">
        <v>411</v>
      </c>
      <c r="W24" s="138"/>
      <c r="X24" s="128"/>
      <c r="Y24" s="108"/>
      <c r="Z24" s="1033"/>
      <c r="AA24" s="978" t="s">
        <v>1797</v>
      </c>
      <c r="AB24" s="1033" t="s">
        <v>4592</v>
      </c>
      <c r="AC24" s="1033">
        <v>90.0</v>
      </c>
      <c r="AD24" s="1032"/>
      <c r="AE24" s="30"/>
      <c r="AF24" s="108"/>
      <c r="AG24" s="1068"/>
      <c r="AH24" s="1076" t="s">
        <v>2551</v>
      </c>
      <c r="AI24" s="1070">
        <v>45845.0</v>
      </c>
      <c r="AJ24" s="1071">
        <v>10.0</v>
      </c>
      <c r="AK24" s="1072">
        <v>10.0</v>
      </c>
      <c r="AL24" s="1073">
        <v>10.0</v>
      </c>
      <c r="AM24" s="108"/>
      <c r="AN24" s="1144"/>
      <c r="AO24" s="398" t="s">
        <v>1516</v>
      </c>
      <c r="AP24" s="1091">
        <v>70.0</v>
      </c>
      <c r="AQ24" s="1092" t="s">
        <v>411</v>
      </c>
      <c r="AR24" s="12"/>
      <c r="AS24" s="48"/>
      <c r="AT24" s="108"/>
      <c r="AU24" s="965" t="s">
        <v>4792</v>
      </c>
      <c r="AV24" s="957"/>
      <c r="AW24" s="958"/>
      <c r="AX24" s="959"/>
      <c r="AY24" s="959"/>
      <c r="AZ24" s="960"/>
      <c r="BA24" s="108"/>
      <c r="BB24" s="983"/>
      <c r="BC24" s="1157" t="s">
        <v>3849</v>
      </c>
      <c r="BD24" s="1043" t="s">
        <v>411</v>
      </c>
      <c r="BE24" s="977" t="s">
        <v>4691</v>
      </c>
      <c r="BF24" s="984"/>
      <c r="BG24" s="319"/>
      <c r="BH24" s="442"/>
      <c r="BI24" s="1056"/>
      <c r="BJ24" s="1085" t="s">
        <v>1697</v>
      </c>
      <c r="BK24" s="414"/>
      <c r="BL24" s="1086">
        <v>0.0</v>
      </c>
      <c r="BM24" s="1087">
        <v>0.0</v>
      </c>
      <c r="BN24" s="1088">
        <v>30.0</v>
      </c>
      <c r="BO24" s="108"/>
      <c r="BP24" s="1056"/>
      <c r="BQ24" s="1085" t="s">
        <v>1697</v>
      </c>
      <c r="BR24" s="414"/>
      <c r="BS24" s="1086">
        <v>0.0</v>
      </c>
      <c r="BT24" s="1087">
        <v>0.0</v>
      </c>
      <c r="BU24" s="1088">
        <v>30.0</v>
      </c>
      <c r="BV24" s="108"/>
      <c r="BW24" s="985" t="s">
        <v>4793</v>
      </c>
      <c r="BX24" s="12"/>
      <c r="BY24" s="12"/>
      <c r="BZ24" s="12"/>
      <c r="CA24" s="12"/>
      <c r="CB24" s="48"/>
      <c r="CC24" s="108"/>
      <c r="CD24" s="1096"/>
      <c r="CE24" s="1149" t="s">
        <v>1629</v>
      </c>
      <c r="CF24" s="128"/>
      <c r="CG24" s="1013">
        <v>20.0</v>
      </c>
      <c r="CH24" s="138"/>
      <c r="CI24" s="128"/>
      <c r="CJ24" s="108"/>
      <c r="CK24" s="442"/>
      <c r="CL24" s="442"/>
      <c r="CM24" s="442"/>
      <c r="CN24" s="442"/>
      <c r="CO24" s="442"/>
      <c r="CP24" s="442"/>
      <c r="CQ24" s="108"/>
      <c r="CR24" s="1030" t="s">
        <v>4794</v>
      </c>
      <c r="CS24" s="12"/>
      <c r="CT24" s="962"/>
      <c r="CU24" s="1008" t="s">
        <v>4559</v>
      </c>
      <c r="CV24" s="1008" t="s">
        <v>4560</v>
      </c>
      <c r="CW24" s="1009" t="s">
        <v>914</v>
      </c>
      <c r="CX24" s="108"/>
      <c r="CY24" s="1012"/>
      <c r="CZ24" s="89" t="s">
        <v>3468</v>
      </c>
      <c r="DA24" s="1013" t="s">
        <v>4617</v>
      </c>
      <c r="DB24" s="1013">
        <v>10.0</v>
      </c>
      <c r="DC24" s="1014">
        <v>10.0</v>
      </c>
      <c r="DD24" s="1015">
        <v>10.0</v>
      </c>
      <c r="DE24" s="108"/>
      <c r="DF24" s="1036"/>
      <c r="DG24" s="1048" t="s">
        <v>820</v>
      </c>
      <c r="DH24" s="1038" t="s">
        <v>4594</v>
      </c>
      <c r="DI24" s="1038">
        <v>20.0</v>
      </c>
      <c r="DJ24" s="1039">
        <v>20.0</v>
      </c>
      <c r="DK24" s="1040">
        <v>20.0</v>
      </c>
      <c r="DL24" s="108"/>
      <c r="DM24" s="985" t="s">
        <v>4795</v>
      </c>
      <c r="DN24" s="12"/>
      <c r="DO24" s="12"/>
      <c r="DP24" s="1003" t="s">
        <v>4559</v>
      </c>
      <c r="DQ24" s="1003" t="s">
        <v>4560</v>
      </c>
      <c r="DR24" s="1004" t="s">
        <v>914</v>
      </c>
      <c r="DS24" s="108"/>
      <c r="DT24" s="1012"/>
      <c r="DU24" s="1127" t="s">
        <v>2232</v>
      </c>
      <c r="DV24" s="1051" t="s">
        <v>4796</v>
      </c>
      <c r="DW24" s="1051">
        <v>10.0</v>
      </c>
      <c r="DX24" s="1130">
        <v>10.0</v>
      </c>
      <c r="DY24" s="1131">
        <v>10.0</v>
      </c>
      <c r="DZ24" s="108"/>
      <c r="EA24" s="1012"/>
      <c r="EB24" s="1098" t="s">
        <v>3990</v>
      </c>
      <c r="EC24" s="1013" t="s">
        <v>4619</v>
      </c>
      <c r="ED24" s="1013">
        <v>10.0</v>
      </c>
      <c r="EE24" s="1014">
        <v>10.0</v>
      </c>
      <c r="EF24" s="1015">
        <v>10.0</v>
      </c>
      <c r="EG24" s="108"/>
      <c r="EH24" s="1012"/>
      <c r="EI24" s="1098" t="s">
        <v>1924</v>
      </c>
      <c r="EJ24" s="1013" t="s">
        <v>4622</v>
      </c>
      <c r="EK24" s="1013">
        <v>10.0</v>
      </c>
      <c r="EL24" s="1014">
        <v>10.0</v>
      </c>
      <c r="EM24" s="1015">
        <v>10.0</v>
      </c>
      <c r="EN24" s="108"/>
      <c r="EO24" s="1027"/>
      <c r="EP24" s="1028" t="s">
        <v>1976</v>
      </c>
      <c r="EQ24" s="128"/>
      <c r="ER24" s="1029">
        <v>20.0</v>
      </c>
      <c r="ES24" s="138"/>
      <c r="ET24" s="128"/>
      <c r="EU24" s="108"/>
      <c r="EV24" s="442"/>
      <c r="EW24" s="442"/>
      <c r="EX24" s="442"/>
      <c r="EY24" s="442"/>
      <c r="EZ24" s="442"/>
      <c r="FA24" s="442"/>
      <c r="FB24" s="108"/>
      <c r="FC24" s="1027"/>
      <c r="FD24" s="1028" t="s">
        <v>210</v>
      </c>
      <c r="FE24" s="1057"/>
      <c r="FF24" s="1029">
        <v>20.0</v>
      </c>
      <c r="FG24" s="138"/>
      <c r="FH24" s="128"/>
      <c r="FI24" s="108"/>
      <c r="FJ24" s="985" t="s">
        <v>4797</v>
      </c>
      <c r="FK24" s="12"/>
      <c r="FL24" s="12"/>
      <c r="FM24" s="12"/>
      <c r="FN24" s="12"/>
      <c r="FO24" s="48"/>
      <c r="FP24" s="108"/>
      <c r="FQ24" s="1011" t="s">
        <v>4798</v>
      </c>
      <c r="FR24" s="12"/>
      <c r="FS24" s="962"/>
      <c r="FT24" s="1003" t="s">
        <v>4559</v>
      </c>
      <c r="FU24" s="1003" t="s">
        <v>4560</v>
      </c>
      <c r="FV24" s="1004" t="s">
        <v>914</v>
      </c>
      <c r="FW24" s="108"/>
      <c r="FX24" s="1012"/>
      <c r="FY24" s="1031" t="s">
        <v>3865</v>
      </c>
      <c r="FZ24" s="1033" t="s">
        <v>4592</v>
      </c>
      <c r="GA24" s="1033">
        <v>60.0</v>
      </c>
      <c r="GB24" s="1032"/>
      <c r="GC24" s="30"/>
      <c r="GD24" s="108"/>
      <c r="GE24" s="985" t="s">
        <v>4799</v>
      </c>
      <c r="GF24" s="12"/>
      <c r="GG24" s="12"/>
      <c r="GH24" s="12"/>
      <c r="GI24" s="12"/>
      <c r="GJ24" s="48"/>
      <c r="GK24" s="108"/>
      <c r="GL24" s="1012"/>
      <c r="GM24" s="1031" t="s">
        <v>3433</v>
      </c>
      <c r="GN24" s="1032"/>
      <c r="GO24" s="1033">
        <v>40.0</v>
      </c>
      <c r="GP24" s="1034">
        <v>40.0</v>
      </c>
      <c r="GQ24" s="1035">
        <v>40.0</v>
      </c>
      <c r="GR24" s="442"/>
      <c r="GS24" s="985" t="s">
        <v>4800</v>
      </c>
      <c r="GT24" s="12"/>
      <c r="GU24" s="12"/>
      <c r="GV24" s="12"/>
      <c r="GW24" s="12"/>
      <c r="GX24" s="48"/>
      <c r="GY24" s="442"/>
      <c r="GZ24" s="1027"/>
      <c r="HA24" s="1028" t="s">
        <v>1984</v>
      </c>
      <c r="HB24" s="1057"/>
      <c r="HC24" s="1029">
        <v>10.0</v>
      </c>
      <c r="HD24" s="138"/>
      <c r="HE24" s="128"/>
      <c r="HF24" s="442"/>
      <c r="HG24" s="985" t="s">
        <v>4800</v>
      </c>
      <c r="HH24" s="12"/>
      <c r="HI24" s="12"/>
      <c r="HJ24" s="12"/>
      <c r="HK24" s="12"/>
      <c r="HL24" s="48"/>
      <c r="HM24" s="442"/>
      <c r="HN24" s="1056"/>
      <c r="HO24" s="1022" t="s">
        <v>4105</v>
      </c>
      <c r="HP24" s="1057"/>
      <c r="HQ24" s="1021">
        <v>30.0</v>
      </c>
      <c r="HR24" s="1023">
        <v>30.0</v>
      </c>
      <c r="HS24" s="1024">
        <v>0.0</v>
      </c>
      <c r="HT24" s="442"/>
      <c r="HU24" s="1068"/>
      <c r="HV24" s="1076" t="s">
        <v>3360</v>
      </c>
      <c r="HW24" s="1072" t="s">
        <v>4780</v>
      </c>
      <c r="HX24" s="1071">
        <v>10.0</v>
      </c>
      <c r="HY24" s="1072">
        <v>10.0</v>
      </c>
      <c r="HZ24" s="1073">
        <v>10.0</v>
      </c>
      <c r="IA24" s="442"/>
      <c r="IB24" s="985" t="s">
        <v>4704</v>
      </c>
      <c r="IC24" s="12"/>
      <c r="ID24" s="12"/>
      <c r="IE24" s="12"/>
      <c r="IF24" s="12"/>
      <c r="IG24" s="48"/>
      <c r="IH24" s="442"/>
      <c r="II24" s="956" t="s">
        <v>4801</v>
      </c>
      <c r="IJ24" s="957"/>
      <c r="IK24" s="958"/>
      <c r="IL24" s="959"/>
      <c r="IM24" s="959"/>
      <c r="IN24" s="960"/>
      <c r="IO24" s="442"/>
      <c r="IP24" s="1036"/>
      <c r="IQ24" s="1037" t="s">
        <v>2770</v>
      </c>
      <c r="IR24" s="1038" t="s">
        <v>4606</v>
      </c>
      <c r="IS24" s="1038">
        <v>10.0</v>
      </c>
      <c r="IT24" s="1039">
        <v>10.0</v>
      </c>
      <c r="IU24" s="1040">
        <v>10.0</v>
      </c>
      <c r="IV24" s="442"/>
      <c r="IW24" s="985" t="s">
        <v>4669</v>
      </c>
      <c r="IX24" s="12"/>
      <c r="IY24" s="12"/>
      <c r="IZ24" s="1003" t="s">
        <v>4559</v>
      </c>
      <c r="JA24" s="1003" t="s">
        <v>4560</v>
      </c>
      <c r="JB24" s="1004" t="s">
        <v>914</v>
      </c>
      <c r="JC24" s="442"/>
      <c r="JD24" s="1012"/>
      <c r="JE24" s="1046" t="s">
        <v>1303</v>
      </c>
      <c r="JF24" s="1034" t="s">
        <v>4677</v>
      </c>
      <c r="JG24" s="1033">
        <v>20.0</v>
      </c>
      <c r="JH24" s="1034">
        <v>20.0</v>
      </c>
      <c r="JI24" s="1035">
        <v>20.0</v>
      </c>
      <c r="JJ24" s="442"/>
      <c r="JK24" s="1105"/>
      <c r="JL24" s="1085" t="s">
        <v>1264</v>
      </c>
      <c r="JM24" s="1124"/>
      <c r="JN24" s="1080">
        <v>0.0</v>
      </c>
      <c r="JO24" s="1125">
        <v>0.0</v>
      </c>
      <c r="JP24" s="1126">
        <v>30.0</v>
      </c>
      <c r="JQ24" s="442"/>
      <c r="JR24" s="1012"/>
      <c r="JS24" s="1031" t="s">
        <v>1808</v>
      </c>
      <c r="JT24" s="1033" t="s">
        <v>4549</v>
      </c>
      <c r="JU24" s="1033">
        <v>20.0</v>
      </c>
      <c r="JV24" s="1034">
        <v>20.0</v>
      </c>
      <c r="JW24" s="1035">
        <v>20.0</v>
      </c>
      <c r="JX24" s="442"/>
      <c r="JY24" s="1012"/>
      <c r="JZ24" s="1098" t="s">
        <v>785</v>
      </c>
      <c r="KA24" s="1013" t="s">
        <v>4549</v>
      </c>
      <c r="KB24" s="1013">
        <v>10.0</v>
      </c>
      <c r="KC24" s="1014">
        <v>10.0</v>
      </c>
      <c r="KD24" s="1015">
        <v>10.0</v>
      </c>
      <c r="KE24" s="442"/>
      <c r="KL24" s="442"/>
      <c r="KM24" s="1061" t="s">
        <v>4610</v>
      </c>
      <c r="KN24" s="959"/>
      <c r="KO24" s="957"/>
      <c r="KP24" s="1062" t="s">
        <v>4608</v>
      </c>
      <c r="KQ24" s="959"/>
      <c r="KR24" s="960"/>
      <c r="KS24" s="442"/>
      <c r="KT24" s="1013"/>
      <c r="KU24" s="1098" t="s">
        <v>3872</v>
      </c>
      <c r="KV24" s="1013" t="s">
        <v>4679</v>
      </c>
      <c r="KW24" s="1013">
        <v>15.0</v>
      </c>
      <c r="KX24" s="1014">
        <v>15.0</v>
      </c>
      <c r="KY24" s="1015">
        <v>15.0</v>
      </c>
      <c r="KZ24" s="442"/>
      <c r="LA24" s="1012"/>
      <c r="LB24" s="1050" t="s">
        <v>1219</v>
      </c>
      <c r="LC24" s="413"/>
      <c r="LD24" s="1051">
        <v>0.0</v>
      </c>
      <c r="LE24" s="1130">
        <v>0.0</v>
      </c>
      <c r="LF24" s="1131">
        <v>30.0</v>
      </c>
      <c r="LG24" s="442"/>
      <c r="LH24" s="1011" t="s">
        <v>4587</v>
      </c>
      <c r="LI24" s="12"/>
      <c r="LJ24" s="962"/>
      <c r="LK24" s="1003" t="s">
        <v>4559</v>
      </c>
      <c r="LL24" s="1003" t="s">
        <v>4560</v>
      </c>
      <c r="LM24" s="1004" t="s">
        <v>914</v>
      </c>
      <c r="LN24" s="442"/>
      <c r="LO24" s="985" t="s">
        <v>4802</v>
      </c>
      <c r="LP24" s="12"/>
      <c r="LQ24" s="12"/>
      <c r="LR24" s="1003" t="s">
        <v>4559</v>
      </c>
      <c r="LS24" s="1003" t="s">
        <v>4560</v>
      </c>
      <c r="LT24" s="1004" t="s">
        <v>914</v>
      </c>
      <c r="LU24" s="442"/>
      <c r="LV24" s="985" t="s">
        <v>4583</v>
      </c>
      <c r="LW24" s="12"/>
      <c r="LX24" s="12"/>
      <c r="LY24" s="12"/>
      <c r="LZ24" s="12"/>
      <c r="MA24" s="48"/>
      <c r="MB24" s="996"/>
    </row>
    <row r="25" ht="15.75" customHeight="1">
      <c r="A25" s="10"/>
      <c r="B25" s="1155"/>
      <c r="C25" s="1154"/>
      <c r="D25" s="108"/>
      <c r="E25" s="1033"/>
      <c r="F25" s="1046" t="s">
        <v>643</v>
      </c>
      <c r="G25" s="979" t="s">
        <v>4616</v>
      </c>
      <c r="H25" s="977">
        <v>90.0</v>
      </c>
      <c r="I25" s="984"/>
      <c r="J25" s="319"/>
      <c r="K25" s="108"/>
      <c r="L25" s="999" t="s">
        <v>4803</v>
      </c>
      <c r="M25" s="959"/>
      <c r="N25" s="959"/>
      <c r="O25" s="959"/>
      <c r="P25" s="959"/>
      <c r="Q25" s="960"/>
      <c r="R25" s="108"/>
      <c r="S25" s="1064"/>
      <c r="T25" s="1065" t="s">
        <v>2277</v>
      </c>
      <c r="U25" s="1066">
        <v>1.0</v>
      </c>
      <c r="V25" s="1067" t="s">
        <v>411</v>
      </c>
      <c r="W25" s="138"/>
      <c r="X25" s="128"/>
      <c r="Y25" s="108"/>
      <c r="Z25" s="1021"/>
      <c r="AA25" s="1116" t="s">
        <v>1808</v>
      </c>
      <c r="AB25" s="1086" t="s">
        <v>4616</v>
      </c>
      <c r="AC25" s="1117">
        <v>10.0</v>
      </c>
      <c r="AD25" s="306"/>
      <c r="AE25" s="307"/>
      <c r="AF25" s="108"/>
      <c r="AG25" s="1096"/>
      <c r="AH25" s="1098" t="s">
        <v>2528</v>
      </c>
      <c r="AI25" s="1097">
        <v>45845.0</v>
      </c>
      <c r="AJ25" s="1013">
        <v>10.0</v>
      </c>
      <c r="AK25" s="1014">
        <v>10.0</v>
      </c>
      <c r="AL25" s="1015">
        <v>10.0</v>
      </c>
      <c r="AM25" s="108"/>
      <c r="AN25" s="442"/>
      <c r="AO25" s="442"/>
      <c r="AP25" s="442"/>
      <c r="AQ25" s="442"/>
      <c r="AR25" s="442"/>
      <c r="AS25" s="442"/>
      <c r="AT25" s="108"/>
      <c r="AU25" s="1030" t="s">
        <v>4804</v>
      </c>
      <c r="AV25" s="12"/>
      <c r="AW25" s="962"/>
      <c r="AX25" s="1008" t="s">
        <v>4559</v>
      </c>
      <c r="AY25" s="1008" t="s">
        <v>4560</v>
      </c>
      <c r="AZ25" s="1009" t="s">
        <v>914</v>
      </c>
      <c r="BA25" s="108"/>
      <c r="BB25" s="1094"/>
      <c r="BC25" s="1050" t="s">
        <v>4069</v>
      </c>
      <c r="BD25" s="1095" t="s">
        <v>411</v>
      </c>
      <c r="BE25" s="1051" t="s">
        <v>4701</v>
      </c>
      <c r="BF25" s="413"/>
      <c r="BG25" s="414"/>
      <c r="BH25" s="442"/>
      <c r="BI25" s="40" t="s">
        <v>4805</v>
      </c>
      <c r="BJ25" s="12"/>
      <c r="BK25" s="12"/>
      <c r="BL25" s="12"/>
      <c r="BM25" s="12"/>
      <c r="BN25" s="48"/>
      <c r="BO25" s="108"/>
      <c r="BP25" s="985" t="s">
        <v>4805</v>
      </c>
      <c r="BQ25" s="12"/>
      <c r="BR25" s="12"/>
      <c r="BS25" s="12"/>
      <c r="BT25" s="12"/>
      <c r="BU25" s="48"/>
      <c r="BV25" s="108"/>
      <c r="BW25" s="1061" t="s">
        <v>4610</v>
      </c>
      <c r="BX25" s="959"/>
      <c r="BY25" s="957"/>
      <c r="BZ25" s="1062" t="s">
        <v>4608</v>
      </c>
      <c r="CA25" s="959"/>
      <c r="CB25" s="960"/>
      <c r="CC25" s="108"/>
      <c r="CD25" s="1027"/>
      <c r="CE25" s="1175" t="s">
        <v>2575</v>
      </c>
      <c r="CF25" s="128"/>
      <c r="CG25" s="1029">
        <v>20.0</v>
      </c>
      <c r="CH25" s="138"/>
      <c r="CI25" s="128"/>
      <c r="CJ25" s="108"/>
      <c r="CK25" s="965" t="s">
        <v>4806</v>
      </c>
      <c r="CL25" s="957"/>
      <c r="CM25" s="958"/>
      <c r="CN25" s="959"/>
      <c r="CO25" s="959"/>
      <c r="CP25" s="960"/>
      <c r="CQ25" s="108"/>
      <c r="CR25" s="1012"/>
      <c r="CS25" s="38" t="s">
        <v>820</v>
      </c>
      <c r="CT25" s="1033" t="s">
        <v>4807</v>
      </c>
      <c r="CU25" s="1033">
        <v>20.0</v>
      </c>
      <c r="CV25" s="1034">
        <v>20.0</v>
      </c>
      <c r="CW25" s="1035">
        <v>20.0</v>
      </c>
      <c r="CX25" s="108"/>
      <c r="CY25" s="1036"/>
      <c r="CZ25" s="1048" t="s">
        <v>3139</v>
      </c>
      <c r="DA25" s="1038" t="s">
        <v>4526</v>
      </c>
      <c r="DB25" s="1038">
        <v>5.0</v>
      </c>
      <c r="DC25" s="1039">
        <v>5.0</v>
      </c>
      <c r="DD25" s="1040">
        <v>5.0</v>
      </c>
      <c r="DE25" s="108"/>
      <c r="DF25" s="1012"/>
      <c r="DG25" s="89" t="s">
        <v>4017</v>
      </c>
      <c r="DH25" s="1013" t="s">
        <v>4705</v>
      </c>
      <c r="DI25" s="1013">
        <v>20.0</v>
      </c>
      <c r="DJ25" s="1014">
        <v>20.0</v>
      </c>
      <c r="DK25" s="1015">
        <v>20.0</v>
      </c>
      <c r="DL25" s="108"/>
      <c r="DM25" s="1012"/>
      <c r="DN25" s="1046" t="s">
        <v>3683</v>
      </c>
      <c r="DO25" s="1033" t="s">
        <v>4619</v>
      </c>
      <c r="DP25" s="1033">
        <v>20.0</v>
      </c>
      <c r="DQ25" s="1034">
        <v>20.0</v>
      </c>
      <c r="DR25" s="1035">
        <v>20.0</v>
      </c>
      <c r="DS25" s="108"/>
      <c r="DT25" s="985" t="s">
        <v>2416</v>
      </c>
      <c r="DU25" s="12"/>
      <c r="DV25" s="12"/>
      <c r="DW25" s="12"/>
      <c r="DX25" s="12"/>
      <c r="DY25" s="48"/>
      <c r="DZ25" s="108"/>
      <c r="EA25" s="1068"/>
      <c r="EB25" s="1076" t="s">
        <v>2023</v>
      </c>
      <c r="EC25" s="1071" t="s">
        <v>4761</v>
      </c>
      <c r="ED25" s="1071">
        <v>10.0</v>
      </c>
      <c r="EE25" s="1072">
        <v>10.0</v>
      </c>
      <c r="EF25" s="1073">
        <v>10.0</v>
      </c>
      <c r="EG25" s="108"/>
      <c r="EH25" s="1100"/>
      <c r="EI25" s="1158" t="s">
        <v>1941</v>
      </c>
      <c r="EJ25" s="1102" t="s">
        <v>4622</v>
      </c>
      <c r="EK25" s="1102">
        <v>10.0</v>
      </c>
      <c r="EL25" s="1103">
        <v>10.0</v>
      </c>
      <c r="EM25" s="1104">
        <v>10.0</v>
      </c>
      <c r="EN25" s="108"/>
      <c r="EO25" s="1012"/>
      <c r="EP25" s="1042" t="s">
        <v>2495</v>
      </c>
      <c r="EQ25" s="128"/>
      <c r="ER25" s="1013">
        <v>10.0</v>
      </c>
      <c r="ES25" s="138"/>
      <c r="ET25" s="128"/>
      <c r="EU25" s="108"/>
      <c r="EV25" s="956" t="s">
        <v>4808</v>
      </c>
      <c r="EW25" s="957"/>
      <c r="EX25" s="958"/>
      <c r="EY25" s="959"/>
      <c r="EZ25" s="959"/>
      <c r="FA25" s="960"/>
      <c r="FB25" s="108"/>
      <c r="FC25" s="1049"/>
      <c r="FD25" s="1050" t="s">
        <v>4037</v>
      </c>
      <c r="FE25" s="413"/>
      <c r="FF25" s="1051">
        <v>10.0</v>
      </c>
      <c r="FG25" s="413"/>
      <c r="FH25" s="414"/>
      <c r="FI25" s="108"/>
      <c r="FJ25" s="1012"/>
      <c r="FK25" s="1031" t="s">
        <v>3664</v>
      </c>
      <c r="FL25" s="1032"/>
      <c r="FM25" s="1033">
        <v>30.0</v>
      </c>
      <c r="FN25" s="1032"/>
      <c r="FO25" s="30"/>
      <c r="FP25" s="108"/>
      <c r="FQ25" s="1012"/>
      <c r="FR25" s="1046" t="s">
        <v>581</v>
      </c>
      <c r="FS25" s="1034" t="s">
        <v>4754</v>
      </c>
      <c r="FT25" s="1033">
        <v>30.0</v>
      </c>
      <c r="FU25" s="1034">
        <v>30.0</v>
      </c>
      <c r="FV25" s="1035">
        <v>30.0</v>
      </c>
      <c r="FW25" s="108"/>
      <c r="FX25" s="1056"/>
      <c r="FY25" s="1089" t="s">
        <v>1889</v>
      </c>
      <c r="FZ25" s="1021" t="s">
        <v>4592</v>
      </c>
      <c r="GA25" s="1090">
        <v>30.0</v>
      </c>
      <c r="GB25" s="138"/>
      <c r="GC25" s="128"/>
      <c r="GD25" s="108"/>
      <c r="GE25" s="1012"/>
      <c r="GF25" s="1031" t="s">
        <v>3664</v>
      </c>
      <c r="GG25" s="1032"/>
      <c r="GH25" s="1033">
        <v>30.0</v>
      </c>
      <c r="GI25" s="1032"/>
      <c r="GJ25" s="30"/>
      <c r="GK25" s="108"/>
      <c r="GL25" s="1056"/>
      <c r="GM25" s="1022" t="s">
        <v>1209</v>
      </c>
      <c r="GN25" s="1057"/>
      <c r="GO25" s="1021">
        <v>30.0</v>
      </c>
      <c r="GP25" s="1023">
        <v>30.0</v>
      </c>
      <c r="GQ25" s="1024">
        <v>0.0</v>
      </c>
      <c r="GR25" s="442"/>
      <c r="GS25" s="1012"/>
      <c r="GT25" s="1031" t="s">
        <v>3856</v>
      </c>
      <c r="GU25" s="1032"/>
      <c r="GV25" s="1033">
        <v>30.0</v>
      </c>
      <c r="GW25" s="1032"/>
      <c r="GX25" s="30"/>
      <c r="GY25" s="442"/>
      <c r="GZ25" s="1012"/>
      <c r="HA25" s="1042" t="s">
        <v>3787</v>
      </c>
      <c r="HB25" s="138"/>
      <c r="HC25" s="1013">
        <v>10.0</v>
      </c>
      <c r="HD25" s="138"/>
      <c r="HE25" s="128"/>
      <c r="HF25" s="442"/>
      <c r="HG25" s="1012"/>
      <c r="HH25" s="1031" t="s">
        <v>3817</v>
      </c>
      <c r="HI25" s="1032"/>
      <c r="HJ25" s="1033">
        <v>30.0</v>
      </c>
      <c r="HK25" s="1032"/>
      <c r="HL25" s="30"/>
      <c r="HM25" s="442"/>
      <c r="HN25" s="1012"/>
      <c r="HO25" s="1042" t="s">
        <v>2039</v>
      </c>
      <c r="HP25" s="138"/>
      <c r="HQ25" s="1013">
        <v>30.0</v>
      </c>
      <c r="HR25" s="1014">
        <v>30.0</v>
      </c>
      <c r="HS25" s="1015">
        <v>30.0</v>
      </c>
      <c r="HT25" s="442"/>
      <c r="HU25" s="1012"/>
      <c r="HV25" s="1127" t="s">
        <v>2156</v>
      </c>
      <c r="HW25" s="1130" t="s">
        <v>4780</v>
      </c>
      <c r="HX25" s="1051">
        <v>10.0</v>
      </c>
      <c r="HY25" s="1130">
        <v>10.0</v>
      </c>
      <c r="HZ25" s="1131">
        <v>10.0</v>
      </c>
      <c r="IA25" s="442"/>
      <c r="IB25" s="1061" t="s">
        <v>4610</v>
      </c>
      <c r="IC25" s="959"/>
      <c r="ID25" s="957"/>
      <c r="IE25" s="1062" t="s">
        <v>4608</v>
      </c>
      <c r="IF25" s="959"/>
      <c r="IG25" s="960"/>
      <c r="IH25" s="442"/>
      <c r="II25" s="985" t="s">
        <v>4809</v>
      </c>
      <c r="IJ25" s="12"/>
      <c r="IK25" s="12"/>
      <c r="IL25" s="1003" t="s">
        <v>4559</v>
      </c>
      <c r="IM25" s="1003" t="s">
        <v>4560</v>
      </c>
      <c r="IN25" s="1004" t="s">
        <v>914</v>
      </c>
      <c r="IO25" s="442"/>
      <c r="IP25" s="1012"/>
      <c r="IQ25" s="1042" t="s">
        <v>3324</v>
      </c>
      <c r="IR25" s="1013" t="s">
        <v>4744</v>
      </c>
      <c r="IS25" s="1013">
        <v>10.0</v>
      </c>
      <c r="IT25" s="1014">
        <v>10.0</v>
      </c>
      <c r="IU25" s="1015">
        <v>10.0</v>
      </c>
      <c r="IV25" s="442"/>
      <c r="IW25" s="1012"/>
      <c r="IX25" s="1046" t="s">
        <v>3664</v>
      </c>
      <c r="IY25" s="1034" t="s">
        <v>4698</v>
      </c>
      <c r="IZ25" s="1033">
        <v>30.0</v>
      </c>
      <c r="JA25" s="1034">
        <v>30.0</v>
      </c>
      <c r="JB25" s="1035">
        <v>30.0</v>
      </c>
      <c r="JC25" s="442"/>
      <c r="JD25" s="1068"/>
      <c r="JE25" s="1076" t="s">
        <v>3843</v>
      </c>
      <c r="JF25" s="1072" t="s">
        <v>4689</v>
      </c>
      <c r="JG25" s="1071">
        <v>20.0</v>
      </c>
      <c r="JH25" s="1072">
        <v>20.0</v>
      </c>
      <c r="JI25" s="1073">
        <v>20.0</v>
      </c>
      <c r="JJ25" s="442"/>
      <c r="JK25" s="442"/>
      <c r="JL25" s="442"/>
      <c r="JM25" s="442"/>
      <c r="JN25" s="442"/>
      <c r="JO25" s="442"/>
      <c r="JP25" s="442"/>
      <c r="JQ25" s="442"/>
      <c r="JR25" s="1036"/>
      <c r="JS25" s="1037" t="s">
        <v>3843</v>
      </c>
      <c r="JT25" s="1038" t="s">
        <v>4549</v>
      </c>
      <c r="JU25" s="1038">
        <v>20.0</v>
      </c>
      <c r="JV25" s="1039">
        <v>20.0</v>
      </c>
      <c r="JW25" s="1040">
        <v>20.0</v>
      </c>
      <c r="JX25" s="442"/>
      <c r="JY25" s="1068"/>
      <c r="JZ25" s="1076" t="s">
        <v>4004</v>
      </c>
      <c r="KA25" s="1071" t="s">
        <v>4549</v>
      </c>
      <c r="KB25" s="1071">
        <v>10.0</v>
      </c>
      <c r="KC25" s="1072">
        <v>10.0</v>
      </c>
      <c r="KD25" s="1073">
        <v>0.0</v>
      </c>
      <c r="KE25" s="442"/>
      <c r="KL25" s="442"/>
      <c r="KM25" s="983"/>
      <c r="KN25" s="978" t="s">
        <v>3513</v>
      </c>
      <c r="KO25" s="1043">
        <v>68.0</v>
      </c>
      <c r="KP25" s="977" t="s">
        <v>411</v>
      </c>
      <c r="KQ25" s="984"/>
      <c r="KR25" s="319"/>
      <c r="KS25" s="442"/>
      <c r="KT25" s="1068"/>
      <c r="KU25" s="1076" t="s">
        <v>653</v>
      </c>
      <c r="KV25" s="1071" t="s">
        <v>4632</v>
      </c>
      <c r="KW25" s="1071">
        <v>10.0</v>
      </c>
      <c r="KX25" s="1072">
        <v>10.0</v>
      </c>
      <c r="KY25" s="1073">
        <v>10.0</v>
      </c>
      <c r="KZ25" s="442"/>
      <c r="LA25" s="1152" t="s">
        <v>4810</v>
      </c>
      <c r="LB25" s="12"/>
      <c r="LC25" s="962"/>
      <c r="LD25" s="1153" t="s">
        <v>4608</v>
      </c>
      <c r="LE25" s="12"/>
      <c r="LF25" s="48"/>
      <c r="LG25" s="442"/>
      <c r="LH25" s="1012"/>
      <c r="LI25" s="1046" t="s">
        <v>1173</v>
      </c>
      <c r="LJ25" s="1033" t="s">
        <v>4632</v>
      </c>
      <c r="LK25" s="1033">
        <v>20.0</v>
      </c>
      <c r="LL25" s="1034">
        <v>20.0</v>
      </c>
      <c r="LM25" s="1035">
        <v>20.0</v>
      </c>
      <c r="LN25" s="442"/>
      <c r="LO25" s="1012"/>
      <c r="LP25" s="1046" t="s">
        <v>311</v>
      </c>
      <c r="LQ25" s="1033" t="s">
        <v>4632</v>
      </c>
      <c r="LR25" s="1033">
        <v>20.0</v>
      </c>
      <c r="LS25" s="1034">
        <v>20.0</v>
      </c>
      <c r="LT25" s="1035">
        <v>20.0</v>
      </c>
      <c r="LU25" s="442"/>
      <c r="LV25" s="1061" t="s">
        <v>4610</v>
      </c>
      <c r="LW25" s="959"/>
      <c r="LX25" s="957"/>
      <c r="LY25" s="1062" t="s">
        <v>4608</v>
      </c>
      <c r="LZ25" s="959"/>
      <c r="MA25" s="960"/>
      <c r="MB25" s="996"/>
    </row>
    <row r="26" ht="15.75" customHeight="1">
      <c r="A26" s="10"/>
      <c r="B26" s="1155"/>
      <c r="C26" s="1154"/>
      <c r="D26" s="108"/>
      <c r="E26" s="1080"/>
      <c r="F26" s="1079" t="s">
        <v>653</v>
      </c>
      <c r="G26" s="1125" t="s">
        <v>4601</v>
      </c>
      <c r="H26" s="1081">
        <v>10.0</v>
      </c>
      <c r="I26" s="413"/>
      <c r="J26" s="414"/>
      <c r="K26" s="108"/>
      <c r="L26" s="1121" t="s">
        <v>4811</v>
      </c>
      <c r="M26" s="12"/>
      <c r="N26" s="12"/>
      <c r="O26" s="12"/>
      <c r="P26" s="12"/>
      <c r="Q26" s="48"/>
      <c r="R26" s="108"/>
      <c r="S26" s="1096"/>
      <c r="T26" s="1042" t="s">
        <v>2761</v>
      </c>
      <c r="U26" s="1108">
        <v>1.0</v>
      </c>
      <c r="V26" s="1013" t="s">
        <v>411</v>
      </c>
      <c r="W26" s="138"/>
      <c r="X26" s="128"/>
      <c r="Y26" s="108"/>
      <c r="Z26" s="985" t="s">
        <v>4535</v>
      </c>
      <c r="AA26" s="12"/>
      <c r="AB26" s="12"/>
      <c r="AC26" s="986" t="s">
        <v>2249</v>
      </c>
      <c r="AD26" s="986" t="s">
        <v>2440</v>
      </c>
      <c r="AE26" s="987" t="s">
        <v>2408</v>
      </c>
      <c r="AF26" s="108"/>
      <c r="AG26" s="1068"/>
      <c r="AH26" s="1076" t="s">
        <v>1099</v>
      </c>
      <c r="AI26" s="1070">
        <v>45845.0</v>
      </c>
      <c r="AJ26" s="1071">
        <v>10.0</v>
      </c>
      <c r="AK26" s="1072">
        <v>10.0</v>
      </c>
      <c r="AL26" s="1073">
        <v>10.0</v>
      </c>
      <c r="AM26" s="108"/>
      <c r="AN26" s="956" t="s">
        <v>4812</v>
      </c>
      <c r="AO26" s="957"/>
      <c r="AP26" s="958"/>
      <c r="AQ26" s="959"/>
      <c r="AR26" s="959"/>
      <c r="AS26" s="960"/>
      <c r="AT26" s="108"/>
      <c r="AU26" s="1012"/>
      <c r="AV26" s="38" t="s">
        <v>820</v>
      </c>
      <c r="AW26" s="1047">
        <v>45939.0</v>
      </c>
      <c r="AX26" s="1033">
        <v>25.0</v>
      </c>
      <c r="AY26" s="1034">
        <v>25.0</v>
      </c>
      <c r="AZ26" s="1035">
        <v>25.0</v>
      </c>
      <c r="BA26" s="108"/>
      <c r="BB26" s="442"/>
      <c r="BC26" s="442"/>
      <c r="BD26" s="442"/>
      <c r="BE26" s="442"/>
      <c r="BF26" s="442"/>
      <c r="BG26" s="442"/>
      <c r="BH26" s="442"/>
      <c r="BI26" s="1012"/>
      <c r="BJ26" s="978" t="s">
        <v>1858</v>
      </c>
      <c r="BK26" s="319"/>
      <c r="BL26" s="1033">
        <v>30.0</v>
      </c>
      <c r="BM26" s="1032"/>
      <c r="BN26" s="30"/>
      <c r="BO26" s="108"/>
      <c r="BP26" s="1012"/>
      <c r="BQ26" s="978" t="s">
        <v>3817</v>
      </c>
      <c r="BR26" s="319"/>
      <c r="BS26" s="1033">
        <v>30.0</v>
      </c>
      <c r="BT26" s="1032"/>
      <c r="BU26" s="30"/>
      <c r="BV26" s="108"/>
      <c r="BW26" s="40"/>
      <c r="BX26" s="398" t="s">
        <v>1014</v>
      </c>
      <c r="BY26" s="1091">
        <v>20.0</v>
      </c>
      <c r="BZ26" s="1092" t="s">
        <v>411</v>
      </c>
      <c r="CA26" s="12"/>
      <c r="CB26" s="48"/>
      <c r="CC26" s="108"/>
      <c r="CD26" s="1094"/>
      <c r="CE26" s="1179" t="s">
        <v>903</v>
      </c>
      <c r="CF26" s="414"/>
      <c r="CG26" s="1051">
        <v>10.0</v>
      </c>
      <c r="CH26" s="413"/>
      <c r="CI26" s="414"/>
      <c r="CJ26" s="108"/>
      <c r="CK26" s="985" t="s">
        <v>4813</v>
      </c>
      <c r="CL26" s="12"/>
      <c r="CM26" s="12"/>
      <c r="CN26" s="1003" t="s">
        <v>4559</v>
      </c>
      <c r="CO26" s="1003" t="s">
        <v>4560</v>
      </c>
      <c r="CP26" s="1004" t="s">
        <v>914</v>
      </c>
      <c r="CQ26" s="108"/>
      <c r="CR26" s="1036"/>
      <c r="CS26" s="1048" t="s">
        <v>3970</v>
      </c>
      <c r="CT26" s="1038" t="s">
        <v>4807</v>
      </c>
      <c r="CU26" s="1038">
        <v>20.0</v>
      </c>
      <c r="CV26" s="1039">
        <v>20.0</v>
      </c>
      <c r="CW26" s="1040">
        <v>20.0</v>
      </c>
      <c r="CX26" s="108"/>
      <c r="CY26" s="1012"/>
      <c r="CZ26" s="499" t="s">
        <v>3130</v>
      </c>
      <c r="DA26" s="1051" t="s">
        <v>4526</v>
      </c>
      <c r="DB26" s="1051">
        <v>5.0</v>
      </c>
      <c r="DC26" s="1130">
        <v>5.0</v>
      </c>
      <c r="DD26" s="1131">
        <v>5.0</v>
      </c>
      <c r="DE26" s="108"/>
      <c r="DF26" s="1036"/>
      <c r="DG26" s="1048" t="s">
        <v>3185</v>
      </c>
      <c r="DH26" s="1038" t="s">
        <v>4594</v>
      </c>
      <c r="DI26" s="1038">
        <v>10.0</v>
      </c>
      <c r="DJ26" s="1039">
        <v>10.0</v>
      </c>
      <c r="DK26" s="1040">
        <v>10.0</v>
      </c>
      <c r="DL26" s="108"/>
      <c r="DM26" s="1068"/>
      <c r="DN26" s="1076" t="s">
        <v>2914</v>
      </c>
      <c r="DO26" s="1071" t="s">
        <v>4814</v>
      </c>
      <c r="DP26" s="1071">
        <v>20.0</v>
      </c>
      <c r="DQ26" s="1072">
        <v>20.0</v>
      </c>
      <c r="DR26" s="1073">
        <v>20.0</v>
      </c>
      <c r="DS26" s="108"/>
      <c r="DT26" s="1144"/>
      <c r="DU26" s="1052" t="s">
        <v>903</v>
      </c>
      <c r="DV26" s="949" t="s">
        <v>4707</v>
      </c>
      <c r="DW26" s="949">
        <v>22.0</v>
      </c>
      <c r="DX26" s="976"/>
      <c r="DY26" s="954"/>
      <c r="DZ26" s="108"/>
      <c r="EA26" s="1012"/>
      <c r="EB26" s="1098" t="s">
        <v>623</v>
      </c>
      <c r="EC26" s="1013" t="s">
        <v>4761</v>
      </c>
      <c r="ED26" s="1013">
        <v>10.0</v>
      </c>
      <c r="EE26" s="1014">
        <v>10.0</v>
      </c>
      <c r="EF26" s="1015">
        <v>10.0</v>
      </c>
      <c r="EG26" s="108"/>
      <c r="EH26" s="1012"/>
      <c r="EI26" s="1098" t="s">
        <v>3309</v>
      </c>
      <c r="EJ26" s="1013" t="s">
        <v>4666</v>
      </c>
      <c r="EK26" s="1013">
        <v>5.0</v>
      </c>
      <c r="EL26" s="1014">
        <v>5.0</v>
      </c>
      <c r="EM26" s="1015">
        <v>5.0</v>
      </c>
      <c r="EN26" s="108"/>
      <c r="EO26" s="1027"/>
      <c r="EP26" s="1028" t="s">
        <v>2512</v>
      </c>
      <c r="EQ26" s="128"/>
      <c r="ER26" s="1029">
        <v>10.0</v>
      </c>
      <c r="ES26" s="138"/>
      <c r="ET26" s="128"/>
      <c r="EU26" s="108"/>
      <c r="EV26" s="1005" t="s">
        <v>4815</v>
      </c>
      <c r="EW26" s="12"/>
      <c r="EX26" s="962"/>
      <c r="EY26" s="1008" t="s">
        <v>4559</v>
      </c>
      <c r="EZ26" s="1008" t="s">
        <v>4560</v>
      </c>
      <c r="FA26" s="1009" t="s">
        <v>914</v>
      </c>
      <c r="FB26" s="108"/>
      <c r="FC26" s="442"/>
      <c r="FD26" s="442"/>
      <c r="FE26" s="442"/>
      <c r="FF26" s="442"/>
      <c r="FG26" s="442"/>
      <c r="FH26" s="442"/>
      <c r="FI26" s="108"/>
      <c r="FJ26" s="1027"/>
      <c r="FK26" s="1028" t="s">
        <v>243</v>
      </c>
      <c r="FL26" s="1057"/>
      <c r="FM26" s="1029">
        <v>20.0</v>
      </c>
      <c r="FN26" s="138"/>
      <c r="FO26" s="128"/>
      <c r="FP26" s="108"/>
      <c r="FQ26" s="1068"/>
      <c r="FR26" s="1076" t="s">
        <v>1082</v>
      </c>
      <c r="FS26" s="1072" t="s">
        <v>4623</v>
      </c>
      <c r="FT26" s="1071">
        <v>20.0</v>
      </c>
      <c r="FU26" s="1072">
        <v>20.0</v>
      </c>
      <c r="FV26" s="1073">
        <v>20.0</v>
      </c>
      <c r="FW26" s="108"/>
      <c r="FX26" s="1012"/>
      <c r="FY26" s="1042" t="s">
        <v>3872</v>
      </c>
      <c r="FZ26" s="1013" t="s">
        <v>4616</v>
      </c>
      <c r="GA26" s="1013">
        <v>5.0</v>
      </c>
      <c r="GB26" s="138"/>
      <c r="GC26" s="128"/>
      <c r="GD26" s="108"/>
      <c r="GE26" s="1027"/>
      <c r="GF26" s="1028" t="s">
        <v>243</v>
      </c>
      <c r="GG26" s="1057"/>
      <c r="GH26" s="1029">
        <v>20.0</v>
      </c>
      <c r="GI26" s="138"/>
      <c r="GJ26" s="128"/>
      <c r="GK26" s="108"/>
      <c r="GL26" s="1012"/>
      <c r="GM26" s="1042" t="s">
        <v>2133</v>
      </c>
      <c r="GN26" s="138"/>
      <c r="GO26" s="1013">
        <v>30.0</v>
      </c>
      <c r="GP26" s="1014">
        <v>30.0</v>
      </c>
      <c r="GQ26" s="1015">
        <v>30.0</v>
      </c>
      <c r="GR26" s="442"/>
      <c r="GS26" s="1027"/>
      <c r="GT26" s="1028" t="s">
        <v>2651</v>
      </c>
      <c r="GU26" s="1057"/>
      <c r="GV26" s="1029">
        <v>20.0</v>
      </c>
      <c r="GW26" s="138"/>
      <c r="GX26" s="128"/>
      <c r="GY26" s="442"/>
      <c r="GZ26" s="1027"/>
      <c r="HA26" s="1028" t="s">
        <v>3810</v>
      </c>
      <c r="HB26" s="1057"/>
      <c r="HC26" s="1029">
        <v>10.0</v>
      </c>
      <c r="HD26" s="138"/>
      <c r="HE26" s="128"/>
      <c r="HF26" s="442"/>
      <c r="HG26" s="1027"/>
      <c r="HH26" s="1028" t="s">
        <v>1984</v>
      </c>
      <c r="HI26" s="1057"/>
      <c r="HJ26" s="1029">
        <v>10.0</v>
      </c>
      <c r="HK26" s="138"/>
      <c r="HL26" s="128"/>
      <c r="HM26" s="442"/>
      <c r="HN26" s="1056"/>
      <c r="HO26" s="1022" t="s">
        <v>1343</v>
      </c>
      <c r="HP26" s="1057"/>
      <c r="HQ26" s="1021">
        <v>0.0</v>
      </c>
      <c r="HR26" s="1023">
        <v>0.0</v>
      </c>
      <c r="HS26" s="1024">
        <v>40.0</v>
      </c>
      <c r="HT26" s="442"/>
      <c r="HU26" s="985" t="s">
        <v>2416</v>
      </c>
      <c r="HV26" s="12"/>
      <c r="HW26" s="12"/>
      <c r="HX26" s="12"/>
      <c r="HY26" s="12"/>
      <c r="HZ26" s="48"/>
      <c r="IA26" s="442"/>
      <c r="IB26" s="40"/>
      <c r="IC26" s="398" t="s">
        <v>4336</v>
      </c>
      <c r="ID26" s="1091">
        <v>70.0</v>
      </c>
      <c r="IE26" s="1092" t="s">
        <v>411</v>
      </c>
      <c r="IF26" s="12"/>
      <c r="IG26" s="48"/>
      <c r="IH26" s="442"/>
      <c r="II26" s="1012"/>
      <c r="IJ26" s="1046" t="s">
        <v>4132</v>
      </c>
      <c r="IK26" s="1034" t="s">
        <v>4816</v>
      </c>
      <c r="IL26" s="1033">
        <v>30.0</v>
      </c>
      <c r="IM26" s="1034">
        <v>30.0</v>
      </c>
      <c r="IN26" s="1035">
        <v>30.0</v>
      </c>
      <c r="IO26" s="442"/>
      <c r="IP26" s="1036"/>
      <c r="IQ26" s="1037" t="s">
        <v>535</v>
      </c>
      <c r="IR26" s="1038" t="s">
        <v>4744</v>
      </c>
      <c r="IS26" s="1038">
        <v>10.0</v>
      </c>
      <c r="IT26" s="1039">
        <v>10.0</v>
      </c>
      <c r="IU26" s="1040">
        <v>10.0</v>
      </c>
      <c r="IV26" s="442"/>
      <c r="IW26" s="1068"/>
      <c r="IX26" s="1076" t="s">
        <v>3683</v>
      </c>
      <c r="IY26" s="1072" t="s">
        <v>4698</v>
      </c>
      <c r="IZ26" s="1071">
        <v>30.0</v>
      </c>
      <c r="JA26" s="1072">
        <v>30.0</v>
      </c>
      <c r="JB26" s="1073">
        <v>30.0</v>
      </c>
      <c r="JC26" s="442"/>
      <c r="JD26" s="1012"/>
      <c r="JE26" s="1098" t="s">
        <v>3715</v>
      </c>
      <c r="JF26" s="1014" t="s">
        <v>4677</v>
      </c>
      <c r="JG26" s="1013">
        <v>10.0</v>
      </c>
      <c r="JH26" s="1014">
        <v>10.0</v>
      </c>
      <c r="JI26" s="1015">
        <v>20.0</v>
      </c>
      <c r="JJ26" s="442"/>
      <c r="JK26" s="956" t="s">
        <v>4817</v>
      </c>
      <c r="JL26" s="957"/>
      <c r="JM26" s="958"/>
      <c r="JN26" s="959"/>
      <c r="JO26" s="959"/>
      <c r="JP26" s="960"/>
      <c r="JQ26" s="442"/>
      <c r="JR26" s="1012"/>
      <c r="JS26" s="1042" t="s">
        <v>831</v>
      </c>
      <c r="JT26" s="1013" t="s">
        <v>4549</v>
      </c>
      <c r="JU26" s="1013">
        <v>10.0</v>
      </c>
      <c r="JV26" s="1014">
        <v>10.0</v>
      </c>
      <c r="JW26" s="1015">
        <v>10.0</v>
      </c>
      <c r="JX26" s="442"/>
      <c r="JY26" s="1012"/>
      <c r="JZ26" s="1098" t="s">
        <v>2914</v>
      </c>
      <c r="KA26" s="1013" t="s">
        <v>4549</v>
      </c>
      <c r="KB26" s="1013">
        <v>10.0</v>
      </c>
      <c r="KC26" s="1014">
        <v>10.0</v>
      </c>
      <c r="KD26" s="1015">
        <v>10.0</v>
      </c>
      <c r="KE26" s="442"/>
      <c r="KL26" s="442"/>
      <c r="KM26" s="1198"/>
      <c r="KN26" s="1199" t="s">
        <v>3520</v>
      </c>
      <c r="KO26" s="1200">
        <v>68.0</v>
      </c>
      <c r="KP26" s="1201" t="s">
        <v>411</v>
      </c>
      <c r="KQ26" s="413"/>
      <c r="KR26" s="414"/>
      <c r="KS26" s="442"/>
      <c r="KT26" s="1012"/>
      <c r="KU26" s="1098" t="s">
        <v>3317</v>
      </c>
      <c r="KV26" s="1013" t="s">
        <v>4679</v>
      </c>
      <c r="KW26" s="1013">
        <v>10.0</v>
      </c>
      <c r="KX26" s="1014">
        <v>10.0</v>
      </c>
      <c r="KY26" s="1015">
        <v>10.0</v>
      </c>
      <c r="KZ26" s="442"/>
      <c r="LA26" s="983"/>
      <c r="LB26" s="1157" t="s">
        <v>1336</v>
      </c>
      <c r="LC26" s="1043" t="s">
        <v>411</v>
      </c>
      <c r="LD26" s="977" t="s">
        <v>4691</v>
      </c>
      <c r="LE26" s="984"/>
      <c r="LF26" s="319"/>
      <c r="LG26" s="442"/>
      <c r="LH26" s="1068"/>
      <c r="LI26" s="1076" t="s">
        <v>2990</v>
      </c>
      <c r="LJ26" s="1071" t="s">
        <v>4632</v>
      </c>
      <c r="LK26" s="1071">
        <v>20.0</v>
      </c>
      <c r="LL26" s="1072">
        <v>20.0</v>
      </c>
      <c r="LM26" s="1073">
        <v>20.0</v>
      </c>
      <c r="LN26" s="442"/>
      <c r="LO26" s="1068"/>
      <c r="LP26" s="1076" t="s">
        <v>1173</v>
      </c>
      <c r="LQ26" s="1071" t="s">
        <v>4661</v>
      </c>
      <c r="LR26" s="1071">
        <v>20.0</v>
      </c>
      <c r="LS26" s="1072">
        <v>20.0</v>
      </c>
      <c r="LT26" s="1073">
        <v>20.0</v>
      </c>
      <c r="LU26" s="442"/>
      <c r="LV26" s="40"/>
      <c r="LW26" s="398" t="s">
        <v>4330</v>
      </c>
      <c r="LX26" s="1091">
        <v>68.0</v>
      </c>
      <c r="LY26" s="1092" t="s">
        <v>411</v>
      </c>
      <c r="LZ26" s="12"/>
      <c r="MA26" s="48"/>
      <c r="MB26" s="996"/>
    </row>
    <row r="27" ht="15.75" customHeight="1">
      <c r="A27" s="10"/>
      <c r="B27" s="1155"/>
      <c r="C27" s="1154"/>
      <c r="D27" s="108"/>
      <c r="E27" s="1202" t="s">
        <v>4535</v>
      </c>
      <c r="F27" s="1203"/>
      <c r="G27" s="1204"/>
      <c r="H27" s="1205" t="s">
        <v>2249</v>
      </c>
      <c r="I27" s="1205" t="s">
        <v>2440</v>
      </c>
      <c r="J27" s="1206" t="s">
        <v>2408</v>
      </c>
      <c r="K27" s="108"/>
      <c r="L27" s="983"/>
      <c r="M27" s="978" t="s">
        <v>3587</v>
      </c>
      <c r="N27" s="1043">
        <v>5.0</v>
      </c>
      <c r="O27" s="977" t="s">
        <v>411</v>
      </c>
      <c r="P27" s="984"/>
      <c r="Q27" s="319"/>
      <c r="R27" s="108"/>
      <c r="S27" s="1064"/>
      <c r="T27" s="1065" t="s">
        <v>3342</v>
      </c>
      <c r="U27" s="1066">
        <v>1.0</v>
      </c>
      <c r="V27" s="1067" t="s">
        <v>411</v>
      </c>
      <c r="W27" s="138"/>
      <c r="X27" s="128"/>
      <c r="Y27" s="108"/>
      <c r="Z27" s="1033"/>
      <c r="AA27" s="1031" t="s">
        <v>1336</v>
      </c>
      <c r="AB27" s="1032"/>
      <c r="AC27" s="1033">
        <v>40.0</v>
      </c>
      <c r="AD27" s="1034">
        <v>40.0</v>
      </c>
      <c r="AE27" s="1035">
        <v>0.0</v>
      </c>
      <c r="AF27" s="108"/>
      <c r="AG27" s="1170"/>
      <c r="AH27" s="1127" t="s">
        <v>724</v>
      </c>
      <c r="AI27" s="1187">
        <v>45876.0</v>
      </c>
      <c r="AJ27" s="1051">
        <v>10.0</v>
      </c>
      <c r="AK27" s="1130">
        <v>10.0</v>
      </c>
      <c r="AL27" s="1131">
        <v>10.0</v>
      </c>
      <c r="AM27" s="108"/>
      <c r="AN27" s="1010" t="s">
        <v>4818</v>
      </c>
      <c r="AO27" s="12"/>
      <c r="AP27" s="962"/>
      <c r="AQ27" s="1003" t="s">
        <v>4559</v>
      </c>
      <c r="AR27" s="1003" t="s">
        <v>4560</v>
      </c>
      <c r="AS27" s="1004" t="s">
        <v>914</v>
      </c>
      <c r="AT27" s="108"/>
      <c r="AU27" s="1036"/>
      <c r="AV27" s="1048" t="s">
        <v>526</v>
      </c>
      <c r="AW27" s="1207">
        <v>45939.0</v>
      </c>
      <c r="AX27" s="1038">
        <v>25.0</v>
      </c>
      <c r="AY27" s="1039">
        <v>25.0</v>
      </c>
      <c r="AZ27" s="1040">
        <v>25.0</v>
      </c>
      <c r="BA27" s="108"/>
      <c r="BB27" s="956" t="s">
        <v>4819</v>
      </c>
      <c r="BC27" s="957"/>
      <c r="BD27" s="958"/>
      <c r="BE27" s="959"/>
      <c r="BF27" s="959"/>
      <c r="BG27" s="960"/>
      <c r="BH27" s="442"/>
      <c r="BI27" s="1027"/>
      <c r="BJ27" s="1028" t="s">
        <v>2669</v>
      </c>
      <c r="BK27" s="128"/>
      <c r="BL27" s="1029">
        <v>20.0</v>
      </c>
      <c r="BM27" s="138"/>
      <c r="BN27" s="128"/>
      <c r="BO27" s="108"/>
      <c r="BP27" s="1027"/>
      <c r="BQ27" s="1028" t="s">
        <v>3778</v>
      </c>
      <c r="BR27" s="128"/>
      <c r="BS27" s="1029">
        <v>20.0</v>
      </c>
      <c r="BT27" s="138"/>
      <c r="BU27" s="128"/>
      <c r="BV27" s="108"/>
      <c r="BW27" s="985" t="s">
        <v>4820</v>
      </c>
      <c r="BX27" s="12"/>
      <c r="BY27" s="12"/>
      <c r="BZ27" s="1059" t="s">
        <v>4559</v>
      </c>
      <c r="CA27" s="1059" t="s">
        <v>4560</v>
      </c>
      <c r="CB27" s="1060" t="s">
        <v>914</v>
      </c>
      <c r="CC27" s="108"/>
      <c r="CD27" s="442"/>
      <c r="CE27" s="442"/>
      <c r="CF27" s="442"/>
      <c r="CG27" s="442"/>
      <c r="CH27" s="442"/>
      <c r="CI27" s="442"/>
      <c r="CJ27" s="108"/>
      <c r="CK27" s="1012"/>
      <c r="CL27" s="1046" t="s">
        <v>2839</v>
      </c>
      <c r="CM27" s="1034" t="s">
        <v>4821</v>
      </c>
      <c r="CN27" s="1033">
        <v>30.0</v>
      </c>
      <c r="CO27" s="1034">
        <v>30.0</v>
      </c>
      <c r="CP27" s="1035">
        <v>30.0</v>
      </c>
      <c r="CQ27" s="108"/>
      <c r="CR27" s="1012"/>
      <c r="CS27" s="89" t="s">
        <v>1714</v>
      </c>
      <c r="CT27" s="1013" t="s">
        <v>4615</v>
      </c>
      <c r="CU27" s="1013">
        <v>10.0</v>
      </c>
      <c r="CV27" s="1014">
        <v>10.0</v>
      </c>
      <c r="CW27" s="1015">
        <v>10.0</v>
      </c>
      <c r="CX27" s="108"/>
      <c r="CY27" s="985" t="s">
        <v>4706</v>
      </c>
      <c r="CZ27" s="12"/>
      <c r="DA27" s="12"/>
      <c r="DB27" s="12"/>
      <c r="DC27" s="12"/>
      <c r="DD27" s="48"/>
      <c r="DE27" s="108"/>
      <c r="DF27" s="1012"/>
      <c r="DG27" s="89" t="s">
        <v>373</v>
      </c>
      <c r="DH27" s="1013" t="s">
        <v>4594</v>
      </c>
      <c r="DI27" s="1013">
        <v>10.0</v>
      </c>
      <c r="DJ27" s="1014">
        <v>10.0</v>
      </c>
      <c r="DK27" s="1015">
        <v>10.0</v>
      </c>
      <c r="DL27" s="108"/>
      <c r="DM27" s="1012"/>
      <c r="DN27" s="1098" t="s">
        <v>2779</v>
      </c>
      <c r="DO27" s="1013" t="s">
        <v>4814</v>
      </c>
      <c r="DP27" s="1013">
        <v>10.0</v>
      </c>
      <c r="DQ27" s="1014">
        <v>10.0</v>
      </c>
      <c r="DR27" s="1015">
        <v>10.0</v>
      </c>
      <c r="DS27" s="108"/>
      <c r="DT27" s="985" t="s">
        <v>4569</v>
      </c>
      <c r="DU27" s="12"/>
      <c r="DV27" s="12"/>
      <c r="DW27" s="12"/>
      <c r="DX27" s="12"/>
      <c r="DY27" s="48"/>
      <c r="DZ27" s="108"/>
      <c r="EA27" s="1068"/>
      <c r="EB27" s="1145" t="s">
        <v>1179</v>
      </c>
      <c r="EC27" s="1146" t="s">
        <v>4636</v>
      </c>
      <c r="ED27" s="1146">
        <v>10.0</v>
      </c>
      <c r="EE27" s="1147">
        <v>10.0</v>
      </c>
      <c r="EF27" s="1148">
        <v>10.0</v>
      </c>
      <c r="EG27" s="108"/>
      <c r="EH27" s="1100"/>
      <c r="EI27" s="1180" t="s">
        <v>3291</v>
      </c>
      <c r="EJ27" s="1166" t="s">
        <v>4666</v>
      </c>
      <c r="EK27" s="1166">
        <v>5.0</v>
      </c>
      <c r="EL27" s="1167">
        <v>5.0</v>
      </c>
      <c r="EM27" s="1168">
        <v>5.0</v>
      </c>
      <c r="EN27" s="108"/>
      <c r="EO27" s="1012"/>
      <c r="EP27" s="1042" t="s">
        <v>3787</v>
      </c>
      <c r="EQ27" s="128"/>
      <c r="ER27" s="1013">
        <v>10.0</v>
      </c>
      <c r="ES27" s="138"/>
      <c r="ET27" s="128"/>
      <c r="EU27" s="108"/>
      <c r="EV27" s="1012"/>
      <c r="EW27" s="1031" t="s">
        <v>605</v>
      </c>
      <c r="EX27" s="1033" t="s">
        <v>4654</v>
      </c>
      <c r="EY27" s="1033">
        <v>25.0</v>
      </c>
      <c r="EZ27" s="1034">
        <v>25.0</v>
      </c>
      <c r="FA27" s="1035">
        <v>25.0</v>
      </c>
      <c r="FB27" s="108"/>
      <c r="FC27" s="961" t="s">
        <v>4822</v>
      </c>
      <c r="FD27" s="962"/>
      <c r="FE27" s="958"/>
      <c r="FF27" s="959"/>
      <c r="FG27" s="959"/>
      <c r="FH27" s="960"/>
      <c r="FI27" s="108"/>
      <c r="FJ27" s="1012"/>
      <c r="FK27" s="1042" t="s">
        <v>1637</v>
      </c>
      <c r="FL27" s="138"/>
      <c r="FM27" s="1013">
        <v>20.0</v>
      </c>
      <c r="FN27" s="138"/>
      <c r="FO27" s="128"/>
      <c r="FP27" s="108"/>
      <c r="FQ27" s="1012"/>
      <c r="FR27" s="1098" t="s">
        <v>4083</v>
      </c>
      <c r="FS27" s="1014" t="s">
        <v>4722</v>
      </c>
      <c r="FT27" s="1013">
        <v>20.0</v>
      </c>
      <c r="FU27" s="1014">
        <v>20.0</v>
      </c>
      <c r="FV27" s="1015">
        <v>20.0</v>
      </c>
      <c r="FW27" s="108"/>
      <c r="FX27" s="1056"/>
      <c r="FY27" s="1173" t="s">
        <v>1901</v>
      </c>
      <c r="FZ27" s="1080" t="s">
        <v>4616</v>
      </c>
      <c r="GA27" s="1081">
        <v>5.0</v>
      </c>
      <c r="GB27" s="413"/>
      <c r="GC27" s="414"/>
      <c r="GD27" s="108"/>
      <c r="GE27" s="1012"/>
      <c r="GF27" s="1042" t="s">
        <v>1637</v>
      </c>
      <c r="GG27" s="138"/>
      <c r="GH27" s="1013">
        <v>20.0</v>
      </c>
      <c r="GI27" s="138"/>
      <c r="GJ27" s="128"/>
      <c r="GK27" s="108"/>
      <c r="GL27" s="1056"/>
      <c r="GM27" s="1085" t="s">
        <v>1219</v>
      </c>
      <c r="GN27" s="1124"/>
      <c r="GO27" s="1080">
        <v>0.0</v>
      </c>
      <c r="GP27" s="1125">
        <v>0.0</v>
      </c>
      <c r="GQ27" s="1126">
        <v>30.0</v>
      </c>
      <c r="GR27" s="442"/>
      <c r="GS27" s="1012"/>
      <c r="GT27" s="1042" t="s">
        <v>1082</v>
      </c>
      <c r="GU27" s="138"/>
      <c r="GV27" s="1013">
        <v>20.0</v>
      </c>
      <c r="GW27" s="138"/>
      <c r="GX27" s="128"/>
      <c r="GY27" s="442"/>
      <c r="GZ27" s="1012"/>
      <c r="HA27" s="1042" t="s">
        <v>2503</v>
      </c>
      <c r="HB27" s="138"/>
      <c r="HC27" s="1013">
        <v>10.0</v>
      </c>
      <c r="HD27" s="138"/>
      <c r="HE27" s="128"/>
      <c r="HF27" s="442"/>
      <c r="HG27" s="1012"/>
      <c r="HH27" s="1042" t="s">
        <v>3787</v>
      </c>
      <c r="HI27" s="138"/>
      <c r="HJ27" s="1013">
        <v>10.0</v>
      </c>
      <c r="HK27" s="138"/>
      <c r="HL27" s="128"/>
      <c r="HM27" s="442"/>
      <c r="HN27" s="1012"/>
      <c r="HO27" s="1050" t="s">
        <v>4111</v>
      </c>
      <c r="HP27" s="413"/>
      <c r="HQ27" s="1051">
        <v>0.0</v>
      </c>
      <c r="HR27" s="1130">
        <v>0.0</v>
      </c>
      <c r="HS27" s="1131">
        <v>30.0</v>
      </c>
      <c r="HT27" s="442"/>
      <c r="HU27" s="40"/>
      <c r="HV27" s="1052" t="s">
        <v>4257</v>
      </c>
      <c r="HW27" s="1054" t="s">
        <v>4657</v>
      </c>
      <c r="HX27" s="1053">
        <v>22.0</v>
      </c>
      <c r="HY27" s="1026"/>
      <c r="HZ27" s="998"/>
      <c r="IA27" s="442"/>
      <c r="IH27" s="442"/>
      <c r="II27" s="1068"/>
      <c r="IJ27" s="1076" t="s">
        <v>2849</v>
      </c>
      <c r="IK27" s="1072" t="s">
        <v>4677</v>
      </c>
      <c r="IL27" s="1071">
        <v>20.0</v>
      </c>
      <c r="IM27" s="1072">
        <v>20.0</v>
      </c>
      <c r="IN27" s="1073">
        <v>20.0</v>
      </c>
      <c r="IO27" s="442"/>
      <c r="IP27" s="1012"/>
      <c r="IQ27" s="1042" t="s">
        <v>3477</v>
      </c>
      <c r="IR27" s="1013" t="s">
        <v>4816</v>
      </c>
      <c r="IS27" s="1013">
        <v>10.0</v>
      </c>
      <c r="IT27" s="1014">
        <v>10.0</v>
      </c>
      <c r="IU27" s="1015">
        <v>10.0</v>
      </c>
      <c r="IV27" s="442"/>
      <c r="IW27" s="1012"/>
      <c r="IX27" s="1098" t="s">
        <v>2642</v>
      </c>
      <c r="IY27" s="1014" t="s">
        <v>4698</v>
      </c>
      <c r="IZ27" s="1013">
        <v>20.0</v>
      </c>
      <c r="JA27" s="1014">
        <v>20.0</v>
      </c>
      <c r="JB27" s="1015">
        <v>20.0</v>
      </c>
      <c r="JC27" s="442"/>
      <c r="JD27" s="1068"/>
      <c r="JE27" s="1076" t="s">
        <v>3941</v>
      </c>
      <c r="JF27" s="1072" t="s">
        <v>4698</v>
      </c>
      <c r="JG27" s="1071">
        <v>10.0</v>
      </c>
      <c r="JH27" s="1072">
        <v>10.0</v>
      </c>
      <c r="JI27" s="1073">
        <v>10.0</v>
      </c>
      <c r="JJ27" s="442"/>
      <c r="JK27" s="985" t="s">
        <v>4670</v>
      </c>
      <c r="JL27" s="12"/>
      <c r="JM27" s="12"/>
      <c r="JN27" s="12"/>
      <c r="JO27" s="12"/>
      <c r="JP27" s="48"/>
      <c r="JQ27" s="442"/>
      <c r="JR27" s="1036"/>
      <c r="JS27" s="1037" t="s">
        <v>2806</v>
      </c>
      <c r="JT27" s="1038" t="s">
        <v>4549</v>
      </c>
      <c r="JU27" s="1038">
        <v>10.0</v>
      </c>
      <c r="JV27" s="1039">
        <v>10.0</v>
      </c>
      <c r="JW27" s="1040">
        <v>10.0</v>
      </c>
      <c r="JX27" s="442"/>
      <c r="JY27" s="1068"/>
      <c r="JZ27" s="1076" t="s">
        <v>3872</v>
      </c>
      <c r="KA27" s="1071" t="s">
        <v>4549</v>
      </c>
      <c r="KB27" s="1071">
        <v>10.0</v>
      </c>
      <c r="KC27" s="1072">
        <v>10.0</v>
      </c>
      <c r="KD27" s="1073">
        <v>10.0</v>
      </c>
      <c r="KE27" s="442"/>
      <c r="KL27" s="442"/>
      <c r="KS27" s="442"/>
      <c r="KT27" s="1068"/>
      <c r="KU27" s="1076" t="s">
        <v>3113</v>
      </c>
      <c r="KV27" s="1071" t="s">
        <v>4611</v>
      </c>
      <c r="KW27" s="1071">
        <v>10.0</v>
      </c>
      <c r="KX27" s="1072">
        <v>10.0</v>
      </c>
      <c r="KY27" s="1073">
        <v>10.0</v>
      </c>
      <c r="KZ27" s="442"/>
      <c r="LA27" s="1094"/>
      <c r="LB27" s="1050" t="s">
        <v>4823</v>
      </c>
      <c r="LC27" s="1095" t="s">
        <v>411</v>
      </c>
      <c r="LD27" s="1051" t="s">
        <v>4701</v>
      </c>
      <c r="LE27" s="413"/>
      <c r="LF27" s="414"/>
      <c r="LG27" s="442"/>
      <c r="LH27" s="1012"/>
      <c r="LI27" s="1098" t="s">
        <v>2170</v>
      </c>
      <c r="LJ27" s="1013" t="s">
        <v>4679</v>
      </c>
      <c r="LK27" s="1013">
        <v>15.0</v>
      </c>
      <c r="LL27" s="1014">
        <v>15.0</v>
      </c>
      <c r="LM27" s="1015">
        <v>15.0</v>
      </c>
      <c r="LN27" s="442"/>
      <c r="LO27" s="1012"/>
      <c r="LP27" s="1098" t="s">
        <v>2990</v>
      </c>
      <c r="LQ27" s="1013" t="s">
        <v>4824</v>
      </c>
      <c r="LR27" s="1013">
        <v>10.0</v>
      </c>
      <c r="LS27" s="1014">
        <v>10.0</v>
      </c>
      <c r="LT27" s="1015">
        <v>10.0</v>
      </c>
      <c r="LU27" s="442"/>
      <c r="LV27" s="985" t="s">
        <v>4583</v>
      </c>
      <c r="LW27" s="12"/>
      <c r="LX27" s="12"/>
      <c r="LY27" s="12"/>
      <c r="LZ27" s="12"/>
      <c r="MA27" s="48"/>
      <c r="MB27" s="996"/>
    </row>
    <row r="28" ht="15.75" customHeight="1">
      <c r="A28" s="10"/>
      <c r="B28" s="1155"/>
      <c r="C28" s="1154"/>
      <c r="D28" s="108"/>
      <c r="E28" s="1033"/>
      <c r="F28" s="978" t="s">
        <v>1336</v>
      </c>
      <c r="G28" s="984"/>
      <c r="H28" s="1033">
        <v>55.0</v>
      </c>
      <c r="I28" s="1034">
        <v>55.0</v>
      </c>
      <c r="J28" s="1035">
        <v>0.0</v>
      </c>
      <c r="K28" s="108"/>
      <c r="L28" s="1064"/>
      <c r="M28" s="1065" t="s">
        <v>3613</v>
      </c>
      <c r="N28" s="1066">
        <v>5.0</v>
      </c>
      <c r="O28" s="1067" t="s">
        <v>411</v>
      </c>
      <c r="P28" s="138"/>
      <c r="Q28" s="128"/>
      <c r="R28" s="108"/>
      <c r="S28" s="1096"/>
      <c r="T28" s="1042" t="s">
        <v>3730</v>
      </c>
      <c r="U28" s="1108">
        <v>1.0</v>
      </c>
      <c r="V28" s="1013" t="s">
        <v>411</v>
      </c>
      <c r="W28" s="138"/>
      <c r="X28" s="128"/>
      <c r="Y28" s="108"/>
      <c r="Z28" s="1021"/>
      <c r="AA28" s="1022" t="s">
        <v>1228</v>
      </c>
      <c r="AB28" s="128"/>
      <c r="AC28" s="1023">
        <v>30.0</v>
      </c>
      <c r="AD28" s="1023">
        <v>30.0</v>
      </c>
      <c r="AE28" s="1024">
        <v>0.0</v>
      </c>
      <c r="AF28" s="108"/>
      <c r="AG28" s="985" t="s">
        <v>2416</v>
      </c>
      <c r="AH28" s="12"/>
      <c r="AI28" s="12"/>
      <c r="AJ28" s="12"/>
      <c r="AK28" s="12"/>
      <c r="AL28" s="48"/>
      <c r="AM28" s="108"/>
      <c r="AN28" s="1012"/>
      <c r="AO28" s="38" t="s">
        <v>750</v>
      </c>
      <c r="AP28" s="1045">
        <v>45939.0</v>
      </c>
      <c r="AQ28" s="1033">
        <v>30.0</v>
      </c>
      <c r="AR28" s="1034">
        <v>30.0</v>
      </c>
      <c r="AS28" s="1035">
        <v>30.0</v>
      </c>
      <c r="AT28" s="108"/>
      <c r="AU28" s="1012"/>
      <c r="AV28" s="89" t="s">
        <v>2720</v>
      </c>
      <c r="AW28" s="1099">
        <v>45939.0</v>
      </c>
      <c r="AX28" s="1013">
        <v>20.0</v>
      </c>
      <c r="AY28" s="1014">
        <v>20.0</v>
      </c>
      <c r="AZ28" s="1015">
        <v>20.0</v>
      </c>
      <c r="BA28" s="108"/>
      <c r="BB28" s="985" t="s">
        <v>4805</v>
      </c>
      <c r="BC28" s="12"/>
      <c r="BD28" s="12"/>
      <c r="BE28" s="12"/>
      <c r="BF28" s="12"/>
      <c r="BG28" s="48"/>
      <c r="BH28" s="442"/>
      <c r="BI28" s="1096"/>
      <c r="BJ28" s="1042" t="s">
        <v>141</v>
      </c>
      <c r="BK28" s="128"/>
      <c r="BL28" s="1013">
        <v>20.0</v>
      </c>
      <c r="BM28" s="138"/>
      <c r="BN28" s="128"/>
      <c r="BO28" s="108"/>
      <c r="BP28" s="1096"/>
      <c r="BQ28" s="1042" t="s">
        <v>1976</v>
      </c>
      <c r="BR28" s="128"/>
      <c r="BS28" s="1013">
        <v>20.0</v>
      </c>
      <c r="BT28" s="138"/>
      <c r="BU28" s="128"/>
      <c r="BV28" s="108"/>
      <c r="BW28" s="1012"/>
      <c r="BX28" s="1046" t="s">
        <v>997</v>
      </c>
      <c r="BY28" s="977" t="s">
        <v>4673</v>
      </c>
      <c r="BZ28" s="977">
        <v>40.0</v>
      </c>
      <c r="CA28" s="979">
        <v>40.0</v>
      </c>
      <c r="CB28" s="980">
        <v>40.0</v>
      </c>
      <c r="CC28" s="108"/>
      <c r="CD28" s="442"/>
      <c r="CE28" s="442"/>
      <c r="CF28" s="442"/>
      <c r="CG28" s="442"/>
      <c r="CH28" s="442"/>
      <c r="CI28" s="442"/>
      <c r="CJ28" s="108"/>
      <c r="CK28" s="1068"/>
      <c r="CL28" s="1076" t="s">
        <v>750</v>
      </c>
      <c r="CM28" s="1072" t="s">
        <v>4807</v>
      </c>
      <c r="CN28" s="1071">
        <v>20.0</v>
      </c>
      <c r="CO28" s="1072">
        <v>20.0</v>
      </c>
      <c r="CP28" s="1073">
        <v>20.0</v>
      </c>
      <c r="CQ28" s="108"/>
      <c r="CR28" s="1036"/>
      <c r="CS28" s="1048" t="s">
        <v>2770</v>
      </c>
      <c r="CT28" s="1038" t="s">
        <v>4825</v>
      </c>
      <c r="CU28" s="1038">
        <v>10.0</v>
      </c>
      <c r="CV28" s="1039">
        <v>10.0</v>
      </c>
      <c r="CW28" s="1040">
        <v>10.0</v>
      </c>
      <c r="CX28" s="108"/>
      <c r="CY28" s="1061" t="s">
        <v>4610</v>
      </c>
      <c r="CZ28" s="959"/>
      <c r="DA28" s="957"/>
      <c r="DB28" s="1062" t="s">
        <v>4608</v>
      </c>
      <c r="DC28" s="959"/>
      <c r="DD28" s="960"/>
      <c r="DE28" s="108"/>
      <c r="DF28" s="1036"/>
      <c r="DG28" s="1048" t="s">
        <v>1022</v>
      </c>
      <c r="DH28" s="1038" t="s">
        <v>4618</v>
      </c>
      <c r="DI28" s="1038">
        <v>10.0</v>
      </c>
      <c r="DJ28" s="1039">
        <v>10.0</v>
      </c>
      <c r="DK28" s="1040">
        <v>10.0</v>
      </c>
      <c r="DL28" s="108"/>
      <c r="DM28" s="1068"/>
      <c r="DN28" s="1076" t="s">
        <v>504</v>
      </c>
      <c r="DO28" s="1071" t="s">
        <v>4814</v>
      </c>
      <c r="DP28" s="1071">
        <v>10.0</v>
      </c>
      <c r="DQ28" s="1072">
        <v>10.0</v>
      </c>
      <c r="DR28" s="1073">
        <v>10.0</v>
      </c>
      <c r="DS28" s="108"/>
      <c r="DT28" s="1012"/>
      <c r="DU28" s="1046" t="s">
        <v>1797</v>
      </c>
      <c r="DV28" s="1033" t="s">
        <v>4592</v>
      </c>
      <c r="DW28" s="1033">
        <v>90.0</v>
      </c>
      <c r="DX28" s="1032"/>
      <c r="DY28" s="30"/>
      <c r="DZ28" s="108"/>
      <c r="EA28" s="985" t="s">
        <v>2416</v>
      </c>
      <c r="EB28" s="12"/>
      <c r="EC28" s="12"/>
      <c r="ED28" s="12"/>
      <c r="EE28" s="12"/>
      <c r="EF28" s="48"/>
      <c r="EG28" s="108"/>
      <c r="EH28" s="956" t="s">
        <v>4826</v>
      </c>
      <c r="EI28" s="957"/>
      <c r="EJ28" s="958"/>
      <c r="EK28" s="959"/>
      <c r="EL28" s="959"/>
      <c r="EM28" s="960"/>
      <c r="EN28" s="108"/>
      <c r="EO28" s="1027"/>
      <c r="EP28" s="1028" t="s">
        <v>3810</v>
      </c>
      <c r="EQ28" s="128"/>
      <c r="ER28" s="1029">
        <v>10.0</v>
      </c>
      <c r="ES28" s="138"/>
      <c r="ET28" s="128"/>
      <c r="EU28" s="108"/>
      <c r="EV28" s="1036"/>
      <c r="EW28" s="1037" t="s">
        <v>2720</v>
      </c>
      <c r="EX28" s="1038" t="s">
        <v>4622</v>
      </c>
      <c r="EY28" s="1038">
        <v>20.0</v>
      </c>
      <c r="EZ28" s="1039">
        <v>20.0</v>
      </c>
      <c r="FA28" s="1040">
        <v>20.0</v>
      </c>
      <c r="FB28" s="108"/>
      <c r="FC28" s="985" t="s">
        <v>4827</v>
      </c>
      <c r="FD28" s="12"/>
      <c r="FE28" s="12"/>
      <c r="FF28" s="1003" t="s">
        <v>4559</v>
      </c>
      <c r="FG28" s="1003" t="s">
        <v>4560</v>
      </c>
      <c r="FH28" s="1004" t="s">
        <v>914</v>
      </c>
      <c r="FI28" s="108"/>
      <c r="FJ28" s="1027"/>
      <c r="FK28" s="1028" t="s">
        <v>2583</v>
      </c>
      <c r="FL28" s="1057"/>
      <c r="FM28" s="1029">
        <v>20.0</v>
      </c>
      <c r="FN28" s="138"/>
      <c r="FO28" s="128"/>
      <c r="FP28" s="108"/>
      <c r="FQ28" s="1068"/>
      <c r="FR28" s="1076" t="s">
        <v>4091</v>
      </c>
      <c r="FS28" s="1072" t="s">
        <v>4639</v>
      </c>
      <c r="FT28" s="1071">
        <v>10.0</v>
      </c>
      <c r="FU28" s="1072">
        <v>10.0</v>
      </c>
      <c r="FV28" s="1073">
        <v>10.0</v>
      </c>
      <c r="FW28" s="108"/>
      <c r="FX28" s="985" t="s">
        <v>4535</v>
      </c>
      <c r="FY28" s="12"/>
      <c r="FZ28" s="12"/>
      <c r="GA28" s="986" t="s">
        <v>2249</v>
      </c>
      <c r="GB28" s="986" t="s">
        <v>2440</v>
      </c>
      <c r="GC28" s="987" t="s">
        <v>2408</v>
      </c>
      <c r="GD28" s="108"/>
      <c r="GE28" s="1027"/>
      <c r="GF28" s="1028" t="s">
        <v>2583</v>
      </c>
      <c r="GG28" s="1057"/>
      <c r="GH28" s="1029">
        <v>20.0</v>
      </c>
      <c r="GI28" s="138"/>
      <c r="GJ28" s="128"/>
      <c r="GK28" s="108"/>
      <c r="GL28" s="985" t="s">
        <v>4704</v>
      </c>
      <c r="GM28" s="12"/>
      <c r="GN28" s="12"/>
      <c r="GO28" s="12"/>
      <c r="GP28" s="12"/>
      <c r="GQ28" s="48"/>
      <c r="GR28" s="442"/>
      <c r="GS28" s="1027"/>
      <c r="GT28" s="1028" t="s">
        <v>2559</v>
      </c>
      <c r="GU28" s="1057"/>
      <c r="GV28" s="1029">
        <v>20.0</v>
      </c>
      <c r="GW28" s="138"/>
      <c r="GX28" s="128"/>
      <c r="GY28" s="442"/>
      <c r="GZ28" s="1027"/>
      <c r="HA28" s="1028" t="s">
        <v>2519</v>
      </c>
      <c r="HB28" s="1057"/>
      <c r="HC28" s="1029">
        <v>10.0</v>
      </c>
      <c r="HD28" s="138"/>
      <c r="HE28" s="128"/>
      <c r="HF28" s="442"/>
      <c r="HG28" s="1027"/>
      <c r="HH28" s="1028" t="s">
        <v>3810</v>
      </c>
      <c r="HI28" s="1057"/>
      <c r="HJ28" s="1029">
        <v>10.0</v>
      </c>
      <c r="HK28" s="138"/>
      <c r="HL28" s="128"/>
      <c r="HM28" s="442"/>
      <c r="HN28" s="973" t="s">
        <v>4828</v>
      </c>
      <c r="HO28" s="974"/>
      <c r="HP28" s="975"/>
      <c r="HQ28" s="976"/>
      <c r="HR28" s="976"/>
      <c r="HS28" s="954"/>
      <c r="HT28" s="442"/>
      <c r="IA28" s="442"/>
      <c r="IH28" s="442"/>
      <c r="II28" s="1012"/>
      <c r="IJ28" s="1098" t="s">
        <v>2728</v>
      </c>
      <c r="IK28" s="1014" t="s">
        <v>4645</v>
      </c>
      <c r="IL28" s="1013">
        <v>20.0</v>
      </c>
      <c r="IM28" s="1014">
        <v>20.0</v>
      </c>
      <c r="IN28" s="1015">
        <v>20.0</v>
      </c>
      <c r="IO28" s="442"/>
      <c r="IP28" s="1036"/>
      <c r="IQ28" s="1037" t="s">
        <v>3139</v>
      </c>
      <c r="IR28" s="1038" t="s">
        <v>4816</v>
      </c>
      <c r="IS28" s="1038">
        <v>5.0</v>
      </c>
      <c r="IT28" s="1039">
        <v>5.0</v>
      </c>
      <c r="IU28" s="1040">
        <v>5.0</v>
      </c>
      <c r="IV28" s="442"/>
      <c r="IW28" s="1068"/>
      <c r="IX28" s="1076" t="s">
        <v>1135</v>
      </c>
      <c r="IY28" s="1072" t="s">
        <v>4677</v>
      </c>
      <c r="IZ28" s="1071">
        <v>10.0</v>
      </c>
      <c r="JA28" s="1072">
        <v>10.0</v>
      </c>
      <c r="JB28" s="1073">
        <v>10.0</v>
      </c>
      <c r="JC28" s="442"/>
      <c r="JD28" s="1012"/>
      <c r="JE28" s="1098" t="s">
        <v>2598</v>
      </c>
      <c r="JF28" s="1014" t="s">
        <v>4689</v>
      </c>
      <c r="JG28" s="1013">
        <v>10.0</v>
      </c>
      <c r="JH28" s="1014">
        <v>10.0</v>
      </c>
      <c r="JI28" s="1015">
        <v>10.0</v>
      </c>
      <c r="JJ28" s="442"/>
      <c r="JK28" s="1012"/>
      <c r="JL28" s="1031" t="s">
        <v>812</v>
      </c>
      <c r="JM28" s="1033" t="s">
        <v>4678</v>
      </c>
      <c r="JN28" s="1033">
        <v>60.0</v>
      </c>
      <c r="JO28" s="1032"/>
      <c r="JP28" s="30"/>
      <c r="JQ28" s="442"/>
      <c r="JR28" s="1012"/>
      <c r="JS28" s="1042" t="s">
        <v>2798</v>
      </c>
      <c r="JT28" s="1013" t="s">
        <v>4549</v>
      </c>
      <c r="JU28" s="1013">
        <v>10.0</v>
      </c>
      <c r="JV28" s="1014">
        <v>10.0</v>
      </c>
      <c r="JW28" s="1015">
        <v>10.0</v>
      </c>
      <c r="JX28" s="442"/>
      <c r="JY28" s="1012"/>
      <c r="JZ28" s="1098" t="s">
        <v>2056</v>
      </c>
      <c r="KA28" s="1013" t="s">
        <v>4549</v>
      </c>
      <c r="KB28" s="1013">
        <v>10.0</v>
      </c>
      <c r="KC28" s="1014">
        <v>10.0</v>
      </c>
      <c r="KD28" s="1015">
        <v>10.0</v>
      </c>
      <c r="KE28" s="442"/>
      <c r="KL28" s="442"/>
      <c r="KM28" s="956" t="s">
        <v>4829</v>
      </c>
      <c r="KN28" s="957"/>
      <c r="KO28" s="958"/>
      <c r="KP28" s="959"/>
      <c r="KQ28" s="959"/>
      <c r="KR28" s="960"/>
      <c r="KS28" s="442"/>
      <c r="KT28" s="1012"/>
      <c r="KU28" s="1098" t="s">
        <v>3121</v>
      </c>
      <c r="KV28" s="1013" t="s">
        <v>4611</v>
      </c>
      <c r="KW28" s="1013">
        <v>10.0</v>
      </c>
      <c r="KX28" s="1014">
        <v>10.0</v>
      </c>
      <c r="KY28" s="1015">
        <v>10.0</v>
      </c>
      <c r="KZ28" s="442"/>
      <c r="LA28" s="442"/>
      <c r="LB28" s="442"/>
      <c r="LC28" s="442"/>
      <c r="LD28" s="442"/>
      <c r="LE28" s="442"/>
      <c r="LF28" s="442"/>
      <c r="LG28" s="442"/>
      <c r="LH28" s="1068"/>
      <c r="LI28" s="1076" t="s">
        <v>2000</v>
      </c>
      <c r="LJ28" s="1071" t="s">
        <v>4649</v>
      </c>
      <c r="LK28" s="1071">
        <v>15.0</v>
      </c>
      <c r="LL28" s="1072">
        <v>15.0</v>
      </c>
      <c r="LM28" s="1073">
        <v>15.0</v>
      </c>
      <c r="LN28" s="442"/>
      <c r="LO28" s="1068"/>
      <c r="LP28" s="1076" t="s">
        <v>759</v>
      </c>
      <c r="LQ28" s="1071" t="s">
        <v>4611</v>
      </c>
      <c r="LR28" s="1071">
        <v>10.0</v>
      </c>
      <c r="LS28" s="1072">
        <v>10.0</v>
      </c>
      <c r="LT28" s="1073">
        <v>10.0</v>
      </c>
      <c r="LU28" s="442"/>
      <c r="LV28" s="1061" t="s">
        <v>4610</v>
      </c>
      <c r="LW28" s="959"/>
      <c r="LX28" s="957"/>
      <c r="LY28" s="1062" t="s">
        <v>4608</v>
      </c>
      <c r="LZ28" s="959"/>
      <c r="MA28" s="960"/>
      <c r="MB28" s="996"/>
    </row>
    <row r="29" ht="15.75" customHeight="1">
      <c r="A29" s="10"/>
      <c r="B29" s="1155"/>
      <c r="C29" s="1154"/>
      <c r="D29" s="108"/>
      <c r="E29" s="1021"/>
      <c r="F29" s="1022" t="s">
        <v>695</v>
      </c>
      <c r="G29" s="1057"/>
      <c r="H29" s="1021">
        <v>45.0</v>
      </c>
      <c r="I29" s="1023">
        <v>45.0</v>
      </c>
      <c r="J29" s="1024">
        <v>0.0</v>
      </c>
      <c r="K29" s="108"/>
      <c r="L29" s="1094"/>
      <c r="M29" s="1050" t="s">
        <v>3635</v>
      </c>
      <c r="N29" s="1095">
        <v>5.0</v>
      </c>
      <c r="O29" s="1051" t="s">
        <v>411</v>
      </c>
      <c r="P29" s="413"/>
      <c r="Q29" s="414"/>
      <c r="R29" s="108"/>
      <c r="S29" s="1064"/>
      <c r="T29" s="1065" t="s">
        <v>3948</v>
      </c>
      <c r="U29" s="1066">
        <v>1.0</v>
      </c>
      <c r="V29" s="1067" t="s">
        <v>411</v>
      </c>
      <c r="W29" s="138"/>
      <c r="X29" s="128"/>
      <c r="Y29" s="108"/>
      <c r="Z29" s="1013"/>
      <c r="AA29" s="1042" t="s">
        <v>3167</v>
      </c>
      <c r="AB29" s="128"/>
      <c r="AC29" s="1014">
        <v>30.0</v>
      </c>
      <c r="AD29" s="1014">
        <v>30.0</v>
      </c>
      <c r="AE29" s="1015">
        <v>0.0</v>
      </c>
      <c r="AF29" s="108"/>
      <c r="AG29" s="1144"/>
      <c r="AH29" s="1052" t="s">
        <v>1976</v>
      </c>
      <c r="AI29" s="1156">
        <v>45876.0</v>
      </c>
      <c r="AJ29" s="1053">
        <v>22.0</v>
      </c>
      <c r="AK29" s="1026"/>
      <c r="AL29" s="998"/>
      <c r="AM29" s="108"/>
      <c r="AN29" s="1068"/>
      <c r="AO29" s="1078" t="s">
        <v>1161</v>
      </c>
      <c r="AP29" s="1070">
        <v>45939.0</v>
      </c>
      <c r="AQ29" s="1071">
        <v>20.0</v>
      </c>
      <c r="AR29" s="1072">
        <v>20.0</v>
      </c>
      <c r="AS29" s="1073">
        <v>20.0</v>
      </c>
      <c r="AT29" s="108"/>
      <c r="AU29" s="1036"/>
      <c r="AV29" s="1048" t="s">
        <v>2816</v>
      </c>
      <c r="AW29" s="1207">
        <v>45909.0</v>
      </c>
      <c r="AX29" s="1038">
        <v>10.0</v>
      </c>
      <c r="AY29" s="1039">
        <v>10.0</v>
      </c>
      <c r="AZ29" s="1040">
        <v>10.0</v>
      </c>
      <c r="BA29" s="108"/>
      <c r="BB29" s="1012"/>
      <c r="BC29" s="978" t="s">
        <v>3849</v>
      </c>
      <c r="BD29" s="319"/>
      <c r="BE29" s="1033">
        <v>30.0</v>
      </c>
      <c r="BF29" s="1032"/>
      <c r="BG29" s="30"/>
      <c r="BH29" s="442"/>
      <c r="BI29" s="1027"/>
      <c r="BJ29" s="1028" t="s">
        <v>188</v>
      </c>
      <c r="BK29" s="128"/>
      <c r="BL29" s="1029">
        <v>20.0</v>
      </c>
      <c r="BM29" s="138"/>
      <c r="BN29" s="128"/>
      <c r="BO29" s="108"/>
      <c r="BP29" s="1027"/>
      <c r="BQ29" s="1028" t="s">
        <v>2485</v>
      </c>
      <c r="BR29" s="128"/>
      <c r="BS29" s="1029">
        <v>20.0</v>
      </c>
      <c r="BT29" s="138"/>
      <c r="BU29" s="128"/>
      <c r="BV29" s="108"/>
      <c r="BW29" s="1100"/>
      <c r="BX29" s="1158" t="s">
        <v>270</v>
      </c>
      <c r="BY29" s="1102" t="s">
        <v>4673</v>
      </c>
      <c r="BZ29" s="1102">
        <v>30.0</v>
      </c>
      <c r="CA29" s="1103">
        <v>30.0</v>
      </c>
      <c r="CB29" s="1104">
        <v>30.0</v>
      </c>
      <c r="CC29" s="108"/>
      <c r="CD29" s="442"/>
      <c r="CE29" s="442"/>
      <c r="CF29" s="442"/>
      <c r="CG29" s="442"/>
      <c r="CH29" s="442"/>
      <c r="CI29" s="442"/>
      <c r="CJ29" s="108"/>
      <c r="CK29" s="1012"/>
      <c r="CL29" s="1098" t="s">
        <v>3092</v>
      </c>
      <c r="CM29" s="1014" t="s">
        <v>4821</v>
      </c>
      <c r="CN29" s="1013">
        <v>20.0</v>
      </c>
      <c r="CO29" s="1014">
        <v>20.0</v>
      </c>
      <c r="CP29" s="1015">
        <v>20.0</v>
      </c>
      <c r="CQ29" s="108"/>
      <c r="CR29" s="1012"/>
      <c r="CS29" s="89" t="s">
        <v>3948</v>
      </c>
      <c r="CT29" s="1013" t="s">
        <v>4615</v>
      </c>
      <c r="CU29" s="1013">
        <v>10.0</v>
      </c>
      <c r="CV29" s="1014">
        <v>10.0</v>
      </c>
      <c r="CW29" s="1015">
        <v>10.0</v>
      </c>
      <c r="CX29" s="108"/>
      <c r="CY29" s="40"/>
      <c r="CZ29" s="398" t="s">
        <v>3499</v>
      </c>
      <c r="DA29" s="1091">
        <v>60.0</v>
      </c>
      <c r="DB29" s="1092" t="s">
        <v>411</v>
      </c>
      <c r="DC29" s="12"/>
      <c r="DD29" s="48"/>
      <c r="DE29" s="108"/>
      <c r="DF29" s="1012"/>
      <c r="DG29" s="89" t="s">
        <v>2798</v>
      </c>
      <c r="DH29" s="1013" t="s">
        <v>4618</v>
      </c>
      <c r="DI29" s="1013">
        <v>5.0</v>
      </c>
      <c r="DJ29" s="1014">
        <v>5.0</v>
      </c>
      <c r="DK29" s="1015">
        <v>5.0</v>
      </c>
      <c r="DL29" s="108"/>
      <c r="DM29" s="1012"/>
      <c r="DN29" s="1098" t="s">
        <v>2616</v>
      </c>
      <c r="DO29" s="1013" t="s">
        <v>4814</v>
      </c>
      <c r="DP29" s="1013">
        <v>10.0</v>
      </c>
      <c r="DQ29" s="1014">
        <v>10.0</v>
      </c>
      <c r="DR29" s="1015">
        <v>10.0</v>
      </c>
      <c r="DS29" s="108"/>
      <c r="DT29" s="1056"/>
      <c r="DU29" s="1079" t="s">
        <v>1808</v>
      </c>
      <c r="DV29" s="1086" t="s">
        <v>4601</v>
      </c>
      <c r="DW29" s="1117">
        <v>10.0</v>
      </c>
      <c r="DX29" s="306"/>
      <c r="DY29" s="307"/>
      <c r="DZ29" s="108"/>
      <c r="EA29" s="1144"/>
      <c r="EB29" s="1052" t="s">
        <v>3941</v>
      </c>
      <c r="EC29" s="1053" t="s">
        <v>4721</v>
      </c>
      <c r="ED29" s="1053">
        <v>22.0</v>
      </c>
      <c r="EE29" s="1026"/>
      <c r="EF29" s="998"/>
      <c r="EG29" s="108"/>
      <c r="EH29" s="1058" t="s">
        <v>4830</v>
      </c>
      <c r="EI29" s="12"/>
      <c r="EJ29" s="962"/>
      <c r="EK29" s="1059" t="s">
        <v>4559</v>
      </c>
      <c r="EL29" s="1059" t="s">
        <v>4560</v>
      </c>
      <c r="EM29" s="1060" t="s">
        <v>914</v>
      </c>
      <c r="EN29" s="108"/>
      <c r="EO29" s="1049"/>
      <c r="EP29" s="1050" t="s">
        <v>2065</v>
      </c>
      <c r="EQ29" s="414"/>
      <c r="ER29" s="1051">
        <v>10.0</v>
      </c>
      <c r="ES29" s="413"/>
      <c r="ET29" s="414"/>
      <c r="EU29" s="108"/>
      <c r="EV29" s="1012"/>
      <c r="EW29" s="1042" t="s">
        <v>4056</v>
      </c>
      <c r="EX29" s="1013" t="s">
        <v>4638</v>
      </c>
      <c r="EY29" s="1013">
        <v>15.0</v>
      </c>
      <c r="EZ29" s="1014">
        <v>15.0</v>
      </c>
      <c r="FA29" s="1015">
        <v>15.0</v>
      </c>
      <c r="FB29" s="108"/>
      <c r="FC29" s="1012"/>
      <c r="FD29" s="1046" t="s">
        <v>1968</v>
      </c>
      <c r="FE29" s="1034" t="s">
        <v>4831</v>
      </c>
      <c r="FF29" s="1033">
        <v>30.0</v>
      </c>
      <c r="FG29" s="1034">
        <v>30.0</v>
      </c>
      <c r="FH29" s="1035">
        <v>30.0</v>
      </c>
      <c r="FI29" s="108"/>
      <c r="FJ29" s="1012"/>
      <c r="FK29" s="1050" t="s">
        <v>903</v>
      </c>
      <c r="FL29" s="413"/>
      <c r="FM29" s="1051">
        <v>10.0</v>
      </c>
      <c r="FN29" s="413"/>
      <c r="FO29" s="414"/>
      <c r="FP29" s="108"/>
      <c r="FQ29" s="1012"/>
      <c r="FR29" s="1098" t="s">
        <v>1200</v>
      </c>
      <c r="FS29" s="1014" t="s">
        <v>4770</v>
      </c>
      <c r="FT29" s="1013">
        <v>10.0</v>
      </c>
      <c r="FU29" s="1014">
        <v>10.0</v>
      </c>
      <c r="FV29" s="1015">
        <v>10.0</v>
      </c>
      <c r="FW29" s="108"/>
      <c r="FX29" s="1012"/>
      <c r="FY29" s="1031" t="s">
        <v>1336</v>
      </c>
      <c r="FZ29" s="1032"/>
      <c r="GA29" s="1033">
        <v>40.0</v>
      </c>
      <c r="GB29" s="1034">
        <v>40.0</v>
      </c>
      <c r="GC29" s="1035">
        <v>0.0</v>
      </c>
      <c r="GD29" s="108"/>
      <c r="GE29" s="1049"/>
      <c r="GF29" s="1050" t="s">
        <v>903</v>
      </c>
      <c r="GG29" s="413"/>
      <c r="GH29" s="1051">
        <v>10.0</v>
      </c>
      <c r="GI29" s="413"/>
      <c r="GJ29" s="414"/>
      <c r="GK29" s="108"/>
      <c r="GL29" s="1061" t="s">
        <v>4610</v>
      </c>
      <c r="GM29" s="959"/>
      <c r="GN29" s="957"/>
      <c r="GO29" s="1062" t="s">
        <v>4608</v>
      </c>
      <c r="GP29" s="959"/>
      <c r="GQ29" s="960"/>
      <c r="GR29" s="442"/>
      <c r="GS29" s="1049"/>
      <c r="GT29" s="1050" t="s">
        <v>1191</v>
      </c>
      <c r="GU29" s="413"/>
      <c r="GV29" s="1051">
        <v>10.0</v>
      </c>
      <c r="GW29" s="413"/>
      <c r="GX29" s="414"/>
      <c r="GY29" s="442"/>
      <c r="GZ29" s="1012"/>
      <c r="HA29" s="1042" t="s">
        <v>2065</v>
      </c>
      <c r="HB29" s="138"/>
      <c r="HC29" s="1013">
        <v>10.0</v>
      </c>
      <c r="HD29" s="138"/>
      <c r="HE29" s="128"/>
      <c r="HF29" s="442"/>
      <c r="HG29" s="1012"/>
      <c r="HH29" s="1042" t="s">
        <v>2503</v>
      </c>
      <c r="HI29" s="138"/>
      <c r="HJ29" s="1013">
        <v>10.0</v>
      </c>
      <c r="HK29" s="138"/>
      <c r="HL29" s="128"/>
      <c r="HM29" s="442"/>
      <c r="HN29" s="1016"/>
      <c r="HO29" s="1017"/>
      <c r="HP29" s="1018"/>
      <c r="HQ29" s="1019"/>
      <c r="HR29" s="1019"/>
      <c r="HS29" s="1020"/>
      <c r="HT29" s="442"/>
      <c r="HU29" s="956" t="s">
        <v>4832</v>
      </c>
      <c r="HV29" s="957"/>
      <c r="HW29" s="958"/>
      <c r="HX29" s="959"/>
      <c r="HY29" s="959"/>
      <c r="HZ29" s="960"/>
      <c r="IA29" s="442"/>
      <c r="IH29" s="442"/>
      <c r="II29" s="1068"/>
      <c r="IJ29" s="1076" t="s">
        <v>3333</v>
      </c>
      <c r="IK29" s="1072" t="s">
        <v>4744</v>
      </c>
      <c r="IL29" s="1071">
        <v>10.0</v>
      </c>
      <c r="IM29" s="1072">
        <v>10.0</v>
      </c>
      <c r="IN29" s="1073">
        <v>10.0</v>
      </c>
      <c r="IO29" s="442"/>
      <c r="IP29" s="1012"/>
      <c r="IQ29" s="1050" t="s">
        <v>3130</v>
      </c>
      <c r="IR29" s="1051" t="s">
        <v>4816</v>
      </c>
      <c r="IS29" s="1051">
        <v>5.0</v>
      </c>
      <c r="IT29" s="1130">
        <v>5.0</v>
      </c>
      <c r="IU29" s="1131">
        <v>5.0</v>
      </c>
      <c r="IV29" s="442"/>
      <c r="IW29" s="1012"/>
      <c r="IX29" s="1127" t="s">
        <v>653</v>
      </c>
      <c r="IY29" s="1083" t="s">
        <v>4689</v>
      </c>
      <c r="IZ29" s="1082">
        <v>10.0</v>
      </c>
      <c r="JA29" s="1083">
        <v>10.0</v>
      </c>
      <c r="JB29" s="1084">
        <v>10.0</v>
      </c>
      <c r="JC29" s="442"/>
      <c r="JD29" s="1068"/>
      <c r="JE29" s="1076" t="s">
        <v>1770</v>
      </c>
      <c r="JF29" s="1072" t="s">
        <v>4677</v>
      </c>
      <c r="JG29" s="1071">
        <v>10.0</v>
      </c>
      <c r="JH29" s="1072">
        <v>10.0</v>
      </c>
      <c r="JI29" s="1073">
        <v>10.0</v>
      </c>
      <c r="JJ29" s="442"/>
      <c r="JK29" s="1056"/>
      <c r="JL29" s="1089" t="s">
        <v>2598</v>
      </c>
      <c r="JM29" s="1021" t="s">
        <v>4678</v>
      </c>
      <c r="JN29" s="1090">
        <v>30.0</v>
      </c>
      <c r="JO29" s="138"/>
      <c r="JP29" s="128"/>
      <c r="JQ29" s="442"/>
      <c r="JR29" s="1036"/>
      <c r="JS29" s="1037" t="s">
        <v>951</v>
      </c>
      <c r="JT29" s="1038" t="s">
        <v>4549</v>
      </c>
      <c r="JU29" s="1038">
        <v>10.0</v>
      </c>
      <c r="JV29" s="1039">
        <v>10.0</v>
      </c>
      <c r="JW29" s="1040">
        <v>10.0</v>
      </c>
      <c r="JX29" s="442"/>
      <c r="JY29" s="1068"/>
      <c r="JZ29" s="1076" t="s">
        <v>1756</v>
      </c>
      <c r="KA29" s="1071" t="s">
        <v>4549</v>
      </c>
      <c r="KB29" s="1071">
        <v>10.0</v>
      </c>
      <c r="KC29" s="1072">
        <v>10.0</v>
      </c>
      <c r="KD29" s="1073">
        <v>10.0</v>
      </c>
      <c r="KE29" s="442"/>
      <c r="KL29" s="442"/>
      <c r="KM29" s="985" t="s">
        <v>4789</v>
      </c>
      <c r="KN29" s="12"/>
      <c r="KO29" s="12"/>
      <c r="KP29" s="12"/>
      <c r="KQ29" s="12"/>
      <c r="KR29" s="48"/>
      <c r="KS29" s="442"/>
      <c r="KT29" s="1068"/>
      <c r="KU29" s="1145" t="s">
        <v>1740</v>
      </c>
      <c r="KV29" s="1137" t="s">
        <v>4631</v>
      </c>
      <c r="KW29" s="1137">
        <v>5.0</v>
      </c>
      <c r="KX29" s="1138">
        <v>5.0</v>
      </c>
      <c r="KY29" s="1139">
        <v>5.0</v>
      </c>
      <c r="KZ29" s="442"/>
      <c r="LA29" s="442"/>
      <c r="LB29" s="442"/>
      <c r="LC29" s="442"/>
      <c r="LD29" s="442"/>
      <c r="LE29" s="442"/>
      <c r="LF29" s="442"/>
      <c r="LG29" s="442"/>
      <c r="LH29" s="1012"/>
      <c r="LI29" s="1098" t="s">
        <v>1152</v>
      </c>
      <c r="LJ29" s="1013" t="s">
        <v>4679</v>
      </c>
      <c r="LK29" s="1013">
        <v>10.0</v>
      </c>
      <c r="LL29" s="1014">
        <v>10.0</v>
      </c>
      <c r="LM29" s="1015">
        <v>10.0</v>
      </c>
      <c r="LN29" s="442"/>
      <c r="LO29" s="1012"/>
      <c r="LP29" s="1098" t="s">
        <v>2170</v>
      </c>
      <c r="LQ29" s="1013" t="s">
        <v>4632</v>
      </c>
      <c r="LR29" s="1013">
        <v>10.0</v>
      </c>
      <c r="LS29" s="1014">
        <v>10.0</v>
      </c>
      <c r="LT29" s="1015">
        <v>10.0</v>
      </c>
      <c r="LU29" s="442"/>
      <c r="LV29" s="40"/>
      <c r="LW29" s="398" t="s">
        <v>3533</v>
      </c>
      <c r="LX29" s="1091">
        <v>70.0</v>
      </c>
      <c r="LY29" s="1092" t="s">
        <v>411</v>
      </c>
      <c r="LZ29" s="12"/>
      <c r="MA29" s="48"/>
      <c r="MB29" s="996"/>
    </row>
    <row r="30" ht="15.75" customHeight="1">
      <c r="A30" s="10"/>
      <c r="B30" s="1155"/>
      <c r="C30" s="1154"/>
      <c r="D30" s="108"/>
      <c r="E30" s="1013"/>
      <c r="F30" s="1042" t="s">
        <v>1343</v>
      </c>
      <c r="G30" s="138"/>
      <c r="H30" s="1013">
        <v>0.0</v>
      </c>
      <c r="I30" s="1014">
        <v>0.0</v>
      </c>
      <c r="J30" s="1015">
        <v>55.0</v>
      </c>
      <c r="K30" s="108"/>
      <c r="R30" s="108"/>
      <c r="S30" s="1096"/>
      <c r="T30" s="1042" t="s">
        <v>3984</v>
      </c>
      <c r="U30" s="1108">
        <v>1.0</v>
      </c>
      <c r="V30" s="1013" t="s">
        <v>411</v>
      </c>
      <c r="W30" s="138"/>
      <c r="X30" s="128"/>
      <c r="Y30" s="108"/>
      <c r="Z30" s="1021"/>
      <c r="AA30" s="1022" t="s">
        <v>1343</v>
      </c>
      <c r="AB30" s="128"/>
      <c r="AC30" s="1023">
        <v>0.0</v>
      </c>
      <c r="AD30" s="1023">
        <v>0.0</v>
      </c>
      <c r="AE30" s="1024">
        <v>40.0</v>
      </c>
      <c r="AF30" s="108"/>
      <c r="AG30" s="985" t="s">
        <v>4569</v>
      </c>
      <c r="AH30" s="12"/>
      <c r="AI30" s="12"/>
      <c r="AJ30" s="12"/>
      <c r="AK30" s="12"/>
      <c r="AL30" s="48"/>
      <c r="AM30" s="108"/>
      <c r="AN30" s="1096"/>
      <c r="AO30" s="89" t="s">
        <v>848</v>
      </c>
      <c r="AP30" s="1097">
        <v>45939.0</v>
      </c>
      <c r="AQ30" s="1013">
        <v>20.0</v>
      </c>
      <c r="AR30" s="1014">
        <v>20.0</v>
      </c>
      <c r="AS30" s="1015">
        <v>20.0</v>
      </c>
      <c r="AT30" s="108"/>
      <c r="AU30" s="1012"/>
      <c r="AV30" s="89" t="s">
        <v>1022</v>
      </c>
      <c r="AW30" s="1099">
        <v>45940.0</v>
      </c>
      <c r="AX30" s="1013">
        <v>10.0</v>
      </c>
      <c r="AY30" s="1014">
        <v>10.0</v>
      </c>
      <c r="AZ30" s="1015">
        <v>10.0</v>
      </c>
      <c r="BA30" s="108"/>
      <c r="BB30" s="1027"/>
      <c r="BC30" s="1028" t="s">
        <v>2651</v>
      </c>
      <c r="BD30" s="128"/>
      <c r="BE30" s="1029">
        <v>20.0</v>
      </c>
      <c r="BF30" s="138"/>
      <c r="BG30" s="128"/>
      <c r="BH30" s="442"/>
      <c r="BI30" s="1094"/>
      <c r="BJ30" s="1050" t="s">
        <v>4037</v>
      </c>
      <c r="BK30" s="414"/>
      <c r="BL30" s="1051">
        <v>10.0</v>
      </c>
      <c r="BM30" s="413"/>
      <c r="BN30" s="414"/>
      <c r="BO30" s="108"/>
      <c r="BP30" s="1094"/>
      <c r="BQ30" s="1050" t="s">
        <v>2065</v>
      </c>
      <c r="BR30" s="414"/>
      <c r="BS30" s="1051">
        <v>10.0</v>
      </c>
      <c r="BT30" s="413"/>
      <c r="BU30" s="414"/>
      <c r="BV30" s="108"/>
      <c r="BW30" s="1012"/>
      <c r="BX30" s="1098" t="s">
        <v>3299</v>
      </c>
      <c r="BY30" s="1013" t="s">
        <v>4615</v>
      </c>
      <c r="BZ30" s="1013">
        <v>10.0</v>
      </c>
      <c r="CA30" s="1014">
        <v>10.0</v>
      </c>
      <c r="CB30" s="1015">
        <v>10.0</v>
      </c>
      <c r="CC30" s="108"/>
      <c r="CD30" s="442"/>
      <c r="CE30" s="442"/>
      <c r="CF30" s="442"/>
      <c r="CG30" s="442"/>
      <c r="CH30" s="442"/>
      <c r="CI30" s="442"/>
      <c r="CJ30" s="108"/>
      <c r="CK30" s="1068"/>
      <c r="CL30" s="1076" t="s">
        <v>2083</v>
      </c>
      <c r="CM30" s="1072" t="s">
        <v>4807</v>
      </c>
      <c r="CN30" s="1071">
        <v>10.0</v>
      </c>
      <c r="CO30" s="1072">
        <v>10.0</v>
      </c>
      <c r="CP30" s="1073">
        <v>10.0</v>
      </c>
      <c r="CQ30" s="108"/>
      <c r="CR30" s="1036"/>
      <c r="CS30" s="1048" t="s">
        <v>526</v>
      </c>
      <c r="CT30" s="1038" t="s">
        <v>4807</v>
      </c>
      <c r="CU30" s="1038">
        <v>10.0</v>
      </c>
      <c r="CV30" s="1039">
        <v>10.0</v>
      </c>
      <c r="CW30" s="1040">
        <v>10.0</v>
      </c>
      <c r="CX30" s="108"/>
      <c r="DE30" s="108"/>
      <c r="DF30" s="1036"/>
      <c r="DG30" s="1208" t="s">
        <v>2806</v>
      </c>
      <c r="DH30" s="1112" t="s">
        <v>4618</v>
      </c>
      <c r="DI30" s="1112">
        <v>5.0</v>
      </c>
      <c r="DJ30" s="1113">
        <v>5.0</v>
      </c>
      <c r="DK30" s="1114">
        <v>5.0</v>
      </c>
      <c r="DL30" s="108"/>
      <c r="DM30" s="1068"/>
      <c r="DN30" s="1076" t="s">
        <v>3113</v>
      </c>
      <c r="DO30" s="1071" t="s">
        <v>4833</v>
      </c>
      <c r="DP30" s="1071">
        <v>10.0</v>
      </c>
      <c r="DQ30" s="1072">
        <v>10.0</v>
      </c>
      <c r="DR30" s="1073">
        <v>10.0</v>
      </c>
      <c r="DS30" s="108"/>
      <c r="DT30" s="985" t="s">
        <v>4535</v>
      </c>
      <c r="DU30" s="12"/>
      <c r="DV30" s="12"/>
      <c r="DW30" s="986" t="s">
        <v>2249</v>
      </c>
      <c r="DX30" s="986" t="s">
        <v>2440</v>
      </c>
      <c r="DY30" s="987" t="s">
        <v>2408</v>
      </c>
      <c r="DZ30" s="108"/>
      <c r="EA30" s="985" t="s">
        <v>4569</v>
      </c>
      <c r="EB30" s="12"/>
      <c r="EC30" s="12"/>
      <c r="ED30" s="12"/>
      <c r="EE30" s="12"/>
      <c r="EF30" s="48"/>
      <c r="EG30" s="108"/>
      <c r="EH30" s="1012"/>
      <c r="EI30" s="1046" t="s">
        <v>3282</v>
      </c>
      <c r="EJ30" s="1033" t="s">
        <v>4622</v>
      </c>
      <c r="EK30" s="1033">
        <v>20.0</v>
      </c>
      <c r="EL30" s="1034">
        <v>20.0</v>
      </c>
      <c r="EM30" s="1035">
        <v>20.0</v>
      </c>
      <c r="EN30" s="108"/>
      <c r="EO30" s="442"/>
      <c r="EP30" s="442"/>
      <c r="EQ30" s="442"/>
      <c r="ER30" s="442"/>
      <c r="ES30" s="442"/>
      <c r="ET30" s="442"/>
      <c r="EU30" s="108"/>
      <c r="EV30" s="1036"/>
      <c r="EW30" s="1037" t="s">
        <v>3037</v>
      </c>
      <c r="EX30" s="1038" t="s">
        <v>4654</v>
      </c>
      <c r="EY30" s="1038">
        <v>15.0</v>
      </c>
      <c r="EZ30" s="1039">
        <v>15.0</v>
      </c>
      <c r="FA30" s="1040">
        <v>15.0</v>
      </c>
      <c r="FB30" s="108"/>
      <c r="FC30" s="1068"/>
      <c r="FD30" s="1076" t="s">
        <v>3683</v>
      </c>
      <c r="FE30" s="1072" t="s">
        <v>4623</v>
      </c>
      <c r="FF30" s="1071">
        <v>20.0</v>
      </c>
      <c r="FG30" s="1072">
        <v>20.0</v>
      </c>
      <c r="FH30" s="1073">
        <v>20.0</v>
      </c>
      <c r="FI30" s="108"/>
      <c r="FJ30" s="985" t="s">
        <v>4706</v>
      </c>
      <c r="FK30" s="12"/>
      <c r="FL30" s="12"/>
      <c r="FM30" s="12"/>
      <c r="FN30" s="12"/>
      <c r="FO30" s="48"/>
      <c r="FP30" s="108"/>
      <c r="FQ30" s="1068"/>
      <c r="FR30" s="1145" t="s">
        <v>1880</v>
      </c>
      <c r="FS30" s="1147" t="s">
        <v>4754</v>
      </c>
      <c r="FT30" s="1146">
        <v>10.0</v>
      </c>
      <c r="FU30" s="1147">
        <v>10.0</v>
      </c>
      <c r="FV30" s="1148">
        <v>10.0</v>
      </c>
      <c r="FW30" s="108"/>
      <c r="FX30" s="1056"/>
      <c r="FY30" s="1022" t="s">
        <v>3148</v>
      </c>
      <c r="FZ30" s="1057"/>
      <c r="GA30" s="1021">
        <v>30.0</v>
      </c>
      <c r="GB30" s="1023">
        <v>30.0</v>
      </c>
      <c r="GC30" s="1024">
        <v>0.0</v>
      </c>
      <c r="GD30" s="108"/>
      <c r="GE30" s="442"/>
      <c r="GF30" s="442"/>
      <c r="GG30" s="442"/>
      <c r="GH30" s="442"/>
      <c r="GI30" s="442"/>
      <c r="GJ30" s="442"/>
      <c r="GK30" s="108"/>
      <c r="GL30" s="40"/>
      <c r="GM30" s="398" t="s">
        <v>2351</v>
      </c>
      <c r="GN30" s="1091">
        <v>70.0</v>
      </c>
      <c r="GO30" s="1092" t="s">
        <v>411</v>
      </c>
      <c r="GP30" s="12"/>
      <c r="GQ30" s="48"/>
      <c r="GR30" s="442"/>
      <c r="GS30" s="442"/>
      <c r="GT30" s="442"/>
      <c r="GU30" s="442"/>
      <c r="GV30" s="442"/>
      <c r="GW30" s="442"/>
      <c r="GX30" s="442"/>
      <c r="GY30" s="442"/>
      <c r="GZ30" s="1159"/>
      <c r="HA30" s="1160" t="s">
        <v>3825</v>
      </c>
      <c r="HB30" s="1124"/>
      <c r="HC30" s="1161">
        <v>10.0</v>
      </c>
      <c r="HD30" s="413"/>
      <c r="HE30" s="414"/>
      <c r="HF30" s="442"/>
      <c r="HG30" s="1027"/>
      <c r="HH30" s="1028" t="s">
        <v>2519</v>
      </c>
      <c r="HI30" s="1057"/>
      <c r="HJ30" s="1029">
        <v>10.0</v>
      </c>
      <c r="HK30" s="138"/>
      <c r="HL30" s="128"/>
      <c r="HM30" s="442"/>
      <c r="HN30" s="1005" t="s">
        <v>4834</v>
      </c>
      <c r="HO30" s="12"/>
      <c r="HP30" s="962"/>
      <c r="HQ30" s="1008" t="s">
        <v>4559</v>
      </c>
      <c r="HR30" s="1008" t="s">
        <v>4560</v>
      </c>
      <c r="HS30" s="1009" t="s">
        <v>914</v>
      </c>
      <c r="HT30" s="442"/>
      <c r="HU30" s="985" t="s">
        <v>4835</v>
      </c>
      <c r="HV30" s="12"/>
      <c r="HW30" s="12"/>
      <c r="HX30" s="1003" t="s">
        <v>4559</v>
      </c>
      <c r="HY30" s="1003" t="s">
        <v>4560</v>
      </c>
      <c r="HZ30" s="1004" t="s">
        <v>914</v>
      </c>
      <c r="IA30" s="442"/>
      <c r="IH30" s="442"/>
      <c r="II30" s="1012"/>
      <c r="IJ30" s="1098" t="s">
        <v>2210</v>
      </c>
      <c r="IK30" s="1014" t="s">
        <v>4816</v>
      </c>
      <c r="IL30" s="1013">
        <v>10.0</v>
      </c>
      <c r="IM30" s="1014">
        <v>10.0</v>
      </c>
      <c r="IN30" s="1015">
        <v>10.0</v>
      </c>
      <c r="IO30" s="442"/>
      <c r="IP30" s="973" t="s">
        <v>4836</v>
      </c>
      <c r="IQ30" s="974"/>
      <c r="IR30" s="975"/>
      <c r="IS30" s="976"/>
      <c r="IT30" s="976"/>
      <c r="IU30" s="954"/>
      <c r="IV30" s="442"/>
      <c r="IW30" s="985" t="s">
        <v>2416</v>
      </c>
      <c r="IX30" s="12"/>
      <c r="IY30" s="12"/>
      <c r="IZ30" s="12"/>
      <c r="JA30" s="12"/>
      <c r="JB30" s="48"/>
      <c r="JC30" s="442"/>
      <c r="JD30" s="1012"/>
      <c r="JE30" s="1098" t="s">
        <v>1272</v>
      </c>
      <c r="JF30" s="1014" t="s">
        <v>4698</v>
      </c>
      <c r="JG30" s="1013">
        <v>10.0</v>
      </c>
      <c r="JH30" s="1014">
        <v>10.0</v>
      </c>
      <c r="JI30" s="1015">
        <v>10.0</v>
      </c>
      <c r="JJ30" s="442"/>
      <c r="JK30" s="1049"/>
      <c r="JL30" s="1128" t="s">
        <v>2163</v>
      </c>
      <c r="JM30" s="1082" t="s">
        <v>4678</v>
      </c>
      <c r="JN30" s="1082">
        <v>10.0</v>
      </c>
      <c r="JO30" s="1150"/>
      <c r="JP30" s="1151"/>
      <c r="JQ30" s="442"/>
      <c r="JR30" s="1012"/>
      <c r="JS30" s="1042" t="s">
        <v>535</v>
      </c>
      <c r="JT30" s="1013" t="s">
        <v>4549</v>
      </c>
      <c r="JU30" s="1013">
        <v>10.0</v>
      </c>
      <c r="JV30" s="1014">
        <v>10.0</v>
      </c>
      <c r="JW30" s="1015">
        <v>10.0</v>
      </c>
      <c r="JX30" s="442"/>
      <c r="JY30" s="1012"/>
      <c r="JZ30" s="1127" t="s">
        <v>550</v>
      </c>
      <c r="KA30" s="1051" t="s">
        <v>4549</v>
      </c>
      <c r="KB30" s="1051">
        <v>0.0</v>
      </c>
      <c r="KC30" s="1130">
        <v>0.0</v>
      </c>
      <c r="KD30" s="1131">
        <v>10.0</v>
      </c>
      <c r="KE30" s="442"/>
      <c r="KL30" s="442"/>
      <c r="KM30" s="1061" t="s">
        <v>4610</v>
      </c>
      <c r="KN30" s="959"/>
      <c r="KO30" s="957"/>
      <c r="KP30" s="1062" t="s">
        <v>4608</v>
      </c>
      <c r="KQ30" s="959"/>
      <c r="KR30" s="960"/>
      <c r="KS30" s="442"/>
      <c r="KT30" s="985" t="s">
        <v>4700</v>
      </c>
      <c r="KU30" s="12"/>
      <c r="KV30" s="12"/>
      <c r="KW30" s="12"/>
      <c r="KX30" s="12"/>
      <c r="KY30" s="48"/>
      <c r="KZ30" s="442"/>
      <c r="LA30" s="442"/>
      <c r="LB30" s="442"/>
      <c r="LC30" s="442"/>
      <c r="LD30" s="442"/>
      <c r="LE30" s="442"/>
      <c r="LF30" s="442"/>
      <c r="LG30" s="442"/>
      <c r="LH30" s="1068"/>
      <c r="LI30" s="1076" t="s">
        <v>3000</v>
      </c>
      <c r="LJ30" s="1071" t="s">
        <v>4631</v>
      </c>
      <c r="LK30" s="1071">
        <v>10.0</v>
      </c>
      <c r="LL30" s="1072">
        <v>10.0</v>
      </c>
      <c r="LM30" s="1073">
        <v>10.0</v>
      </c>
      <c r="LN30" s="442"/>
      <c r="LO30" s="1068"/>
      <c r="LP30" s="1076" t="s">
        <v>2000</v>
      </c>
      <c r="LQ30" s="1071" t="s">
        <v>4611</v>
      </c>
      <c r="LR30" s="1071">
        <v>10.0</v>
      </c>
      <c r="LS30" s="1072">
        <v>10.0</v>
      </c>
      <c r="LT30" s="1073">
        <v>10.0</v>
      </c>
      <c r="LU30" s="442"/>
      <c r="MB30" s="996"/>
    </row>
    <row r="31" ht="15.75" customHeight="1">
      <c r="A31" s="10"/>
      <c r="B31" s="1155"/>
      <c r="C31" s="1154"/>
      <c r="D31" s="108"/>
      <c r="E31" s="1080"/>
      <c r="F31" s="1085" t="s">
        <v>705</v>
      </c>
      <c r="G31" s="1124"/>
      <c r="H31" s="1080">
        <v>0.0</v>
      </c>
      <c r="I31" s="1125">
        <v>0.0</v>
      </c>
      <c r="J31" s="1126">
        <v>45.0</v>
      </c>
      <c r="K31" s="108"/>
      <c r="R31" s="108"/>
      <c r="S31" s="1064"/>
      <c r="T31" s="1065" t="s">
        <v>3990</v>
      </c>
      <c r="U31" s="1066">
        <v>1.0</v>
      </c>
      <c r="V31" s="1067" t="s">
        <v>411</v>
      </c>
      <c r="W31" s="138"/>
      <c r="X31" s="128"/>
      <c r="Y31" s="108"/>
      <c r="Z31" s="1013"/>
      <c r="AA31" s="1042" t="s">
        <v>1242</v>
      </c>
      <c r="AB31" s="128"/>
      <c r="AC31" s="1014">
        <v>0.0</v>
      </c>
      <c r="AD31" s="1014">
        <v>0.0</v>
      </c>
      <c r="AE31" s="1015">
        <v>30.0</v>
      </c>
      <c r="AF31" s="108"/>
      <c r="AG31" s="1013"/>
      <c r="AH31" s="1046" t="s">
        <v>643</v>
      </c>
      <c r="AI31" s="1033" t="s">
        <v>4592</v>
      </c>
      <c r="AJ31" s="1033">
        <v>90.0</v>
      </c>
      <c r="AK31" s="1032"/>
      <c r="AL31" s="30"/>
      <c r="AM31" s="108"/>
      <c r="AN31" s="1068"/>
      <c r="AO31" s="1078" t="s">
        <v>2202</v>
      </c>
      <c r="AP31" s="1070">
        <v>45909.0</v>
      </c>
      <c r="AQ31" s="1071">
        <v>20.0</v>
      </c>
      <c r="AR31" s="1072">
        <v>20.0</v>
      </c>
      <c r="AS31" s="1073">
        <v>20.0</v>
      </c>
      <c r="AT31" s="108"/>
      <c r="AU31" s="1036"/>
      <c r="AV31" s="1208" t="s">
        <v>3037</v>
      </c>
      <c r="AW31" s="1209">
        <v>45909.0</v>
      </c>
      <c r="AX31" s="1112">
        <v>10.0</v>
      </c>
      <c r="AY31" s="1113">
        <v>10.0</v>
      </c>
      <c r="AZ31" s="1114">
        <v>10.0</v>
      </c>
      <c r="BA31" s="108"/>
      <c r="BB31" s="1096"/>
      <c r="BC31" s="1042" t="s">
        <v>1082</v>
      </c>
      <c r="BD31" s="128"/>
      <c r="BE31" s="1013">
        <v>20.0</v>
      </c>
      <c r="BF31" s="138"/>
      <c r="BG31" s="128"/>
      <c r="BH31" s="442"/>
      <c r="BI31" s="985" t="s">
        <v>4706</v>
      </c>
      <c r="BJ31" s="12"/>
      <c r="BK31" s="12"/>
      <c r="BL31" s="12"/>
      <c r="BM31" s="12"/>
      <c r="BN31" s="48"/>
      <c r="BO31" s="108"/>
      <c r="BP31" s="108"/>
      <c r="BQ31" s="108"/>
      <c r="BR31" s="108"/>
      <c r="BS31" s="108"/>
      <c r="BT31" s="108"/>
      <c r="BU31" s="108"/>
      <c r="BV31" s="108"/>
      <c r="BW31" s="1100"/>
      <c r="BX31" s="1158" t="s">
        <v>3282</v>
      </c>
      <c r="BY31" s="1102" t="s">
        <v>4615</v>
      </c>
      <c r="BZ31" s="1102">
        <v>10.0</v>
      </c>
      <c r="CA31" s="1103">
        <v>10.0</v>
      </c>
      <c r="CB31" s="1104">
        <v>10.0</v>
      </c>
      <c r="CC31" s="108"/>
      <c r="CD31" s="442"/>
      <c r="CE31" s="442"/>
      <c r="CF31" s="442"/>
      <c r="CG31" s="442"/>
      <c r="CH31" s="442"/>
      <c r="CI31" s="442"/>
      <c r="CJ31" s="108"/>
      <c r="CK31" s="1012"/>
      <c r="CL31" s="1098" t="s">
        <v>1748</v>
      </c>
      <c r="CM31" s="1014" t="s">
        <v>4807</v>
      </c>
      <c r="CN31" s="1013">
        <v>10.0</v>
      </c>
      <c r="CO31" s="1014">
        <v>10.0</v>
      </c>
      <c r="CP31" s="1015">
        <v>10.0</v>
      </c>
      <c r="CQ31" s="108"/>
      <c r="CR31" s="1012"/>
      <c r="CS31" s="89" t="s">
        <v>3468</v>
      </c>
      <c r="CT31" s="1013" t="s">
        <v>4807</v>
      </c>
      <c r="CU31" s="1013">
        <v>10.0</v>
      </c>
      <c r="CV31" s="1014">
        <v>10.0</v>
      </c>
      <c r="CW31" s="1015">
        <v>10.0</v>
      </c>
      <c r="CX31" s="108"/>
      <c r="CY31" s="956" t="s">
        <v>4837</v>
      </c>
      <c r="CZ31" s="957"/>
      <c r="DA31" s="958"/>
      <c r="DB31" s="959"/>
      <c r="DC31" s="959"/>
      <c r="DD31" s="960"/>
      <c r="DE31" s="108"/>
      <c r="DF31" s="985" t="s">
        <v>4838</v>
      </c>
      <c r="DG31" s="12"/>
      <c r="DH31" s="12"/>
      <c r="DI31" s="12"/>
      <c r="DJ31" s="12"/>
      <c r="DK31" s="48"/>
      <c r="DL31" s="108"/>
      <c r="DM31" s="1012"/>
      <c r="DN31" s="1098" t="s">
        <v>3121</v>
      </c>
      <c r="DO31" s="1013" t="s">
        <v>4833</v>
      </c>
      <c r="DP31" s="1013">
        <v>10.0</v>
      </c>
      <c r="DQ31" s="1014">
        <v>10.0</v>
      </c>
      <c r="DR31" s="1015">
        <v>10.0</v>
      </c>
      <c r="DS31" s="108"/>
      <c r="DT31" s="1033"/>
      <c r="DU31" s="978" t="s">
        <v>1336</v>
      </c>
      <c r="DV31" s="319"/>
      <c r="DW31" s="1033">
        <v>55.0</v>
      </c>
      <c r="DX31" s="1034">
        <v>55.0</v>
      </c>
      <c r="DY31" s="1035">
        <v>0.0</v>
      </c>
      <c r="DZ31" s="108"/>
      <c r="EA31" s="1012"/>
      <c r="EB31" s="1046" t="s">
        <v>643</v>
      </c>
      <c r="EC31" s="1033" t="s">
        <v>4592</v>
      </c>
      <c r="ED31" s="1033">
        <v>90.0</v>
      </c>
      <c r="EE31" s="1032"/>
      <c r="EF31" s="30"/>
      <c r="EG31" s="108"/>
      <c r="EH31" s="1100"/>
      <c r="EI31" s="1158" t="s">
        <v>3299</v>
      </c>
      <c r="EJ31" s="1102" t="s">
        <v>4622</v>
      </c>
      <c r="EK31" s="1102">
        <v>20.0</v>
      </c>
      <c r="EL31" s="1103">
        <v>20.0</v>
      </c>
      <c r="EM31" s="1104">
        <v>20.0</v>
      </c>
      <c r="EN31" s="108"/>
      <c r="EO31" s="442"/>
      <c r="EP31" s="442"/>
      <c r="EQ31" s="442"/>
      <c r="ER31" s="442"/>
      <c r="ES31" s="442"/>
      <c r="ET31" s="442"/>
      <c r="EU31" s="108"/>
      <c r="EV31" s="1012"/>
      <c r="EW31" s="1042" t="s">
        <v>2728</v>
      </c>
      <c r="EX31" s="1013" t="s">
        <v>4839</v>
      </c>
      <c r="EY31" s="1013">
        <v>10.0</v>
      </c>
      <c r="EZ31" s="1014">
        <v>10.0</v>
      </c>
      <c r="FA31" s="1015">
        <v>10.0</v>
      </c>
      <c r="FB31" s="108"/>
      <c r="FC31" s="1012"/>
      <c r="FD31" s="1098" t="s">
        <v>406</v>
      </c>
      <c r="FE31" s="1014" t="s">
        <v>4831</v>
      </c>
      <c r="FF31" s="1013">
        <v>20.0</v>
      </c>
      <c r="FG31" s="1014">
        <v>20.0</v>
      </c>
      <c r="FH31" s="1015">
        <v>20.0</v>
      </c>
      <c r="FI31" s="108"/>
      <c r="FJ31" s="1061" t="s">
        <v>4610</v>
      </c>
      <c r="FK31" s="959"/>
      <c r="FL31" s="957"/>
      <c r="FM31" s="1062" t="s">
        <v>4608</v>
      </c>
      <c r="FN31" s="959"/>
      <c r="FO31" s="960"/>
      <c r="FP31" s="108"/>
      <c r="FQ31" s="985" t="s">
        <v>4840</v>
      </c>
      <c r="FR31" s="12"/>
      <c r="FS31" s="12"/>
      <c r="FT31" s="1003" t="s">
        <v>4559</v>
      </c>
      <c r="FU31" s="1003" t="s">
        <v>4560</v>
      </c>
      <c r="FV31" s="1004" t="s">
        <v>914</v>
      </c>
      <c r="FW31" s="108"/>
      <c r="FX31" s="1012"/>
      <c r="FY31" s="1042" t="s">
        <v>2141</v>
      </c>
      <c r="FZ31" s="138"/>
      <c r="GA31" s="1013">
        <v>30.0</v>
      </c>
      <c r="GB31" s="1014">
        <v>30.0</v>
      </c>
      <c r="GC31" s="1015">
        <v>0.0</v>
      </c>
      <c r="GD31" s="108"/>
      <c r="GE31" s="956" t="s">
        <v>4841</v>
      </c>
      <c r="GF31" s="957"/>
      <c r="GG31" s="966"/>
      <c r="GH31" s="967"/>
      <c r="GI31" s="967"/>
      <c r="GJ31" s="263"/>
      <c r="GK31" s="108"/>
      <c r="GR31" s="108"/>
      <c r="GS31" s="442"/>
      <c r="GT31" s="442"/>
      <c r="GU31" s="442"/>
      <c r="GV31" s="442"/>
      <c r="GW31" s="442"/>
      <c r="GX31" s="442"/>
      <c r="GY31" s="442"/>
      <c r="GZ31" s="442"/>
      <c r="HA31" s="442"/>
      <c r="HB31" s="442"/>
      <c r="HC31" s="442"/>
      <c r="HD31" s="442"/>
      <c r="HE31" s="442"/>
      <c r="HF31" s="442"/>
      <c r="HG31" s="1012"/>
      <c r="HH31" s="1042" t="s">
        <v>2065</v>
      </c>
      <c r="HI31" s="138"/>
      <c r="HJ31" s="1013">
        <v>10.0</v>
      </c>
      <c r="HK31" s="138"/>
      <c r="HL31" s="128"/>
      <c r="HM31" s="442"/>
      <c r="HN31" s="1012"/>
      <c r="HO31" s="1031" t="s">
        <v>831</v>
      </c>
      <c r="HP31" s="1033" t="s">
        <v>4842</v>
      </c>
      <c r="HQ31" s="1033">
        <v>25.0</v>
      </c>
      <c r="HR31" s="1034">
        <v>25.0</v>
      </c>
      <c r="HS31" s="1035">
        <v>25.0</v>
      </c>
      <c r="HT31" s="442"/>
      <c r="HU31" s="1012"/>
      <c r="HV31" s="1046" t="s">
        <v>2125</v>
      </c>
      <c r="HW31" s="1034" t="s">
        <v>4843</v>
      </c>
      <c r="HX31" s="1033">
        <v>30.0</v>
      </c>
      <c r="HY31" s="1034">
        <v>30.0</v>
      </c>
      <c r="HZ31" s="1035">
        <v>30.0</v>
      </c>
      <c r="IA31" s="442"/>
      <c r="IH31" s="442"/>
      <c r="II31" s="1068"/>
      <c r="IJ31" s="1145" t="s">
        <v>2091</v>
      </c>
      <c r="IK31" s="1147" t="s">
        <v>4816</v>
      </c>
      <c r="IL31" s="1146">
        <v>10.0</v>
      </c>
      <c r="IM31" s="1147">
        <v>10.0</v>
      </c>
      <c r="IN31" s="1148">
        <v>10.0</v>
      </c>
      <c r="IO31" s="442"/>
      <c r="IP31" s="997"/>
      <c r="IQ31" s="1192"/>
      <c r="IR31" s="1025"/>
      <c r="IS31" s="1026"/>
      <c r="IT31" s="1026"/>
      <c r="IU31" s="998"/>
      <c r="IV31" s="442"/>
      <c r="IW31" s="40"/>
      <c r="IX31" s="1052" t="s">
        <v>1960</v>
      </c>
      <c r="IY31" s="1054" t="s">
        <v>4698</v>
      </c>
      <c r="IZ31" s="1053">
        <v>22.0</v>
      </c>
      <c r="JA31" s="1026"/>
      <c r="JB31" s="998"/>
      <c r="JC31" s="442"/>
      <c r="JD31" s="1068"/>
      <c r="JE31" s="1145" t="s">
        <v>4004</v>
      </c>
      <c r="JF31" s="1138" t="s">
        <v>4677</v>
      </c>
      <c r="JG31" s="1137">
        <v>10.0</v>
      </c>
      <c r="JH31" s="1138">
        <v>10.0</v>
      </c>
      <c r="JI31" s="1139">
        <v>0.0</v>
      </c>
      <c r="JJ31" s="442"/>
      <c r="JK31" s="985" t="s">
        <v>4535</v>
      </c>
      <c r="JL31" s="12"/>
      <c r="JM31" s="12"/>
      <c r="JN31" s="986" t="s">
        <v>2249</v>
      </c>
      <c r="JO31" s="986" t="s">
        <v>2440</v>
      </c>
      <c r="JP31" s="987" t="s">
        <v>2408</v>
      </c>
      <c r="JQ31" s="442"/>
      <c r="JR31" s="1132"/>
      <c r="JS31" s="1133" t="s">
        <v>4025</v>
      </c>
      <c r="JT31" s="1112" t="s">
        <v>4549</v>
      </c>
      <c r="JU31" s="1112">
        <v>10.0</v>
      </c>
      <c r="JV31" s="1113">
        <v>10.0</v>
      </c>
      <c r="JW31" s="1114">
        <v>10.0</v>
      </c>
      <c r="JX31" s="442"/>
      <c r="JY31" s="985" t="s">
        <v>4670</v>
      </c>
      <c r="JZ31" s="12"/>
      <c r="KA31" s="12"/>
      <c r="KB31" s="12"/>
      <c r="KC31" s="12"/>
      <c r="KD31" s="48"/>
      <c r="KE31" s="442"/>
      <c r="KL31" s="442"/>
      <c r="KM31" s="40"/>
      <c r="KN31" s="398" t="s">
        <v>4371</v>
      </c>
      <c r="KO31" s="1091">
        <v>68.0</v>
      </c>
      <c r="KP31" s="1092" t="s">
        <v>411</v>
      </c>
      <c r="KQ31" s="12"/>
      <c r="KR31" s="48"/>
      <c r="KS31" s="442"/>
      <c r="KT31" s="1012"/>
      <c r="KU31" s="1031" t="s">
        <v>3379</v>
      </c>
      <c r="KV31" s="1033" t="s">
        <v>4649</v>
      </c>
      <c r="KW31" s="1033">
        <v>60.0</v>
      </c>
      <c r="KX31" s="1032"/>
      <c r="KY31" s="30"/>
      <c r="KZ31" s="442"/>
      <c r="LA31" s="442"/>
      <c r="LB31" s="442"/>
      <c r="LC31" s="442"/>
      <c r="LD31" s="442"/>
      <c r="LE31" s="442"/>
      <c r="LF31" s="442"/>
      <c r="LG31" s="442"/>
      <c r="LH31" s="1012"/>
      <c r="LI31" s="1127" t="s">
        <v>3030</v>
      </c>
      <c r="LJ31" s="1051" t="s">
        <v>4611</v>
      </c>
      <c r="LK31" s="1051">
        <v>10.0</v>
      </c>
      <c r="LL31" s="1130">
        <v>10.0</v>
      </c>
      <c r="LM31" s="1131">
        <v>10.0</v>
      </c>
      <c r="LN31" s="442"/>
      <c r="LO31" s="1012"/>
      <c r="LP31" s="1098" t="s">
        <v>1312</v>
      </c>
      <c r="LQ31" s="1013" t="s">
        <v>4632</v>
      </c>
      <c r="LR31" s="1013">
        <v>10.0</v>
      </c>
      <c r="LS31" s="1014">
        <v>10.0</v>
      </c>
      <c r="LT31" s="1015">
        <v>10.0</v>
      </c>
      <c r="LU31" s="442"/>
      <c r="MB31" s="996"/>
    </row>
    <row r="32" ht="15.75" customHeight="1">
      <c r="A32" s="10"/>
      <c r="B32" s="997"/>
      <c r="C32" s="998"/>
      <c r="D32" s="108"/>
      <c r="E32" s="442"/>
      <c r="F32" s="442"/>
      <c r="G32" s="442"/>
      <c r="H32" s="442"/>
      <c r="I32" s="442"/>
      <c r="J32" s="442"/>
      <c r="K32" s="108"/>
      <c r="R32" s="108"/>
      <c r="S32" s="1096"/>
      <c r="T32" s="1042" t="s">
        <v>3996</v>
      </c>
      <c r="U32" s="1108">
        <v>1.0</v>
      </c>
      <c r="V32" s="1013" t="s">
        <v>411</v>
      </c>
      <c r="W32" s="138"/>
      <c r="X32" s="128"/>
      <c r="Y32" s="108"/>
      <c r="Z32" s="1080"/>
      <c r="AA32" s="1085" t="s">
        <v>3176</v>
      </c>
      <c r="AB32" s="414"/>
      <c r="AC32" s="1125">
        <v>0.0</v>
      </c>
      <c r="AD32" s="1125">
        <v>0.0</v>
      </c>
      <c r="AE32" s="1126">
        <v>30.0</v>
      </c>
      <c r="AF32" s="108"/>
      <c r="AG32" s="1080"/>
      <c r="AH32" s="1079" t="s">
        <v>653</v>
      </c>
      <c r="AI32" s="1086" t="s">
        <v>4616</v>
      </c>
      <c r="AJ32" s="1117">
        <v>10.0</v>
      </c>
      <c r="AK32" s="306"/>
      <c r="AL32" s="307"/>
      <c r="AM32" s="108"/>
      <c r="AN32" s="1096"/>
      <c r="AO32" s="499" t="s">
        <v>2326</v>
      </c>
      <c r="AP32" s="1187">
        <v>45909.0</v>
      </c>
      <c r="AQ32" s="1051">
        <v>10.0</v>
      </c>
      <c r="AR32" s="1130">
        <v>10.0</v>
      </c>
      <c r="AS32" s="1131">
        <v>10.0</v>
      </c>
      <c r="AT32" s="108"/>
      <c r="AU32" s="965" t="s">
        <v>4844</v>
      </c>
      <c r="AV32" s="957"/>
      <c r="AW32" s="958"/>
      <c r="AX32" s="959"/>
      <c r="AY32" s="959"/>
      <c r="AZ32" s="960"/>
      <c r="BA32" s="108"/>
      <c r="BB32" s="1027"/>
      <c r="BC32" s="1028" t="s">
        <v>2551</v>
      </c>
      <c r="BD32" s="128"/>
      <c r="BE32" s="1029">
        <v>20.0</v>
      </c>
      <c r="BF32" s="138"/>
      <c r="BG32" s="128"/>
      <c r="BH32" s="442"/>
      <c r="BI32" s="1061" t="s">
        <v>4610</v>
      </c>
      <c r="BJ32" s="959"/>
      <c r="BK32" s="957"/>
      <c r="BL32" s="1062" t="s">
        <v>4608</v>
      </c>
      <c r="BM32" s="959"/>
      <c r="BN32" s="960"/>
      <c r="BO32" s="108"/>
      <c r="BP32" s="442"/>
      <c r="BQ32" s="442"/>
      <c r="BR32" s="442"/>
      <c r="BS32" s="442"/>
      <c r="BT32" s="442"/>
      <c r="BU32" s="442"/>
      <c r="BV32" s="108"/>
      <c r="BW32" s="1012"/>
      <c r="BX32" s="1098" t="s">
        <v>284</v>
      </c>
      <c r="BY32" s="1013" t="s">
        <v>4617</v>
      </c>
      <c r="BZ32" s="1013">
        <v>5.0</v>
      </c>
      <c r="CA32" s="1014">
        <v>5.0</v>
      </c>
      <c r="CB32" s="1015">
        <v>5.0</v>
      </c>
      <c r="CC32" s="108"/>
      <c r="CD32" s="442"/>
      <c r="CE32" s="442"/>
      <c r="CF32" s="442"/>
      <c r="CG32" s="442"/>
      <c r="CH32" s="442"/>
      <c r="CI32" s="442"/>
      <c r="CJ32" s="108"/>
      <c r="CK32" s="1068"/>
      <c r="CL32" s="1145" t="s">
        <v>3948</v>
      </c>
      <c r="CM32" s="1138" t="s">
        <v>4615</v>
      </c>
      <c r="CN32" s="1137">
        <v>10.0</v>
      </c>
      <c r="CO32" s="1138">
        <v>10.0</v>
      </c>
      <c r="CP32" s="1139">
        <v>10.0</v>
      </c>
      <c r="CQ32" s="108"/>
      <c r="CR32" s="1036"/>
      <c r="CS32" s="1048" t="s">
        <v>3139</v>
      </c>
      <c r="CT32" s="1038" t="s">
        <v>4617</v>
      </c>
      <c r="CU32" s="1038">
        <v>5.0</v>
      </c>
      <c r="CV32" s="1039">
        <v>5.0</v>
      </c>
      <c r="CW32" s="1040">
        <v>5.0</v>
      </c>
      <c r="CX32" s="108"/>
      <c r="CY32" s="985" t="s">
        <v>4845</v>
      </c>
      <c r="CZ32" s="12"/>
      <c r="DA32" s="12"/>
      <c r="DB32" s="1003" t="s">
        <v>4559</v>
      </c>
      <c r="DC32" s="1003" t="s">
        <v>4560</v>
      </c>
      <c r="DD32" s="1004" t="s">
        <v>914</v>
      </c>
      <c r="DE32" s="108"/>
      <c r="DF32" s="1144"/>
      <c r="DG32" s="398" t="s">
        <v>4025</v>
      </c>
      <c r="DH32" s="1091">
        <v>25.0</v>
      </c>
      <c r="DI32" s="1092" t="s">
        <v>411</v>
      </c>
      <c r="DJ32" s="12"/>
      <c r="DK32" s="48"/>
      <c r="DL32" s="108"/>
      <c r="DM32" s="1068"/>
      <c r="DN32" s="1145" t="s">
        <v>2232</v>
      </c>
      <c r="DO32" s="1146" t="s">
        <v>4814</v>
      </c>
      <c r="DP32" s="1146">
        <v>10.0</v>
      </c>
      <c r="DQ32" s="1147">
        <v>10.0</v>
      </c>
      <c r="DR32" s="1148">
        <v>10.0</v>
      </c>
      <c r="DS32" s="108"/>
      <c r="DT32" s="1021"/>
      <c r="DU32" s="1022" t="s">
        <v>1228</v>
      </c>
      <c r="DV32" s="128"/>
      <c r="DW32" s="1021">
        <v>45.0</v>
      </c>
      <c r="DX32" s="1023">
        <v>45.0</v>
      </c>
      <c r="DY32" s="1024">
        <v>0.0</v>
      </c>
      <c r="DZ32" s="108"/>
      <c r="EA32" s="1056"/>
      <c r="EB32" s="1079" t="s">
        <v>653</v>
      </c>
      <c r="EC32" s="1086" t="s">
        <v>4616</v>
      </c>
      <c r="ED32" s="1117">
        <v>10.0</v>
      </c>
      <c r="EE32" s="306"/>
      <c r="EF32" s="307"/>
      <c r="EG32" s="108"/>
      <c r="EH32" s="1012"/>
      <c r="EI32" s="1098" t="s">
        <v>535</v>
      </c>
      <c r="EJ32" s="1013" t="s">
        <v>4638</v>
      </c>
      <c r="EK32" s="1013">
        <v>15.0</v>
      </c>
      <c r="EL32" s="1014">
        <v>15.0</v>
      </c>
      <c r="EM32" s="1015">
        <v>15.0</v>
      </c>
      <c r="EN32" s="108"/>
      <c r="EO32" s="442"/>
      <c r="EP32" s="442"/>
      <c r="EQ32" s="442"/>
      <c r="ER32" s="442"/>
      <c r="ES32" s="442"/>
      <c r="ET32" s="442"/>
      <c r="EU32" s="108"/>
      <c r="EV32" s="1036"/>
      <c r="EW32" s="1037" t="s">
        <v>1360</v>
      </c>
      <c r="EX32" s="1038" t="s">
        <v>4666</v>
      </c>
      <c r="EY32" s="1038">
        <v>10.0</v>
      </c>
      <c r="EZ32" s="1039">
        <v>10.0</v>
      </c>
      <c r="FA32" s="1040">
        <v>10.0</v>
      </c>
      <c r="FB32" s="108"/>
      <c r="FC32" s="1068"/>
      <c r="FD32" s="1076" t="s">
        <v>438</v>
      </c>
      <c r="FE32" s="1072" t="s">
        <v>4831</v>
      </c>
      <c r="FF32" s="1071">
        <v>20.0</v>
      </c>
      <c r="FG32" s="1072">
        <v>20.0</v>
      </c>
      <c r="FH32" s="1073">
        <v>20.0</v>
      </c>
      <c r="FI32" s="108"/>
      <c r="FJ32" s="40"/>
      <c r="FK32" s="398" t="s">
        <v>2319</v>
      </c>
      <c r="FL32" s="1091">
        <v>60.0</v>
      </c>
      <c r="FM32" s="1092" t="s">
        <v>411</v>
      </c>
      <c r="FN32" s="12"/>
      <c r="FO32" s="48"/>
      <c r="FP32" s="108"/>
      <c r="FQ32" s="1012"/>
      <c r="FR32" s="1046" t="s">
        <v>4069</v>
      </c>
      <c r="FS32" s="1034" t="s">
        <v>4722</v>
      </c>
      <c r="FT32" s="1033">
        <v>30.0</v>
      </c>
      <c r="FU32" s="1034">
        <v>30.0</v>
      </c>
      <c r="FV32" s="1035">
        <v>30.0</v>
      </c>
      <c r="FW32" s="108"/>
      <c r="FX32" s="1056"/>
      <c r="FY32" s="1022" t="s">
        <v>1343</v>
      </c>
      <c r="FZ32" s="1057"/>
      <c r="GA32" s="1021">
        <v>0.0</v>
      </c>
      <c r="GB32" s="1023">
        <v>0.0</v>
      </c>
      <c r="GC32" s="1024">
        <v>40.0</v>
      </c>
      <c r="GD32" s="108"/>
      <c r="GE32" s="985" t="s">
        <v>4569</v>
      </c>
      <c r="GF32" s="12"/>
      <c r="GG32" s="12"/>
      <c r="GH32" s="12"/>
      <c r="GI32" s="12"/>
      <c r="GJ32" s="48"/>
      <c r="GK32" s="108"/>
      <c r="GR32" s="108"/>
      <c r="GS32" s="442"/>
      <c r="GT32" s="442"/>
      <c r="GU32" s="442"/>
      <c r="GV32" s="442"/>
      <c r="GW32" s="442"/>
      <c r="GX32" s="442"/>
      <c r="GY32" s="442"/>
      <c r="GZ32" s="442"/>
      <c r="HA32" s="442"/>
      <c r="HB32" s="442"/>
      <c r="HC32" s="442"/>
      <c r="HD32" s="442"/>
      <c r="HE32" s="442"/>
      <c r="HF32" s="442"/>
      <c r="HG32" s="1159"/>
      <c r="HH32" s="1160" t="s">
        <v>3825</v>
      </c>
      <c r="HI32" s="1124"/>
      <c r="HJ32" s="1161">
        <v>10.0</v>
      </c>
      <c r="HK32" s="413"/>
      <c r="HL32" s="414"/>
      <c r="HM32" s="442"/>
      <c r="HN32" s="1036"/>
      <c r="HO32" s="1037" t="s">
        <v>535</v>
      </c>
      <c r="HP32" s="1038" t="s">
        <v>4846</v>
      </c>
      <c r="HQ32" s="1038">
        <v>20.0</v>
      </c>
      <c r="HR32" s="1039">
        <v>20.0</v>
      </c>
      <c r="HS32" s="1040">
        <v>20.0</v>
      </c>
      <c r="HT32" s="442"/>
      <c r="HU32" s="1068"/>
      <c r="HV32" s="1076" t="s">
        <v>3350</v>
      </c>
      <c r="HW32" s="1072" t="s">
        <v>4696</v>
      </c>
      <c r="HX32" s="1071">
        <v>20.0</v>
      </c>
      <c r="HY32" s="1072">
        <v>20.0</v>
      </c>
      <c r="HZ32" s="1073">
        <v>20.0</v>
      </c>
      <c r="IA32" s="442"/>
      <c r="IH32" s="442"/>
      <c r="II32" s="985" t="s">
        <v>2416</v>
      </c>
      <c r="IJ32" s="12"/>
      <c r="IK32" s="12"/>
      <c r="IL32" s="12"/>
      <c r="IM32" s="12"/>
      <c r="IN32" s="48"/>
      <c r="IO32" s="442"/>
      <c r="IP32" s="985" t="s">
        <v>4704</v>
      </c>
      <c r="IQ32" s="12"/>
      <c r="IR32" s="12"/>
      <c r="IS32" s="12"/>
      <c r="IT32" s="12"/>
      <c r="IU32" s="48"/>
      <c r="IV32" s="442"/>
      <c r="IW32" s="1049" t="s">
        <v>4676</v>
      </c>
      <c r="IX32" s="1026"/>
      <c r="IY32" s="1026"/>
      <c r="IZ32" s="1026"/>
      <c r="JA32" s="1026"/>
      <c r="JB32" s="998"/>
      <c r="JC32" s="442"/>
      <c r="JD32" s="985" t="s">
        <v>2416</v>
      </c>
      <c r="JE32" s="12"/>
      <c r="JF32" s="12"/>
      <c r="JG32" s="12"/>
      <c r="JH32" s="12"/>
      <c r="JI32" s="48"/>
      <c r="JJ32" s="442"/>
      <c r="JK32" s="1012"/>
      <c r="JL32" s="1031" t="s">
        <v>1336</v>
      </c>
      <c r="JM32" s="1032"/>
      <c r="JN32" s="1033">
        <v>40.0</v>
      </c>
      <c r="JO32" s="1034">
        <v>40.0</v>
      </c>
      <c r="JP32" s="1035">
        <v>0.0</v>
      </c>
      <c r="JQ32" s="442"/>
      <c r="JR32" s="985" t="s">
        <v>4670</v>
      </c>
      <c r="JS32" s="12"/>
      <c r="JT32" s="12"/>
      <c r="JU32" s="12"/>
      <c r="JV32" s="12"/>
      <c r="JW32" s="48"/>
      <c r="JX32" s="442"/>
      <c r="JY32" s="1012"/>
      <c r="JZ32" s="1031" t="s">
        <v>812</v>
      </c>
      <c r="KA32" s="1033" t="s">
        <v>4678</v>
      </c>
      <c r="KB32" s="1033">
        <v>60.0</v>
      </c>
      <c r="KC32" s="1032"/>
      <c r="KD32" s="30"/>
      <c r="KE32" s="442"/>
      <c r="KL32" s="442"/>
      <c r="KS32" s="442"/>
      <c r="KT32" s="1105"/>
      <c r="KU32" s="1116" t="s">
        <v>812</v>
      </c>
      <c r="KV32" s="1086" t="s">
        <v>4649</v>
      </c>
      <c r="KW32" s="1117">
        <v>40.0</v>
      </c>
      <c r="KX32" s="306"/>
      <c r="KY32" s="307"/>
      <c r="KZ32" s="442"/>
      <c r="LA32" s="442"/>
      <c r="LB32" s="442"/>
      <c r="LC32" s="442"/>
      <c r="LD32" s="442"/>
      <c r="LE32" s="442"/>
      <c r="LF32" s="442"/>
      <c r="LG32" s="442"/>
      <c r="LH32" s="985" t="s">
        <v>4700</v>
      </c>
      <c r="LI32" s="12"/>
      <c r="LJ32" s="12"/>
      <c r="LK32" s="12"/>
      <c r="LL32" s="12"/>
      <c r="LM32" s="48"/>
      <c r="LN32" s="442"/>
      <c r="LO32" s="1193"/>
      <c r="LP32" s="1145" t="s">
        <v>3000</v>
      </c>
      <c r="LQ32" s="1146" t="s">
        <v>4824</v>
      </c>
      <c r="LR32" s="1146">
        <v>10.0</v>
      </c>
      <c r="LS32" s="1147">
        <v>10.0</v>
      </c>
      <c r="LT32" s="1148">
        <v>10.0</v>
      </c>
      <c r="LU32" s="442"/>
      <c r="MB32" s="996"/>
    </row>
    <row r="33" ht="15.75" customHeight="1">
      <c r="A33" s="10"/>
      <c r="B33" s="442"/>
      <c r="C33" s="442"/>
      <c r="D33" s="108"/>
      <c r="E33" s="442"/>
      <c r="F33" s="442"/>
      <c r="G33" s="442"/>
      <c r="H33" s="442"/>
      <c r="I33" s="442"/>
      <c r="J33" s="442"/>
      <c r="K33" s="108"/>
      <c r="R33" s="108"/>
      <c r="S33" s="1064"/>
      <c r="T33" s="1065" t="s">
        <v>4037</v>
      </c>
      <c r="U33" s="1066">
        <v>1.0</v>
      </c>
      <c r="V33" s="1067" t="s">
        <v>411</v>
      </c>
      <c r="W33" s="138"/>
      <c r="X33" s="128"/>
      <c r="Y33" s="442"/>
      <c r="Z33" s="442"/>
      <c r="AA33" s="442"/>
      <c r="AB33" s="442"/>
      <c r="AC33" s="442"/>
      <c r="AD33" s="442"/>
      <c r="AE33" s="442"/>
      <c r="AF33" s="442"/>
      <c r="AG33" s="985" t="s">
        <v>4535</v>
      </c>
      <c r="AH33" s="12"/>
      <c r="AI33" s="12"/>
      <c r="AJ33" s="986" t="s">
        <v>2249</v>
      </c>
      <c r="AK33" s="986" t="s">
        <v>2440</v>
      </c>
      <c r="AL33" s="987" t="s">
        <v>2408</v>
      </c>
      <c r="AM33" s="108"/>
      <c r="AN33" s="40" t="s">
        <v>2416</v>
      </c>
      <c r="AO33" s="12"/>
      <c r="AP33" s="12"/>
      <c r="AQ33" s="12"/>
      <c r="AR33" s="12"/>
      <c r="AS33" s="48"/>
      <c r="AT33" s="108"/>
      <c r="AU33" s="1030" t="s">
        <v>4847</v>
      </c>
      <c r="AV33" s="12"/>
      <c r="AW33" s="962"/>
      <c r="AX33" s="1008" t="s">
        <v>4559</v>
      </c>
      <c r="AY33" s="1008" t="s">
        <v>4560</v>
      </c>
      <c r="AZ33" s="1009" t="s">
        <v>914</v>
      </c>
      <c r="BA33" s="108"/>
      <c r="BB33" s="1094"/>
      <c r="BC33" s="1050" t="s">
        <v>1191</v>
      </c>
      <c r="BD33" s="414"/>
      <c r="BE33" s="1051">
        <v>10.0</v>
      </c>
      <c r="BF33" s="413"/>
      <c r="BG33" s="414"/>
      <c r="BH33" s="108"/>
      <c r="BI33" s="40"/>
      <c r="BJ33" s="398" t="s">
        <v>1473</v>
      </c>
      <c r="BK33" s="1091">
        <v>60.0</v>
      </c>
      <c r="BL33" s="1092" t="s">
        <v>411</v>
      </c>
      <c r="BM33" s="12"/>
      <c r="BN33" s="48"/>
      <c r="BO33" s="108"/>
      <c r="BP33" s="442"/>
      <c r="BQ33" s="442"/>
      <c r="BR33" s="442"/>
      <c r="BS33" s="442"/>
      <c r="BT33" s="442"/>
      <c r="BU33" s="442"/>
      <c r="BV33" s="108"/>
      <c r="BW33" s="1100"/>
      <c r="BX33" s="1180" t="s">
        <v>1007</v>
      </c>
      <c r="BY33" s="1166" t="s">
        <v>4617</v>
      </c>
      <c r="BZ33" s="1166">
        <v>5.0</v>
      </c>
      <c r="CA33" s="1167">
        <v>5.0</v>
      </c>
      <c r="CB33" s="1168">
        <v>5.0</v>
      </c>
      <c r="CC33" s="108"/>
      <c r="CD33" s="442"/>
      <c r="CE33" s="442"/>
      <c r="CF33" s="442"/>
      <c r="CG33" s="442"/>
      <c r="CH33" s="442"/>
      <c r="CI33" s="442"/>
      <c r="CJ33" s="108"/>
      <c r="CK33" s="985" t="s">
        <v>2416</v>
      </c>
      <c r="CL33" s="12"/>
      <c r="CM33" s="12"/>
      <c r="CN33" s="12"/>
      <c r="CO33" s="12"/>
      <c r="CP33" s="48"/>
      <c r="CQ33" s="108"/>
      <c r="CR33" s="1012"/>
      <c r="CS33" s="499" t="s">
        <v>3130</v>
      </c>
      <c r="CT33" s="1051" t="s">
        <v>4617</v>
      </c>
      <c r="CU33" s="1051">
        <v>5.0</v>
      </c>
      <c r="CV33" s="1130">
        <v>5.0</v>
      </c>
      <c r="CW33" s="1131">
        <v>5.0</v>
      </c>
      <c r="CX33" s="108"/>
      <c r="CY33" s="1012"/>
      <c r="CZ33" s="1046" t="s">
        <v>4123</v>
      </c>
      <c r="DA33" s="1034" t="s">
        <v>4593</v>
      </c>
      <c r="DB33" s="1033">
        <v>30.0</v>
      </c>
      <c r="DC33" s="1034">
        <v>30.0</v>
      </c>
      <c r="DD33" s="1035">
        <v>30.0</v>
      </c>
      <c r="DE33" s="108"/>
      <c r="DF33" s="442"/>
      <c r="DG33" s="442"/>
      <c r="DH33" s="442"/>
      <c r="DI33" s="442"/>
      <c r="DJ33" s="442"/>
      <c r="DK33" s="442"/>
      <c r="DL33" s="108"/>
      <c r="DM33" s="985" t="s">
        <v>2416</v>
      </c>
      <c r="DN33" s="12"/>
      <c r="DO33" s="12"/>
      <c r="DP33" s="12"/>
      <c r="DQ33" s="12"/>
      <c r="DR33" s="48"/>
      <c r="DS33" s="108"/>
      <c r="DT33" s="1013"/>
      <c r="DU33" s="1042" t="s">
        <v>1343</v>
      </c>
      <c r="DV33" s="128"/>
      <c r="DW33" s="1013">
        <v>0.0</v>
      </c>
      <c r="DX33" s="1014">
        <v>0.0</v>
      </c>
      <c r="DY33" s="1015">
        <v>55.0</v>
      </c>
      <c r="DZ33" s="108"/>
      <c r="EA33" s="1000" t="s">
        <v>4535</v>
      </c>
      <c r="EB33" s="976"/>
      <c r="EC33" s="976"/>
      <c r="ED33" s="950" t="s">
        <v>2249</v>
      </c>
      <c r="EE33" s="950" t="s">
        <v>2440</v>
      </c>
      <c r="EF33" s="952" t="s">
        <v>2408</v>
      </c>
      <c r="EG33" s="108"/>
      <c r="EH33" s="1100"/>
      <c r="EI33" s="1158" t="s">
        <v>1007</v>
      </c>
      <c r="EJ33" s="1102" t="s">
        <v>4638</v>
      </c>
      <c r="EK33" s="1102">
        <v>15.0</v>
      </c>
      <c r="EL33" s="1103">
        <v>15.0</v>
      </c>
      <c r="EM33" s="1104">
        <v>15.0</v>
      </c>
      <c r="EN33" s="108"/>
      <c r="EO33" s="442"/>
      <c r="EP33" s="442"/>
      <c r="EQ33" s="442"/>
      <c r="ER33" s="442"/>
      <c r="ES33" s="442"/>
      <c r="ET33" s="442"/>
      <c r="EU33" s="108"/>
      <c r="EV33" s="1049"/>
      <c r="EW33" s="1050" t="s">
        <v>615</v>
      </c>
      <c r="EX33" s="1051" t="s">
        <v>4667</v>
      </c>
      <c r="EY33" s="1051">
        <v>5.0</v>
      </c>
      <c r="EZ33" s="1130">
        <v>5.0</v>
      </c>
      <c r="FA33" s="1131">
        <v>5.0</v>
      </c>
      <c r="FB33" s="108"/>
      <c r="FC33" s="1012"/>
      <c r="FD33" s="1127" t="s">
        <v>3700</v>
      </c>
      <c r="FE33" s="1083" t="s">
        <v>4623</v>
      </c>
      <c r="FF33" s="1082">
        <v>10.0</v>
      </c>
      <c r="FG33" s="1083">
        <v>10.0</v>
      </c>
      <c r="FH33" s="1084">
        <v>10.0</v>
      </c>
      <c r="FI33" s="108"/>
      <c r="FJ33" s="442"/>
      <c r="FK33" s="442"/>
      <c r="FL33" s="442"/>
      <c r="FM33" s="442"/>
      <c r="FN33" s="442"/>
      <c r="FO33" s="442"/>
      <c r="FP33" s="108"/>
      <c r="FQ33" s="1068"/>
      <c r="FR33" s="1076" t="s">
        <v>2923</v>
      </c>
      <c r="FS33" s="1072" t="s">
        <v>4623</v>
      </c>
      <c r="FT33" s="1071">
        <v>20.0</v>
      </c>
      <c r="FU33" s="1072">
        <v>20.0</v>
      </c>
      <c r="FV33" s="1073">
        <v>20.0</v>
      </c>
      <c r="FW33" s="108"/>
      <c r="FX33" s="1012"/>
      <c r="FY33" s="1042" t="s">
        <v>3158</v>
      </c>
      <c r="FZ33" s="138"/>
      <c r="GA33" s="1013">
        <v>0.0</v>
      </c>
      <c r="GB33" s="1014">
        <v>0.0</v>
      </c>
      <c r="GC33" s="1015">
        <v>30.0</v>
      </c>
      <c r="GD33" s="108"/>
      <c r="GE33" s="1012"/>
      <c r="GF33" s="1031" t="s">
        <v>643</v>
      </c>
      <c r="GG33" s="1033" t="s">
        <v>4592</v>
      </c>
      <c r="GH33" s="1033">
        <v>90.0</v>
      </c>
      <c r="GI33" s="1032"/>
      <c r="GJ33" s="30"/>
      <c r="GK33" s="108"/>
      <c r="GR33" s="108"/>
      <c r="GS33" s="442"/>
      <c r="GT33" s="442"/>
      <c r="GU33" s="442"/>
      <c r="GV33" s="442"/>
      <c r="GW33" s="442"/>
      <c r="GX33" s="442"/>
      <c r="GY33" s="442"/>
      <c r="GZ33" s="442"/>
      <c r="HA33" s="442"/>
      <c r="HB33" s="442"/>
      <c r="HC33" s="442"/>
      <c r="HD33" s="442"/>
      <c r="HE33" s="442"/>
      <c r="HF33" s="442"/>
      <c r="HG33" s="442"/>
      <c r="HH33" s="442"/>
      <c r="HI33" s="442"/>
      <c r="HJ33" s="442"/>
      <c r="HK33" s="442"/>
      <c r="HL33" s="442"/>
      <c r="HM33" s="442"/>
      <c r="HN33" s="1012"/>
      <c r="HO33" s="1042" t="s">
        <v>2824</v>
      </c>
      <c r="HP33" s="1013" t="s">
        <v>4842</v>
      </c>
      <c r="HQ33" s="1013">
        <v>15.0</v>
      </c>
      <c r="HR33" s="1014">
        <v>15.0</v>
      </c>
      <c r="HS33" s="1015">
        <v>15.0</v>
      </c>
      <c r="HT33" s="442"/>
      <c r="HU33" s="1012"/>
      <c r="HV33" s="1098" t="s">
        <v>2075</v>
      </c>
      <c r="HW33" s="1014" t="s">
        <v>4843</v>
      </c>
      <c r="HX33" s="1013">
        <v>10.0</v>
      </c>
      <c r="HY33" s="1014">
        <v>10.0</v>
      </c>
      <c r="HZ33" s="1015">
        <v>10.0</v>
      </c>
      <c r="IA33" s="442"/>
      <c r="IH33" s="442"/>
      <c r="II33" s="40"/>
      <c r="IJ33" s="1052" t="s">
        <v>474</v>
      </c>
      <c r="IK33" s="1054" t="s">
        <v>4816</v>
      </c>
      <c r="IL33" s="1053">
        <v>22.0</v>
      </c>
      <c r="IM33" s="1026"/>
      <c r="IN33" s="998"/>
      <c r="IO33" s="442"/>
      <c r="IP33" s="1061" t="s">
        <v>4610</v>
      </c>
      <c r="IQ33" s="959"/>
      <c r="IR33" s="957"/>
      <c r="IS33" s="1062" t="s">
        <v>4608</v>
      </c>
      <c r="IT33" s="959"/>
      <c r="IU33" s="960"/>
      <c r="IV33" s="442"/>
      <c r="IW33" s="1012"/>
      <c r="IX33" s="1031" t="s">
        <v>2633</v>
      </c>
      <c r="IY33" s="1033" t="s">
        <v>4640</v>
      </c>
      <c r="IZ33" s="1033">
        <v>90.0</v>
      </c>
      <c r="JA33" s="1032"/>
      <c r="JB33" s="30"/>
      <c r="JC33" s="442"/>
      <c r="JD33" s="40"/>
      <c r="JE33" s="1052" t="s">
        <v>2789</v>
      </c>
      <c r="JF33" s="108" t="s">
        <v>4698</v>
      </c>
      <c r="JG33" s="10">
        <v>22.0</v>
      </c>
      <c r="JI33" s="1154"/>
      <c r="JJ33" s="442"/>
      <c r="JK33" s="1056"/>
      <c r="JL33" s="1022" t="s">
        <v>2141</v>
      </c>
      <c r="JM33" s="1057"/>
      <c r="JN33" s="1021">
        <v>30.0</v>
      </c>
      <c r="JO33" s="1023">
        <v>30.0</v>
      </c>
      <c r="JP33" s="1024">
        <v>0.0</v>
      </c>
      <c r="JQ33" s="442"/>
      <c r="JR33" s="1012"/>
      <c r="JS33" s="1031" t="s">
        <v>3843</v>
      </c>
      <c r="JT33" s="1033" t="s">
        <v>4678</v>
      </c>
      <c r="JU33" s="1033">
        <v>90.0</v>
      </c>
      <c r="JV33" s="1032"/>
      <c r="JW33" s="30"/>
      <c r="JX33" s="442"/>
      <c r="JY33" s="1056"/>
      <c r="JZ33" s="1089" t="s">
        <v>2598</v>
      </c>
      <c r="KA33" s="1021" t="s">
        <v>4678</v>
      </c>
      <c r="KB33" s="1090">
        <v>30.0</v>
      </c>
      <c r="KC33" s="138"/>
      <c r="KD33" s="128"/>
      <c r="KE33" s="442"/>
      <c r="KL33" s="442"/>
      <c r="KS33" s="442"/>
      <c r="KT33" s="985" t="s">
        <v>4535</v>
      </c>
      <c r="KU33" s="12"/>
      <c r="KV33" s="12"/>
      <c r="KW33" s="986" t="s">
        <v>2249</v>
      </c>
      <c r="KX33" s="986" t="s">
        <v>2440</v>
      </c>
      <c r="KY33" s="987" t="s">
        <v>2408</v>
      </c>
      <c r="KZ33" s="442"/>
      <c r="LA33" s="442"/>
      <c r="LB33" s="442"/>
      <c r="LC33" s="442"/>
      <c r="LD33" s="442"/>
      <c r="LE33" s="442"/>
      <c r="LF33" s="442"/>
      <c r="LG33" s="442"/>
      <c r="LH33" s="40"/>
      <c r="LI33" s="442" t="s">
        <v>705</v>
      </c>
      <c r="LJ33" s="10" t="s">
        <v>4649</v>
      </c>
      <c r="LK33" s="10">
        <v>100.0</v>
      </c>
      <c r="LM33" s="1154"/>
      <c r="LN33" s="442"/>
      <c r="LU33" s="442"/>
      <c r="LV33" s="1210" t="s">
        <v>4848</v>
      </c>
      <c r="LW33" s="12"/>
      <c r="LX33" s="12"/>
      <c r="LY33" s="12"/>
      <c r="LZ33" s="12"/>
      <c r="MA33" s="962"/>
      <c r="MB33" s="996"/>
    </row>
    <row r="34" ht="15.75" customHeight="1">
      <c r="A34" s="10"/>
      <c r="B34" s="1211" t="s">
        <v>4849</v>
      </c>
      <c r="C34" s="960"/>
      <c r="D34" s="108"/>
      <c r="E34" s="442"/>
      <c r="F34" s="442"/>
      <c r="G34" s="442"/>
      <c r="H34" s="442"/>
      <c r="I34" s="442"/>
      <c r="J34" s="442"/>
      <c r="K34" s="108"/>
      <c r="R34" s="108"/>
      <c r="S34" s="1096"/>
      <c r="T34" s="1042" t="s">
        <v>4043</v>
      </c>
      <c r="U34" s="1108">
        <v>1.0</v>
      </c>
      <c r="V34" s="1013" t="s">
        <v>411</v>
      </c>
      <c r="W34" s="138"/>
      <c r="X34" s="128"/>
      <c r="Y34" s="108"/>
      <c r="Z34" s="108"/>
      <c r="AA34" s="108"/>
      <c r="AB34" s="108"/>
      <c r="AC34" s="108"/>
      <c r="AD34" s="108"/>
      <c r="AE34" s="108"/>
      <c r="AF34" s="108"/>
      <c r="AG34" s="1033"/>
      <c r="AH34" s="978" t="s">
        <v>1336</v>
      </c>
      <c r="AI34" s="319"/>
      <c r="AJ34" s="1033">
        <v>55.0</v>
      </c>
      <c r="AK34" s="1034">
        <v>55.0</v>
      </c>
      <c r="AL34" s="1035">
        <v>0.0</v>
      </c>
      <c r="AM34" s="108"/>
      <c r="AN34" s="1144"/>
      <c r="AO34" s="41" t="s">
        <v>2224</v>
      </c>
      <c r="AP34" s="1212">
        <v>45939.0</v>
      </c>
      <c r="AQ34" s="10">
        <v>22.0</v>
      </c>
      <c r="AS34" s="1154"/>
      <c r="AT34" s="108"/>
      <c r="AU34" s="1012"/>
      <c r="AV34" s="38" t="s">
        <v>820</v>
      </c>
      <c r="AW34" s="1047">
        <v>45971.0</v>
      </c>
      <c r="AX34" s="1033">
        <v>25.0</v>
      </c>
      <c r="AY34" s="1034">
        <v>25.0</v>
      </c>
      <c r="AZ34" s="1035">
        <v>25.0</v>
      </c>
      <c r="BA34" s="108"/>
      <c r="BB34" s="442"/>
      <c r="BC34" s="442"/>
      <c r="BD34" s="442"/>
      <c r="BE34" s="442"/>
      <c r="BF34" s="442"/>
      <c r="BG34" s="442"/>
      <c r="BH34" s="108"/>
      <c r="BI34" s="442"/>
      <c r="BJ34" s="442"/>
      <c r="BK34" s="442"/>
      <c r="BL34" s="442"/>
      <c r="BM34" s="442"/>
      <c r="BN34" s="442"/>
      <c r="BO34" s="108"/>
      <c r="BP34" s="442"/>
      <c r="BQ34" s="442"/>
      <c r="BR34" s="442"/>
      <c r="BS34" s="442"/>
      <c r="BT34" s="442"/>
      <c r="BU34" s="442"/>
      <c r="BV34" s="108"/>
      <c r="BW34" s="1041" t="s">
        <v>4850</v>
      </c>
      <c r="BX34" s="12"/>
      <c r="BY34" s="12"/>
      <c r="BZ34" s="12"/>
      <c r="CA34" s="12"/>
      <c r="CB34" s="48"/>
      <c r="CC34" s="108"/>
      <c r="CD34" s="442"/>
      <c r="CE34" s="442"/>
      <c r="CF34" s="442"/>
      <c r="CG34" s="442"/>
      <c r="CH34" s="442"/>
      <c r="CI34" s="442"/>
      <c r="CJ34" s="108"/>
      <c r="CK34" s="1144"/>
      <c r="CL34" s="1052" t="s">
        <v>2239</v>
      </c>
      <c r="CM34" s="1054" t="s">
        <v>4821</v>
      </c>
      <c r="CN34" s="1053">
        <v>22.0</v>
      </c>
      <c r="CO34" s="1026"/>
      <c r="CP34" s="998"/>
      <c r="CQ34" s="108"/>
      <c r="CR34" s="956" t="s">
        <v>4851</v>
      </c>
      <c r="CS34" s="957"/>
      <c r="CT34" s="958"/>
      <c r="CU34" s="959"/>
      <c r="CV34" s="959"/>
      <c r="CW34" s="960"/>
      <c r="CX34" s="108"/>
      <c r="CY34" s="1068"/>
      <c r="CZ34" s="1076" t="s">
        <v>2116</v>
      </c>
      <c r="DA34" s="1072" t="s">
        <v>4593</v>
      </c>
      <c r="DB34" s="1071">
        <v>25.0</v>
      </c>
      <c r="DC34" s="1072">
        <v>25.0</v>
      </c>
      <c r="DD34" s="1073">
        <v>25.0</v>
      </c>
      <c r="DE34" s="108"/>
      <c r="DF34" s="442"/>
      <c r="DG34" s="442"/>
      <c r="DH34" s="442"/>
      <c r="DI34" s="442"/>
      <c r="DJ34" s="442"/>
      <c r="DK34" s="442"/>
      <c r="DL34" s="108"/>
      <c r="DM34" s="1144"/>
      <c r="DN34" s="1052" t="s">
        <v>1993</v>
      </c>
      <c r="DO34" s="1053" t="s">
        <v>4833</v>
      </c>
      <c r="DP34" s="1053">
        <v>22.0</v>
      </c>
      <c r="DQ34" s="1026"/>
      <c r="DR34" s="998"/>
      <c r="DS34" s="108"/>
      <c r="DT34" s="1080"/>
      <c r="DU34" s="1085" t="s">
        <v>1242</v>
      </c>
      <c r="DV34" s="414"/>
      <c r="DW34" s="1080">
        <v>0.0</v>
      </c>
      <c r="DX34" s="1125">
        <v>0.0</v>
      </c>
      <c r="DY34" s="1126">
        <v>45.0</v>
      </c>
      <c r="DZ34" s="108"/>
      <c r="EA34" s="1033"/>
      <c r="EB34" s="978" t="s">
        <v>1336</v>
      </c>
      <c r="EC34" s="319"/>
      <c r="ED34" s="977">
        <v>55.0</v>
      </c>
      <c r="EE34" s="979">
        <v>55.0</v>
      </c>
      <c r="EF34" s="980">
        <v>0.0</v>
      </c>
      <c r="EG34" s="108"/>
      <c r="EH34" s="1012"/>
      <c r="EI34" s="1098" t="s">
        <v>1924</v>
      </c>
      <c r="EJ34" s="1013" t="s">
        <v>4666</v>
      </c>
      <c r="EK34" s="1013">
        <v>10.0</v>
      </c>
      <c r="EL34" s="1014">
        <v>10.0</v>
      </c>
      <c r="EM34" s="1015">
        <v>10.0</v>
      </c>
      <c r="EN34" s="108"/>
      <c r="EO34" s="442"/>
      <c r="EP34" s="442"/>
      <c r="EQ34" s="442"/>
      <c r="ER34" s="442"/>
      <c r="ES34" s="442"/>
      <c r="ET34" s="442"/>
      <c r="EU34" s="108"/>
      <c r="EV34" s="442"/>
      <c r="EW34" s="442"/>
      <c r="EX34" s="442"/>
      <c r="EY34" s="442"/>
      <c r="EZ34" s="442"/>
      <c r="FA34" s="442"/>
      <c r="FB34" s="108"/>
      <c r="FC34" s="985" t="s">
        <v>2416</v>
      </c>
      <c r="FD34" s="12"/>
      <c r="FE34" s="12"/>
      <c r="FF34" s="12"/>
      <c r="FG34" s="12"/>
      <c r="FH34" s="48"/>
      <c r="FI34" s="108"/>
      <c r="FJ34" s="442"/>
      <c r="FK34" s="442"/>
      <c r="FL34" s="442"/>
      <c r="FM34" s="442"/>
      <c r="FN34" s="442"/>
      <c r="FO34" s="442"/>
      <c r="FP34" s="108"/>
      <c r="FQ34" s="1012"/>
      <c r="FR34" s="1098" t="s">
        <v>2651</v>
      </c>
      <c r="FS34" s="1014" t="s">
        <v>4722</v>
      </c>
      <c r="FT34" s="1013">
        <v>20.0</v>
      </c>
      <c r="FU34" s="1014">
        <v>20.0</v>
      </c>
      <c r="FV34" s="1015">
        <v>20.0</v>
      </c>
      <c r="FW34" s="108"/>
      <c r="FX34" s="1056"/>
      <c r="FY34" s="1106" t="s">
        <v>2148</v>
      </c>
      <c r="FZ34" s="1107"/>
      <c r="GA34" s="1086">
        <v>0.0</v>
      </c>
      <c r="GB34" s="1087">
        <v>0.0</v>
      </c>
      <c r="GC34" s="1088">
        <v>30.0</v>
      </c>
      <c r="GD34" s="108"/>
      <c r="GE34" s="1056"/>
      <c r="GF34" s="1173" t="s">
        <v>653</v>
      </c>
      <c r="GG34" s="1080" t="s">
        <v>4616</v>
      </c>
      <c r="GH34" s="1081">
        <v>10.0</v>
      </c>
      <c r="GI34" s="413"/>
      <c r="GJ34" s="414"/>
      <c r="GK34" s="108"/>
      <c r="GR34" s="108"/>
      <c r="GS34" s="442"/>
      <c r="GT34" s="442"/>
      <c r="GU34" s="442"/>
      <c r="GV34" s="442"/>
      <c r="GW34" s="442"/>
      <c r="GX34" s="442"/>
      <c r="GY34" s="442"/>
      <c r="GZ34" s="442"/>
      <c r="HA34" s="442"/>
      <c r="HB34" s="442"/>
      <c r="HC34" s="442"/>
      <c r="HD34" s="442"/>
      <c r="HE34" s="442"/>
      <c r="HF34" s="442"/>
      <c r="HG34" s="442"/>
      <c r="HH34" s="442"/>
      <c r="HI34" s="442"/>
      <c r="HJ34" s="442"/>
      <c r="HK34" s="442"/>
      <c r="HL34" s="442"/>
      <c r="HM34" s="442"/>
      <c r="HN34" s="1036"/>
      <c r="HO34" s="1037" t="s">
        <v>2806</v>
      </c>
      <c r="HP34" s="1038" t="s">
        <v>4846</v>
      </c>
      <c r="HQ34" s="1038">
        <v>10.0</v>
      </c>
      <c r="HR34" s="1039">
        <v>10.0</v>
      </c>
      <c r="HS34" s="1040">
        <v>10.0</v>
      </c>
      <c r="HT34" s="442"/>
      <c r="HU34" s="1068"/>
      <c r="HV34" s="1076" t="s">
        <v>1292</v>
      </c>
      <c r="HW34" s="1069" t="s">
        <v>4643</v>
      </c>
      <c r="HX34" s="1068">
        <v>10.0</v>
      </c>
      <c r="HY34" s="1069">
        <v>10.0</v>
      </c>
      <c r="HZ34" s="1076">
        <v>10.0</v>
      </c>
      <c r="IA34" s="442"/>
      <c r="IH34" s="442"/>
      <c r="II34" s="985" t="s">
        <v>4706</v>
      </c>
      <c r="IJ34" s="12"/>
      <c r="IK34" s="12"/>
      <c r="IL34" s="12"/>
      <c r="IM34" s="12"/>
      <c r="IN34" s="48"/>
      <c r="IO34" s="442"/>
      <c r="IP34" s="1197"/>
      <c r="IQ34" s="978" t="s">
        <v>4319</v>
      </c>
      <c r="IR34" s="1043">
        <v>70.0</v>
      </c>
      <c r="IS34" s="977" t="s">
        <v>411</v>
      </c>
      <c r="IT34" s="984"/>
      <c r="IU34" s="319"/>
      <c r="IV34" s="442"/>
      <c r="IW34" s="1105"/>
      <c r="IX34" s="1173" t="s">
        <v>2642</v>
      </c>
      <c r="IY34" s="1080" t="s">
        <v>4697</v>
      </c>
      <c r="IZ34" s="1081">
        <v>10.0</v>
      </c>
      <c r="JA34" s="413"/>
      <c r="JB34" s="414"/>
      <c r="JC34" s="442"/>
      <c r="JD34" s="985" t="s">
        <v>4676</v>
      </c>
      <c r="JE34" s="12"/>
      <c r="JF34" s="12"/>
      <c r="JG34" s="12"/>
      <c r="JH34" s="12"/>
      <c r="JI34" s="48"/>
      <c r="JJ34" s="442"/>
      <c r="JK34" s="1012"/>
      <c r="JL34" s="1042" t="s">
        <v>2962</v>
      </c>
      <c r="JM34" s="138"/>
      <c r="JN34" s="1013">
        <v>30.0</v>
      </c>
      <c r="JO34" s="1014">
        <v>30.0</v>
      </c>
      <c r="JP34" s="1015">
        <v>30.0</v>
      </c>
      <c r="JQ34" s="442"/>
      <c r="JR34" s="1105"/>
      <c r="JS34" s="1116" t="s">
        <v>535</v>
      </c>
      <c r="JT34" s="1086" t="s">
        <v>4678</v>
      </c>
      <c r="JU34" s="1117">
        <v>10.0</v>
      </c>
      <c r="JV34" s="306"/>
      <c r="JW34" s="307"/>
      <c r="JX34" s="442"/>
      <c r="JY34" s="1049"/>
      <c r="JZ34" s="1128" t="s">
        <v>3872</v>
      </c>
      <c r="KA34" s="1082" t="s">
        <v>4678</v>
      </c>
      <c r="KB34" s="1082">
        <v>10.0</v>
      </c>
      <c r="KC34" s="1150"/>
      <c r="KD34" s="1151"/>
      <c r="KE34" s="442"/>
      <c r="KL34" s="442"/>
      <c r="KS34" s="442"/>
      <c r="KT34" s="1012"/>
      <c r="KU34" s="1031" t="s">
        <v>1336</v>
      </c>
      <c r="KV34" s="1032"/>
      <c r="KW34" s="1033">
        <v>40.0</v>
      </c>
      <c r="KX34" s="1034">
        <v>40.0</v>
      </c>
      <c r="KY34" s="1035">
        <v>0.0</v>
      </c>
      <c r="KZ34" s="442"/>
      <c r="LA34" s="442"/>
      <c r="LB34" s="442"/>
      <c r="LC34" s="442"/>
      <c r="LD34" s="442"/>
      <c r="LE34" s="442"/>
      <c r="LF34" s="442"/>
      <c r="LG34" s="442"/>
      <c r="LH34" s="985" t="s">
        <v>4535</v>
      </c>
      <c r="LI34" s="12"/>
      <c r="LJ34" s="12"/>
      <c r="LK34" s="986" t="s">
        <v>2249</v>
      </c>
      <c r="LL34" s="986" t="s">
        <v>2440</v>
      </c>
      <c r="LM34" s="987" t="s">
        <v>2408</v>
      </c>
      <c r="LN34" s="442"/>
      <c r="LU34" s="442"/>
      <c r="MB34" s="996"/>
    </row>
    <row r="35" ht="15.75" customHeight="1">
      <c r="A35" s="10"/>
      <c r="B35" s="1213" t="s">
        <v>4852</v>
      </c>
      <c r="C35" s="1214" t="s">
        <v>4559</v>
      </c>
      <c r="D35" s="108"/>
      <c r="E35" s="442"/>
      <c r="F35" s="442"/>
      <c r="G35" s="442"/>
      <c r="H35" s="442"/>
      <c r="I35" s="442"/>
      <c r="J35" s="442"/>
      <c r="K35" s="108"/>
      <c r="R35" s="108"/>
      <c r="S35" s="1198"/>
      <c r="T35" s="1199" t="s">
        <v>4117</v>
      </c>
      <c r="U35" s="1200">
        <v>1.0</v>
      </c>
      <c r="V35" s="1201" t="s">
        <v>411</v>
      </c>
      <c r="W35" s="413"/>
      <c r="X35" s="414"/>
      <c r="Y35" s="442"/>
      <c r="Z35" s="442"/>
      <c r="AA35" s="442"/>
      <c r="AB35" s="442"/>
      <c r="AC35" s="442"/>
      <c r="AD35" s="442"/>
      <c r="AE35" s="442"/>
      <c r="AF35" s="442"/>
      <c r="AG35" s="1021"/>
      <c r="AH35" s="1022" t="s">
        <v>3167</v>
      </c>
      <c r="AI35" s="128"/>
      <c r="AJ35" s="1023">
        <v>45.0</v>
      </c>
      <c r="AK35" s="1023">
        <v>45.0</v>
      </c>
      <c r="AL35" s="1024">
        <v>0.0</v>
      </c>
      <c r="AM35" s="108"/>
      <c r="AN35" s="40" t="s">
        <v>4712</v>
      </c>
      <c r="AO35" s="12"/>
      <c r="AP35" s="12"/>
      <c r="AQ35" s="12"/>
      <c r="AR35" s="12"/>
      <c r="AS35" s="48"/>
      <c r="AT35" s="108"/>
      <c r="AU35" s="1036"/>
      <c r="AV35" s="1048" t="s">
        <v>526</v>
      </c>
      <c r="AW35" s="1207">
        <v>45971.0</v>
      </c>
      <c r="AX35" s="1038">
        <v>25.0</v>
      </c>
      <c r="AY35" s="1039">
        <v>25.0</v>
      </c>
      <c r="AZ35" s="1040">
        <v>25.0</v>
      </c>
      <c r="BA35" s="108"/>
      <c r="BB35" s="442"/>
      <c r="BC35" s="442"/>
      <c r="BD35" s="442"/>
      <c r="BE35" s="442"/>
      <c r="BF35" s="442"/>
      <c r="BG35" s="442"/>
      <c r="BH35" s="108"/>
      <c r="BI35" s="442"/>
      <c r="BJ35" s="442"/>
      <c r="BK35" s="442"/>
      <c r="BL35" s="442"/>
      <c r="BM35" s="442"/>
      <c r="BN35" s="442"/>
      <c r="BO35" s="108"/>
      <c r="BP35" s="442"/>
      <c r="BQ35" s="442"/>
      <c r="BR35" s="442"/>
      <c r="BS35" s="442"/>
      <c r="BT35" s="442"/>
      <c r="BU35" s="442"/>
      <c r="BV35" s="108"/>
      <c r="BW35" s="1144"/>
      <c r="BX35" s="398" t="s">
        <v>4265</v>
      </c>
      <c r="BY35" s="1091">
        <v>20.0</v>
      </c>
      <c r="BZ35" s="1092" t="s">
        <v>411</v>
      </c>
      <c r="CA35" s="12"/>
      <c r="CB35" s="48"/>
      <c r="CC35" s="108"/>
      <c r="CD35" s="442"/>
      <c r="CE35" s="442"/>
      <c r="CF35" s="442"/>
      <c r="CG35" s="442"/>
      <c r="CH35" s="442"/>
      <c r="CI35" s="442"/>
      <c r="CJ35" s="108"/>
      <c r="CK35" s="442"/>
      <c r="CL35" s="442"/>
      <c r="CM35" s="442"/>
      <c r="CN35" s="442"/>
      <c r="CO35" s="442"/>
      <c r="CP35" s="442"/>
      <c r="CQ35" s="108"/>
      <c r="CR35" s="1030" t="s">
        <v>4853</v>
      </c>
      <c r="CS35" s="12"/>
      <c r="CT35" s="962"/>
      <c r="CU35" s="1008" t="s">
        <v>4559</v>
      </c>
      <c r="CV35" s="1008" t="s">
        <v>4560</v>
      </c>
      <c r="CW35" s="1009" t="s">
        <v>914</v>
      </c>
      <c r="CX35" s="108"/>
      <c r="CY35" s="1012"/>
      <c r="CZ35" s="1098" t="s">
        <v>2258</v>
      </c>
      <c r="DA35" s="1014" t="s">
        <v>4593</v>
      </c>
      <c r="DB35" s="1013">
        <v>20.0</v>
      </c>
      <c r="DC35" s="1014">
        <v>20.0</v>
      </c>
      <c r="DD35" s="1015">
        <v>20.0</v>
      </c>
      <c r="DE35" s="108"/>
      <c r="DF35" s="442"/>
      <c r="DG35" s="442"/>
      <c r="DH35" s="442"/>
      <c r="DI35" s="442"/>
      <c r="DJ35" s="442"/>
      <c r="DK35" s="442"/>
      <c r="DL35" s="108"/>
      <c r="DM35" s="985" t="s">
        <v>4569</v>
      </c>
      <c r="DN35" s="12"/>
      <c r="DO35" s="12"/>
      <c r="DP35" s="12"/>
      <c r="DQ35" s="12"/>
      <c r="DR35" s="48"/>
      <c r="DS35" s="108"/>
      <c r="DT35" s="985" t="s">
        <v>4854</v>
      </c>
      <c r="DU35" s="12"/>
      <c r="DV35" s="12"/>
      <c r="DW35" s="12"/>
      <c r="DX35" s="12"/>
      <c r="DY35" s="48"/>
      <c r="DZ35" s="108"/>
      <c r="EA35" s="1021"/>
      <c r="EB35" s="1022" t="s">
        <v>1228</v>
      </c>
      <c r="EC35" s="128"/>
      <c r="ED35" s="1021">
        <v>45.0</v>
      </c>
      <c r="EE35" s="1023">
        <v>45.0</v>
      </c>
      <c r="EF35" s="1024">
        <v>0.0</v>
      </c>
      <c r="EG35" s="108"/>
      <c r="EH35" s="1100"/>
      <c r="EI35" s="1158" t="s">
        <v>1941</v>
      </c>
      <c r="EJ35" s="1102" t="s">
        <v>4666</v>
      </c>
      <c r="EK35" s="1102">
        <v>10.0</v>
      </c>
      <c r="EL35" s="1103">
        <v>10.0</v>
      </c>
      <c r="EM35" s="1104">
        <v>10.0</v>
      </c>
      <c r="EN35" s="108"/>
      <c r="EO35" s="442"/>
      <c r="EP35" s="442"/>
      <c r="EQ35" s="442"/>
      <c r="ER35" s="442"/>
      <c r="ES35" s="442"/>
      <c r="ET35" s="442"/>
      <c r="EU35" s="108"/>
      <c r="EV35" s="442"/>
      <c r="EW35" s="442"/>
      <c r="EX35" s="442"/>
      <c r="EY35" s="442"/>
      <c r="EZ35" s="442"/>
      <c r="FA35" s="442"/>
      <c r="FB35" s="108"/>
      <c r="FC35" s="40"/>
      <c r="FD35" s="1052" t="s">
        <v>596</v>
      </c>
      <c r="FE35" s="1054" t="s">
        <v>4623</v>
      </c>
      <c r="FF35" s="1053">
        <v>22.0</v>
      </c>
      <c r="FG35" s="1026"/>
      <c r="FH35" s="998"/>
      <c r="FI35" s="108"/>
      <c r="FJ35" s="442"/>
      <c r="FK35" s="442"/>
      <c r="FL35" s="442"/>
      <c r="FM35" s="442"/>
      <c r="FN35" s="442"/>
      <c r="FO35" s="442"/>
      <c r="FP35" s="108"/>
      <c r="FQ35" s="1068"/>
      <c r="FR35" s="1076" t="s">
        <v>2934</v>
      </c>
      <c r="FS35" s="1072" t="s">
        <v>4770</v>
      </c>
      <c r="FT35" s="1071">
        <v>10.0</v>
      </c>
      <c r="FU35" s="1072">
        <v>10.0</v>
      </c>
      <c r="FV35" s="1073">
        <v>10.0</v>
      </c>
      <c r="FW35" s="108"/>
      <c r="FX35" s="985" t="s">
        <v>4855</v>
      </c>
      <c r="FY35" s="12"/>
      <c r="FZ35" s="12"/>
      <c r="GA35" s="12"/>
      <c r="GB35" s="12"/>
      <c r="GC35" s="48"/>
      <c r="GD35" s="108"/>
      <c r="GE35" s="985" t="s">
        <v>4535</v>
      </c>
      <c r="GF35" s="12"/>
      <c r="GG35" s="12"/>
      <c r="GH35" s="986" t="s">
        <v>2249</v>
      </c>
      <c r="GI35" s="986" t="s">
        <v>2440</v>
      </c>
      <c r="GJ35" s="987" t="s">
        <v>2408</v>
      </c>
      <c r="GK35" s="108"/>
      <c r="GR35" s="108"/>
      <c r="GS35" s="442"/>
      <c r="GT35" s="442"/>
      <c r="GU35" s="442"/>
      <c r="GV35" s="442"/>
      <c r="GW35" s="442"/>
      <c r="GX35" s="442"/>
      <c r="GY35" s="442"/>
      <c r="GZ35" s="442"/>
      <c r="HA35" s="442"/>
      <c r="HB35" s="442"/>
      <c r="HC35" s="442"/>
      <c r="HD35" s="442"/>
      <c r="HE35" s="442"/>
      <c r="HF35" s="442"/>
      <c r="HG35" s="442"/>
      <c r="HH35" s="442"/>
      <c r="HI35" s="442"/>
      <c r="HJ35" s="442"/>
      <c r="HK35" s="442"/>
      <c r="HL35" s="442"/>
      <c r="HM35" s="442"/>
      <c r="HN35" s="1012"/>
      <c r="HO35" s="1042" t="s">
        <v>2798</v>
      </c>
      <c r="HP35" s="1013" t="s">
        <v>4846</v>
      </c>
      <c r="HQ35" s="1013">
        <v>10.0</v>
      </c>
      <c r="HR35" s="1014">
        <v>10.0</v>
      </c>
      <c r="HS35" s="1015">
        <v>10.0</v>
      </c>
      <c r="HT35" s="442"/>
      <c r="HU35" s="1012"/>
      <c r="HV35" s="1098" t="s">
        <v>4132</v>
      </c>
      <c r="HW35" s="1042" t="s">
        <v>4644</v>
      </c>
      <c r="HX35" s="1096">
        <v>10.0</v>
      </c>
      <c r="HY35" s="1042">
        <v>10.0</v>
      </c>
      <c r="HZ35" s="1098">
        <v>10.0</v>
      </c>
      <c r="IA35" s="442"/>
      <c r="IH35" s="442"/>
      <c r="II35" s="1061" t="s">
        <v>4610</v>
      </c>
      <c r="IJ35" s="959"/>
      <c r="IK35" s="957"/>
      <c r="IL35" s="1062" t="s">
        <v>4608</v>
      </c>
      <c r="IM35" s="959"/>
      <c r="IN35" s="960"/>
      <c r="IO35" s="442"/>
      <c r="IP35" s="1215"/>
      <c r="IQ35" s="1199" t="s">
        <v>4325</v>
      </c>
      <c r="IR35" s="1200">
        <v>70.0</v>
      </c>
      <c r="IS35" s="1201" t="s">
        <v>411</v>
      </c>
      <c r="IT35" s="413"/>
      <c r="IU35" s="414"/>
      <c r="IV35" s="442"/>
      <c r="IW35" s="985" t="s">
        <v>4535</v>
      </c>
      <c r="IX35" s="12"/>
      <c r="IY35" s="12"/>
      <c r="IZ35" s="986" t="s">
        <v>2249</v>
      </c>
      <c r="JA35" s="986" t="s">
        <v>2440</v>
      </c>
      <c r="JB35" s="987" t="s">
        <v>2408</v>
      </c>
      <c r="JC35" s="442"/>
      <c r="JD35" s="1012"/>
      <c r="JE35" s="1031" t="s">
        <v>800</v>
      </c>
      <c r="JF35" s="1033" t="s">
        <v>4640</v>
      </c>
      <c r="JG35" s="1033">
        <v>60.0</v>
      </c>
      <c r="JH35" s="1032"/>
      <c r="JI35" s="30"/>
      <c r="JJ35" s="442"/>
      <c r="JK35" s="1056"/>
      <c r="JL35" s="1022" t="s">
        <v>1343</v>
      </c>
      <c r="JM35" s="1057"/>
      <c r="JN35" s="1021">
        <v>0.0</v>
      </c>
      <c r="JO35" s="1023">
        <v>0.0</v>
      </c>
      <c r="JP35" s="1024">
        <v>40.0</v>
      </c>
      <c r="JQ35" s="442"/>
      <c r="JR35" s="985" t="s">
        <v>4535</v>
      </c>
      <c r="JS35" s="12"/>
      <c r="JT35" s="12"/>
      <c r="JU35" s="986" t="s">
        <v>2249</v>
      </c>
      <c r="JV35" s="986" t="s">
        <v>2440</v>
      </c>
      <c r="JW35" s="987" t="s">
        <v>2408</v>
      </c>
      <c r="JX35" s="442"/>
      <c r="JY35" s="985" t="s">
        <v>4535</v>
      </c>
      <c r="JZ35" s="12"/>
      <c r="KA35" s="12"/>
      <c r="KB35" s="986" t="s">
        <v>2249</v>
      </c>
      <c r="KC35" s="986" t="s">
        <v>2440</v>
      </c>
      <c r="KD35" s="987" t="s">
        <v>2408</v>
      </c>
      <c r="KE35" s="442"/>
      <c r="KF35" s="442"/>
      <c r="KG35" s="442"/>
      <c r="KH35" s="442"/>
      <c r="KI35" s="442"/>
      <c r="KJ35" s="442"/>
      <c r="KK35" s="442"/>
      <c r="KL35" s="442"/>
      <c r="KS35" s="442"/>
      <c r="KT35" s="1056"/>
      <c r="KU35" s="1022" t="s">
        <v>2133</v>
      </c>
      <c r="KV35" s="1057"/>
      <c r="KW35" s="1021">
        <v>30.0</v>
      </c>
      <c r="KX35" s="1023">
        <v>10.0</v>
      </c>
      <c r="KY35" s="1024">
        <v>30.0</v>
      </c>
      <c r="KZ35" s="442"/>
      <c r="LA35" s="442"/>
      <c r="LB35" s="442"/>
      <c r="LC35" s="442"/>
      <c r="LD35" s="442"/>
      <c r="LE35" s="442"/>
      <c r="LF35" s="442"/>
      <c r="LG35" s="442"/>
      <c r="LH35" s="1012"/>
      <c r="LI35" s="1031" t="s">
        <v>1336</v>
      </c>
      <c r="LJ35" s="1032"/>
      <c r="LK35" s="1033">
        <v>55.0</v>
      </c>
      <c r="LL35" s="1034">
        <v>55.0</v>
      </c>
      <c r="LM35" s="1035">
        <v>0.0</v>
      </c>
      <c r="LN35" s="442"/>
      <c r="LU35" s="442"/>
      <c r="LV35" s="1216" t="s">
        <v>4856</v>
      </c>
      <c r="LW35" s="976"/>
      <c r="LX35" s="976"/>
      <c r="LY35" s="976"/>
      <c r="LZ35" s="976"/>
      <c r="MA35" s="974"/>
      <c r="MB35" s="996"/>
    </row>
    <row r="36" ht="15.75" customHeight="1">
      <c r="A36" s="10"/>
      <c r="B36" s="1213" t="s">
        <v>4857</v>
      </c>
      <c r="C36" s="1214" t="s">
        <v>4560</v>
      </c>
      <c r="D36" s="108"/>
      <c r="E36" s="442"/>
      <c r="F36" s="442"/>
      <c r="G36" s="442"/>
      <c r="H36" s="442"/>
      <c r="I36" s="442"/>
      <c r="J36" s="442"/>
      <c r="K36" s="108"/>
      <c r="R36" s="108"/>
      <c r="S36" s="442"/>
      <c r="T36" s="442"/>
      <c r="U36" s="442"/>
      <c r="V36" s="442"/>
      <c r="W36" s="442"/>
      <c r="X36" s="442"/>
      <c r="Y36" s="108"/>
      <c r="Z36" s="108"/>
      <c r="AA36" s="108"/>
      <c r="AB36" s="108"/>
      <c r="AC36" s="108"/>
      <c r="AD36" s="108"/>
      <c r="AE36" s="108"/>
      <c r="AF36" s="108"/>
      <c r="AG36" s="1013"/>
      <c r="AH36" s="1042" t="s">
        <v>1343</v>
      </c>
      <c r="AI36" s="128"/>
      <c r="AJ36" s="1013">
        <v>0.0</v>
      </c>
      <c r="AK36" s="1014">
        <v>0.0</v>
      </c>
      <c r="AL36" s="1015">
        <v>55.0</v>
      </c>
      <c r="AM36" s="108"/>
      <c r="AN36" s="1012"/>
      <c r="AO36" s="1115" t="s">
        <v>1858</v>
      </c>
      <c r="AP36" s="319"/>
      <c r="AQ36" s="1033">
        <v>30.0</v>
      </c>
      <c r="AR36" s="1032"/>
      <c r="AS36" s="30"/>
      <c r="AT36" s="108"/>
      <c r="AU36" s="1012"/>
      <c r="AV36" s="89" t="s">
        <v>2720</v>
      </c>
      <c r="AW36" s="1099">
        <v>45971.0</v>
      </c>
      <c r="AX36" s="1013">
        <v>20.0</v>
      </c>
      <c r="AY36" s="1014">
        <v>20.0</v>
      </c>
      <c r="AZ36" s="1015">
        <v>20.0</v>
      </c>
      <c r="BA36" s="108"/>
      <c r="BB36" s="442"/>
      <c r="BC36" s="442"/>
      <c r="BD36" s="442"/>
      <c r="BE36" s="442"/>
      <c r="BF36" s="442"/>
      <c r="BG36" s="442"/>
      <c r="BH36" s="108"/>
      <c r="BI36" s="442"/>
      <c r="BJ36" s="442"/>
      <c r="BK36" s="442"/>
      <c r="BL36" s="442"/>
      <c r="BM36" s="442"/>
      <c r="BN36" s="442"/>
      <c r="BO36" s="108"/>
      <c r="BP36" s="442"/>
      <c r="BQ36" s="442"/>
      <c r="BR36" s="442"/>
      <c r="BS36" s="442"/>
      <c r="BT36" s="442"/>
      <c r="BU36" s="442"/>
      <c r="BV36" s="108"/>
      <c r="BW36" s="442"/>
      <c r="BX36" s="442"/>
      <c r="BY36" s="442"/>
      <c r="BZ36" s="442"/>
      <c r="CA36" s="442"/>
      <c r="CB36" s="442"/>
      <c r="CC36" s="108"/>
      <c r="CD36" s="442"/>
      <c r="CE36" s="442"/>
      <c r="CF36" s="442"/>
      <c r="CG36" s="442"/>
      <c r="CH36" s="442"/>
      <c r="CI36" s="442"/>
      <c r="CJ36" s="108"/>
      <c r="CK36" s="442"/>
      <c r="CL36" s="442"/>
      <c r="CM36" s="442"/>
      <c r="CN36" s="442"/>
      <c r="CO36" s="442"/>
      <c r="CP36" s="442"/>
      <c r="CQ36" s="108"/>
      <c r="CR36" s="1012"/>
      <c r="CS36" s="38" t="s">
        <v>820</v>
      </c>
      <c r="CT36" s="1033" t="s">
        <v>4526</v>
      </c>
      <c r="CU36" s="1033">
        <v>20.0</v>
      </c>
      <c r="CV36" s="1034">
        <v>20.0</v>
      </c>
      <c r="CW36" s="1035">
        <v>20.0</v>
      </c>
      <c r="CX36" s="108"/>
      <c r="CY36" s="1068"/>
      <c r="CZ36" s="1076" t="s">
        <v>3350</v>
      </c>
      <c r="DA36" s="1072" t="s">
        <v>4593</v>
      </c>
      <c r="DB36" s="1071">
        <v>15.0</v>
      </c>
      <c r="DC36" s="1072">
        <v>15.0</v>
      </c>
      <c r="DD36" s="1073">
        <v>15.0</v>
      </c>
      <c r="DE36" s="108"/>
      <c r="DF36" s="442"/>
      <c r="DG36" s="442"/>
      <c r="DH36" s="442"/>
      <c r="DI36" s="442"/>
      <c r="DJ36" s="442"/>
      <c r="DK36" s="442"/>
      <c r="DL36" s="108"/>
      <c r="DM36" s="1012"/>
      <c r="DN36" s="1046" t="s">
        <v>643</v>
      </c>
      <c r="DO36" s="1033" t="s">
        <v>4592</v>
      </c>
      <c r="DP36" s="1033">
        <v>90.0</v>
      </c>
      <c r="DQ36" s="1032"/>
      <c r="DR36" s="30"/>
      <c r="DS36" s="108"/>
      <c r="DT36" s="1012"/>
      <c r="DU36" s="978" t="s">
        <v>3849</v>
      </c>
      <c r="DV36" s="319"/>
      <c r="DW36" s="1033">
        <v>30.0</v>
      </c>
      <c r="DX36" s="1032"/>
      <c r="DY36" s="30"/>
      <c r="DZ36" s="108"/>
      <c r="EA36" s="1013"/>
      <c r="EB36" s="1042" t="s">
        <v>1343</v>
      </c>
      <c r="EC36" s="128"/>
      <c r="ED36" s="1013">
        <v>0.0</v>
      </c>
      <c r="EE36" s="1014">
        <v>0.0</v>
      </c>
      <c r="EF36" s="1015">
        <v>55.0</v>
      </c>
      <c r="EG36" s="108"/>
      <c r="EH36" s="1012"/>
      <c r="EI36" s="1098" t="s">
        <v>3309</v>
      </c>
      <c r="EJ36" s="1013" t="s">
        <v>4685</v>
      </c>
      <c r="EK36" s="1013">
        <v>5.0</v>
      </c>
      <c r="EL36" s="1014">
        <v>5.0</v>
      </c>
      <c r="EM36" s="1015">
        <v>5.0</v>
      </c>
      <c r="EN36" s="108"/>
      <c r="EO36" s="442"/>
      <c r="EP36" s="442"/>
      <c r="EQ36" s="442"/>
      <c r="ER36" s="442"/>
      <c r="ES36" s="442"/>
      <c r="ET36" s="442"/>
      <c r="EU36" s="108"/>
      <c r="EV36" s="442"/>
      <c r="EW36" s="442"/>
      <c r="EX36" s="442"/>
      <c r="EY36" s="442"/>
      <c r="EZ36" s="442"/>
      <c r="FA36" s="442"/>
      <c r="FB36" s="108"/>
      <c r="FC36" s="442"/>
      <c r="FD36" s="442"/>
      <c r="FE36" s="442"/>
      <c r="FF36" s="442"/>
      <c r="FG36" s="442"/>
      <c r="FH36" s="442"/>
      <c r="FI36" s="108"/>
      <c r="FJ36" s="442"/>
      <c r="FK36" s="442"/>
      <c r="FL36" s="442"/>
      <c r="FM36" s="442"/>
      <c r="FN36" s="442"/>
      <c r="FO36" s="442"/>
      <c r="FP36" s="108"/>
      <c r="FQ36" s="1012"/>
      <c r="FR36" s="1098" t="s">
        <v>2661</v>
      </c>
      <c r="FS36" s="1014" t="s">
        <v>4770</v>
      </c>
      <c r="FT36" s="1013">
        <v>10.0</v>
      </c>
      <c r="FU36" s="1014">
        <v>10.0</v>
      </c>
      <c r="FV36" s="1015">
        <v>10.0</v>
      </c>
      <c r="FW36" s="108"/>
      <c r="FX36" s="1012"/>
      <c r="FY36" s="1031" t="s">
        <v>3856</v>
      </c>
      <c r="FZ36" s="1032"/>
      <c r="GA36" s="1033">
        <v>30.0</v>
      </c>
      <c r="GB36" s="1032"/>
      <c r="GC36" s="30"/>
      <c r="GD36" s="108"/>
      <c r="GE36" s="1012"/>
      <c r="GF36" s="1031" t="s">
        <v>1336</v>
      </c>
      <c r="GG36" s="1032"/>
      <c r="GH36" s="1033">
        <v>70.0</v>
      </c>
      <c r="GI36" s="1034">
        <v>70.0</v>
      </c>
      <c r="GJ36" s="1035">
        <v>0.0</v>
      </c>
      <c r="GK36" s="108"/>
      <c r="GR36" s="108"/>
      <c r="GS36" s="442"/>
      <c r="GT36" s="442"/>
      <c r="GU36" s="442"/>
      <c r="GV36" s="442"/>
      <c r="GW36" s="442"/>
      <c r="GX36" s="442"/>
      <c r="GY36" s="442"/>
      <c r="GZ36" s="442"/>
      <c r="HA36" s="442"/>
      <c r="HB36" s="442"/>
      <c r="HC36" s="442"/>
      <c r="HD36" s="442"/>
      <c r="HE36" s="442"/>
      <c r="HF36" s="442"/>
      <c r="HG36" s="442"/>
      <c r="HH36" s="442"/>
      <c r="HI36" s="442"/>
      <c r="HJ36" s="442"/>
      <c r="HK36" s="442"/>
      <c r="HL36" s="442"/>
      <c r="HM36" s="442"/>
      <c r="HN36" s="1036"/>
      <c r="HO36" s="1037" t="s">
        <v>2770</v>
      </c>
      <c r="HP36" s="1038" t="s">
        <v>4846</v>
      </c>
      <c r="HQ36" s="1038">
        <v>10.0</v>
      </c>
      <c r="HR36" s="1039">
        <v>10.0</v>
      </c>
      <c r="HS36" s="1040">
        <v>10.0</v>
      </c>
      <c r="HT36" s="442"/>
      <c r="HU36" s="1068"/>
      <c r="HV36" s="1076" t="s">
        <v>3360</v>
      </c>
      <c r="HW36" s="1069" t="s">
        <v>4643</v>
      </c>
      <c r="HX36" s="1068">
        <v>10.0</v>
      </c>
      <c r="HY36" s="1069">
        <v>10.0</v>
      </c>
      <c r="HZ36" s="1076">
        <v>10.0</v>
      </c>
      <c r="IA36" s="442"/>
      <c r="IH36" s="442"/>
      <c r="II36" s="40"/>
      <c r="IJ36" s="951" t="s">
        <v>1463</v>
      </c>
      <c r="IK36" s="1217">
        <v>60.0</v>
      </c>
      <c r="IL36" s="949" t="s">
        <v>411</v>
      </c>
      <c r="IM36" s="976"/>
      <c r="IN36" s="954"/>
      <c r="IO36" s="442"/>
      <c r="IP36" s="973" t="s">
        <v>4858</v>
      </c>
      <c r="IQ36" s="974"/>
      <c r="IR36" s="975"/>
      <c r="IS36" s="976"/>
      <c r="IT36" s="976"/>
      <c r="IU36" s="954"/>
      <c r="IV36" s="442"/>
      <c r="IW36" s="1012"/>
      <c r="IX36" s="1031" t="s">
        <v>1336</v>
      </c>
      <c r="IY36" s="1032"/>
      <c r="IZ36" s="1033">
        <v>100.0</v>
      </c>
      <c r="JA36" s="1034">
        <v>100.0</v>
      </c>
      <c r="JB36" s="1035">
        <v>0.0</v>
      </c>
      <c r="JC36" s="442"/>
      <c r="JD36" s="1056"/>
      <c r="JE36" s="1089" t="s">
        <v>2591</v>
      </c>
      <c r="JF36" s="1021" t="s">
        <v>4640</v>
      </c>
      <c r="JG36" s="1090">
        <v>30.0</v>
      </c>
      <c r="JH36" s="138"/>
      <c r="JI36" s="128"/>
      <c r="JJ36" s="442"/>
      <c r="JK36" s="1012"/>
      <c r="JL36" s="1042" t="s">
        <v>2148</v>
      </c>
      <c r="JM36" s="138"/>
      <c r="JN36" s="1013">
        <v>0.0</v>
      </c>
      <c r="JO36" s="1014">
        <v>0.0</v>
      </c>
      <c r="JP36" s="1015">
        <v>15.0</v>
      </c>
      <c r="JQ36" s="442"/>
      <c r="JR36" s="1012"/>
      <c r="JS36" s="1031" t="s">
        <v>1336</v>
      </c>
      <c r="JT36" s="1032"/>
      <c r="JU36" s="1033">
        <v>100.0</v>
      </c>
      <c r="JV36" s="1034">
        <v>100.0</v>
      </c>
      <c r="JW36" s="1035">
        <v>0.0</v>
      </c>
      <c r="JX36" s="442"/>
      <c r="JY36" s="1012"/>
      <c r="JZ36" s="978" t="s">
        <v>1336</v>
      </c>
      <c r="KA36" s="984"/>
      <c r="KB36" s="977">
        <v>40.0</v>
      </c>
      <c r="KC36" s="979">
        <v>40.0</v>
      </c>
      <c r="KD36" s="980">
        <v>0.0</v>
      </c>
      <c r="KE36" s="442"/>
      <c r="KL36" s="442"/>
      <c r="KS36" s="442"/>
      <c r="KT36" s="1012"/>
      <c r="KU36" s="1042" t="s">
        <v>2962</v>
      </c>
      <c r="KV36" s="138"/>
      <c r="KW36" s="1013">
        <v>30.0</v>
      </c>
      <c r="KX36" s="1014">
        <v>30.0</v>
      </c>
      <c r="KY36" s="1015">
        <v>0.0</v>
      </c>
      <c r="KZ36" s="442"/>
      <c r="LA36" s="442"/>
      <c r="LB36" s="442"/>
      <c r="LC36" s="442"/>
      <c r="LD36" s="442"/>
      <c r="LE36" s="442"/>
      <c r="LF36" s="442"/>
      <c r="LG36" s="442"/>
      <c r="LH36" s="1056"/>
      <c r="LI36" s="1022" t="s">
        <v>3148</v>
      </c>
      <c r="LJ36" s="1057"/>
      <c r="LK36" s="1021">
        <v>45.0</v>
      </c>
      <c r="LL36" s="1023">
        <v>45.0</v>
      </c>
      <c r="LM36" s="1024">
        <v>0.0</v>
      </c>
      <c r="LN36" s="442"/>
      <c r="LU36" s="442"/>
      <c r="LV36" s="1155"/>
      <c r="MA36" s="539"/>
      <c r="MB36" s="996"/>
    </row>
    <row r="37" ht="15.75" customHeight="1">
      <c r="A37" s="10"/>
      <c r="B37" s="1218" t="s">
        <v>4859</v>
      </c>
      <c r="C37" s="1219" t="s">
        <v>914</v>
      </c>
      <c r="D37" s="108"/>
      <c r="E37" s="442"/>
      <c r="F37" s="442"/>
      <c r="G37" s="442"/>
      <c r="H37" s="442"/>
      <c r="I37" s="442"/>
      <c r="J37" s="442"/>
      <c r="K37" s="108"/>
      <c r="R37" s="108"/>
      <c r="S37" s="442"/>
      <c r="T37" s="442"/>
      <c r="U37" s="442"/>
      <c r="V37" s="442"/>
      <c r="W37" s="442"/>
      <c r="X37" s="442"/>
      <c r="Y37" s="108"/>
      <c r="Z37" s="108"/>
      <c r="AA37" s="108"/>
      <c r="AB37" s="108"/>
      <c r="AC37" s="108"/>
      <c r="AD37" s="108"/>
      <c r="AE37" s="108"/>
      <c r="AF37" s="108"/>
      <c r="AG37" s="1080"/>
      <c r="AH37" s="1085" t="s">
        <v>3176</v>
      </c>
      <c r="AI37" s="414"/>
      <c r="AJ37" s="1080">
        <v>0.0</v>
      </c>
      <c r="AK37" s="1125">
        <v>0.0</v>
      </c>
      <c r="AL37" s="1126">
        <v>45.0</v>
      </c>
      <c r="AM37" s="108"/>
      <c r="AN37" s="1027"/>
      <c r="AO37" s="1175" t="s">
        <v>2669</v>
      </c>
      <c r="AP37" s="128"/>
      <c r="AQ37" s="1029">
        <v>20.0</v>
      </c>
      <c r="AR37" s="138"/>
      <c r="AS37" s="128"/>
      <c r="AT37" s="108"/>
      <c r="AU37" s="1036"/>
      <c r="AV37" s="1048" t="s">
        <v>2816</v>
      </c>
      <c r="AW37" s="1207">
        <v>45940.0</v>
      </c>
      <c r="AX37" s="1038">
        <v>10.0</v>
      </c>
      <c r="AY37" s="1039">
        <v>10.0</v>
      </c>
      <c r="AZ37" s="1040">
        <v>10.0</v>
      </c>
      <c r="BA37" s="108"/>
      <c r="BB37" s="442"/>
      <c r="BC37" s="442"/>
      <c r="BD37" s="442"/>
      <c r="BE37" s="442"/>
      <c r="BF37" s="442"/>
      <c r="BG37" s="442"/>
      <c r="BH37" s="108"/>
      <c r="BI37" s="442"/>
      <c r="BJ37" s="442"/>
      <c r="BK37" s="442"/>
      <c r="BL37" s="442"/>
      <c r="BM37" s="442"/>
      <c r="BN37" s="442"/>
      <c r="BO37" s="108"/>
      <c r="BP37" s="442"/>
      <c r="BQ37" s="442"/>
      <c r="BR37" s="442"/>
      <c r="BS37" s="442"/>
      <c r="BT37" s="442"/>
      <c r="BU37" s="442"/>
      <c r="BV37" s="108"/>
      <c r="BW37" s="442"/>
      <c r="BX37" s="442"/>
      <c r="BY37" s="442"/>
      <c r="BZ37" s="442"/>
      <c r="CA37" s="442"/>
      <c r="CB37" s="442"/>
      <c r="CC37" s="108"/>
      <c r="CD37" s="442"/>
      <c r="CE37" s="442"/>
      <c r="CF37" s="442"/>
      <c r="CG37" s="442"/>
      <c r="CH37" s="442"/>
      <c r="CI37" s="442"/>
      <c r="CJ37" s="108"/>
      <c r="CK37" s="442"/>
      <c r="CL37" s="442"/>
      <c r="CM37" s="442"/>
      <c r="CN37" s="442"/>
      <c r="CO37" s="442"/>
      <c r="CP37" s="442"/>
      <c r="CQ37" s="108"/>
      <c r="CR37" s="1036"/>
      <c r="CS37" s="1048" t="s">
        <v>3970</v>
      </c>
      <c r="CT37" s="1038" t="s">
        <v>4526</v>
      </c>
      <c r="CU37" s="1038">
        <v>20.0</v>
      </c>
      <c r="CV37" s="1039">
        <v>20.0</v>
      </c>
      <c r="CW37" s="1040">
        <v>20.0</v>
      </c>
      <c r="CX37" s="108"/>
      <c r="CY37" s="1012"/>
      <c r="CZ37" s="1127" t="s">
        <v>2075</v>
      </c>
      <c r="DA37" s="1083" t="s">
        <v>4860</v>
      </c>
      <c r="DB37" s="1082">
        <v>10.0</v>
      </c>
      <c r="DC37" s="1083">
        <v>10.0</v>
      </c>
      <c r="DD37" s="1084">
        <v>10.0</v>
      </c>
      <c r="DE37" s="108"/>
      <c r="DF37" s="442"/>
      <c r="DG37" s="442"/>
      <c r="DH37" s="442"/>
      <c r="DI37" s="442"/>
      <c r="DJ37" s="442"/>
      <c r="DK37" s="442"/>
      <c r="DL37" s="108"/>
      <c r="DM37" s="1056"/>
      <c r="DN37" s="1079" t="s">
        <v>653</v>
      </c>
      <c r="DO37" s="1080" t="s">
        <v>4616</v>
      </c>
      <c r="DP37" s="1081">
        <v>10.0</v>
      </c>
      <c r="DQ37" s="413"/>
      <c r="DR37" s="414"/>
      <c r="DS37" s="108"/>
      <c r="DT37" s="1027"/>
      <c r="DU37" s="1028" t="s">
        <v>2651</v>
      </c>
      <c r="DV37" s="128"/>
      <c r="DW37" s="1029">
        <v>20.0</v>
      </c>
      <c r="DX37" s="138"/>
      <c r="DY37" s="128"/>
      <c r="DZ37" s="108"/>
      <c r="EA37" s="1080"/>
      <c r="EB37" s="1085" t="s">
        <v>1242</v>
      </c>
      <c r="EC37" s="414"/>
      <c r="ED37" s="1080">
        <v>0.0</v>
      </c>
      <c r="EE37" s="1125">
        <v>0.0</v>
      </c>
      <c r="EF37" s="1126">
        <v>45.0</v>
      </c>
      <c r="EG37" s="108"/>
      <c r="EH37" s="1100"/>
      <c r="EI37" s="1180" t="s">
        <v>3291</v>
      </c>
      <c r="EJ37" s="1166" t="s">
        <v>4685</v>
      </c>
      <c r="EK37" s="1166">
        <v>5.0</v>
      </c>
      <c r="EL37" s="1167">
        <v>5.0</v>
      </c>
      <c r="EM37" s="1168">
        <v>5.0</v>
      </c>
      <c r="EN37" s="108"/>
      <c r="EO37" s="442"/>
      <c r="EP37" s="442"/>
      <c r="EQ37" s="442"/>
      <c r="ER37" s="442"/>
      <c r="ES37" s="442"/>
      <c r="ET37" s="442"/>
      <c r="EU37" s="108"/>
      <c r="EV37" s="442"/>
      <c r="EW37" s="442"/>
      <c r="EX37" s="442"/>
      <c r="EY37" s="442"/>
      <c r="EZ37" s="442"/>
      <c r="FA37" s="442"/>
      <c r="FB37" s="108"/>
      <c r="FC37" s="442"/>
      <c r="FD37" s="442"/>
      <c r="FE37" s="442"/>
      <c r="FF37" s="442"/>
      <c r="FG37" s="442"/>
      <c r="FH37" s="442"/>
      <c r="FI37" s="108"/>
      <c r="FJ37" s="442"/>
      <c r="FK37" s="442"/>
      <c r="FL37" s="442"/>
      <c r="FM37" s="442"/>
      <c r="FN37" s="442"/>
      <c r="FO37" s="442"/>
      <c r="FP37" s="108"/>
      <c r="FQ37" s="1068"/>
      <c r="FR37" s="1145" t="s">
        <v>4077</v>
      </c>
      <c r="FS37" s="1138" t="s">
        <v>4639</v>
      </c>
      <c r="FT37" s="1137">
        <v>10.0</v>
      </c>
      <c r="FU37" s="1138">
        <v>10.0</v>
      </c>
      <c r="FV37" s="1139">
        <v>10.0</v>
      </c>
      <c r="FW37" s="108"/>
      <c r="FX37" s="1027"/>
      <c r="FY37" s="1028" t="s">
        <v>2651</v>
      </c>
      <c r="FZ37" s="1057"/>
      <c r="GA37" s="1029">
        <v>20.0</v>
      </c>
      <c r="GB37" s="138"/>
      <c r="GC37" s="128"/>
      <c r="GD37" s="108"/>
      <c r="GE37" s="1056"/>
      <c r="GF37" s="1022" t="s">
        <v>3424</v>
      </c>
      <c r="GG37" s="1057"/>
      <c r="GH37" s="1021">
        <v>30.0</v>
      </c>
      <c r="GI37" s="1023">
        <v>30.0</v>
      </c>
      <c r="GJ37" s="1024">
        <v>30.0</v>
      </c>
      <c r="GK37" s="108"/>
      <c r="GR37" s="108"/>
      <c r="GS37" s="442"/>
      <c r="GT37" s="442"/>
      <c r="GU37" s="442"/>
      <c r="GV37" s="442"/>
      <c r="GW37" s="442"/>
      <c r="GX37" s="442"/>
      <c r="GY37" s="442"/>
      <c r="GZ37" s="442"/>
      <c r="HA37" s="442"/>
      <c r="HB37" s="442"/>
      <c r="HC37" s="442"/>
      <c r="HD37" s="442"/>
      <c r="HE37" s="442"/>
      <c r="HF37" s="442"/>
      <c r="HG37" s="442"/>
      <c r="HH37" s="442"/>
      <c r="HI37" s="442"/>
      <c r="HJ37" s="442"/>
      <c r="HK37" s="442"/>
      <c r="HL37" s="442"/>
      <c r="HM37" s="442"/>
      <c r="HN37" s="1012"/>
      <c r="HO37" s="1042" t="s">
        <v>1173</v>
      </c>
      <c r="HP37" s="1013" t="s">
        <v>4861</v>
      </c>
      <c r="HQ37" s="1013">
        <v>5.0</v>
      </c>
      <c r="HR37" s="1014">
        <v>5.0</v>
      </c>
      <c r="HS37" s="1015">
        <v>5.0</v>
      </c>
      <c r="HT37" s="442"/>
      <c r="HU37" s="1012"/>
      <c r="HV37" s="1127" t="s">
        <v>2156</v>
      </c>
      <c r="HW37" s="1128" t="s">
        <v>4643</v>
      </c>
      <c r="HX37" s="1220">
        <v>10.0</v>
      </c>
      <c r="HY37" s="1128">
        <v>10.0</v>
      </c>
      <c r="HZ37" s="1221">
        <v>10.0</v>
      </c>
      <c r="IA37" s="442"/>
      <c r="IH37" s="442"/>
      <c r="II37" s="956" t="s">
        <v>4862</v>
      </c>
      <c r="IJ37" s="957"/>
      <c r="IK37" s="958"/>
      <c r="IL37" s="959"/>
      <c r="IM37" s="959"/>
      <c r="IN37" s="960"/>
      <c r="IO37" s="442"/>
      <c r="IP37" s="997"/>
      <c r="IQ37" s="1192"/>
      <c r="IR37" s="1025"/>
      <c r="IS37" s="1026"/>
      <c r="IT37" s="1026"/>
      <c r="IU37" s="998"/>
      <c r="IV37" s="442"/>
      <c r="IW37" s="1105"/>
      <c r="IX37" s="1085" t="s">
        <v>1343</v>
      </c>
      <c r="IY37" s="1124"/>
      <c r="IZ37" s="1080">
        <v>0.0</v>
      </c>
      <c r="JA37" s="1125">
        <v>0.0</v>
      </c>
      <c r="JB37" s="1126">
        <v>100.0</v>
      </c>
      <c r="JC37" s="442"/>
      <c r="JD37" s="1012"/>
      <c r="JE37" s="1042" t="s">
        <v>812</v>
      </c>
      <c r="JF37" s="1013" t="s">
        <v>4697</v>
      </c>
      <c r="JG37" s="1013">
        <v>5.0</v>
      </c>
      <c r="JH37" s="138"/>
      <c r="JI37" s="128"/>
      <c r="JJ37" s="442"/>
      <c r="JK37" s="1105"/>
      <c r="JL37" s="1085" t="s">
        <v>2970</v>
      </c>
      <c r="JM37" s="1124"/>
      <c r="JN37" s="1080">
        <v>0.0</v>
      </c>
      <c r="JO37" s="1125">
        <v>0.0</v>
      </c>
      <c r="JP37" s="1126">
        <v>15.0</v>
      </c>
      <c r="JQ37" s="442"/>
      <c r="JR37" s="1105"/>
      <c r="JS37" s="1085" t="s">
        <v>1343</v>
      </c>
      <c r="JT37" s="1124"/>
      <c r="JU37" s="1080">
        <v>0.0</v>
      </c>
      <c r="JV37" s="1125">
        <v>0.0</v>
      </c>
      <c r="JW37" s="1126">
        <v>100.0</v>
      </c>
      <c r="JX37" s="442"/>
      <c r="JY37" s="1056"/>
      <c r="JZ37" s="1022" t="s">
        <v>3433</v>
      </c>
      <c r="KA37" s="1057"/>
      <c r="KB37" s="1021">
        <v>30.0</v>
      </c>
      <c r="KC37" s="1023">
        <v>30.0</v>
      </c>
      <c r="KD37" s="1024">
        <v>30.0</v>
      </c>
      <c r="KE37" s="442"/>
      <c r="KL37" s="442"/>
      <c r="KS37" s="442"/>
      <c r="KT37" s="1056"/>
      <c r="KU37" s="1022" t="s">
        <v>1343</v>
      </c>
      <c r="KV37" s="1057"/>
      <c r="KW37" s="1021">
        <v>0.0</v>
      </c>
      <c r="KX37" s="1023">
        <v>0.0</v>
      </c>
      <c r="KY37" s="1024">
        <v>40.0</v>
      </c>
      <c r="KZ37" s="442"/>
      <c r="LA37" s="442"/>
      <c r="LB37" s="442"/>
      <c r="LC37" s="442"/>
      <c r="LD37" s="442"/>
      <c r="LE37" s="442"/>
      <c r="LF37" s="442"/>
      <c r="LG37" s="442"/>
      <c r="LH37" s="1012"/>
      <c r="LI37" s="1042" t="s">
        <v>1343</v>
      </c>
      <c r="LJ37" s="138"/>
      <c r="LK37" s="1013">
        <v>0.0</v>
      </c>
      <c r="LL37" s="1014">
        <v>0.0</v>
      </c>
      <c r="LM37" s="1015">
        <v>55.0</v>
      </c>
      <c r="LN37" s="442"/>
      <c r="LU37" s="442"/>
      <c r="LV37" s="1016"/>
      <c r="LW37" s="1019"/>
      <c r="LX37" s="1019"/>
      <c r="LY37" s="1019"/>
      <c r="LZ37" s="1019"/>
      <c r="MA37" s="1017"/>
      <c r="MB37" s="996"/>
    </row>
    <row r="38" ht="15.75" customHeight="1">
      <c r="A38" s="10"/>
      <c r="B38" s="1222" t="s">
        <v>4863</v>
      </c>
      <c r="C38" s="1223" t="s">
        <v>2249</v>
      </c>
      <c r="D38" s="108"/>
      <c r="E38" s="442"/>
      <c r="F38" s="442"/>
      <c r="G38" s="442"/>
      <c r="H38" s="442"/>
      <c r="I38" s="442"/>
      <c r="J38" s="442"/>
      <c r="K38" s="108"/>
      <c r="R38" s="108"/>
      <c r="S38" s="442"/>
      <c r="T38" s="442"/>
      <c r="U38" s="442"/>
      <c r="V38" s="442"/>
      <c r="W38" s="442"/>
      <c r="X38" s="442"/>
      <c r="Y38" s="108"/>
      <c r="Z38" s="108"/>
      <c r="AA38" s="108"/>
      <c r="AB38" s="108"/>
      <c r="AC38" s="108"/>
      <c r="AD38" s="108"/>
      <c r="AE38" s="108"/>
      <c r="AF38" s="108"/>
      <c r="AG38" s="108"/>
      <c r="AH38" s="442"/>
      <c r="AI38" s="442"/>
      <c r="AJ38" s="442"/>
      <c r="AK38" s="442"/>
      <c r="AL38" s="442"/>
      <c r="AM38" s="108"/>
      <c r="AN38" s="1096"/>
      <c r="AO38" s="1149" t="s">
        <v>159</v>
      </c>
      <c r="AP38" s="128"/>
      <c r="AQ38" s="1013">
        <v>20.0</v>
      </c>
      <c r="AR38" s="138"/>
      <c r="AS38" s="128"/>
      <c r="AT38" s="108"/>
      <c r="AU38" s="1012"/>
      <c r="AV38" s="89" t="s">
        <v>1022</v>
      </c>
      <c r="AW38" s="1099">
        <v>45972.0</v>
      </c>
      <c r="AX38" s="1013">
        <v>10.0</v>
      </c>
      <c r="AY38" s="1014">
        <v>10.0</v>
      </c>
      <c r="AZ38" s="1015">
        <v>10.0</v>
      </c>
      <c r="BA38" s="108"/>
      <c r="BB38" s="442"/>
      <c r="BC38" s="442"/>
      <c r="BD38" s="442"/>
      <c r="BE38" s="442"/>
      <c r="BF38" s="442"/>
      <c r="BG38" s="442"/>
      <c r="BH38" s="108"/>
      <c r="BI38" s="442"/>
      <c r="BJ38" s="442"/>
      <c r="BK38" s="442"/>
      <c r="BL38" s="442"/>
      <c r="BM38" s="442"/>
      <c r="BN38" s="442"/>
      <c r="BO38" s="108"/>
      <c r="BP38" s="442"/>
      <c r="BQ38" s="442"/>
      <c r="BR38" s="442"/>
      <c r="BS38" s="442"/>
      <c r="BT38" s="442"/>
      <c r="BU38" s="442"/>
      <c r="BV38" s="108"/>
      <c r="BW38" s="442"/>
      <c r="BX38" s="442"/>
      <c r="BY38" s="442"/>
      <c r="BZ38" s="442"/>
      <c r="CA38" s="442"/>
      <c r="CB38" s="442"/>
      <c r="CC38" s="108"/>
      <c r="CD38" s="442"/>
      <c r="CE38" s="442"/>
      <c r="CF38" s="442"/>
      <c r="CG38" s="442"/>
      <c r="CH38" s="442"/>
      <c r="CI38" s="442"/>
      <c r="CJ38" s="108"/>
      <c r="CK38" s="442"/>
      <c r="CL38" s="442"/>
      <c r="CM38" s="442"/>
      <c r="CN38" s="442"/>
      <c r="CO38" s="442"/>
      <c r="CP38" s="442"/>
      <c r="CQ38" s="108"/>
      <c r="CR38" s="1012"/>
      <c r="CS38" s="89" t="s">
        <v>458</v>
      </c>
      <c r="CT38" s="1013" t="s">
        <v>4526</v>
      </c>
      <c r="CU38" s="1013">
        <v>10.0</v>
      </c>
      <c r="CV38" s="1014">
        <v>10.0</v>
      </c>
      <c r="CW38" s="1015">
        <v>10.0</v>
      </c>
      <c r="CX38" s="108"/>
      <c r="CY38" s="985" t="s">
        <v>2416</v>
      </c>
      <c r="CZ38" s="12"/>
      <c r="DA38" s="12"/>
      <c r="DB38" s="12"/>
      <c r="DC38" s="12"/>
      <c r="DD38" s="48"/>
      <c r="DE38" s="108"/>
      <c r="DF38" s="442"/>
      <c r="DG38" s="442"/>
      <c r="DH38" s="442"/>
      <c r="DI38" s="442"/>
      <c r="DJ38" s="442"/>
      <c r="DK38" s="442"/>
      <c r="DL38" s="108"/>
      <c r="DM38" s="985" t="s">
        <v>4535</v>
      </c>
      <c r="DN38" s="12"/>
      <c r="DO38" s="12"/>
      <c r="DP38" s="986" t="s">
        <v>2249</v>
      </c>
      <c r="DQ38" s="986" t="s">
        <v>2440</v>
      </c>
      <c r="DR38" s="987" t="s">
        <v>2408</v>
      </c>
      <c r="DS38" s="108"/>
      <c r="DT38" s="1012"/>
      <c r="DU38" s="1042" t="s">
        <v>1082</v>
      </c>
      <c r="DV38" s="128"/>
      <c r="DW38" s="1013">
        <v>20.0</v>
      </c>
      <c r="DX38" s="138"/>
      <c r="DY38" s="128"/>
      <c r="DZ38" s="108"/>
      <c r="EA38" s="985" t="s">
        <v>4864</v>
      </c>
      <c r="EB38" s="12"/>
      <c r="EC38" s="12"/>
      <c r="ED38" s="12"/>
      <c r="EE38" s="12"/>
      <c r="EF38" s="48"/>
      <c r="EG38" s="108"/>
      <c r="EH38" s="985" t="s">
        <v>4704</v>
      </c>
      <c r="EI38" s="12"/>
      <c r="EJ38" s="12"/>
      <c r="EK38" s="12"/>
      <c r="EL38" s="12"/>
      <c r="EM38" s="48"/>
      <c r="EN38" s="108"/>
      <c r="EO38" s="442"/>
      <c r="EP38" s="442"/>
      <c r="EQ38" s="442"/>
      <c r="ER38" s="442"/>
      <c r="ES38" s="442"/>
      <c r="ET38" s="442"/>
      <c r="EU38" s="108"/>
      <c r="EV38" s="442"/>
      <c r="EW38" s="442"/>
      <c r="EX38" s="442"/>
      <c r="EY38" s="442"/>
      <c r="EZ38" s="442"/>
      <c r="FA38" s="442"/>
      <c r="FB38" s="108"/>
      <c r="FC38" s="442"/>
      <c r="FD38" s="442"/>
      <c r="FE38" s="442"/>
      <c r="FF38" s="442"/>
      <c r="FG38" s="442"/>
      <c r="FH38" s="442"/>
      <c r="FI38" s="108"/>
      <c r="FJ38" s="442"/>
      <c r="FK38" s="442"/>
      <c r="FL38" s="442"/>
      <c r="FM38" s="442"/>
      <c r="FN38" s="442"/>
      <c r="FO38" s="442"/>
      <c r="FP38" s="108"/>
      <c r="FQ38" s="985" t="s">
        <v>4569</v>
      </c>
      <c r="FR38" s="12"/>
      <c r="FS38" s="12"/>
      <c r="FT38" s="12"/>
      <c r="FU38" s="12"/>
      <c r="FV38" s="48"/>
      <c r="FW38" s="108"/>
      <c r="FX38" s="1012"/>
      <c r="FY38" s="1042" t="s">
        <v>1082</v>
      </c>
      <c r="FZ38" s="138"/>
      <c r="GA38" s="1013">
        <v>20.0</v>
      </c>
      <c r="GB38" s="138"/>
      <c r="GC38" s="128"/>
      <c r="GD38" s="108"/>
      <c r="GE38" s="1049"/>
      <c r="GF38" s="1050" t="s">
        <v>1343</v>
      </c>
      <c r="GG38" s="413"/>
      <c r="GH38" s="1051">
        <v>0.0</v>
      </c>
      <c r="GI38" s="1130">
        <v>0.0</v>
      </c>
      <c r="GJ38" s="1131">
        <v>70.0</v>
      </c>
      <c r="GK38" s="108"/>
      <c r="GR38" s="108"/>
      <c r="GS38" s="442"/>
      <c r="GT38" s="442"/>
      <c r="GU38" s="442"/>
      <c r="GV38" s="442"/>
      <c r="GW38" s="442"/>
      <c r="GX38" s="442"/>
      <c r="GY38" s="442"/>
      <c r="GZ38" s="442"/>
      <c r="HA38" s="442"/>
      <c r="HB38" s="442"/>
      <c r="HC38" s="442"/>
      <c r="HD38" s="442"/>
      <c r="HE38" s="442"/>
      <c r="HF38" s="442"/>
      <c r="HG38" s="442"/>
      <c r="HH38" s="442"/>
      <c r="HI38" s="442"/>
      <c r="HJ38" s="442"/>
      <c r="HK38" s="442"/>
      <c r="HL38" s="442"/>
      <c r="HM38" s="442"/>
      <c r="HN38" s="1132"/>
      <c r="HO38" s="1133" t="s">
        <v>2012</v>
      </c>
      <c r="HP38" s="1112" t="s">
        <v>4861</v>
      </c>
      <c r="HQ38" s="1112">
        <v>5.0</v>
      </c>
      <c r="HR38" s="1113">
        <v>5.0</v>
      </c>
      <c r="HS38" s="1114">
        <v>5.0</v>
      </c>
      <c r="HT38" s="442"/>
      <c r="HU38" s="1011" t="s">
        <v>2416</v>
      </c>
      <c r="HV38" s="12"/>
      <c r="HW38" s="12"/>
      <c r="HX38" s="12"/>
      <c r="HY38" s="12"/>
      <c r="HZ38" s="48"/>
      <c r="IA38" s="442"/>
      <c r="IH38" s="442"/>
      <c r="II38" s="985" t="s">
        <v>4865</v>
      </c>
      <c r="IJ38" s="12"/>
      <c r="IK38" s="12"/>
      <c r="IL38" s="1008" t="s">
        <v>4559</v>
      </c>
      <c r="IM38" s="1008" t="s">
        <v>4560</v>
      </c>
      <c r="IN38" s="1009" t="s">
        <v>914</v>
      </c>
      <c r="IO38" s="442"/>
      <c r="IP38" s="985" t="s">
        <v>4866</v>
      </c>
      <c r="IQ38" s="12"/>
      <c r="IR38" s="12"/>
      <c r="IS38" s="12"/>
      <c r="IT38" s="12"/>
      <c r="IU38" s="48"/>
      <c r="IV38" s="442"/>
      <c r="IW38" s="985" t="s">
        <v>4706</v>
      </c>
      <c r="IX38" s="12"/>
      <c r="IY38" s="12"/>
      <c r="IZ38" s="12"/>
      <c r="JA38" s="12"/>
      <c r="JB38" s="48"/>
      <c r="JC38" s="442"/>
      <c r="JD38" s="1105"/>
      <c r="JE38" s="1173" t="s">
        <v>2598</v>
      </c>
      <c r="JF38" s="1080" t="s">
        <v>4697</v>
      </c>
      <c r="JG38" s="1081">
        <v>5.0</v>
      </c>
      <c r="JH38" s="413"/>
      <c r="JI38" s="414"/>
      <c r="JJ38" s="442"/>
      <c r="JQ38" s="442"/>
      <c r="JR38" s="956" t="s">
        <v>4867</v>
      </c>
      <c r="JS38" s="957"/>
      <c r="JT38" s="958"/>
      <c r="JU38" s="959"/>
      <c r="JV38" s="959"/>
      <c r="JW38" s="960"/>
      <c r="JX38" s="442"/>
      <c r="JY38" s="1012"/>
      <c r="JZ38" s="1042" t="s">
        <v>2133</v>
      </c>
      <c r="KA38" s="138"/>
      <c r="KB38" s="1013">
        <v>30.0</v>
      </c>
      <c r="KC38" s="1014">
        <v>30.0</v>
      </c>
      <c r="KD38" s="1015">
        <v>30.0</v>
      </c>
      <c r="KE38" s="442"/>
      <c r="KF38" s="442"/>
      <c r="KG38" s="442"/>
      <c r="KH38" s="442"/>
      <c r="KI38" s="442"/>
      <c r="KJ38" s="442"/>
      <c r="KK38" s="442"/>
      <c r="KL38" s="442"/>
      <c r="KS38" s="442"/>
      <c r="KT38" s="1049"/>
      <c r="KU38" s="1050" t="s">
        <v>2970</v>
      </c>
      <c r="KV38" s="413"/>
      <c r="KW38" s="1051">
        <v>0.0</v>
      </c>
      <c r="KX38" s="1130">
        <v>0.0</v>
      </c>
      <c r="KY38" s="1131">
        <v>30.0</v>
      </c>
      <c r="KZ38" s="442"/>
      <c r="LA38" s="442"/>
      <c r="LB38" s="442"/>
      <c r="LC38" s="442"/>
      <c r="LD38" s="442"/>
      <c r="LE38" s="442"/>
      <c r="LF38" s="442"/>
      <c r="LG38" s="442"/>
      <c r="LH38" s="1105"/>
      <c r="LI38" s="1085" t="s">
        <v>3158</v>
      </c>
      <c r="LJ38" s="1124"/>
      <c r="LK38" s="1080">
        <v>0.0</v>
      </c>
      <c r="LL38" s="1125">
        <v>0.0</v>
      </c>
      <c r="LM38" s="1126">
        <v>45.0</v>
      </c>
      <c r="LN38" s="442"/>
      <c r="LU38" s="442"/>
      <c r="LV38" s="442"/>
      <c r="MB38" s="996"/>
    </row>
    <row r="39" ht="15.75" customHeight="1">
      <c r="A39" s="10"/>
      <c r="B39" s="1224" t="s">
        <v>4868</v>
      </c>
      <c r="C39" s="1223" t="s">
        <v>2440</v>
      </c>
      <c r="D39" s="108"/>
      <c r="E39" s="442"/>
      <c r="F39" s="442"/>
      <c r="G39" s="442"/>
      <c r="H39" s="442"/>
      <c r="I39" s="442"/>
      <c r="J39" s="442"/>
      <c r="K39" s="108"/>
      <c r="R39" s="108"/>
      <c r="S39" s="442"/>
      <c r="T39" s="442"/>
      <c r="U39" s="442"/>
      <c r="V39" s="442"/>
      <c r="W39" s="442"/>
      <c r="X39" s="442"/>
      <c r="Y39" s="108"/>
      <c r="Z39" s="108"/>
      <c r="AA39" s="108"/>
      <c r="AB39" s="108"/>
      <c r="AC39" s="108"/>
      <c r="AD39" s="108"/>
      <c r="AE39" s="108"/>
      <c r="AF39" s="108"/>
      <c r="AG39" s="108"/>
      <c r="AH39" s="442"/>
      <c r="AI39" s="442"/>
      <c r="AJ39" s="442"/>
      <c r="AK39" s="442"/>
      <c r="AL39" s="442"/>
      <c r="AM39" s="108"/>
      <c r="AN39" s="1027"/>
      <c r="AO39" s="1175" t="s">
        <v>200</v>
      </c>
      <c r="AP39" s="128"/>
      <c r="AQ39" s="1225">
        <v>20.0</v>
      </c>
      <c r="AR39" s="138"/>
      <c r="AS39" s="128"/>
      <c r="AT39" s="108"/>
      <c r="AU39" s="1132"/>
      <c r="AV39" s="1208" t="s">
        <v>3037</v>
      </c>
      <c r="AW39" s="1209">
        <v>45972.0</v>
      </c>
      <c r="AX39" s="1112">
        <v>10.0</v>
      </c>
      <c r="AY39" s="1113">
        <v>10.0</v>
      </c>
      <c r="AZ39" s="1114">
        <v>10.0</v>
      </c>
      <c r="BA39" s="108"/>
      <c r="BB39" s="442"/>
      <c r="BC39" s="442"/>
      <c r="BD39" s="442"/>
      <c r="BE39" s="442"/>
      <c r="BF39" s="442"/>
      <c r="BG39" s="442"/>
      <c r="BH39" s="108"/>
      <c r="BI39" s="442"/>
      <c r="BJ39" s="442"/>
      <c r="BK39" s="442"/>
      <c r="BL39" s="442"/>
      <c r="BM39" s="442"/>
      <c r="BN39" s="442"/>
      <c r="BO39" s="108"/>
      <c r="BP39" s="442"/>
      <c r="BQ39" s="442"/>
      <c r="BR39" s="442"/>
      <c r="BS39" s="442"/>
      <c r="BT39" s="442"/>
      <c r="BU39" s="442"/>
      <c r="BV39" s="108"/>
      <c r="BW39" s="442"/>
      <c r="BX39" s="442"/>
      <c r="BY39" s="442"/>
      <c r="BZ39" s="442"/>
      <c r="CA39" s="442"/>
      <c r="CB39" s="442"/>
      <c r="CC39" s="108"/>
      <c r="CD39" s="442"/>
      <c r="CE39" s="442"/>
      <c r="CF39" s="442"/>
      <c r="CG39" s="442"/>
      <c r="CH39" s="442"/>
      <c r="CI39" s="442"/>
      <c r="CJ39" s="108"/>
      <c r="CK39" s="442"/>
      <c r="CL39" s="442"/>
      <c r="CM39" s="442"/>
      <c r="CN39" s="442"/>
      <c r="CO39" s="442"/>
      <c r="CP39" s="442"/>
      <c r="CQ39" s="108"/>
      <c r="CR39" s="1036"/>
      <c r="CS39" s="1048" t="s">
        <v>2770</v>
      </c>
      <c r="CT39" s="1038" t="s">
        <v>4526</v>
      </c>
      <c r="CU39" s="1038">
        <v>10.0</v>
      </c>
      <c r="CV39" s="1039">
        <v>10.0</v>
      </c>
      <c r="CW39" s="1040">
        <v>10.0</v>
      </c>
      <c r="CX39" s="108"/>
      <c r="CY39" s="1144"/>
      <c r="CZ39" s="1052" t="s">
        <v>2156</v>
      </c>
      <c r="DA39" s="1054" t="s">
        <v>4869</v>
      </c>
      <c r="DB39" s="1053">
        <v>22.0</v>
      </c>
      <c r="DC39" s="1026"/>
      <c r="DD39" s="998"/>
      <c r="DE39" s="108"/>
      <c r="DF39" s="442"/>
      <c r="DG39" s="442"/>
      <c r="DH39" s="442"/>
      <c r="DI39" s="442"/>
      <c r="DJ39" s="442"/>
      <c r="DK39" s="442"/>
      <c r="DL39" s="108"/>
      <c r="DM39" s="1012"/>
      <c r="DN39" s="978" t="s">
        <v>1336</v>
      </c>
      <c r="DO39" s="319"/>
      <c r="DP39" s="1033">
        <v>40.0</v>
      </c>
      <c r="DQ39" s="1034">
        <v>40.0</v>
      </c>
      <c r="DR39" s="1035">
        <v>0.0</v>
      </c>
      <c r="DS39" s="108"/>
      <c r="DT39" s="1027"/>
      <c r="DU39" s="1028" t="s">
        <v>2559</v>
      </c>
      <c r="DV39" s="128"/>
      <c r="DW39" s="1029">
        <v>20.0</v>
      </c>
      <c r="DX39" s="138"/>
      <c r="DY39" s="128"/>
      <c r="DZ39" s="108"/>
      <c r="EA39" s="1012"/>
      <c r="EB39" s="978" t="s">
        <v>3664</v>
      </c>
      <c r="EC39" s="319"/>
      <c r="ED39" s="1033">
        <v>30.0</v>
      </c>
      <c r="EE39" s="1032"/>
      <c r="EF39" s="30"/>
      <c r="EG39" s="108"/>
      <c r="EH39" s="1061" t="s">
        <v>4610</v>
      </c>
      <c r="EI39" s="959"/>
      <c r="EJ39" s="957"/>
      <c r="EK39" s="1062" t="s">
        <v>4608</v>
      </c>
      <c r="EL39" s="959"/>
      <c r="EM39" s="960"/>
      <c r="EN39" s="108"/>
      <c r="EO39" s="442"/>
      <c r="EP39" s="442"/>
      <c r="EQ39" s="442"/>
      <c r="ER39" s="442"/>
      <c r="ES39" s="442"/>
      <c r="ET39" s="442"/>
      <c r="EU39" s="108"/>
      <c r="EV39" s="442"/>
      <c r="EW39" s="442"/>
      <c r="EX39" s="442"/>
      <c r="EY39" s="442"/>
      <c r="EZ39" s="442"/>
      <c r="FA39" s="442"/>
      <c r="FB39" s="108"/>
      <c r="FC39" s="442"/>
      <c r="FD39" s="442"/>
      <c r="FE39" s="442"/>
      <c r="FF39" s="442"/>
      <c r="FG39" s="442"/>
      <c r="FH39" s="442"/>
      <c r="FI39" s="108"/>
      <c r="FJ39" s="442"/>
      <c r="FK39" s="442"/>
      <c r="FL39" s="442"/>
      <c r="FM39" s="442"/>
      <c r="FN39" s="442"/>
      <c r="FO39" s="442"/>
      <c r="FP39" s="108"/>
      <c r="FQ39" s="1012"/>
      <c r="FR39" s="1031" t="s">
        <v>1889</v>
      </c>
      <c r="FS39" s="1033" t="s">
        <v>4592</v>
      </c>
      <c r="FT39" s="1033">
        <v>90.0</v>
      </c>
      <c r="FU39" s="1032"/>
      <c r="FV39" s="30"/>
      <c r="FW39" s="108"/>
      <c r="FX39" s="1027"/>
      <c r="FY39" s="1028" t="s">
        <v>2559</v>
      </c>
      <c r="FZ39" s="1057"/>
      <c r="GA39" s="1029">
        <v>20.0</v>
      </c>
      <c r="GB39" s="138"/>
      <c r="GC39" s="128"/>
      <c r="GD39" s="108"/>
      <c r="GK39" s="108"/>
      <c r="GL39" s="442"/>
      <c r="GM39" s="442"/>
      <c r="GN39" s="442"/>
      <c r="GO39" s="442"/>
      <c r="GP39" s="442"/>
      <c r="GQ39" s="442"/>
      <c r="GR39" s="108"/>
      <c r="GS39" s="442"/>
      <c r="GT39" s="442"/>
      <c r="GU39" s="442"/>
      <c r="GV39" s="442"/>
      <c r="GW39" s="442"/>
      <c r="GX39" s="442"/>
      <c r="GY39" s="442"/>
      <c r="GZ39" s="442"/>
      <c r="HA39" s="442"/>
      <c r="HB39" s="442"/>
      <c r="HC39" s="442"/>
      <c r="HD39" s="442"/>
      <c r="HE39" s="442"/>
      <c r="HF39" s="442"/>
      <c r="HG39" s="442"/>
      <c r="HH39" s="442"/>
      <c r="HI39" s="442"/>
      <c r="HJ39" s="442"/>
      <c r="HK39" s="442"/>
      <c r="HL39" s="442"/>
      <c r="HM39" s="442"/>
      <c r="HN39" s="442"/>
      <c r="HO39" s="442"/>
      <c r="HP39" s="442"/>
      <c r="HQ39" s="442"/>
      <c r="HR39" s="442"/>
      <c r="HS39" s="442"/>
      <c r="HT39" s="442"/>
      <c r="HU39" s="40"/>
      <c r="HV39" s="1052" t="s">
        <v>4257</v>
      </c>
      <c r="HW39" s="1054" t="s">
        <v>4628</v>
      </c>
      <c r="HX39" s="1053">
        <v>22.0</v>
      </c>
      <c r="HY39" s="1026"/>
      <c r="HZ39" s="998"/>
      <c r="IA39" s="442"/>
      <c r="IB39" s="442"/>
      <c r="IC39" s="442"/>
      <c r="ID39" s="442"/>
      <c r="IE39" s="442"/>
      <c r="IF39" s="442"/>
      <c r="IG39" s="442"/>
      <c r="IH39" s="442"/>
      <c r="II39" s="1012"/>
      <c r="IJ39" s="1031" t="s">
        <v>831</v>
      </c>
      <c r="IK39" s="1033" t="s">
        <v>4606</v>
      </c>
      <c r="IL39" s="1033">
        <v>20.0</v>
      </c>
      <c r="IM39" s="1034">
        <v>20.0</v>
      </c>
      <c r="IN39" s="1035">
        <v>20.0</v>
      </c>
      <c r="IO39" s="442"/>
      <c r="IP39" s="1061" t="s">
        <v>4610</v>
      </c>
      <c r="IQ39" s="959"/>
      <c r="IR39" s="957"/>
      <c r="IS39" s="1062" t="s">
        <v>4608</v>
      </c>
      <c r="IT39" s="959"/>
      <c r="IU39" s="960"/>
      <c r="IV39" s="442"/>
      <c r="IW39" s="1061" t="s">
        <v>4610</v>
      </c>
      <c r="IX39" s="959"/>
      <c r="IY39" s="957"/>
      <c r="IZ39" s="1062" t="s">
        <v>4608</v>
      </c>
      <c r="JA39" s="959"/>
      <c r="JB39" s="960"/>
      <c r="JC39" s="442"/>
      <c r="JD39" s="985" t="s">
        <v>4535</v>
      </c>
      <c r="JE39" s="12"/>
      <c r="JF39" s="12"/>
      <c r="JG39" s="986" t="s">
        <v>2249</v>
      </c>
      <c r="JH39" s="986" t="s">
        <v>2440</v>
      </c>
      <c r="JI39" s="987" t="s">
        <v>2408</v>
      </c>
      <c r="JJ39" s="442"/>
      <c r="JQ39" s="442"/>
      <c r="JR39" s="1005" t="s">
        <v>4585</v>
      </c>
      <c r="JS39" s="12"/>
      <c r="JT39" s="962"/>
      <c r="JU39" s="1008" t="s">
        <v>4559</v>
      </c>
      <c r="JV39" s="1008" t="s">
        <v>4560</v>
      </c>
      <c r="JW39" s="1009" t="s">
        <v>914</v>
      </c>
      <c r="JX39" s="442"/>
      <c r="JY39" s="1105"/>
      <c r="JZ39" s="1085" t="s">
        <v>1343</v>
      </c>
      <c r="KA39" s="1124"/>
      <c r="KB39" s="1080">
        <v>0.0</v>
      </c>
      <c r="KC39" s="1125">
        <v>0.0</v>
      </c>
      <c r="KD39" s="1126">
        <v>40.0</v>
      </c>
      <c r="KE39" s="442"/>
      <c r="KF39" s="442"/>
      <c r="KG39" s="442"/>
      <c r="KH39" s="442"/>
      <c r="KI39" s="442"/>
      <c r="KJ39" s="442"/>
      <c r="KK39" s="442"/>
      <c r="KL39" s="442"/>
      <c r="KS39" s="442"/>
      <c r="KT39" s="442"/>
      <c r="KU39" s="442"/>
      <c r="KV39" s="442"/>
      <c r="KW39" s="442"/>
      <c r="KX39" s="442"/>
      <c r="KY39" s="442"/>
      <c r="KZ39" s="442"/>
      <c r="LA39" s="442"/>
      <c r="LB39" s="442"/>
      <c r="LC39" s="442"/>
      <c r="LD39" s="442"/>
      <c r="LE39" s="442"/>
      <c r="LF39" s="442"/>
      <c r="LG39" s="442"/>
      <c r="LN39" s="442"/>
      <c r="LU39" s="442"/>
      <c r="LV39" s="1210" t="s">
        <v>4870</v>
      </c>
      <c r="LW39" s="12"/>
      <c r="LX39" s="12"/>
      <c r="LY39" s="12"/>
      <c r="LZ39" s="12"/>
      <c r="MA39" s="962"/>
      <c r="MB39" s="996"/>
    </row>
    <row r="40" ht="15.75" customHeight="1">
      <c r="A40" s="10"/>
      <c r="B40" s="1224" t="s">
        <v>4871</v>
      </c>
      <c r="C40" s="1223" t="s">
        <v>2408</v>
      </c>
      <c r="D40" s="108"/>
      <c r="E40" s="442"/>
      <c r="F40" s="442"/>
      <c r="G40" s="442"/>
      <c r="H40" s="442"/>
      <c r="I40" s="442"/>
      <c r="J40" s="442"/>
      <c r="K40" s="108"/>
      <c r="R40" s="108"/>
      <c r="S40" s="442"/>
      <c r="T40" s="442"/>
      <c r="U40" s="442"/>
      <c r="V40" s="442"/>
      <c r="W40" s="442"/>
      <c r="X40" s="442"/>
      <c r="Y40" s="108"/>
      <c r="Z40" s="108"/>
      <c r="AA40" s="108"/>
      <c r="AB40" s="108"/>
      <c r="AC40" s="108"/>
      <c r="AD40" s="108"/>
      <c r="AE40" s="108"/>
      <c r="AF40" s="108"/>
      <c r="AG40" s="442"/>
      <c r="AH40" s="442"/>
      <c r="AI40" s="442"/>
      <c r="AJ40" s="442"/>
      <c r="AK40" s="442"/>
      <c r="AL40" s="442"/>
      <c r="AM40" s="108"/>
      <c r="AN40" s="1094"/>
      <c r="AO40" s="1179" t="s">
        <v>4037</v>
      </c>
      <c r="AP40" s="414"/>
      <c r="AQ40" s="1130">
        <v>10.0</v>
      </c>
      <c r="AR40" s="413"/>
      <c r="AS40" s="414"/>
      <c r="AT40" s="108"/>
      <c r="AU40" s="442"/>
      <c r="AV40" s="442"/>
      <c r="AW40" s="442"/>
      <c r="AX40" s="442"/>
      <c r="AY40" s="442"/>
      <c r="AZ40" s="442"/>
      <c r="BA40" s="108"/>
      <c r="BB40" s="442"/>
      <c r="BC40" s="442"/>
      <c r="BD40" s="442"/>
      <c r="BE40" s="442"/>
      <c r="BF40" s="442"/>
      <c r="BG40" s="442"/>
      <c r="BH40" s="108"/>
      <c r="BI40" s="442"/>
      <c r="BJ40" s="442"/>
      <c r="BK40" s="442"/>
      <c r="BL40" s="442"/>
      <c r="BM40" s="442"/>
      <c r="BN40" s="442"/>
      <c r="BO40" s="108"/>
      <c r="BP40" s="442"/>
      <c r="BQ40" s="442"/>
      <c r="BR40" s="442"/>
      <c r="BS40" s="442"/>
      <c r="BT40" s="442"/>
      <c r="BU40" s="442"/>
      <c r="BV40" s="108"/>
      <c r="BW40" s="442"/>
      <c r="BX40" s="442"/>
      <c r="BY40" s="442"/>
      <c r="BZ40" s="442"/>
      <c r="CA40" s="442"/>
      <c r="CB40" s="442"/>
      <c r="CC40" s="108"/>
      <c r="CD40" s="442"/>
      <c r="CE40" s="442"/>
      <c r="CF40" s="442"/>
      <c r="CG40" s="442"/>
      <c r="CH40" s="442"/>
      <c r="CI40" s="442"/>
      <c r="CJ40" s="108"/>
      <c r="CK40" s="442"/>
      <c r="CL40" s="442"/>
      <c r="CM40" s="442"/>
      <c r="CN40" s="442"/>
      <c r="CO40" s="442"/>
      <c r="CP40" s="442"/>
      <c r="CQ40" s="108"/>
      <c r="CR40" s="1049"/>
      <c r="CS40" s="499" t="s">
        <v>3324</v>
      </c>
      <c r="CT40" s="1051" t="s">
        <v>4571</v>
      </c>
      <c r="CU40" s="1051">
        <v>10.0</v>
      </c>
      <c r="CV40" s="1130">
        <v>10.0</v>
      </c>
      <c r="CW40" s="1131">
        <v>10.0</v>
      </c>
      <c r="CX40" s="108"/>
      <c r="CY40" s="442"/>
      <c r="CZ40" s="442"/>
      <c r="DA40" s="442"/>
      <c r="DB40" s="442"/>
      <c r="DC40" s="442"/>
      <c r="DD40" s="442"/>
      <c r="DE40" s="108"/>
      <c r="DF40" s="442"/>
      <c r="DG40" s="442"/>
      <c r="DH40" s="442"/>
      <c r="DI40" s="442"/>
      <c r="DJ40" s="442"/>
      <c r="DK40" s="442"/>
      <c r="DL40" s="108"/>
      <c r="DM40" s="1105"/>
      <c r="DN40" s="1085" t="s">
        <v>1228</v>
      </c>
      <c r="DO40" s="414"/>
      <c r="DP40" s="1080">
        <v>30.0</v>
      </c>
      <c r="DQ40" s="1125">
        <v>30.0</v>
      </c>
      <c r="DR40" s="1126">
        <v>0.0</v>
      </c>
      <c r="DS40" s="108"/>
      <c r="DT40" s="1049"/>
      <c r="DU40" s="1050" t="s">
        <v>1191</v>
      </c>
      <c r="DV40" s="414"/>
      <c r="DW40" s="1051">
        <v>10.0</v>
      </c>
      <c r="DX40" s="413"/>
      <c r="DY40" s="414"/>
      <c r="DZ40" s="108"/>
      <c r="EA40" s="1159"/>
      <c r="EB40" s="1160" t="s">
        <v>243</v>
      </c>
      <c r="EC40" s="414"/>
      <c r="ED40" s="1161">
        <v>20.0</v>
      </c>
      <c r="EE40" s="413"/>
      <c r="EF40" s="414"/>
      <c r="EG40" s="108"/>
      <c r="EH40" s="40"/>
      <c r="EI40" s="398" t="s">
        <v>2358</v>
      </c>
      <c r="EJ40" s="1091">
        <v>70.0</v>
      </c>
      <c r="EK40" s="1092" t="s">
        <v>411</v>
      </c>
      <c r="EL40" s="12"/>
      <c r="EM40" s="48"/>
      <c r="EN40" s="108"/>
      <c r="EO40" s="442"/>
      <c r="EP40" s="442"/>
      <c r="EQ40" s="442"/>
      <c r="ER40" s="442"/>
      <c r="ES40" s="442"/>
      <c r="ET40" s="442"/>
      <c r="EU40" s="108"/>
      <c r="EV40" s="442"/>
      <c r="EW40" s="442"/>
      <c r="EX40" s="442"/>
      <c r="EY40" s="442"/>
      <c r="EZ40" s="442"/>
      <c r="FA40" s="442"/>
      <c r="FB40" s="108"/>
      <c r="FC40" s="442"/>
      <c r="FD40" s="442"/>
      <c r="FE40" s="442"/>
      <c r="FF40" s="442"/>
      <c r="FG40" s="442"/>
      <c r="FH40" s="442"/>
      <c r="FI40" s="108"/>
      <c r="FJ40" s="442"/>
      <c r="FK40" s="442"/>
      <c r="FL40" s="442"/>
      <c r="FM40" s="442"/>
      <c r="FN40" s="442"/>
      <c r="FO40" s="442"/>
      <c r="FP40" s="108"/>
      <c r="FQ40" s="1105"/>
      <c r="FR40" s="1173" t="s">
        <v>1901</v>
      </c>
      <c r="FS40" s="1080" t="s">
        <v>4616</v>
      </c>
      <c r="FT40" s="1081">
        <v>10.0</v>
      </c>
      <c r="FU40" s="413"/>
      <c r="FV40" s="414"/>
      <c r="FW40" s="108"/>
      <c r="FX40" s="1049"/>
      <c r="FY40" s="1050" t="s">
        <v>1191</v>
      </c>
      <c r="FZ40" s="413"/>
      <c r="GA40" s="1051">
        <v>10.0</v>
      </c>
      <c r="GB40" s="413"/>
      <c r="GC40" s="414"/>
      <c r="GD40" s="108"/>
      <c r="GK40" s="108"/>
      <c r="GL40" s="442"/>
      <c r="GM40" s="442"/>
      <c r="GN40" s="442"/>
      <c r="GO40" s="442"/>
      <c r="GP40" s="442"/>
      <c r="GQ40" s="442"/>
      <c r="GR40" s="108"/>
      <c r="GS40" s="442"/>
      <c r="GT40" s="442"/>
      <c r="GU40" s="442"/>
      <c r="GV40" s="442"/>
      <c r="GW40" s="442"/>
      <c r="GX40" s="442"/>
      <c r="GY40" s="442"/>
      <c r="GZ40" s="442"/>
      <c r="HA40" s="442"/>
      <c r="HB40" s="442"/>
      <c r="HC40" s="442"/>
      <c r="HD40" s="442"/>
      <c r="HE40" s="442"/>
      <c r="HF40" s="442"/>
      <c r="HG40" s="442"/>
      <c r="HH40" s="442"/>
      <c r="HI40" s="442"/>
      <c r="HJ40" s="442"/>
      <c r="HK40" s="442"/>
      <c r="HL40" s="442"/>
      <c r="HM40" s="442"/>
      <c r="HN40" s="442"/>
      <c r="HO40" s="442"/>
      <c r="HP40" s="442"/>
      <c r="HQ40" s="442"/>
      <c r="HR40" s="442"/>
      <c r="HS40" s="442"/>
      <c r="HT40" s="442"/>
      <c r="IA40" s="442"/>
      <c r="IB40" s="442"/>
      <c r="IC40" s="442"/>
      <c r="ID40" s="442"/>
      <c r="IE40" s="442"/>
      <c r="IF40" s="442"/>
      <c r="IG40" s="442"/>
      <c r="IH40" s="442"/>
      <c r="II40" s="1132"/>
      <c r="IJ40" s="1133" t="s">
        <v>3978</v>
      </c>
      <c r="IK40" s="1112" t="s">
        <v>4744</v>
      </c>
      <c r="IL40" s="1112">
        <v>20.0</v>
      </c>
      <c r="IM40" s="1113">
        <v>20.0</v>
      </c>
      <c r="IN40" s="1114">
        <v>20.0</v>
      </c>
      <c r="IO40" s="442"/>
      <c r="IP40" s="40"/>
      <c r="IQ40" s="398" t="s">
        <v>4387</v>
      </c>
      <c r="IR40" s="1091">
        <v>80.0</v>
      </c>
      <c r="IS40" s="1092" t="s">
        <v>411</v>
      </c>
      <c r="IT40" s="12"/>
      <c r="IU40" s="48"/>
      <c r="IV40" s="442"/>
      <c r="IW40" s="40"/>
      <c r="IX40" s="398" t="s">
        <v>4315</v>
      </c>
      <c r="IY40" s="1091">
        <v>60.0</v>
      </c>
      <c r="IZ40" s="1092" t="s">
        <v>411</v>
      </c>
      <c r="JA40" s="12"/>
      <c r="JB40" s="48"/>
      <c r="JC40" s="442"/>
      <c r="JD40" s="40"/>
      <c r="JE40" s="1063" t="s">
        <v>1336</v>
      </c>
      <c r="JF40" s="1026"/>
      <c r="JG40" s="1053">
        <v>40.0</v>
      </c>
      <c r="JH40" s="1054">
        <v>40.0</v>
      </c>
      <c r="JI40" s="1055">
        <v>0.0</v>
      </c>
      <c r="JJ40" s="442"/>
      <c r="JQ40" s="442"/>
      <c r="JR40" s="40"/>
      <c r="JS40" s="1063" t="s">
        <v>1808</v>
      </c>
      <c r="JT40" s="1053" t="s">
        <v>4549</v>
      </c>
      <c r="JU40" s="1053">
        <v>20.0</v>
      </c>
      <c r="JV40" s="1054">
        <v>20.0</v>
      </c>
      <c r="JW40" s="1055">
        <v>20.0</v>
      </c>
      <c r="JX40" s="442"/>
      <c r="KE40" s="442"/>
      <c r="KF40" s="442"/>
      <c r="KG40" s="442"/>
      <c r="KH40" s="442"/>
      <c r="KI40" s="442"/>
      <c r="KJ40" s="442"/>
      <c r="KK40" s="442"/>
      <c r="KL40" s="442"/>
      <c r="KS40" s="442"/>
      <c r="KT40" s="442"/>
      <c r="KU40" s="442"/>
      <c r="KV40" s="442"/>
      <c r="KW40" s="442"/>
      <c r="KX40" s="442"/>
      <c r="KY40" s="442"/>
      <c r="KZ40" s="442"/>
      <c r="LA40" s="442"/>
      <c r="LB40" s="442"/>
      <c r="LC40" s="442"/>
      <c r="LD40" s="442"/>
      <c r="LE40" s="442"/>
      <c r="LF40" s="442"/>
      <c r="LG40" s="442"/>
      <c r="LN40" s="442"/>
      <c r="LO40" s="442"/>
      <c r="LP40" s="442"/>
      <c r="LQ40" s="442"/>
      <c r="LR40" s="442"/>
      <c r="LS40" s="442"/>
      <c r="LT40" s="442"/>
      <c r="LU40" s="442"/>
      <c r="LV40" s="442"/>
      <c r="MB40" s="996"/>
    </row>
    <row r="41" ht="15.75" customHeight="1">
      <c r="A41" s="1053"/>
      <c r="B41" s="1226"/>
      <c r="C41" s="1227"/>
      <c r="D41" s="1054"/>
      <c r="E41" s="1063"/>
      <c r="F41" s="1063"/>
      <c r="G41" s="1177"/>
      <c r="H41" s="1054"/>
      <c r="I41" s="1054"/>
      <c r="J41" s="1054"/>
      <c r="K41" s="1054"/>
      <c r="L41" s="1054"/>
      <c r="M41" s="1054"/>
      <c r="N41" s="1054"/>
      <c r="O41" s="1054"/>
      <c r="P41" s="1054"/>
      <c r="Q41" s="1054"/>
      <c r="R41" s="1054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3"/>
      <c r="AL41" s="1063"/>
      <c r="AM41" s="1054"/>
      <c r="AN41" s="1054"/>
      <c r="AO41" s="1054"/>
      <c r="AP41" s="1054"/>
      <c r="AQ41" s="1054"/>
      <c r="AR41" s="1054"/>
      <c r="AS41" s="1054"/>
      <c r="AT41" s="1054"/>
      <c r="AU41" s="1063"/>
      <c r="AV41" s="1063"/>
      <c r="AW41" s="1063"/>
      <c r="AX41" s="1063"/>
      <c r="AY41" s="1063"/>
      <c r="AZ41" s="1054"/>
      <c r="BA41" s="1054"/>
      <c r="BB41" s="1054"/>
      <c r="BC41" s="1054"/>
      <c r="BD41" s="1054"/>
      <c r="BE41" s="1054"/>
      <c r="BF41" s="1054"/>
      <c r="BG41" s="1054"/>
      <c r="BH41" s="1054"/>
      <c r="BI41" s="1063"/>
      <c r="BJ41" s="1063"/>
      <c r="BK41" s="1063"/>
      <c r="BL41" s="1063"/>
      <c r="BM41" s="1063"/>
      <c r="BN41" s="1054"/>
      <c r="BO41" s="1054"/>
      <c r="BP41" s="1054"/>
      <c r="BQ41" s="1054"/>
      <c r="BR41" s="1054"/>
      <c r="BS41" s="1054"/>
      <c r="BT41" s="1054"/>
      <c r="BU41" s="1054"/>
      <c r="BV41" s="1054"/>
      <c r="BW41" s="1063"/>
      <c r="BX41" s="1063"/>
      <c r="BY41" s="1063"/>
      <c r="BZ41" s="1063"/>
      <c r="CA41" s="1063"/>
      <c r="CB41" s="1063"/>
      <c r="CC41" s="1054"/>
      <c r="CD41" s="1054"/>
      <c r="CE41" s="1054"/>
      <c r="CF41" s="1054"/>
      <c r="CG41" s="1054"/>
      <c r="CH41" s="1054"/>
      <c r="CI41" s="1054"/>
      <c r="CJ41" s="1054"/>
      <c r="CK41" s="1063"/>
      <c r="CL41" s="1063"/>
      <c r="CM41" s="1063"/>
      <c r="CN41" s="1063"/>
      <c r="CO41" s="1063"/>
      <c r="CP41" s="1063"/>
      <c r="CQ41" s="1054"/>
      <c r="CR41" s="1054"/>
      <c r="CS41" s="1054"/>
      <c r="CT41" s="1054"/>
      <c r="CU41" s="1054"/>
      <c r="CV41" s="1054"/>
      <c r="CW41" s="1054"/>
      <c r="CX41" s="1054"/>
      <c r="CY41" s="1054"/>
      <c r="CZ41" s="144"/>
      <c r="DA41" s="1054"/>
      <c r="DB41" s="1054"/>
      <c r="DC41" s="1054"/>
      <c r="DD41" s="1054"/>
      <c r="DE41" s="1054"/>
      <c r="DF41" s="1054"/>
      <c r="DG41" s="1054"/>
      <c r="DH41" s="1054"/>
      <c r="DI41" s="1054"/>
      <c r="DJ41" s="1054"/>
      <c r="DK41" s="1054"/>
      <c r="DL41" s="1054"/>
      <c r="DM41" s="1228"/>
      <c r="DN41" s="1228"/>
      <c r="DO41" s="1228"/>
      <c r="DP41" s="1228"/>
      <c r="DQ41" s="1228"/>
      <c r="DR41" s="1228"/>
      <c r="DS41" s="1054"/>
      <c r="DT41" s="1063"/>
      <c r="DU41" s="1063"/>
      <c r="DV41" s="1063"/>
      <c r="DW41" s="1063"/>
      <c r="DX41" s="1063"/>
      <c r="DY41" s="1054"/>
      <c r="DZ41" s="1054"/>
      <c r="EA41" s="1063"/>
      <c r="EB41" s="1063"/>
      <c r="EC41" s="1063"/>
      <c r="ED41" s="1063"/>
      <c r="EE41" s="1063"/>
      <c r="EF41" s="1063"/>
      <c r="EG41" s="1054"/>
      <c r="EH41" s="1063"/>
      <c r="EI41" s="1063"/>
      <c r="EJ41" s="1063"/>
      <c r="EK41" s="1063"/>
      <c r="EL41" s="1063"/>
      <c r="EM41" s="1063"/>
      <c r="EN41" s="1054"/>
      <c r="EO41" s="1054"/>
      <c r="EP41" s="1063"/>
      <c r="EQ41" s="1054"/>
      <c r="ER41" s="1054"/>
      <c r="ES41" s="1054"/>
      <c r="ET41" s="1054"/>
      <c r="EU41" s="1054"/>
      <c r="EV41" s="1063"/>
      <c r="EW41" s="1063"/>
      <c r="EX41" s="1063"/>
      <c r="EY41" s="1063"/>
      <c r="EZ41" s="1063"/>
      <c r="FA41" s="1054"/>
      <c r="FB41" s="1054"/>
      <c r="FC41" s="1054"/>
      <c r="FD41" s="1063"/>
      <c r="FE41" s="1054"/>
      <c r="FF41" s="1054"/>
      <c r="FG41" s="1054"/>
      <c r="FH41" s="1054"/>
      <c r="FI41" s="1054"/>
      <c r="FJ41" s="1054"/>
      <c r="FK41" s="1063"/>
      <c r="FL41" s="1063"/>
      <c r="FM41" s="1054"/>
      <c r="FN41" s="1054"/>
      <c r="FO41" s="1054"/>
      <c r="FP41" s="1054"/>
      <c r="FQ41" s="1054"/>
      <c r="FR41" s="1063"/>
      <c r="FS41" s="1054"/>
      <c r="FT41" s="1054"/>
      <c r="FU41" s="1054"/>
      <c r="FV41" s="1054"/>
      <c r="FW41" s="1054"/>
      <c r="FX41" s="1054"/>
      <c r="FY41" s="1054"/>
      <c r="FZ41" s="1054"/>
      <c r="GA41" s="1054"/>
      <c r="GB41" s="1054"/>
      <c r="GC41" s="1054"/>
      <c r="GD41" s="1054"/>
      <c r="GE41" s="1228"/>
      <c r="GF41" s="1228"/>
      <c r="GG41" s="1228"/>
      <c r="GH41" s="1228"/>
      <c r="GI41" s="1228"/>
      <c r="GJ41" s="1228"/>
      <c r="GK41" s="1054"/>
      <c r="GL41" s="1063"/>
      <c r="GM41" s="1063"/>
      <c r="GN41" s="1063"/>
      <c r="GO41" s="1063"/>
      <c r="GP41" s="1063"/>
      <c r="GQ41" s="1054"/>
      <c r="GR41" s="1054"/>
      <c r="GS41" s="1054"/>
      <c r="GT41" s="1063"/>
      <c r="GU41" s="1063"/>
      <c r="GV41" s="1054"/>
      <c r="GW41" s="1054"/>
      <c r="GX41" s="1054"/>
      <c r="GY41" s="1063"/>
      <c r="GZ41" s="1054"/>
      <c r="HA41" s="1063"/>
      <c r="HB41" s="1054"/>
      <c r="HC41" s="1054"/>
      <c r="HD41" s="1054"/>
      <c r="HE41" s="1054"/>
      <c r="HF41" s="1063"/>
      <c r="HG41" s="1063"/>
      <c r="HH41" s="1063"/>
      <c r="HI41" s="1063"/>
      <c r="HJ41" s="1063"/>
      <c r="HK41" s="1063"/>
      <c r="HL41" s="1063"/>
      <c r="HM41" s="1063"/>
      <c r="HN41" s="1063"/>
      <c r="HO41" s="1063"/>
      <c r="HP41" s="1063"/>
      <c r="HQ41" s="1063"/>
      <c r="HR41" s="1063"/>
      <c r="HS41" s="1063"/>
      <c r="HT41" s="1063"/>
      <c r="HU41" s="1063"/>
      <c r="HV41" s="1063"/>
      <c r="HW41" s="1063"/>
      <c r="HX41" s="1063"/>
      <c r="HY41" s="1063"/>
      <c r="HZ41" s="1063"/>
      <c r="IA41" s="1063"/>
      <c r="IB41" s="1063"/>
      <c r="IC41" s="1063"/>
      <c r="ID41" s="1063"/>
      <c r="IE41" s="1063"/>
      <c r="IF41" s="1063"/>
      <c r="IG41" s="1063"/>
      <c r="IH41" s="1063"/>
      <c r="II41" s="1228"/>
      <c r="IJ41" s="1228"/>
      <c r="IK41" s="1228"/>
      <c r="IL41" s="1228"/>
      <c r="IM41" s="1228"/>
      <c r="IN41" s="1228"/>
      <c r="IO41" s="1063"/>
      <c r="IP41" s="1063"/>
      <c r="IQ41" s="1063"/>
      <c r="IR41" s="1063"/>
      <c r="IS41" s="1063"/>
      <c r="IT41" s="1063"/>
      <c r="IU41" s="1063"/>
      <c r="IV41" s="1063"/>
      <c r="IW41" s="1054"/>
      <c r="IX41" s="1063"/>
      <c r="IY41" s="1054"/>
      <c r="IZ41" s="1054"/>
      <c r="JA41" s="1054"/>
      <c r="JB41" s="1054"/>
      <c r="JC41" s="1063"/>
      <c r="JD41" s="1063"/>
      <c r="JE41" s="1063"/>
      <c r="JF41" s="1063"/>
      <c r="JG41" s="1063"/>
      <c r="JH41" s="1063"/>
      <c r="JI41" s="1063"/>
      <c r="JJ41" s="1063"/>
      <c r="JK41" s="1063"/>
      <c r="JL41" s="1063"/>
      <c r="JM41" s="1063"/>
      <c r="JN41" s="1063"/>
      <c r="JO41" s="1063"/>
      <c r="JP41" s="1063"/>
      <c r="JQ41" s="1063"/>
      <c r="JR41" s="1063"/>
      <c r="JS41" s="1063"/>
      <c r="JT41" s="1063"/>
      <c r="JU41" s="1063"/>
      <c r="JV41" s="1063"/>
      <c r="JW41" s="1063"/>
      <c r="JX41" s="1063"/>
      <c r="JY41" s="1063"/>
      <c r="JZ41" s="1063"/>
      <c r="KA41" s="1063"/>
      <c r="KB41" s="1063"/>
      <c r="KC41" s="1063"/>
      <c r="KD41" s="1054"/>
      <c r="KE41" s="1063"/>
      <c r="KF41" s="1054"/>
      <c r="KG41" s="1063"/>
      <c r="KH41" s="1054"/>
      <c r="KI41" s="1054"/>
      <c r="KJ41" s="1054"/>
      <c r="KK41" s="1054"/>
      <c r="KL41" s="1063"/>
      <c r="KM41" s="1063"/>
      <c r="KN41" s="1063"/>
      <c r="KO41" s="1063"/>
      <c r="KP41" s="1063"/>
      <c r="KQ41" s="1063"/>
      <c r="KR41" s="1063"/>
      <c r="KS41" s="1063"/>
      <c r="KT41" s="1063"/>
      <c r="KU41" s="1063"/>
      <c r="KV41" s="1063"/>
      <c r="KW41" s="1063"/>
      <c r="KX41" s="1063"/>
      <c r="KY41" s="1063"/>
      <c r="KZ41" s="1063"/>
      <c r="LA41" s="1063"/>
      <c r="LB41" s="1063"/>
      <c r="LC41" s="1063"/>
      <c r="LD41" s="1063"/>
      <c r="LE41" s="1063"/>
      <c r="LF41" s="1063"/>
      <c r="LG41" s="1063"/>
      <c r="LH41" s="1054"/>
      <c r="LI41" s="1063"/>
      <c r="LJ41" s="1054"/>
      <c r="LK41" s="1054"/>
      <c r="LL41" s="1054"/>
      <c r="LM41" s="1054"/>
      <c r="LN41" s="1063"/>
      <c r="LO41" s="1063"/>
      <c r="LP41" s="1063"/>
      <c r="LQ41" s="1063"/>
      <c r="LR41" s="1063"/>
      <c r="LS41" s="1063"/>
      <c r="LT41" s="1063"/>
      <c r="LU41" s="1063"/>
      <c r="LV41" s="1228"/>
      <c r="LW41" s="1063"/>
      <c r="LX41" s="1054"/>
      <c r="LY41" s="1054"/>
      <c r="LZ41" s="1054"/>
      <c r="MA41" s="1054"/>
      <c r="MB41" s="122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9">
    <mergeCell ref="AH15:AI15"/>
    <mergeCell ref="AQ15:AS15"/>
    <mergeCell ref="AU15:AZ15"/>
    <mergeCell ref="BB15:BG15"/>
    <mergeCell ref="BL15:BN15"/>
    <mergeCell ref="BS15:BU15"/>
    <mergeCell ref="H16:J16"/>
    <mergeCell ref="L16:Q16"/>
    <mergeCell ref="AQ16:AS16"/>
    <mergeCell ref="AX16:AZ16"/>
    <mergeCell ref="BL14:BN14"/>
    <mergeCell ref="BL16:BN16"/>
    <mergeCell ref="CS16:CT16"/>
    <mergeCell ref="CU16:CW16"/>
    <mergeCell ref="BZ17:CB17"/>
    <mergeCell ref="CE17:CF17"/>
    <mergeCell ref="CN17:CP17"/>
    <mergeCell ref="CS17:CT17"/>
    <mergeCell ref="CU17:CW17"/>
    <mergeCell ref="CY17:DA17"/>
    <mergeCell ref="DG17:DH17"/>
    <mergeCell ref="DI17:DK17"/>
    <mergeCell ref="DM17:DO17"/>
    <mergeCell ref="DT17:DV17"/>
    <mergeCell ref="EW17:EX17"/>
    <mergeCell ref="EY17:FA17"/>
    <mergeCell ref="FD17:FE17"/>
    <mergeCell ref="FJ17:FL17"/>
    <mergeCell ref="GE17:GG17"/>
    <mergeCell ref="GL17:GM17"/>
    <mergeCell ref="GN17:GQ17"/>
    <mergeCell ref="GT17:GU17"/>
    <mergeCell ref="HA17:HB17"/>
    <mergeCell ref="HG17:HI17"/>
    <mergeCell ref="HN17:HS17"/>
    <mergeCell ref="KB17:KD17"/>
    <mergeCell ref="KF17:KK17"/>
    <mergeCell ref="KP17:KR17"/>
    <mergeCell ref="KU17:KV17"/>
    <mergeCell ref="LD17:LF17"/>
    <mergeCell ref="LI17:LJ17"/>
    <mergeCell ref="LP17:LQ17"/>
    <mergeCell ref="HU17:HV17"/>
    <mergeCell ref="HW17:HZ17"/>
    <mergeCell ref="IQ17:IR17"/>
    <mergeCell ref="IW17:JB17"/>
    <mergeCell ref="JE17:JF17"/>
    <mergeCell ref="JN17:JP17"/>
    <mergeCell ref="JY17:KA17"/>
    <mergeCell ref="LD18:LF18"/>
    <mergeCell ref="LI18:LJ18"/>
    <mergeCell ref="LP18:LQ18"/>
    <mergeCell ref="IZ18:JB18"/>
    <mergeCell ref="JD18:JI18"/>
    <mergeCell ref="JK18:JM18"/>
    <mergeCell ref="KB18:KD18"/>
    <mergeCell ref="KF18:KH18"/>
    <mergeCell ref="KI18:KK18"/>
    <mergeCell ref="KU18:KV18"/>
    <mergeCell ref="LB20:LC20"/>
    <mergeCell ref="LH20:LJ20"/>
    <mergeCell ref="LK20:LM20"/>
    <mergeCell ref="LP20:LQ20"/>
    <mergeCell ref="JG20:JI20"/>
    <mergeCell ref="JL20:JM20"/>
    <mergeCell ref="JY20:JZ20"/>
    <mergeCell ref="KA20:KD20"/>
    <mergeCell ref="KM20:KR20"/>
    <mergeCell ref="KT20:KU20"/>
    <mergeCell ref="KV20:KY20"/>
    <mergeCell ref="AH17:AI17"/>
    <mergeCell ref="AG19:AH19"/>
    <mergeCell ref="S17:X17"/>
    <mergeCell ref="M18:N18"/>
    <mergeCell ref="V18:X18"/>
    <mergeCell ref="AX18:AZ18"/>
    <mergeCell ref="BB18:BC18"/>
    <mergeCell ref="V19:X19"/>
    <mergeCell ref="AI19:AL19"/>
    <mergeCell ref="AX19:AZ19"/>
    <mergeCell ref="BI18:BK18"/>
    <mergeCell ref="BJ19:BK19"/>
    <mergeCell ref="BD18:BG18"/>
    <mergeCell ref="BP18:BR18"/>
    <mergeCell ref="BW18:BX19"/>
    <mergeCell ref="BY18:CB19"/>
    <mergeCell ref="CN18:CP18"/>
    <mergeCell ref="BB19:BG19"/>
    <mergeCell ref="BQ19:BR19"/>
    <mergeCell ref="EA19:EC19"/>
    <mergeCell ref="EH19:EJ19"/>
    <mergeCell ref="FD19:FE19"/>
    <mergeCell ref="FK19:FL19"/>
    <mergeCell ref="GF19:GG19"/>
    <mergeCell ref="GO19:GQ19"/>
    <mergeCell ref="GT19:GU19"/>
    <mergeCell ref="KO19:KR19"/>
    <mergeCell ref="LA19:LC19"/>
    <mergeCell ref="LH19:LM19"/>
    <mergeCell ref="LP19:LQ19"/>
    <mergeCell ref="HA19:HB19"/>
    <mergeCell ref="HH19:HI19"/>
    <mergeCell ref="JD19:JF19"/>
    <mergeCell ref="JG19:JI19"/>
    <mergeCell ref="JL19:JM19"/>
    <mergeCell ref="KI19:KK19"/>
    <mergeCell ref="KM19:KN19"/>
    <mergeCell ref="BQ20:BR20"/>
    <mergeCell ref="BW20:CB20"/>
    <mergeCell ref="AO18:AP18"/>
    <mergeCell ref="AO19:AP19"/>
    <mergeCell ref="AG20:AI20"/>
    <mergeCell ref="AO20:AP20"/>
    <mergeCell ref="AX20:AZ20"/>
    <mergeCell ref="BE20:BG20"/>
    <mergeCell ref="BJ20:BK20"/>
    <mergeCell ref="S16:X16"/>
    <mergeCell ref="AH16:AI16"/>
    <mergeCell ref="BS16:BU16"/>
    <mergeCell ref="BW16:BY16"/>
    <mergeCell ref="BZ16:CB16"/>
    <mergeCell ref="CD16:CF16"/>
    <mergeCell ref="E17:J17"/>
    <mergeCell ref="M17:N17"/>
    <mergeCell ref="AN17:AP17"/>
    <mergeCell ref="AX17:AZ17"/>
    <mergeCell ref="BL17:BN17"/>
    <mergeCell ref="BS17:BU17"/>
    <mergeCell ref="FQ17:FR17"/>
    <mergeCell ref="FS17:FV17"/>
    <mergeCell ref="BI13:BN13"/>
    <mergeCell ref="BZ13:CB13"/>
    <mergeCell ref="CK13:CM13"/>
    <mergeCell ref="O14:Q14"/>
    <mergeCell ref="BZ14:CB14"/>
    <mergeCell ref="BE16:BG16"/>
    <mergeCell ref="CK17:CM17"/>
    <mergeCell ref="CR18:CW18"/>
    <mergeCell ref="DG18:DH18"/>
    <mergeCell ref="DI18:DK18"/>
    <mergeCell ref="DN18:DO18"/>
    <mergeCell ref="EA18:EB18"/>
    <mergeCell ref="EC18:EF18"/>
    <mergeCell ref="EH18:EI18"/>
    <mergeCell ref="IQ18:IR18"/>
    <mergeCell ref="IP19:IQ19"/>
    <mergeCell ref="IR19:IU19"/>
    <mergeCell ref="IW19:IY19"/>
    <mergeCell ref="IP20:IR20"/>
    <mergeCell ref="IX20:IY20"/>
    <mergeCell ref="GL18:GQ18"/>
    <mergeCell ref="GT18:GU18"/>
    <mergeCell ref="HA18:HB18"/>
    <mergeCell ref="HH18:HI18"/>
    <mergeCell ref="HQ18:HS18"/>
    <mergeCell ref="HU18:HW18"/>
    <mergeCell ref="HQ19:HS19"/>
    <mergeCell ref="CE18:CF18"/>
    <mergeCell ref="CE19:CF19"/>
    <mergeCell ref="CR19:CT19"/>
    <mergeCell ref="CU19:CW19"/>
    <mergeCell ref="DG19:DH19"/>
    <mergeCell ref="DI19:DK19"/>
    <mergeCell ref="DN19:DO19"/>
    <mergeCell ref="FK20:FL20"/>
    <mergeCell ref="FX20:GC20"/>
    <mergeCell ref="GF20:GG20"/>
    <mergeCell ref="GO20:GQ20"/>
    <mergeCell ref="GT20:GU20"/>
    <mergeCell ref="HA20:HB20"/>
    <mergeCell ref="HH20:HI20"/>
    <mergeCell ref="HQ20:HS20"/>
    <mergeCell ref="EJ18:EM18"/>
    <mergeCell ref="EW18:EX18"/>
    <mergeCell ref="EY18:FA18"/>
    <mergeCell ref="FD18:FE18"/>
    <mergeCell ref="FK18:FL18"/>
    <mergeCell ref="FQ18:FS18"/>
    <mergeCell ref="GF18:GG18"/>
    <mergeCell ref="GF22:GG22"/>
    <mergeCell ref="GO22:GQ22"/>
    <mergeCell ref="GT22:GU22"/>
    <mergeCell ref="GZ22:HE22"/>
    <mergeCell ref="HH22:HI22"/>
    <mergeCell ref="HN22:HP22"/>
    <mergeCell ref="II22:IN22"/>
    <mergeCell ref="LO22:LP23"/>
    <mergeCell ref="LQ22:LT23"/>
    <mergeCell ref="JD22:JE22"/>
    <mergeCell ref="JF22:JI22"/>
    <mergeCell ref="JL22:JM22"/>
    <mergeCell ref="JR22:JS22"/>
    <mergeCell ref="JT22:JW22"/>
    <mergeCell ref="KP22:KR22"/>
    <mergeCell ref="LB22:LC22"/>
    <mergeCell ref="EO22:ET22"/>
    <mergeCell ref="EV22:EX22"/>
    <mergeCell ref="EY22:FA22"/>
    <mergeCell ref="FD22:FE22"/>
    <mergeCell ref="FF22:FH22"/>
    <mergeCell ref="FK22:FL22"/>
    <mergeCell ref="GA22:GC22"/>
    <mergeCell ref="EP23:EQ23"/>
    <mergeCell ref="ER23:ET23"/>
    <mergeCell ref="EY23:FA23"/>
    <mergeCell ref="FD23:FE23"/>
    <mergeCell ref="FF23:FH23"/>
    <mergeCell ref="FK23:FL23"/>
    <mergeCell ref="FX23:GC23"/>
    <mergeCell ref="GF23:GG23"/>
    <mergeCell ref="GL23:GN23"/>
    <mergeCell ref="GT23:GU23"/>
    <mergeCell ref="HA23:HB23"/>
    <mergeCell ref="HC23:HE23"/>
    <mergeCell ref="HH23:HI23"/>
    <mergeCell ref="HO23:HP23"/>
    <mergeCell ref="LB23:LC23"/>
    <mergeCell ref="LH23:LI23"/>
    <mergeCell ref="LJ23:LM23"/>
    <mergeCell ref="IL23:IN23"/>
    <mergeCell ref="IW23:IX23"/>
    <mergeCell ref="IY23:JB23"/>
    <mergeCell ref="JD23:JF23"/>
    <mergeCell ref="JL23:JM23"/>
    <mergeCell ref="JR23:JT23"/>
    <mergeCell ref="KM23:KR23"/>
    <mergeCell ref="EX20:FA20"/>
    <mergeCell ref="FC20:FH20"/>
    <mergeCell ref="AO21:AP21"/>
    <mergeCell ref="AX21:AZ21"/>
    <mergeCell ref="BE21:BG21"/>
    <mergeCell ref="BJ21:BK21"/>
    <mergeCell ref="BQ21:BR21"/>
    <mergeCell ref="BX21:BY21"/>
    <mergeCell ref="BZ21:CB21"/>
    <mergeCell ref="DN20:DO20"/>
    <mergeCell ref="DF21:DG21"/>
    <mergeCell ref="DH21:DK21"/>
    <mergeCell ref="DN21:DO21"/>
    <mergeCell ref="CE20:CF20"/>
    <mergeCell ref="CK20:CL21"/>
    <mergeCell ref="CM20:CP21"/>
    <mergeCell ref="CU20:CW20"/>
    <mergeCell ref="EO20:ET20"/>
    <mergeCell ref="EV20:EW20"/>
    <mergeCell ref="CD21:CI21"/>
    <mergeCell ref="JY21:KA21"/>
    <mergeCell ref="KM21:KO21"/>
    <mergeCell ref="KP21:KR21"/>
    <mergeCell ref="KT21:KV21"/>
    <mergeCell ref="LB21:LC21"/>
    <mergeCell ref="LK21:LM21"/>
    <mergeCell ref="GO21:GQ21"/>
    <mergeCell ref="GT21:GU21"/>
    <mergeCell ref="HA21:HB21"/>
    <mergeCell ref="HH21:HI21"/>
    <mergeCell ref="HQ21:HS21"/>
    <mergeCell ref="IX21:IY21"/>
    <mergeCell ref="JL21:JM21"/>
    <mergeCell ref="ER21:ET21"/>
    <mergeCell ref="EV21:FA21"/>
    <mergeCell ref="FD21:FE21"/>
    <mergeCell ref="FF21:FH21"/>
    <mergeCell ref="FK21:FL21"/>
    <mergeCell ref="GA21:GC21"/>
    <mergeCell ref="GF21:GG21"/>
    <mergeCell ref="BW23:BX23"/>
    <mergeCell ref="BY23:CB23"/>
    <mergeCell ref="BE22:BG22"/>
    <mergeCell ref="BJ22:BK22"/>
    <mergeCell ref="CE22:CF22"/>
    <mergeCell ref="CG22:CI22"/>
    <mergeCell ref="CR22:CS23"/>
    <mergeCell ref="CT22:CW23"/>
    <mergeCell ref="BJ23:BK23"/>
    <mergeCell ref="CN23:CP23"/>
    <mergeCell ref="CE23:CF23"/>
    <mergeCell ref="CG23:CI23"/>
    <mergeCell ref="DM23:DN23"/>
    <mergeCell ref="DO23:DR23"/>
    <mergeCell ref="DM24:DO24"/>
    <mergeCell ref="EP24:EQ24"/>
    <mergeCell ref="ER24:ET24"/>
    <mergeCell ref="FD24:FE24"/>
    <mergeCell ref="FF24:FH24"/>
    <mergeCell ref="FJ24:FO24"/>
    <mergeCell ref="FQ24:FS24"/>
    <mergeCell ref="GA24:GC24"/>
    <mergeCell ref="GE24:GJ24"/>
    <mergeCell ref="GM24:GN24"/>
    <mergeCell ref="GS24:GX24"/>
    <mergeCell ref="HA24:HB24"/>
    <mergeCell ref="HC24:HE24"/>
    <mergeCell ref="HG24:HL24"/>
    <mergeCell ref="HO24:HP24"/>
    <mergeCell ref="IB24:IG24"/>
    <mergeCell ref="II24:IJ24"/>
    <mergeCell ref="LO24:LQ24"/>
    <mergeCell ref="LV24:MA24"/>
    <mergeCell ref="IK24:IN24"/>
    <mergeCell ref="IW24:IY24"/>
    <mergeCell ref="JL24:JM24"/>
    <mergeCell ref="KM24:KO24"/>
    <mergeCell ref="KP24:KR24"/>
    <mergeCell ref="LB24:LC24"/>
    <mergeCell ref="LH24:LJ24"/>
    <mergeCell ref="BL28:BN28"/>
    <mergeCell ref="BQ28:BR28"/>
    <mergeCell ref="BS28:BU28"/>
    <mergeCell ref="BE31:BG31"/>
    <mergeCell ref="BI31:BN31"/>
    <mergeCell ref="BJ29:BK29"/>
    <mergeCell ref="BL29:BN29"/>
    <mergeCell ref="BQ29:BR29"/>
    <mergeCell ref="BS29:BU29"/>
    <mergeCell ref="BL30:BN30"/>
    <mergeCell ref="BQ30:BR30"/>
    <mergeCell ref="BS30:BU30"/>
    <mergeCell ref="JK31:JM31"/>
    <mergeCell ref="JY31:KD31"/>
    <mergeCell ref="IR30:IU31"/>
    <mergeCell ref="IW30:JB30"/>
    <mergeCell ref="JN30:JP30"/>
    <mergeCell ref="KM30:KO30"/>
    <mergeCell ref="KP30:KR30"/>
    <mergeCell ref="IZ31:JB31"/>
    <mergeCell ref="KP31:KR31"/>
    <mergeCell ref="ED29:EF29"/>
    <mergeCell ref="EH29:EJ29"/>
    <mergeCell ref="DT30:DV30"/>
    <mergeCell ref="EA30:EF30"/>
    <mergeCell ref="FJ30:FO30"/>
    <mergeCell ref="FY30:FZ30"/>
    <mergeCell ref="GO30:GQ30"/>
    <mergeCell ref="CY28:DA28"/>
    <mergeCell ref="DB28:DD28"/>
    <mergeCell ref="EA28:EF28"/>
    <mergeCell ref="EH28:EI28"/>
    <mergeCell ref="EJ28:EM28"/>
    <mergeCell ref="EP28:EQ28"/>
    <mergeCell ref="DB29:DD29"/>
    <mergeCell ref="FQ31:FS31"/>
    <mergeCell ref="FY31:FZ31"/>
    <mergeCell ref="GE31:GF31"/>
    <mergeCell ref="GG31:GJ31"/>
    <mergeCell ref="CY31:CZ31"/>
    <mergeCell ref="DA31:DD31"/>
    <mergeCell ref="DF31:DK31"/>
    <mergeCell ref="DU31:DV31"/>
    <mergeCell ref="ED31:EF31"/>
    <mergeCell ref="FJ31:FL31"/>
    <mergeCell ref="FM31:FO31"/>
    <mergeCell ref="HH31:HI31"/>
    <mergeCell ref="HJ31:HL31"/>
    <mergeCell ref="HA30:HB30"/>
    <mergeCell ref="HC30:HE30"/>
    <mergeCell ref="HH30:HI30"/>
    <mergeCell ref="HJ30:HL30"/>
    <mergeCell ref="HN30:HP30"/>
    <mergeCell ref="HU30:HW30"/>
    <mergeCell ref="IP30:IQ31"/>
    <mergeCell ref="KT30:KY30"/>
    <mergeCell ref="KW31:KY31"/>
    <mergeCell ref="EC2:EF3"/>
    <mergeCell ref="EI2:EJ2"/>
    <mergeCell ref="EK2:EM2"/>
    <mergeCell ref="EO2:EP2"/>
    <mergeCell ref="EQ2:ET2"/>
    <mergeCell ref="EX2:FA2"/>
    <mergeCell ref="EO3:EQ3"/>
    <mergeCell ref="EV2:EW2"/>
    <mergeCell ref="EV3:EX3"/>
    <mergeCell ref="FT4:FV4"/>
    <mergeCell ref="FY4:FZ4"/>
    <mergeCell ref="GO4:GQ4"/>
    <mergeCell ref="FY5:FZ5"/>
    <mergeCell ref="GO5:GQ5"/>
    <mergeCell ref="FY7:FZ7"/>
    <mergeCell ref="FY8:FZ8"/>
    <mergeCell ref="FR9:FS9"/>
    <mergeCell ref="GL8:GN8"/>
    <mergeCell ref="GM9:GN9"/>
    <mergeCell ref="FT5:FV5"/>
    <mergeCell ref="FT6:FV6"/>
    <mergeCell ref="FY6:FZ6"/>
    <mergeCell ref="GO6:GQ6"/>
    <mergeCell ref="FT7:FV7"/>
    <mergeCell ref="GO7:GQ7"/>
    <mergeCell ref="FQ8:FS8"/>
    <mergeCell ref="DU2:DV2"/>
    <mergeCell ref="DU3:DV3"/>
    <mergeCell ref="DM2:DN3"/>
    <mergeCell ref="DM4:DO4"/>
    <mergeCell ref="CT2:CW2"/>
    <mergeCell ref="DF2:DG2"/>
    <mergeCell ref="DH2:DK2"/>
    <mergeCell ref="DO2:DR3"/>
    <mergeCell ref="DF3:DH3"/>
    <mergeCell ref="CN4:CP4"/>
    <mergeCell ref="CN5:CP5"/>
    <mergeCell ref="EK6:EM6"/>
    <mergeCell ref="EO6:EQ6"/>
    <mergeCell ref="EK7:EM7"/>
    <mergeCell ref="ER7:ET7"/>
    <mergeCell ref="EH8:EI8"/>
    <mergeCell ref="EJ8:EM8"/>
    <mergeCell ref="EA2:EB3"/>
    <mergeCell ref="EA4:EC4"/>
    <mergeCell ref="EI4:EJ4"/>
    <mergeCell ref="EK4:EM4"/>
    <mergeCell ref="EH5:EM5"/>
    <mergeCell ref="EO5:ET5"/>
    <mergeCell ref="EH6:EJ6"/>
    <mergeCell ref="ER6:ET6"/>
    <mergeCell ref="DU9:DV9"/>
    <mergeCell ref="DW9:DY9"/>
    <mergeCell ref="EH9:EJ9"/>
    <mergeCell ref="EO9:EP9"/>
    <mergeCell ref="EQ9:ET9"/>
    <mergeCell ref="DU4:DV4"/>
    <mergeCell ref="DU5:DV5"/>
    <mergeCell ref="DT6:DY6"/>
    <mergeCell ref="DU7:DV7"/>
    <mergeCell ref="DW7:DY7"/>
    <mergeCell ref="DU8:DV8"/>
    <mergeCell ref="DW8:DY8"/>
    <mergeCell ref="Z2:AA2"/>
    <mergeCell ref="AB2:AE2"/>
    <mergeCell ref="AG2:AH2"/>
    <mergeCell ref="AI2:AL2"/>
    <mergeCell ref="AN2:AO2"/>
    <mergeCell ref="AP2:AS2"/>
    <mergeCell ref="AU2:AV2"/>
    <mergeCell ref="AW2:AZ2"/>
    <mergeCell ref="BB2:BC2"/>
    <mergeCell ref="BD2:BG2"/>
    <mergeCell ref="BI2:BJ2"/>
    <mergeCell ref="BK2:BN2"/>
    <mergeCell ref="BP2:BQ2"/>
    <mergeCell ref="BR2:BU2"/>
    <mergeCell ref="BW2:BX2"/>
    <mergeCell ref="BY2:CB2"/>
    <mergeCell ref="CD2:CE2"/>
    <mergeCell ref="CF2:CI2"/>
    <mergeCell ref="CK2:CL2"/>
    <mergeCell ref="CM2:CP2"/>
    <mergeCell ref="CR2:CS2"/>
    <mergeCell ref="FC2:FD2"/>
    <mergeCell ref="FE2:FH2"/>
    <mergeCell ref="FJ2:FK2"/>
    <mergeCell ref="FL2:FO2"/>
    <mergeCell ref="FQ2:FR2"/>
    <mergeCell ref="FS2:FV2"/>
    <mergeCell ref="FX2:FZ2"/>
    <mergeCell ref="BP3:BR3"/>
    <mergeCell ref="BW3:BY3"/>
    <mergeCell ref="CD3:CF3"/>
    <mergeCell ref="CK3:CP3"/>
    <mergeCell ref="CR3:CT3"/>
    <mergeCell ref="S3:U3"/>
    <mergeCell ref="Z3:AE3"/>
    <mergeCell ref="AG3:AI3"/>
    <mergeCell ref="AN3:AP3"/>
    <mergeCell ref="AU3:AZ3"/>
    <mergeCell ref="BB3:BD3"/>
    <mergeCell ref="BI3:BK3"/>
    <mergeCell ref="EI3:EJ3"/>
    <mergeCell ref="EK3:EM3"/>
    <mergeCell ref="FC3:FE3"/>
    <mergeCell ref="FJ3:FL3"/>
    <mergeCell ref="FQ3:FV3"/>
    <mergeCell ref="FY3:FZ3"/>
    <mergeCell ref="HP2:HS2"/>
    <mergeCell ref="HN3:HS3"/>
    <mergeCell ref="HQ4:HS4"/>
    <mergeCell ref="HU4:HW4"/>
    <mergeCell ref="IB4:ID4"/>
    <mergeCell ref="IW4:IY4"/>
    <mergeCell ref="JL4:JM4"/>
    <mergeCell ref="HQ5:HS5"/>
    <mergeCell ref="HQ6:HS6"/>
    <mergeCell ref="HQ7:HS7"/>
    <mergeCell ref="HN8:HP8"/>
    <mergeCell ref="GZ9:HE9"/>
    <mergeCell ref="HO9:HP9"/>
    <mergeCell ref="HC10:HE10"/>
    <mergeCell ref="HO10:HP10"/>
    <mergeCell ref="HB2:HE2"/>
    <mergeCell ref="HG2:HH2"/>
    <mergeCell ref="HI2:HL2"/>
    <mergeCell ref="HN2:HO2"/>
    <mergeCell ref="HU2:HV3"/>
    <mergeCell ref="HW2:HZ3"/>
    <mergeCell ref="HG3:HI3"/>
    <mergeCell ref="JL6:JM6"/>
    <mergeCell ref="JL8:JM8"/>
    <mergeCell ref="IW8:IX8"/>
    <mergeCell ref="IP9:IU9"/>
    <mergeCell ref="IS10:IU10"/>
    <mergeCell ref="IP12:IR12"/>
    <mergeCell ref="IZ4:JB4"/>
    <mergeCell ref="IZ5:JB5"/>
    <mergeCell ref="JL5:JM5"/>
    <mergeCell ref="IW7:IX7"/>
    <mergeCell ref="IY7:JB7"/>
    <mergeCell ref="JK7:JP7"/>
    <mergeCell ref="JN8:JP8"/>
    <mergeCell ref="JR12:JS12"/>
    <mergeCell ref="JT12:JW12"/>
    <mergeCell ref="KB12:KD12"/>
    <mergeCell ref="KF12:KH12"/>
    <mergeCell ref="JD9:JI9"/>
    <mergeCell ref="JL9:JM9"/>
    <mergeCell ref="JN9:JP9"/>
    <mergeCell ref="JG10:JI10"/>
    <mergeCell ref="JL10:JM10"/>
    <mergeCell ref="JN10:JP10"/>
    <mergeCell ref="JG12:JI12"/>
    <mergeCell ref="JR2:JS2"/>
    <mergeCell ref="JR3:JT3"/>
    <mergeCell ref="JF2:JI2"/>
    <mergeCell ref="JL2:JM2"/>
    <mergeCell ref="JT2:JW2"/>
    <mergeCell ref="KF2:KG2"/>
    <mergeCell ref="KH2:KK2"/>
    <mergeCell ref="KM2:KR3"/>
    <mergeCell ref="JL3:JM3"/>
    <mergeCell ref="LA6:LB6"/>
    <mergeCell ref="LC6:LF6"/>
    <mergeCell ref="LA7:LC7"/>
    <mergeCell ref="KW12:KY12"/>
    <mergeCell ref="LH12:LM12"/>
    <mergeCell ref="KF7:KG7"/>
    <mergeCell ref="KH7:KK7"/>
    <mergeCell ref="KF8:KK8"/>
    <mergeCell ref="JY9:KD9"/>
    <mergeCell ref="KI9:KK9"/>
    <mergeCell ref="KB10:KD10"/>
    <mergeCell ref="KI10:KK10"/>
    <mergeCell ref="KF3:KK3"/>
    <mergeCell ref="KF4:KH4"/>
    <mergeCell ref="KI4:KK4"/>
    <mergeCell ref="KI5:KK5"/>
    <mergeCell ref="KM5:KN5"/>
    <mergeCell ref="KO5:KR5"/>
    <mergeCell ref="KM6:KO6"/>
    <mergeCell ref="LC2:LF2"/>
    <mergeCell ref="LA3:LF3"/>
    <mergeCell ref="LD4:LF4"/>
    <mergeCell ref="KT2:KU2"/>
    <mergeCell ref="KV2:KY2"/>
    <mergeCell ref="LA2:LB2"/>
    <mergeCell ref="LH2:LI2"/>
    <mergeCell ref="LJ2:LM2"/>
    <mergeCell ref="KT3:KV3"/>
    <mergeCell ref="LH3:LJ3"/>
    <mergeCell ref="LV4:LX4"/>
    <mergeCell ref="LQ2:LT2"/>
    <mergeCell ref="LV2:LW3"/>
    <mergeCell ref="LX2:MA3"/>
    <mergeCell ref="GN2:GQ2"/>
    <mergeCell ref="GL3:GQ3"/>
    <mergeCell ref="GZ2:HA2"/>
    <mergeCell ref="GZ3:HB3"/>
    <mergeCell ref="GE2:GF2"/>
    <mergeCell ref="GG2:GJ2"/>
    <mergeCell ref="GL2:GM2"/>
    <mergeCell ref="GS2:GT2"/>
    <mergeCell ref="GU2:GX2"/>
    <mergeCell ref="GE3:GG3"/>
    <mergeCell ref="GS3:GU3"/>
    <mergeCell ref="IY2:JB2"/>
    <mergeCell ref="IW3:JB3"/>
    <mergeCell ref="IB2:IC3"/>
    <mergeCell ref="ID2:IG3"/>
    <mergeCell ref="II2:IJ2"/>
    <mergeCell ref="IK2:IN2"/>
    <mergeCell ref="IW2:IX2"/>
    <mergeCell ref="JD2:JE2"/>
    <mergeCell ref="II3:IK3"/>
    <mergeCell ref="JD3:JF3"/>
    <mergeCell ref="LO2:LP2"/>
    <mergeCell ref="LO3:LQ3"/>
    <mergeCell ref="CL9:CM9"/>
    <mergeCell ref="CL10:CM10"/>
    <mergeCell ref="CK6:CM6"/>
    <mergeCell ref="CY6:DD6"/>
    <mergeCell ref="CL7:CM7"/>
    <mergeCell ref="DB7:DD7"/>
    <mergeCell ref="CL8:CM8"/>
    <mergeCell ref="DB8:DD8"/>
    <mergeCell ref="DB9:DD9"/>
    <mergeCell ref="CR10:CW10"/>
    <mergeCell ref="CY10:DA10"/>
    <mergeCell ref="DU10:DV10"/>
    <mergeCell ref="DW10:DY10"/>
    <mergeCell ref="EO10:EQ10"/>
    <mergeCell ref="FC10:FH10"/>
    <mergeCell ref="FJ10:FO10"/>
    <mergeCell ref="FR12:FS12"/>
    <mergeCell ref="GE12:GJ12"/>
    <mergeCell ref="GV12:GX12"/>
    <mergeCell ref="HC12:HE12"/>
    <mergeCell ref="HG12:HL12"/>
    <mergeCell ref="HO12:HP12"/>
    <mergeCell ref="FR10:FS10"/>
    <mergeCell ref="FX10:FY10"/>
    <mergeCell ref="FZ10:GC10"/>
    <mergeCell ref="GM10:GN10"/>
    <mergeCell ref="EY12:FA12"/>
    <mergeCell ref="FC12:FH12"/>
    <mergeCell ref="FJ12:FO12"/>
    <mergeCell ref="GM12:GN12"/>
    <mergeCell ref="AX10:AZ10"/>
    <mergeCell ref="AX11:AZ11"/>
    <mergeCell ref="L10:Q10"/>
    <mergeCell ref="AG10:AL10"/>
    <mergeCell ref="AU10:AW10"/>
    <mergeCell ref="BI10:BN10"/>
    <mergeCell ref="O11:Q11"/>
    <mergeCell ref="AJ11:AL11"/>
    <mergeCell ref="BL11:BN11"/>
    <mergeCell ref="CD11:CI11"/>
    <mergeCell ref="CL11:CM11"/>
    <mergeCell ref="CU11:CW11"/>
    <mergeCell ref="CZ11:DA11"/>
    <mergeCell ref="DF11:DK11"/>
    <mergeCell ref="DU11:DV11"/>
    <mergeCell ref="DW11:DY11"/>
    <mergeCell ref="EV11:FA11"/>
    <mergeCell ref="FF11:FH11"/>
    <mergeCell ref="FM11:FO11"/>
    <mergeCell ref="FR11:FS11"/>
    <mergeCell ref="FX11:FZ11"/>
    <mergeCell ref="GM11:GN11"/>
    <mergeCell ref="GS11:GX11"/>
    <mergeCell ref="KI11:KK11"/>
    <mergeCell ref="KT11:KY11"/>
    <mergeCell ref="GZ11:HE11"/>
    <mergeCell ref="HO11:HP11"/>
    <mergeCell ref="IS11:IU11"/>
    <mergeCell ref="JD11:JI11"/>
    <mergeCell ref="JL11:JM11"/>
    <mergeCell ref="JN11:JP11"/>
    <mergeCell ref="KB11:KD11"/>
    <mergeCell ref="E3:J3"/>
    <mergeCell ref="L3:N3"/>
    <mergeCell ref="H4:J4"/>
    <mergeCell ref="AC4:AE4"/>
    <mergeCell ref="AX4:AZ4"/>
    <mergeCell ref="B2:C3"/>
    <mergeCell ref="E2:F2"/>
    <mergeCell ref="G2:J2"/>
    <mergeCell ref="L2:M2"/>
    <mergeCell ref="N2:Q2"/>
    <mergeCell ref="S2:T2"/>
    <mergeCell ref="U2:X2"/>
    <mergeCell ref="B5:C5"/>
    <mergeCell ref="H5:J5"/>
    <mergeCell ref="AC5:AE5"/>
    <mergeCell ref="AX5:AZ5"/>
    <mergeCell ref="H6:J6"/>
    <mergeCell ref="AC6:AE6"/>
    <mergeCell ref="AX6:AZ6"/>
    <mergeCell ref="AU7:AZ7"/>
    <mergeCell ref="AN8:AO8"/>
    <mergeCell ref="AN9:AP9"/>
    <mergeCell ref="AJ12:AL12"/>
    <mergeCell ref="AX12:AZ12"/>
    <mergeCell ref="AG13:AI13"/>
    <mergeCell ref="B7:C8"/>
    <mergeCell ref="B10:C12"/>
    <mergeCell ref="L12:Q12"/>
    <mergeCell ref="S12:X12"/>
    <mergeCell ref="O13:Q13"/>
    <mergeCell ref="V13:X13"/>
    <mergeCell ref="E7:G7"/>
    <mergeCell ref="Z8:AA8"/>
    <mergeCell ref="AB8:AE8"/>
    <mergeCell ref="AP8:AS8"/>
    <mergeCell ref="AU8:AZ8"/>
    <mergeCell ref="Z9:AB9"/>
    <mergeCell ref="AX9:AZ9"/>
    <mergeCell ref="DT12:DY12"/>
    <mergeCell ref="DT13:DV13"/>
    <mergeCell ref="DW13:DY13"/>
    <mergeCell ref="DG14:DH14"/>
    <mergeCell ref="DI14:DK14"/>
    <mergeCell ref="DM14:DR14"/>
    <mergeCell ref="DW14:DY14"/>
    <mergeCell ref="ED14:EF14"/>
    <mergeCell ref="EW14:EX14"/>
    <mergeCell ref="EY14:FA14"/>
    <mergeCell ref="CU14:CW14"/>
    <mergeCell ref="DB14:DD14"/>
    <mergeCell ref="DP15:DR15"/>
    <mergeCell ref="EA15:EF15"/>
    <mergeCell ref="EW15:EX15"/>
    <mergeCell ref="EY15:FA15"/>
    <mergeCell ref="FC15:FE15"/>
    <mergeCell ref="FM15:FO15"/>
    <mergeCell ref="FQ15:FV15"/>
    <mergeCell ref="GH15:GJ15"/>
    <mergeCell ref="GM15:GN15"/>
    <mergeCell ref="GV15:GX15"/>
    <mergeCell ref="HC15:HE15"/>
    <mergeCell ref="HJ15:HL15"/>
    <mergeCell ref="JZ15:KA15"/>
    <mergeCell ref="KG15:KH15"/>
    <mergeCell ref="KM15:KR15"/>
    <mergeCell ref="KU15:KV15"/>
    <mergeCell ref="LA15:LF15"/>
    <mergeCell ref="LI15:LJ15"/>
    <mergeCell ref="LR15:LT15"/>
    <mergeCell ref="LV15:LX15"/>
    <mergeCell ref="HX15:HZ15"/>
    <mergeCell ref="IB15:ID15"/>
    <mergeCell ref="II15:IK15"/>
    <mergeCell ref="IQ15:IR15"/>
    <mergeCell ref="IW15:JB15"/>
    <mergeCell ref="JD15:JF15"/>
    <mergeCell ref="JN15:JP15"/>
    <mergeCell ref="JG13:JI13"/>
    <mergeCell ref="JG14:JI14"/>
    <mergeCell ref="IB13:IC14"/>
    <mergeCell ref="ID13:IG14"/>
    <mergeCell ref="II13:IJ14"/>
    <mergeCell ref="IK13:IN14"/>
    <mergeCell ref="IQ13:IR13"/>
    <mergeCell ref="JK13:JL13"/>
    <mergeCell ref="IQ14:IR14"/>
    <mergeCell ref="KG13:KH13"/>
    <mergeCell ref="KG14:KH14"/>
    <mergeCell ref="LK13:LM13"/>
    <mergeCell ref="LH14:LJ14"/>
    <mergeCell ref="JR13:JT13"/>
    <mergeCell ref="JY13:KA13"/>
    <mergeCell ref="KW13:KY13"/>
    <mergeCell ref="LV13:LW14"/>
    <mergeCell ref="LX13:MA14"/>
    <mergeCell ref="JZ14:KA14"/>
    <mergeCell ref="KT14:KV14"/>
    <mergeCell ref="LO14:LT14"/>
    <mergeCell ref="CY13:DA13"/>
    <mergeCell ref="DB13:DD13"/>
    <mergeCell ref="EA13:EF13"/>
    <mergeCell ref="EV13:FA13"/>
    <mergeCell ref="FF13:FH13"/>
    <mergeCell ref="FM13:FO13"/>
    <mergeCell ref="FR13:FS13"/>
    <mergeCell ref="GH13:GJ13"/>
    <mergeCell ref="GM13:GN13"/>
    <mergeCell ref="GV13:GX13"/>
    <mergeCell ref="HC13:HE13"/>
    <mergeCell ref="HJ13:HL13"/>
    <mergeCell ref="HO13:HP13"/>
    <mergeCell ref="HU13:HZ13"/>
    <mergeCell ref="CS13:CT13"/>
    <mergeCell ref="CS14:CT14"/>
    <mergeCell ref="CR12:CW12"/>
    <mergeCell ref="CY12:DD12"/>
    <mergeCell ref="DI12:DK12"/>
    <mergeCell ref="CN13:CP13"/>
    <mergeCell ref="CU13:CW13"/>
    <mergeCell ref="DF13:DK13"/>
    <mergeCell ref="CN14:CP14"/>
    <mergeCell ref="HJ14:HL14"/>
    <mergeCell ref="HO14:HP14"/>
    <mergeCell ref="HU14:HW14"/>
    <mergeCell ref="HX14:HZ14"/>
    <mergeCell ref="FF14:FH14"/>
    <mergeCell ref="FM14:FO14"/>
    <mergeCell ref="FR14:FS14"/>
    <mergeCell ref="GE14:GJ14"/>
    <mergeCell ref="GM14:GN14"/>
    <mergeCell ref="GV14:GX14"/>
    <mergeCell ref="HC14:HE14"/>
    <mergeCell ref="JM13:JP13"/>
    <mergeCell ref="JK14:JP14"/>
    <mergeCell ref="BP10:BU10"/>
    <mergeCell ref="BS11:BU11"/>
    <mergeCell ref="BL12:BN12"/>
    <mergeCell ref="BS12:BU12"/>
    <mergeCell ref="BW12:CB12"/>
    <mergeCell ref="CG12:CI12"/>
    <mergeCell ref="CL12:CM12"/>
    <mergeCell ref="AH14:AI14"/>
    <mergeCell ref="AN14:AS14"/>
    <mergeCell ref="AU14:AV14"/>
    <mergeCell ref="AW14:AZ14"/>
    <mergeCell ref="BP13:BU13"/>
    <mergeCell ref="BS14:BU14"/>
    <mergeCell ref="CD13:CI13"/>
    <mergeCell ref="CG14:CI14"/>
    <mergeCell ref="CN15:CP15"/>
    <mergeCell ref="CS15:CT15"/>
    <mergeCell ref="CU15:CW15"/>
    <mergeCell ref="E15:J15"/>
    <mergeCell ref="L15:N15"/>
    <mergeCell ref="S15:T15"/>
    <mergeCell ref="U15:X15"/>
    <mergeCell ref="BW15:CB15"/>
    <mergeCell ref="CG15:CI15"/>
    <mergeCell ref="CY15:CZ16"/>
    <mergeCell ref="DA15:DD16"/>
    <mergeCell ref="DG15:DH15"/>
    <mergeCell ref="DI15:DK15"/>
    <mergeCell ref="CK16:CP16"/>
    <mergeCell ref="DG16:DH16"/>
    <mergeCell ref="DI16:DK16"/>
    <mergeCell ref="DP16:DR16"/>
    <mergeCell ref="DT16:DU16"/>
    <mergeCell ref="DV16:DY16"/>
    <mergeCell ref="ED16:EF16"/>
    <mergeCell ref="EW16:EX16"/>
    <mergeCell ref="EY16:FA16"/>
    <mergeCell ref="FD16:FE16"/>
    <mergeCell ref="FM16:FO16"/>
    <mergeCell ref="FT16:FV16"/>
    <mergeCell ref="GH16:GJ16"/>
    <mergeCell ref="GS16:GU16"/>
    <mergeCell ref="GZ16:HB16"/>
    <mergeCell ref="JY16:KD16"/>
    <mergeCell ref="KG16:KH16"/>
    <mergeCell ref="KM16:KO16"/>
    <mergeCell ref="KP16:KR16"/>
    <mergeCell ref="KU16:KV16"/>
    <mergeCell ref="LD16:LF16"/>
    <mergeCell ref="LI16:LJ16"/>
    <mergeCell ref="LO16:LQ16"/>
    <mergeCell ref="HJ16:HL16"/>
    <mergeCell ref="HN16:HO16"/>
    <mergeCell ref="HP16:HS16"/>
    <mergeCell ref="IQ16:IR16"/>
    <mergeCell ref="IZ16:JB16"/>
    <mergeCell ref="JE16:JF16"/>
    <mergeCell ref="JN16:JP16"/>
    <mergeCell ref="V23:X23"/>
    <mergeCell ref="Z23:AE23"/>
    <mergeCell ref="AN23:AP23"/>
    <mergeCell ref="AQ23:AS23"/>
    <mergeCell ref="L24:M24"/>
    <mergeCell ref="N24:Q24"/>
    <mergeCell ref="V24:X24"/>
    <mergeCell ref="AC24:AE24"/>
    <mergeCell ref="AQ24:AS24"/>
    <mergeCell ref="AU24:AV24"/>
    <mergeCell ref="AW24:AZ24"/>
    <mergeCell ref="CK22:CP22"/>
    <mergeCell ref="DF22:DH22"/>
    <mergeCell ref="V20:X20"/>
    <mergeCell ref="V21:X21"/>
    <mergeCell ref="Z21:AE21"/>
    <mergeCell ref="V22:X22"/>
    <mergeCell ref="AC22:AE22"/>
    <mergeCell ref="AN22:AS22"/>
    <mergeCell ref="AX22:AZ22"/>
    <mergeCell ref="BB23:BD23"/>
    <mergeCell ref="BE23:BG23"/>
    <mergeCell ref="BE24:BG24"/>
    <mergeCell ref="BJ24:BK24"/>
    <mergeCell ref="BQ22:BR22"/>
    <mergeCell ref="BQ23:BR23"/>
    <mergeCell ref="BQ24:BR24"/>
    <mergeCell ref="CK25:CL25"/>
    <mergeCell ref="CM25:CP25"/>
    <mergeCell ref="BW24:CB24"/>
    <mergeCell ref="CE24:CF24"/>
    <mergeCell ref="CG24:CI24"/>
    <mergeCell ref="CR24:CT24"/>
    <mergeCell ref="BZ25:CB25"/>
    <mergeCell ref="CE25:CF25"/>
    <mergeCell ref="CG25:CI25"/>
    <mergeCell ref="BL26:BN26"/>
    <mergeCell ref="BQ26:BR26"/>
    <mergeCell ref="BS26:BU26"/>
    <mergeCell ref="BZ26:CB26"/>
    <mergeCell ref="CE26:CF26"/>
    <mergeCell ref="CG26:CI26"/>
    <mergeCell ref="CK26:CM26"/>
    <mergeCell ref="H26:J26"/>
    <mergeCell ref="L26:Q26"/>
    <mergeCell ref="V26:X26"/>
    <mergeCell ref="Z26:AB26"/>
    <mergeCell ref="AN26:AO26"/>
    <mergeCell ref="AP26:AS26"/>
    <mergeCell ref="BJ26:BK26"/>
    <mergeCell ref="GM26:GN26"/>
    <mergeCell ref="GT26:GU26"/>
    <mergeCell ref="ER26:ET26"/>
    <mergeCell ref="EV26:EX26"/>
    <mergeCell ref="FK26:FL26"/>
    <mergeCell ref="FM26:FO26"/>
    <mergeCell ref="GA26:GC26"/>
    <mergeCell ref="GF26:GG26"/>
    <mergeCell ref="GH26:GJ26"/>
    <mergeCell ref="H25:J25"/>
    <mergeCell ref="L25:Q25"/>
    <mergeCell ref="V25:X25"/>
    <mergeCell ref="AC25:AE25"/>
    <mergeCell ref="AU25:AW25"/>
    <mergeCell ref="BE25:BG25"/>
    <mergeCell ref="BI25:BN25"/>
    <mergeCell ref="FD25:FE25"/>
    <mergeCell ref="FF25:FH25"/>
    <mergeCell ref="FK25:FL25"/>
    <mergeCell ref="FM25:FO25"/>
    <mergeCell ref="GA25:GC25"/>
    <mergeCell ref="GF25:GG25"/>
    <mergeCell ref="GH25:GJ25"/>
    <mergeCell ref="LV25:LX25"/>
    <mergeCell ref="LY25:MA25"/>
    <mergeCell ref="LY26:MA26"/>
    <mergeCell ref="HO25:HP25"/>
    <mergeCell ref="IB25:ID25"/>
    <mergeCell ref="IE25:IG25"/>
    <mergeCell ref="II25:IK25"/>
    <mergeCell ref="KP25:KR25"/>
    <mergeCell ref="LA25:LC25"/>
    <mergeCell ref="LD25:LF25"/>
    <mergeCell ref="EP25:EQ25"/>
    <mergeCell ref="EP26:EQ26"/>
    <mergeCell ref="BP25:BU25"/>
    <mergeCell ref="BW25:BY25"/>
    <mergeCell ref="DT25:DY25"/>
    <mergeCell ref="ER25:ET25"/>
    <mergeCell ref="EV25:EW25"/>
    <mergeCell ref="EX25:FA25"/>
    <mergeCell ref="DW26:DY26"/>
    <mergeCell ref="JM26:JP26"/>
    <mergeCell ref="KP26:KR26"/>
    <mergeCell ref="LD26:LF26"/>
    <mergeCell ref="HA25:HB25"/>
    <mergeCell ref="HA26:HB26"/>
    <mergeCell ref="HJ26:HL26"/>
    <mergeCell ref="HO26:HP26"/>
    <mergeCell ref="HU26:HZ26"/>
    <mergeCell ref="IE26:IG26"/>
    <mergeCell ref="JK26:JL26"/>
    <mergeCell ref="ER28:ET28"/>
    <mergeCell ref="FC28:FE28"/>
    <mergeCell ref="FK28:FL28"/>
    <mergeCell ref="FM28:FO28"/>
    <mergeCell ref="FX28:FZ28"/>
    <mergeCell ref="GF28:GG28"/>
    <mergeCell ref="GH28:GJ28"/>
    <mergeCell ref="GL28:GQ28"/>
    <mergeCell ref="GT28:GU28"/>
    <mergeCell ref="GV28:GX28"/>
    <mergeCell ref="HA28:HB28"/>
    <mergeCell ref="HC28:HE28"/>
    <mergeCell ref="HJ28:HL28"/>
    <mergeCell ref="JN28:JP28"/>
    <mergeCell ref="HP28:HS29"/>
    <mergeCell ref="HU29:HV29"/>
    <mergeCell ref="HH25:HI25"/>
    <mergeCell ref="HH26:HI26"/>
    <mergeCell ref="HH27:HI27"/>
    <mergeCell ref="HH28:HI28"/>
    <mergeCell ref="HN28:HO29"/>
    <mergeCell ref="HH29:HI29"/>
    <mergeCell ref="HJ29:HL29"/>
    <mergeCell ref="GM25:GN25"/>
    <mergeCell ref="GT25:GU25"/>
    <mergeCell ref="GV25:GX25"/>
    <mergeCell ref="HC25:HE25"/>
    <mergeCell ref="HJ25:HL25"/>
    <mergeCell ref="GV26:GX26"/>
    <mergeCell ref="HC26:HE26"/>
    <mergeCell ref="HA27:HB27"/>
    <mergeCell ref="HC27:HE27"/>
    <mergeCell ref="HJ27:HL27"/>
    <mergeCell ref="HO27:HP27"/>
    <mergeCell ref="HX27:HZ27"/>
    <mergeCell ref="JK27:JP27"/>
    <mergeCell ref="LD27:LF27"/>
    <mergeCell ref="LV27:MA27"/>
    <mergeCell ref="FM27:FO27"/>
    <mergeCell ref="GA27:GC27"/>
    <mergeCell ref="GF27:GG27"/>
    <mergeCell ref="GH27:GJ27"/>
    <mergeCell ref="GM27:GN27"/>
    <mergeCell ref="GT27:GU27"/>
    <mergeCell ref="GV27:GX27"/>
    <mergeCell ref="CY27:DD27"/>
    <mergeCell ref="DT27:DY27"/>
    <mergeCell ref="EP27:EQ27"/>
    <mergeCell ref="ER27:ET27"/>
    <mergeCell ref="FC27:FD27"/>
    <mergeCell ref="FE27:FH27"/>
    <mergeCell ref="FK27:FL27"/>
    <mergeCell ref="KM28:KN28"/>
    <mergeCell ref="KO28:KR28"/>
    <mergeCell ref="LV28:LX28"/>
    <mergeCell ref="LY28:MA28"/>
    <mergeCell ref="DW28:DY28"/>
    <mergeCell ref="DW29:DY29"/>
    <mergeCell ref="EP29:EQ29"/>
    <mergeCell ref="ER29:ET29"/>
    <mergeCell ref="FK29:FL29"/>
    <mergeCell ref="FM29:FO29"/>
    <mergeCell ref="FY29:FZ29"/>
    <mergeCell ref="HC29:HE29"/>
    <mergeCell ref="HW29:HZ29"/>
    <mergeCell ref="JN29:JP29"/>
    <mergeCell ref="KM29:KR29"/>
    <mergeCell ref="LY29:MA29"/>
    <mergeCell ref="GF29:GG29"/>
    <mergeCell ref="GH29:GJ29"/>
    <mergeCell ref="GL29:GN29"/>
    <mergeCell ref="GO29:GQ29"/>
    <mergeCell ref="GT29:GU29"/>
    <mergeCell ref="GV29:GX29"/>
    <mergeCell ref="HA29:HB29"/>
    <mergeCell ref="AO38:AP38"/>
    <mergeCell ref="AO39:AP39"/>
    <mergeCell ref="AQ39:AS39"/>
    <mergeCell ref="AO40:AP40"/>
    <mergeCell ref="AQ40:AS40"/>
    <mergeCell ref="AN35:AS35"/>
    <mergeCell ref="AO36:AP36"/>
    <mergeCell ref="AQ36:AS36"/>
    <mergeCell ref="AH37:AI37"/>
    <mergeCell ref="AO37:AP37"/>
    <mergeCell ref="AQ37:AS37"/>
    <mergeCell ref="AQ38:AS38"/>
    <mergeCell ref="B34:C34"/>
    <mergeCell ref="AH34:AI34"/>
    <mergeCell ref="AQ34:AS34"/>
    <mergeCell ref="BW34:CB34"/>
    <mergeCell ref="CN34:CP34"/>
    <mergeCell ref="CR34:CS34"/>
    <mergeCell ref="CT34:CW34"/>
    <mergeCell ref="DT35:DY35"/>
    <mergeCell ref="EB35:EC35"/>
    <mergeCell ref="FF35:FH35"/>
    <mergeCell ref="FX35:GC35"/>
    <mergeCell ref="GE35:GG35"/>
    <mergeCell ref="V34:X34"/>
    <mergeCell ref="V35:X35"/>
    <mergeCell ref="AH35:AI35"/>
    <mergeCell ref="BZ35:CB35"/>
    <mergeCell ref="CR35:CT35"/>
    <mergeCell ref="DM35:DR35"/>
    <mergeCell ref="AH36:AI36"/>
    <mergeCell ref="DP36:DR36"/>
    <mergeCell ref="DW36:DY36"/>
    <mergeCell ref="FY36:FZ36"/>
    <mergeCell ref="GA36:GC36"/>
    <mergeCell ref="GF36:GG36"/>
    <mergeCell ref="DP37:DR37"/>
    <mergeCell ref="DW37:DY37"/>
    <mergeCell ref="GF37:GG37"/>
    <mergeCell ref="DU38:DV38"/>
    <mergeCell ref="DU39:DV39"/>
    <mergeCell ref="DN40:DO40"/>
    <mergeCell ref="DU40:DV40"/>
    <mergeCell ref="DW40:DY40"/>
    <mergeCell ref="EB40:EC40"/>
    <mergeCell ref="ED40:EF40"/>
    <mergeCell ref="DU36:DV36"/>
    <mergeCell ref="DU37:DV37"/>
    <mergeCell ref="CY38:DD38"/>
    <mergeCell ref="DM38:DO38"/>
    <mergeCell ref="DW38:DY38"/>
    <mergeCell ref="DB39:DD39"/>
    <mergeCell ref="DN39:DO39"/>
    <mergeCell ref="DW39:DY39"/>
    <mergeCell ref="EK39:EM39"/>
    <mergeCell ref="EK40:EM40"/>
    <mergeCell ref="FT40:FV40"/>
    <mergeCell ref="FY40:FZ40"/>
    <mergeCell ref="GA40:GC40"/>
    <mergeCell ref="EB36:EC36"/>
    <mergeCell ref="EB37:EC37"/>
    <mergeCell ref="EA38:EF38"/>
    <mergeCell ref="EH38:EM38"/>
    <mergeCell ref="EB39:EC39"/>
    <mergeCell ref="ED39:EF39"/>
    <mergeCell ref="EH39:EJ39"/>
    <mergeCell ref="AA29:AB29"/>
    <mergeCell ref="AA30:AB30"/>
    <mergeCell ref="F29:G29"/>
    <mergeCell ref="O29:Q29"/>
    <mergeCell ref="V29:X29"/>
    <mergeCell ref="AJ29:AL29"/>
    <mergeCell ref="BE29:BG29"/>
    <mergeCell ref="V30:X30"/>
    <mergeCell ref="AG30:AL30"/>
    <mergeCell ref="BE30:BG30"/>
    <mergeCell ref="BC29:BD29"/>
    <mergeCell ref="BC30:BD30"/>
    <mergeCell ref="CY32:DA32"/>
    <mergeCell ref="DI32:DK32"/>
    <mergeCell ref="DU32:DV32"/>
    <mergeCell ref="ED32:EF32"/>
    <mergeCell ref="FM32:FO32"/>
    <mergeCell ref="JD32:JI32"/>
    <mergeCell ref="JL32:JM32"/>
    <mergeCell ref="JR32:JW32"/>
    <mergeCell ref="KB32:KD32"/>
    <mergeCell ref="KW32:KY32"/>
    <mergeCell ref="LH32:LM32"/>
    <mergeCell ref="FY32:FZ32"/>
    <mergeCell ref="GE32:GJ32"/>
    <mergeCell ref="HH32:HI32"/>
    <mergeCell ref="HJ32:HL32"/>
    <mergeCell ref="II32:IN32"/>
    <mergeCell ref="IP32:IU32"/>
    <mergeCell ref="IW32:JB32"/>
    <mergeCell ref="F30:G30"/>
    <mergeCell ref="F31:G31"/>
    <mergeCell ref="V31:X31"/>
    <mergeCell ref="AA31:AB31"/>
    <mergeCell ref="AJ31:AL31"/>
    <mergeCell ref="V32:X32"/>
    <mergeCell ref="AA32:AB32"/>
    <mergeCell ref="CK33:CP33"/>
    <mergeCell ref="DM33:DR33"/>
    <mergeCell ref="DU33:DV33"/>
    <mergeCell ref="EA33:EC33"/>
    <mergeCell ref="FY33:FZ33"/>
    <mergeCell ref="GH33:GJ33"/>
    <mergeCell ref="IL33:IN33"/>
    <mergeCell ref="KT33:KV33"/>
    <mergeCell ref="LK33:LM33"/>
    <mergeCell ref="LV33:MA33"/>
    <mergeCell ref="KU34:KV34"/>
    <mergeCell ref="LH34:LJ34"/>
    <mergeCell ref="DP34:DR34"/>
    <mergeCell ref="DU34:DV34"/>
    <mergeCell ref="EB34:EC34"/>
    <mergeCell ref="FC34:FH34"/>
    <mergeCell ref="FY34:FZ34"/>
    <mergeCell ref="GH34:GJ34"/>
    <mergeCell ref="V33:X33"/>
    <mergeCell ref="AG33:AI33"/>
    <mergeCell ref="AN33:AS33"/>
    <mergeCell ref="AU33:AW33"/>
    <mergeCell ref="BC33:BD33"/>
    <mergeCell ref="BE33:BG33"/>
    <mergeCell ref="BL33:BN33"/>
    <mergeCell ref="IS33:IU33"/>
    <mergeCell ref="IS34:IU34"/>
    <mergeCell ref="JU33:JW33"/>
    <mergeCell ref="JU34:JW34"/>
    <mergeCell ref="B14:C21"/>
    <mergeCell ref="E18:G18"/>
    <mergeCell ref="H18:J18"/>
    <mergeCell ref="H19:J19"/>
    <mergeCell ref="M19:N19"/>
    <mergeCell ref="L20:Q20"/>
    <mergeCell ref="O21:Q21"/>
    <mergeCell ref="BJ27:BK27"/>
    <mergeCell ref="BL27:BN27"/>
    <mergeCell ref="BQ27:BR27"/>
    <mergeCell ref="BS27:BU27"/>
    <mergeCell ref="BW27:BY27"/>
    <mergeCell ref="E27:G27"/>
    <mergeCell ref="O27:Q27"/>
    <mergeCell ref="V27:X27"/>
    <mergeCell ref="AA27:AB27"/>
    <mergeCell ref="AN27:AP27"/>
    <mergeCell ref="BB27:BC27"/>
    <mergeCell ref="BD27:BG27"/>
    <mergeCell ref="F28:G28"/>
    <mergeCell ref="O28:Q28"/>
    <mergeCell ref="V28:X28"/>
    <mergeCell ref="AA28:AB28"/>
    <mergeCell ref="AG28:AL28"/>
    <mergeCell ref="BB28:BG28"/>
    <mergeCell ref="BJ28:BK28"/>
    <mergeCell ref="BJ30:BK30"/>
    <mergeCell ref="BC31:BD31"/>
    <mergeCell ref="AJ32:AL32"/>
    <mergeCell ref="AU32:AV32"/>
    <mergeCell ref="AW32:AZ32"/>
    <mergeCell ref="BC32:BD32"/>
    <mergeCell ref="BE32:BG32"/>
    <mergeCell ref="BI32:BK32"/>
    <mergeCell ref="BL32:BN32"/>
    <mergeCell ref="G21:J21"/>
    <mergeCell ref="L21:N21"/>
    <mergeCell ref="E22:J22"/>
    <mergeCell ref="O22:Q22"/>
    <mergeCell ref="B23:C32"/>
    <mergeCell ref="H23:J23"/>
    <mergeCell ref="E24:J24"/>
    <mergeCell ref="JZ37:KA37"/>
    <mergeCell ref="KU37:KV37"/>
    <mergeCell ref="LI38:LJ38"/>
    <mergeCell ref="LV39:MA39"/>
    <mergeCell ref="JL35:JM35"/>
    <mergeCell ref="JY35:KA35"/>
    <mergeCell ref="LI35:LJ35"/>
    <mergeCell ref="LV35:MA37"/>
    <mergeCell ref="JL36:JM36"/>
    <mergeCell ref="JZ36:KA36"/>
    <mergeCell ref="LI36:LJ36"/>
    <mergeCell ref="LI37:LJ37"/>
    <mergeCell ref="II37:IJ37"/>
    <mergeCell ref="II38:IK38"/>
    <mergeCell ref="IP36:IQ37"/>
    <mergeCell ref="IP39:IR39"/>
    <mergeCell ref="IS40:IU40"/>
    <mergeCell ref="IS39:IU39"/>
    <mergeCell ref="IW39:IY39"/>
    <mergeCell ref="IZ39:JB39"/>
    <mergeCell ref="JD39:JF39"/>
    <mergeCell ref="JR39:JT39"/>
    <mergeCell ref="JZ39:KA39"/>
    <mergeCell ref="IZ40:JB40"/>
    <mergeCell ref="JE40:JF40"/>
    <mergeCell ref="IL36:IN36"/>
    <mergeCell ref="IR36:IU37"/>
    <mergeCell ref="IX36:IY36"/>
    <mergeCell ref="IK37:IN37"/>
    <mergeCell ref="IX37:IY37"/>
    <mergeCell ref="HU38:HZ38"/>
    <mergeCell ref="HX39:HZ39"/>
    <mergeCell ref="IP33:IR33"/>
    <mergeCell ref="IZ33:JB33"/>
    <mergeCell ref="JG33:JI33"/>
    <mergeCell ref="JL33:JM33"/>
    <mergeCell ref="KB33:KD33"/>
    <mergeCell ref="II34:IN34"/>
    <mergeCell ref="JL34:JM34"/>
    <mergeCell ref="KB34:KD34"/>
    <mergeCell ref="IZ34:JB34"/>
    <mergeCell ref="JD34:JI34"/>
    <mergeCell ref="II35:IK35"/>
    <mergeCell ref="IL35:IN35"/>
    <mergeCell ref="IS35:IU35"/>
    <mergeCell ref="IW35:IY35"/>
    <mergeCell ref="JG35:JI35"/>
    <mergeCell ref="JR35:JT35"/>
    <mergeCell ref="JS36:JT36"/>
    <mergeCell ref="JR38:JS38"/>
    <mergeCell ref="JT38:JW38"/>
    <mergeCell ref="JZ38:KA38"/>
    <mergeCell ref="KU35:KV35"/>
    <mergeCell ref="KU36:KV36"/>
    <mergeCell ref="KU38:KV38"/>
    <mergeCell ref="JG36:JI36"/>
    <mergeCell ref="JG37:JI37"/>
    <mergeCell ref="JG38:JI38"/>
    <mergeCell ref="JL37:JM37"/>
    <mergeCell ref="JS37:JT37"/>
    <mergeCell ref="IP38:IU38"/>
    <mergeCell ref="IW38:JB38"/>
    <mergeCell ref="FY39:FZ39"/>
    <mergeCell ref="GA39:GC39"/>
    <mergeCell ref="FY37:FZ37"/>
    <mergeCell ref="GA37:GC37"/>
    <mergeCell ref="FQ38:FV38"/>
    <mergeCell ref="FY38:FZ38"/>
    <mergeCell ref="GA38:GC38"/>
    <mergeCell ref="GF38:GG38"/>
    <mergeCell ref="FT39:FV39"/>
  </mergeCells>
  <conditionalFormatting sqref="A1:MB41">
    <cfRule type="beginsWith" dxfId="30" priority="1" operator="beginsWith" text="Grass">
      <formula>LEFT((A1),LEN("Grass"))=("Grass")</formula>
    </cfRule>
  </conditionalFormatting>
  <conditionalFormatting sqref="A1:MB41">
    <cfRule type="beginsWith" dxfId="30" priority="2" operator="beginsWith" text="Poké Radar">
      <formula>LEFT((A1),LEN("Poké Radar"))=("Poké Radar")</formula>
    </cfRule>
  </conditionalFormatting>
  <conditionalFormatting sqref="A1:MB41">
    <cfRule type="beginsWith" dxfId="31" priority="3" operator="beginsWith" text="Surf">
      <formula>LEFT((A1),LEN("Surf"))=("Surf")</formula>
    </cfRule>
  </conditionalFormatting>
  <conditionalFormatting sqref="A1:MB41">
    <cfRule type="beginsWith" dxfId="31" priority="4" operator="beginsWith" text="Rods">
      <formula>LEFT((A1),LEN("Rods"))=("Rods")</formula>
    </cfRule>
  </conditionalFormatting>
  <conditionalFormatting sqref="A1:MB41">
    <cfRule type="cellIs" dxfId="31" priority="5" operator="equal">
      <formula>"O"</formula>
    </cfRule>
  </conditionalFormatting>
  <conditionalFormatting sqref="A1:MB41">
    <cfRule type="cellIs" dxfId="31" priority="6" operator="equal">
      <formula>"S"</formula>
    </cfRule>
  </conditionalFormatting>
  <conditionalFormatting sqref="A1:MB41">
    <cfRule type="cellIs" dxfId="31" priority="7" operator="equal">
      <formula>"G"</formula>
    </cfRule>
  </conditionalFormatting>
  <conditionalFormatting sqref="A1:MB41">
    <cfRule type="beginsWith" dxfId="32" priority="8" operator="beginsWith" text="Honey">
      <formula>LEFT((A1),LEN("Honey"))=("Honey")</formula>
    </cfRule>
  </conditionalFormatting>
  <conditionalFormatting sqref="A1:MB41">
    <cfRule type="beginsWith" dxfId="33" priority="9" operator="beginsWith" text="Static Encounter">
      <formula>LEFT((A1),LEN("Static Encounter"))=("Static Encounter")</formula>
    </cfRule>
  </conditionalFormatting>
  <conditionalFormatting sqref="A1:MB41">
    <cfRule type="beginsWith" dxfId="34" priority="10" operator="beginsWith" text="Cave">
      <formula>LEFT((A1),LEN("Cave"))=("Cave")</formula>
    </cfRule>
  </conditionalFormatting>
  <conditionalFormatting sqref="A1:MB41">
    <cfRule type="beginsWith" dxfId="35" priority="11" operator="beginsWith" text="Ground">
      <formula>LEFT((A1),LEN("Ground"))=("Ground")</formula>
    </cfRule>
  </conditionalFormatting>
  <conditionalFormatting sqref="A1:MB41">
    <cfRule type="cellIs" dxfId="36" priority="12" operator="equal">
      <formula>"M"</formula>
    </cfRule>
  </conditionalFormatting>
  <conditionalFormatting sqref="A1:MB41">
    <cfRule type="cellIs" dxfId="36" priority="13" operator="equal">
      <formula>"D"</formula>
    </cfRule>
  </conditionalFormatting>
  <conditionalFormatting sqref="A1:MB41">
    <cfRule type="cellIs" dxfId="36" priority="14" operator="equal">
      <formula>"N"</formula>
    </cfRule>
  </conditionalFormatting>
  <hyperlinks>
    <hyperlink display="?" location="GiFTSEVENTS!FJ28:FJ29" ref="IZ4"/>
    <hyperlink display="?" location="GiFTSEVENTS!GB27:GB28" ref="KI4"/>
    <hyperlink display="?" location="GiFTSEVENTS!AJ4:AJ5" ref="EK6"/>
    <hyperlink display="?" location="GiFTSEVENTS!ER2:ER3" ref="ER6"/>
    <hyperlink display="?" location="NPCTRADES!H15" ref="AX10"/>
    <hyperlink display="?" location="NPCTRADES!H29" ref="CN13"/>
    <hyperlink display="?" location="GiFTSEVENTS!EI2:EI3" ref="DB13"/>
    <hyperlink display="?" location="GiFTSEVENTS!BJ2:BJ3" ref="DW13"/>
    <hyperlink display="?" location="GiFTSEVENTS!DQ26:DQ27" ref="HX14"/>
    <hyperlink display="?" location="GiFTSEVENTS!CB2:CB3" ref="BZ16"/>
    <hyperlink display="?" location="GiFTSEVENTS!FJ28" ref="KP16"/>
    <hyperlink display="?" location="GiFTSEVENTS!M22" ref="CN17"/>
    <hyperlink display="?" location="GiFTSEVENTS!AR28:AR29" ref="KB17"/>
    <hyperlink display="?" location="GiFTSEVENTS!BA14:BA15" ref="H18"/>
    <hyperlink display="?" location="GiFTSEVENTS!EI28:EI29" ref="KI18"/>
    <hyperlink display="?" location="GiFTSEVENTS!BJ14:BJ15" ref="CU19"/>
    <hyperlink display="?" location="GiFTSEVENTS!FA2:FA3" ref="JG19"/>
    <hyperlink display="?" location="GiFTSEVENTS!EI15:EI16" ref="LK20"/>
    <hyperlink display="?" location="GiFTSEVENTS!FA14:FA15" ref="O21"/>
    <hyperlink display="?" location="GiFTSEVENTS!GB2:GB3" ref="KP21"/>
    <hyperlink display="?" location="GiFTSEVENTS!ER16:ER17" ref="EY22"/>
    <hyperlink display="?" location="GiFTSEVENTS!BA2:BA3" ref="AQ23"/>
    <hyperlink display="?" location="NPCTRADES!H22" ref="BE23"/>
    <hyperlink display="?" location="GiFTSEVENTS!DZ2:DZ3" ref="KP24"/>
    <hyperlink display="?" location="GiFTSEVENTS!AB4:AB5" ref="BZ25"/>
    <hyperlink display="?" location="GiFTSEVENTS!FS14:FS15" ref="IE25"/>
    <hyperlink display="?" location="NPCTRADES!H36" ref="LD25"/>
    <hyperlink display="?" location="GiFTSEVENTS!FS2:FS3" ref="LY25"/>
    <hyperlink display="?" location="GiFTSEVENTS!DQ14:DQ15" ref="DB28"/>
    <hyperlink display="?" location="GiFTSEVENTS!EI15:EI16" ref="LY28"/>
    <hyperlink display="?" location="GiFTSEVENTS!BS2:BS3" ref="GO29"/>
    <hyperlink display="?" location="GiFTSEVENTS!GB14:GB15" ref="KP30"/>
    <hyperlink display="?" location="GiFTSEVENTS!BJ26:BJ27" ref="FM31"/>
    <hyperlink display="?" location="GiFTSEVENTS!AR16:AR17" ref="BL32"/>
    <hyperlink display="?" location="GiFTSEVENTS!FJ2:FJ3" ref="IS33"/>
    <hyperlink display="?" location="GiFTSEVENTS!AR4:AR5" ref="IL35"/>
    <hyperlink display="?" location="GiFTSEVENTS!BS14:BS15" ref="EK39"/>
    <hyperlink display="?" location="GiFTSEVENTS!GK2:GK3" ref="IS39"/>
    <hyperlink display="?" location="GiFTSEVENTS!FA26:FA27" ref="IZ39"/>
  </hyperlinks>
  <printOptions gridLines="1" horizontalCentered="1"/>
  <pageMargins bottom="0.75" footer="0.0" header="0.0" left="0.25" right="0.25" top="0.75"/>
  <pageSetup fitToWidth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BC34A"/>
    <outlinePr summaryBelow="0" summaryRight="0"/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2.38"/>
    <col customWidth="1" min="2" max="2" width="4.75"/>
    <col customWidth="1" min="3" max="3" width="10.88"/>
    <col customWidth="1" min="4" max="4" width="4.75"/>
    <col customWidth="1" min="5" max="6" width="2.38"/>
    <col customWidth="1" min="7" max="7" width="44.5"/>
    <col customWidth="1" min="8" max="8" width="4.75"/>
    <col customWidth="1" min="9" max="9" width="4.5"/>
    <col customWidth="1" min="10" max="10" width="13.25"/>
    <col customWidth="1" min="11" max="12" width="2.38"/>
    <col customWidth="1" min="13" max="13" width="4.75"/>
    <col customWidth="1" min="14" max="14" width="1.25"/>
    <col customWidth="1" min="15" max="15" width="4.5"/>
    <col customWidth="1" min="16" max="16" width="13.25"/>
    <col customWidth="1" min="17" max="18" width="2.38"/>
    <col customWidth="1" min="19" max="19" width="4.75"/>
    <col customWidth="1" min="20" max="20" width="1.25"/>
    <col customWidth="1" min="21" max="21" width="4.5"/>
    <col customWidth="1" min="22" max="22" width="13.25"/>
    <col customWidth="1" min="23" max="24" width="2.38"/>
    <col customWidth="1" min="25" max="25" width="4.75"/>
    <col customWidth="1" min="26" max="26" width="1.25"/>
    <col customWidth="1" min="27" max="27" width="4.5"/>
    <col customWidth="1" min="28" max="28" width="13.25"/>
    <col customWidth="1" min="29" max="30" width="2.38"/>
    <col customWidth="1" min="31" max="31" width="4.75"/>
    <col customWidth="1" min="32" max="32" width="1.25"/>
    <col customWidth="1" min="33" max="33" width="4.5"/>
    <col customWidth="1" min="34" max="34" width="13.25"/>
    <col customWidth="1" min="35" max="36" width="2.38"/>
    <col customWidth="1" min="37" max="38" width="4.75"/>
    <col customWidth="1" min="39" max="39" width="4.5"/>
    <col customWidth="1" min="40" max="40" width="13.25"/>
    <col customWidth="1" min="41" max="42" width="2.38"/>
    <col customWidth="1" min="43" max="43" width="4.75"/>
    <col customWidth="1" min="44" max="44" width="1.25"/>
    <col customWidth="1" min="45" max="45" width="4.5"/>
    <col customWidth="1" min="46" max="46" width="13.25"/>
    <col customWidth="1" min="47" max="48" width="2.38"/>
    <col customWidth="1" min="49" max="49" width="4.75"/>
    <col customWidth="1" min="50" max="50" width="1.25"/>
    <col customWidth="1" min="51" max="51" width="4.5"/>
    <col customWidth="1" min="52" max="52" width="13.25"/>
    <col customWidth="1" min="53" max="54" width="2.38"/>
    <col customWidth="1" min="55" max="55" width="4.75"/>
    <col customWidth="1" min="56" max="56" width="1.25"/>
    <col customWidth="1" min="57" max="57" width="4.5"/>
    <col customWidth="1" min="58" max="58" width="13.25"/>
    <col customWidth="1" min="59" max="60" width="2.38"/>
    <col customWidth="1" min="61" max="61" width="4.75"/>
    <col customWidth="1" min="62" max="62" width="1.25"/>
    <col customWidth="1" min="63" max="63" width="4.5"/>
    <col customWidth="1" min="64" max="64" width="13.25"/>
    <col customWidth="1" min="65" max="66" width="2.38"/>
    <col customWidth="1" min="67" max="67" width="4.75"/>
    <col customWidth="1" min="68" max="68" width="1.25"/>
    <col customWidth="1" min="69" max="69" width="4.5"/>
    <col customWidth="1" min="70" max="70" width="13.25"/>
    <col customWidth="1" min="71" max="72" width="2.38"/>
    <col customWidth="1" min="73" max="73" width="4.75"/>
    <col customWidth="1" min="74" max="74" width="1.25"/>
    <col customWidth="1" min="75" max="75" width="4.5"/>
    <col customWidth="1" min="76" max="76" width="13.25"/>
    <col customWidth="1" min="77" max="78" width="2.38"/>
    <col customWidth="1" min="79" max="79" width="4.75"/>
    <col customWidth="1" min="80" max="80" width="1.25"/>
    <col customWidth="1" min="81" max="81" width="4.5"/>
    <col customWidth="1" min="82" max="82" width="13.25"/>
    <col customWidth="1" min="83" max="84" width="2.38"/>
    <col customWidth="1" min="85" max="86" width="4.75"/>
    <col customWidth="1" min="87" max="87" width="4.5"/>
    <col customWidth="1" min="88" max="88" width="13.25"/>
    <col customWidth="1" min="89" max="90" width="2.38"/>
    <col customWidth="1" min="91" max="91" width="4.75"/>
    <col customWidth="1" min="92" max="92" width="1.25"/>
    <col customWidth="1" min="93" max="93" width="4.5"/>
    <col customWidth="1" min="94" max="94" width="13.25"/>
    <col customWidth="1" min="95" max="96" width="2.38"/>
    <col customWidth="1" min="97" max="97" width="4.75"/>
    <col customWidth="1" min="98" max="98" width="1.25"/>
    <col customWidth="1" min="99" max="99" width="4.5"/>
    <col customWidth="1" min="100" max="100" width="13.25"/>
    <col customWidth="1" min="101" max="102" width="2.38"/>
    <col customWidth="1" min="103" max="103" width="4.75"/>
    <col customWidth="1" min="104" max="104" width="1.25"/>
    <col customWidth="1" min="105" max="105" width="4.5"/>
    <col customWidth="1" min="106" max="106" width="13.25"/>
    <col customWidth="1" min="107" max="108" width="2.38"/>
    <col customWidth="1" min="109" max="109" width="4.75"/>
    <col customWidth="1" min="110" max="110" width="1.25"/>
    <col customWidth="1" min="111" max="111" width="4.5"/>
    <col customWidth="1" min="112" max="112" width="13.25"/>
    <col customWidth="1" min="113" max="114" width="2.38"/>
    <col customWidth="1" min="115" max="115" width="4.75"/>
    <col customWidth="1" min="116" max="116" width="1.25"/>
    <col customWidth="1" min="117" max="117" width="4.5"/>
    <col customWidth="1" min="118" max="118" width="13.25"/>
    <col customWidth="1" min="119" max="120" width="2.38"/>
    <col customWidth="1" min="121" max="121" width="4.75"/>
    <col customWidth="1" min="122" max="122" width="1.25"/>
    <col customWidth="1" min="123" max="123" width="4.5"/>
    <col customWidth="1" min="124" max="124" width="13.25"/>
    <col customWidth="1" min="125" max="126" width="2.38"/>
    <col customWidth="1" min="127" max="127" width="4.75"/>
    <col customWidth="1" min="128" max="128" width="1.25"/>
    <col customWidth="1" min="129" max="129" width="4.5"/>
    <col customWidth="1" min="130" max="130" width="13.25"/>
    <col customWidth="1" min="131" max="132" width="2.38"/>
    <col customWidth="1" min="133" max="134" width="4.75"/>
    <col customWidth="1" min="135" max="135" width="4.5"/>
    <col customWidth="1" min="136" max="136" width="13.25"/>
    <col customWidth="1" min="137" max="138" width="2.38"/>
    <col customWidth="1" min="139" max="139" width="4.75"/>
    <col customWidth="1" min="140" max="140" width="1.25"/>
    <col customWidth="1" min="141" max="141" width="4.5"/>
    <col customWidth="1" min="142" max="142" width="13.25"/>
    <col customWidth="1" min="143" max="144" width="2.38"/>
    <col customWidth="1" min="145" max="145" width="4.75"/>
    <col customWidth="1" min="146" max="146" width="1.25"/>
    <col customWidth="1" min="147" max="147" width="4.5"/>
    <col customWidth="1" min="148" max="148" width="13.25"/>
    <col customWidth="1" min="149" max="150" width="2.38"/>
    <col customWidth="1" min="151" max="151" width="4.75"/>
    <col customWidth="1" min="152" max="152" width="1.25"/>
    <col customWidth="1" min="153" max="153" width="4.5"/>
    <col customWidth="1" min="154" max="154" width="13.25"/>
    <col customWidth="1" min="155" max="156" width="2.38"/>
    <col customWidth="1" min="157" max="157" width="4.75"/>
    <col customWidth="1" min="158" max="158" width="1.25"/>
    <col customWidth="1" min="159" max="159" width="4.5"/>
    <col customWidth="1" min="160" max="160" width="13.25"/>
    <col customWidth="1" min="161" max="162" width="2.38"/>
    <col customWidth="1" min="163" max="163" width="4.75"/>
    <col customWidth="1" min="164" max="164" width="1.25"/>
    <col customWidth="1" min="165" max="165" width="4.5"/>
    <col customWidth="1" min="166" max="166" width="13.25"/>
    <col customWidth="1" min="167" max="168" width="2.38"/>
    <col customWidth="1" min="169" max="169" width="4.75"/>
    <col customWidth="1" min="170" max="170" width="1.25"/>
    <col customWidth="1" min="171" max="171" width="4.5"/>
    <col customWidth="1" min="172" max="172" width="13.25"/>
    <col customWidth="1" min="173" max="174" width="2.38"/>
    <col customWidth="1" min="175" max="175" width="4.75"/>
    <col customWidth="1" min="176" max="176" width="1.25"/>
    <col customWidth="1" min="177" max="177" width="4.5"/>
    <col customWidth="1" min="178" max="178" width="13.25"/>
    <col customWidth="1" min="179" max="180" width="2.38"/>
    <col customWidth="1" min="181" max="181" width="4.75"/>
    <col customWidth="1" min="182" max="182" width="1.25"/>
    <col customWidth="1" min="183" max="183" width="4.5"/>
    <col customWidth="1" min="184" max="184" width="13.25"/>
    <col customWidth="1" min="185" max="186" width="2.38"/>
    <col customWidth="1" min="187" max="188" width="4.75"/>
    <col customWidth="1" min="189" max="189" width="4.5"/>
    <col customWidth="1" min="190" max="190" width="13.25"/>
    <col customWidth="1" min="191" max="192" width="2.38"/>
    <col customWidth="1" min="193" max="193" width="4.75"/>
    <col customWidth="1" min="194" max="194" width="1.25"/>
    <col customWidth="1" min="195" max="195" width="4.5"/>
    <col customWidth="1" min="196" max="196" width="13.25"/>
    <col customWidth="1" min="197" max="198" width="2.38"/>
    <col customWidth="1" min="199" max="199" width="4.75"/>
    <col customWidth="1" min="200" max="200" width="1.25"/>
    <col customWidth="1" min="201" max="201" width="4.5"/>
    <col customWidth="1" min="202" max="202" width="13.25"/>
    <col customWidth="1" min="203" max="204" width="2.38"/>
    <col customWidth="1" min="205" max="205" width="4.75"/>
    <col customWidth="1" min="206" max="206" width="1.25"/>
    <col customWidth="1" min="207" max="207" width="4.5"/>
    <col customWidth="1" min="208" max="208" width="13.25"/>
    <col customWidth="1" min="209" max="210" width="2.38"/>
    <col customWidth="1" min="211" max="211" width="4.75"/>
    <col customWidth="1" min="212" max="212" width="1.25"/>
    <col customWidth="1" min="213" max="213" width="4.5"/>
    <col customWidth="1" min="214" max="214" width="13.25"/>
    <col customWidth="1" min="215" max="216" width="2.38"/>
    <col customWidth="1" min="217" max="217" width="4.75"/>
    <col customWidth="1" min="218" max="218" width="1.25"/>
    <col customWidth="1" min="219" max="219" width="4.5"/>
    <col customWidth="1" min="220" max="220" width="13.25"/>
    <col customWidth="1" min="221" max="222" width="2.38"/>
    <col customWidth="1" min="223" max="223" width="4.75"/>
    <col customWidth="1" min="224" max="224" width="1.25"/>
    <col customWidth="1" min="225" max="225" width="4.5"/>
    <col customWidth="1" min="226" max="226" width="13.25"/>
    <col customWidth="1" min="227" max="228" width="2.38"/>
    <col customWidth="1" min="229" max="230" width="4.75"/>
    <col customWidth="1" min="231" max="231" width="4.5"/>
    <col customWidth="1" min="232" max="232" width="13.25"/>
    <col customWidth="1" min="233" max="234" width="2.38"/>
    <col customWidth="1" min="235" max="235" width="4.75"/>
    <col customWidth="1" min="236" max="236" width="1.25"/>
    <col customWidth="1" min="237" max="237" width="4.5"/>
    <col customWidth="1" min="238" max="238" width="13.25"/>
    <col customWidth="1" min="239" max="240" width="2.38"/>
    <col customWidth="1" min="241" max="241" width="4.75"/>
    <col customWidth="1" min="242" max="242" width="1.25"/>
    <col customWidth="1" min="243" max="243" width="4.5"/>
    <col customWidth="1" min="244" max="244" width="13.25"/>
    <col customWidth="1" min="245" max="246" width="2.38"/>
    <col customWidth="1" min="247" max="247" width="4.75"/>
    <col customWidth="1" min="248" max="248" width="1.25"/>
    <col customWidth="1" min="249" max="249" width="4.5"/>
    <col customWidth="1" min="250" max="250" width="13.25"/>
    <col customWidth="1" min="251" max="252" width="2.38"/>
    <col customWidth="1" min="253" max="253" width="4.75"/>
    <col customWidth="1" min="254" max="254" width="1.25"/>
    <col customWidth="1" min="255" max="255" width="4.5"/>
    <col customWidth="1" min="256" max="256" width="13.25"/>
    <col customWidth="1" min="257" max="258" width="2.38"/>
    <col customWidth="1" min="259" max="259" width="4.75"/>
    <col customWidth="1" min="260" max="260" width="1.25"/>
    <col customWidth="1" min="261" max="261" width="4.5"/>
    <col customWidth="1" min="262" max="262" width="13.25"/>
    <col customWidth="1" min="263" max="264" width="2.38"/>
    <col customWidth="1" min="265" max="265" width="4.75"/>
    <col customWidth="1" min="266" max="266" width="1.25"/>
    <col customWidth="1" min="267" max="267" width="4.5"/>
    <col customWidth="1" min="268" max="268" width="13.25"/>
    <col customWidth="1" min="269" max="270" width="2.38"/>
    <col customWidth="1" min="271" max="271" width="4.75"/>
    <col customWidth="1" min="272" max="272" width="1.25"/>
    <col customWidth="1" min="273" max="273" width="4.5"/>
    <col customWidth="1" min="274" max="274" width="13.25"/>
    <col customWidth="1" min="275" max="276" width="2.38"/>
    <col customWidth="1" min="277" max="277" width="4.75"/>
    <col customWidth="1" min="278" max="278" width="1.25"/>
    <col customWidth="1" min="279" max="279" width="4.5"/>
    <col customWidth="1" min="280" max="280" width="13.25"/>
    <col customWidth="1" min="281" max="282" width="2.38"/>
    <col customWidth="1" min="283" max="283" width="4.75"/>
    <col customWidth="1" min="284" max="284" width="1.25"/>
    <col customWidth="1" min="285" max="285" width="4.5"/>
    <col customWidth="1" min="286" max="286" width="13.25"/>
    <col customWidth="1" min="287" max="288" width="2.38"/>
    <col customWidth="1" min="289" max="289" width="4.75"/>
    <col customWidth="1" min="290" max="290" width="1.25"/>
    <col customWidth="1" min="291" max="291" width="4.5"/>
    <col customWidth="1" min="292" max="292" width="13.25"/>
    <col customWidth="1" min="293" max="294" width="2.38"/>
    <col customWidth="1" min="295" max="295" width="4.75"/>
    <col customWidth="1" min="296" max="296" width="1.25"/>
    <col customWidth="1" min="297" max="297" width="4.5"/>
    <col customWidth="1" min="298" max="298" width="13.25"/>
    <col customWidth="1" min="299" max="300" width="2.38"/>
    <col customWidth="1" min="301" max="301" width="4.75"/>
    <col customWidth="1" min="302" max="302" width="1.25"/>
    <col customWidth="1" min="303" max="303" width="4.5"/>
    <col customWidth="1" min="304" max="304" width="13.25"/>
    <col customWidth="1" min="305" max="306" width="2.38"/>
    <col customWidth="1" min="307" max="308" width="4.75"/>
    <col customWidth="1" min="309" max="309" width="4.5"/>
    <col customWidth="1" min="310" max="310" width="13.25"/>
    <col customWidth="1" min="311" max="312" width="2.38"/>
    <col customWidth="1" min="313" max="313" width="4.75"/>
    <col customWidth="1" min="314" max="314" width="1.25"/>
    <col customWidth="1" min="315" max="315" width="4.5"/>
    <col customWidth="1" min="316" max="316" width="13.25"/>
    <col customWidth="1" min="317" max="318" width="2.38"/>
    <col customWidth="1" min="319" max="319" width="4.75"/>
    <col customWidth="1" min="320" max="320" width="1.25"/>
    <col customWidth="1" min="321" max="321" width="4.5"/>
    <col customWidth="1" min="322" max="322" width="13.25"/>
    <col customWidth="1" min="323" max="324" width="2.38"/>
    <col customWidth="1" min="325" max="325" width="4.75"/>
    <col customWidth="1" min="326" max="326" width="1.25"/>
    <col customWidth="1" min="327" max="327" width="4.5"/>
    <col customWidth="1" min="328" max="328" width="13.25"/>
    <col customWidth="1" min="329" max="330" width="2.38"/>
    <col customWidth="1" min="331" max="332" width="4.75"/>
    <col customWidth="1" min="333" max="333" width="4.5"/>
    <col customWidth="1" min="334" max="334" width="13.25"/>
    <col customWidth="1" min="335" max="336" width="2.38"/>
    <col customWidth="1" min="337" max="337" width="4.75"/>
    <col customWidth="1" min="338" max="338" width="1.25"/>
    <col customWidth="1" min="339" max="339" width="4.5"/>
    <col customWidth="1" min="340" max="340" width="13.25"/>
    <col customWidth="1" min="341" max="342" width="2.38"/>
    <col customWidth="1" min="343" max="343" width="4.75"/>
    <col customWidth="1" min="344" max="344" width="1.25"/>
    <col customWidth="1" min="345" max="345" width="4.5"/>
    <col customWidth="1" min="346" max="346" width="13.25"/>
    <col customWidth="1" min="347" max="348" width="2.38"/>
    <col customWidth="1" min="349" max="349" width="4.75"/>
    <col customWidth="1" min="350" max="350" width="1.25"/>
    <col customWidth="1" min="351" max="351" width="4.5"/>
    <col customWidth="1" min="352" max="352" width="13.25"/>
    <col customWidth="1" min="353" max="354" width="2.38"/>
    <col customWidth="1" min="355" max="355" width="4.75"/>
    <col customWidth="1" min="356" max="356" width="1.25"/>
    <col customWidth="1" min="357" max="357" width="4.5"/>
    <col customWidth="1" min="358" max="358" width="13.25"/>
    <col customWidth="1" min="359" max="360" width="2.38"/>
    <col customWidth="1" min="361" max="361" width="4.75"/>
    <col customWidth="1" min="362" max="362" width="1.25"/>
    <col customWidth="1" min="363" max="363" width="4.5"/>
    <col customWidth="1" min="364" max="364" width="13.25"/>
    <col customWidth="1" min="365" max="366" width="2.38"/>
    <col customWidth="1" min="367" max="367" width="4.75"/>
    <col customWidth="1" min="368" max="368" width="1.25"/>
    <col customWidth="1" min="369" max="369" width="4.5"/>
    <col customWidth="1" min="370" max="370" width="13.25"/>
    <col customWidth="1" min="371" max="372" width="2.38"/>
    <col customWidth="1" min="373" max="373" width="4.75"/>
    <col customWidth="1" min="374" max="374" width="1.25"/>
    <col customWidth="1" min="375" max="375" width="4.5"/>
    <col customWidth="1" min="376" max="376" width="13.25"/>
    <col customWidth="1" min="377" max="378" width="2.38"/>
    <col customWidth="1" min="379" max="379" width="4.75"/>
    <col customWidth="1" min="380" max="380" width="1.25"/>
    <col customWidth="1" min="381" max="381" width="4.5"/>
    <col customWidth="1" min="382" max="382" width="13.25"/>
    <col customWidth="1" min="383" max="384" width="2.38"/>
    <col customWidth="1" min="385" max="386" width="4.75"/>
    <col customWidth="1" min="387" max="387" width="4.5"/>
    <col customWidth="1" min="388" max="388" width="13.25"/>
    <col customWidth="1" min="389" max="390" width="2.38"/>
    <col customWidth="1" min="391" max="391" width="4.75"/>
    <col customWidth="1" min="392" max="392" width="1.25"/>
    <col customWidth="1" min="393" max="393" width="4.5"/>
    <col customWidth="1" min="394" max="394" width="13.25"/>
    <col customWidth="1" min="395" max="396" width="2.38"/>
    <col customWidth="1" min="397" max="397" width="4.75"/>
    <col customWidth="1" min="398" max="398" width="1.25"/>
    <col customWidth="1" min="399" max="399" width="4.5"/>
    <col customWidth="1" min="400" max="400" width="13.25"/>
    <col customWidth="1" min="401" max="402" width="2.38"/>
    <col customWidth="1" min="403" max="403" width="4.75"/>
    <col customWidth="1" min="404" max="404" width="1.25"/>
    <col customWidth="1" min="405" max="405" width="4.5"/>
    <col customWidth="1" min="406" max="406" width="13.25"/>
    <col customWidth="1" min="407" max="408" width="2.38"/>
    <col customWidth="1" min="409" max="409" width="4.75"/>
    <col customWidth="1" min="410" max="410" width="1.25"/>
    <col customWidth="1" min="411" max="411" width="4.5"/>
    <col customWidth="1" min="412" max="412" width="13.25"/>
    <col customWidth="1" min="413" max="414" width="2.38"/>
    <col customWidth="1" min="415" max="415" width="4.75"/>
    <col customWidth="1" min="416" max="416" width="1.25"/>
    <col customWidth="1" min="417" max="417" width="4.5"/>
    <col customWidth="1" min="418" max="418" width="13.25"/>
    <col customWidth="1" min="419" max="420" width="2.38"/>
    <col customWidth="1" min="421" max="421" width="4.75"/>
    <col customWidth="1" min="422" max="422" width="1.25"/>
    <col customWidth="1" min="423" max="423" width="4.5"/>
    <col customWidth="1" min="424" max="424" width="13.25"/>
    <col customWidth="1" min="425" max="426" width="2.38"/>
    <col customWidth="1" min="427" max="427" width="4.75"/>
    <col customWidth="1" min="428" max="428" width="1.25"/>
    <col customWidth="1" min="429" max="429" width="4.5"/>
    <col customWidth="1" min="430" max="430" width="13.25"/>
    <col customWidth="1" min="431" max="432" width="2.38"/>
    <col customWidth="1" min="433" max="433" width="4.75"/>
    <col customWidth="1" min="434" max="434" width="1.25"/>
    <col customWidth="1" min="435" max="435" width="4.5"/>
    <col customWidth="1" min="436" max="436" width="13.25"/>
    <col customWidth="1" min="437" max="438" width="2.38"/>
    <col customWidth="1" min="439" max="439" width="4.75"/>
    <col customWidth="1" min="440" max="440" width="1.25"/>
    <col customWidth="1" min="441" max="441" width="4.5"/>
    <col customWidth="1" min="442" max="442" width="13.25"/>
    <col customWidth="1" min="443" max="444" width="2.38"/>
    <col customWidth="1" min="445" max="445" width="4.75"/>
    <col customWidth="1" min="446" max="446" width="1.25"/>
    <col customWidth="1" min="447" max="447" width="4.5"/>
    <col customWidth="1" min="448" max="448" width="13.25"/>
    <col customWidth="1" min="449" max="450" width="2.38"/>
    <col customWidth="1" min="451" max="451" width="4.75"/>
    <col customWidth="1" min="452" max="452" width="1.25"/>
    <col customWidth="1" min="453" max="453" width="4.5"/>
    <col customWidth="1" min="454" max="454" width="13.25"/>
    <col customWidth="1" min="455" max="456" width="2.38"/>
    <col customWidth="1" min="457" max="457" width="4.75"/>
    <col customWidth="1" min="458" max="458" width="1.25"/>
    <col customWidth="1" min="459" max="459" width="4.5"/>
    <col customWidth="1" min="460" max="460" width="13.25"/>
    <col customWidth="1" min="461" max="462" width="2.38"/>
    <col customWidth="1" min="463" max="463" width="4.75"/>
    <col customWidth="1" min="464" max="464" width="1.25"/>
    <col customWidth="1" min="465" max="465" width="4.5"/>
    <col customWidth="1" min="466" max="466" width="13.25"/>
    <col customWidth="1" min="467" max="468" width="2.38"/>
    <col customWidth="1" min="469" max="469" width="4.75"/>
    <col customWidth="1" min="470" max="470" width="1.25"/>
    <col customWidth="1" min="471" max="471" width="4.5"/>
    <col customWidth="1" min="472" max="472" width="13.25"/>
    <col customWidth="1" min="473" max="474" width="2.38"/>
    <col customWidth="1" min="475" max="475" width="4.75"/>
    <col customWidth="1" min="476" max="476" width="1.25"/>
    <col customWidth="1" min="477" max="477" width="4.5"/>
    <col customWidth="1" min="478" max="478" width="13.25"/>
    <col customWidth="1" min="479" max="480" width="2.38"/>
    <col customWidth="1" min="481" max="482" width="4.75"/>
    <col customWidth="1" min="483" max="483" width="4.5"/>
    <col customWidth="1" min="484" max="484" width="13.25"/>
    <col customWidth="1" min="485" max="486" width="2.38"/>
    <col customWidth="1" min="487" max="487" width="4.75"/>
    <col customWidth="1" min="488" max="488" width="1.25"/>
    <col customWidth="1" min="489" max="489" width="4.5"/>
    <col customWidth="1" min="490" max="490" width="13.25"/>
    <col customWidth="1" min="491" max="492" width="2.38"/>
    <col customWidth="1" min="493" max="493" width="4.75"/>
    <col customWidth="1" min="494" max="494" width="1.25"/>
    <col customWidth="1" min="495" max="495" width="4.5"/>
    <col customWidth="1" min="496" max="496" width="13.25"/>
    <col customWidth="1" min="497" max="498" width="2.38"/>
    <col customWidth="1" min="499" max="499" width="4.75"/>
    <col customWidth="1" min="500" max="500" width="1.25"/>
    <col customWidth="1" min="501" max="501" width="4.5"/>
    <col customWidth="1" min="502" max="502" width="13.25"/>
    <col customWidth="1" min="503" max="504" width="2.38"/>
    <col customWidth="1" min="505" max="505" width="4.75"/>
    <col customWidth="1" min="506" max="506" width="1.25"/>
    <col customWidth="1" min="507" max="507" width="4.5"/>
    <col customWidth="1" min="508" max="508" width="13.25"/>
    <col customWidth="1" min="509" max="510" width="2.38"/>
    <col customWidth="1" min="511" max="511" width="4.75"/>
    <col customWidth="1" min="512" max="512" width="1.25"/>
    <col customWidth="1" min="513" max="513" width="4.5"/>
    <col customWidth="1" min="514" max="514" width="13.25"/>
    <col customWidth="1" min="515" max="516" width="2.38"/>
    <col customWidth="1" min="517" max="517" width="4.75"/>
    <col customWidth="1" min="518" max="518" width="1.25"/>
    <col customWidth="1" min="519" max="519" width="4.5"/>
    <col customWidth="1" min="520" max="520" width="13.25"/>
    <col customWidth="1" min="521" max="522" width="2.38"/>
    <col customWidth="1" min="523" max="523" width="4.75"/>
    <col customWidth="1" min="524" max="524" width="1.25"/>
    <col customWidth="1" min="525" max="525" width="4.5"/>
    <col customWidth="1" min="526" max="526" width="13.25"/>
    <col customWidth="1" min="527" max="528" width="2.38"/>
    <col customWidth="1" min="529" max="529" width="4.75"/>
    <col customWidth="1" min="530" max="530" width="1.25"/>
    <col customWidth="1" min="531" max="531" width="4.5"/>
    <col customWidth="1" min="532" max="532" width="13.25"/>
    <col customWidth="1" min="533" max="534" width="2.38"/>
    <col customWidth="1" min="535" max="535" width="4.75"/>
    <col customWidth="1" min="536" max="536" width="1.25"/>
    <col customWidth="1" min="537" max="537" width="4.5"/>
    <col customWidth="1" min="538" max="538" width="13.25"/>
    <col customWidth="1" min="539" max="540" width="2.38"/>
    <col customWidth="1" min="541" max="541" width="4.75"/>
    <col customWidth="1" min="542" max="542" width="1.25"/>
    <col customWidth="1" min="543" max="543" width="4.5"/>
    <col customWidth="1" min="544" max="544" width="13.25"/>
    <col customWidth="1" min="545" max="546" width="2.38"/>
    <col customWidth="1" min="547" max="547" width="4.75"/>
    <col customWidth="1" min="548" max="548" width="1.25"/>
    <col customWidth="1" min="549" max="549" width="4.5"/>
    <col customWidth="1" min="550" max="550" width="13.25"/>
    <col customWidth="1" min="551" max="552" width="2.38"/>
    <col customWidth="1" min="553" max="554" width="4.75"/>
    <col customWidth="1" min="555" max="555" width="4.5"/>
    <col customWidth="1" min="556" max="556" width="13.25"/>
    <col customWidth="1" min="557" max="558" width="2.38"/>
    <col customWidth="1" min="559" max="559" width="4.75"/>
    <col customWidth="1" min="560" max="560" width="1.25"/>
    <col customWidth="1" min="561" max="561" width="4.5"/>
    <col customWidth="1" min="562" max="562" width="13.25"/>
    <col customWidth="1" min="563" max="564" width="2.38"/>
    <col customWidth="1" min="565" max="565" width="4.75"/>
    <col customWidth="1" min="566" max="566" width="1.25"/>
    <col customWidth="1" min="567" max="567" width="4.5"/>
    <col customWidth="1" min="568" max="568" width="13.25"/>
    <col customWidth="1" min="569" max="570" width="2.38"/>
    <col customWidth="1" min="571" max="571" width="4.75"/>
    <col customWidth="1" min="572" max="572" width="1.25"/>
    <col customWidth="1" min="573" max="573" width="4.5"/>
    <col customWidth="1" min="574" max="574" width="13.25"/>
    <col customWidth="1" min="575" max="576" width="2.38"/>
    <col customWidth="1" min="577" max="577" width="4.75"/>
    <col customWidth="1" min="578" max="579" width="4.5"/>
    <col customWidth="1" min="580" max="580" width="13.25"/>
    <col customWidth="1" min="581" max="582" width="2.38"/>
    <col customWidth="1" min="583" max="583" width="4.75"/>
    <col customWidth="1" min="584" max="584" width="1.25"/>
    <col customWidth="1" min="585" max="585" width="4.5"/>
    <col customWidth="1" min="586" max="586" width="13.25"/>
    <col customWidth="1" min="587" max="588" width="2.38"/>
    <col customWidth="1" min="589" max="589" width="4.75"/>
    <col customWidth="1" min="590" max="590" width="1.25"/>
    <col customWidth="1" min="591" max="591" width="4.5"/>
    <col customWidth="1" min="592" max="592" width="13.25"/>
    <col customWidth="1" min="593" max="594" width="2.38"/>
    <col customWidth="1" min="595" max="595" width="4.75"/>
    <col customWidth="1" min="596" max="596" width="1.25"/>
    <col customWidth="1" min="597" max="597" width="4.5"/>
    <col customWidth="1" min="598" max="598" width="13.25"/>
    <col customWidth="1" min="599" max="600" width="2.38"/>
    <col customWidth="1" min="601" max="601" width="4.75"/>
    <col customWidth="1" min="602" max="602" width="1.25"/>
    <col customWidth="1" min="603" max="603" width="4.5"/>
    <col customWidth="1" min="604" max="604" width="13.25"/>
    <col customWidth="1" min="605" max="606" width="2.38"/>
    <col customWidth="1" min="607" max="607" width="4.75"/>
    <col customWidth="1" min="608" max="608" width="1.25"/>
    <col customWidth="1" min="609" max="609" width="4.5"/>
    <col customWidth="1" min="610" max="610" width="13.25"/>
    <col customWidth="1" min="611" max="612" width="2.38"/>
    <col customWidth="1" min="613" max="613" width="4.75"/>
    <col customWidth="1" min="614" max="614" width="1.25"/>
    <col customWidth="1" min="615" max="615" width="4.5"/>
    <col customWidth="1" min="616" max="616" width="13.25"/>
    <col customWidth="1" min="617" max="618" width="2.38"/>
    <col customWidth="1" min="619" max="619" width="4.75"/>
    <col customWidth="1" min="620" max="620" width="1.25"/>
    <col customWidth="1" min="621" max="621" width="4.5"/>
    <col customWidth="1" min="622" max="622" width="13.25"/>
    <col customWidth="1" min="623" max="624" width="2.38"/>
    <col customWidth="1" min="625" max="625" width="4.75"/>
    <col customWidth="1" min="626" max="626" width="1.25"/>
    <col customWidth="1" min="627" max="627" width="4.5"/>
    <col customWidth="1" min="628" max="628" width="13.25"/>
    <col customWidth="1" min="629" max="630" width="2.38"/>
    <col customWidth="1" min="631" max="631" width="4.75"/>
    <col customWidth="1" min="632" max="632" width="1.25"/>
    <col customWidth="1" min="633" max="633" width="4.5"/>
    <col customWidth="1" min="634" max="634" width="13.25"/>
    <col customWidth="1" min="635" max="636" width="2.38"/>
    <col customWidth="1" min="637" max="637" width="4.75"/>
    <col customWidth="1" min="638" max="638" width="1.25"/>
    <col customWidth="1" min="639" max="639" width="4.5"/>
    <col customWidth="1" min="640" max="640" width="13.25"/>
    <col customWidth="1" min="641" max="642" width="2.38"/>
    <col customWidth="1" min="643" max="643" width="4.75"/>
    <col customWidth="1" min="644" max="644" width="1.25"/>
    <col customWidth="1" min="645" max="645" width="4.5"/>
    <col customWidth="1" min="646" max="646" width="13.25"/>
    <col customWidth="1" min="647" max="648" width="2.38"/>
    <col customWidth="1" min="649" max="649" width="4.75"/>
    <col customWidth="1" min="650" max="650" width="1.25"/>
    <col customWidth="1" min="651" max="651" width="4.5"/>
    <col customWidth="1" min="652" max="652" width="13.25"/>
    <col customWidth="1" min="653" max="654" width="2.38"/>
    <col customWidth="1" min="655" max="655" width="4.75"/>
    <col customWidth="1" min="656" max="656" width="1.25"/>
    <col customWidth="1" min="657" max="657" width="4.5"/>
    <col customWidth="1" min="658" max="658" width="13.25"/>
    <col customWidth="1" min="659" max="660" width="2.38"/>
    <col customWidth="1" min="661" max="661" width="4.75"/>
    <col customWidth="1" min="662" max="662" width="1.25"/>
    <col customWidth="1" min="663" max="663" width="4.5"/>
    <col customWidth="1" min="664" max="664" width="13.25"/>
    <col customWidth="1" min="665" max="666" width="2.38"/>
    <col customWidth="1" min="667" max="667" width="4.75"/>
    <col customWidth="1" min="668" max="668" width="1.25"/>
    <col customWidth="1" min="669" max="669" width="4.5"/>
    <col customWidth="1" min="670" max="670" width="13.25"/>
    <col customWidth="1" min="671" max="672" width="2.38"/>
    <col customWidth="1" min="673" max="673" width="4.75"/>
    <col customWidth="1" min="674" max="674" width="1.25"/>
    <col customWidth="1" min="675" max="675" width="4.5"/>
    <col customWidth="1" min="676" max="676" width="13.25"/>
    <col customWidth="1" min="677" max="678" width="2.38"/>
    <col customWidth="1" min="679" max="679" width="4.75"/>
    <col customWidth="1" min="680" max="680" width="1.25"/>
    <col customWidth="1" min="681" max="681" width="4.5"/>
    <col customWidth="1" min="682" max="682" width="13.25"/>
    <col customWidth="1" min="683" max="684" width="2.38"/>
    <col customWidth="1" min="685" max="685" width="4.75"/>
    <col customWidth="1" min="686" max="686" width="1.25"/>
    <col customWidth="1" min="687" max="687" width="4.5"/>
    <col customWidth="1" min="688" max="688" width="13.25"/>
    <col customWidth="1" min="689" max="690" width="2.38"/>
    <col customWidth="1" min="691" max="691" width="4.75"/>
    <col customWidth="1" min="692" max="692" width="1.25"/>
    <col customWidth="1" min="693" max="693" width="4.5"/>
    <col customWidth="1" min="694" max="694" width="13.25"/>
    <col customWidth="1" min="695" max="696" width="2.38"/>
    <col customWidth="1" min="697" max="697" width="4.75"/>
    <col customWidth="1" min="698" max="698" width="1.25"/>
    <col customWidth="1" min="699" max="699" width="4.5"/>
    <col customWidth="1" min="700" max="700" width="13.25"/>
    <col customWidth="1" min="701" max="702" width="2.38"/>
    <col customWidth="1" min="703" max="703" width="4.75"/>
    <col customWidth="1" min="704" max="704" width="1.25"/>
    <col customWidth="1" min="705" max="705" width="4.5"/>
    <col customWidth="1" min="706" max="706" width="13.25"/>
    <col customWidth="1" min="707" max="708" width="2.38"/>
    <col customWidth="1" min="709" max="709" width="4.75"/>
    <col customWidth="1" min="710" max="710" width="1.25"/>
    <col customWidth="1" min="711" max="711" width="4.5"/>
    <col customWidth="1" min="712" max="712" width="13.25"/>
    <col customWidth="1" min="713" max="714" width="2.38"/>
    <col customWidth="1" min="715" max="715" width="4.75"/>
    <col customWidth="1" min="716" max="716" width="1.25"/>
    <col customWidth="1" min="717" max="717" width="4.5"/>
    <col customWidth="1" min="718" max="718" width="13.25"/>
    <col customWidth="1" min="719" max="720" width="2.38"/>
    <col customWidth="1" min="721" max="721" width="4.75"/>
    <col customWidth="1" min="722" max="722" width="1.25"/>
    <col customWidth="1" min="723" max="723" width="4.5"/>
    <col customWidth="1" min="724" max="724" width="13.25"/>
    <col customWidth="1" min="725" max="726" width="2.38"/>
    <col customWidth="1" min="727" max="727" width="4.75"/>
    <col customWidth="1" min="728" max="728" width="1.25"/>
    <col customWidth="1" min="729" max="729" width="4.5"/>
    <col customWidth="1" min="730" max="730" width="13.25"/>
    <col customWidth="1" min="731" max="732" width="2.38"/>
    <col customWidth="1" min="733" max="733" width="4.75"/>
    <col customWidth="1" min="734" max="734" width="1.25"/>
    <col customWidth="1" min="735" max="735" width="4.5"/>
    <col customWidth="1" min="736" max="736" width="13.25"/>
    <col customWidth="1" min="737" max="738" width="2.38"/>
    <col customWidth="1" min="739" max="739" width="4.75"/>
    <col customWidth="1" min="740" max="740" width="1.25"/>
    <col customWidth="1" min="741" max="741" width="4.5"/>
    <col customWidth="1" min="742" max="742" width="13.25"/>
    <col customWidth="1" min="743" max="744" width="2.38"/>
    <col customWidth="1" min="745" max="745" width="4.75"/>
    <col customWidth="1" min="746" max="746" width="1.25"/>
    <col customWidth="1" min="747" max="747" width="4.5"/>
    <col customWidth="1" min="748" max="748" width="13.25"/>
    <col customWidth="1" min="749" max="750" width="2.38"/>
    <col customWidth="1" min="751" max="751" width="4.75"/>
    <col customWidth="1" min="752" max="752" width="1.25"/>
    <col customWidth="1" min="753" max="753" width="4.5"/>
    <col customWidth="1" min="754" max="754" width="13.25"/>
    <col customWidth="1" min="755" max="756" width="2.38"/>
    <col customWidth="1" min="757" max="757" width="4.75"/>
    <col customWidth="1" min="758" max="759" width="4.5"/>
    <col customWidth="1" min="760" max="760" width="13.25"/>
    <col customWidth="1" min="761" max="762" width="2.38"/>
    <col customWidth="1" min="763" max="763" width="4.75"/>
    <col customWidth="1" min="764" max="764" width="2.38"/>
  </cols>
  <sheetData>
    <row r="1" ht="15.75" customHeight="1">
      <c r="A1" s="1230"/>
      <c r="B1" s="1230"/>
      <c r="C1" s="1230"/>
      <c r="D1" s="1230"/>
      <c r="E1" s="1230"/>
      <c r="F1" s="1231"/>
      <c r="G1" s="1232"/>
      <c r="H1" s="1233"/>
      <c r="I1" s="951"/>
      <c r="J1" s="951"/>
      <c r="K1" s="951"/>
      <c r="L1" s="951"/>
      <c r="M1" s="950"/>
      <c r="N1" s="1233"/>
      <c r="O1" s="951"/>
      <c r="P1" s="951"/>
      <c r="Q1" s="951"/>
      <c r="R1" s="951"/>
      <c r="S1" s="950"/>
      <c r="T1" s="1233"/>
      <c r="U1" s="951"/>
      <c r="V1" s="951"/>
      <c r="W1" s="951"/>
      <c r="X1" s="951"/>
      <c r="Y1" s="950"/>
      <c r="Z1" s="1233"/>
      <c r="AA1" s="951"/>
      <c r="AB1" s="951"/>
      <c r="AC1" s="951"/>
      <c r="AD1" s="951"/>
      <c r="AE1" s="950"/>
      <c r="AF1" s="1233"/>
      <c r="AG1" s="951"/>
      <c r="AH1" s="951"/>
      <c r="AI1" s="951"/>
      <c r="AJ1" s="951"/>
      <c r="AK1" s="950"/>
      <c r="AL1" s="1233"/>
      <c r="AM1" s="1233"/>
      <c r="AN1" s="1233"/>
      <c r="AO1" s="1233"/>
      <c r="AP1" s="1233"/>
      <c r="AQ1" s="1233"/>
      <c r="AR1" s="1233"/>
      <c r="AS1" s="1233"/>
      <c r="AT1" s="1233"/>
      <c r="AU1" s="1233"/>
      <c r="AV1" s="1233"/>
      <c r="AW1" s="1233"/>
      <c r="AX1" s="1233"/>
      <c r="AY1" s="1233"/>
      <c r="AZ1" s="1233"/>
      <c r="BA1" s="1233"/>
      <c r="BB1" s="1233"/>
      <c r="BC1" s="1234"/>
      <c r="BD1" s="1233"/>
      <c r="BE1" s="1233"/>
      <c r="BF1" s="1233"/>
      <c r="BG1" s="1233"/>
      <c r="BH1" s="1233"/>
      <c r="BI1" s="1234"/>
      <c r="BJ1" s="1233"/>
      <c r="BK1" s="1233"/>
      <c r="BL1" s="1233"/>
      <c r="BM1" s="1233"/>
      <c r="BN1" s="1233"/>
      <c r="BO1" s="1234"/>
      <c r="BP1" s="1233"/>
      <c r="BQ1" s="1233"/>
      <c r="BR1" s="1233"/>
      <c r="BS1" s="1233"/>
      <c r="BT1" s="1233"/>
      <c r="BU1" s="1234"/>
      <c r="BV1" s="1233"/>
      <c r="BW1" s="1233"/>
      <c r="BX1" s="1233"/>
      <c r="BY1" s="1233"/>
      <c r="BZ1" s="1233"/>
      <c r="CA1" s="1234"/>
      <c r="CB1" s="1233"/>
      <c r="CC1" s="1233"/>
      <c r="CD1" s="1233"/>
      <c r="CE1" s="1233"/>
      <c r="CF1" s="1233"/>
      <c r="CG1" s="1234"/>
      <c r="CH1" s="1233"/>
      <c r="CI1" s="1233"/>
      <c r="CJ1" s="1233"/>
      <c r="CK1" s="1233"/>
      <c r="CL1" s="1233"/>
      <c r="CM1" s="1234"/>
      <c r="CN1" s="1233"/>
      <c r="CO1" s="1233"/>
      <c r="CP1" s="1233"/>
      <c r="CQ1" s="1233"/>
      <c r="CR1" s="1233"/>
      <c r="CS1" s="12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4"/>
      <c r="DQ1" s="134"/>
      <c r="DR1" s="134"/>
      <c r="DS1" s="134"/>
      <c r="DT1" s="134"/>
      <c r="DU1" s="134"/>
      <c r="DV1" s="134"/>
      <c r="DW1" s="134"/>
      <c r="DX1" s="134"/>
      <c r="DY1" s="134"/>
      <c r="DZ1" s="134"/>
      <c r="EA1" s="134"/>
      <c r="EB1" s="134"/>
      <c r="EC1" s="1233"/>
      <c r="ED1" s="1233"/>
      <c r="EE1" s="1233"/>
      <c r="EF1" s="1233"/>
      <c r="EG1" s="1234"/>
      <c r="EH1" s="1234"/>
      <c r="EI1" s="1233"/>
      <c r="EJ1" s="1233"/>
      <c r="EK1" s="1233"/>
      <c r="EL1" s="1233"/>
      <c r="EM1" s="1234"/>
      <c r="EN1" s="1234"/>
      <c r="EO1" s="1233"/>
      <c r="EP1" s="1233"/>
      <c r="EQ1" s="1233"/>
      <c r="ER1" s="1233"/>
      <c r="ES1" s="1234"/>
      <c r="ET1" s="1234"/>
      <c r="EU1" s="1233"/>
      <c r="EV1" s="1233"/>
      <c r="EW1" s="1233"/>
      <c r="EX1" s="1233"/>
      <c r="EY1" s="1234"/>
      <c r="EZ1" s="1234"/>
      <c r="FA1" s="1233"/>
      <c r="FB1" s="1233"/>
      <c r="FC1" s="1233"/>
      <c r="FD1" s="1233"/>
      <c r="FE1" s="1234"/>
      <c r="FF1" s="1234"/>
      <c r="FG1" s="1234"/>
      <c r="FH1" s="1233"/>
      <c r="FI1" s="1233"/>
      <c r="FJ1" s="1233"/>
      <c r="FK1" s="1234"/>
      <c r="FL1" s="1234"/>
      <c r="FM1" s="1234"/>
      <c r="FN1" s="1233"/>
      <c r="FO1" s="1233"/>
      <c r="FP1" s="1233"/>
      <c r="FQ1" s="1234"/>
      <c r="FR1" s="1234"/>
      <c r="FS1" s="1234"/>
      <c r="FT1" s="1233"/>
      <c r="FU1" s="951"/>
      <c r="FV1" s="951"/>
      <c r="FW1" s="950"/>
      <c r="FX1" s="950"/>
      <c r="FY1" s="134"/>
      <c r="FZ1" s="134"/>
      <c r="GA1" s="1233"/>
      <c r="GB1" s="1233"/>
      <c r="GC1" s="1234"/>
      <c r="GD1" s="1234"/>
      <c r="GE1" s="1233"/>
      <c r="GF1" s="1233"/>
      <c r="GG1" s="1233"/>
      <c r="GH1" s="1233"/>
      <c r="GI1" s="1234"/>
      <c r="GJ1" s="1234"/>
      <c r="GK1" s="1233"/>
      <c r="GL1" s="1233"/>
      <c r="GM1" s="1233"/>
      <c r="GN1" s="1233"/>
      <c r="GO1" s="1234"/>
      <c r="GP1" s="1234"/>
      <c r="GQ1" s="1233"/>
      <c r="GR1" s="1233"/>
      <c r="GS1" s="1233"/>
      <c r="GT1" s="1233"/>
      <c r="GU1" s="1234"/>
      <c r="GV1" s="1234"/>
      <c r="GW1" s="1233"/>
      <c r="GX1" s="134"/>
      <c r="GY1" s="1233"/>
      <c r="GZ1" s="1233"/>
      <c r="HA1" s="1234"/>
      <c r="HB1" s="1234"/>
      <c r="HC1" s="1233"/>
      <c r="HD1" s="1233"/>
      <c r="HE1" s="1233"/>
      <c r="HF1" s="1233"/>
      <c r="HG1" s="1234"/>
      <c r="HH1" s="1234"/>
      <c r="HI1" s="1233"/>
      <c r="HJ1" s="1233"/>
      <c r="HK1" s="1233"/>
      <c r="HL1" s="1233"/>
      <c r="HM1" s="1234"/>
      <c r="HN1" s="1234"/>
      <c r="HO1" s="1233"/>
      <c r="HP1" s="134"/>
      <c r="HQ1" s="134"/>
      <c r="HR1" s="134"/>
      <c r="HS1" s="950"/>
      <c r="HT1" s="950"/>
      <c r="HU1" s="134"/>
      <c r="HV1" s="134"/>
      <c r="HW1" s="134"/>
      <c r="HX1" s="134"/>
      <c r="HY1" s="950"/>
      <c r="HZ1" s="950"/>
      <c r="IA1" s="134"/>
      <c r="IB1" s="134"/>
      <c r="IC1" s="134"/>
      <c r="ID1" s="134"/>
      <c r="IE1" s="950"/>
      <c r="IF1" s="950"/>
      <c r="IG1" s="134"/>
      <c r="IH1" s="134"/>
      <c r="II1" s="134"/>
      <c r="IJ1" s="134"/>
      <c r="IK1" s="950"/>
      <c r="IL1" s="950"/>
      <c r="IM1" s="134"/>
      <c r="IN1" s="1233"/>
      <c r="IO1" s="1233"/>
      <c r="IP1" s="1233"/>
      <c r="IQ1" s="1234"/>
      <c r="IR1" s="1234"/>
      <c r="IS1" s="1233"/>
      <c r="IT1" s="1233"/>
      <c r="IU1" s="1233"/>
      <c r="IV1" s="1233"/>
      <c r="IW1" s="1234"/>
      <c r="IX1" s="1234"/>
      <c r="IY1" s="1233"/>
      <c r="IZ1" s="1233"/>
      <c r="JA1" s="1233"/>
      <c r="JB1" s="1233"/>
      <c r="JC1" s="1234"/>
      <c r="JD1" s="1234"/>
      <c r="JE1" s="1233"/>
      <c r="JF1" s="1233"/>
      <c r="JG1" s="1233"/>
      <c r="JH1" s="1233"/>
      <c r="JI1" s="1234"/>
      <c r="JJ1" s="1234"/>
      <c r="JK1" s="1233"/>
      <c r="JL1" s="1233"/>
      <c r="JM1" s="1233"/>
      <c r="JN1" s="1233"/>
      <c r="JO1" s="1234"/>
      <c r="JP1" s="1234"/>
      <c r="JQ1" s="1233"/>
      <c r="JR1" s="1233"/>
      <c r="JS1" s="1233"/>
      <c r="JT1" s="1233"/>
      <c r="JU1" s="1234"/>
      <c r="JV1" s="1234"/>
      <c r="JW1" s="1233"/>
      <c r="JX1" s="1233"/>
      <c r="JY1" s="1233"/>
      <c r="JZ1" s="1233"/>
      <c r="KA1" s="1234"/>
      <c r="KB1" s="1234"/>
      <c r="KC1" s="1233"/>
      <c r="KD1" s="1233"/>
      <c r="KE1" s="1233"/>
      <c r="KF1" s="1233"/>
      <c r="KG1" s="950"/>
      <c r="KH1" s="950"/>
      <c r="KI1" s="134"/>
      <c r="KJ1" s="134"/>
      <c r="KK1" s="134"/>
      <c r="KL1" s="134"/>
      <c r="KM1" s="950"/>
      <c r="KN1" s="950"/>
      <c r="KO1" s="134"/>
      <c r="KP1" s="134"/>
      <c r="KQ1" s="134"/>
      <c r="KR1" s="134"/>
      <c r="KS1" s="950"/>
      <c r="KT1" s="950"/>
      <c r="KU1" s="134"/>
      <c r="KV1" s="134"/>
      <c r="KW1" s="134"/>
      <c r="KX1" s="134"/>
      <c r="KY1" s="950"/>
      <c r="KZ1" s="950"/>
      <c r="LA1" s="951"/>
      <c r="LB1" s="951"/>
      <c r="LC1" s="951"/>
      <c r="LD1" s="951"/>
      <c r="LE1" s="950"/>
      <c r="LF1" s="950"/>
      <c r="LG1" s="951"/>
      <c r="LH1" s="951"/>
      <c r="LI1" s="951"/>
      <c r="LJ1" s="951"/>
      <c r="LK1" s="950"/>
      <c r="LL1" s="950"/>
      <c r="LM1" s="951"/>
      <c r="LN1" s="951"/>
      <c r="LO1" s="951"/>
      <c r="LP1" s="951"/>
      <c r="LQ1" s="950"/>
      <c r="LR1" s="950"/>
      <c r="LS1" s="951"/>
      <c r="LT1" s="951"/>
      <c r="LU1" s="951"/>
      <c r="LV1" s="951"/>
      <c r="LW1" s="950"/>
      <c r="LX1" s="950"/>
      <c r="LY1" s="951"/>
      <c r="LZ1" s="951"/>
      <c r="MA1" s="951"/>
      <c r="MB1" s="951"/>
      <c r="MC1" s="950"/>
      <c r="MD1" s="950"/>
      <c r="ME1" s="951"/>
      <c r="MF1" s="951"/>
      <c r="MG1" s="951"/>
      <c r="MH1" s="951"/>
      <c r="MI1" s="950"/>
      <c r="MJ1" s="950"/>
      <c r="MK1" s="951"/>
      <c r="ML1" s="951"/>
      <c r="MM1" s="951"/>
      <c r="MN1" s="951"/>
      <c r="MO1" s="950"/>
      <c r="MP1" s="950"/>
      <c r="MQ1" s="951"/>
      <c r="MR1" s="951"/>
      <c r="MS1" s="951"/>
      <c r="MT1" s="951"/>
      <c r="MU1" s="950"/>
      <c r="MV1" s="950"/>
      <c r="MW1" s="951"/>
      <c r="MX1" s="951"/>
      <c r="MY1" s="951"/>
      <c r="MZ1" s="951"/>
      <c r="NA1" s="950"/>
      <c r="NB1" s="950"/>
      <c r="NC1" s="951"/>
      <c r="ND1" s="951"/>
      <c r="NE1" s="951"/>
      <c r="NF1" s="951"/>
      <c r="NG1" s="950"/>
      <c r="NH1" s="950"/>
      <c r="NI1" s="951"/>
      <c r="NJ1" s="951"/>
      <c r="NK1" s="951"/>
      <c r="NL1" s="951"/>
      <c r="NM1" s="950"/>
      <c r="NN1" s="950"/>
      <c r="NO1" s="951"/>
      <c r="NP1" s="951"/>
      <c r="NQ1" s="951"/>
      <c r="NR1" s="951"/>
      <c r="NS1" s="950"/>
      <c r="NT1" s="950"/>
      <c r="NU1" s="951"/>
      <c r="NV1" s="951"/>
      <c r="NW1" s="951"/>
      <c r="NX1" s="951"/>
      <c r="NY1" s="950"/>
      <c r="NZ1" s="950"/>
      <c r="OA1" s="951"/>
      <c r="OB1" s="951"/>
      <c r="OC1" s="951"/>
      <c r="OD1" s="951"/>
      <c r="OE1" s="950"/>
      <c r="OF1" s="950"/>
      <c r="OG1" s="951"/>
      <c r="OH1" s="951"/>
      <c r="OI1" s="951"/>
      <c r="OJ1" s="951"/>
      <c r="OK1" s="950"/>
      <c r="OL1" s="950"/>
      <c r="OM1" s="951"/>
      <c r="ON1" s="951"/>
      <c r="OO1" s="951"/>
      <c r="OP1" s="951"/>
      <c r="OQ1" s="950"/>
      <c r="OR1" s="950"/>
      <c r="OS1" s="951"/>
      <c r="OT1" s="951"/>
      <c r="OU1" s="951"/>
      <c r="OV1" s="951"/>
      <c r="OW1" s="950"/>
      <c r="OX1" s="950"/>
      <c r="OY1" s="951"/>
      <c r="OZ1" s="951"/>
      <c r="PA1" s="951"/>
      <c r="PB1" s="951"/>
      <c r="PC1" s="950"/>
      <c r="PD1" s="950"/>
      <c r="PE1" s="951"/>
      <c r="PF1" s="951"/>
      <c r="PG1" s="951"/>
      <c r="PH1" s="951"/>
      <c r="PI1" s="950"/>
      <c r="PJ1" s="950"/>
      <c r="PK1" s="951"/>
      <c r="PL1" s="951"/>
      <c r="PM1" s="951"/>
      <c r="PN1" s="951"/>
      <c r="PO1" s="950"/>
      <c r="PP1" s="950"/>
      <c r="PQ1" s="951"/>
      <c r="PR1" s="951"/>
      <c r="PS1" s="134"/>
      <c r="PT1" s="134"/>
      <c r="PU1" s="950"/>
      <c r="PV1" s="950"/>
      <c r="PW1" s="951"/>
      <c r="PX1" s="951"/>
      <c r="PY1" s="951"/>
      <c r="PZ1" s="951"/>
      <c r="QA1" s="950"/>
      <c r="QB1" s="950"/>
      <c r="QC1" s="951"/>
      <c r="QD1" s="951"/>
      <c r="QE1" s="951"/>
      <c r="QF1" s="951"/>
      <c r="QG1" s="950"/>
      <c r="QH1" s="950"/>
      <c r="QI1" s="951"/>
      <c r="QJ1" s="951"/>
      <c r="QK1" s="951"/>
      <c r="QL1" s="951"/>
      <c r="QM1" s="950"/>
      <c r="QN1" s="950"/>
      <c r="QO1" s="951"/>
      <c r="QP1" s="951"/>
      <c r="QQ1" s="951"/>
      <c r="QR1" s="951"/>
      <c r="QS1" s="950"/>
      <c r="QT1" s="950"/>
      <c r="QU1" s="951"/>
      <c r="QV1" s="951"/>
      <c r="QW1" s="951"/>
      <c r="QX1" s="951"/>
      <c r="QY1" s="950"/>
      <c r="QZ1" s="950"/>
      <c r="RA1" s="951"/>
      <c r="RB1" s="951"/>
      <c r="RC1" s="951"/>
      <c r="RD1" s="951"/>
      <c r="RE1" s="950"/>
      <c r="RF1" s="950"/>
      <c r="RG1" s="951"/>
      <c r="RH1" s="951"/>
      <c r="RI1" s="951"/>
      <c r="RJ1" s="951"/>
      <c r="RK1" s="950"/>
      <c r="RL1" s="950"/>
      <c r="RM1" s="951"/>
      <c r="RN1" s="951"/>
      <c r="RO1" s="951"/>
      <c r="RP1" s="951"/>
      <c r="RQ1" s="950"/>
      <c r="RR1" s="950"/>
      <c r="RS1" s="951"/>
      <c r="RT1" s="951"/>
      <c r="RU1" s="951"/>
      <c r="RV1" s="951"/>
      <c r="RW1" s="950"/>
      <c r="RX1" s="950"/>
      <c r="RY1" s="951"/>
      <c r="RZ1" s="951"/>
      <c r="SA1" s="951"/>
      <c r="SB1" s="951"/>
      <c r="SC1" s="950"/>
      <c r="SD1" s="950"/>
      <c r="SE1" s="951"/>
      <c r="SF1" s="951"/>
      <c r="SG1" s="1235"/>
      <c r="SH1" s="1235"/>
      <c r="SI1" s="1236"/>
      <c r="SJ1" s="1236"/>
      <c r="SK1" s="1235"/>
      <c r="SL1" s="951"/>
      <c r="SM1" s="951"/>
      <c r="SN1" s="951"/>
      <c r="SO1" s="950"/>
      <c r="SP1" s="950"/>
      <c r="SQ1" s="951"/>
      <c r="SR1" s="951"/>
      <c r="SS1" s="951"/>
      <c r="ST1" s="951"/>
      <c r="SU1" s="950"/>
      <c r="SV1" s="950"/>
      <c r="SW1" s="951"/>
      <c r="SX1" s="951"/>
      <c r="SY1" s="951"/>
      <c r="SZ1" s="951"/>
      <c r="TA1" s="950"/>
      <c r="TB1" s="950"/>
      <c r="TC1" s="951"/>
      <c r="TD1" s="951"/>
      <c r="TE1" s="951"/>
      <c r="TF1" s="951"/>
      <c r="TG1" s="950"/>
      <c r="TH1" s="950"/>
      <c r="TI1" s="951"/>
      <c r="TJ1" s="951"/>
      <c r="TK1" s="951"/>
      <c r="TL1" s="951"/>
      <c r="TM1" s="950"/>
      <c r="TN1" s="950"/>
      <c r="TO1" s="951"/>
      <c r="TP1" s="951"/>
      <c r="TQ1" s="951"/>
      <c r="TR1" s="951"/>
      <c r="TS1" s="950"/>
      <c r="TT1" s="950"/>
      <c r="TU1" s="951"/>
      <c r="TV1" s="951"/>
      <c r="TW1" s="951"/>
      <c r="TX1" s="951"/>
      <c r="TY1" s="951"/>
      <c r="TZ1" s="951"/>
      <c r="UA1" s="951"/>
      <c r="UB1" s="951"/>
      <c r="UC1" s="951"/>
      <c r="UD1" s="951"/>
      <c r="UE1" s="951"/>
      <c r="UF1" s="951"/>
      <c r="UG1" s="951"/>
      <c r="UH1" s="951"/>
      <c r="VG1" s="951"/>
      <c r="VH1" s="951"/>
      <c r="VI1" s="951"/>
      <c r="VJ1" s="951"/>
      <c r="VK1" s="951"/>
      <c r="VL1" s="951"/>
      <c r="VM1" s="951"/>
      <c r="VN1" s="951"/>
      <c r="VO1" s="951"/>
      <c r="VP1" s="951"/>
      <c r="VQ1" s="951"/>
      <c r="VR1" s="951"/>
      <c r="VS1" s="951"/>
      <c r="VT1" s="951"/>
      <c r="VU1" s="951"/>
      <c r="VV1" s="951"/>
      <c r="VW1" s="951"/>
      <c r="VX1" s="951"/>
      <c r="VY1" s="951"/>
      <c r="VZ1" s="951"/>
      <c r="WA1" s="951"/>
      <c r="WB1" s="951"/>
      <c r="WC1" s="951"/>
      <c r="WD1" s="951"/>
      <c r="WE1" s="951"/>
      <c r="WF1" s="951"/>
      <c r="WG1" s="951"/>
      <c r="WH1" s="951"/>
      <c r="WI1" s="951"/>
      <c r="WJ1" s="951"/>
      <c r="WK1" s="951"/>
      <c r="WL1" s="951"/>
      <c r="WM1" s="951"/>
      <c r="WN1" s="951"/>
      <c r="WO1" s="951"/>
      <c r="WP1" s="951"/>
      <c r="WQ1" s="951"/>
      <c r="WR1" s="951"/>
      <c r="WS1" s="951"/>
      <c r="WT1" s="951"/>
      <c r="WU1" s="951"/>
      <c r="WV1" s="951"/>
      <c r="WW1" s="951"/>
      <c r="WX1" s="951"/>
      <c r="WY1" s="951"/>
      <c r="WZ1" s="951"/>
      <c r="XA1" s="951"/>
      <c r="XB1" s="951"/>
      <c r="XC1" s="951"/>
      <c r="XD1" s="951"/>
      <c r="XE1" s="951"/>
      <c r="XF1" s="951"/>
      <c r="XG1" s="951"/>
      <c r="XH1" s="951"/>
      <c r="XI1" s="951"/>
      <c r="XJ1" s="951"/>
      <c r="XK1" s="951"/>
      <c r="XL1" s="951"/>
      <c r="XM1" s="951"/>
      <c r="XN1" s="951"/>
      <c r="XO1" s="951"/>
      <c r="XP1" s="951"/>
      <c r="XQ1" s="951"/>
      <c r="XR1" s="951"/>
      <c r="XS1" s="951"/>
      <c r="XT1" s="951"/>
      <c r="XU1" s="951"/>
      <c r="XV1" s="951"/>
      <c r="XW1" s="951"/>
      <c r="XX1" s="951"/>
      <c r="XY1" s="951"/>
      <c r="XZ1" s="951"/>
      <c r="YA1" s="951"/>
      <c r="YB1" s="951"/>
      <c r="YC1" s="951"/>
      <c r="YD1" s="951"/>
      <c r="YE1" s="951"/>
      <c r="YF1" s="951"/>
      <c r="YG1" s="951"/>
      <c r="YH1" s="951"/>
      <c r="YI1" s="950"/>
      <c r="YJ1" s="950"/>
      <c r="YK1" s="951"/>
      <c r="YL1" s="951"/>
      <c r="YM1" s="951"/>
      <c r="YN1" s="951"/>
      <c r="YO1" s="950"/>
      <c r="YP1" s="950"/>
      <c r="YQ1" s="951"/>
      <c r="YR1" s="951"/>
      <c r="YS1" s="951"/>
      <c r="YT1" s="951"/>
      <c r="YU1" s="950"/>
      <c r="YV1" s="950"/>
      <c r="YW1" s="951"/>
      <c r="YX1" s="951"/>
      <c r="YY1" s="951"/>
      <c r="YZ1" s="951"/>
      <c r="ZA1" s="950"/>
      <c r="ZB1" s="950"/>
      <c r="ZC1" s="951"/>
      <c r="ZD1" s="951"/>
      <c r="ZE1" s="951"/>
      <c r="ZF1" s="951"/>
      <c r="ZG1" s="950"/>
      <c r="ZH1" s="950"/>
      <c r="ZI1" s="951"/>
      <c r="ZJ1" s="951"/>
      <c r="ZK1" s="951"/>
      <c r="ZL1" s="951"/>
      <c r="ZM1" s="950"/>
      <c r="ZN1" s="950"/>
      <c r="ZO1" s="951"/>
      <c r="ZP1" s="951"/>
      <c r="ZQ1" s="951"/>
      <c r="ZR1" s="951"/>
      <c r="ZS1" s="950"/>
      <c r="ZT1" s="950"/>
      <c r="ZU1" s="951"/>
      <c r="ZV1" s="951"/>
      <c r="ZW1" s="950"/>
      <c r="ZX1" s="951"/>
      <c r="ZY1" s="950"/>
      <c r="ZZ1" s="950"/>
      <c r="AAA1" s="951"/>
      <c r="AAB1" s="951"/>
      <c r="AAC1" s="950"/>
      <c r="AAD1" s="951"/>
      <c r="AAE1" s="950"/>
      <c r="AAF1" s="950"/>
      <c r="AAG1" s="951"/>
      <c r="AAH1" s="951"/>
      <c r="AAI1" s="950"/>
      <c r="AAJ1" s="951"/>
      <c r="AAK1" s="950"/>
      <c r="AAL1" s="950"/>
      <c r="AAM1" s="951"/>
      <c r="AAN1" s="951"/>
      <c r="AAO1" s="950"/>
      <c r="AAP1" s="951"/>
      <c r="AAQ1" s="950"/>
      <c r="AAR1" s="950"/>
      <c r="AAS1" s="951"/>
      <c r="AAT1" s="951"/>
      <c r="AAU1" s="950"/>
      <c r="AAV1" s="951"/>
      <c r="AAW1" s="950"/>
      <c r="AAX1" s="950"/>
      <c r="AAY1" s="951"/>
      <c r="AAZ1" s="951"/>
      <c r="ABA1" s="950"/>
      <c r="ABB1" s="951"/>
      <c r="ABC1" s="951"/>
      <c r="ABD1" s="951"/>
      <c r="ABE1" s="951"/>
      <c r="ABF1" s="951"/>
      <c r="ABG1" s="950"/>
      <c r="ABH1" s="951"/>
      <c r="ABI1" s="951"/>
      <c r="ABJ1" s="951"/>
      <c r="ABK1" s="951"/>
      <c r="ABL1" s="951"/>
      <c r="ABM1" s="950"/>
      <c r="ABN1" s="951"/>
      <c r="ABO1" s="951"/>
      <c r="ABP1" s="951"/>
      <c r="ABQ1" s="951"/>
      <c r="ABR1" s="951"/>
      <c r="ABS1" s="950"/>
      <c r="ABT1" s="951"/>
      <c r="ABU1" s="951"/>
      <c r="ABV1" s="951"/>
      <c r="ABW1" s="951"/>
      <c r="ABX1" s="951"/>
      <c r="ABY1" s="950"/>
      <c r="ABZ1" s="951"/>
      <c r="ACA1" s="951"/>
      <c r="ACB1" s="951"/>
      <c r="ACC1" s="951"/>
      <c r="ACD1" s="951"/>
      <c r="ACE1" s="951"/>
      <c r="ACF1" s="951"/>
      <c r="ACG1" s="951"/>
      <c r="ACH1" s="951"/>
      <c r="ACI1" s="951"/>
      <c r="ACJ1" s="1237"/>
    </row>
    <row r="2" ht="15.75" customHeight="1">
      <c r="A2" s="1230"/>
      <c r="E2" s="1230"/>
      <c r="F2" s="1238"/>
      <c r="G2" s="1239" t="s">
        <v>4872</v>
      </c>
      <c r="H2" s="1240"/>
      <c r="I2" s="1241" t="str">
        <f>image("https://archives.bulbagarden.net/media/upload/6/62/VSRoark.png",3 )</f>
        <v/>
      </c>
      <c r="J2" s="962"/>
      <c r="K2" s="1242" t="s">
        <v>4873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48"/>
      <c r="AL2" s="1230"/>
      <c r="AM2" s="1241" t="str">
        <f>image("https://archives.bulbagarden.net/media/upload/c/cb/VSGardenia.png", 3)</f>
        <v/>
      </c>
      <c r="AN2" s="962"/>
      <c r="AO2" s="1242" t="s">
        <v>4874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48"/>
      <c r="CH2" s="442"/>
      <c r="CI2" s="1241" t="str">
        <f>image("https://archives.bulbagarden.net/media/upload/2/2c/VSFantina.png", 3)</f>
        <v/>
      </c>
      <c r="CJ2" s="962"/>
      <c r="CK2" s="1242" t="s">
        <v>4875</v>
      </c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48"/>
      <c r="ED2" s="442"/>
      <c r="EE2" s="1241" t="str">
        <f>image("https://archives.bulbagarden.net/media/upload/c/c2/VSMaylene.png", 3)</f>
        <v/>
      </c>
      <c r="EF2" s="962"/>
      <c r="EG2" s="1242" t="s">
        <v>4876</v>
      </c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962"/>
      <c r="GF2" s="442"/>
      <c r="GG2" s="1242" t="str">
        <f>image("https://archives.bulbagarden.net/media/upload/f/f0/VSCrasher_Wake.png",3)</f>
        <v/>
      </c>
      <c r="GH2" s="12"/>
      <c r="GI2" s="12"/>
      <c r="GJ2" s="962"/>
      <c r="GK2" s="1242" t="s">
        <v>4877</v>
      </c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962"/>
      <c r="HW2" s="1242" t="str">
        <f>image("https://archives.bulbagarden.net/media/upload/5/55/VSByron.png",3)</f>
        <v/>
      </c>
      <c r="HX2" s="962"/>
      <c r="HY2" s="1242" t="s">
        <v>4878</v>
      </c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962"/>
      <c r="KW2" s="1243" t="str">
        <f>image("https://archives.bulbagarden.net/media/upload/a/a6/VSCandice.png",3)</f>
        <v/>
      </c>
      <c r="KX2" s="1204"/>
      <c r="KY2" s="1244" t="s">
        <v>4879</v>
      </c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48"/>
      <c r="LT2" s="442"/>
      <c r="LU2" s="1244" t="str">
        <f>image("https://archives.bulbagarden.net/media/upload/9/97/VSVolkner.png",3)</f>
        <v/>
      </c>
      <c r="LV2" s="962"/>
      <c r="LW2" s="1244" t="s">
        <v>4880</v>
      </c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48"/>
      <c r="NW2" s="1245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962"/>
      <c r="OZ2" s="1246" t="s">
        <v>4881</v>
      </c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962"/>
      <c r="RN2" s="442"/>
      <c r="RO2" s="1247" t="str">
        <f>image("https://archives.bulbagarden.net/media/upload/2/2e/VSPalmer.png",3)</f>
        <v/>
      </c>
      <c r="RP2" s="962"/>
      <c r="RQ2" s="1242" t="s">
        <v>4882</v>
      </c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48"/>
      <c r="UI2" s="1248"/>
      <c r="UJ2" s="967"/>
      <c r="UK2" s="967"/>
      <c r="UL2" s="967"/>
      <c r="UM2" s="967"/>
      <c r="UN2" s="967"/>
      <c r="UO2" s="1249"/>
      <c r="UP2" s="1250" t="s">
        <v>4883</v>
      </c>
      <c r="UQ2" s="1251" t="s">
        <v>4884</v>
      </c>
      <c r="UR2" s="967"/>
      <c r="US2" s="967"/>
      <c r="UT2" s="967"/>
      <c r="UU2" s="967"/>
      <c r="UV2" s="967"/>
      <c r="UW2" s="967"/>
      <c r="UX2" s="967"/>
      <c r="UY2" s="967"/>
      <c r="UZ2" s="967"/>
      <c r="VA2" s="967"/>
      <c r="VB2" s="967"/>
      <c r="VC2" s="967"/>
      <c r="VD2" s="967"/>
      <c r="VE2" s="967"/>
      <c r="VF2" s="967"/>
      <c r="VG2" s="967"/>
      <c r="VH2" s="967"/>
      <c r="VI2" s="967"/>
      <c r="VJ2" s="967"/>
      <c r="VK2" s="967"/>
      <c r="VL2" s="967"/>
      <c r="VM2" s="967"/>
      <c r="VN2" s="967"/>
      <c r="VO2" s="967"/>
      <c r="VP2" s="967"/>
      <c r="VQ2" s="967"/>
      <c r="VR2" s="967"/>
      <c r="VS2" s="967"/>
      <c r="VT2" s="967"/>
      <c r="VU2" s="967"/>
      <c r="VV2" s="967"/>
      <c r="VW2" s="967"/>
      <c r="VX2" s="967"/>
      <c r="VY2" s="967"/>
      <c r="VZ2" s="967"/>
      <c r="WA2" s="967"/>
      <c r="WB2" s="967"/>
      <c r="WC2" s="967"/>
      <c r="WD2" s="967"/>
      <c r="WE2" s="967"/>
      <c r="WF2" s="967"/>
      <c r="WG2" s="967"/>
      <c r="WH2" s="967"/>
      <c r="WI2" s="967"/>
      <c r="WJ2" s="967"/>
      <c r="WK2" s="967"/>
      <c r="WL2" s="967"/>
      <c r="WM2" s="967"/>
      <c r="WN2" s="967"/>
      <c r="WO2" s="967"/>
      <c r="WP2" s="967"/>
      <c r="WQ2" s="967"/>
      <c r="WR2" s="967"/>
      <c r="WS2" s="967"/>
      <c r="WT2" s="967"/>
      <c r="WU2" s="967"/>
      <c r="WV2" s="967"/>
      <c r="WW2" s="967"/>
      <c r="WX2" s="967"/>
      <c r="WY2" s="967"/>
      <c r="WZ2" s="967"/>
      <c r="XA2" s="967"/>
      <c r="XB2" s="967"/>
      <c r="XC2" s="967"/>
      <c r="XD2" s="967"/>
      <c r="XE2" s="967"/>
      <c r="XF2" s="967"/>
      <c r="XG2" s="967"/>
      <c r="XH2" s="967"/>
      <c r="XI2" s="967"/>
      <c r="XJ2" s="967"/>
      <c r="XK2" s="967"/>
      <c r="XL2" s="967"/>
      <c r="XM2" s="967"/>
      <c r="XN2" s="967"/>
      <c r="XO2" s="967"/>
      <c r="XP2" s="967"/>
      <c r="XQ2" s="967"/>
      <c r="XR2" s="967"/>
      <c r="XS2" s="967"/>
      <c r="XT2" s="967"/>
      <c r="XU2" s="967"/>
      <c r="XV2" s="967"/>
      <c r="XW2" s="967"/>
      <c r="XX2" s="967"/>
      <c r="XY2" s="967"/>
      <c r="XZ2" s="967"/>
      <c r="YA2" s="967"/>
      <c r="YB2" s="967"/>
      <c r="YC2" s="967"/>
      <c r="YD2" s="967"/>
      <c r="YE2" s="967"/>
      <c r="YF2" s="967"/>
      <c r="YG2" s="967"/>
      <c r="YH2" s="967"/>
      <c r="YI2" s="967"/>
      <c r="YJ2" s="967"/>
      <c r="YK2" s="967"/>
      <c r="YL2" s="967"/>
      <c r="YM2" s="967"/>
      <c r="YN2" s="967"/>
      <c r="YO2" s="967"/>
      <c r="YP2" s="967"/>
      <c r="YQ2" s="967"/>
      <c r="YR2" s="967"/>
      <c r="YS2" s="967"/>
      <c r="YT2" s="967"/>
      <c r="YU2" s="967"/>
      <c r="YV2" s="967"/>
      <c r="YW2" s="967"/>
      <c r="YX2" s="967"/>
      <c r="YY2" s="967"/>
      <c r="YZ2" s="967"/>
      <c r="ZA2" s="967"/>
      <c r="ZB2" s="967"/>
      <c r="ZC2" s="967"/>
      <c r="ZD2" s="967"/>
      <c r="ZE2" s="967"/>
      <c r="ZF2" s="967"/>
      <c r="ZG2" s="967"/>
      <c r="ZH2" s="967"/>
      <c r="ZI2" s="967"/>
      <c r="ZJ2" s="967"/>
      <c r="ZK2" s="967"/>
      <c r="ZL2" s="967"/>
      <c r="ZM2" s="967"/>
      <c r="ZN2" s="967"/>
      <c r="ZO2" s="967"/>
      <c r="ZP2" s="967"/>
      <c r="ZQ2" s="967"/>
      <c r="ZR2" s="967"/>
      <c r="ZS2" s="967"/>
      <c r="ZT2" s="967"/>
      <c r="ZU2" s="967"/>
      <c r="ZV2" s="967"/>
      <c r="ZW2" s="967"/>
      <c r="ZX2" s="967"/>
      <c r="ZY2" s="967"/>
      <c r="ZZ2" s="967"/>
      <c r="AAA2" s="967"/>
      <c r="AAB2" s="967"/>
      <c r="AAC2" s="967"/>
      <c r="AAD2" s="967"/>
      <c r="AAE2" s="967"/>
      <c r="AAF2" s="967"/>
      <c r="AAG2" s="967"/>
      <c r="AAH2" s="967"/>
      <c r="AAI2" s="967"/>
      <c r="AAJ2" s="967"/>
      <c r="AAK2" s="967"/>
      <c r="AAL2" s="967"/>
      <c r="AAM2" s="967"/>
      <c r="AAN2" s="967"/>
      <c r="AAO2" s="967"/>
      <c r="AAP2" s="967"/>
      <c r="AAQ2" s="967"/>
      <c r="AAR2" s="967"/>
      <c r="AAS2" s="967"/>
      <c r="AAT2" s="967"/>
      <c r="AAU2" s="967"/>
      <c r="AAV2" s="967"/>
      <c r="AAW2" s="967"/>
      <c r="AAX2" s="967"/>
      <c r="AAY2" s="967"/>
      <c r="AAZ2" s="967"/>
      <c r="ABA2" s="967"/>
      <c r="ABB2" s="967"/>
      <c r="ABC2" s="967"/>
      <c r="ABD2" s="967"/>
      <c r="ABE2" s="967"/>
      <c r="ABF2" s="967"/>
      <c r="ABG2" s="967"/>
      <c r="ABH2" s="967"/>
      <c r="ABI2" s="967"/>
      <c r="ABJ2" s="967"/>
      <c r="ABK2" s="967"/>
      <c r="ABL2" s="967"/>
      <c r="ABM2" s="967"/>
      <c r="ABN2" s="967"/>
      <c r="ABO2" s="967"/>
      <c r="ABP2" s="967"/>
      <c r="ABQ2" s="967"/>
      <c r="ABR2" s="967"/>
      <c r="ABS2" s="967"/>
      <c r="ABT2" s="967"/>
      <c r="ABU2" s="967"/>
      <c r="ABV2" s="967"/>
      <c r="ABW2" s="967"/>
      <c r="ABX2" s="967"/>
      <c r="ABY2" s="967"/>
      <c r="ABZ2" s="967"/>
      <c r="ACA2" s="967"/>
      <c r="ACB2" s="967"/>
      <c r="ACC2" s="1249"/>
      <c r="ACD2" s="1252"/>
      <c r="ACE2" s="1241" t="s">
        <v>4885</v>
      </c>
      <c r="ACF2" s="12"/>
      <c r="ACG2" s="12"/>
      <c r="ACH2" s="12"/>
      <c r="ACI2" s="48"/>
      <c r="ACJ2" s="996"/>
    </row>
    <row r="3" ht="15.75" customHeight="1">
      <c r="A3" s="1230"/>
      <c r="B3" s="1253" t="s">
        <v>4886</v>
      </c>
      <c r="C3" s="976"/>
      <c r="D3" s="954"/>
      <c r="E3" s="1230"/>
      <c r="F3" s="1238"/>
      <c r="G3" s="1254"/>
      <c r="H3" s="1240"/>
      <c r="AL3" s="1230"/>
      <c r="AM3" s="1230"/>
      <c r="AN3" s="1230"/>
      <c r="AO3" s="1230"/>
      <c r="AP3" s="1230"/>
      <c r="AQ3" s="1230"/>
      <c r="AR3" s="1230"/>
      <c r="AS3" s="1230"/>
      <c r="AT3" s="1230"/>
      <c r="AU3" s="1230"/>
      <c r="AV3" s="1230"/>
      <c r="AW3" s="1230"/>
      <c r="AX3" s="1230"/>
      <c r="BD3" s="442"/>
      <c r="BJ3" s="1230"/>
      <c r="BP3" s="442"/>
      <c r="BV3" s="442"/>
      <c r="CB3" s="1230"/>
      <c r="CH3" s="442"/>
      <c r="CN3" s="442"/>
      <c r="CT3" s="442"/>
      <c r="CZ3" s="442"/>
      <c r="DF3" s="442"/>
      <c r="DL3" s="442"/>
      <c r="DR3" s="442"/>
      <c r="DX3" s="442"/>
      <c r="ED3" s="442"/>
      <c r="EG3" s="349"/>
      <c r="EH3" s="349"/>
      <c r="EJ3" s="442"/>
      <c r="EK3" s="442"/>
      <c r="EL3" s="442"/>
      <c r="EM3" s="108"/>
      <c r="EN3" s="108"/>
      <c r="EO3" s="442"/>
      <c r="EP3" s="442"/>
      <c r="ES3" s="349"/>
      <c r="ET3" s="349"/>
      <c r="EV3" s="442"/>
      <c r="EY3" s="349"/>
      <c r="EZ3" s="349"/>
      <c r="FB3" s="442"/>
      <c r="FE3" s="349"/>
      <c r="FF3" s="349"/>
      <c r="FH3" s="442"/>
      <c r="FK3" s="349"/>
      <c r="FL3" s="349"/>
      <c r="FN3" s="442"/>
      <c r="FQ3" s="349"/>
      <c r="FR3" s="349"/>
      <c r="FT3" s="442"/>
      <c r="FW3" s="349"/>
      <c r="FX3" s="349"/>
      <c r="FZ3" s="442"/>
      <c r="GC3" s="349"/>
      <c r="GD3" s="349"/>
      <c r="GF3" s="442"/>
      <c r="GI3" s="349"/>
      <c r="GJ3" s="349"/>
      <c r="GL3" s="1230"/>
      <c r="GO3" s="349"/>
      <c r="GP3" s="349"/>
      <c r="GR3" s="1230"/>
      <c r="GU3" s="349"/>
      <c r="GV3" s="349"/>
      <c r="GX3" s="65"/>
      <c r="HA3" s="349"/>
      <c r="HB3" s="349"/>
      <c r="HD3" s="1230"/>
      <c r="HG3" s="349"/>
      <c r="HH3" s="349"/>
      <c r="HJ3" s="1230"/>
      <c r="HM3" s="349"/>
      <c r="HN3" s="349"/>
      <c r="HP3" s="65"/>
      <c r="HS3" s="349"/>
      <c r="HT3" s="349"/>
      <c r="HU3" s="349"/>
      <c r="HV3" s="65"/>
      <c r="HY3" s="349"/>
      <c r="HZ3" s="349"/>
      <c r="IE3" s="349"/>
      <c r="IF3" s="349"/>
      <c r="IK3" s="349"/>
      <c r="IL3" s="349"/>
      <c r="IN3" s="65"/>
      <c r="IQ3" s="349"/>
      <c r="IR3" s="349"/>
      <c r="IT3" s="1230"/>
      <c r="IW3" s="349"/>
      <c r="IX3" s="349"/>
      <c r="IZ3" s="1230"/>
      <c r="JC3" s="349"/>
      <c r="JD3" s="349"/>
      <c r="JF3" s="1230"/>
      <c r="JI3" s="349"/>
      <c r="JJ3" s="349"/>
      <c r="JL3" s="1230"/>
      <c r="JO3" s="349"/>
      <c r="JP3" s="349"/>
      <c r="JR3" s="1230"/>
      <c r="JU3" s="349"/>
      <c r="JV3" s="349"/>
      <c r="KA3" s="349"/>
      <c r="KB3" s="349"/>
      <c r="KG3" s="349"/>
      <c r="KH3" s="349"/>
      <c r="KJ3" s="65"/>
      <c r="KM3" s="349"/>
      <c r="KN3" s="349"/>
      <c r="KP3" s="65"/>
      <c r="KS3" s="349"/>
      <c r="KT3" s="349"/>
      <c r="KV3" s="65"/>
      <c r="KY3" s="349"/>
      <c r="KZ3" s="349"/>
      <c r="LB3" s="442"/>
      <c r="LE3" s="349"/>
      <c r="LF3" s="349"/>
      <c r="LK3" s="349"/>
      <c r="LL3" s="349"/>
      <c r="LO3" s="442"/>
      <c r="LP3" s="442"/>
      <c r="LQ3" s="108"/>
      <c r="LR3" s="108"/>
      <c r="LS3" s="442"/>
      <c r="LT3" s="442"/>
      <c r="LU3" s="442"/>
      <c r="LV3" s="442"/>
      <c r="LW3" s="108"/>
      <c r="LX3" s="349"/>
      <c r="MC3" s="349"/>
      <c r="MD3" s="349"/>
      <c r="MI3" s="349"/>
      <c r="MJ3" s="349"/>
      <c r="MO3" s="349"/>
      <c r="MP3" s="108"/>
      <c r="MS3" s="442"/>
      <c r="MT3" s="442"/>
      <c r="MU3" s="349"/>
      <c r="MV3" s="349"/>
      <c r="MW3" s="442"/>
      <c r="MX3" s="442"/>
      <c r="MY3" s="442"/>
      <c r="MZ3" s="442"/>
      <c r="NA3" s="108"/>
      <c r="NB3" s="108"/>
      <c r="NC3" s="442"/>
      <c r="ND3" s="442"/>
      <c r="NE3" s="442"/>
      <c r="NF3" s="442"/>
      <c r="NG3" s="108"/>
      <c r="NH3" s="108"/>
      <c r="NI3" s="442"/>
      <c r="NJ3" s="442"/>
      <c r="NK3" s="442"/>
      <c r="NL3" s="442"/>
      <c r="NM3" s="108"/>
      <c r="NN3" s="108"/>
      <c r="NO3" s="442"/>
      <c r="NP3" s="442"/>
      <c r="NQ3" s="442"/>
      <c r="NR3" s="442"/>
      <c r="NS3" s="349"/>
      <c r="NT3" s="349"/>
      <c r="NU3" s="442"/>
      <c r="NY3" s="108"/>
      <c r="NZ3" s="349"/>
      <c r="OB3" s="442"/>
      <c r="OC3" s="442"/>
      <c r="OD3" s="442"/>
      <c r="OE3" s="108"/>
      <c r="OF3" s="108"/>
      <c r="OG3" s="442"/>
      <c r="OH3" s="442"/>
      <c r="OI3" s="442"/>
      <c r="OJ3" s="442"/>
      <c r="OK3" s="108"/>
      <c r="OL3" s="108"/>
      <c r="OM3" s="442"/>
      <c r="ON3" s="442"/>
      <c r="OQ3" s="349"/>
      <c r="OR3" s="349"/>
      <c r="OW3" s="349"/>
      <c r="OX3" s="349"/>
      <c r="OY3" s="442"/>
      <c r="PC3" s="108"/>
      <c r="PD3" s="349"/>
      <c r="PF3" s="442"/>
      <c r="PI3" s="349"/>
      <c r="PJ3" s="108"/>
      <c r="PM3" s="442"/>
      <c r="PN3" s="442"/>
      <c r="PO3" s="108"/>
      <c r="PP3" s="108"/>
      <c r="PQ3" s="442"/>
      <c r="PR3" s="442"/>
      <c r="PS3" s="65"/>
      <c r="PT3" s="65"/>
      <c r="PU3" s="108"/>
      <c r="PV3" s="349"/>
      <c r="QA3" s="349"/>
      <c r="QB3" s="349"/>
      <c r="QD3" s="442"/>
      <c r="QG3" s="349"/>
      <c r="QH3" s="108"/>
      <c r="QI3" s="442"/>
      <c r="QJ3" s="442"/>
      <c r="QK3" s="442"/>
      <c r="QL3" s="442"/>
      <c r="QM3" s="108"/>
      <c r="QN3" s="108"/>
      <c r="QO3" s="442"/>
      <c r="QP3" s="442"/>
      <c r="QQ3" s="442"/>
      <c r="QR3" s="442"/>
      <c r="QS3" s="108"/>
      <c r="QT3" s="108"/>
      <c r="QU3" s="442"/>
      <c r="QV3" s="442"/>
      <c r="QW3" s="442"/>
      <c r="QX3" s="442"/>
      <c r="QY3" s="108"/>
      <c r="QZ3" s="108"/>
      <c r="RA3" s="442"/>
      <c r="RB3" s="442"/>
      <c r="RC3" s="442"/>
      <c r="RD3" s="442"/>
      <c r="RE3" s="108"/>
      <c r="RF3" s="108"/>
      <c r="RG3" s="442"/>
      <c r="RH3" s="442"/>
      <c r="RI3" s="442"/>
      <c r="RJ3" s="442"/>
      <c r="RK3" s="108"/>
      <c r="RL3" s="108"/>
      <c r="RM3" s="442"/>
      <c r="RN3" s="442"/>
      <c r="RQ3" s="108"/>
      <c r="RR3" s="108"/>
      <c r="RS3" s="442"/>
      <c r="RT3" s="442"/>
      <c r="RU3" s="442"/>
      <c r="RV3" s="442"/>
      <c r="RW3" s="108"/>
      <c r="RX3" s="108"/>
      <c r="RY3" s="442"/>
      <c r="RZ3" s="442"/>
      <c r="SC3" s="349"/>
      <c r="SD3" s="349"/>
      <c r="SF3" s="442"/>
      <c r="SI3" s="349"/>
      <c r="SJ3" s="349"/>
      <c r="SL3" s="442"/>
      <c r="SM3" s="442"/>
      <c r="SN3" s="442"/>
      <c r="SO3" s="108"/>
      <c r="SP3" s="108"/>
      <c r="SQ3" s="442"/>
      <c r="SR3" s="442"/>
      <c r="SS3" s="442"/>
      <c r="ST3" s="442"/>
      <c r="SU3" s="108"/>
      <c r="SV3" s="108"/>
      <c r="SW3" s="442"/>
      <c r="SX3" s="442"/>
      <c r="TA3" s="349"/>
      <c r="TB3" s="108"/>
      <c r="TG3" s="349"/>
      <c r="TH3" s="349"/>
      <c r="TM3" s="349"/>
      <c r="TN3" s="349"/>
      <c r="TS3" s="349"/>
      <c r="TT3" s="108"/>
      <c r="VG3" s="442"/>
      <c r="VH3" s="442"/>
      <c r="VI3" s="442"/>
      <c r="VJ3" s="442"/>
      <c r="VK3" s="442"/>
      <c r="VL3" s="442"/>
      <c r="VM3" s="442"/>
      <c r="VN3" s="442"/>
      <c r="VO3" s="442"/>
      <c r="VP3" s="442"/>
      <c r="VQ3" s="442"/>
      <c r="VR3" s="442"/>
      <c r="VS3" s="442"/>
      <c r="VT3" s="442"/>
      <c r="VU3" s="442"/>
      <c r="VV3" s="442"/>
      <c r="VW3" s="442"/>
      <c r="VX3" s="442"/>
      <c r="VY3" s="442"/>
      <c r="VZ3" s="442"/>
      <c r="WA3" s="442"/>
      <c r="WB3" s="442"/>
      <c r="WC3" s="442"/>
      <c r="WD3" s="442"/>
      <c r="WE3" s="442"/>
      <c r="WF3" s="442"/>
      <c r="WG3" s="442"/>
      <c r="WH3" s="442"/>
      <c r="WI3" s="442"/>
      <c r="WJ3" s="442"/>
      <c r="WK3" s="442"/>
      <c r="WL3" s="442"/>
      <c r="WM3" s="442"/>
      <c r="WN3" s="442"/>
      <c r="WO3" s="442"/>
      <c r="WP3" s="442"/>
      <c r="WV3" s="442"/>
      <c r="WW3" s="442"/>
      <c r="WX3" s="442"/>
      <c r="WY3" s="442"/>
      <c r="WZ3" s="442"/>
      <c r="XA3" s="442"/>
      <c r="XB3" s="442"/>
      <c r="XC3" s="442"/>
      <c r="XD3" s="442"/>
      <c r="XE3" s="442"/>
      <c r="XF3" s="442"/>
      <c r="XG3" s="442"/>
      <c r="XH3" s="442"/>
      <c r="XI3" s="442"/>
      <c r="XJ3" s="442"/>
      <c r="XK3" s="442"/>
      <c r="XL3" s="442"/>
      <c r="XM3" s="442"/>
      <c r="XN3" s="442"/>
      <c r="XO3" s="442"/>
      <c r="XP3" s="442"/>
      <c r="XQ3" s="442"/>
      <c r="XR3" s="442"/>
      <c r="XS3" s="442"/>
      <c r="XT3" s="442"/>
      <c r="XU3" s="442"/>
      <c r="XV3" s="442"/>
      <c r="XW3" s="442"/>
      <c r="XX3" s="442"/>
      <c r="XY3" s="442"/>
      <c r="XZ3" s="442"/>
      <c r="YA3" s="442"/>
      <c r="YB3" s="442"/>
      <c r="YC3" s="442"/>
      <c r="YD3" s="442"/>
      <c r="YE3" s="442"/>
      <c r="YF3" s="442"/>
      <c r="YG3" s="442"/>
      <c r="YH3" s="442"/>
      <c r="YI3" s="108"/>
      <c r="YJ3" s="108"/>
      <c r="YK3" s="442"/>
      <c r="YL3" s="442"/>
      <c r="YM3" s="442"/>
      <c r="YN3" s="442"/>
      <c r="YO3" s="108"/>
      <c r="YP3" s="108"/>
      <c r="YQ3" s="442"/>
      <c r="YR3" s="442"/>
      <c r="YS3" s="442"/>
      <c r="YT3" s="442"/>
      <c r="YU3" s="108"/>
      <c r="YV3" s="108"/>
      <c r="YW3" s="442"/>
      <c r="YX3" s="442"/>
      <c r="YY3" s="442"/>
      <c r="YZ3" s="442"/>
      <c r="ZA3" s="108"/>
      <c r="ZB3" s="108"/>
      <c r="ZC3" s="442"/>
      <c r="ZD3" s="442"/>
      <c r="ZE3" s="442"/>
      <c r="ZF3" s="442"/>
      <c r="ZG3" s="108"/>
      <c r="ZH3" s="108"/>
      <c r="ZI3" s="442"/>
      <c r="ZJ3" s="442"/>
      <c r="ZK3" s="442"/>
      <c r="ZL3" s="442"/>
      <c r="ZM3" s="108"/>
      <c r="ZN3" s="108"/>
      <c r="ZO3" s="442"/>
      <c r="ZP3" s="442"/>
      <c r="ZQ3" s="442"/>
      <c r="ZR3" s="442"/>
      <c r="ZS3" s="108"/>
      <c r="ZT3" s="108"/>
      <c r="ZU3" s="442"/>
      <c r="ZV3" s="442"/>
      <c r="ZW3" s="108"/>
      <c r="ZX3" s="442"/>
      <c r="ZY3" s="108"/>
      <c r="ZZ3" s="108"/>
      <c r="AAA3" s="442"/>
      <c r="AAB3" s="442"/>
      <c r="AAC3" s="108"/>
      <c r="AAD3" s="442"/>
      <c r="AAE3" s="108"/>
      <c r="AAF3" s="108"/>
      <c r="AAG3" s="442"/>
      <c r="AAH3" s="442"/>
      <c r="AAI3" s="349"/>
      <c r="AAK3" s="349"/>
      <c r="AAL3" s="349"/>
      <c r="AAO3" s="349"/>
      <c r="AAQ3" s="349"/>
      <c r="AAR3" s="349"/>
      <c r="AAU3" s="349"/>
      <c r="AAW3" s="349"/>
      <c r="AAX3" s="349"/>
      <c r="ABA3" s="349"/>
      <c r="ABG3" s="349"/>
      <c r="ABM3" s="349"/>
      <c r="ABS3" s="349"/>
      <c r="ABY3" s="349"/>
      <c r="ACE3" s="442"/>
      <c r="ACF3" s="442"/>
      <c r="ACG3" s="442"/>
      <c r="ACH3" s="442"/>
      <c r="ACI3" s="442"/>
      <c r="ACJ3" s="996"/>
    </row>
    <row r="4" ht="15.75" customHeight="1">
      <c r="A4" s="1230"/>
      <c r="B4" s="997"/>
      <c r="C4" s="1026"/>
      <c r="D4" s="998"/>
      <c r="E4" s="1230"/>
      <c r="F4" s="1238"/>
      <c r="G4" s="428"/>
      <c r="H4" s="1230"/>
      <c r="I4" s="961" t="s">
        <v>4767</v>
      </c>
      <c r="J4" s="12"/>
      <c r="K4" s="12"/>
      <c r="L4" s="12"/>
      <c r="M4" s="48"/>
      <c r="N4" s="1230"/>
      <c r="O4" s="1255"/>
      <c r="P4" s="1256" t="s">
        <v>4887</v>
      </c>
      <c r="Q4" s="1257" t="s">
        <v>4888</v>
      </c>
      <c r="R4" s="962"/>
      <c r="S4" s="1258" t="s">
        <v>4608</v>
      </c>
      <c r="T4" s="1230"/>
      <c r="U4" s="1255"/>
      <c r="V4" s="1259" t="s">
        <v>4889</v>
      </c>
      <c r="W4" s="12"/>
      <c r="X4" s="962"/>
      <c r="Y4" s="1258" t="s">
        <v>4608</v>
      </c>
      <c r="Z4" s="1230"/>
      <c r="AA4" s="1255"/>
      <c r="AB4" s="1259" t="s">
        <v>4890</v>
      </c>
      <c r="AC4" s="12"/>
      <c r="AD4" s="962"/>
      <c r="AE4" s="1258" t="s">
        <v>4608</v>
      </c>
      <c r="AF4" s="1230"/>
      <c r="AG4" s="1255"/>
      <c r="AH4" s="1259" t="s">
        <v>4891</v>
      </c>
      <c r="AI4" s="12"/>
      <c r="AJ4" s="962"/>
      <c r="AK4" s="1258" t="s">
        <v>4608</v>
      </c>
      <c r="AL4" s="1230"/>
      <c r="AM4" s="961" t="s">
        <v>4515</v>
      </c>
      <c r="AN4" s="12"/>
      <c r="AO4" s="12"/>
      <c r="AP4" s="12"/>
      <c r="AQ4" s="48"/>
      <c r="AR4" s="1230"/>
      <c r="AS4" s="1260"/>
      <c r="AT4" s="1261" t="s">
        <v>4892</v>
      </c>
      <c r="AU4" s="959"/>
      <c r="AV4" s="957"/>
      <c r="AW4" s="1262" t="s">
        <v>4608</v>
      </c>
      <c r="AX4" s="1230"/>
      <c r="AY4" s="961" t="s">
        <v>4893</v>
      </c>
      <c r="AZ4" s="12"/>
      <c r="BA4" s="12"/>
      <c r="BB4" s="12"/>
      <c r="BC4" s="48"/>
      <c r="BD4" s="442"/>
      <c r="BE4" s="961" t="s">
        <v>4894</v>
      </c>
      <c r="BF4" s="12"/>
      <c r="BG4" s="12"/>
      <c r="BH4" s="12"/>
      <c r="BI4" s="48"/>
      <c r="BJ4" s="1230"/>
      <c r="BK4" s="1255"/>
      <c r="BL4" s="1259" t="s">
        <v>4895</v>
      </c>
      <c r="BM4" s="12"/>
      <c r="BN4" s="962"/>
      <c r="BO4" s="1258" t="s">
        <v>4608</v>
      </c>
      <c r="BP4" s="442"/>
      <c r="BQ4" s="1255"/>
      <c r="BR4" s="1259" t="s">
        <v>4896</v>
      </c>
      <c r="BS4" s="12"/>
      <c r="BT4" s="962"/>
      <c r="BU4" s="1258" t="s">
        <v>4608</v>
      </c>
      <c r="BV4" s="442"/>
      <c r="BW4" s="1255"/>
      <c r="BX4" s="1259" t="s">
        <v>4897</v>
      </c>
      <c r="BY4" s="12"/>
      <c r="BZ4" s="962"/>
      <c r="CA4" s="1258" t="s">
        <v>4608</v>
      </c>
      <c r="CB4" s="1230"/>
      <c r="CC4" s="1263"/>
      <c r="CD4" s="1264" t="s">
        <v>4898</v>
      </c>
      <c r="CE4" s="12"/>
      <c r="CF4" s="962"/>
      <c r="CG4" s="1265" t="s">
        <v>4608</v>
      </c>
      <c r="CH4" s="442"/>
      <c r="CI4" s="973" t="s">
        <v>4899</v>
      </c>
      <c r="CJ4" s="976"/>
      <c r="CK4" s="976"/>
      <c r="CL4" s="976"/>
      <c r="CM4" s="954"/>
      <c r="CN4" s="442"/>
      <c r="CO4" s="961" t="s">
        <v>4900</v>
      </c>
      <c r="CP4" s="12"/>
      <c r="CQ4" s="48"/>
      <c r="CS4" s="442"/>
      <c r="CU4" s="1266"/>
      <c r="CV4" s="1256" t="s">
        <v>4901</v>
      </c>
      <c r="CW4" s="1257" t="s">
        <v>4888</v>
      </c>
      <c r="CX4" s="962"/>
      <c r="CY4" s="1267" t="s">
        <v>4608</v>
      </c>
      <c r="CZ4" s="442"/>
      <c r="DA4" s="1266"/>
      <c r="DB4" s="1259" t="s">
        <v>4902</v>
      </c>
      <c r="DC4" s="12"/>
      <c r="DD4" s="962"/>
      <c r="DE4" s="1258" t="s">
        <v>4608</v>
      </c>
      <c r="DF4" s="442"/>
      <c r="DG4" s="1266"/>
      <c r="DH4" s="1259" t="s">
        <v>4903</v>
      </c>
      <c r="DI4" s="12"/>
      <c r="DJ4" s="962"/>
      <c r="DK4" s="1258" t="s">
        <v>4608</v>
      </c>
      <c r="DL4" s="442"/>
      <c r="DM4" s="1268"/>
      <c r="DN4" s="1269" t="s">
        <v>4904</v>
      </c>
      <c r="DO4" s="12"/>
      <c r="DP4" s="962"/>
      <c r="DQ4" s="1270" t="s">
        <v>4608</v>
      </c>
      <c r="DR4" s="442"/>
      <c r="DS4" s="961" t="s">
        <v>4905</v>
      </c>
      <c r="DT4" s="12"/>
      <c r="DU4" s="12"/>
      <c r="DV4" s="12"/>
      <c r="DW4" s="48"/>
      <c r="DX4" s="442"/>
      <c r="DY4" s="1271"/>
      <c r="DZ4" s="1264" t="s">
        <v>4906</v>
      </c>
      <c r="EA4" s="12"/>
      <c r="EB4" s="962"/>
      <c r="EC4" s="1265" t="s">
        <v>4608</v>
      </c>
      <c r="ED4" s="442"/>
      <c r="EE4" s="1272" t="s">
        <v>4907</v>
      </c>
      <c r="EF4" s="12"/>
      <c r="EG4" s="12"/>
      <c r="EH4" s="12"/>
      <c r="EI4" s="48"/>
      <c r="EJ4" s="442"/>
      <c r="EK4" s="1273"/>
      <c r="EL4" s="1274" t="s">
        <v>4908</v>
      </c>
      <c r="EM4" s="959"/>
      <c r="EN4" s="957"/>
      <c r="EO4" s="1275" t="s">
        <v>4608</v>
      </c>
      <c r="EP4" s="442"/>
      <c r="EQ4" s="1276"/>
      <c r="ER4" s="1274" t="s">
        <v>4909</v>
      </c>
      <c r="ES4" s="959"/>
      <c r="ET4" s="957"/>
      <c r="EU4" s="1275" t="s">
        <v>4608</v>
      </c>
      <c r="EV4" s="442"/>
      <c r="EW4" s="1272" t="s">
        <v>4910</v>
      </c>
      <c r="EX4" s="12"/>
      <c r="EY4" s="12"/>
      <c r="EZ4" s="12"/>
      <c r="FA4" s="48"/>
      <c r="FB4" s="442"/>
      <c r="FC4" s="1266"/>
      <c r="FD4" s="1256" t="s">
        <v>4911</v>
      </c>
      <c r="FE4" s="1257" t="s">
        <v>4888</v>
      </c>
      <c r="FF4" s="962"/>
      <c r="FG4" s="1258" t="s">
        <v>4608</v>
      </c>
      <c r="FH4" s="442"/>
      <c r="FI4" s="961" t="s">
        <v>4912</v>
      </c>
      <c r="FJ4" s="12"/>
      <c r="FK4" s="48"/>
      <c r="FL4" s="349"/>
      <c r="FM4" s="442"/>
      <c r="FN4" s="442"/>
      <c r="FO4" s="1266"/>
      <c r="FP4" s="1259" t="s">
        <v>4913</v>
      </c>
      <c r="FQ4" s="12"/>
      <c r="FR4" s="962"/>
      <c r="FS4" s="1258" t="s">
        <v>4608</v>
      </c>
      <c r="FT4" s="442"/>
      <c r="FU4" s="1266"/>
      <c r="FV4" s="1256" t="s">
        <v>4914</v>
      </c>
      <c r="FW4" s="1257" t="s">
        <v>4888</v>
      </c>
      <c r="FX4" s="962"/>
      <c r="FY4" s="1258" t="s">
        <v>4608</v>
      </c>
      <c r="FZ4" s="442"/>
      <c r="GA4" s="1260"/>
      <c r="GB4" s="1261" t="s">
        <v>4892</v>
      </c>
      <c r="GC4" s="959"/>
      <c r="GD4" s="957"/>
      <c r="GE4" s="1262" t="s">
        <v>4608</v>
      </c>
      <c r="GF4" s="442"/>
      <c r="GG4" s="1246" t="s">
        <v>4762</v>
      </c>
      <c r="GH4" s="12"/>
      <c r="GI4" s="12"/>
      <c r="GJ4" s="12"/>
      <c r="GK4" s="48"/>
      <c r="GL4" s="1230"/>
      <c r="GM4" s="1266"/>
      <c r="GN4" s="1259" t="s">
        <v>4915</v>
      </c>
      <c r="GO4" s="12"/>
      <c r="GP4" s="962"/>
      <c r="GQ4" s="1258" t="s">
        <v>4608</v>
      </c>
      <c r="GR4" s="1230"/>
      <c r="GS4" s="1266"/>
      <c r="GT4" s="1259" t="s">
        <v>4916</v>
      </c>
      <c r="GU4" s="12"/>
      <c r="GV4" s="962"/>
      <c r="GW4" s="1258" t="s">
        <v>4608</v>
      </c>
      <c r="GX4" s="65"/>
      <c r="GY4" s="1266"/>
      <c r="GZ4" s="1259" t="s">
        <v>4917</v>
      </c>
      <c r="HA4" s="12"/>
      <c r="HB4" s="962"/>
      <c r="HC4" s="1258" t="s">
        <v>4608</v>
      </c>
      <c r="HD4" s="1230"/>
      <c r="HE4" s="1266"/>
      <c r="HF4" s="1259" t="s">
        <v>4918</v>
      </c>
      <c r="HG4" s="12"/>
      <c r="HH4" s="962"/>
      <c r="HI4" s="1258" t="s">
        <v>4608</v>
      </c>
      <c r="HJ4" s="1230"/>
      <c r="HK4" s="1245" t="s">
        <v>4534</v>
      </c>
      <c r="HL4" s="12"/>
      <c r="HM4" s="12"/>
      <c r="HN4" s="12"/>
      <c r="HO4" s="962"/>
      <c r="HP4" s="65"/>
      <c r="HQ4" s="1277"/>
      <c r="HR4" s="1264" t="s">
        <v>4919</v>
      </c>
      <c r="HS4" s="12"/>
      <c r="HT4" s="962"/>
      <c r="HU4" s="1265" t="s">
        <v>4608</v>
      </c>
      <c r="HV4" s="65"/>
      <c r="HW4" s="1245" t="s">
        <v>4822</v>
      </c>
      <c r="HX4" s="12"/>
      <c r="HY4" s="12"/>
      <c r="HZ4" s="12"/>
      <c r="IA4" s="962"/>
      <c r="IC4" s="1266"/>
      <c r="ID4" s="1259" t="s">
        <v>4920</v>
      </c>
      <c r="IE4" s="12"/>
      <c r="IF4" s="962"/>
      <c r="IG4" s="1258" t="s">
        <v>4608</v>
      </c>
      <c r="II4" s="1278"/>
      <c r="IJ4" s="1269" t="s">
        <v>4921</v>
      </c>
      <c r="IK4" s="12"/>
      <c r="IL4" s="962"/>
      <c r="IM4" s="1270" t="s">
        <v>4608</v>
      </c>
      <c r="IO4" s="1268"/>
      <c r="IP4" s="1269" t="s">
        <v>4922</v>
      </c>
      <c r="IQ4" s="12"/>
      <c r="IR4" s="962"/>
      <c r="IS4" s="1270" t="s">
        <v>4608</v>
      </c>
      <c r="IT4" s="1230"/>
      <c r="IU4" s="1279" t="s">
        <v>4923</v>
      </c>
      <c r="IV4" s="976"/>
      <c r="IW4" s="976"/>
      <c r="IX4" s="976"/>
      <c r="IY4" s="954"/>
      <c r="IZ4" s="1230"/>
      <c r="JA4" s="1266"/>
      <c r="JB4" s="1259" t="s">
        <v>4924</v>
      </c>
      <c r="JC4" s="12"/>
      <c r="JD4" s="962"/>
      <c r="JE4" s="1258" t="s">
        <v>4608</v>
      </c>
      <c r="JF4" s="1230"/>
      <c r="JG4" s="963" t="s">
        <v>4742</v>
      </c>
      <c r="JH4" s="12"/>
      <c r="JI4" s="12"/>
      <c r="JJ4" s="12"/>
      <c r="JK4" s="48"/>
      <c r="JL4" s="1230"/>
      <c r="JM4" s="1266"/>
      <c r="JN4" s="1259" t="s">
        <v>4925</v>
      </c>
      <c r="JO4" s="12"/>
      <c r="JP4" s="962"/>
      <c r="JQ4" s="1258" t="s">
        <v>4608</v>
      </c>
      <c r="JR4" s="1230"/>
      <c r="JS4" s="961" t="s">
        <v>4540</v>
      </c>
      <c r="JT4" s="12"/>
      <c r="JU4" s="12"/>
      <c r="JV4" s="12"/>
      <c r="JW4" s="48"/>
      <c r="JY4" s="1268"/>
      <c r="JZ4" s="1269" t="s">
        <v>4926</v>
      </c>
      <c r="KA4" s="12"/>
      <c r="KB4" s="962"/>
      <c r="KC4" s="1270" t="s">
        <v>4608</v>
      </c>
      <c r="KE4" s="961" t="s">
        <v>4927</v>
      </c>
      <c r="KF4" s="12"/>
      <c r="KG4" s="48"/>
      <c r="KH4" s="349"/>
      <c r="KI4" s="349"/>
      <c r="KJ4" s="65"/>
      <c r="KK4" s="1266"/>
      <c r="KL4" s="1259" t="s">
        <v>4928</v>
      </c>
      <c r="KM4" s="12"/>
      <c r="KN4" s="962"/>
      <c r="KO4" s="1258" t="s">
        <v>4608</v>
      </c>
      <c r="KQ4" s="961" t="s">
        <v>4929</v>
      </c>
      <c r="KR4" s="12"/>
      <c r="KS4" s="48"/>
      <c r="KT4" s="349"/>
      <c r="KW4" s="961" t="s">
        <v>4788</v>
      </c>
      <c r="KX4" s="12"/>
      <c r="KY4" s="12"/>
      <c r="KZ4" s="12"/>
      <c r="LA4" s="48"/>
      <c r="LB4" s="442"/>
      <c r="LC4" s="1280"/>
      <c r="LD4" s="1281" t="s">
        <v>4930</v>
      </c>
      <c r="LE4" s="12"/>
      <c r="LF4" s="962"/>
      <c r="LG4" s="1282" t="s">
        <v>4608</v>
      </c>
      <c r="LI4" s="1266"/>
      <c r="LJ4" s="1256" t="s">
        <v>4931</v>
      </c>
      <c r="LK4" s="1257" t="s">
        <v>4888</v>
      </c>
      <c r="LL4" s="962"/>
      <c r="LM4" s="1258" t="s">
        <v>4608</v>
      </c>
      <c r="LO4" s="1283"/>
      <c r="LP4" s="1264" t="s">
        <v>4932</v>
      </c>
      <c r="LQ4" s="12"/>
      <c r="LR4" s="962"/>
      <c r="LS4" s="1265" t="s">
        <v>4608</v>
      </c>
      <c r="LU4" s="1279" t="s">
        <v>4933</v>
      </c>
      <c r="LV4" s="976"/>
      <c r="LW4" s="976"/>
      <c r="LX4" s="976"/>
      <c r="LY4" s="954"/>
      <c r="MA4" s="1280"/>
      <c r="MB4" s="1281" t="s">
        <v>4908</v>
      </c>
      <c r="MC4" s="12"/>
      <c r="MD4" s="962"/>
      <c r="ME4" s="1282" t="s">
        <v>4608</v>
      </c>
      <c r="MG4" s="961" t="s">
        <v>4934</v>
      </c>
      <c r="MH4" s="12"/>
      <c r="MI4" s="12"/>
      <c r="MJ4" s="12"/>
      <c r="MK4" s="48"/>
      <c r="MM4" s="961" t="s">
        <v>4935</v>
      </c>
      <c r="MN4" s="12"/>
      <c r="MO4" s="48"/>
      <c r="MP4" s="349"/>
      <c r="MS4" s="1273"/>
      <c r="MT4" s="1281" t="s">
        <v>4908</v>
      </c>
      <c r="MU4" s="12"/>
      <c r="MV4" s="962"/>
      <c r="MW4" s="1282" t="s">
        <v>4608</v>
      </c>
      <c r="MY4" s="1280"/>
      <c r="MZ4" s="1281" t="s">
        <v>4930</v>
      </c>
      <c r="NA4" s="12"/>
      <c r="NB4" s="962"/>
      <c r="NC4" s="1282" t="s">
        <v>4608</v>
      </c>
      <c r="ND4" s="442"/>
      <c r="NE4" s="1284" t="s">
        <v>4781</v>
      </c>
      <c r="NF4" s="1203"/>
      <c r="NG4" s="1203"/>
      <c r="NH4" s="1203"/>
      <c r="NI4" s="1204"/>
      <c r="NK4" s="1266"/>
      <c r="NL4" s="1256" t="s">
        <v>4936</v>
      </c>
      <c r="NM4" s="1285" t="s">
        <v>4888</v>
      </c>
      <c r="NN4" s="962"/>
      <c r="NO4" s="1258" t="s">
        <v>4608</v>
      </c>
      <c r="NP4" s="442"/>
      <c r="NQ4" s="1277"/>
      <c r="NR4" s="1264" t="s">
        <v>4937</v>
      </c>
      <c r="NS4" s="12"/>
      <c r="NT4" s="962"/>
      <c r="NU4" s="1265" t="s">
        <v>4608</v>
      </c>
      <c r="NV4" s="442"/>
      <c r="NW4" s="961" t="s">
        <v>4717</v>
      </c>
      <c r="NX4" s="12"/>
      <c r="NY4" s="12"/>
      <c r="NZ4" s="12"/>
      <c r="OA4" s="48"/>
      <c r="OB4" s="442"/>
      <c r="OC4" s="1266"/>
      <c r="OD4" s="1256" t="s">
        <v>4938</v>
      </c>
      <c r="OE4" s="1285" t="s">
        <v>4888</v>
      </c>
      <c r="OF4" s="962"/>
      <c r="OG4" s="1258" t="s">
        <v>4608</v>
      </c>
      <c r="OH4" s="442"/>
      <c r="OI4" s="961" t="s">
        <v>4660</v>
      </c>
      <c r="OJ4" s="12"/>
      <c r="OK4" s="12"/>
      <c r="OL4" s="12"/>
      <c r="OM4" s="48"/>
      <c r="ON4" s="442"/>
      <c r="OO4" s="1266"/>
      <c r="OP4" s="1259" t="s">
        <v>4939</v>
      </c>
      <c r="OQ4" s="12"/>
      <c r="OR4" s="962"/>
      <c r="OS4" s="1258" t="s">
        <v>4608</v>
      </c>
      <c r="OU4" s="1266"/>
      <c r="OV4" s="1259" t="s">
        <v>4940</v>
      </c>
      <c r="OW4" s="12"/>
      <c r="OX4" s="962"/>
      <c r="OY4" s="1258" t="s">
        <v>4608</v>
      </c>
      <c r="PA4" s="961" t="s">
        <v>4941</v>
      </c>
      <c r="PB4" s="12"/>
      <c r="PC4" s="12"/>
      <c r="PD4" s="48"/>
      <c r="PF4" s="442"/>
      <c r="PG4" s="1286"/>
      <c r="PH4" s="1259" t="s">
        <v>4942</v>
      </c>
      <c r="PI4" s="12"/>
      <c r="PJ4" s="962"/>
      <c r="PK4" s="1258" t="s">
        <v>4608</v>
      </c>
      <c r="PM4" s="1266"/>
      <c r="PN4" s="1259" t="s">
        <v>4943</v>
      </c>
      <c r="PO4" s="12"/>
      <c r="PP4" s="962"/>
      <c r="PQ4" s="1258" t="s">
        <v>4608</v>
      </c>
      <c r="PS4" s="1266"/>
      <c r="PT4" s="1259" t="s">
        <v>4944</v>
      </c>
      <c r="PU4" s="12"/>
      <c r="PV4" s="962"/>
      <c r="PW4" s="1258" t="s">
        <v>4608</v>
      </c>
      <c r="PY4" s="1278"/>
      <c r="PZ4" s="1269" t="s">
        <v>4945</v>
      </c>
      <c r="QA4" s="12"/>
      <c r="QB4" s="962"/>
      <c r="QC4" s="1270" t="s">
        <v>4608</v>
      </c>
      <c r="QD4" s="442"/>
      <c r="QE4" s="963" t="s">
        <v>4946</v>
      </c>
      <c r="QF4" s="12"/>
      <c r="QG4" s="12"/>
      <c r="QH4" s="12"/>
      <c r="QI4" s="48"/>
      <c r="QJ4" s="442"/>
      <c r="QK4" s="973" t="s">
        <v>4947</v>
      </c>
      <c r="QL4" s="974"/>
      <c r="QM4" s="1287"/>
      <c r="QN4" s="976"/>
      <c r="QO4" s="954"/>
      <c r="QP4" s="442"/>
      <c r="QQ4" s="973" t="s">
        <v>4948</v>
      </c>
      <c r="QR4" s="974"/>
      <c r="QS4" s="1287"/>
      <c r="QT4" s="976"/>
      <c r="QU4" s="954"/>
      <c r="QW4" s="973" t="s">
        <v>4949</v>
      </c>
      <c r="QX4" s="974"/>
      <c r="QY4" s="1287"/>
      <c r="QZ4" s="976"/>
      <c r="RA4" s="954"/>
      <c r="RB4" s="442"/>
      <c r="RC4" s="973" t="s">
        <v>4950</v>
      </c>
      <c r="RD4" s="974"/>
      <c r="RE4" s="1287"/>
      <c r="RF4" s="976"/>
      <c r="RG4" s="954"/>
      <c r="RH4" s="442"/>
      <c r="RI4" s="973" t="s">
        <v>4951</v>
      </c>
      <c r="RJ4" s="974"/>
      <c r="RK4" s="1287"/>
      <c r="RL4" s="976"/>
      <c r="RM4" s="954"/>
      <c r="RN4" s="442"/>
      <c r="RO4" s="961" t="s">
        <v>4767</v>
      </c>
      <c r="RP4" s="12"/>
      <c r="RQ4" s="12"/>
      <c r="RR4" s="12"/>
      <c r="RS4" s="48"/>
      <c r="RT4" s="442"/>
      <c r="RU4" s="1283"/>
      <c r="RV4" s="1264" t="s">
        <v>4952</v>
      </c>
      <c r="RW4" s="12"/>
      <c r="RX4" s="962"/>
      <c r="RY4" s="1288" t="s">
        <v>4608</v>
      </c>
      <c r="RZ4" s="442"/>
      <c r="SA4" s="961" t="s">
        <v>4953</v>
      </c>
      <c r="SB4" s="12"/>
      <c r="SC4" s="12"/>
      <c r="SD4" s="12"/>
      <c r="SE4" s="48"/>
      <c r="SF4" s="442"/>
      <c r="SG4" s="961" t="s">
        <v>4790</v>
      </c>
      <c r="SH4" s="12"/>
      <c r="SI4" s="12"/>
      <c r="SJ4" s="12"/>
      <c r="SK4" s="48"/>
      <c r="SL4" s="442"/>
      <c r="SM4" s="1266"/>
      <c r="SN4" s="1256" t="s">
        <v>4954</v>
      </c>
      <c r="SO4" s="1285" t="s">
        <v>4888</v>
      </c>
      <c r="SP4" s="962"/>
      <c r="SQ4" s="1004" t="s">
        <v>4608</v>
      </c>
      <c r="SS4" s="961" t="s">
        <v>4555</v>
      </c>
      <c r="ST4" s="12"/>
      <c r="SU4" s="12"/>
      <c r="SV4" s="12"/>
      <c r="SW4" s="48"/>
      <c r="SY4" s="961" t="s">
        <v>4766</v>
      </c>
      <c r="SZ4" s="12"/>
      <c r="TA4" s="12"/>
      <c r="TB4" s="12"/>
      <c r="TC4" s="48"/>
      <c r="TE4" s="961" t="s">
        <v>4790</v>
      </c>
      <c r="TF4" s="12"/>
      <c r="TG4" s="12"/>
      <c r="TH4" s="12"/>
      <c r="TI4" s="48"/>
      <c r="TK4" s="1266"/>
      <c r="TL4" s="1259" t="s">
        <v>4955</v>
      </c>
      <c r="TM4" s="12"/>
      <c r="TN4" s="962"/>
      <c r="TO4" s="1004" t="s">
        <v>4608</v>
      </c>
      <c r="TQ4" s="1266"/>
      <c r="TR4" s="1259" t="s">
        <v>4956</v>
      </c>
      <c r="TS4" s="12"/>
      <c r="TT4" s="962"/>
      <c r="TU4" s="1004" t="s">
        <v>4608</v>
      </c>
      <c r="TW4" s="961" t="s">
        <v>4660</v>
      </c>
      <c r="TX4" s="12"/>
      <c r="TY4" s="12"/>
      <c r="TZ4" s="12"/>
      <c r="UA4" s="48"/>
      <c r="UC4" s="961" t="s">
        <v>4957</v>
      </c>
      <c r="UD4" s="12"/>
      <c r="UE4" s="12"/>
      <c r="UF4" s="48"/>
      <c r="UI4" s="1289" t="s">
        <v>4958</v>
      </c>
      <c r="UJ4" s="12"/>
      <c r="UK4" s="12"/>
      <c r="UL4" s="12"/>
      <c r="UM4" s="48"/>
      <c r="UO4" s="1290"/>
      <c r="UP4" s="1291" t="s">
        <v>4959</v>
      </c>
      <c r="UQ4" s="12"/>
      <c r="UR4" s="962"/>
      <c r="US4" s="1292" t="s">
        <v>4608</v>
      </c>
      <c r="UU4" s="1293"/>
      <c r="UV4" s="1291" t="s">
        <v>4960</v>
      </c>
      <c r="UW4" s="12"/>
      <c r="UX4" s="962"/>
      <c r="UY4" s="1292" t="s">
        <v>4608</v>
      </c>
      <c r="VA4" s="1293"/>
      <c r="VB4" s="1291" t="s">
        <v>4961</v>
      </c>
      <c r="VC4" s="12"/>
      <c r="VD4" s="962"/>
      <c r="VE4" s="1292" t="s">
        <v>4608</v>
      </c>
      <c r="VG4" s="1289" t="s">
        <v>4767</v>
      </c>
      <c r="VH4" s="12"/>
      <c r="VI4" s="12"/>
      <c r="VJ4" s="12"/>
      <c r="VK4" s="48"/>
      <c r="VL4" s="442"/>
      <c r="VM4" s="1294"/>
      <c r="VN4" s="1291" t="s">
        <v>4962</v>
      </c>
      <c r="VO4" s="12"/>
      <c r="VP4" s="962"/>
      <c r="VQ4" s="1292" t="s">
        <v>4608</v>
      </c>
      <c r="VR4" s="442"/>
      <c r="VS4" s="1289" t="s">
        <v>4518</v>
      </c>
      <c r="VT4" s="12"/>
      <c r="VU4" s="12"/>
      <c r="VV4" s="12"/>
      <c r="VW4" s="48"/>
      <c r="VX4" s="442"/>
      <c r="VY4" s="1294"/>
      <c r="VZ4" s="1291" t="s">
        <v>4963</v>
      </c>
      <c r="WA4" s="12"/>
      <c r="WB4" s="962"/>
      <c r="WC4" s="1292" t="s">
        <v>4608</v>
      </c>
      <c r="WD4" s="442"/>
      <c r="WE4" s="1294"/>
      <c r="WF4" s="1291" t="s">
        <v>4964</v>
      </c>
      <c r="WG4" s="12"/>
      <c r="WH4" s="962"/>
      <c r="WI4" s="1292" t="s">
        <v>4608</v>
      </c>
      <c r="WJ4" s="442"/>
      <c r="WK4" s="963" t="s">
        <v>4837</v>
      </c>
      <c r="WL4" s="12"/>
      <c r="WM4" s="12"/>
      <c r="WN4" s="12"/>
      <c r="WO4" s="48"/>
      <c r="WP4" s="442"/>
      <c r="WQ4" s="1289" t="s">
        <v>4965</v>
      </c>
      <c r="WR4" s="12"/>
      <c r="WS4" s="12"/>
      <c r="WT4" s="12"/>
      <c r="WU4" s="48"/>
      <c r="WV4" s="442"/>
      <c r="WW4" s="1295" t="s">
        <v>4966</v>
      </c>
      <c r="WX4" s="12"/>
      <c r="WY4" s="12"/>
      <c r="WZ4" s="12"/>
      <c r="XA4" s="48"/>
      <c r="XB4" s="442"/>
      <c r="XC4" s="1294"/>
      <c r="XD4" s="1291" t="s">
        <v>4967</v>
      </c>
      <c r="XE4" s="12"/>
      <c r="XF4" s="962"/>
      <c r="XG4" s="1292" t="s">
        <v>4608</v>
      </c>
      <c r="XH4" s="442"/>
      <c r="XI4" s="1294"/>
      <c r="XJ4" s="1291" t="s">
        <v>4968</v>
      </c>
      <c r="XK4" s="12"/>
      <c r="XL4" s="962"/>
      <c r="XM4" s="1292" t="s">
        <v>4608</v>
      </c>
      <c r="XN4" s="442"/>
      <c r="XO4" s="1295" t="s">
        <v>4969</v>
      </c>
      <c r="XP4" s="12"/>
      <c r="XQ4" s="12"/>
      <c r="XR4" s="12"/>
      <c r="XS4" s="48"/>
      <c r="XT4" s="442"/>
      <c r="XU4" s="1296"/>
      <c r="XV4" s="1291" t="s">
        <v>4970</v>
      </c>
      <c r="XW4" s="12"/>
      <c r="XX4" s="962"/>
      <c r="XY4" s="1292" t="s">
        <v>4608</v>
      </c>
      <c r="XZ4" s="442"/>
      <c r="YA4" s="1294"/>
      <c r="YB4" s="1291" t="s">
        <v>4971</v>
      </c>
      <c r="YC4" s="12"/>
      <c r="YD4" s="962"/>
      <c r="YE4" s="1292" t="s">
        <v>4608</v>
      </c>
      <c r="YF4" s="442"/>
      <c r="YG4" s="1294"/>
      <c r="YH4" s="1291" t="s">
        <v>4972</v>
      </c>
      <c r="YI4" s="12"/>
      <c r="YJ4" s="962"/>
      <c r="YK4" s="1292" t="s">
        <v>4608</v>
      </c>
      <c r="YL4" s="442"/>
      <c r="YM4" s="1294"/>
      <c r="YN4" s="1291" t="s">
        <v>4973</v>
      </c>
      <c r="YO4" s="12"/>
      <c r="YP4" s="962"/>
      <c r="YQ4" s="1292" t="s">
        <v>4608</v>
      </c>
      <c r="YR4" s="442"/>
      <c r="YS4" s="1294"/>
      <c r="YT4" s="1291" t="s">
        <v>4974</v>
      </c>
      <c r="YU4" s="12"/>
      <c r="YV4" s="962"/>
      <c r="YW4" s="1292" t="s">
        <v>4608</v>
      </c>
      <c r="YX4" s="442"/>
      <c r="YY4" s="1294"/>
      <c r="YZ4" s="1291" t="s">
        <v>4975</v>
      </c>
      <c r="ZA4" s="12"/>
      <c r="ZB4" s="962"/>
      <c r="ZC4" s="1292" t="s">
        <v>4608</v>
      </c>
      <c r="ZD4" s="442"/>
      <c r="ZE4" s="1294"/>
      <c r="ZF4" s="1291" t="s">
        <v>4976</v>
      </c>
      <c r="ZG4" s="12"/>
      <c r="ZH4" s="962"/>
      <c r="ZI4" s="1292" t="s">
        <v>4608</v>
      </c>
      <c r="ZJ4" s="442"/>
      <c r="ZK4" s="1294"/>
      <c r="ZL4" s="1291" t="s">
        <v>4977</v>
      </c>
      <c r="ZM4" s="12"/>
      <c r="ZN4" s="962"/>
      <c r="ZO4" s="1292" t="s">
        <v>4608</v>
      </c>
      <c r="ZP4" s="442"/>
      <c r="ZQ4" s="963" t="s">
        <v>4765</v>
      </c>
      <c r="ZR4" s="12"/>
      <c r="ZS4" s="12"/>
      <c r="ZT4" s="12"/>
      <c r="ZU4" s="48"/>
      <c r="ZV4" s="442"/>
      <c r="ZW4" s="1296"/>
      <c r="ZX4" s="1291" t="s">
        <v>4978</v>
      </c>
      <c r="ZY4" s="12"/>
      <c r="ZZ4" s="962"/>
      <c r="AAA4" s="1292" t="s">
        <v>4608</v>
      </c>
      <c r="AAB4" s="442"/>
      <c r="AAC4" s="1296"/>
      <c r="AAD4" s="1291" t="s">
        <v>4979</v>
      </c>
      <c r="AAE4" s="12"/>
      <c r="AAF4" s="962"/>
      <c r="AAG4" s="1292" t="s">
        <v>4608</v>
      </c>
      <c r="AAH4" s="442"/>
      <c r="AAI4" s="1297" t="s">
        <v>4980</v>
      </c>
      <c r="AAJ4" s="976"/>
      <c r="AAK4" s="976"/>
      <c r="AAL4" s="976"/>
      <c r="AAM4" s="976"/>
      <c r="AAN4" s="976"/>
      <c r="AAO4" s="976"/>
      <c r="AAP4" s="976"/>
      <c r="AAQ4" s="976"/>
      <c r="AAR4" s="976"/>
      <c r="AAS4" s="954"/>
      <c r="AAU4" s="1294"/>
      <c r="AAV4" s="1291" t="s">
        <v>4981</v>
      </c>
      <c r="AAW4" s="12"/>
      <c r="AAX4" s="962"/>
      <c r="AAY4" s="1298" t="s">
        <v>4608</v>
      </c>
      <c r="ABA4" s="1294"/>
      <c r="ABB4" s="1291" t="s">
        <v>4982</v>
      </c>
      <c r="ABC4" s="12"/>
      <c r="ABD4" s="962"/>
      <c r="ABE4" s="1298" t="s">
        <v>4608</v>
      </c>
      <c r="ABG4" s="1294"/>
      <c r="ABH4" s="1291" t="s">
        <v>4983</v>
      </c>
      <c r="ABI4" s="12"/>
      <c r="ABJ4" s="962"/>
      <c r="ABK4" s="1298" t="s">
        <v>4608</v>
      </c>
      <c r="ABM4" s="1294"/>
      <c r="ABN4" s="1291" t="s">
        <v>4984</v>
      </c>
      <c r="ABO4" s="12"/>
      <c r="ABP4" s="962"/>
      <c r="ABQ4" s="1298" t="s">
        <v>4608</v>
      </c>
      <c r="ABS4" s="1294"/>
      <c r="ABT4" s="1291" t="s">
        <v>4985</v>
      </c>
      <c r="ABU4" s="12"/>
      <c r="ABV4" s="962"/>
      <c r="ABW4" s="1298" t="s">
        <v>4608</v>
      </c>
      <c r="ABY4" s="1297" t="s">
        <v>4986</v>
      </c>
      <c r="ABZ4" s="976"/>
      <c r="ACA4" s="976"/>
      <c r="ACB4" s="976"/>
      <c r="ACC4" s="954"/>
      <c r="ACE4" s="1299" t="str">
        <f t="shared" ref="ACE4:ACE10" si="1">ASEXUAL()</f>
        <v/>
      </c>
      <c r="ACF4" s="963" t="s">
        <v>4987</v>
      </c>
      <c r="ACG4" s="12"/>
      <c r="ACH4" s="962"/>
      <c r="ACI4" s="1300" t="s">
        <v>4608</v>
      </c>
      <c r="ACJ4" s="996"/>
    </row>
    <row r="5" ht="15.75" customHeight="1">
      <c r="A5" s="1230"/>
      <c r="E5" s="1230"/>
      <c r="F5" s="1238"/>
      <c r="G5" s="1218" t="s">
        <v>4614</v>
      </c>
      <c r="H5" s="1230"/>
      <c r="N5" s="1230"/>
      <c r="O5" s="1033" t="str">
        <f t="shared" ref="O5:O6" si="2">MONICON21(P5)</f>
        <v>#NAME?</v>
      </c>
      <c r="P5" s="1301" t="s">
        <v>1629</v>
      </c>
      <c r="Q5" s="983" t="str">
        <f t="shared" ref="Q5:Q6" si="3">MONTYPEICON1(P5)</f>
        <v>#NAME?</v>
      </c>
      <c r="R5" s="1046" t="str">
        <f t="shared" ref="R5:R6" si="4">MONTYPEICON2(P5)</f>
        <v>#NAME?</v>
      </c>
      <c r="S5" s="1302" t="s">
        <v>4988</v>
      </c>
      <c r="T5" s="1230"/>
      <c r="U5" s="1053" t="str">
        <f>MONICON21(V5)</f>
        <v>#NAME?</v>
      </c>
      <c r="V5" s="1229" t="s">
        <v>1336</v>
      </c>
      <c r="W5" s="1092" t="str">
        <f>MONTYPEICON1(V5)</f>
        <v>#NAME?</v>
      </c>
      <c r="X5" s="987" t="str">
        <f>MONTYPEICON2(V5)</f>
        <v>#NAME?</v>
      </c>
      <c r="Y5" s="1196" t="s">
        <v>4989</v>
      </c>
      <c r="Z5" s="1230"/>
      <c r="AA5" s="1033" t="str">
        <f t="shared" ref="AA5:AA7" si="5">MONICON21(AB5)</f>
        <v>#NAME?</v>
      </c>
      <c r="AB5" s="1301" t="s">
        <v>298</v>
      </c>
      <c r="AC5" s="977" t="str">
        <f t="shared" ref="AC5:AC7" si="6">MONTYPEICON1(AB5)</f>
        <v>#NAME?</v>
      </c>
      <c r="AD5" s="980" t="str">
        <f t="shared" ref="AD5:AD7" si="7">MONTYPEICON2(AB5)</f>
        <v>#NAME?</v>
      </c>
      <c r="AE5" s="1303" t="s">
        <v>4990</v>
      </c>
      <c r="AF5" s="1230"/>
      <c r="AG5" s="1033" t="str">
        <f t="shared" ref="AG5:AG7" si="8">MONICON21(AH5)</f>
        <v>#NAME?</v>
      </c>
      <c r="AH5" s="1301" t="s">
        <v>820</v>
      </c>
      <c r="AI5" s="977" t="str">
        <f t="shared" ref="AI5:AI7" si="9">MONTYPEICON1(AH5)</f>
        <v>#NAME?</v>
      </c>
      <c r="AJ5" s="980" t="str">
        <f t="shared" ref="AJ5:AJ7" si="10">MONTYPEICON2(AH5)</f>
        <v>#NAME?</v>
      </c>
      <c r="AK5" s="1303" t="s">
        <v>4991</v>
      </c>
      <c r="AL5" s="1230"/>
      <c r="AM5" s="442"/>
      <c r="AN5" s="442"/>
      <c r="AO5" s="442"/>
      <c r="AP5" s="442"/>
      <c r="AQ5" s="108"/>
      <c r="AR5" s="1230"/>
      <c r="AS5" s="985" t="s">
        <v>4992</v>
      </c>
      <c r="AT5" s="12"/>
      <c r="AU5" s="12"/>
      <c r="AV5" s="12"/>
      <c r="AW5" s="48"/>
      <c r="AX5" s="1230"/>
      <c r="AY5" s="1230"/>
      <c r="AZ5" s="1230"/>
      <c r="BA5" s="1230"/>
      <c r="BB5" s="1230"/>
      <c r="BC5" s="449"/>
      <c r="BD5" s="442"/>
      <c r="BE5" s="442"/>
      <c r="BF5" s="442"/>
      <c r="BG5" s="442"/>
      <c r="BH5" s="442"/>
      <c r="BI5" s="108"/>
      <c r="BJ5" s="1230"/>
      <c r="BK5" s="1033" t="str">
        <f t="shared" ref="BK5:BK6" si="11">MONICON21(BL5)</f>
        <v>#NAME?</v>
      </c>
      <c r="BL5" s="1304" t="s">
        <v>3990</v>
      </c>
      <c r="BM5" s="977" t="str">
        <f t="shared" ref="BM5:BM6" si="12">MONTYPEICON1(BL5)</f>
        <v>#NAME?</v>
      </c>
      <c r="BN5" s="980" t="str">
        <f t="shared" ref="BN5:BN6" si="13">MONTYPEICON2(BL5)</f>
        <v>#NAME?</v>
      </c>
      <c r="BO5" s="1305" t="s">
        <v>4993</v>
      </c>
      <c r="BP5" s="442"/>
      <c r="BQ5" s="1033" t="str">
        <f t="shared" ref="BQ5:BQ7" si="14">MONICON21(BR5)</f>
        <v>#NAME?</v>
      </c>
      <c r="BR5" s="1304" t="s">
        <v>820</v>
      </c>
      <c r="BS5" s="977" t="str">
        <f t="shared" ref="BS5:BS7" si="15">MONTYPEICON1(BR5)</f>
        <v>#NAME?</v>
      </c>
      <c r="BT5" s="980" t="str">
        <f t="shared" ref="BT5:BT7" si="16">MONTYPEICON2(BR5)</f>
        <v>#NAME?</v>
      </c>
      <c r="BU5" s="1305" t="s">
        <v>4994</v>
      </c>
      <c r="BV5" s="442"/>
      <c r="BW5" s="1033" t="str">
        <f t="shared" ref="BW5:BW7" si="17">MONICON21(BX5)</f>
        <v>#NAME?</v>
      </c>
      <c r="BX5" s="1304" t="s">
        <v>1901</v>
      </c>
      <c r="BY5" s="977" t="str">
        <f t="shared" ref="BY5:BY7" si="18">MONTYPEICON1(BX5)</f>
        <v>#NAME?</v>
      </c>
      <c r="BZ5" s="980" t="str">
        <f t="shared" ref="BZ5:BZ7" si="19">MONTYPEICON2(BX5)</f>
        <v>#NAME?</v>
      </c>
      <c r="CA5" s="1305" t="s">
        <v>4995</v>
      </c>
      <c r="CB5" s="1230"/>
      <c r="CC5" s="1033" t="str">
        <f t="shared" ref="CC5:CC7" si="20">MONICON21(CD5)</f>
        <v>#NAME?</v>
      </c>
      <c r="CD5" s="1301" t="s">
        <v>2914</v>
      </c>
      <c r="CE5" s="977" t="str">
        <f t="shared" ref="CE5:CE7" si="21">MONTYPEICON1(CD5)</f>
        <v>#NAME?</v>
      </c>
      <c r="CF5" s="980" t="str">
        <f t="shared" ref="CF5:CF7" si="22">MONTYPEICON2(CD5)</f>
        <v>#NAME?</v>
      </c>
      <c r="CG5" s="1303" t="s">
        <v>4996</v>
      </c>
      <c r="CH5" s="1230"/>
      <c r="CI5" s="997"/>
      <c r="CJ5" s="1026"/>
      <c r="CK5" s="1026"/>
      <c r="CL5" s="1026"/>
      <c r="CM5" s="998"/>
      <c r="CN5" s="442"/>
      <c r="CO5" s="1306"/>
      <c r="CP5" s="1307" t="s">
        <v>4997</v>
      </c>
      <c r="CQ5" s="12"/>
      <c r="CR5" s="962"/>
      <c r="CS5" s="1282" t="s">
        <v>4608</v>
      </c>
      <c r="CU5" s="1012" t="str">
        <f t="shared" ref="CU5:CU7" si="23">MONICON21(CV5)</f>
        <v>#NAME?</v>
      </c>
      <c r="CV5" s="1304" t="s">
        <v>1064</v>
      </c>
      <c r="CW5" s="977" t="str">
        <f t="shared" ref="CW5:CW7" si="24">MONTYPEICON1(CV5)</f>
        <v>#NAME?</v>
      </c>
      <c r="CX5" s="980" t="str">
        <f t="shared" ref="CX5:CX7" si="25">MONTYPEICON2(CV5)</f>
        <v>#NAME?</v>
      </c>
      <c r="CY5" s="1305" t="s">
        <v>4994</v>
      </c>
      <c r="CZ5" s="442"/>
      <c r="DA5" s="1049" t="str">
        <f>MONICON21(DB5)</f>
        <v>#NAME?</v>
      </c>
      <c r="DB5" s="1308" t="s">
        <v>615</v>
      </c>
      <c r="DC5" s="1092" t="str">
        <f>MONTYPEICON1(DB5)</f>
        <v>#NAME?</v>
      </c>
      <c r="DD5" s="987" t="str">
        <f>MONTYPEICON2(DB5)</f>
        <v>#NAME?</v>
      </c>
      <c r="DE5" s="1309" t="s">
        <v>4998</v>
      </c>
      <c r="DF5" s="442"/>
      <c r="DG5" s="1012" t="str">
        <f t="shared" ref="DG5:DG6" si="26">MONICON21(DH5)</f>
        <v>#NAME?</v>
      </c>
      <c r="DH5" s="1304" t="s">
        <v>2537</v>
      </c>
      <c r="DI5" s="977" t="str">
        <f t="shared" ref="DI5:DI6" si="27">MONTYPEICON1(DH5)</f>
        <v>#NAME?</v>
      </c>
      <c r="DJ5" s="980" t="str">
        <f t="shared" ref="DJ5:DJ6" si="28">MONTYPEICON2(DH5)</f>
        <v>#NAME?</v>
      </c>
      <c r="DK5" s="1305" t="s">
        <v>4999</v>
      </c>
      <c r="DL5" s="442"/>
      <c r="DM5" s="1012" t="str">
        <f t="shared" ref="DM5:DM8" si="29">MONICON21(DN5)</f>
        <v>#NAME?</v>
      </c>
      <c r="DN5" s="1301" t="s">
        <v>2125</v>
      </c>
      <c r="DO5" s="977" t="str">
        <f t="shared" ref="DO5:DO8" si="30">MONTYPEICON1(DN5)</f>
        <v>#NAME?</v>
      </c>
      <c r="DP5" s="980" t="str">
        <f t="shared" ref="DP5:DP8" si="31">MONTYPEICON2(DN5)</f>
        <v>#NAME?</v>
      </c>
      <c r="DQ5" s="1303" t="s">
        <v>5000</v>
      </c>
      <c r="DR5" s="442"/>
      <c r="DX5" s="442"/>
      <c r="DY5" s="1012" t="str">
        <f t="shared" ref="DY5:DY7" si="32">MONICON21(DZ5)</f>
        <v>#NAME?</v>
      </c>
      <c r="DZ5" s="1301" t="s">
        <v>3282</v>
      </c>
      <c r="EA5" s="977" t="str">
        <f t="shared" ref="EA5:EA7" si="33">MONTYPEICON1(DZ5)</f>
        <v>#NAME?</v>
      </c>
      <c r="EB5" s="980" t="str">
        <f t="shared" ref="EB5:EB7" si="34">MONTYPEICON2(DZ5)</f>
        <v>#NAME?</v>
      </c>
      <c r="EC5" s="1303" t="s">
        <v>4998</v>
      </c>
      <c r="ED5" s="442"/>
      <c r="EE5" s="442"/>
      <c r="EF5" s="442"/>
      <c r="EG5" s="108"/>
      <c r="EH5" s="108"/>
      <c r="EI5" s="442"/>
      <c r="EJ5" s="1230"/>
      <c r="EK5" s="983" t="str">
        <f t="shared" ref="EK5:EK6" si="35">MONICON21(EL5)</f>
        <v>#NAME?</v>
      </c>
      <c r="EL5" s="38" t="s">
        <v>3139</v>
      </c>
      <c r="EM5" s="949" t="str">
        <f t="shared" ref="EM5:EM6" si="36">MONTYPEICON1(EL5)</f>
        <v>#NAME?</v>
      </c>
      <c r="EN5" s="952" t="str">
        <f t="shared" ref="EN5:EN6" si="37">MONTYPEICON2(EL5)</f>
        <v>#NAME?</v>
      </c>
      <c r="EO5" s="1043" t="s">
        <v>5000</v>
      </c>
      <c r="EP5" s="1230"/>
      <c r="EQ5" s="983" t="str">
        <f t="shared" ref="EQ5:EQ7" si="38">MONICON21(ER5)</f>
        <v>#NAME?</v>
      </c>
      <c r="ER5" s="38" t="s">
        <v>518</v>
      </c>
      <c r="ES5" s="977" t="str">
        <f t="shared" ref="ES5:ES7" si="39">MONTYPEICON1(ER5)</f>
        <v>#NAME?</v>
      </c>
      <c r="ET5" s="980" t="str">
        <f t="shared" ref="ET5:ET7" si="40">MONTYPEICON2(ER5)</f>
        <v>#NAME?</v>
      </c>
      <c r="EU5" s="1043" t="s">
        <v>5001</v>
      </c>
      <c r="EV5" s="1230"/>
      <c r="EW5" s="442"/>
      <c r="EX5" s="442"/>
      <c r="EY5" s="108"/>
      <c r="EZ5" s="108"/>
      <c r="FA5" s="442"/>
      <c r="FB5" s="442"/>
      <c r="FC5" s="983" t="str">
        <f t="shared" ref="FC5:FC10" si="41">MONICON21(FD5)</f>
        <v>#NAME?</v>
      </c>
      <c r="FD5" s="1304" t="s">
        <v>2761</v>
      </c>
      <c r="FE5" s="977" t="str">
        <f t="shared" ref="FE5:FE10" si="42">MONTYPEICON1(FD5)</f>
        <v>#NAME?</v>
      </c>
      <c r="FF5" s="980" t="str">
        <f t="shared" ref="FF5:FF10" si="43">MONTYPEICON2(FD5)</f>
        <v>#NAME?</v>
      </c>
      <c r="FG5" s="1305" t="s">
        <v>4998</v>
      </c>
      <c r="FH5" s="442"/>
      <c r="FI5" s="1266"/>
      <c r="FJ5" s="1259" t="s">
        <v>5002</v>
      </c>
      <c r="FK5" s="12"/>
      <c r="FL5" s="962"/>
      <c r="FM5" s="1258" t="s">
        <v>4608</v>
      </c>
      <c r="FN5" s="442"/>
      <c r="FO5" s="1012" t="str">
        <f t="shared" ref="FO5:FO6" si="44">MONICON21(FP5)</f>
        <v>#NAME?</v>
      </c>
      <c r="FP5" s="1301" t="s">
        <v>1328</v>
      </c>
      <c r="FQ5" s="977" t="str">
        <f t="shared" ref="FQ5:FQ6" si="45">MONTYPEICON1(FP5)</f>
        <v>#NAME?</v>
      </c>
      <c r="FR5" s="980" t="str">
        <f t="shared" ref="FR5:FR6" si="46">MONTYPEICON2(FP5)</f>
        <v>#NAME?</v>
      </c>
      <c r="FS5" s="1303" t="s">
        <v>5001</v>
      </c>
      <c r="FT5" s="442"/>
      <c r="FU5" s="985" t="str">
        <f>MONICON21(FV5)</f>
        <v>#NAME?</v>
      </c>
      <c r="FV5" s="146" t="s">
        <v>3722</v>
      </c>
      <c r="FW5" s="1092" t="str">
        <f>MONTYPEICON1(FV5)</f>
        <v>#NAME?</v>
      </c>
      <c r="FX5" s="987" t="str">
        <f>MONTYPEICON2(FV5)</f>
        <v>#NAME?</v>
      </c>
      <c r="FY5" s="1054" t="s">
        <v>5003</v>
      </c>
      <c r="FZ5" s="442"/>
      <c r="GA5" s="985" t="s">
        <v>4992</v>
      </c>
      <c r="GB5" s="12"/>
      <c r="GC5" s="12"/>
      <c r="GD5" s="12"/>
      <c r="GE5" s="48"/>
      <c r="GF5" s="442"/>
      <c r="GG5" s="1230"/>
      <c r="GH5" s="1230"/>
      <c r="GI5" s="108"/>
      <c r="GJ5" s="108"/>
      <c r="GK5" s="1230"/>
      <c r="GL5" s="1230"/>
      <c r="GM5" s="983" t="str">
        <f t="shared" ref="GM5:GM7" si="47">MONICON21(GN5)</f>
        <v>#NAME?</v>
      </c>
      <c r="GN5" s="1157" t="s">
        <v>3227</v>
      </c>
      <c r="GO5" s="977" t="str">
        <f t="shared" ref="GO5:GO7" si="48">MONTYPEICON1(GN5)</f>
        <v>#NAME?</v>
      </c>
      <c r="GP5" s="980" t="str">
        <f t="shared" ref="GP5:GP7" si="49">MONTYPEICON2(GN5)</f>
        <v>#NAME?</v>
      </c>
      <c r="GQ5" s="1303" t="s">
        <v>5001</v>
      </c>
      <c r="GR5" s="1230"/>
      <c r="GS5" s="985" t="str">
        <f>MONICON21(GT5)</f>
        <v>#NAME?</v>
      </c>
      <c r="GT5" s="1310" t="s">
        <v>3255</v>
      </c>
      <c r="GU5" s="1092" t="str">
        <f>MONTYPEICON1(GT5)</f>
        <v>#NAME?</v>
      </c>
      <c r="GV5" s="987" t="str">
        <f>MONTYPEICON2(GT5)</f>
        <v>#NAME?</v>
      </c>
      <c r="GW5" s="1309" t="s">
        <v>5004</v>
      </c>
      <c r="GX5" s="65"/>
      <c r="GY5" s="983" t="str">
        <f t="shared" ref="GY5:GY7" si="50">MONICON21(GZ5)</f>
        <v>#NAME?</v>
      </c>
      <c r="GZ5" s="1157" t="s">
        <v>2942</v>
      </c>
      <c r="HA5" s="977" t="str">
        <f t="shared" ref="HA5:HA7" si="51">MONTYPEICON1(GZ5)</f>
        <v>#NAME?</v>
      </c>
      <c r="HB5" s="980" t="str">
        <f t="shared" ref="HB5:HB7" si="52">MONTYPEICON2(GZ5)</f>
        <v>#NAME?</v>
      </c>
      <c r="HC5" s="1303" t="s">
        <v>5005</v>
      </c>
      <c r="HD5" s="1230"/>
      <c r="HE5" s="983" t="str">
        <f t="shared" ref="HE5:HE7" si="53">MONICON21(HF5)</f>
        <v>#NAME?</v>
      </c>
      <c r="HF5" s="1157" t="s">
        <v>978</v>
      </c>
      <c r="HG5" s="977" t="str">
        <f t="shared" ref="HG5:HG7" si="54">MONTYPEICON1(HF5)</f>
        <v>#NAME?</v>
      </c>
      <c r="HH5" s="980" t="str">
        <f t="shared" ref="HH5:HH7" si="55">MONTYPEICON2(HF5)</f>
        <v>#NAME?</v>
      </c>
      <c r="HI5" s="1303" t="s">
        <v>5005</v>
      </c>
      <c r="HJ5" s="1230"/>
      <c r="HM5" s="349"/>
      <c r="HN5" s="349"/>
      <c r="HP5" s="65"/>
      <c r="HQ5" s="983" t="str">
        <f t="shared" ref="HQ5:HQ7" si="56">MONICON21(HR5)</f>
        <v>#NAME?</v>
      </c>
      <c r="HR5" s="1301" t="s">
        <v>3683</v>
      </c>
      <c r="HS5" s="977" t="str">
        <f t="shared" ref="HS5:HS7" si="57">MONTYPEICON1(HR5)</f>
        <v>#NAME?</v>
      </c>
      <c r="HT5" s="980" t="str">
        <f t="shared" ref="HT5:HT7" si="58">MONTYPEICON2(HR5)</f>
        <v>#NAME?</v>
      </c>
      <c r="HU5" s="1303" t="s">
        <v>5006</v>
      </c>
      <c r="HV5" s="65"/>
      <c r="HY5" s="108"/>
      <c r="HZ5" s="349"/>
      <c r="IC5" s="983" t="str">
        <f t="shared" ref="IC5:IC8" si="59">MONICON21(ID5)</f>
        <v>#NAME?</v>
      </c>
      <c r="ID5" s="1157" t="s">
        <v>1823</v>
      </c>
      <c r="IE5" s="1311" t="str">
        <f t="shared" ref="IE5:IE8" si="60">MONTYPEICON1(ID5)</f>
        <v>#NAME?</v>
      </c>
      <c r="IF5" s="1312" t="str">
        <f t="shared" ref="IF5:IF8" si="61">MONTYPEICON2(ID5)</f>
        <v>#NAME?</v>
      </c>
      <c r="IG5" s="1303" t="s">
        <v>5007</v>
      </c>
      <c r="II5" s="1012" t="str">
        <f t="shared" ref="II5:II10" si="62">MONICON21(IJ5)</f>
        <v>#NAME?</v>
      </c>
      <c r="IJ5" s="1301" t="s">
        <v>742</v>
      </c>
      <c r="IK5" s="1313" t="str">
        <f t="shared" ref="IK5:IK10" si="63">MONTYPEICON1(IJ5)</f>
        <v>#NAME?</v>
      </c>
      <c r="IL5" s="1314" t="str">
        <f t="shared" ref="IL5:IL10" si="64">MONTYPEICON2(IJ5)</f>
        <v>#NAME?</v>
      </c>
      <c r="IM5" s="1303" t="s">
        <v>5008</v>
      </c>
      <c r="IO5" s="1012" t="str">
        <f t="shared" ref="IO5:IO10" si="65">MONICON21(IP5)</f>
        <v>#NAME?</v>
      </c>
      <c r="IP5" s="1301" t="s">
        <v>742</v>
      </c>
      <c r="IQ5" s="1313" t="str">
        <f t="shared" ref="IQ5:IQ10" si="66">MONTYPEICON1(IP5)</f>
        <v>#NAME?</v>
      </c>
      <c r="IR5" s="1314" t="str">
        <f t="shared" ref="IR5:IR10" si="67">MONTYPEICON2(IP5)</f>
        <v>#NAME?</v>
      </c>
      <c r="IS5" s="1305" t="s">
        <v>5008</v>
      </c>
      <c r="IT5" s="1230"/>
      <c r="IU5" s="1155"/>
      <c r="IY5" s="1154"/>
      <c r="IZ5" s="1230"/>
      <c r="JA5" s="1012" t="str">
        <f t="shared" ref="JA5:JA6" si="68">MONICON21(JB5)</f>
        <v>#NAME?</v>
      </c>
      <c r="JB5" s="1315" t="s">
        <v>2598</v>
      </c>
      <c r="JC5" s="977" t="str">
        <f t="shared" ref="JC5:JC6" si="69">MONTYPEICON1(JB5)</f>
        <v>#NAME?</v>
      </c>
      <c r="JD5" s="980" t="str">
        <f t="shared" ref="JD5:JD6" si="70">MONTYPEICON2(JB5)</f>
        <v>#NAME?</v>
      </c>
      <c r="JE5" s="1316" t="s">
        <v>5008</v>
      </c>
      <c r="JF5" s="1230"/>
      <c r="JI5" s="349"/>
      <c r="JJ5" s="349"/>
      <c r="JL5" s="1230"/>
      <c r="JM5" s="985" t="str">
        <f>MONICON21(JN5)</f>
        <v>#NAME?</v>
      </c>
      <c r="JN5" s="146" t="s">
        <v>3255</v>
      </c>
      <c r="JO5" s="22" t="str">
        <f>MONTYPEICON1(JN5)</f>
        <v>#NAME?</v>
      </c>
      <c r="JP5" s="24" t="str">
        <f>MONTYPEICON2(JN5)</f>
        <v>#NAME?</v>
      </c>
      <c r="JQ5" s="1196" t="s">
        <v>5009</v>
      </c>
      <c r="JR5" s="1230"/>
      <c r="JU5" s="349"/>
      <c r="JV5" s="349"/>
      <c r="JY5" s="1012" t="str">
        <f t="shared" ref="JY5:JY10" si="71">MONICON21(JZ5)</f>
        <v>#NAME?</v>
      </c>
      <c r="JZ5" s="1317" t="s">
        <v>3670</v>
      </c>
      <c r="KA5" s="1313" t="str">
        <f t="shared" ref="KA5:KA10" si="72">MONTYPEICON1(JZ5)</f>
        <v>#NAME?</v>
      </c>
      <c r="KB5" s="1314" t="str">
        <f t="shared" ref="KB5:KB10" si="73">MONTYPEICON2(JZ5)</f>
        <v>#NAME?</v>
      </c>
      <c r="KC5" s="1303" t="s">
        <v>5010</v>
      </c>
      <c r="KE5" s="1266"/>
      <c r="KF5" s="1259" t="s">
        <v>5011</v>
      </c>
      <c r="KG5" s="12"/>
      <c r="KH5" s="962"/>
      <c r="KI5" s="1258" t="s">
        <v>4608</v>
      </c>
      <c r="KJ5" s="65"/>
      <c r="KK5" s="983" t="str">
        <f t="shared" ref="KK5:KK7" si="74">MONICON21(KL5)</f>
        <v>#NAME?</v>
      </c>
      <c r="KL5" s="1301" t="s">
        <v>2625</v>
      </c>
      <c r="KM5" s="1311" t="str">
        <f t="shared" ref="KM5:KM7" si="75">MONTYPEICON1(KL5)</f>
        <v>#NAME?</v>
      </c>
      <c r="KN5" s="1312" t="str">
        <f t="shared" ref="KN5:KN7" si="76">MONTYPEICON2(KL5)</f>
        <v>#NAME?</v>
      </c>
      <c r="KO5" s="1303" t="s">
        <v>5010</v>
      </c>
      <c r="KQ5" s="1283"/>
      <c r="KR5" s="1264" t="s">
        <v>5012</v>
      </c>
      <c r="KS5" s="12"/>
      <c r="KT5" s="962"/>
      <c r="KU5" s="1265" t="s">
        <v>4608</v>
      </c>
      <c r="KY5" s="349"/>
      <c r="KZ5" s="349"/>
      <c r="LB5" s="442"/>
      <c r="LC5" s="983" t="str">
        <f t="shared" ref="LC5:LC9" si="77">MONICON21(LD5)</f>
        <v>#NAME?</v>
      </c>
      <c r="LD5" s="1304" t="s">
        <v>1680</v>
      </c>
      <c r="LE5" s="977" t="str">
        <f t="shared" ref="LE5:LE9" si="78">MONTYPEICON1(LD5)</f>
        <v>#NAME?</v>
      </c>
      <c r="LF5" s="980" t="str">
        <f t="shared" ref="LF5:LF9" si="79">MONTYPEICON2(LD5)</f>
        <v>#NAME?</v>
      </c>
      <c r="LG5" s="1318" t="s">
        <v>5013</v>
      </c>
      <c r="LI5" s="983" t="str">
        <f t="shared" ref="LI5:LI7" si="80">MONICON21(LJ5)</f>
        <v>#NAME?</v>
      </c>
      <c r="LJ5" s="1301" t="s">
        <v>2116</v>
      </c>
      <c r="LK5" s="1311" t="str">
        <f t="shared" ref="LK5:LK7" si="81">MONTYPEICON1(LJ5)</f>
        <v>#NAME?</v>
      </c>
      <c r="LL5" s="1312" t="str">
        <f t="shared" ref="LL5:LL7" si="82">MONTYPEICON2(LJ5)</f>
        <v>#NAME?</v>
      </c>
      <c r="LM5" s="1318" t="s">
        <v>5014</v>
      </c>
      <c r="LO5" s="983" t="str">
        <f t="shared" ref="LO5:LO6" si="83">MONICON21(LP5)</f>
        <v>#NAME?</v>
      </c>
      <c r="LP5" s="1301" t="s">
        <v>4132</v>
      </c>
      <c r="LQ5" s="977" t="str">
        <f t="shared" ref="LQ5:LQ6" si="84">MONTYPEICON1(LP5)</f>
        <v>#NAME?</v>
      </c>
      <c r="LR5" s="980" t="str">
        <f t="shared" ref="LR5:LR6" si="85">MONTYPEICON2(LP5)</f>
        <v>#NAME?</v>
      </c>
      <c r="LS5" s="1318" t="s">
        <v>5015</v>
      </c>
      <c r="LU5" s="1155"/>
      <c r="LY5" s="1154"/>
      <c r="MA5" s="983" t="str">
        <f t="shared" ref="MA5:MA6" si="86">MONICON21(MB5)</f>
        <v>#NAME?</v>
      </c>
      <c r="MB5" s="1301" t="s">
        <v>1924</v>
      </c>
      <c r="MC5" s="977" t="str">
        <f t="shared" ref="MC5:MC6" si="87">MONTYPEICON1(MB5)</f>
        <v>#NAME?</v>
      </c>
      <c r="MD5" s="980" t="str">
        <f t="shared" ref="MD5:MD6" si="88">MONTYPEICON2(MB5)</f>
        <v>#NAME?</v>
      </c>
      <c r="ME5" s="1318" t="s">
        <v>5015</v>
      </c>
      <c r="MI5" s="349"/>
      <c r="MJ5" s="349"/>
      <c r="MM5" s="1273"/>
      <c r="MN5" s="1281" t="s">
        <v>5016</v>
      </c>
      <c r="MO5" s="12"/>
      <c r="MP5" s="962"/>
      <c r="MQ5" s="1282" t="s">
        <v>4608</v>
      </c>
      <c r="MS5" s="983" t="str">
        <f t="shared" ref="MS5:MS7" si="89">MONICON21(MT5)</f>
        <v>#NAME?</v>
      </c>
      <c r="MT5" s="1301" t="s">
        <v>1924</v>
      </c>
      <c r="MU5" s="1319" t="str">
        <f t="shared" ref="MU5:MU7" si="90">MONTYPEICON1(MT5)</f>
        <v>#NAME?</v>
      </c>
      <c r="MV5" s="1320" t="str">
        <f t="shared" ref="MV5:MV7" si="91">MONTYPEICON2(MT5)</f>
        <v>#NAME?</v>
      </c>
      <c r="MW5" s="1318" t="s">
        <v>5015</v>
      </c>
      <c r="MY5" s="983" t="str">
        <f t="shared" ref="MY5:MY10" si="92">MONICON21(MZ5)</f>
        <v>#NAME?</v>
      </c>
      <c r="MZ5" s="1301" t="s">
        <v>1680</v>
      </c>
      <c r="NA5" s="977" t="str">
        <f t="shared" ref="NA5:NA10" si="93">MONTYPEICON1(MZ5)</f>
        <v>#NAME?</v>
      </c>
      <c r="NB5" s="980" t="str">
        <f t="shared" ref="NB5:NB10" si="94">MONTYPEICON2(MZ5)</f>
        <v>#NAME?</v>
      </c>
      <c r="NC5" s="1318" t="s">
        <v>5017</v>
      </c>
      <c r="ND5" s="442"/>
      <c r="NE5" s="442"/>
      <c r="NF5" s="442"/>
      <c r="NG5" s="108"/>
      <c r="NH5" s="108"/>
      <c r="NI5" s="442"/>
      <c r="NK5" s="983" t="str">
        <f t="shared" ref="NK5:NK7" si="95">MONICON21(NL5)</f>
        <v>#NAME?</v>
      </c>
      <c r="NL5" s="1301" t="s">
        <v>1697</v>
      </c>
      <c r="NM5" s="1311" t="str">
        <f t="shared" ref="NM5:NM7" si="96">MONTYPEICON1(NL5)</f>
        <v>#NAME?</v>
      </c>
      <c r="NN5" s="1312" t="str">
        <f t="shared" ref="NN5:NN7" si="97">MONTYPEICON2(NL5)</f>
        <v>#NAME?</v>
      </c>
      <c r="NO5" s="1318" t="s">
        <v>5017</v>
      </c>
      <c r="NP5" s="442"/>
      <c r="NQ5" s="983" t="str">
        <f t="shared" ref="NQ5:NQ6" si="98">MONICON21(NR5)</f>
        <v>#NAME?</v>
      </c>
      <c r="NR5" s="1301" t="s">
        <v>1303</v>
      </c>
      <c r="NS5" s="1313" t="str">
        <f t="shared" ref="NS5:NS6" si="99">MONTYPEICON1(NR5)</f>
        <v>#NAME?</v>
      </c>
      <c r="NT5" s="1314" t="str">
        <f t="shared" ref="NT5:NT6" si="100">MONTYPEICON2(NR5)</f>
        <v>#NAME?</v>
      </c>
      <c r="NU5" s="1318" t="s">
        <v>5018</v>
      </c>
      <c r="NW5" s="442"/>
      <c r="NX5" s="442"/>
      <c r="NY5" s="108"/>
      <c r="NZ5" s="108"/>
      <c r="OA5" s="442"/>
      <c r="OB5" s="442"/>
      <c r="OC5" s="983" t="str">
        <f t="shared" ref="OC5:OC7" si="101">MONICON21(OD5)</f>
        <v>#NAME?</v>
      </c>
      <c r="OD5" s="1301" t="s">
        <v>2970</v>
      </c>
      <c r="OE5" s="1311" t="str">
        <f t="shared" ref="OE5:OE7" si="102">MONTYPEICON1(OD5)</f>
        <v>#NAME?</v>
      </c>
      <c r="OF5" s="1312" t="str">
        <f t="shared" ref="OF5:OF7" si="103">MONTYPEICON2(OD5)</f>
        <v>#NAME?</v>
      </c>
      <c r="OG5" s="1318" t="s">
        <v>5019</v>
      </c>
      <c r="OH5" s="442"/>
      <c r="OK5" s="349"/>
      <c r="OL5" s="349"/>
      <c r="ON5" s="442"/>
      <c r="OO5" s="983" t="str">
        <f t="shared" ref="OO5:OO9" si="104">MONICON21(OP5)</f>
        <v>#NAME?</v>
      </c>
      <c r="OP5" s="1301" t="s">
        <v>474</v>
      </c>
      <c r="OQ5" s="1311" t="str">
        <f t="shared" ref="OQ5:OQ9" si="105">MONTYPEICON1(OP5)</f>
        <v>#NAME?</v>
      </c>
      <c r="OR5" s="1312" t="str">
        <f t="shared" ref="OR5:OR9" si="106">MONTYPEICON2(OP5)</f>
        <v>#NAME?</v>
      </c>
      <c r="OS5" s="1318" t="s">
        <v>5020</v>
      </c>
      <c r="OU5" s="983" t="str">
        <f t="shared" ref="OU5:OU9" si="107">MONICON21(OV5)</f>
        <v>#NAME?</v>
      </c>
      <c r="OV5" s="1301" t="s">
        <v>3926</v>
      </c>
      <c r="OW5" s="1311" t="str">
        <f t="shared" ref="OW5:OW9" si="108">MONTYPEICON1(OV5)</f>
        <v>#NAME?</v>
      </c>
      <c r="OX5" s="1312" t="str">
        <f t="shared" ref="OX5:OX9" si="109">MONTYPEICON2(OV5)</f>
        <v>#NAME?</v>
      </c>
      <c r="OY5" s="1318" t="s">
        <v>5020</v>
      </c>
      <c r="PC5" s="349"/>
      <c r="PD5" s="349"/>
      <c r="PF5" s="442"/>
      <c r="PG5" s="983" t="str">
        <f t="shared" ref="PG5:PG7" si="110">MONICON21(PH5)</f>
        <v>#NAME?</v>
      </c>
      <c r="PH5" s="1301" t="s">
        <v>581</v>
      </c>
      <c r="PI5" s="1311" t="str">
        <f t="shared" ref="PI5:PI7" si="111">MONTYPEICON1(PH5)</f>
        <v>#NAME?</v>
      </c>
      <c r="PJ5" s="1312" t="str">
        <f t="shared" ref="PJ5:PJ7" si="112">MONTYPEICON2(PH5)</f>
        <v>#NAME?</v>
      </c>
      <c r="PK5" s="1318" t="s">
        <v>5021</v>
      </c>
      <c r="PM5" s="983" t="str">
        <f t="shared" ref="PM5:PM7" si="113">MONICON21(PN5)</f>
        <v>#NAME?</v>
      </c>
      <c r="PN5" s="1301" t="s">
        <v>2934</v>
      </c>
      <c r="PO5" s="1311" t="str">
        <f t="shared" ref="PO5:PO7" si="114">MONTYPEICON1(PN5)</f>
        <v>#NAME?</v>
      </c>
      <c r="PP5" s="1312" t="str">
        <f t="shared" ref="PP5:PP7" si="115">MONTYPEICON2(PN5)</f>
        <v>#NAME?</v>
      </c>
      <c r="PQ5" s="1318" t="s">
        <v>5022</v>
      </c>
      <c r="PS5" s="983" t="str">
        <f t="shared" ref="PS5:PS8" si="116">MONICON21(PT5)</f>
        <v>#NAME?</v>
      </c>
      <c r="PT5" s="1301" t="s">
        <v>2752</v>
      </c>
      <c r="PU5" s="1311" t="str">
        <f t="shared" ref="PU5:PU8" si="117">MONTYPEICON1(PT5)</f>
        <v>#NAME?</v>
      </c>
      <c r="PV5" s="1312" t="str">
        <f t="shared" ref="PV5:PV8" si="118">MONTYPEICON2(PT5)</f>
        <v>#NAME?</v>
      </c>
      <c r="PW5" s="1318" t="s">
        <v>5021</v>
      </c>
      <c r="PY5" s="1012" t="str">
        <f t="shared" ref="PY5:PY10" si="119">MONICON21(PZ5)</f>
        <v>#NAME?</v>
      </c>
      <c r="PZ5" s="1301" t="s">
        <v>742</v>
      </c>
      <c r="QA5" s="1313" t="str">
        <f t="shared" ref="QA5:QA10" si="120">MONTYPEICON1(PZ5)</f>
        <v>#NAME?</v>
      </c>
      <c r="QB5" s="1314" t="str">
        <f t="shared" ref="QB5:QB10" si="121">MONTYPEICON2(PZ5)</f>
        <v>#NAME?</v>
      </c>
      <c r="QC5" s="1318" t="s">
        <v>5023</v>
      </c>
      <c r="QD5" s="442"/>
      <c r="QG5" s="349"/>
      <c r="QH5" s="108"/>
      <c r="QJ5" s="442"/>
      <c r="QK5" s="997"/>
      <c r="QL5" s="1192"/>
      <c r="QM5" s="1025"/>
      <c r="QN5" s="1026"/>
      <c r="QO5" s="998"/>
      <c r="QP5" s="442"/>
      <c r="QQ5" s="997"/>
      <c r="QR5" s="1192"/>
      <c r="QS5" s="1025"/>
      <c r="QT5" s="1026"/>
      <c r="QU5" s="998"/>
      <c r="QW5" s="997"/>
      <c r="QX5" s="1192"/>
      <c r="QY5" s="1025"/>
      <c r="QZ5" s="1026"/>
      <c r="RA5" s="998"/>
      <c r="RB5" s="442"/>
      <c r="RC5" s="997"/>
      <c r="RD5" s="1192"/>
      <c r="RE5" s="1025"/>
      <c r="RF5" s="1026"/>
      <c r="RG5" s="998"/>
      <c r="RH5" s="442"/>
      <c r="RI5" s="997"/>
      <c r="RJ5" s="1192"/>
      <c r="RK5" s="1025"/>
      <c r="RL5" s="1026"/>
      <c r="RM5" s="998"/>
      <c r="RN5" s="442"/>
      <c r="RQ5" s="349"/>
      <c r="RR5" s="349"/>
      <c r="RT5" s="442"/>
      <c r="RU5" s="983" t="str">
        <f t="shared" ref="RU5:RU10" si="122">MONICON21(RV5)</f>
        <v>#NAME?</v>
      </c>
      <c r="RV5" s="1304" t="s">
        <v>2598</v>
      </c>
      <c r="RW5" s="977" t="str">
        <f t="shared" ref="RW5:RW10" si="123">MONTYPEICON1(RV5)</f>
        <v>#NAME?</v>
      </c>
      <c r="RX5" s="980" t="str">
        <f t="shared" ref="RX5:RX10" si="124">MONTYPEICON2(RV5)</f>
        <v>#NAME?</v>
      </c>
      <c r="RY5" s="1321" t="s">
        <v>5024</v>
      </c>
      <c r="RZ5" s="442"/>
      <c r="SC5" s="349"/>
      <c r="SD5" s="349"/>
      <c r="SF5" s="442"/>
      <c r="SI5" s="349"/>
      <c r="SJ5" s="349"/>
      <c r="SL5" s="442"/>
      <c r="SM5" s="983" t="str">
        <f t="shared" ref="SM5:SM7" si="125">MONICON21(SN5)</f>
        <v>#NAME?</v>
      </c>
      <c r="SN5" s="1301" t="s">
        <v>2752</v>
      </c>
      <c r="SO5" s="1311" t="str">
        <f t="shared" ref="SO5:SO7" si="126">MONTYPEICON1(SN5)</f>
        <v>#NAME?</v>
      </c>
      <c r="SP5" s="1312" t="str">
        <f t="shared" ref="SP5:SP7" si="127">MONTYPEICON2(SN5)</f>
        <v>#NAME?</v>
      </c>
      <c r="SQ5" s="1318" t="s">
        <v>5025</v>
      </c>
      <c r="SU5" s="349"/>
      <c r="SV5" s="349"/>
      <c r="TA5" s="349"/>
      <c r="TB5" s="349"/>
      <c r="TE5" s="442"/>
      <c r="TF5" s="442"/>
      <c r="TG5" s="349"/>
      <c r="TH5" s="349"/>
      <c r="TI5" s="442"/>
      <c r="TK5" s="983" t="str">
        <f t="shared" ref="TK5:TK7" si="128">MONICON21(TL5)</f>
        <v>#NAME?</v>
      </c>
      <c r="TL5" s="1301" t="s">
        <v>2661</v>
      </c>
      <c r="TM5" s="1311" t="str">
        <f t="shared" ref="TM5:TM7" si="129">MONTYPEICON1(TL5)</f>
        <v>#NAME?</v>
      </c>
      <c r="TN5" s="1312" t="str">
        <f t="shared" ref="TN5:TN7" si="130">MONTYPEICON2(TL5)</f>
        <v>#NAME?</v>
      </c>
      <c r="TO5" s="1318" t="s">
        <v>5026</v>
      </c>
      <c r="TQ5" s="983" t="str">
        <f t="shared" ref="TQ5:TQ7" si="131">MONICON21(TR5)</f>
        <v>#NAME?</v>
      </c>
      <c r="TR5" s="1301" t="s">
        <v>1849</v>
      </c>
      <c r="TS5" s="1311" t="str">
        <f t="shared" ref="TS5:TS7" si="132">MONTYPEICON1(TR5)</f>
        <v>#NAME?</v>
      </c>
      <c r="TT5" s="1312" t="str">
        <f t="shared" ref="TT5:TT7" si="133">MONTYPEICON2(TR5)</f>
        <v>#NAME?</v>
      </c>
      <c r="TU5" s="1318" t="s">
        <v>5026</v>
      </c>
      <c r="UC5" s="1322"/>
      <c r="UD5" s="1323" t="s">
        <v>5027</v>
      </c>
      <c r="UE5" s="12"/>
      <c r="UF5" s="962"/>
      <c r="UG5" s="1324" t="s">
        <v>4608</v>
      </c>
      <c r="UO5" s="1033" t="str">
        <f t="shared" ref="UO5:UO6" si="134">MONICON21(UP5)</f>
        <v>#NAME?</v>
      </c>
      <c r="UP5" s="1301" t="s">
        <v>1272</v>
      </c>
      <c r="UQ5" s="977" t="str">
        <f t="shared" ref="UQ5:UQ6" si="135">MONTYPEICON1(UP5)</f>
        <v>#NAME?</v>
      </c>
      <c r="UR5" s="980" t="str">
        <f t="shared" ref="UR5:UR6" si="136">MONTYPEICON2(UP5)</f>
        <v>#NAME?</v>
      </c>
      <c r="US5" s="1303" t="s">
        <v>5028</v>
      </c>
      <c r="UU5" s="1033" t="str">
        <f t="shared" ref="UU5:UU6" si="137">MONICON21(UV5)</f>
        <v>#NAME?</v>
      </c>
      <c r="UV5" s="1301" t="s">
        <v>518</v>
      </c>
      <c r="UW5" s="977" t="str">
        <f t="shared" ref="UW5:UW6" si="138">MONTYPEICON1(UV5)</f>
        <v>#NAME?</v>
      </c>
      <c r="UX5" s="980" t="str">
        <f t="shared" ref="UX5:UX6" si="139">MONTYPEICON2(UV5)</f>
        <v>#NAME?</v>
      </c>
      <c r="UY5" s="1303" t="s">
        <v>5029</v>
      </c>
      <c r="VA5" s="977" t="str">
        <f t="shared" ref="VA5:VA7" si="140">MONICON21(VB5)</f>
        <v>#NAME?</v>
      </c>
      <c r="VB5" s="1301" t="s">
        <v>1705</v>
      </c>
      <c r="VC5" s="979" t="str">
        <f t="shared" ref="VC5:VC7" si="141">MONTYPEICON1(VB5)</f>
        <v>#NAME?</v>
      </c>
      <c r="VD5" s="1314" t="str">
        <f t="shared" ref="VD5:VD7" si="142">MONTYPEICON2(VB5)</f>
        <v>#NAME?</v>
      </c>
      <c r="VE5" s="1303" t="s">
        <v>5030</v>
      </c>
      <c r="VG5" s="442"/>
      <c r="VH5" s="442"/>
      <c r="VI5" s="442"/>
      <c r="VJ5" s="442"/>
      <c r="VK5" s="442"/>
      <c r="VL5" s="442"/>
      <c r="VM5" s="977" t="str">
        <f t="shared" ref="VM5:VM7" si="143">MONICON21(VN5)</f>
        <v>#NAME?</v>
      </c>
      <c r="VN5" s="1301" t="s">
        <v>3722</v>
      </c>
      <c r="VO5" s="977" t="str">
        <f t="shared" ref="VO5:VO7" si="144">MONTYPEICON1(VN5)</f>
        <v>#NAME?</v>
      </c>
      <c r="VP5" s="980" t="str">
        <f t="shared" ref="VP5:VP7" si="145">MONTYPEICON2(VN5)</f>
        <v>#NAME?</v>
      </c>
      <c r="VQ5" s="1303" t="s">
        <v>5028</v>
      </c>
      <c r="VR5" s="442"/>
      <c r="VX5" s="442"/>
      <c r="VY5" s="1033" t="str">
        <f t="shared" ref="VY5:VY6" si="146">MONICON21(VZ5)</f>
        <v>#NAME?</v>
      </c>
      <c r="VZ5" s="1301" t="s">
        <v>1546</v>
      </c>
      <c r="WA5" s="977" t="str">
        <f t="shared" ref="WA5:WA6" si="147">MONTYPEICON1(VZ5)</f>
        <v>#NAME?</v>
      </c>
      <c r="WB5" s="980" t="str">
        <f t="shared" ref="WB5:WB6" si="148">MONTYPEICON2(VZ5)</f>
        <v>#NAME?</v>
      </c>
      <c r="WC5" s="1302" t="s">
        <v>5031</v>
      </c>
      <c r="WD5" s="442"/>
      <c r="WE5" s="977" t="str">
        <f t="shared" ref="WE5:WE7" si="149">MONICON21(WF5)</f>
        <v>#NAME?</v>
      </c>
      <c r="WF5" s="1301" t="s">
        <v>1242</v>
      </c>
      <c r="WG5" s="977" t="str">
        <f t="shared" ref="WG5:WG7" si="150">MONTYPEICON1(WF5)</f>
        <v>#NAME?</v>
      </c>
      <c r="WH5" s="980" t="str">
        <f t="shared" ref="WH5:WH7" si="151">MONTYPEICON2(WF5)</f>
        <v>#NAME?</v>
      </c>
      <c r="WI5" s="1303" t="s">
        <v>5032</v>
      </c>
      <c r="WJ5" s="442"/>
      <c r="WK5" s="442"/>
      <c r="WL5" s="442"/>
      <c r="WM5" s="442"/>
      <c r="WN5" s="442"/>
      <c r="WO5" s="442"/>
      <c r="WP5" s="442"/>
      <c r="WV5" s="442"/>
      <c r="XB5" s="442"/>
      <c r="XC5" s="977" t="str">
        <f t="shared" ref="XC5:XC7" si="152">MONICON21(XD5)</f>
        <v>#NAME?</v>
      </c>
      <c r="XD5" s="1301" t="s">
        <v>347</v>
      </c>
      <c r="XE5" s="977" t="str">
        <f t="shared" ref="XE5:XE7" si="153">MONTYPEICON1(XD5)</f>
        <v>#NAME?</v>
      </c>
      <c r="XF5" s="980" t="str">
        <f t="shared" ref="XF5:XF7" si="154">MONTYPEICON2(XD5)</f>
        <v>#NAME?</v>
      </c>
      <c r="XG5" s="1303" t="s">
        <v>5017</v>
      </c>
      <c r="XH5" s="442"/>
      <c r="XI5" s="977" t="str">
        <f t="shared" ref="XI5:XI10" si="155">MONICON21(XJ5)</f>
        <v>#NAME?</v>
      </c>
      <c r="XJ5" s="1301" t="s">
        <v>1797</v>
      </c>
      <c r="XK5" s="977" t="str">
        <f t="shared" ref="XK5:XK10" si="156">MONTYPEICON1(XJ5)</f>
        <v>#NAME?</v>
      </c>
      <c r="XL5" s="980" t="str">
        <f t="shared" ref="XL5:XL10" si="157">MONTYPEICON2(XJ5)</f>
        <v>#NAME?</v>
      </c>
      <c r="XM5" s="1321" t="s">
        <v>5004</v>
      </c>
      <c r="XN5" s="442"/>
      <c r="XT5" s="442"/>
      <c r="XU5" s="977" t="str">
        <f t="shared" ref="XU5:XU7" si="158">MONICON21(XV5)</f>
        <v>#NAME?</v>
      </c>
      <c r="XV5" s="1301" t="s">
        <v>2625</v>
      </c>
      <c r="XW5" s="977" t="str">
        <f t="shared" ref="XW5:XW7" si="159">MONTYPEICON1(XV5)</f>
        <v>#NAME?</v>
      </c>
      <c r="XX5" s="980" t="str">
        <f t="shared" ref="XX5:XX7" si="160">MONTYPEICON2(XV5)</f>
        <v>#NAME?</v>
      </c>
      <c r="XY5" s="1303" t="s">
        <v>5033</v>
      </c>
      <c r="XZ5" s="442"/>
      <c r="YA5" s="977" t="str">
        <f t="shared" ref="YA5:YA7" si="161">MONICON21(YB5)</f>
        <v>#NAME?</v>
      </c>
      <c r="YB5" s="1301" t="s">
        <v>2789</v>
      </c>
      <c r="YC5" s="977" t="str">
        <f t="shared" ref="YC5:YC7" si="162">MONTYPEICON1(YB5)</f>
        <v>#NAME?</v>
      </c>
      <c r="YD5" s="980" t="str">
        <f t="shared" ref="YD5:YD7" si="163">MONTYPEICON2(YB5)</f>
        <v>#NAME?</v>
      </c>
      <c r="YE5" s="1303" t="s">
        <v>5019</v>
      </c>
      <c r="YF5" s="442"/>
      <c r="YG5" s="977" t="str">
        <f t="shared" ref="YG5:YG7" si="164">MONICON21(YH5)</f>
        <v>#NAME?</v>
      </c>
      <c r="YH5" s="1301" t="s">
        <v>896</v>
      </c>
      <c r="YI5" s="977" t="str">
        <f t="shared" ref="YI5:YI7" si="165">MONTYPEICON1(YH5)</f>
        <v>#NAME?</v>
      </c>
      <c r="YJ5" s="980" t="str">
        <f t="shared" ref="YJ5:YJ7" si="166">MONTYPEICON2(YH5)</f>
        <v>#NAME?</v>
      </c>
      <c r="YK5" s="1303" t="s">
        <v>5034</v>
      </c>
      <c r="YL5" s="442"/>
      <c r="YM5" s="977" t="str">
        <f t="shared" ref="YM5:YM8" si="167">MONICON21(YN5)</f>
        <v>#NAME?</v>
      </c>
      <c r="YN5" s="1325" t="s">
        <v>4031</v>
      </c>
      <c r="YO5" s="977" t="str">
        <f t="shared" ref="YO5:YO8" si="168">MONTYPEICON1(YN5)</f>
        <v>#NAME?</v>
      </c>
      <c r="YP5" s="980" t="str">
        <f t="shared" ref="YP5:YP8" si="169">MONTYPEICON2(YN5)</f>
        <v>#NAME?</v>
      </c>
      <c r="YQ5" s="1326" t="s">
        <v>5032</v>
      </c>
      <c r="YR5" s="442"/>
      <c r="YS5" s="1033" t="str">
        <f t="shared" ref="YS5:YS6" si="170">MONICON21(YT5)</f>
        <v>#NAME?</v>
      </c>
      <c r="YT5" s="1301" t="s">
        <v>4190</v>
      </c>
      <c r="YU5" s="977" t="str">
        <f t="shared" ref="YU5:YU6" si="171">MONTYPEICON1(YT5)</f>
        <v>#NAME?</v>
      </c>
      <c r="YV5" s="980" t="str">
        <f t="shared" ref="YV5:YV6" si="172">MONTYPEICON2(YT5)</f>
        <v>#NAME?</v>
      </c>
      <c r="YW5" s="1302" t="s">
        <v>5033</v>
      </c>
      <c r="YX5" s="442"/>
      <c r="YY5" s="977" t="str">
        <f t="shared" ref="YY5:YY7" si="173">MONICON21(YZ5)</f>
        <v>#NAME?</v>
      </c>
      <c r="YZ5" s="1301" t="s">
        <v>2125</v>
      </c>
      <c r="ZA5" s="977" t="str">
        <f t="shared" ref="ZA5:ZA7" si="174">MONTYPEICON1(YZ5)</f>
        <v>#NAME?</v>
      </c>
      <c r="ZB5" s="980" t="str">
        <f t="shared" ref="ZB5:ZB7" si="175">MONTYPEICON2(YZ5)</f>
        <v>#NAME?</v>
      </c>
      <c r="ZC5" s="1303" t="s">
        <v>5019</v>
      </c>
      <c r="ZD5" s="442"/>
      <c r="ZE5" s="1092" t="str">
        <f>MONICON21(ZF5)</f>
        <v>#NAME?</v>
      </c>
      <c r="ZF5" s="1052" t="s">
        <v>4132</v>
      </c>
      <c r="ZG5" s="1092" t="str">
        <f>MONTYPEICON1(ZF5)</f>
        <v>#NAME?</v>
      </c>
      <c r="ZH5" s="987" t="str">
        <f>MONTYPEICON2(ZF5)</f>
        <v>#NAME?</v>
      </c>
      <c r="ZI5" s="1327" t="s">
        <v>5033</v>
      </c>
      <c r="ZJ5" s="442"/>
      <c r="ZK5" s="977" t="str">
        <f t="shared" ref="ZK5:ZK7" si="176">MONICON21(ZL5)</f>
        <v>#NAME?</v>
      </c>
      <c r="ZL5" s="1301" t="s">
        <v>1697</v>
      </c>
      <c r="ZM5" s="977" t="str">
        <f t="shared" ref="ZM5:ZM7" si="177">MONTYPEICON1(ZL5)</f>
        <v>#NAME?</v>
      </c>
      <c r="ZN5" s="980" t="str">
        <f t="shared" ref="ZN5:ZN7" si="178">MONTYPEICON2(ZL5)</f>
        <v>#NAME?</v>
      </c>
      <c r="ZO5" s="1303" t="s">
        <v>5025</v>
      </c>
      <c r="ZP5" s="442"/>
      <c r="ZS5" s="349"/>
      <c r="ZT5" s="349"/>
      <c r="ZV5" s="442"/>
      <c r="ZW5" s="977" t="str">
        <f t="shared" ref="ZW5:ZW6" si="179">MONICON21(ZX5)</f>
        <v>#NAME?</v>
      </c>
      <c r="ZX5" s="1301" t="s">
        <v>878</v>
      </c>
      <c r="ZY5" s="977" t="str">
        <f t="shared" ref="ZY5:ZY6" si="180">MONTYPEICON1(ZX5)</f>
        <v>#NAME?</v>
      </c>
      <c r="ZZ5" s="980" t="str">
        <f t="shared" ref="ZZ5:ZZ6" si="181">MONTYPEICON2(ZX5)</f>
        <v>#NAME?</v>
      </c>
      <c r="AAA5" s="1303" t="s">
        <v>5035</v>
      </c>
      <c r="AAB5" s="442"/>
      <c r="AAC5" s="977" t="str">
        <f t="shared" ref="AAC5:AAC7" si="182">MONICON21(AAD5)</f>
        <v>#NAME?</v>
      </c>
      <c r="AAD5" s="1301" t="s">
        <v>1091</v>
      </c>
      <c r="AAE5" s="977" t="str">
        <f t="shared" ref="AAE5:AAE7" si="183">MONTYPEICON1(AAD5)</f>
        <v>#NAME?</v>
      </c>
      <c r="AAF5" s="980" t="str">
        <f t="shared" ref="AAF5:AAF7" si="184">MONTYPEICON2(AAD5)</f>
        <v>#NAME?</v>
      </c>
      <c r="AAG5" s="1303" t="s">
        <v>5026</v>
      </c>
      <c r="AAH5" s="442"/>
      <c r="AAI5" s="1155"/>
      <c r="AAS5" s="1154"/>
      <c r="AAU5" s="1033" t="str">
        <f t="shared" ref="AAU5:AAU10" si="185">MONICON21(AAV5)</f>
        <v>#NAME?</v>
      </c>
      <c r="AAV5" s="1301" t="s">
        <v>1960</v>
      </c>
      <c r="AAW5" s="977" t="str">
        <f t="shared" ref="AAW5:AAW10" si="186">MONTYPEICON1(AAV5)</f>
        <v>#NAME?</v>
      </c>
      <c r="AAX5" s="980" t="str">
        <f t="shared" ref="AAX5:AAX10" si="187">MONTYPEICON2(AAV5)</f>
        <v>#NAME?</v>
      </c>
      <c r="AAY5" s="1318" t="s">
        <v>5036</v>
      </c>
      <c r="ABA5" s="1033" t="str">
        <f t="shared" ref="ABA5:ABA10" si="188">MONICON21(ABB5)</f>
        <v>#NAME?</v>
      </c>
      <c r="ABB5" s="1301" t="s">
        <v>4190</v>
      </c>
      <c r="ABC5" s="977" t="str">
        <f t="shared" ref="ABC5:ABC10" si="189">MONTYPEICON1(ABB5)</f>
        <v>#NAME?</v>
      </c>
      <c r="ABD5" s="980" t="str">
        <f t="shared" ref="ABD5:ABD10" si="190">MONTYPEICON2(ABB5)</f>
        <v>#NAME?</v>
      </c>
      <c r="ABE5" s="1318" t="s">
        <v>5036</v>
      </c>
      <c r="ABG5" s="1033" t="str">
        <f t="shared" ref="ABG5:ABG10" si="191">MONICON21(ABH5)</f>
        <v>#NAME?</v>
      </c>
      <c r="ABH5" s="1301" t="s">
        <v>3333</v>
      </c>
      <c r="ABI5" s="977" t="str">
        <f t="shared" ref="ABI5:ABI10" si="192">MONTYPEICON1(ABH5)</f>
        <v>#NAME?</v>
      </c>
      <c r="ABJ5" s="980" t="str">
        <f t="shared" ref="ABJ5:ABJ10" si="193">MONTYPEICON2(ABH5)</f>
        <v>#NAME?</v>
      </c>
      <c r="ABK5" s="1318" t="s">
        <v>5036</v>
      </c>
      <c r="ABM5" s="1033" t="str">
        <f t="shared" ref="ABM5:ABM10" si="194">MONICON21(ABN5)</f>
        <v>#NAME?</v>
      </c>
      <c r="ABN5" s="1301" t="s">
        <v>1264</v>
      </c>
      <c r="ABO5" s="977" t="str">
        <f t="shared" ref="ABO5:ABO10" si="195">MONTYPEICON1(ABN5)</f>
        <v>#NAME?</v>
      </c>
      <c r="ABP5" s="980" t="str">
        <f t="shared" ref="ABP5:ABP10" si="196">MONTYPEICON2(ABN5)</f>
        <v>#NAME?</v>
      </c>
      <c r="ABQ5" s="1318" t="s">
        <v>5036</v>
      </c>
      <c r="ABS5" s="1033" t="str">
        <f t="shared" ref="ABS5:ABS10" si="197">MONICON21(ABT5)</f>
        <v>#NAME?</v>
      </c>
      <c r="ABT5" s="1301" t="s">
        <v>3000</v>
      </c>
      <c r="ABU5" s="977" t="str">
        <f t="shared" ref="ABU5:ABU10" si="198">MONTYPEICON1(ABT5)</f>
        <v>#NAME?</v>
      </c>
      <c r="ABV5" s="980" t="str">
        <f t="shared" ref="ABV5:ABV10" si="199">MONTYPEICON2(ABT5)</f>
        <v>#NAME?</v>
      </c>
      <c r="ABW5" s="1318" t="s">
        <v>5036</v>
      </c>
      <c r="ABY5" s="997"/>
      <c r="ABZ5" s="1026"/>
      <c r="ACA5" s="1026"/>
      <c r="ACB5" s="1026"/>
      <c r="ACC5" s="998"/>
      <c r="ACE5" s="1328" t="str">
        <f t="shared" si="1"/>
        <v/>
      </c>
      <c r="ACF5" s="1329" t="s">
        <v>5037</v>
      </c>
      <c r="ACG5" s="1033" t="s">
        <v>4608</v>
      </c>
      <c r="ACH5" s="1035" t="s">
        <v>4608</v>
      </c>
      <c r="ACI5" s="1318" t="s">
        <v>5038</v>
      </c>
      <c r="ACJ5" s="996"/>
    </row>
    <row r="6" ht="15.75" customHeight="1">
      <c r="A6" s="1230"/>
      <c r="E6" s="1230"/>
      <c r="F6" s="1238"/>
      <c r="G6" s="428"/>
      <c r="H6" s="1230"/>
      <c r="I6" s="961" t="s">
        <v>4512</v>
      </c>
      <c r="J6" s="12"/>
      <c r="K6" s="12"/>
      <c r="L6" s="12"/>
      <c r="M6" s="48"/>
      <c r="N6" s="1230"/>
      <c r="O6" s="1146" t="str">
        <f t="shared" si="2"/>
        <v>#NAME?</v>
      </c>
      <c r="P6" s="1145" t="s">
        <v>3657</v>
      </c>
      <c r="Q6" s="1094" t="str">
        <f t="shared" si="3"/>
        <v>#NAME?</v>
      </c>
      <c r="R6" s="1127" t="str">
        <f t="shared" si="4"/>
        <v>#NAME?</v>
      </c>
      <c r="S6" s="1330" t="s">
        <v>4988</v>
      </c>
      <c r="T6" s="1230"/>
      <c r="U6" s="349"/>
      <c r="Z6" s="1230"/>
      <c r="AA6" s="1071" t="str">
        <f t="shared" si="5"/>
        <v>#NAME?</v>
      </c>
      <c r="AB6" s="1076" t="s">
        <v>1099</v>
      </c>
      <c r="AC6" s="1071" t="str">
        <f t="shared" si="6"/>
        <v>#NAME?</v>
      </c>
      <c r="AD6" s="1073" t="str">
        <f t="shared" si="7"/>
        <v>#NAME?</v>
      </c>
      <c r="AE6" s="1093" t="s">
        <v>4990</v>
      </c>
      <c r="AF6" s="1230"/>
      <c r="AG6" s="1071" t="str">
        <f t="shared" si="8"/>
        <v>#NAME?</v>
      </c>
      <c r="AH6" s="1076" t="s">
        <v>2720</v>
      </c>
      <c r="AI6" s="1071" t="str">
        <f t="shared" si="9"/>
        <v>#NAME?</v>
      </c>
      <c r="AJ6" s="1073" t="str">
        <f t="shared" si="10"/>
        <v>#NAME?</v>
      </c>
      <c r="AK6" s="1093" t="s">
        <v>4991</v>
      </c>
      <c r="AL6" s="1230"/>
      <c r="AM6" s="1331"/>
      <c r="AN6" s="1307" t="s">
        <v>4908</v>
      </c>
      <c r="AO6" s="12"/>
      <c r="AP6" s="962"/>
      <c r="AQ6" s="1282" t="s">
        <v>4608</v>
      </c>
      <c r="AR6" s="1230"/>
      <c r="AX6" s="1230"/>
      <c r="AY6" s="1255"/>
      <c r="AZ6" s="1259" t="s">
        <v>5039</v>
      </c>
      <c r="BA6" s="12"/>
      <c r="BB6" s="962"/>
      <c r="BC6" s="1258" t="s">
        <v>4608</v>
      </c>
      <c r="BD6" s="442"/>
      <c r="BE6" s="1332"/>
      <c r="BF6" s="1333" t="s">
        <v>4981</v>
      </c>
      <c r="BG6" s="12"/>
      <c r="BH6" s="962"/>
      <c r="BI6" s="1334" t="s">
        <v>4608</v>
      </c>
      <c r="BJ6" s="1230"/>
      <c r="BK6" s="1146" t="str">
        <f t="shared" si="11"/>
        <v>#NAME?</v>
      </c>
      <c r="BL6" s="1335" t="s">
        <v>1272</v>
      </c>
      <c r="BM6" s="1146" t="str">
        <f t="shared" si="12"/>
        <v>#NAME?</v>
      </c>
      <c r="BN6" s="1148" t="str">
        <f t="shared" si="13"/>
        <v>#NAME?</v>
      </c>
      <c r="BO6" s="1336" t="s">
        <v>5040</v>
      </c>
      <c r="BP6" s="442"/>
      <c r="BQ6" s="1071" t="str">
        <f t="shared" si="14"/>
        <v>#NAME?</v>
      </c>
      <c r="BR6" s="1337" t="s">
        <v>2098</v>
      </c>
      <c r="BS6" s="1071" t="str">
        <f t="shared" si="15"/>
        <v>#NAME?</v>
      </c>
      <c r="BT6" s="1073" t="str">
        <f t="shared" si="16"/>
        <v>#NAME?</v>
      </c>
      <c r="BU6" s="1338" t="s">
        <v>4994</v>
      </c>
      <c r="BV6" s="442"/>
      <c r="BW6" s="1071" t="str">
        <f t="shared" si="17"/>
        <v>#NAME?</v>
      </c>
      <c r="BX6" s="1337" t="s">
        <v>1565</v>
      </c>
      <c r="BY6" s="1071" t="str">
        <f t="shared" si="18"/>
        <v>#NAME?</v>
      </c>
      <c r="BZ6" s="1073" t="str">
        <f t="shared" si="19"/>
        <v>#NAME?</v>
      </c>
      <c r="CA6" s="1338" t="s">
        <v>4995</v>
      </c>
      <c r="CB6" s="1230"/>
      <c r="CC6" s="1021" t="str">
        <f t="shared" si="20"/>
        <v>#NAME?</v>
      </c>
      <c r="CD6" s="1123" t="s">
        <v>1538</v>
      </c>
      <c r="CE6" s="1021" t="str">
        <f t="shared" si="21"/>
        <v>#NAME?</v>
      </c>
      <c r="CF6" s="1024" t="str">
        <f t="shared" si="22"/>
        <v>#NAME?</v>
      </c>
      <c r="CG6" s="1339" t="s">
        <v>4996</v>
      </c>
      <c r="CH6" s="442"/>
      <c r="CN6" s="428"/>
      <c r="CO6" s="1012" t="str">
        <f t="shared" ref="CO6:CO9" si="200">MONICON21(CP6)</f>
        <v>#NAME?</v>
      </c>
      <c r="CP6" s="1304" t="s">
        <v>535</v>
      </c>
      <c r="CQ6" s="977" t="str">
        <f t="shared" ref="CQ6:CQ9" si="201">MONTYPEICON1(CP6)</f>
        <v>#NAME?</v>
      </c>
      <c r="CR6" s="980" t="str">
        <f t="shared" ref="CR6:CR9" si="202">MONTYPEICON2(CP6)</f>
        <v>#NAME?</v>
      </c>
      <c r="CS6" s="1305" t="s">
        <v>4998</v>
      </c>
      <c r="CU6" s="1068" t="str">
        <f t="shared" si="23"/>
        <v>#NAME?</v>
      </c>
      <c r="CV6" s="1337" t="s">
        <v>885</v>
      </c>
      <c r="CW6" s="1071" t="str">
        <f t="shared" si="24"/>
        <v>#NAME?</v>
      </c>
      <c r="CX6" s="1073" t="str">
        <f t="shared" si="25"/>
        <v>#NAME?</v>
      </c>
      <c r="CY6" s="1338" t="s">
        <v>4994</v>
      </c>
      <c r="CZ6" s="442"/>
      <c r="DA6" s="1266"/>
      <c r="DB6" s="1259" t="s">
        <v>5041</v>
      </c>
      <c r="DC6" s="12"/>
      <c r="DD6" s="962"/>
      <c r="DE6" s="1258" t="s">
        <v>4608</v>
      </c>
      <c r="DF6" s="442"/>
      <c r="DG6" s="1193" t="str">
        <f t="shared" si="26"/>
        <v>#NAME?</v>
      </c>
      <c r="DH6" s="1335" t="s">
        <v>2000</v>
      </c>
      <c r="DI6" s="1146" t="str">
        <f t="shared" si="27"/>
        <v>#NAME?</v>
      </c>
      <c r="DJ6" s="1148" t="str">
        <f t="shared" si="28"/>
        <v>#NAME?</v>
      </c>
      <c r="DK6" s="1336" t="s">
        <v>4999</v>
      </c>
      <c r="DL6" s="442"/>
      <c r="DM6" s="1027" t="str">
        <f t="shared" si="29"/>
        <v>#NAME?</v>
      </c>
      <c r="DN6" s="1340" t="s">
        <v>2030</v>
      </c>
      <c r="DO6" s="1341" t="str">
        <f t="shared" si="30"/>
        <v>#NAME?</v>
      </c>
      <c r="DP6" s="1342" t="str">
        <f t="shared" si="31"/>
        <v>#NAME?</v>
      </c>
      <c r="DQ6" s="1343" t="s">
        <v>5000</v>
      </c>
      <c r="DR6" s="442"/>
      <c r="DS6" s="1344"/>
      <c r="DT6" s="1323" t="s">
        <v>5042</v>
      </c>
      <c r="DU6" s="12"/>
      <c r="DV6" s="962"/>
      <c r="DW6" s="1345" t="s">
        <v>4608</v>
      </c>
      <c r="DX6" s="442"/>
      <c r="DY6" s="1056" t="str">
        <f t="shared" si="32"/>
        <v>#NAME?</v>
      </c>
      <c r="DZ6" s="1123" t="s">
        <v>3299</v>
      </c>
      <c r="EA6" s="1021" t="str">
        <f t="shared" si="33"/>
        <v>#NAME?</v>
      </c>
      <c r="EB6" s="1024" t="str">
        <f t="shared" si="34"/>
        <v>#NAME?</v>
      </c>
      <c r="EC6" s="1339" t="s">
        <v>4998</v>
      </c>
      <c r="ED6" s="442"/>
      <c r="EE6" s="1268"/>
      <c r="EF6" s="1269" t="s">
        <v>5043</v>
      </c>
      <c r="EG6" s="12"/>
      <c r="EH6" s="962"/>
      <c r="EI6" s="1270" t="s">
        <v>4608</v>
      </c>
      <c r="EJ6" s="1230"/>
      <c r="EK6" s="1346" t="str">
        <f t="shared" si="35"/>
        <v>#NAME?</v>
      </c>
      <c r="EL6" s="1347" t="s">
        <v>3130</v>
      </c>
      <c r="EM6" s="1348" t="str">
        <f t="shared" si="36"/>
        <v>#NAME?</v>
      </c>
      <c r="EN6" s="1349" t="str">
        <f t="shared" si="37"/>
        <v>#NAME?</v>
      </c>
      <c r="EO6" s="1350" t="s">
        <v>5000</v>
      </c>
      <c r="EP6" s="1230"/>
      <c r="EQ6" s="1351" t="str">
        <f t="shared" si="38"/>
        <v>#NAME?</v>
      </c>
      <c r="ER6" s="1352" t="s">
        <v>364</v>
      </c>
      <c r="ES6" s="1353" t="str">
        <f t="shared" si="39"/>
        <v>#NAME?</v>
      </c>
      <c r="ET6" s="1354" t="str">
        <f t="shared" si="40"/>
        <v>#NAME?</v>
      </c>
      <c r="EU6" s="1355" t="s">
        <v>5001</v>
      </c>
      <c r="EV6" s="1230"/>
      <c r="EW6" s="1286"/>
      <c r="EX6" s="1256" t="s">
        <v>5044</v>
      </c>
      <c r="EY6" s="1257" t="s">
        <v>4888</v>
      </c>
      <c r="EZ6" s="962"/>
      <c r="FA6" s="1258" t="s">
        <v>4608</v>
      </c>
      <c r="FB6" s="442"/>
      <c r="FC6" s="1068" t="str">
        <f t="shared" si="41"/>
        <v>#NAME?</v>
      </c>
      <c r="FD6" s="1356" t="s">
        <v>1730</v>
      </c>
      <c r="FE6" s="1071" t="str">
        <f t="shared" si="42"/>
        <v>#NAME?</v>
      </c>
      <c r="FF6" s="1073" t="str">
        <f t="shared" si="43"/>
        <v>#NAME?</v>
      </c>
      <c r="FG6" s="1338" t="s">
        <v>4998</v>
      </c>
      <c r="FH6" s="442"/>
      <c r="FI6" s="983" t="str">
        <f t="shared" ref="FI6:FI9" si="203">MONICON21(FJ6)</f>
        <v>#NAME?</v>
      </c>
      <c r="FJ6" s="1301" t="s">
        <v>458</v>
      </c>
      <c r="FK6" s="977" t="str">
        <f t="shared" ref="FK6:FK9" si="204">MONTYPEICON1(FJ6)</f>
        <v>#NAME?</v>
      </c>
      <c r="FL6" s="980" t="str">
        <f t="shared" ref="FL6:FL9" si="205">MONTYPEICON2(FJ6)</f>
        <v>#NAME?</v>
      </c>
      <c r="FM6" s="1303" t="s">
        <v>5045</v>
      </c>
      <c r="FN6" s="442"/>
      <c r="FO6" s="1193" t="str">
        <f t="shared" si="44"/>
        <v>#NAME?</v>
      </c>
      <c r="FP6" s="1357" t="s">
        <v>2285</v>
      </c>
      <c r="FQ6" s="1146" t="str">
        <f t="shared" si="45"/>
        <v>#NAME?</v>
      </c>
      <c r="FR6" s="1148" t="str">
        <f t="shared" si="46"/>
        <v>#NAME?</v>
      </c>
      <c r="FS6" s="1330" t="s">
        <v>5001</v>
      </c>
      <c r="FT6" s="442"/>
      <c r="FW6" s="349"/>
      <c r="FX6" s="349"/>
      <c r="FY6" s="349"/>
      <c r="FZ6" s="442"/>
      <c r="GC6" s="349"/>
      <c r="GD6" s="349"/>
      <c r="GF6" s="442"/>
      <c r="GG6" s="1280"/>
      <c r="GH6" s="1281" t="s">
        <v>5046</v>
      </c>
      <c r="GI6" s="12"/>
      <c r="GJ6" s="962"/>
      <c r="GK6" s="1282" t="s">
        <v>4608</v>
      </c>
      <c r="GL6" s="1230"/>
      <c r="GM6" s="1068" t="str">
        <f t="shared" si="47"/>
        <v>#NAME?</v>
      </c>
      <c r="GN6" s="1078" t="s">
        <v>3205</v>
      </c>
      <c r="GO6" s="1071" t="str">
        <f t="shared" si="48"/>
        <v>#NAME?</v>
      </c>
      <c r="GP6" s="1073" t="str">
        <f t="shared" si="49"/>
        <v>#NAME?</v>
      </c>
      <c r="GQ6" s="1093" t="s">
        <v>5001</v>
      </c>
      <c r="GR6" s="1230"/>
      <c r="GS6" s="1266"/>
      <c r="GT6" s="1259" t="s">
        <v>5047</v>
      </c>
      <c r="GU6" s="12"/>
      <c r="GV6" s="962"/>
      <c r="GW6" s="1258" t="s">
        <v>4608</v>
      </c>
      <c r="GX6" s="65"/>
      <c r="GY6" s="1068" t="str">
        <f t="shared" si="50"/>
        <v>#NAME?</v>
      </c>
      <c r="GZ6" s="1078" t="s">
        <v>2141</v>
      </c>
      <c r="HA6" s="1071" t="str">
        <f t="shared" si="51"/>
        <v>#NAME?</v>
      </c>
      <c r="HB6" s="1073" t="str">
        <f t="shared" si="52"/>
        <v>#NAME?</v>
      </c>
      <c r="HC6" s="1093" t="s">
        <v>5005</v>
      </c>
      <c r="HD6" s="1230"/>
      <c r="HE6" s="1068" t="str">
        <f t="shared" si="53"/>
        <v>#NAME?</v>
      </c>
      <c r="HF6" s="1078" t="s">
        <v>3397</v>
      </c>
      <c r="HG6" s="1071" t="str">
        <f t="shared" si="54"/>
        <v>#NAME?</v>
      </c>
      <c r="HH6" s="1073" t="str">
        <f t="shared" si="55"/>
        <v>#NAME?</v>
      </c>
      <c r="HI6" s="1093" t="s">
        <v>5005</v>
      </c>
      <c r="HJ6" s="1230"/>
      <c r="HK6" s="1268"/>
      <c r="HL6" s="1269" t="s">
        <v>5043</v>
      </c>
      <c r="HM6" s="12"/>
      <c r="HN6" s="962"/>
      <c r="HO6" s="1270" t="s">
        <v>4608</v>
      </c>
      <c r="HP6" s="65"/>
      <c r="HQ6" s="1056" t="str">
        <f t="shared" si="56"/>
        <v>#NAME?</v>
      </c>
      <c r="HR6" s="1123" t="s">
        <v>113</v>
      </c>
      <c r="HS6" s="1021" t="str">
        <f t="shared" si="57"/>
        <v>#NAME?</v>
      </c>
      <c r="HT6" s="1024" t="str">
        <f t="shared" si="58"/>
        <v>#NAME?</v>
      </c>
      <c r="HU6" s="1339" t="s">
        <v>5006</v>
      </c>
      <c r="HV6" s="65"/>
      <c r="HW6" s="1280"/>
      <c r="HX6" s="1281" t="s">
        <v>4908</v>
      </c>
      <c r="HY6" s="12"/>
      <c r="HZ6" s="962"/>
      <c r="IA6" s="1282" t="s">
        <v>4608</v>
      </c>
      <c r="IB6" s="65"/>
      <c r="IC6" s="1068" t="str">
        <f t="shared" si="59"/>
        <v>#NAME?</v>
      </c>
      <c r="ID6" s="1078" t="s">
        <v>1321</v>
      </c>
      <c r="IE6" s="1358" t="str">
        <f t="shared" si="60"/>
        <v>#NAME?</v>
      </c>
      <c r="IF6" s="1359" t="str">
        <f t="shared" si="61"/>
        <v>#NAME?</v>
      </c>
      <c r="IG6" s="1093" t="s">
        <v>5007</v>
      </c>
      <c r="II6" s="1027" t="str">
        <f t="shared" si="62"/>
        <v>#NAME?</v>
      </c>
      <c r="IJ6" s="1340" t="s">
        <v>4225</v>
      </c>
      <c r="IK6" s="1360" t="str">
        <f t="shared" si="63"/>
        <v>#NAME?</v>
      </c>
      <c r="IL6" s="1361" t="str">
        <f t="shared" si="64"/>
        <v>#NAME?</v>
      </c>
      <c r="IM6" s="1343" t="s">
        <v>5008</v>
      </c>
      <c r="IO6" s="1027" t="str">
        <f t="shared" si="65"/>
        <v>#NAME?</v>
      </c>
      <c r="IP6" s="1340" t="s">
        <v>4225</v>
      </c>
      <c r="IQ6" s="1360" t="str">
        <f t="shared" si="66"/>
        <v>#NAME?</v>
      </c>
      <c r="IR6" s="1361" t="str">
        <f t="shared" si="67"/>
        <v>#NAME?</v>
      </c>
      <c r="IS6" s="1362" t="s">
        <v>5008</v>
      </c>
      <c r="IT6" s="1230"/>
      <c r="IU6" s="997"/>
      <c r="IV6" s="1026"/>
      <c r="IW6" s="1026"/>
      <c r="IX6" s="1026"/>
      <c r="IY6" s="998"/>
      <c r="IZ6" s="1230"/>
      <c r="JA6" s="1193" t="str">
        <f t="shared" si="68"/>
        <v>#NAME?</v>
      </c>
      <c r="JB6" s="1363" t="s">
        <v>4111</v>
      </c>
      <c r="JC6" s="1146" t="str">
        <f t="shared" si="69"/>
        <v>#NAME?</v>
      </c>
      <c r="JD6" s="1148" t="str">
        <f t="shared" si="70"/>
        <v>#NAME?</v>
      </c>
      <c r="JE6" s="1364" t="s">
        <v>5008</v>
      </c>
      <c r="JF6" s="1230"/>
      <c r="JG6" s="1286"/>
      <c r="JH6" s="1259" t="s">
        <v>5048</v>
      </c>
      <c r="JI6" s="12"/>
      <c r="JJ6" s="962"/>
      <c r="JK6" s="1258" t="s">
        <v>4608</v>
      </c>
      <c r="JL6" s="1230"/>
      <c r="JO6" s="349"/>
      <c r="JP6" s="349"/>
      <c r="JQ6" s="349"/>
      <c r="JR6" s="1230"/>
      <c r="JS6" s="1266"/>
      <c r="JT6" s="1256" t="s">
        <v>5049</v>
      </c>
      <c r="JU6" s="1257" t="s">
        <v>4888</v>
      </c>
      <c r="JV6" s="962"/>
      <c r="JW6" s="1258" t="s">
        <v>4608</v>
      </c>
      <c r="JY6" s="1027" t="str">
        <f t="shared" si="71"/>
        <v>#NAME?</v>
      </c>
      <c r="JZ6" s="1365" t="s">
        <v>2065</v>
      </c>
      <c r="KA6" s="1360" t="str">
        <f t="shared" si="72"/>
        <v>#NAME?</v>
      </c>
      <c r="KB6" s="1361" t="str">
        <f t="shared" si="73"/>
        <v>#NAME?</v>
      </c>
      <c r="KC6" s="1343" t="s">
        <v>5010</v>
      </c>
      <c r="KE6" s="983" t="str">
        <f t="shared" ref="KE6:KE8" si="206">MONICON21(KF6)</f>
        <v>#NAME?</v>
      </c>
      <c r="KF6" s="1301" t="s">
        <v>2383</v>
      </c>
      <c r="KG6" s="1311" t="str">
        <f t="shared" ref="KG6:KG8" si="207">MONTYPEICON1(KF6)</f>
        <v>#NAME?</v>
      </c>
      <c r="KH6" s="1312" t="str">
        <f t="shared" ref="KH6:KH8" si="208">MONTYPEICON2(KF6)</f>
        <v>#NAME?</v>
      </c>
      <c r="KI6" s="1303" t="s">
        <v>5009</v>
      </c>
      <c r="KJ6" s="65"/>
      <c r="KK6" s="1068" t="str">
        <f t="shared" si="74"/>
        <v>#NAME?</v>
      </c>
      <c r="KL6" s="1076" t="s">
        <v>3911</v>
      </c>
      <c r="KM6" s="1358" t="str">
        <f t="shared" si="75"/>
        <v>#NAME?</v>
      </c>
      <c r="KN6" s="1359" t="str">
        <f t="shared" si="76"/>
        <v>#NAME?</v>
      </c>
      <c r="KO6" s="1093" t="s">
        <v>5010</v>
      </c>
      <c r="KQ6" s="983" t="str">
        <f t="shared" ref="KQ6:KQ10" si="209">MONICON21(KR6)</f>
        <v>#NAME?</v>
      </c>
      <c r="KR6" s="1031" t="s">
        <v>885</v>
      </c>
      <c r="KS6" s="977" t="str">
        <f t="shared" ref="KS6:KS10" si="210">MONTYPEICON1(KR6)</f>
        <v>#NAME?</v>
      </c>
      <c r="KT6" s="980" t="str">
        <f t="shared" ref="KT6:KT10" si="211">MONTYPEICON2(KR6)</f>
        <v>#NAME?</v>
      </c>
      <c r="KU6" s="1035" t="s">
        <v>5009</v>
      </c>
      <c r="KW6" s="1273"/>
      <c r="KX6" s="1274" t="s">
        <v>4908</v>
      </c>
      <c r="KY6" s="959"/>
      <c r="KZ6" s="957"/>
      <c r="LA6" s="1282" t="s">
        <v>4608</v>
      </c>
      <c r="LB6" s="442"/>
      <c r="LC6" s="1351" t="str">
        <f t="shared" si="77"/>
        <v>#NAME?</v>
      </c>
      <c r="LD6" s="1366" t="s">
        <v>2148</v>
      </c>
      <c r="LE6" s="1353" t="str">
        <f t="shared" si="78"/>
        <v>#NAME?</v>
      </c>
      <c r="LF6" s="1354" t="str">
        <f t="shared" si="79"/>
        <v>#NAME?</v>
      </c>
      <c r="LG6" s="1367" t="s">
        <v>5013</v>
      </c>
      <c r="LH6" s="65"/>
      <c r="LI6" s="1068" t="str">
        <f t="shared" si="80"/>
        <v>#NAME?</v>
      </c>
      <c r="LJ6" s="1076" t="s">
        <v>2116</v>
      </c>
      <c r="LK6" s="1358" t="str">
        <f t="shared" si="81"/>
        <v>#NAME?</v>
      </c>
      <c r="LL6" s="1359" t="str">
        <f t="shared" si="82"/>
        <v>#NAME?</v>
      </c>
      <c r="LM6" s="1368" t="s">
        <v>5014</v>
      </c>
      <c r="LN6" s="65"/>
      <c r="LO6" s="1105" t="str">
        <f t="shared" si="83"/>
        <v>#NAME?</v>
      </c>
      <c r="LP6" s="1079" t="s">
        <v>2156</v>
      </c>
      <c r="LQ6" s="1080" t="str">
        <f t="shared" si="84"/>
        <v>#NAME?</v>
      </c>
      <c r="LR6" s="1126" t="str">
        <f t="shared" si="85"/>
        <v>#NAME?</v>
      </c>
      <c r="LS6" s="1369" t="s">
        <v>5015</v>
      </c>
      <c r="LU6" s="997"/>
      <c r="LV6" s="1026"/>
      <c r="LW6" s="1026"/>
      <c r="LX6" s="1026"/>
      <c r="LY6" s="998"/>
      <c r="MA6" s="1346" t="str">
        <f t="shared" si="86"/>
        <v>#NAME?</v>
      </c>
      <c r="MB6" s="1370" t="s">
        <v>2185</v>
      </c>
      <c r="MC6" s="1348" t="str">
        <f t="shared" si="87"/>
        <v>#NAME?</v>
      </c>
      <c r="MD6" s="1349" t="str">
        <f t="shared" si="88"/>
        <v>#NAME?</v>
      </c>
      <c r="ME6" s="1371" t="s">
        <v>5015</v>
      </c>
      <c r="MG6" s="961" t="s">
        <v>5050</v>
      </c>
      <c r="MH6" s="12"/>
      <c r="MI6" s="48"/>
      <c r="MJ6" s="349"/>
      <c r="MM6" s="983" t="str">
        <f t="shared" ref="MM6:MM11" si="212">MONICON21(MN6)</f>
        <v>#NAME?</v>
      </c>
      <c r="MN6" s="1301" t="s">
        <v>3978</v>
      </c>
      <c r="MO6" s="977" t="str">
        <f t="shared" ref="MO6:MO11" si="213">MONTYPEICON1(MN6)</f>
        <v>#NAME?</v>
      </c>
      <c r="MP6" s="980" t="str">
        <f t="shared" ref="MP6:MP11" si="214">MONTYPEICON2(MN6)</f>
        <v>#NAME?</v>
      </c>
      <c r="MQ6" s="1318" t="s">
        <v>5051</v>
      </c>
      <c r="MS6" s="1351" t="str">
        <f t="shared" si="89"/>
        <v>#NAME?</v>
      </c>
      <c r="MT6" s="1372" t="s">
        <v>2458</v>
      </c>
      <c r="MU6" s="1353" t="str">
        <f t="shared" si="90"/>
        <v>#NAME?</v>
      </c>
      <c r="MV6" s="1354" t="str">
        <f t="shared" si="91"/>
        <v>#NAME?</v>
      </c>
      <c r="MW6" s="1367" t="s">
        <v>5015</v>
      </c>
      <c r="MY6" s="1351" t="str">
        <f t="shared" si="92"/>
        <v>#NAME?</v>
      </c>
      <c r="MZ6" s="1372" t="s">
        <v>4197</v>
      </c>
      <c r="NA6" s="1353" t="str">
        <f t="shared" si="93"/>
        <v>#NAME?</v>
      </c>
      <c r="NB6" s="1354" t="str">
        <f t="shared" si="94"/>
        <v>#NAME?</v>
      </c>
      <c r="NC6" s="1367" t="s">
        <v>5017</v>
      </c>
      <c r="ND6" s="442"/>
      <c r="NE6" s="1286"/>
      <c r="NF6" s="1256" t="s">
        <v>5052</v>
      </c>
      <c r="NG6" s="1285" t="s">
        <v>4888</v>
      </c>
      <c r="NH6" s="962"/>
      <c r="NI6" s="1258" t="s">
        <v>4608</v>
      </c>
      <c r="NK6" s="1068" t="str">
        <f t="shared" si="95"/>
        <v>#NAME?</v>
      </c>
      <c r="NL6" s="1076" t="s">
        <v>767</v>
      </c>
      <c r="NM6" s="1358" t="str">
        <f t="shared" si="96"/>
        <v>#NAME?</v>
      </c>
      <c r="NN6" s="1359" t="str">
        <f t="shared" si="97"/>
        <v>#NAME?</v>
      </c>
      <c r="NO6" s="1368" t="s">
        <v>5017</v>
      </c>
      <c r="NP6" s="442"/>
      <c r="NQ6" s="1105" t="str">
        <f t="shared" si="98"/>
        <v>#NAME?</v>
      </c>
      <c r="NR6" s="1079" t="s">
        <v>3722</v>
      </c>
      <c r="NS6" s="1373" t="str">
        <f t="shared" si="99"/>
        <v>#NAME?</v>
      </c>
      <c r="NT6" s="1374" t="str">
        <f t="shared" si="100"/>
        <v>#NAME?</v>
      </c>
      <c r="NU6" s="1369" t="s">
        <v>5018</v>
      </c>
      <c r="NW6" s="1375"/>
      <c r="NX6" s="1323" t="s">
        <v>5053</v>
      </c>
      <c r="NY6" s="12"/>
      <c r="NZ6" s="962"/>
      <c r="OA6" s="1345" t="s">
        <v>4608</v>
      </c>
      <c r="OB6" s="442"/>
      <c r="OC6" s="1068" t="str">
        <f t="shared" si="101"/>
        <v>#NAME?</v>
      </c>
      <c r="OD6" s="1076" t="s">
        <v>1242</v>
      </c>
      <c r="OE6" s="1358" t="str">
        <f t="shared" si="102"/>
        <v>#NAME?</v>
      </c>
      <c r="OF6" s="1359" t="str">
        <f t="shared" si="103"/>
        <v>#NAME?</v>
      </c>
      <c r="OG6" s="1368" t="s">
        <v>5019</v>
      </c>
      <c r="OH6" s="442"/>
      <c r="OI6" s="961" t="s">
        <v>5054</v>
      </c>
      <c r="OJ6" s="12"/>
      <c r="OK6" s="12"/>
      <c r="OL6" s="12"/>
      <c r="OM6" s="48"/>
      <c r="ON6" s="442"/>
      <c r="OO6" s="1068" t="str">
        <f t="shared" si="104"/>
        <v>#NAME?</v>
      </c>
      <c r="OP6" s="1076" t="s">
        <v>3603</v>
      </c>
      <c r="OQ6" s="1358" t="str">
        <f t="shared" si="105"/>
        <v>#NAME?</v>
      </c>
      <c r="OR6" s="1359" t="str">
        <f t="shared" si="106"/>
        <v>#NAME?</v>
      </c>
      <c r="OS6" s="1368" t="s">
        <v>5020</v>
      </c>
      <c r="OU6" s="1068" t="str">
        <f t="shared" si="107"/>
        <v>#NAME?</v>
      </c>
      <c r="OV6" s="1076" t="s">
        <v>1107</v>
      </c>
      <c r="OW6" s="1358" t="str">
        <f t="shared" si="108"/>
        <v>#NAME?</v>
      </c>
      <c r="OX6" s="1359" t="str">
        <f t="shared" si="109"/>
        <v>#NAME?</v>
      </c>
      <c r="OY6" s="1368" t="s">
        <v>5020</v>
      </c>
      <c r="PA6" s="961" t="s">
        <v>5055</v>
      </c>
      <c r="PB6" s="12"/>
      <c r="PC6" s="12"/>
      <c r="PD6" s="48"/>
      <c r="PF6" s="442"/>
      <c r="PG6" s="1068" t="str">
        <f t="shared" si="110"/>
        <v>#NAME?</v>
      </c>
      <c r="PH6" s="1076" t="s">
        <v>1901</v>
      </c>
      <c r="PI6" s="1358" t="str">
        <f t="shared" si="111"/>
        <v>#NAME?</v>
      </c>
      <c r="PJ6" s="1359" t="str">
        <f t="shared" si="112"/>
        <v>#NAME?</v>
      </c>
      <c r="PK6" s="1368" t="s">
        <v>5021</v>
      </c>
      <c r="PM6" s="1068" t="str">
        <f t="shared" si="113"/>
        <v>#NAME?</v>
      </c>
      <c r="PN6" s="1076" t="s">
        <v>493</v>
      </c>
      <c r="PO6" s="1358" t="str">
        <f t="shared" si="114"/>
        <v>#NAME?</v>
      </c>
      <c r="PP6" s="1359" t="str">
        <f t="shared" si="115"/>
        <v>#NAME?</v>
      </c>
      <c r="PQ6" s="1368" t="s">
        <v>5022</v>
      </c>
      <c r="PS6" s="1068" t="str">
        <f t="shared" si="116"/>
        <v>#NAME?</v>
      </c>
      <c r="PT6" s="1076" t="s">
        <v>1115</v>
      </c>
      <c r="PU6" s="1358" t="str">
        <f t="shared" si="117"/>
        <v>#NAME?</v>
      </c>
      <c r="PV6" s="1359" t="str">
        <f t="shared" si="118"/>
        <v>#NAME?</v>
      </c>
      <c r="PW6" s="1368" t="s">
        <v>5021</v>
      </c>
      <c r="PX6" s="442"/>
      <c r="PY6" s="1027" t="str">
        <f t="shared" si="119"/>
        <v>#NAME?</v>
      </c>
      <c r="PZ6" s="1340" t="s">
        <v>4225</v>
      </c>
      <c r="QA6" s="1360" t="str">
        <f t="shared" si="120"/>
        <v>#NAME?</v>
      </c>
      <c r="QB6" s="1361" t="str">
        <f t="shared" si="121"/>
        <v>#NAME?</v>
      </c>
      <c r="QC6" s="1376" t="s">
        <v>5023</v>
      </c>
      <c r="QD6" s="442"/>
      <c r="QE6" s="963" t="s">
        <v>5056</v>
      </c>
      <c r="QF6" s="12"/>
      <c r="QG6" s="12"/>
      <c r="QH6" s="12"/>
      <c r="QI6" s="48"/>
      <c r="QJ6" s="442"/>
      <c r="QM6" s="349"/>
      <c r="QN6" s="349"/>
      <c r="QP6" s="442"/>
      <c r="QQ6" s="442"/>
      <c r="QR6" s="442"/>
      <c r="QS6" s="108"/>
      <c r="QT6" s="108"/>
      <c r="QU6" s="442"/>
      <c r="QY6" s="108"/>
      <c r="QZ6" s="349"/>
      <c r="RB6" s="442"/>
      <c r="RE6" s="349"/>
      <c r="RF6" s="349"/>
      <c r="RH6" s="442"/>
      <c r="RK6" s="349"/>
      <c r="RL6" s="349"/>
      <c r="RN6" s="442"/>
      <c r="RO6" s="961" t="s">
        <v>5057</v>
      </c>
      <c r="RP6" s="12"/>
      <c r="RQ6" s="12"/>
      <c r="RR6" s="12"/>
      <c r="RS6" s="48"/>
      <c r="RT6" s="442"/>
      <c r="RU6" s="1056" t="str">
        <f t="shared" si="122"/>
        <v>#NAME?</v>
      </c>
      <c r="RV6" s="1377" t="s">
        <v>4190</v>
      </c>
      <c r="RW6" s="1021" t="str">
        <f t="shared" si="123"/>
        <v>#NAME?</v>
      </c>
      <c r="RX6" s="1024" t="str">
        <f t="shared" si="124"/>
        <v>#NAME?</v>
      </c>
      <c r="RY6" s="1378" t="s">
        <v>5024</v>
      </c>
      <c r="RZ6" s="442"/>
      <c r="SA6" s="961" t="s">
        <v>5058</v>
      </c>
      <c r="SB6" s="12"/>
      <c r="SC6" s="12"/>
      <c r="SD6" s="12"/>
      <c r="SE6" s="48"/>
      <c r="SF6" s="442"/>
      <c r="SG6" s="1266"/>
      <c r="SH6" s="1256" t="s">
        <v>5059</v>
      </c>
      <c r="SI6" s="1285" t="s">
        <v>4888</v>
      </c>
      <c r="SJ6" s="962"/>
      <c r="SK6" s="1004" t="s">
        <v>4608</v>
      </c>
      <c r="SL6" s="442"/>
      <c r="SM6" s="1068" t="str">
        <f t="shared" si="125"/>
        <v>#NAME?</v>
      </c>
      <c r="SN6" s="1076" t="s">
        <v>767</v>
      </c>
      <c r="SO6" s="1358" t="str">
        <f t="shared" si="126"/>
        <v>#NAME?</v>
      </c>
      <c r="SP6" s="1359" t="str">
        <f t="shared" si="127"/>
        <v>#NAME?</v>
      </c>
      <c r="SQ6" s="1368" t="s">
        <v>5025</v>
      </c>
      <c r="SS6" s="1266"/>
      <c r="ST6" s="1259" t="s">
        <v>5060</v>
      </c>
      <c r="SU6" s="12"/>
      <c r="SV6" s="962"/>
      <c r="SW6" s="1004" t="s">
        <v>4608</v>
      </c>
      <c r="SY6" s="1266"/>
      <c r="SZ6" s="1259" t="s">
        <v>5061</v>
      </c>
      <c r="TA6" s="12"/>
      <c r="TB6" s="962"/>
      <c r="TC6" s="1004" t="s">
        <v>4608</v>
      </c>
      <c r="TE6" s="1379"/>
      <c r="TF6" s="1380" t="s">
        <v>4985</v>
      </c>
      <c r="TG6" s="12"/>
      <c r="TH6" s="962"/>
      <c r="TI6" s="1381" t="s">
        <v>4608</v>
      </c>
      <c r="TK6" s="1068" t="str">
        <f t="shared" si="128"/>
        <v>#NAME?</v>
      </c>
      <c r="TL6" s="1076" t="s">
        <v>4091</v>
      </c>
      <c r="TM6" s="1358" t="str">
        <f t="shared" si="129"/>
        <v>#NAME?</v>
      </c>
      <c r="TN6" s="1359" t="str">
        <f t="shared" si="130"/>
        <v>#NAME?</v>
      </c>
      <c r="TO6" s="1368" t="s">
        <v>5026</v>
      </c>
      <c r="TQ6" s="1068" t="str">
        <f t="shared" si="131"/>
        <v>#NAME?</v>
      </c>
      <c r="TR6" s="1076" t="s">
        <v>2012</v>
      </c>
      <c r="TS6" s="1358" t="str">
        <f t="shared" si="132"/>
        <v>#NAME?</v>
      </c>
      <c r="TT6" s="1359" t="str">
        <f t="shared" si="133"/>
        <v>#NAME?</v>
      </c>
      <c r="TU6" s="1368" t="s">
        <v>5026</v>
      </c>
      <c r="TW6" s="961" t="s">
        <v>5062</v>
      </c>
      <c r="TX6" s="12"/>
      <c r="TY6" s="12"/>
      <c r="TZ6" s="48"/>
      <c r="UC6" s="977" t="str">
        <f t="shared" ref="UC6:UC11" si="215">MONICON21(UD6)</f>
        <v>#NAME?</v>
      </c>
      <c r="UD6" s="1301" t="s">
        <v>4010</v>
      </c>
      <c r="UE6" s="977" t="str">
        <f t="shared" ref="UE6:UE11" si="216">MONTYPEICON1(UD6)</f>
        <v>#NAME?</v>
      </c>
      <c r="UF6" s="980" t="str">
        <f t="shared" ref="UF6:UF11" si="217">MONTYPEICON2(UD6)</f>
        <v>#NAME?</v>
      </c>
      <c r="UG6" s="1303" t="s">
        <v>5063</v>
      </c>
      <c r="UI6" s="973" t="s">
        <v>5064</v>
      </c>
      <c r="UJ6" s="976"/>
      <c r="UK6" s="976"/>
      <c r="UL6" s="974"/>
      <c r="UM6" s="1382" t="s">
        <v>4608</v>
      </c>
      <c r="UO6" s="1383" t="str">
        <f t="shared" si="134"/>
        <v>#NAME?</v>
      </c>
      <c r="UP6" s="1384" t="s">
        <v>767</v>
      </c>
      <c r="UQ6" s="1383" t="str">
        <f t="shared" si="135"/>
        <v>#NAME?</v>
      </c>
      <c r="UR6" s="1385" t="str">
        <f t="shared" si="136"/>
        <v>#NAME?</v>
      </c>
      <c r="US6" s="1386" t="s">
        <v>5028</v>
      </c>
      <c r="UU6" s="1383" t="str">
        <f t="shared" si="137"/>
        <v>#NAME?</v>
      </c>
      <c r="UV6" s="1384" t="s">
        <v>474</v>
      </c>
      <c r="UW6" s="1383" t="str">
        <f t="shared" si="138"/>
        <v>#NAME?</v>
      </c>
      <c r="UX6" s="1385" t="str">
        <f t="shared" si="139"/>
        <v>#NAME?</v>
      </c>
      <c r="UY6" s="1386" t="s">
        <v>5029</v>
      </c>
      <c r="VA6" s="1387" t="str">
        <f t="shared" si="140"/>
        <v>#NAME?</v>
      </c>
      <c r="VB6" s="1388" t="s">
        <v>347</v>
      </c>
      <c r="VC6" s="1389" t="str">
        <f t="shared" si="141"/>
        <v>#NAME?</v>
      </c>
      <c r="VD6" s="1390" t="str">
        <f t="shared" si="142"/>
        <v>#NAME?</v>
      </c>
      <c r="VE6" s="1391" t="s">
        <v>5030</v>
      </c>
      <c r="VG6" s="1289" t="s">
        <v>4512</v>
      </c>
      <c r="VH6" s="12"/>
      <c r="VI6" s="12"/>
      <c r="VJ6" s="12"/>
      <c r="VK6" s="48"/>
      <c r="VL6" s="442"/>
      <c r="VM6" s="1387" t="str">
        <f t="shared" si="143"/>
        <v>#NAME?</v>
      </c>
      <c r="VN6" s="1388" t="s">
        <v>3736</v>
      </c>
      <c r="VO6" s="1387" t="str">
        <f t="shared" si="144"/>
        <v>#NAME?</v>
      </c>
      <c r="VP6" s="1392" t="str">
        <f t="shared" si="145"/>
        <v>#NAME?</v>
      </c>
      <c r="VQ6" s="1391" t="s">
        <v>5028</v>
      </c>
      <c r="VR6" s="442"/>
      <c r="VS6" s="1289" t="s">
        <v>5065</v>
      </c>
      <c r="VT6" s="12"/>
      <c r="VU6" s="12"/>
      <c r="VV6" s="12"/>
      <c r="VW6" s="48"/>
      <c r="VX6" s="442"/>
      <c r="VY6" s="1383" t="str">
        <f t="shared" si="146"/>
        <v>#NAME?</v>
      </c>
      <c r="VZ6" s="1384" t="s">
        <v>37</v>
      </c>
      <c r="WA6" s="1383" t="str">
        <f t="shared" si="147"/>
        <v>#NAME?</v>
      </c>
      <c r="WB6" s="1385" t="str">
        <f t="shared" si="148"/>
        <v>#NAME?</v>
      </c>
      <c r="WC6" s="1386" t="s">
        <v>5031</v>
      </c>
      <c r="WD6" s="442"/>
      <c r="WE6" s="1387" t="str">
        <f t="shared" si="149"/>
        <v>#NAME?</v>
      </c>
      <c r="WF6" s="1388" t="s">
        <v>1823</v>
      </c>
      <c r="WG6" s="1387" t="str">
        <f t="shared" si="150"/>
        <v>#NAME?</v>
      </c>
      <c r="WH6" s="1392" t="str">
        <f t="shared" si="151"/>
        <v>#NAME?</v>
      </c>
      <c r="WI6" s="1391" t="s">
        <v>5032</v>
      </c>
      <c r="WJ6" s="442"/>
      <c r="WK6" s="1294"/>
      <c r="WL6" s="1291" t="s">
        <v>5066</v>
      </c>
      <c r="WM6" s="12"/>
      <c r="WN6" s="962"/>
      <c r="WO6" s="1292" t="s">
        <v>4608</v>
      </c>
      <c r="WP6" s="442"/>
      <c r="WQ6" s="1295" t="s">
        <v>5067</v>
      </c>
      <c r="WR6" s="12"/>
      <c r="WS6" s="12"/>
      <c r="WT6" s="12"/>
      <c r="WU6" s="48"/>
      <c r="WV6" s="442"/>
      <c r="WW6" s="1393" t="s">
        <v>5068</v>
      </c>
      <c r="WX6" s="959"/>
      <c r="WY6" s="959"/>
      <c r="WZ6" s="959"/>
      <c r="XA6" s="957"/>
      <c r="XB6" s="442"/>
      <c r="XC6" s="1387" t="str">
        <f t="shared" si="152"/>
        <v>#NAME?</v>
      </c>
      <c r="XD6" s="1388" t="s">
        <v>364</v>
      </c>
      <c r="XE6" s="1387" t="str">
        <f t="shared" si="153"/>
        <v>#NAME?</v>
      </c>
      <c r="XF6" s="1392" t="str">
        <f t="shared" si="154"/>
        <v>#NAME?</v>
      </c>
      <c r="XG6" s="1391" t="s">
        <v>5069</v>
      </c>
      <c r="XH6" s="442"/>
      <c r="XI6" s="1387" t="str">
        <f t="shared" si="155"/>
        <v>#NAME?</v>
      </c>
      <c r="XJ6" s="1388" t="s">
        <v>1740</v>
      </c>
      <c r="XK6" s="1387" t="str">
        <f t="shared" si="156"/>
        <v>#NAME?</v>
      </c>
      <c r="XL6" s="1392" t="str">
        <f t="shared" si="157"/>
        <v>#NAME?</v>
      </c>
      <c r="XM6" s="1394" t="s">
        <v>5004</v>
      </c>
      <c r="XN6" s="442"/>
      <c r="XO6" s="963" t="s">
        <v>4531</v>
      </c>
      <c r="XP6" s="12"/>
      <c r="XQ6" s="12"/>
      <c r="XR6" s="12"/>
      <c r="XS6" s="48"/>
      <c r="XT6" s="442"/>
      <c r="XU6" s="1387" t="str">
        <f t="shared" si="158"/>
        <v>#NAME?</v>
      </c>
      <c r="XV6" s="1388" t="s">
        <v>3324</v>
      </c>
      <c r="XW6" s="1387" t="str">
        <f t="shared" si="159"/>
        <v>#NAME?</v>
      </c>
      <c r="XX6" s="1392" t="str">
        <f t="shared" si="160"/>
        <v>#NAME?</v>
      </c>
      <c r="XY6" s="1391" t="s">
        <v>5033</v>
      </c>
      <c r="XZ6" s="442"/>
      <c r="YA6" s="1387" t="str">
        <f t="shared" si="161"/>
        <v>#NAME?</v>
      </c>
      <c r="YB6" s="1388" t="s">
        <v>635</v>
      </c>
      <c r="YC6" s="1387" t="str">
        <f t="shared" si="162"/>
        <v>#NAME?</v>
      </c>
      <c r="YD6" s="1392" t="str">
        <f t="shared" si="163"/>
        <v>#NAME?</v>
      </c>
      <c r="YE6" s="1391" t="s">
        <v>5019</v>
      </c>
      <c r="YF6" s="442"/>
      <c r="YG6" s="1387" t="str">
        <f t="shared" si="164"/>
        <v>#NAME?</v>
      </c>
      <c r="YH6" s="1388" t="s">
        <v>1073</v>
      </c>
      <c r="YI6" s="1387" t="str">
        <f t="shared" si="165"/>
        <v>#NAME?</v>
      </c>
      <c r="YJ6" s="1392" t="str">
        <f t="shared" si="166"/>
        <v>#NAME?</v>
      </c>
      <c r="YK6" s="1391" t="s">
        <v>5034</v>
      </c>
      <c r="YL6" s="442"/>
      <c r="YM6" s="1387" t="str">
        <f t="shared" si="167"/>
        <v>#NAME?</v>
      </c>
      <c r="YN6" s="1395" t="s">
        <v>3460</v>
      </c>
      <c r="YO6" s="1387" t="str">
        <f t="shared" si="168"/>
        <v>#NAME?</v>
      </c>
      <c r="YP6" s="1392" t="str">
        <f t="shared" si="169"/>
        <v>#NAME?</v>
      </c>
      <c r="YQ6" s="1396" t="s">
        <v>5032</v>
      </c>
      <c r="YR6" s="442"/>
      <c r="YS6" s="1383" t="str">
        <f t="shared" si="170"/>
        <v>#NAME?</v>
      </c>
      <c r="YT6" s="1384" t="s">
        <v>2293</v>
      </c>
      <c r="YU6" s="1383" t="str">
        <f t="shared" si="171"/>
        <v>#NAME?</v>
      </c>
      <c r="YV6" s="1385" t="str">
        <f t="shared" si="172"/>
        <v>#NAME?</v>
      </c>
      <c r="YW6" s="1386" t="s">
        <v>5033</v>
      </c>
      <c r="YX6" s="442"/>
      <c r="YY6" s="1387" t="str">
        <f t="shared" si="173"/>
        <v>#NAME?</v>
      </c>
      <c r="YZ6" s="1388" t="s">
        <v>2125</v>
      </c>
      <c r="ZA6" s="1387" t="str">
        <f t="shared" si="174"/>
        <v>#NAME?</v>
      </c>
      <c r="ZB6" s="1392" t="str">
        <f t="shared" si="175"/>
        <v>#NAME?</v>
      </c>
      <c r="ZC6" s="1391" t="s">
        <v>5019</v>
      </c>
      <c r="ZD6" s="442"/>
      <c r="ZG6" s="349"/>
      <c r="ZH6" s="349"/>
      <c r="ZJ6" s="442"/>
      <c r="ZK6" s="1387" t="str">
        <f t="shared" si="176"/>
        <v>#NAME?</v>
      </c>
      <c r="ZL6" s="1388" t="s">
        <v>767</v>
      </c>
      <c r="ZM6" s="1387" t="str">
        <f t="shared" si="177"/>
        <v>#NAME?</v>
      </c>
      <c r="ZN6" s="1392" t="str">
        <f t="shared" si="178"/>
        <v>#NAME?</v>
      </c>
      <c r="ZO6" s="1391" t="s">
        <v>5025</v>
      </c>
      <c r="ZP6" s="442"/>
      <c r="ZQ6" s="1294"/>
      <c r="ZR6" s="1291" t="s">
        <v>5070</v>
      </c>
      <c r="ZS6" s="12"/>
      <c r="ZT6" s="962"/>
      <c r="ZU6" s="1292" t="s">
        <v>4608</v>
      </c>
      <c r="ZV6" s="442"/>
      <c r="ZW6" s="1383" t="str">
        <f t="shared" si="179"/>
        <v>#NAME?</v>
      </c>
      <c r="ZX6" s="1384" t="s">
        <v>1934</v>
      </c>
      <c r="ZY6" s="1383" t="str">
        <f t="shared" si="180"/>
        <v>#NAME?</v>
      </c>
      <c r="ZZ6" s="1385" t="str">
        <f t="shared" si="181"/>
        <v>#NAME?</v>
      </c>
      <c r="AAA6" s="1386" t="s">
        <v>5035</v>
      </c>
      <c r="AAB6" s="442"/>
      <c r="AAC6" s="1387" t="str">
        <f t="shared" si="182"/>
        <v>#NAME?</v>
      </c>
      <c r="AAD6" s="1388" t="s">
        <v>3113</v>
      </c>
      <c r="AAE6" s="1387" t="str">
        <f t="shared" si="183"/>
        <v>#NAME?</v>
      </c>
      <c r="AAF6" s="1392" t="str">
        <f t="shared" si="184"/>
        <v>#NAME?</v>
      </c>
      <c r="AAG6" s="1391" t="s">
        <v>5026</v>
      </c>
      <c r="AAH6" s="442"/>
      <c r="AAI6" s="997"/>
      <c r="AAJ6" s="1026"/>
      <c r="AAK6" s="1026"/>
      <c r="AAL6" s="1026"/>
      <c r="AAM6" s="1026"/>
      <c r="AAN6" s="1026"/>
      <c r="AAO6" s="1026"/>
      <c r="AAP6" s="1026"/>
      <c r="AAQ6" s="1026"/>
      <c r="AAR6" s="1026"/>
      <c r="AAS6" s="998"/>
      <c r="AAU6" s="1387" t="str">
        <f t="shared" si="185"/>
        <v>#NAME?</v>
      </c>
      <c r="AAV6" s="1388" t="s">
        <v>1452</v>
      </c>
      <c r="AAW6" s="1387" t="str">
        <f t="shared" si="186"/>
        <v>#NAME?</v>
      </c>
      <c r="AAX6" s="1392" t="str">
        <f t="shared" si="187"/>
        <v>#NAME?</v>
      </c>
      <c r="AAY6" s="1397" t="s">
        <v>5036</v>
      </c>
      <c r="ABA6" s="1387" t="str">
        <f t="shared" si="188"/>
        <v>#NAME?</v>
      </c>
      <c r="ABB6" s="1388" t="s">
        <v>1014</v>
      </c>
      <c r="ABC6" s="1387" t="str">
        <f t="shared" si="189"/>
        <v>#NAME?</v>
      </c>
      <c r="ABD6" s="1392" t="str">
        <f t="shared" si="190"/>
        <v>#NAME?</v>
      </c>
      <c r="ABE6" s="1397" t="s">
        <v>5036</v>
      </c>
      <c r="ABG6" s="1387" t="str">
        <f t="shared" si="191"/>
        <v>#NAME?</v>
      </c>
      <c r="ABH6" s="1388" t="s">
        <v>2091</v>
      </c>
      <c r="ABI6" s="1387" t="str">
        <f t="shared" si="192"/>
        <v>#NAME?</v>
      </c>
      <c r="ABJ6" s="1392" t="str">
        <f t="shared" si="193"/>
        <v>#NAME?</v>
      </c>
      <c r="ABK6" s="1397" t="s">
        <v>5036</v>
      </c>
      <c r="ABM6" s="1387" t="str">
        <f t="shared" si="194"/>
        <v>#NAME?</v>
      </c>
      <c r="ABN6" s="1388" t="s">
        <v>1073</v>
      </c>
      <c r="ABO6" s="1387" t="str">
        <f t="shared" si="195"/>
        <v>#NAME?</v>
      </c>
      <c r="ABP6" s="1392" t="str">
        <f t="shared" si="196"/>
        <v>#NAME?</v>
      </c>
      <c r="ABQ6" s="1397" t="s">
        <v>5036</v>
      </c>
      <c r="ABS6" s="1387" t="str">
        <f t="shared" si="197"/>
        <v>#NAME?</v>
      </c>
      <c r="ABT6" s="1388" t="s">
        <v>2056</v>
      </c>
      <c r="ABU6" s="1387" t="str">
        <f t="shared" si="198"/>
        <v>#NAME?</v>
      </c>
      <c r="ABV6" s="1392" t="str">
        <f t="shared" si="199"/>
        <v>#NAME?</v>
      </c>
      <c r="ABW6" s="1397" t="s">
        <v>5036</v>
      </c>
      <c r="ABY6" s="349"/>
      <c r="ACE6" s="1398" t="str">
        <f t="shared" si="1"/>
        <v/>
      </c>
      <c r="ACF6" s="1399" t="s">
        <v>5037</v>
      </c>
      <c r="ACG6" s="1400" t="s">
        <v>4608</v>
      </c>
      <c r="ACH6" s="1401" t="s">
        <v>4608</v>
      </c>
      <c r="ACI6" s="1402" t="s">
        <v>5038</v>
      </c>
      <c r="ACJ6" s="996"/>
    </row>
    <row r="7" ht="15.75" customHeight="1">
      <c r="A7" s="1230"/>
      <c r="B7" s="1403" t="str">
        <f>image("https://archives.bulbagarden.net/media/upload/9/94/Badge_Case_Roark_IV.png", 3)</f>
        <v/>
      </c>
      <c r="C7" s="1404" t="s">
        <v>5071</v>
      </c>
      <c r="D7" s="1382" t="s">
        <v>4608</v>
      </c>
      <c r="E7" s="1230"/>
      <c r="F7" s="1238"/>
      <c r="G7" s="1405" t="s">
        <v>5072</v>
      </c>
      <c r="H7" s="1230"/>
      <c r="I7" s="442"/>
      <c r="J7" s="442"/>
      <c r="K7" s="442"/>
      <c r="L7" s="442"/>
      <c r="M7" s="108"/>
      <c r="N7" s="1230"/>
      <c r="O7" s="349"/>
      <c r="T7" s="1230"/>
      <c r="U7" s="1255"/>
      <c r="V7" s="1256" t="s">
        <v>5073</v>
      </c>
      <c r="W7" s="1257" t="s">
        <v>4888</v>
      </c>
      <c r="X7" s="962"/>
      <c r="Y7" s="1258" t="s">
        <v>4608</v>
      </c>
      <c r="Z7" s="1230"/>
      <c r="AA7" s="1051" t="str">
        <f t="shared" si="5"/>
        <v>#NAME?</v>
      </c>
      <c r="AB7" s="1127" t="s">
        <v>2761</v>
      </c>
      <c r="AC7" s="1051" t="str">
        <f t="shared" si="6"/>
        <v>#NAME?</v>
      </c>
      <c r="AD7" s="1131" t="str">
        <f t="shared" si="7"/>
        <v>#NAME?</v>
      </c>
      <c r="AE7" s="1095" t="s">
        <v>4990</v>
      </c>
      <c r="AF7" s="1230"/>
      <c r="AG7" s="1051" t="str">
        <f t="shared" si="8"/>
        <v>#NAME?</v>
      </c>
      <c r="AH7" s="1127" t="s">
        <v>750</v>
      </c>
      <c r="AI7" s="1051" t="str">
        <f t="shared" si="9"/>
        <v>#NAME?</v>
      </c>
      <c r="AJ7" s="1131" t="str">
        <f t="shared" si="10"/>
        <v>#NAME?</v>
      </c>
      <c r="AK7" s="1095" t="s">
        <v>4991</v>
      </c>
      <c r="AL7" s="1230"/>
      <c r="AM7" s="1033" t="str">
        <f t="shared" ref="AM7:AM8" si="218">MONICON21(AN7)</f>
        <v>#NAME?</v>
      </c>
      <c r="AN7" s="1406" t="s">
        <v>3955</v>
      </c>
      <c r="AO7" s="949" t="str">
        <f t="shared" ref="AO7:AO8" si="219">MONTYPEICON1(AN7)</f>
        <v>#NAME?</v>
      </c>
      <c r="AP7" s="952" t="str">
        <f t="shared" ref="AP7:AP8" si="220">MONTYPEICON2(AN7)</f>
        <v>#NAME?</v>
      </c>
      <c r="AQ7" s="1305" t="s">
        <v>5074</v>
      </c>
      <c r="AR7" s="1230"/>
      <c r="AS7" s="961" t="s">
        <v>5075</v>
      </c>
      <c r="AT7" s="12"/>
      <c r="AU7" s="12"/>
      <c r="AV7" s="12"/>
      <c r="AW7" s="48"/>
      <c r="AX7" s="1230"/>
      <c r="AY7" s="1033" t="str">
        <f t="shared" ref="AY7:AY9" si="221">MONICON21(AZ7)</f>
        <v>#NAME?</v>
      </c>
      <c r="AZ7" s="1407" t="s">
        <v>848</v>
      </c>
      <c r="BA7" s="977" t="str">
        <f t="shared" ref="BA7:BA9" si="222">MONTYPEICON1(AZ7)</f>
        <v>#NAME?</v>
      </c>
      <c r="BB7" s="980" t="str">
        <f t="shared" ref="BB7:BB9" si="223">MONTYPEICON2(AZ7)</f>
        <v>#NAME?</v>
      </c>
      <c r="BC7" s="1408" t="s">
        <v>5076</v>
      </c>
      <c r="BD7" s="442"/>
      <c r="BE7" s="1033" t="str">
        <f t="shared" ref="BE7:BE10" si="224">MONICON21(BF7)</f>
        <v>#NAME?</v>
      </c>
      <c r="BF7" s="1407" t="s">
        <v>3886</v>
      </c>
      <c r="BG7" s="977" t="str">
        <f t="shared" ref="BG7:BG10" si="225">MONTYPEICON1(BF7)</f>
        <v>#NAME?</v>
      </c>
      <c r="BH7" s="980" t="str">
        <f t="shared" ref="BH7:BH10" si="226">MONTYPEICON2(BF7)</f>
        <v>#NAME?</v>
      </c>
      <c r="BI7" s="1408" t="s">
        <v>4994</v>
      </c>
      <c r="BJ7" s="1230"/>
      <c r="BK7" s="1409"/>
      <c r="BL7" s="1259" t="s">
        <v>5077</v>
      </c>
      <c r="BM7" s="12"/>
      <c r="BN7" s="962"/>
      <c r="BO7" s="1258" t="s">
        <v>4608</v>
      </c>
      <c r="BP7" s="442"/>
      <c r="BQ7" s="1051" t="str">
        <f t="shared" si="14"/>
        <v>#NAME?</v>
      </c>
      <c r="BR7" s="1410" t="s">
        <v>3468</v>
      </c>
      <c r="BS7" s="1051" t="str">
        <f t="shared" si="15"/>
        <v>#NAME?</v>
      </c>
      <c r="BT7" s="1131" t="str">
        <f t="shared" si="16"/>
        <v>#NAME?</v>
      </c>
      <c r="BU7" s="1411" t="s">
        <v>4994</v>
      </c>
      <c r="BV7" s="442"/>
      <c r="BW7" s="1051" t="str">
        <f t="shared" si="17"/>
        <v>#NAME?</v>
      </c>
      <c r="BX7" s="1410" t="s">
        <v>1816</v>
      </c>
      <c r="BY7" s="1051" t="str">
        <f t="shared" si="18"/>
        <v>#NAME?</v>
      </c>
      <c r="BZ7" s="1131" t="str">
        <f t="shared" si="19"/>
        <v>#NAME?</v>
      </c>
      <c r="CA7" s="1411" t="s">
        <v>4995</v>
      </c>
      <c r="CB7" s="1230"/>
      <c r="CC7" s="1051" t="str">
        <f t="shared" si="20"/>
        <v>#NAME?</v>
      </c>
      <c r="CD7" s="1127" t="s">
        <v>1842</v>
      </c>
      <c r="CE7" s="1051" t="str">
        <f t="shared" si="21"/>
        <v>#NAME?</v>
      </c>
      <c r="CF7" s="1131" t="str">
        <f t="shared" si="22"/>
        <v>#NAME?</v>
      </c>
      <c r="CG7" s="1095" t="s">
        <v>4996</v>
      </c>
      <c r="CH7" s="442"/>
      <c r="CI7" s="1280"/>
      <c r="CJ7" s="1307" t="s">
        <v>4908</v>
      </c>
      <c r="CK7" s="12"/>
      <c r="CL7" s="962"/>
      <c r="CM7" s="1282" t="s">
        <v>4608</v>
      </c>
      <c r="CN7" s="442"/>
      <c r="CO7" s="1412" t="str">
        <f t="shared" si="200"/>
        <v>#NAME?</v>
      </c>
      <c r="CP7" s="1366" t="s">
        <v>2798</v>
      </c>
      <c r="CQ7" s="1353" t="str">
        <f t="shared" si="201"/>
        <v>#NAME?</v>
      </c>
      <c r="CR7" s="1354" t="str">
        <f t="shared" si="202"/>
        <v>#NAME?</v>
      </c>
      <c r="CS7" s="1413" t="s">
        <v>4998</v>
      </c>
      <c r="CU7" s="1094" t="str">
        <f t="shared" si="23"/>
        <v>#NAME?</v>
      </c>
      <c r="CV7" s="1410" t="s">
        <v>2858</v>
      </c>
      <c r="CW7" s="1051" t="str">
        <f t="shared" si="24"/>
        <v>#NAME?</v>
      </c>
      <c r="CX7" s="1131" t="str">
        <f t="shared" si="25"/>
        <v>#NAME?</v>
      </c>
      <c r="CY7" s="1411" t="s">
        <v>4994</v>
      </c>
      <c r="CZ7" s="442"/>
      <c r="DA7" s="1012" t="str">
        <f t="shared" ref="DA7:DA8" si="227">MONICON21(DB7)</f>
        <v>#NAME?</v>
      </c>
      <c r="DB7" s="1304" t="s">
        <v>1161</v>
      </c>
      <c r="DC7" s="977" t="str">
        <f t="shared" ref="DC7:DC8" si="228">MONTYPEICON1(DB7)</f>
        <v>#NAME?</v>
      </c>
      <c r="DD7" s="980" t="str">
        <f t="shared" ref="DD7:DD8" si="229">MONTYPEICON2(DB7)</f>
        <v>#NAME?</v>
      </c>
      <c r="DE7" s="1305" t="s">
        <v>4999</v>
      </c>
      <c r="DF7" s="442"/>
      <c r="DG7" s="442"/>
      <c r="DH7" s="442"/>
      <c r="DI7" s="442"/>
      <c r="DJ7" s="442"/>
      <c r="DK7" s="442"/>
      <c r="DL7" s="442"/>
      <c r="DM7" s="1096" t="str">
        <f t="shared" si="29"/>
        <v>#NAME?</v>
      </c>
      <c r="DN7" s="1098" t="s">
        <v>4153</v>
      </c>
      <c r="DO7" s="1013" t="str">
        <f t="shared" si="30"/>
        <v>#NAME?</v>
      </c>
      <c r="DP7" s="1015" t="str">
        <f t="shared" si="31"/>
        <v>#NAME?</v>
      </c>
      <c r="DQ7" s="1414" t="s">
        <v>5000</v>
      </c>
      <c r="DR7" s="442"/>
      <c r="DS7" s="1012" t="str">
        <f t="shared" ref="DS7:DS11" si="230">MONICON21(DT7)</f>
        <v>#NAME?</v>
      </c>
      <c r="DT7" s="1301" t="s">
        <v>2519</v>
      </c>
      <c r="DU7" s="977" t="str">
        <f t="shared" ref="DU7:DU11" si="231">MONTYPEICON1(DT7)</f>
        <v>#NAME?</v>
      </c>
      <c r="DV7" s="980" t="str">
        <f t="shared" ref="DV7:DV11" si="232">MONTYPEICON2(DT7)</f>
        <v>#NAME?</v>
      </c>
      <c r="DW7" s="1303" t="s">
        <v>5078</v>
      </c>
      <c r="DX7" s="442"/>
      <c r="DY7" s="1094" t="str">
        <f t="shared" si="32"/>
        <v>#NAME?</v>
      </c>
      <c r="DZ7" s="1127" t="s">
        <v>3282</v>
      </c>
      <c r="EA7" s="1051" t="str">
        <f t="shared" si="33"/>
        <v>#NAME?</v>
      </c>
      <c r="EB7" s="1131" t="str">
        <f t="shared" si="34"/>
        <v>#NAME?</v>
      </c>
      <c r="EC7" s="1095" t="s">
        <v>4998</v>
      </c>
      <c r="ED7" s="442"/>
      <c r="EE7" s="1012" t="str">
        <f t="shared" ref="EE7:EE10" si="233">MONICON21(EF7)</f>
        <v>#NAME?</v>
      </c>
      <c r="EF7" s="1407" t="s">
        <v>3664</v>
      </c>
      <c r="EG7" s="977" t="str">
        <f t="shared" ref="EG7:EG10" si="234">MONTYPEICON1(EF7)</f>
        <v>#NAME?</v>
      </c>
      <c r="EH7" s="980" t="str">
        <f t="shared" ref="EH7:EH10" si="235">MONTYPEICON2(EF7)</f>
        <v>#NAME?</v>
      </c>
      <c r="EI7" s="1408" t="s">
        <v>5079</v>
      </c>
      <c r="EJ7" s="442"/>
      <c r="EK7" s="1280"/>
      <c r="EL7" s="1274" t="s">
        <v>4908</v>
      </c>
      <c r="EM7" s="959"/>
      <c r="EN7" s="957"/>
      <c r="EO7" s="1275" t="s">
        <v>4608</v>
      </c>
      <c r="EP7" s="442"/>
      <c r="EQ7" s="1049" t="str">
        <f t="shared" si="38"/>
        <v>#NAME?</v>
      </c>
      <c r="ER7" s="499" t="s">
        <v>1908</v>
      </c>
      <c r="ES7" s="1051" t="str">
        <f t="shared" si="39"/>
        <v>#NAME?</v>
      </c>
      <c r="ET7" s="1131" t="str">
        <f t="shared" si="40"/>
        <v>#NAME?</v>
      </c>
      <c r="EU7" s="1095" t="s">
        <v>5003</v>
      </c>
      <c r="EV7" s="442"/>
      <c r="EW7" s="985" t="str">
        <f>MONICON21(EX7)</f>
        <v>#NAME?</v>
      </c>
      <c r="EX7" s="41" t="s">
        <v>2789</v>
      </c>
      <c r="EY7" s="1092" t="str">
        <f>MONTYPEICON1(EX7)</f>
        <v>#NAME?</v>
      </c>
      <c r="EZ7" s="987" t="str">
        <f>MONTYPEICON2(EX7)</f>
        <v>#NAME?</v>
      </c>
      <c r="FA7" s="1091" t="s">
        <v>5078</v>
      </c>
      <c r="FB7" s="442"/>
      <c r="FC7" s="1096" t="str">
        <f t="shared" si="41"/>
        <v>#NAME?</v>
      </c>
      <c r="FD7" s="1415" t="s">
        <v>1714</v>
      </c>
      <c r="FE7" s="1013" t="str">
        <f t="shared" si="42"/>
        <v>#NAME?</v>
      </c>
      <c r="FF7" s="1015" t="str">
        <f t="shared" si="43"/>
        <v>#NAME?</v>
      </c>
      <c r="FG7" s="1416" t="s">
        <v>4998</v>
      </c>
      <c r="FH7" s="442"/>
      <c r="FI7" s="1068" t="str">
        <f t="shared" si="203"/>
        <v>#NAME?</v>
      </c>
      <c r="FJ7" s="1356" t="s">
        <v>2962</v>
      </c>
      <c r="FK7" s="1071" t="str">
        <f t="shared" si="204"/>
        <v>#NAME?</v>
      </c>
      <c r="FL7" s="1073" t="str">
        <f t="shared" si="205"/>
        <v>#NAME?</v>
      </c>
      <c r="FM7" s="1338" t="s">
        <v>5045</v>
      </c>
      <c r="FN7" s="442"/>
      <c r="FO7" s="442"/>
      <c r="FP7" s="442"/>
      <c r="FQ7" s="449"/>
      <c r="FR7" s="449"/>
      <c r="FS7" s="449"/>
      <c r="FT7" s="442"/>
      <c r="FU7" s="1266"/>
      <c r="FV7" s="1259" t="s">
        <v>5080</v>
      </c>
      <c r="FW7" s="12"/>
      <c r="FX7" s="962"/>
      <c r="FY7" s="1258" t="s">
        <v>4608</v>
      </c>
      <c r="FZ7" s="442"/>
      <c r="GA7" s="964" t="s">
        <v>5081</v>
      </c>
      <c r="GB7" s="12"/>
      <c r="GC7" s="12"/>
      <c r="GD7" s="12"/>
      <c r="GE7" s="48"/>
      <c r="GF7" s="442"/>
      <c r="GG7" s="983" t="str">
        <f t="shared" ref="GG7:GG9" si="236">MONICON21(GH7)</f>
        <v>#NAME?</v>
      </c>
      <c r="GH7" s="1301" t="s">
        <v>1152</v>
      </c>
      <c r="GI7" s="977" t="str">
        <f t="shared" ref="GI7:GI9" si="237">MONTYPEICON1(GH7)</f>
        <v>#NAME?</v>
      </c>
      <c r="GJ7" s="980" t="str">
        <f t="shared" ref="GJ7:GJ9" si="238">MONTYPEICON2(GH7)</f>
        <v>#NAME?</v>
      </c>
      <c r="GK7" s="1303" t="s">
        <v>5082</v>
      </c>
      <c r="GL7" s="1230"/>
      <c r="GM7" s="1094" t="str">
        <f t="shared" si="47"/>
        <v>#NAME?</v>
      </c>
      <c r="GN7" s="499" t="s">
        <v>1443</v>
      </c>
      <c r="GO7" s="1051" t="str">
        <f t="shared" si="48"/>
        <v>#NAME?</v>
      </c>
      <c r="GP7" s="1131" t="str">
        <f t="shared" si="49"/>
        <v>#NAME?</v>
      </c>
      <c r="GQ7" s="1095" t="s">
        <v>5001</v>
      </c>
      <c r="GR7" s="1230"/>
      <c r="GS7" s="985" t="str">
        <f>MONICON21(GT7)</f>
        <v>#NAME?</v>
      </c>
      <c r="GT7" s="1310" t="s">
        <v>1546</v>
      </c>
      <c r="GU7" s="1092" t="str">
        <f>MONTYPEICON1(GT7)</f>
        <v>#NAME?</v>
      </c>
      <c r="GV7" s="987" t="str">
        <f>MONTYPEICON2(GT7)</f>
        <v>#NAME?</v>
      </c>
      <c r="GW7" s="1309" t="s">
        <v>5004</v>
      </c>
      <c r="GX7" s="65"/>
      <c r="GY7" s="1094" t="str">
        <f t="shared" si="50"/>
        <v>#NAME?</v>
      </c>
      <c r="GZ7" s="499" t="s">
        <v>1209</v>
      </c>
      <c r="HA7" s="1051" t="str">
        <f t="shared" si="51"/>
        <v>#NAME?</v>
      </c>
      <c r="HB7" s="1131" t="str">
        <f t="shared" si="52"/>
        <v>#NAME?</v>
      </c>
      <c r="HC7" s="1095" t="s">
        <v>5005</v>
      </c>
      <c r="HD7" s="1230"/>
      <c r="HE7" s="1094" t="str">
        <f t="shared" si="53"/>
        <v>#NAME?</v>
      </c>
      <c r="HF7" s="499" t="s">
        <v>989</v>
      </c>
      <c r="HG7" s="1051" t="str">
        <f t="shared" si="54"/>
        <v>#NAME?</v>
      </c>
      <c r="HH7" s="1131" t="str">
        <f t="shared" si="55"/>
        <v>#NAME?</v>
      </c>
      <c r="HI7" s="1095" t="s">
        <v>5006</v>
      </c>
      <c r="HJ7" s="1230"/>
      <c r="HK7" s="1012" t="str">
        <f t="shared" ref="HK7:HK12" si="239">MONICON21(HL7)</f>
        <v>#NAME?</v>
      </c>
      <c r="HL7" s="1157" t="s">
        <v>3670</v>
      </c>
      <c r="HM7" s="1313" t="str">
        <f t="shared" ref="HM7:HM12" si="240">MONTYPEICON1(HL7)</f>
        <v>#NAME?</v>
      </c>
      <c r="HN7" s="1314" t="str">
        <f t="shared" ref="HN7:HN12" si="241">MONTYPEICON2(HL7)</f>
        <v>#NAME?</v>
      </c>
      <c r="HO7" s="1303" t="s">
        <v>5007</v>
      </c>
      <c r="HP7" s="65"/>
      <c r="HQ7" s="1094" t="str">
        <f t="shared" si="56"/>
        <v>#NAME?</v>
      </c>
      <c r="HR7" s="1127" t="s">
        <v>3379</v>
      </c>
      <c r="HS7" s="1051" t="str">
        <f t="shared" si="57"/>
        <v>#NAME?</v>
      </c>
      <c r="HT7" s="1131" t="str">
        <f t="shared" si="58"/>
        <v>#NAME?</v>
      </c>
      <c r="HU7" s="1095" t="s">
        <v>5006</v>
      </c>
      <c r="HV7" s="65"/>
      <c r="HW7" s="985" t="str">
        <f>MONICON21(HX7)</f>
        <v>#NAME?</v>
      </c>
      <c r="HX7" s="146" t="s">
        <v>4091</v>
      </c>
      <c r="HY7" s="1092" t="str">
        <f>MONTYPEICON1(HX7)</f>
        <v>#NAME?</v>
      </c>
      <c r="HZ7" s="987" t="str">
        <f>MONTYPEICON2(HX7)</f>
        <v>#NAME?</v>
      </c>
      <c r="IA7" s="1196" t="s">
        <v>5007</v>
      </c>
      <c r="IB7" s="65"/>
      <c r="IC7" s="1096" t="str">
        <f t="shared" si="59"/>
        <v>#NAME?</v>
      </c>
      <c r="ID7" s="89" t="s">
        <v>4244</v>
      </c>
      <c r="IE7" s="1417" t="str">
        <f t="shared" si="60"/>
        <v>#NAME?</v>
      </c>
      <c r="IF7" s="62" t="str">
        <f t="shared" si="61"/>
        <v>#NAME?</v>
      </c>
      <c r="IG7" s="1108" t="s">
        <v>5007</v>
      </c>
      <c r="II7" s="1012" t="str">
        <f t="shared" si="62"/>
        <v>#NAME?</v>
      </c>
      <c r="IJ7" s="1098" t="s">
        <v>474</v>
      </c>
      <c r="IK7" s="1418" t="str">
        <f t="shared" si="63"/>
        <v>#NAME?</v>
      </c>
      <c r="IL7" s="1419" t="str">
        <f t="shared" si="64"/>
        <v>#NAME?</v>
      </c>
      <c r="IM7" s="1108" t="s">
        <v>5008</v>
      </c>
      <c r="IO7" s="1012" t="str">
        <f t="shared" si="65"/>
        <v>#NAME?</v>
      </c>
      <c r="IP7" s="1415" t="s">
        <v>2030</v>
      </c>
      <c r="IQ7" s="1418" t="str">
        <f t="shared" si="66"/>
        <v>#NAME?</v>
      </c>
      <c r="IR7" s="1419" t="str">
        <f t="shared" si="67"/>
        <v>#NAME?</v>
      </c>
      <c r="IS7" s="1416" t="s">
        <v>5008</v>
      </c>
      <c r="IT7" s="1230"/>
      <c r="IU7" s="1230"/>
      <c r="IV7" s="1230"/>
      <c r="IW7" s="449"/>
      <c r="IX7" s="449"/>
      <c r="IY7" s="1230"/>
      <c r="IZ7" s="1230"/>
      <c r="JA7" s="1266"/>
      <c r="JB7" s="1259" t="s">
        <v>5083</v>
      </c>
      <c r="JC7" s="12"/>
      <c r="JD7" s="962"/>
      <c r="JE7" s="1258" t="s">
        <v>4608</v>
      </c>
      <c r="JF7" s="1230"/>
      <c r="JG7" s="983" t="str">
        <f t="shared" ref="JG7:JG9" si="242">MONICON21(JH7)</f>
        <v>#NAME?</v>
      </c>
      <c r="JH7" s="1157" t="s">
        <v>3843</v>
      </c>
      <c r="JI7" s="1311" t="str">
        <f t="shared" ref="JI7:JI9" si="243">MONTYPEICON1(JH7)</f>
        <v>#NAME?</v>
      </c>
      <c r="JJ7" s="1312" t="str">
        <f t="shared" ref="JJ7:JJ9" si="244">MONTYPEICON2(JH7)</f>
        <v>#NAME?</v>
      </c>
      <c r="JK7" s="1303" t="s">
        <v>5084</v>
      </c>
      <c r="JL7" s="1230"/>
      <c r="JM7" s="1266"/>
      <c r="JN7" s="1259" t="s">
        <v>5085</v>
      </c>
      <c r="JO7" s="12"/>
      <c r="JP7" s="962"/>
      <c r="JQ7" s="1258" t="s">
        <v>4608</v>
      </c>
      <c r="JR7" s="1230"/>
      <c r="JS7" s="1012" t="str">
        <f t="shared" ref="JS7:JS8" si="245">MONICON21(JT7)</f>
        <v>#NAME?</v>
      </c>
      <c r="JT7" s="1157" t="s">
        <v>3406</v>
      </c>
      <c r="JU7" s="977" t="str">
        <f t="shared" ref="JU7:JU8" si="246">MONTYPEICON1(JT7)</f>
        <v>#NAME?</v>
      </c>
      <c r="JV7" s="980" t="str">
        <f t="shared" ref="JV7:JV8" si="247">MONTYPEICON2(JT7)</f>
        <v>#NAME?</v>
      </c>
      <c r="JW7" s="1303" t="s">
        <v>5008</v>
      </c>
      <c r="JY7" s="1012" t="str">
        <f t="shared" si="71"/>
        <v>#NAME?</v>
      </c>
      <c r="JZ7" s="1149" t="s">
        <v>1452</v>
      </c>
      <c r="KA7" s="1418" t="str">
        <f t="shared" si="72"/>
        <v>#NAME?</v>
      </c>
      <c r="KB7" s="1419" t="str">
        <f t="shared" si="73"/>
        <v>#NAME?</v>
      </c>
      <c r="KC7" s="1108" t="s">
        <v>5010</v>
      </c>
      <c r="KE7" s="1068" t="str">
        <f t="shared" si="206"/>
        <v>#NAME?</v>
      </c>
      <c r="KF7" s="1076" t="s">
        <v>311</v>
      </c>
      <c r="KG7" s="1358" t="str">
        <f t="shared" si="207"/>
        <v>#NAME?</v>
      </c>
      <c r="KH7" s="1359" t="str">
        <f t="shared" si="208"/>
        <v>#NAME?</v>
      </c>
      <c r="KI7" s="1093" t="s">
        <v>5009</v>
      </c>
      <c r="KJ7" s="65"/>
      <c r="KK7" s="1094" t="str">
        <f t="shared" si="74"/>
        <v>#NAME?</v>
      </c>
      <c r="KL7" s="1127" t="s">
        <v>2849</v>
      </c>
      <c r="KM7" s="1420" t="str">
        <f t="shared" si="75"/>
        <v>#NAME?</v>
      </c>
      <c r="KN7" s="475" t="str">
        <f t="shared" si="76"/>
        <v>#NAME?</v>
      </c>
      <c r="KO7" s="1095" t="s">
        <v>5010</v>
      </c>
      <c r="KQ7" s="1056" t="str">
        <f t="shared" si="209"/>
        <v>#NAME?</v>
      </c>
      <c r="KR7" s="1089" t="s">
        <v>2816</v>
      </c>
      <c r="KS7" s="1021" t="str">
        <f t="shared" si="210"/>
        <v>#NAME?</v>
      </c>
      <c r="KT7" s="1024" t="str">
        <f t="shared" si="211"/>
        <v>#NAME?</v>
      </c>
      <c r="KU7" s="1024" t="s">
        <v>5009</v>
      </c>
      <c r="KW7" s="985" t="str">
        <f>MONICON21(KX7)</f>
        <v>#NAME?</v>
      </c>
      <c r="KX7" s="1063" t="s">
        <v>3941</v>
      </c>
      <c r="KY7" s="1092" t="str">
        <f>MONTYPEICON1(KX7)</f>
        <v>#NAME?</v>
      </c>
      <c r="KZ7" s="987" t="str">
        <f>MONTYPEICON2(KX7)</f>
        <v>#NAME?</v>
      </c>
      <c r="LA7" s="1421" t="s">
        <v>5086</v>
      </c>
      <c r="LB7" s="442"/>
      <c r="LC7" s="1012" t="str">
        <f t="shared" si="77"/>
        <v>#NAME?</v>
      </c>
      <c r="LD7" s="1304" t="s">
        <v>3978</v>
      </c>
      <c r="LE7" s="1013" t="str">
        <f t="shared" si="78"/>
        <v>#NAME?</v>
      </c>
      <c r="LF7" s="1015" t="str">
        <f t="shared" si="79"/>
        <v>#NAME?</v>
      </c>
      <c r="LG7" s="1318" t="s">
        <v>5013</v>
      </c>
      <c r="LH7" s="65"/>
      <c r="LI7" s="1094" t="str">
        <f t="shared" si="80"/>
        <v>#NAME?</v>
      </c>
      <c r="LJ7" s="1127" t="s">
        <v>2125</v>
      </c>
      <c r="LK7" s="1420" t="str">
        <f t="shared" si="81"/>
        <v>#NAME?</v>
      </c>
      <c r="LL7" s="475" t="str">
        <f t="shared" si="82"/>
        <v>#NAME?</v>
      </c>
      <c r="LM7" s="1422" t="s">
        <v>5013</v>
      </c>
      <c r="LN7" s="65"/>
      <c r="LQ7" s="349"/>
      <c r="LR7" s="349"/>
      <c r="LW7" s="349"/>
      <c r="LX7" s="349"/>
      <c r="MC7" s="349"/>
      <c r="MD7" s="349"/>
      <c r="MG7" s="1280"/>
      <c r="MH7" s="1281" t="s">
        <v>4908</v>
      </c>
      <c r="MI7" s="12"/>
      <c r="MJ7" s="962"/>
      <c r="MK7" s="1282" t="s">
        <v>4608</v>
      </c>
      <c r="MM7" s="1351" t="str">
        <f t="shared" si="212"/>
        <v>#NAME?</v>
      </c>
      <c r="MN7" s="1372" t="s">
        <v>2148</v>
      </c>
      <c r="MO7" s="1353" t="str">
        <f t="shared" si="213"/>
        <v>#NAME?</v>
      </c>
      <c r="MP7" s="1354" t="str">
        <f t="shared" si="214"/>
        <v>#NAME?</v>
      </c>
      <c r="MQ7" s="1367" t="s">
        <v>5051</v>
      </c>
      <c r="MS7" s="1049" t="str">
        <f t="shared" si="89"/>
        <v>#NAME?</v>
      </c>
      <c r="MT7" s="1127" t="s">
        <v>2075</v>
      </c>
      <c r="MU7" s="1348" t="str">
        <f t="shared" si="90"/>
        <v>#NAME?</v>
      </c>
      <c r="MV7" s="1349" t="str">
        <f t="shared" si="91"/>
        <v>#NAME?</v>
      </c>
      <c r="MW7" s="1422" t="s">
        <v>5015</v>
      </c>
      <c r="MX7" s="442"/>
      <c r="MY7" s="1012" t="str">
        <f t="shared" si="92"/>
        <v>#NAME?</v>
      </c>
      <c r="MZ7" s="1301" t="s">
        <v>3978</v>
      </c>
      <c r="NA7" s="1013" t="str">
        <f t="shared" si="93"/>
        <v>#NAME?</v>
      </c>
      <c r="NB7" s="1015" t="str">
        <f t="shared" si="94"/>
        <v>#NAME?</v>
      </c>
      <c r="NC7" s="1318" t="s">
        <v>5017</v>
      </c>
      <c r="ND7" s="442"/>
      <c r="NE7" s="983" t="str">
        <f t="shared" ref="NE7:NE9" si="248">MONICON21(NF7)</f>
        <v>#NAME?</v>
      </c>
      <c r="NF7" s="1301" t="s">
        <v>3722</v>
      </c>
      <c r="NG7" s="1311" t="str">
        <f t="shared" ref="NG7:NG9" si="249">MONTYPEICON1(NF7)</f>
        <v>#NAME?</v>
      </c>
      <c r="NH7" s="1312" t="str">
        <f t="shared" ref="NH7:NH9" si="250">MONTYPEICON2(NF7)</f>
        <v>#NAME?</v>
      </c>
      <c r="NI7" s="1318" t="s">
        <v>5017</v>
      </c>
      <c r="NK7" s="1094" t="str">
        <f t="shared" si="95"/>
        <v>#NAME?</v>
      </c>
      <c r="NL7" s="1127" t="s">
        <v>2163</v>
      </c>
      <c r="NM7" s="1420" t="str">
        <f t="shared" si="96"/>
        <v>#NAME?</v>
      </c>
      <c r="NN7" s="475" t="str">
        <f t="shared" si="97"/>
        <v>#NAME?</v>
      </c>
      <c r="NO7" s="1422" t="s">
        <v>5017</v>
      </c>
      <c r="NP7" s="442"/>
      <c r="NS7" s="349"/>
      <c r="NT7" s="349"/>
      <c r="NW7" s="983" t="str">
        <f t="shared" ref="NW7:NW12" si="251">MONICON21(NX7)</f>
        <v>#NAME?</v>
      </c>
      <c r="NX7" s="1301" t="s">
        <v>2418</v>
      </c>
      <c r="NY7" s="977" t="str">
        <f t="shared" ref="NY7:NY12" si="252">MONTYPEICON1(NX7)</f>
        <v>#NAME?</v>
      </c>
      <c r="NZ7" s="980" t="str">
        <f t="shared" ref="NZ7:NZ12" si="253">MONTYPEICON2(NX7)</f>
        <v>#NAME?</v>
      </c>
      <c r="OA7" s="1303" t="s">
        <v>5020</v>
      </c>
      <c r="OB7" s="442"/>
      <c r="OC7" s="1094" t="str">
        <f t="shared" si="101"/>
        <v>#NAME?</v>
      </c>
      <c r="OD7" s="1127" t="s">
        <v>2133</v>
      </c>
      <c r="OE7" s="1420" t="str">
        <f t="shared" si="102"/>
        <v>#NAME?</v>
      </c>
      <c r="OF7" s="475" t="str">
        <f t="shared" si="103"/>
        <v>#NAME?</v>
      </c>
      <c r="OG7" s="1422" t="s">
        <v>5019</v>
      </c>
      <c r="OH7" s="442"/>
      <c r="OK7" s="349"/>
      <c r="OL7" s="349"/>
      <c r="ON7" s="442"/>
      <c r="OO7" s="1096" t="str">
        <f t="shared" si="104"/>
        <v>#NAME?</v>
      </c>
      <c r="OP7" s="1098" t="s">
        <v>1264</v>
      </c>
      <c r="OQ7" s="1417" t="str">
        <f t="shared" si="105"/>
        <v>#NAME?</v>
      </c>
      <c r="OR7" s="62" t="str">
        <f t="shared" si="106"/>
        <v>#NAME?</v>
      </c>
      <c r="OS7" s="1423" t="s">
        <v>5020</v>
      </c>
      <c r="OT7" s="65"/>
      <c r="OU7" s="1096" t="str">
        <f t="shared" si="107"/>
        <v>#NAME?</v>
      </c>
      <c r="OV7" s="1098" t="s">
        <v>4098</v>
      </c>
      <c r="OW7" s="1417" t="str">
        <f t="shared" si="108"/>
        <v>#NAME?</v>
      </c>
      <c r="OX7" s="62" t="str">
        <f t="shared" si="109"/>
        <v>#NAME?</v>
      </c>
      <c r="OY7" s="1423" t="s">
        <v>5020</v>
      </c>
      <c r="PC7" s="349"/>
      <c r="PD7" s="349"/>
      <c r="PF7" s="442"/>
      <c r="PG7" s="1094" t="str">
        <f t="shared" si="110"/>
        <v>#NAME?</v>
      </c>
      <c r="PH7" s="1127" t="s">
        <v>2185</v>
      </c>
      <c r="PI7" s="1420" t="str">
        <f t="shared" si="111"/>
        <v>#NAME?</v>
      </c>
      <c r="PJ7" s="475" t="str">
        <f t="shared" si="112"/>
        <v>#NAME?</v>
      </c>
      <c r="PK7" s="1422" t="s">
        <v>5021</v>
      </c>
      <c r="PM7" s="1094" t="str">
        <f t="shared" si="113"/>
        <v>#NAME?</v>
      </c>
      <c r="PN7" s="1127" t="s">
        <v>2046</v>
      </c>
      <c r="PO7" s="1420" t="str">
        <f t="shared" si="114"/>
        <v>#NAME?</v>
      </c>
      <c r="PP7" s="475" t="str">
        <f t="shared" si="115"/>
        <v>#NAME?</v>
      </c>
      <c r="PQ7" s="1422" t="s">
        <v>5022</v>
      </c>
      <c r="PS7" s="1096" t="str">
        <f t="shared" si="116"/>
        <v>#NAME?</v>
      </c>
      <c r="PT7" s="1098" t="s">
        <v>1125</v>
      </c>
      <c r="PU7" s="1417" t="str">
        <f t="shared" si="117"/>
        <v>#NAME?</v>
      </c>
      <c r="PV7" s="62" t="str">
        <f t="shared" si="118"/>
        <v>#NAME?</v>
      </c>
      <c r="PW7" s="1423" t="s">
        <v>5021</v>
      </c>
      <c r="PY7" s="1012" t="str">
        <f t="shared" si="119"/>
        <v>#NAME?</v>
      </c>
      <c r="PZ7" s="1098" t="s">
        <v>474</v>
      </c>
      <c r="QA7" s="1418" t="str">
        <f t="shared" si="120"/>
        <v>#NAME?</v>
      </c>
      <c r="QB7" s="1419" t="str">
        <f t="shared" si="121"/>
        <v>#NAME?</v>
      </c>
      <c r="QC7" s="1423" t="s">
        <v>5023</v>
      </c>
      <c r="QD7" s="442"/>
      <c r="QG7" s="349"/>
      <c r="QH7" s="349"/>
      <c r="QJ7" s="442"/>
      <c r="QK7" s="1344"/>
      <c r="QL7" s="1323" t="s">
        <v>5087</v>
      </c>
      <c r="QM7" s="12"/>
      <c r="QN7" s="962"/>
      <c r="QO7" s="1345" t="s">
        <v>4608</v>
      </c>
      <c r="QP7" s="442"/>
      <c r="QQ7" s="1344"/>
      <c r="QR7" s="1323" t="s">
        <v>5088</v>
      </c>
      <c r="QS7" s="12"/>
      <c r="QT7" s="962"/>
      <c r="QU7" s="1345" t="s">
        <v>4608</v>
      </c>
      <c r="QW7" s="1375"/>
      <c r="QX7" s="1323" t="s">
        <v>5089</v>
      </c>
      <c r="QY7" s="12"/>
      <c r="QZ7" s="962"/>
      <c r="RA7" s="1345" t="s">
        <v>4608</v>
      </c>
      <c r="RB7" s="442"/>
      <c r="RC7" s="1375"/>
      <c r="RD7" s="1323" t="s">
        <v>5090</v>
      </c>
      <c r="RE7" s="12"/>
      <c r="RF7" s="962"/>
      <c r="RG7" s="1345" t="s">
        <v>4608</v>
      </c>
      <c r="RH7" s="442"/>
      <c r="RI7" s="1375"/>
      <c r="RJ7" s="1323" t="s">
        <v>5091</v>
      </c>
      <c r="RK7" s="12"/>
      <c r="RL7" s="962"/>
      <c r="RM7" s="1345" t="s">
        <v>4608</v>
      </c>
      <c r="RN7" s="442"/>
      <c r="RQ7" s="349"/>
      <c r="RR7" s="349"/>
      <c r="RT7" s="442"/>
      <c r="RU7" s="1096" t="str">
        <f t="shared" si="122"/>
        <v>#NAME?</v>
      </c>
      <c r="RV7" s="1157" t="s">
        <v>1443</v>
      </c>
      <c r="RW7" s="1013" t="str">
        <f t="shared" si="123"/>
        <v>#NAME?</v>
      </c>
      <c r="RX7" s="1015" t="str">
        <f t="shared" si="124"/>
        <v>#NAME?</v>
      </c>
      <c r="RY7" s="1321" t="s">
        <v>5024</v>
      </c>
      <c r="RZ7" s="442"/>
      <c r="SA7" s="1260"/>
      <c r="SB7" s="1261" t="s">
        <v>4892</v>
      </c>
      <c r="SC7" s="959"/>
      <c r="SD7" s="957"/>
      <c r="SE7" s="1262" t="s">
        <v>4608</v>
      </c>
      <c r="SG7" s="985" t="str">
        <f>MONICON21(SH7)</f>
        <v>#NAME?</v>
      </c>
      <c r="SH7" s="1229" t="s">
        <v>1328</v>
      </c>
      <c r="SI7" s="22" t="str">
        <f>MONTYPEICON1(SH7)</f>
        <v>#NAME?</v>
      </c>
      <c r="SJ7" s="24" t="str">
        <f>MONTYPEICON2(SH7)</f>
        <v>#NAME?</v>
      </c>
      <c r="SK7" s="1424" t="s">
        <v>5026</v>
      </c>
      <c r="SL7" s="442"/>
      <c r="SM7" s="1094" t="str">
        <f t="shared" si="125"/>
        <v>#NAME?</v>
      </c>
      <c r="SN7" s="1127" t="s">
        <v>673</v>
      </c>
      <c r="SO7" s="1420" t="str">
        <f t="shared" si="126"/>
        <v>#NAME?</v>
      </c>
      <c r="SP7" s="475" t="str">
        <f t="shared" si="127"/>
        <v>#NAME?</v>
      </c>
      <c r="SQ7" s="1422" t="s">
        <v>5025</v>
      </c>
      <c r="SS7" s="983" t="str">
        <f t="shared" ref="SS7:SS9" si="254">MONICON21(ST7)</f>
        <v>#NAME?</v>
      </c>
      <c r="ST7" s="1301" t="s">
        <v>2458</v>
      </c>
      <c r="SU7" s="1311" t="str">
        <f t="shared" ref="SU7:SU9" si="255">MONTYPEICON1(ST7)</f>
        <v>#NAME?</v>
      </c>
      <c r="SV7" s="1312" t="str">
        <f t="shared" ref="SV7:SV9" si="256">MONTYPEICON2(ST7)</f>
        <v>#NAME?</v>
      </c>
      <c r="SW7" s="1318" t="s">
        <v>5025</v>
      </c>
      <c r="SY7" s="983" t="str">
        <f t="shared" ref="SY7:SY10" si="257">MONICON21(SZ7)</f>
        <v>#NAME?</v>
      </c>
      <c r="SZ7" s="1301" t="s">
        <v>1047</v>
      </c>
      <c r="TA7" s="1311" t="str">
        <f t="shared" ref="TA7:TA10" si="258">MONTYPEICON1(SZ7)</f>
        <v>#NAME?</v>
      </c>
      <c r="TB7" s="1312" t="str">
        <f t="shared" ref="TB7:TB10" si="259">MONTYPEICON2(SZ7)</f>
        <v>#NAME?</v>
      </c>
      <c r="TC7" s="1318" t="s">
        <v>5032</v>
      </c>
      <c r="TE7" s="983" t="str">
        <f t="shared" ref="TE7:TE12" si="260">MONICON21(TF7)</f>
        <v>#NAME?</v>
      </c>
      <c r="TF7" s="1425" t="s">
        <v>3000</v>
      </c>
      <c r="TG7" s="1311" t="str">
        <f t="shared" ref="TG7:TG12" si="261">MONTYPEICON1(TF7)</f>
        <v>#NAME?</v>
      </c>
      <c r="TH7" s="1312" t="str">
        <f t="shared" ref="TH7:TH12" si="262">MONTYPEICON2(TF7)</f>
        <v>#NAME?</v>
      </c>
      <c r="TI7" s="1426" t="s">
        <v>5092</v>
      </c>
      <c r="TK7" s="1094" t="str">
        <f t="shared" si="128"/>
        <v>#NAME?</v>
      </c>
      <c r="TL7" s="1127" t="s">
        <v>2752</v>
      </c>
      <c r="TM7" s="1420" t="str">
        <f t="shared" si="129"/>
        <v>#NAME?</v>
      </c>
      <c r="TN7" s="475" t="str">
        <f t="shared" si="130"/>
        <v>#NAME?</v>
      </c>
      <c r="TO7" s="1422" t="s">
        <v>5026</v>
      </c>
      <c r="TQ7" s="1094" t="str">
        <f t="shared" si="131"/>
        <v>#NAME?</v>
      </c>
      <c r="TR7" s="1127" t="s">
        <v>1778</v>
      </c>
      <c r="TS7" s="1420" t="str">
        <f t="shared" si="132"/>
        <v>#NAME?</v>
      </c>
      <c r="TT7" s="475" t="str">
        <f t="shared" si="133"/>
        <v>#NAME?</v>
      </c>
      <c r="TU7" s="1422" t="s">
        <v>5026</v>
      </c>
      <c r="TW7" s="1427"/>
      <c r="TX7" s="1323" t="s">
        <v>5042</v>
      </c>
      <c r="TY7" s="12"/>
      <c r="TZ7" s="962"/>
      <c r="UA7" s="1324" t="s">
        <v>4608</v>
      </c>
      <c r="UC7" s="1428" t="str">
        <f t="shared" si="215"/>
        <v>#NAME?</v>
      </c>
      <c r="UD7" s="1429" t="s">
        <v>4190</v>
      </c>
      <c r="UE7" s="1428" t="str">
        <f t="shared" si="216"/>
        <v>#NAME?</v>
      </c>
      <c r="UF7" s="1430" t="str">
        <f t="shared" si="217"/>
        <v>#NAME?</v>
      </c>
      <c r="UG7" s="1431" t="s">
        <v>5063</v>
      </c>
      <c r="UI7" s="1155"/>
      <c r="UL7" s="539"/>
      <c r="UM7" s="1432"/>
      <c r="UO7" s="1290"/>
      <c r="UP7" s="1291" t="s">
        <v>5093</v>
      </c>
      <c r="UQ7" s="12"/>
      <c r="UR7" s="962"/>
      <c r="US7" s="1292" t="s">
        <v>4608</v>
      </c>
      <c r="UU7" s="1293"/>
      <c r="UV7" s="1291" t="s">
        <v>5094</v>
      </c>
      <c r="UW7" s="12"/>
      <c r="UX7" s="962"/>
      <c r="UY7" s="1292" t="s">
        <v>4608</v>
      </c>
      <c r="VA7" s="1051" t="str">
        <f t="shared" si="140"/>
        <v>#NAME?</v>
      </c>
      <c r="VB7" s="1127" t="s">
        <v>364</v>
      </c>
      <c r="VC7" s="1130" t="str">
        <f t="shared" si="141"/>
        <v>#NAME?</v>
      </c>
      <c r="VD7" s="1433" t="str">
        <f t="shared" si="142"/>
        <v>#NAME?</v>
      </c>
      <c r="VE7" s="1095" t="s">
        <v>5030</v>
      </c>
      <c r="VG7" s="442"/>
      <c r="VH7" s="442"/>
      <c r="VI7" s="442"/>
      <c r="VJ7" s="442"/>
      <c r="VK7" s="442"/>
      <c r="VL7" s="442"/>
      <c r="VM7" s="1051" t="str">
        <f t="shared" si="143"/>
        <v>#NAME?</v>
      </c>
      <c r="VN7" s="1127" t="s">
        <v>793</v>
      </c>
      <c r="VO7" s="1051" t="str">
        <f t="shared" si="144"/>
        <v>#NAME?</v>
      </c>
      <c r="VP7" s="1131" t="str">
        <f t="shared" si="145"/>
        <v>#NAME?</v>
      </c>
      <c r="VQ7" s="1095" t="s">
        <v>5028</v>
      </c>
      <c r="VR7" s="442"/>
      <c r="VS7" s="442"/>
      <c r="VT7" s="442"/>
      <c r="VU7" s="442"/>
      <c r="VV7" s="442"/>
      <c r="VW7" s="442"/>
      <c r="VX7" s="442"/>
      <c r="VY7" s="108"/>
      <c r="VZ7" s="442"/>
      <c r="WA7" s="442"/>
      <c r="WB7" s="442"/>
      <c r="WC7" s="442"/>
      <c r="WD7" s="442"/>
      <c r="WE7" s="1051" t="str">
        <f t="shared" si="149"/>
        <v>#NAME?</v>
      </c>
      <c r="WF7" s="1127" t="s">
        <v>3176</v>
      </c>
      <c r="WG7" s="1051" t="str">
        <f t="shared" si="150"/>
        <v>#NAME?</v>
      </c>
      <c r="WH7" s="1131" t="str">
        <f t="shared" si="151"/>
        <v>#NAME?</v>
      </c>
      <c r="WI7" s="1095" t="s">
        <v>5032</v>
      </c>
      <c r="WJ7" s="442"/>
      <c r="WK7" s="977" t="str">
        <f t="shared" ref="WK7:WK9" si="263">MONICON21(WL7)</f>
        <v>#NAME?</v>
      </c>
      <c r="WL7" s="1301" t="s">
        <v>4132</v>
      </c>
      <c r="WM7" s="977" t="str">
        <f t="shared" ref="WM7:WM9" si="264">MONTYPEICON1(WL7)</f>
        <v>#NAME?</v>
      </c>
      <c r="WN7" s="980" t="str">
        <f t="shared" ref="WN7:WN9" si="265">MONTYPEICON2(WL7)</f>
        <v>#NAME?</v>
      </c>
      <c r="WO7" s="1303" t="s">
        <v>5019</v>
      </c>
      <c r="WP7" s="442"/>
      <c r="WV7" s="442"/>
      <c r="WW7" s="442"/>
      <c r="WX7" s="442"/>
      <c r="WY7" s="442"/>
      <c r="WZ7" s="442"/>
      <c r="XA7" s="442"/>
      <c r="XB7" s="442"/>
      <c r="XC7" s="1051" t="str">
        <f t="shared" si="152"/>
        <v>#NAME?</v>
      </c>
      <c r="XD7" s="1127" t="s">
        <v>364</v>
      </c>
      <c r="XE7" s="1051" t="str">
        <f t="shared" si="153"/>
        <v>#NAME?</v>
      </c>
      <c r="XF7" s="1131" t="str">
        <f t="shared" si="154"/>
        <v>#NAME?</v>
      </c>
      <c r="XG7" s="1095" t="s">
        <v>5069</v>
      </c>
      <c r="XH7" s="442"/>
      <c r="XI7" s="1013" t="str">
        <f t="shared" si="155"/>
        <v>#NAME?</v>
      </c>
      <c r="XJ7" s="1098" t="s">
        <v>458</v>
      </c>
      <c r="XK7" s="1013" t="str">
        <f t="shared" si="156"/>
        <v>#NAME?</v>
      </c>
      <c r="XL7" s="1015" t="str">
        <f t="shared" si="157"/>
        <v>#NAME?</v>
      </c>
      <c r="XM7" s="1434" t="s">
        <v>5004</v>
      </c>
      <c r="XN7" s="442"/>
      <c r="XO7" s="442"/>
      <c r="XP7" s="442"/>
      <c r="XQ7" s="442"/>
      <c r="XR7" s="442"/>
      <c r="XS7" s="442"/>
      <c r="XT7" s="442"/>
      <c r="XU7" s="1051" t="str">
        <f t="shared" si="158"/>
        <v>#NAME?</v>
      </c>
      <c r="XV7" s="1127" t="s">
        <v>1968</v>
      </c>
      <c r="XW7" s="1051" t="str">
        <f t="shared" si="159"/>
        <v>#NAME?</v>
      </c>
      <c r="XX7" s="1131" t="str">
        <f t="shared" si="160"/>
        <v>#NAME?</v>
      </c>
      <c r="XY7" s="1095" t="s">
        <v>5033</v>
      </c>
      <c r="XZ7" s="442"/>
      <c r="YA7" s="1051" t="str">
        <f t="shared" si="161"/>
        <v>#NAME?</v>
      </c>
      <c r="YB7" s="1127" t="s">
        <v>3941</v>
      </c>
      <c r="YC7" s="1051" t="str">
        <f t="shared" si="162"/>
        <v>#NAME?</v>
      </c>
      <c r="YD7" s="1131" t="str">
        <f t="shared" si="163"/>
        <v>#NAME?</v>
      </c>
      <c r="YE7" s="1095" t="s">
        <v>5019</v>
      </c>
      <c r="YF7" s="442"/>
      <c r="YG7" s="1051" t="str">
        <f t="shared" si="164"/>
        <v>#NAME?</v>
      </c>
      <c r="YH7" s="1127" t="s">
        <v>2217</v>
      </c>
      <c r="YI7" s="1051" t="str">
        <f t="shared" si="165"/>
        <v>#NAME?</v>
      </c>
      <c r="YJ7" s="1131" t="str">
        <f t="shared" si="166"/>
        <v>#NAME?</v>
      </c>
      <c r="YK7" s="1095" t="s">
        <v>5034</v>
      </c>
      <c r="YL7" s="442"/>
      <c r="YM7" s="1013" t="str">
        <f t="shared" si="167"/>
        <v>#NAME?</v>
      </c>
      <c r="YN7" s="1435" t="s">
        <v>3059</v>
      </c>
      <c r="YO7" s="1013" t="str">
        <f t="shared" si="168"/>
        <v>#NAME?</v>
      </c>
      <c r="YP7" s="1015" t="str">
        <f t="shared" si="169"/>
        <v>#NAME?</v>
      </c>
      <c r="YQ7" s="1436" t="s">
        <v>5032</v>
      </c>
      <c r="YR7" s="442"/>
      <c r="YS7" s="108"/>
      <c r="YT7" s="442"/>
      <c r="YU7" s="108"/>
      <c r="YV7" s="108"/>
      <c r="YW7" s="442"/>
      <c r="YX7" s="442"/>
      <c r="YY7" s="1051" t="str">
        <f t="shared" si="173"/>
        <v>#NAME?</v>
      </c>
      <c r="YZ7" s="1127" t="s">
        <v>4225</v>
      </c>
      <c r="ZA7" s="1051" t="str">
        <f t="shared" si="174"/>
        <v>#NAME?</v>
      </c>
      <c r="ZB7" s="1131" t="str">
        <f t="shared" si="175"/>
        <v>#NAME?</v>
      </c>
      <c r="ZC7" s="1095" t="s">
        <v>5019</v>
      </c>
      <c r="ZD7" s="442"/>
      <c r="ZE7" s="1289" t="s">
        <v>4762</v>
      </c>
      <c r="ZF7" s="12"/>
      <c r="ZG7" s="12"/>
      <c r="ZH7" s="12"/>
      <c r="ZI7" s="48"/>
      <c r="ZJ7" s="442"/>
      <c r="ZK7" s="1051" t="str">
        <f t="shared" si="176"/>
        <v>#NAME?</v>
      </c>
      <c r="ZL7" s="1127" t="s">
        <v>2163</v>
      </c>
      <c r="ZM7" s="1051" t="str">
        <f t="shared" si="177"/>
        <v>#NAME?</v>
      </c>
      <c r="ZN7" s="1131" t="str">
        <f t="shared" si="178"/>
        <v>#NAME?</v>
      </c>
      <c r="ZO7" s="1095" t="s">
        <v>5025</v>
      </c>
      <c r="ZP7" s="442"/>
      <c r="ZQ7" s="977" t="str">
        <f t="shared" ref="ZQ7:ZQ10" si="266">MONICON21(ZR7)</f>
        <v>#NAME?</v>
      </c>
      <c r="ZR7" s="1325" t="s">
        <v>969</v>
      </c>
      <c r="ZS7" s="977" t="str">
        <f t="shared" ref="ZS7:ZS10" si="267">MONTYPEICON1(ZR7)</f>
        <v>#NAME?</v>
      </c>
      <c r="ZT7" s="980" t="str">
        <f t="shared" ref="ZT7:ZT10" si="268">MONTYPEICON2(ZR7)</f>
        <v>#NAME?</v>
      </c>
      <c r="ZU7" s="1326" t="s">
        <v>5092</v>
      </c>
      <c r="ZV7" s="442"/>
      <c r="ZW7" s="108"/>
      <c r="ZX7" s="442"/>
      <c r="ZY7" s="108"/>
      <c r="ZZ7" s="108"/>
      <c r="AAA7" s="442"/>
      <c r="AAB7" s="442"/>
      <c r="AAC7" s="1051" t="str">
        <f t="shared" si="182"/>
        <v>#NAME?</v>
      </c>
      <c r="AAD7" s="1127" t="s">
        <v>3649</v>
      </c>
      <c r="AAE7" s="1051" t="str">
        <f t="shared" si="183"/>
        <v>#NAME?</v>
      </c>
      <c r="AAF7" s="1131" t="str">
        <f t="shared" si="184"/>
        <v>#NAME?</v>
      </c>
      <c r="AAG7" s="1095" t="s">
        <v>5026</v>
      </c>
      <c r="AAH7" s="442"/>
      <c r="AAI7" s="349"/>
      <c r="AAK7" s="349"/>
      <c r="AAL7" s="349"/>
      <c r="AAO7" s="349"/>
      <c r="AAQ7" s="349"/>
      <c r="AAR7" s="349"/>
      <c r="AAU7" s="1033" t="str">
        <f t="shared" si="185"/>
        <v>#NAME?</v>
      </c>
      <c r="AAV7" s="1098" t="s">
        <v>3896</v>
      </c>
      <c r="AAW7" s="1013" t="str">
        <f t="shared" si="186"/>
        <v>#NAME?</v>
      </c>
      <c r="AAX7" s="1015" t="str">
        <f t="shared" si="187"/>
        <v>#NAME?</v>
      </c>
      <c r="AAY7" s="1423" t="s">
        <v>5036</v>
      </c>
      <c r="ABA7" s="1033" t="str">
        <f t="shared" si="188"/>
        <v>#NAME?</v>
      </c>
      <c r="ABB7" s="1098" t="s">
        <v>1091</v>
      </c>
      <c r="ABC7" s="1013" t="str">
        <f t="shared" si="189"/>
        <v>#NAME?</v>
      </c>
      <c r="ABD7" s="1015" t="str">
        <f t="shared" si="190"/>
        <v>#NAME?</v>
      </c>
      <c r="ABE7" s="1423" t="s">
        <v>5036</v>
      </c>
      <c r="ABG7" s="1033" t="str">
        <f t="shared" si="191"/>
        <v>#NAME?</v>
      </c>
      <c r="ABH7" s="1098" t="s">
        <v>3485</v>
      </c>
      <c r="ABI7" s="1013" t="str">
        <f t="shared" si="192"/>
        <v>#NAME?</v>
      </c>
      <c r="ABJ7" s="1015" t="str">
        <f t="shared" si="193"/>
        <v>#NAME?</v>
      </c>
      <c r="ABK7" s="1423" t="s">
        <v>5036</v>
      </c>
      <c r="ABM7" s="1033" t="str">
        <f t="shared" si="194"/>
        <v>#NAME?</v>
      </c>
      <c r="ABN7" s="1098" t="s">
        <v>2393</v>
      </c>
      <c r="ABO7" s="1013" t="str">
        <f t="shared" si="195"/>
        <v>#NAME?</v>
      </c>
      <c r="ABP7" s="1015" t="str">
        <f t="shared" si="196"/>
        <v>#NAME?</v>
      </c>
      <c r="ABQ7" s="1423" t="s">
        <v>5036</v>
      </c>
      <c r="ABS7" s="1033" t="str">
        <f t="shared" si="197"/>
        <v>#NAME?</v>
      </c>
      <c r="ABT7" s="1098" t="s">
        <v>1916</v>
      </c>
      <c r="ABU7" s="1013" t="str">
        <f t="shared" si="198"/>
        <v>#NAME?</v>
      </c>
      <c r="ABV7" s="1015" t="str">
        <f t="shared" si="199"/>
        <v>#NAME?</v>
      </c>
      <c r="ABW7" s="1423" t="s">
        <v>5036</v>
      </c>
      <c r="ABY7" s="1437"/>
      <c r="ABZ7" s="1438" t="s">
        <v>5095</v>
      </c>
      <c r="ACA7" s="1439"/>
      <c r="ACB7" s="1440"/>
      <c r="ACC7" s="1441" t="s">
        <v>4608</v>
      </c>
      <c r="ACE7" s="1442" t="str">
        <f t="shared" si="1"/>
        <v/>
      </c>
      <c r="ACF7" s="1443" t="s">
        <v>5037</v>
      </c>
      <c r="ACG7" s="1013" t="s">
        <v>4608</v>
      </c>
      <c r="ACH7" s="1015" t="s">
        <v>4608</v>
      </c>
      <c r="ACI7" s="1423" t="s">
        <v>5038</v>
      </c>
      <c r="ACJ7" s="996"/>
    </row>
    <row r="8" ht="15.75" customHeight="1">
      <c r="A8" s="1230"/>
      <c r="B8" s="1444"/>
      <c r="C8" s="1445"/>
      <c r="D8" s="1446"/>
      <c r="E8" s="1230"/>
      <c r="F8" s="1238"/>
      <c r="G8" s="1254"/>
      <c r="H8" s="1230"/>
      <c r="I8" s="1447"/>
      <c r="J8" s="1269" t="s">
        <v>5043</v>
      </c>
      <c r="K8" s="12"/>
      <c r="L8" s="962"/>
      <c r="M8" s="1270" t="s">
        <v>4608</v>
      </c>
      <c r="N8" s="1230"/>
      <c r="O8" s="1255"/>
      <c r="P8" s="1259" t="s">
        <v>5096</v>
      </c>
      <c r="Q8" s="12"/>
      <c r="R8" s="962"/>
      <c r="S8" s="1258" t="s">
        <v>4608</v>
      </c>
      <c r="T8" s="1230"/>
      <c r="U8" s="1033" t="str">
        <f t="shared" ref="U8:U10" si="269">MONICON21(V8)</f>
        <v>#NAME?</v>
      </c>
      <c r="V8" s="1301" t="s">
        <v>543</v>
      </c>
      <c r="W8" s="977" t="str">
        <f t="shared" ref="W8:W10" si="270">MONTYPEICON1(V8)</f>
        <v>#NAME?</v>
      </c>
      <c r="X8" s="980" t="str">
        <f t="shared" ref="X8:X10" si="271">MONTYPEICON2(V8)</f>
        <v>#NAME?</v>
      </c>
      <c r="Y8" s="1303" t="s">
        <v>5097</v>
      </c>
      <c r="Z8" s="1230"/>
      <c r="AA8" s="1255"/>
      <c r="AB8" s="1256" t="s">
        <v>5098</v>
      </c>
      <c r="AC8" s="1257" t="s">
        <v>4888</v>
      </c>
      <c r="AD8" s="962"/>
      <c r="AE8" s="1258" t="s">
        <v>4608</v>
      </c>
      <c r="AF8" s="1230"/>
      <c r="AL8" s="1230"/>
      <c r="AM8" s="1448" t="str">
        <f t="shared" si="218"/>
        <v>#NAME?</v>
      </c>
      <c r="AN8" s="1449" t="s">
        <v>2495</v>
      </c>
      <c r="AO8" s="1348" t="str">
        <f t="shared" si="219"/>
        <v>#NAME?</v>
      </c>
      <c r="AP8" s="1349" t="str">
        <f t="shared" si="220"/>
        <v>#NAME?</v>
      </c>
      <c r="AQ8" s="1450" t="s">
        <v>5074</v>
      </c>
      <c r="AR8" s="1230"/>
      <c r="AS8" s="442"/>
      <c r="AT8" s="442"/>
      <c r="AU8" s="442"/>
      <c r="AV8" s="442"/>
      <c r="AW8" s="108"/>
      <c r="AX8" s="1230"/>
      <c r="AY8" s="1071" t="str">
        <f t="shared" si="221"/>
        <v>#NAME?</v>
      </c>
      <c r="AZ8" s="1356" t="s">
        <v>1763</v>
      </c>
      <c r="BA8" s="1071" t="str">
        <f t="shared" si="222"/>
        <v>#NAME?</v>
      </c>
      <c r="BB8" s="1073" t="str">
        <f t="shared" si="223"/>
        <v>#NAME?</v>
      </c>
      <c r="BC8" s="1338" t="s">
        <v>5076</v>
      </c>
      <c r="BD8" s="442"/>
      <c r="BE8" s="1038" t="str">
        <f t="shared" si="224"/>
        <v>#NAME?</v>
      </c>
      <c r="BF8" s="1451" t="s">
        <v>2743</v>
      </c>
      <c r="BG8" s="1038" t="str">
        <f t="shared" si="225"/>
        <v>#NAME?</v>
      </c>
      <c r="BH8" s="1040" t="str">
        <f t="shared" si="226"/>
        <v>#NAME?</v>
      </c>
      <c r="BI8" s="1452" t="s">
        <v>4994</v>
      </c>
      <c r="BJ8" s="1230"/>
      <c r="BK8" s="1033" t="str">
        <f t="shared" ref="BK8:BK9" si="272">MONICON21(BL8)</f>
        <v>#NAME?</v>
      </c>
      <c r="BL8" s="1304" t="s">
        <v>3948</v>
      </c>
      <c r="BM8" s="977" t="str">
        <f t="shared" ref="BM8:BM9" si="273">MONTYPEICON1(BL8)</f>
        <v>#NAME?</v>
      </c>
      <c r="BN8" s="980" t="str">
        <f t="shared" ref="BN8:BN9" si="274">MONTYPEICON2(BL8)</f>
        <v>#NAME?</v>
      </c>
      <c r="BO8" s="1305" t="s">
        <v>4993</v>
      </c>
      <c r="BP8" s="442"/>
      <c r="BQ8" s="349"/>
      <c r="BV8" s="442"/>
      <c r="BW8" s="349"/>
      <c r="CB8" s="1230"/>
      <c r="CC8" s="108"/>
      <c r="CD8" s="65"/>
      <c r="CE8" s="442"/>
      <c r="CF8" s="442"/>
      <c r="CG8" s="108"/>
      <c r="CH8" s="442"/>
      <c r="CI8" s="1012" t="str">
        <f t="shared" ref="CI8:CI9" si="275">MONICON21(CJ8)</f>
        <v>#NAME?</v>
      </c>
      <c r="CJ8" s="1406" t="s">
        <v>1657</v>
      </c>
      <c r="CK8" s="949" t="str">
        <f t="shared" ref="CK8:CK9" si="276">MONTYPEICON1(CJ8)</f>
        <v>#NAME?</v>
      </c>
      <c r="CL8" s="952" t="str">
        <f t="shared" ref="CL8:CL9" si="277">MONTYPEICON2(CJ8)</f>
        <v>#NAME?</v>
      </c>
      <c r="CM8" s="1305" t="s">
        <v>5099</v>
      </c>
      <c r="CN8" s="442"/>
      <c r="CO8" s="1012" t="str">
        <f t="shared" si="200"/>
        <v>#NAME?</v>
      </c>
      <c r="CP8" s="1415" t="s">
        <v>1191</v>
      </c>
      <c r="CQ8" s="1013" t="str">
        <f t="shared" si="201"/>
        <v>#NAME?</v>
      </c>
      <c r="CR8" s="1015" t="str">
        <f t="shared" si="202"/>
        <v>#NAME?</v>
      </c>
      <c r="CS8" s="1416" t="s">
        <v>4998</v>
      </c>
      <c r="CZ8" s="442"/>
      <c r="DA8" s="1193" t="str">
        <f t="shared" si="227"/>
        <v>#NAME?</v>
      </c>
      <c r="DB8" s="1335" t="s">
        <v>1816</v>
      </c>
      <c r="DC8" s="1146" t="str">
        <f t="shared" si="228"/>
        <v>#NAME?</v>
      </c>
      <c r="DD8" s="1148" t="str">
        <f t="shared" si="229"/>
        <v>#NAME?</v>
      </c>
      <c r="DE8" s="1336" t="s">
        <v>4999</v>
      </c>
      <c r="DF8" s="442"/>
      <c r="DG8" s="1266"/>
      <c r="DH8" s="1256" t="s">
        <v>5100</v>
      </c>
      <c r="DI8" s="1257" t="s">
        <v>4888</v>
      </c>
      <c r="DJ8" s="962"/>
      <c r="DK8" s="1267" t="s">
        <v>4608</v>
      </c>
      <c r="DL8" s="442"/>
      <c r="DM8" s="1027" t="str">
        <f t="shared" si="29"/>
        <v>#NAME?</v>
      </c>
      <c r="DN8" s="1453" t="s">
        <v>3620</v>
      </c>
      <c r="DO8" s="1454" t="str">
        <f t="shared" si="30"/>
        <v>#NAME?</v>
      </c>
      <c r="DP8" s="1455" t="str">
        <f t="shared" si="31"/>
        <v>#NAME?</v>
      </c>
      <c r="DQ8" s="1456" t="s">
        <v>5045</v>
      </c>
      <c r="DR8" s="442"/>
      <c r="DS8" s="1457" t="str">
        <f t="shared" si="230"/>
        <v>#NAME?</v>
      </c>
      <c r="DT8" s="1429" t="s">
        <v>2503</v>
      </c>
      <c r="DU8" s="1428" t="str">
        <f t="shared" si="231"/>
        <v>#NAME?</v>
      </c>
      <c r="DV8" s="1430" t="str">
        <f t="shared" si="232"/>
        <v>#NAME?</v>
      </c>
      <c r="DW8" s="1431" t="s">
        <v>5078</v>
      </c>
      <c r="DX8" s="442"/>
      <c r="ED8" s="442"/>
      <c r="EE8" s="1027" t="str">
        <f t="shared" si="233"/>
        <v>#NAME?</v>
      </c>
      <c r="EF8" s="1458" t="s">
        <v>2065</v>
      </c>
      <c r="EG8" s="1341" t="str">
        <f t="shared" si="234"/>
        <v>#NAME?</v>
      </c>
      <c r="EH8" s="1342" t="str">
        <f t="shared" si="235"/>
        <v>#NAME?</v>
      </c>
      <c r="EI8" s="1362" t="s">
        <v>5079</v>
      </c>
      <c r="EJ8" s="442"/>
      <c r="EK8" s="983" t="str">
        <f t="shared" ref="EK8:EK9" si="278">MONICON21(EL8)</f>
        <v>#NAME?</v>
      </c>
      <c r="EL8" s="38" t="s">
        <v>3130</v>
      </c>
      <c r="EM8" s="949" t="str">
        <f t="shared" ref="EM8:EM9" si="279">MONTYPEICON1(EL8)</f>
        <v>#NAME?</v>
      </c>
      <c r="EN8" s="952" t="str">
        <f t="shared" ref="EN8:EN9" si="280">MONTYPEICON2(EL8)</f>
        <v>#NAME?</v>
      </c>
      <c r="EO8" s="1043" t="s">
        <v>5000</v>
      </c>
      <c r="EP8" s="442"/>
      <c r="EQ8" s="1459"/>
      <c r="ER8" s="1274" t="s">
        <v>5016</v>
      </c>
      <c r="ES8" s="959"/>
      <c r="ET8" s="957"/>
      <c r="EU8" s="1275" t="s">
        <v>4608</v>
      </c>
      <c r="EV8" s="442"/>
      <c r="EW8" s="1460"/>
      <c r="EX8" s="1256" t="s">
        <v>5101</v>
      </c>
      <c r="EY8" s="1257" t="s">
        <v>4888</v>
      </c>
      <c r="EZ8" s="962"/>
      <c r="FA8" s="1258" t="s">
        <v>4608</v>
      </c>
      <c r="FB8" s="442"/>
      <c r="FC8" s="1068" t="str">
        <f t="shared" si="41"/>
        <v>#NAME?</v>
      </c>
      <c r="FD8" s="1356" t="s">
        <v>1722</v>
      </c>
      <c r="FE8" s="1071" t="str">
        <f t="shared" si="42"/>
        <v>#NAME?</v>
      </c>
      <c r="FF8" s="1073" t="str">
        <f t="shared" si="43"/>
        <v>#NAME?</v>
      </c>
      <c r="FG8" s="1338" t="s">
        <v>4998</v>
      </c>
      <c r="FH8" s="442"/>
      <c r="FI8" s="1096" t="str">
        <f t="shared" si="203"/>
        <v>#NAME?</v>
      </c>
      <c r="FJ8" s="1415" t="s">
        <v>3984</v>
      </c>
      <c r="FK8" s="1013" t="str">
        <f t="shared" si="204"/>
        <v>#NAME?</v>
      </c>
      <c r="FL8" s="1015" t="str">
        <f t="shared" si="205"/>
        <v>#NAME?</v>
      </c>
      <c r="FM8" s="1416" t="s">
        <v>5045</v>
      </c>
      <c r="FN8" s="442"/>
      <c r="FO8" s="1266"/>
      <c r="FP8" s="1259" t="s">
        <v>5102</v>
      </c>
      <c r="FQ8" s="12"/>
      <c r="FR8" s="962"/>
      <c r="FS8" s="1258" t="s">
        <v>4608</v>
      </c>
      <c r="FT8" s="442"/>
      <c r="FU8" s="1012" t="str">
        <f t="shared" ref="FU8:FU9" si="281">MONICON21(FV8)</f>
        <v>#NAME?</v>
      </c>
      <c r="FV8" s="1157" t="s">
        <v>2410</v>
      </c>
      <c r="FW8" s="977" t="str">
        <f t="shared" ref="FW8:FW9" si="282">MONTYPEICON1(FV8)</f>
        <v>#NAME?</v>
      </c>
      <c r="FX8" s="980" t="str">
        <f t="shared" ref="FX8:FX9" si="283">MONTYPEICON2(FV8)</f>
        <v>#NAME?</v>
      </c>
      <c r="FY8" s="1303" t="s">
        <v>5003</v>
      </c>
      <c r="FZ8" s="442"/>
      <c r="GA8" s="442"/>
      <c r="GB8" s="442"/>
      <c r="GC8" s="108"/>
      <c r="GD8" s="108"/>
      <c r="GE8" s="442"/>
      <c r="GF8" s="442"/>
      <c r="GG8" s="1351" t="str">
        <f t="shared" si="236"/>
        <v>#NAME?</v>
      </c>
      <c r="GH8" s="1372" t="s">
        <v>535</v>
      </c>
      <c r="GI8" s="1353" t="str">
        <f t="shared" si="237"/>
        <v>#NAME?</v>
      </c>
      <c r="GJ8" s="1354" t="str">
        <f t="shared" si="238"/>
        <v>#NAME?</v>
      </c>
      <c r="GK8" s="1355" t="s">
        <v>5082</v>
      </c>
      <c r="GL8" s="1230"/>
      <c r="GM8" s="442"/>
      <c r="GN8" s="442"/>
      <c r="GO8" s="108"/>
      <c r="GP8" s="108"/>
      <c r="GQ8" s="108"/>
      <c r="GR8" s="1230"/>
      <c r="GU8" s="349"/>
      <c r="GV8" s="349"/>
      <c r="GX8" s="65"/>
      <c r="HA8" s="349"/>
      <c r="HB8" s="349"/>
      <c r="HD8" s="1230"/>
      <c r="HG8" s="349"/>
      <c r="HH8" s="349"/>
      <c r="HJ8" s="1230"/>
      <c r="HK8" s="1027" t="str">
        <f t="shared" si="239"/>
        <v>#NAME?</v>
      </c>
      <c r="HL8" s="1461" t="s">
        <v>2065</v>
      </c>
      <c r="HM8" s="1360" t="str">
        <f t="shared" si="240"/>
        <v>#NAME?</v>
      </c>
      <c r="HN8" s="1361" t="str">
        <f t="shared" si="241"/>
        <v>#NAME?</v>
      </c>
      <c r="HO8" s="1343" t="s">
        <v>5007</v>
      </c>
      <c r="HP8" s="65"/>
      <c r="HQ8" s="65"/>
      <c r="HR8" s="65"/>
      <c r="HS8" s="108"/>
      <c r="HT8" s="108"/>
      <c r="HU8" s="108"/>
      <c r="HV8" s="65"/>
      <c r="HY8" s="349"/>
      <c r="HZ8" s="349"/>
      <c r="IB8" s="65"/>
      <c r="IC8" s="1193" t="str">
        <f t="shared" si="59"/>
        <v>#NAME?</v>
      </c>
      <c r="ID8" s="1357" t="s">
        <v>1756</v>
      </c>
      <c r="IE8" s="1462" t="str">
        <f t="shared" si="60"/>
        <v>#NAME?</v>
      </c>
      <c r="IF8" s="1463" t="str">
        <f t="shared" si="61"/>
        <v>#NAME?</v>
      </c>
      <c r="IG8" s="1330" t="s">
        <v>5007</v>
      </c>
      <c r="IH8" s="65"/>
      <c r="II8" s="1027" t="str">
        <f t="shared" si="62"/>
        <v>#NAME?</v>
      </c>
      <c r="IJ8" s="1340" t="s">
        <v>3911</v>
      </c>
      <c r="IK8" s="1360" t="str">
        <f t="shared" si="63"/>
        <v>#NAME?</v>
      </c>
      <c r="IL8" s="1361" t="str">
        <f t="shared" si="64"/>
        <v>#NAME?</v>
      </c>
      <c r="IM8" s="1343" t="s">
        <v>5008</v>
      </c>
      <c r="IO8" s="1027" t="str">
        <f t="shared" si="65"/>
        <v>#NAME?</v>
      </c>
      <c r="IP8" s="1458" t="s">
        <v>4153</v>
      </c>
      <c r="IQ8" s="1360" t="str">
        <f t="shared" si="66"/>
        <v>#NAME?</v>
      </c>
      <c r="IR8" s="1361" t="str">
        <f t="shared" si="67"/>
        <v>#NAME?</v>
      </c>
      <c r="IS8" s="1362" t="s">
        <v>5008</v>
      </c>
      <c r="IT8" s="1230"/>
      <c r="IU8" s="963" t="s">
        <v>5103</v>
      </c>
      <c r="IV8" s="12"/>
      <c r="IW8" s="12"/>
      <c r="IX8" s="12"/>
      <c r="IY8" s="48"/>
      <c r="IZ8" s="1230"/>
      <c r="JA8" s="1012" t="str">
        <f t="shared" ref="JA8:JA9" si="284">MONICON21(JB8)</f>
        <v>#NAME?</v>
      </c>
      <c r="JB8" s="1315" t="s">
        <v>1901</v>
      </c>
      <c r="JC8" s="977" t="str">
        <f t="shared" ref="JC8:JC9" si="285">MONTYPEICON1(JB8)</f>
        <v>#NAME?</v>
      </c>
      <c r="JD8" s="980" t="str">
        <f t="shared" ref="JD8:JD9" si="286">MONTYPEICON2(JB8)</f>
        <v>#NAME?</v>
      </c>
      <c r="JE8" s="1316" t="s">
        <v>5008</v>
      </c>
      <c r="JF8" s="1230"/>
      <c r="JG8" s="1068" t="str">
        <f t="shared" si="242"/>
        <v>#NAME?</v>
      </c>
      <c r="JH8" s="1078" t="s">
        <v>2849</v>
      </c>
      <c r="JI8" s="1358" t="str">
        <f t="shared" si="243"/>
        <v>#NAME?</v>
      </c>
      <c r="JJ8" s="1359" t="str">
        <f t="shared" si="244"/>
        <v>#NAME?</v>
      </c>
      <c r="JK8" s="1093" t="s">
        <v>5084</v>
      </c>
      <c r="JL8" s="1230"/>
      <c r="JM8" s="983" t="str">
        <f t="shared" ref="JM8:JM10" si="287">MONICON21(JN8)</f>
        <v>#NAME?</v>
      </c>
      <c r="JN8" s="38" t="s">
        <v>3158</v>
      </c>
      <c r="JO8" s="1311" t="str">
        <f t="shared" ref="JO8:JO10" si="288">MONTYPEICON1(JN8)</f>
        <v>#NAME?</v>
      </c>
      <c r="JP8" s="1312" t="str">
        <f t="shared" ref="JP8:JP10" si="289">MONTYPEICON2(JN8)</f>
        <v>#NAME?</v>
      </c>
      <c r="JQ8" s="1043" t="s">
        <v>5008</v>
      </c>
      <c r="JR8" s="1230"/>
      <c r="JS8" s="1193" t="str">
        <f t="shared" si="245"/>
        <v>#NAME?</v>
      </c>
      <c r="JT8" s="1357" t="s">
        <v>3415</v>
      </c>
      <c r="JU8" s="1146" t="str">
        <f t="shared" si="246"/>
        <v>#NAME?</v>
      </c>
      <c r="JV8" s="1148" t="str">
        <f t="shared" si="247"/>
        <v>#NAME?</v>
      </c>
      <c r="JW8" s="1330" t="s">
        <v>5008</v>
      </c>
      <c r="JY8" s="1027" t="str">
        <f t="shared" si="71"/>
        <v>#NAME?</v>
      </c>
      <c r="JZ8" s="1365" t="s">
        <v>1808</v>
      </c>
      <c r="KA8" s="1360" t="str">
        <f t="shared" si="72"/>
        <v>#NAME?</v>
      </c>
      <c r="KB8" s="1361" t="str">
        <f t="shared" si="73"/>
        <v>#NAME?</v>
      </c>
      <c r="KC8" s="1343" t="s">
        <v>5010</v>
      </c>
      <c r="KE8" s="1094" t="str">
        <f t="shared" si="206"/>
        <v>#NAME?</v>
      </c>
      <c r="KF8" s="1127" t="s">
        <v>364</v>
      </c>
      <c r="KG8" s="1420" t="str">
        <f t="shared" si="207"/>
        <v>#NAME?</v>
      </c>
      <c r="KH8" s="475" t="str">
        <f t="shared" si="208"/>
        <v>#NAME?</v>
      </c>
      <c r="KI8" s="1095" t="s">
        <v>5009</v>
      </c>
      <c r="KJ8" s="65"/>
      <c r="KK8" s="1266"/>
      <c r="KL8" s="1259" t="s">
        <v>5104</v>
      </c>
      <c r="KM8" s="12"/>
      <c r="KN8" s="962"/>
      <c r="KO8" s="1258" t="s">
        <v>4608</v>
      </c>
      <c r="KQ8" s="1096" t="str">
        <f t="shared" si="209"/>
        <v>#NAME?</v>
      </c>
      <c r="KR8" s="1042" t="s">
        <v>3970</v>
      </c>
      <c r="KS8" s="977" t="str">
        <f t="shared" si="210"/>
        <v>#NAME?</v>
      </c>
      <c r="KT8" s="980" t="str">
        <f t="shared" si="211"/>
        <v>#NAME?</v>
      </c>
      <c r="KU8" s="1015" t="s">
        <v>5009</v>
      </c>
      <c r="KY8" s="349"/>
      <c r="KZ8" s="349"/>
      <c r="LB8" s="442"/>
      <c r="LC8" s="1351" t="str">
        <f t="shared" si="77"/>
        <v>#NAME?</v>
      </c>
      <c r="LD8" s="1366" t="s">
        <v>1200</v>
      </c>
      <c r="LE8" s="1353" t="str">
        <f t="shared" si="78"/>
        <v>#NAME?</v>
      </c>
      <c r="LF8" s="1354" t="str">
        <f t="shared" si="79"/>
        <v>#NAME?</v>
      </c>
      <c r="LG8" s="1367" t="s">
        <v>5013</v>
      </c>
      <c r="LH8" s="65"/>
      <c r="LK8" s="349"/>
      <c r="LL8" s="349"/>
      <c r="LO8" s="1283"/>
      <c r="LP8" s="1264" t="s">
        <v>5105</v>
      </c>
      <c r="LQ8" s="12"/>
      <c r="LR8" s="962"/>
      <c r="LS8" s="1265" t="s">
        <v>4608</v>
      </c>
      <c r="LT8" s="442"/>
      <c r="LU8" s="961" t="s">
        <v>4837</v>
      </c>
      <c r="LV8" s="12"/>
      <c r="LW8" s="12"/>
      <c r="LX8" s="12"/>
      <c r="LY8" s="48"/>
      <c r="MA8" s="961" t="s">
        <v>5050</v>
      </c>
      <c r="MB8" s="12"/>
      <c r="MC8" s="48"/>
      <c r="MD8" s="349"/>
      <c r="MG8" s="983" t="str">
        <f t="shared" ref="MG8:MG10" si="290">MONICON21(MH8)</f>
        <v>#NAME?</v>
      </c>
      <c r="MH8" s="1301" t="s">
        <v>535</v>
      </c>
      <c r="MI8" s="977" t="str">
        <f t="shared" ref="MI8:MI10" si="291">MONTYPEICON1(MH8)</f>
        <v>#NAME?</v>
      </c>
      <c r="MJ8" s="980" t="str">
        <f t="shared" ref="MJ8:MJ10" si="292">MONTYPEICON2(MH8)</f>
        <v>#NAME?</v>
      </c>
      <c r="MK8" s="1318" t="s">
        <v>5106</v>
      </c>
      <c r="MM8" s="1012" t="str">
        <f t="shared" si="212"/>
        <v>#NAME?</v>
      </c>
      <c r="MN8" s="1301" t="s">
        <v>742</v>
      </c>
      <c r="MO8" s="1013" t="str">
        <f t="shared" si="213"/>
        <v>#NAME?</v>
      </c>
      <c r="MP8" s="1015" t="str">
        <f t="shared" si="214"/>
        <v>#NAME?</v>
      </c>
      <c r="MQ8" s="1318" t="s">
        <v>5051</v>
      </c>
      <c r="MU8" s="349"/>
      <c r="MV8" s="349"/>
      <c r="MX8" s="442"/>
      <c r="MY8" s="1351" t="str">
        <f t="shared" si="92"/>
        <v>#NAME?</v>
      </c>
      <c r="MZ8" s="1372" t="s">
        <v>4174</v>
      </c>
      <c r="NA8" s="1353" t="str">
        <f t="shared" si="93"/>
        <v>#NAME?</v>
      </c>
      <c r="NB8" s="1354" t="str">
        <f t="shared" si="94"/>
        <v>#NAME?</v>
      </c>
      <c r="NC8" s="1367" t="s">
        <v>5017</v>
      </c>
      <c r="ND8" s="442"/>
      <c r="NE8" s="1068" t="str">
        <f t="shared" si="248"/>
        <v>#NAME?</v>
      </c>
      <c r="NF8" s="1076" t="s">
        <v>2393</v>
      </c>
      <c r="NG8" s="1358" t="str">
        <f t="shared" si="249"/>
        <v>#NAME?</v>
      </c>
      <c r="NH8" s="1359" t="str">
        <f t="shared" si="250"/>
        <v>#NAME?</v>
      </c>
      <c r="NI8" s="1368" t="s">
        <v>5017</v>
      </c>
      <c r="NK8" s="1286"/>
      <c r="NL8" s="1259" t="s">
        <v>5107</v>
      </c>
      <c r="NM8" s="12"/>
      <c r="NN8" s="962"/>
      <c r="NO8" s="1258" t="s">
        <v>4608</v>
      </c>
      <c r="NP8" s="442"/>
      <c r="NQ8" s="1283"/>
      <c r="NR8" s="1264" t="s">
        <v>5108</v>
      </c>
      <c r="NS8" s="12"/>
      <c r="NT8" s="962"/>
      <c r="NU8" s="1265" t="s">
        <v>4608</v>
      </c>
      <c r="NV8" s="442"/>
      <c r="NW8" s="1457" t="str">
        <f t="shared" si="251"/>
        <v>#NAME?</v>
      </c>
      <c r="NX8" s="1429" t="s">
        <v>4250</v>
      </c>
      <c r="NY8" s="1428" t="str">
        <f t="shared" si="252"/>
        <v>#NAME?</v>
      </c>
      <c r="NZ8" s="1430" t="str">
        <f t="shared" si="253"/>
        <v>#NAME?</v>
      </c>
      <c r="OA8" s="1431" t="s">
        <v>5020</v>
      </c>
      <c r="OB8" s="442"/>
      <c r="OE8" s="349"/>
      <c r="OF8" s="349"/>
      <c r="OH8" s="442"/>
      <c r="OI8" s="961" t="s">
        <v>5109</v>
      </c>
      <c r="OJ8" s="12"/>
      <c r="OK8" s="12"/>
      <c r="OL8" s="48"/>
      <c r="ON8" s="442"/>
      <c r="OO8" s="1068" t="str">
        <f t="shared" si="104"/>
        <v>#NAME?</v>
      </c>
      <c r="OP8" s="1076" t="s">
        <v>2106</v>
      </c>
      <c r="OQ8" s="1358" t="str">
        <f t="shared" si="105"/>
        <v>#NAME?</v>
      </c>
      <c r="OR8" s="1359" t="str">
        <f t="shared" si="106"/>
        <v>#NAME?</v>
      </c>
      <c r="OS8" s="1368" t="s">
        <v>5020</v>
      </c>
      <c r="OU8" s="1068" t="str">
        <f t="shared" si="107"/>
        <v>#NAME?</v>
      </c>
      <c r="OV8" s="1076" t="s">
        <v>2867</v>
      </c>
      <c r="OW8" s="1358" t="str">
        <f t="shared" si="108"/>
        <v>#NAME?</v>
      </c>
      <c r="OX8" s="1359" t="str">
        <f t="shared" si="109"/>
        <v>#NAME?</v>
      </c>
      <c r="OY8" s="1368" t="s">
        <v>5020</v>
      </c>
      <c r="PA8" s="1379"/>
      <c r="PB8" s="1380" t="s">
        <v>4984</v>
      </c>
      <c r="PC8" s="12"/>
      <c r="PD8" s="962"/>
      <c r="PE8" s="1381" t="s">
        <v>4608</v>
      </c>
      <c r="PF8" s="442"/>
      <c r="PG8" s="1266"/>
      <c r="PH8" s="1259" t="s">
        <v>5110</v>
      </c>
      <c r="PI8" s="12"/>
      <c r="PJ8" s="962"/>
      <c r="PK8" s="1258" t="s">
        <v>4608</v>
      </c>
      <c r="PM8" s="1266"/>
      <c r="PN8" s="1259" t="s">
        <v>5111</v>
      </c>
      <c r="PO8" s="12"/>
      <c r="PP8" s="962"/>
      <c r="PQ8" s="1258" t="s">
        <v>4608</v>
      </c>
      <c r="PR8" s="442"/>
      <c r="PS8" s="1193" t="str">
        <f t="shared" si="116"/>
        <v>#NAME?</v>
      </c>
      <c r="PT8" s="1145" t="s">
        <v>2251</v>
      </c>
      <c r="PU8" s="1462" t="str">
        <f t="shared" si="117"/>
        <v>#NAME?</v>
      </c>
      <c r="PV8" s="1463" t="str">
        <f t="shared" si="118"/>
        <v>#NAME?</v>
      </c>
      <c r="PW8" s="1464" t="s">
        <v>5021</v>
      </c>
      <c r="PY8" s="1027" t="str">
        <f t="shared" si="119"/>
        <v>#NAME?</v>
      </c>
      <c r="PZ8" s="1340" t="s">
        <v>3911</v>
      </c>
      <c r="QA8" s="1360" t="str">
        <f t="shared" si="120"/>
        <v>#NAME?</v>
      </c>
      <c r="QB8" s="1361" t="str">
        <f t="shared" si="121"/>
        <v>#NAME?</v>
      </c>
      <c r="QC8" s="1376" t="s">
        <v>5023</v>
      </c>
      <c r="QD8" s="442"/>
      <c r="QE8" s="1268"/>
      <c r="QF8" s="1269" t="s">
        <v>5043</v>
      </c>
      <c r="QG8" s="12"/>
      <c r="QH8" s="962"/>
      <c r="QI8" s="1270" t="s">
        <v>4608</v>
      </c>
      <c r="QJ8" s="442"/>
      <c r="QK8" s="983" t="str">
        <f t="shared" ref="QK8:QK13" si="293">MONICON21(QL8)</f>
        <v>#NAME?</v>
      </c>
      <c r="QL8" s="1301" t="s">
        <v>4197</v>
      </c>
      <c r="QM8" s="977" t="str">
        <f t="shared" ref="QM8:QM13" si="294">MONTYPEICON1(QL8)</f>
        <v>#NAME?</v>
      </c>
      <c r="QN8" s="980" t="str">
        <f t="shared" ref="QN8:QN13" si="295">MONTYPEICON2(QL8)</f>
        <v>#NAME?</v>
      </c>
      <c r="QO8" s="1303" t="s">
        <v>5031</v>
      </c>
      <c r="QP8" s="442"/>
      <c r="QQ8" s="983" t="str">
        <f t="shared" ref="QQ8:QQ13" si="296">MONICON21(QR8)</f>
        <v>#NAME?</v>
      </c>
      <c r="QR8" s="1301" t="s">
        <v>4063</v>
      </c>
      <c r="QS8" s="977" t="str">
        <f t="shared" ref="QS8:QS13" si="297">MONTYPEICON1(QR8)</f>
        <v>#NAME?</v>
      </c>
      <c r="QT8" s="980" t="str">
        <f t="shared" ref="QT8:QT13" si="298">MONTYPEICON2(QR8)</f>
        <v>#NAME?</v>
      </c>
      <c r="QU8" s="1303" t="s">
        <v>5033</v>
      </c>
      <c r="QW8" s="983" t="str">
        <f t="shared" ref="QW8:QW13" si="299">MONICON21(QX8)</f>
        <v>#NAME?</v>
      </c>
      <c r="QX8" s="1301" t="s">
        <v>493</v>
      </c>
      <c r="QY8" s="977" t="str">
        <f t="shared" ref="QY8:QY13" si="300">MONTYPEICON1(QX8)</f>
        <v>#NAME?</v>
      </c>
      <c r="QZ8" s="980" t="str">
        <f t="shared" ref="QZ8:QZ13" si="301">MONTYPEICON2(QX8)</f>
        <v>#NAME?</v>
      </c>
      <c r="RA8" s="1303" t="s">
        <v>5112</v>
      </c>
      <c r="RB8" s="442"/>
      <c r="RC8" s="983" t="str">
        <f t="shared" ref="RC8:RC13" si="302">MONICON21(RD8)</f>
        <v>#NAME?</v>
      </c>
      <c r="RD8" s="1301" t="s">
        <v>1272</v>
      </c>
      <c r="RE8" s="977" t="str">
        <f t="shared" ref="RE8:RE13" si="303">MONTYPEICON1(RD8)</f>
        <v>#NAME?</v>
      </c>
      <c r="RF8" s="980" t="str">
        <f t="shared" ref="RF8:RF13" si="304">MONTYPEICON2(RD8)</f>
        <v>#NAME?</v>
      </c>
      <c r="RG8" s="1303" t="s">
        <v>5113</v>
      </c>
      <c r="RH8" s="442"/>
      <c r="RI8" s="983" t="str">
        <f t="shared" ref="RI8:RI13" si="305">MONICON21(RJ8)</f>
        <v>#NAME?</v>
      </c>
      <c r="RJ8" s="1301" t="s">
        <v>4010</v>
      </c>
      <c r="RK8" s="977" t="str">
        <f t="shared" ref="RK8:RK13" si="306">MONTYPEICON1(RJ8)</f>
        <v>#NAME?</v>
      </c>
      <c r="RL8" s="980" t="str">
        <f t="shared" ref="RL8:RL13" si="307">MONTYPEICON2(RJ8)</f>
        <v>#NAME?</v>
      </c>
      <c r="RM8" s="1303" t="s">
        <v>5092</v>
      </c>
      <c r="RN8" s="442"/>
      <c r="RO8" s="961" t="s">
        <v>5114</v>
      </c>
      <c r="RP8" s="12"/>
      <c r="RQ8" s="12"/>
      <c r="RR8" s="12"/>
      <c r="RS8" s="48"/>
      <c r="RT8" s="442"/>
      <c r="RU8" s="1056" t="str">
        <f t="shared" si="122"/>
        <v>#NAME?</v>
      </c>
      <c r="RV8" s="1465" t="s">
        <v>254</v>
      </c>
      <c r="RW8" s="1021" t="str">
        <f t="shared" si="123"/>
        <v>#NAME?</v>
      </c>
      <c r="RX8" s="1024" t="str">
        <f t="shared" si="124"/>
        <v>#NAME?</v>
      </c>
      <c r="RY8" s="1378" t="s">
        <v>5024</v>
      </c>
      <c r="RZ8" s="442"/>
      <c r="SA8" s="985" t="s">
        <v>4992</v>
      </c>
      <c r="SB8" s="12"/>
      <c r="SC8" s="12"/>
      <c r="SD8" s="12"/>
      <c r="SE8" s="48"/>
      <c r="SG8" s="442"/>
      <c r="SH8" s="442"/>
      <c r="SI8" s="108"/>
      <c r="SJ8" s="108"/>
      <c r="SK8" s="442"/>
      <c r="SL8" s="442"/>
      <c r="SO8" s="349"/>
      <c r="SP8" s="349"/>
      <c r="SS8" s="1068" t="str">
        <f t="shared" si="254"/>
        <v>#NAME?</v>
      </c>
      <c r="ST8" s="1076" t="s">
        <v>2625</v>
      </c>
      <c r="SU8" s="1358" t="str">
        <f t="shared" si="255"/>
        <v>#NAME?</v>
      </c>
      <c r="SV8" s="1359" t="str">
        <f t="shared" si="256"/>
        <v>#NAME?</v>
      </c>
      <c r="SW8" s="1368" t="s">
        <v>5025</v>
      </c>
      <c r="SY8" s="1068" t="str">
        <f t="shared" si="257"/>
        <v>#NAME?</v>
      </c>
      <c r="SZ8" s="1076" t="s">
        <v>3167</v>
      </c>
      <c r="TA8" s="1358" t="str">
        <f t="shared" si="258"/>
        <v>#NAME?</v>
      </c>
      <c r="TB8" s="1359" t="str">
        <f t="shared" si="259"/>
        <v>#NAME?</v>
      </c>
      <c r="TC8" s="1368" t="s">
        <v>5032</v>
      </c>
      <c r="TE8" s="1036" t="str">
        <f t="shared" si="260"/>
        <v>#NAME?</v>
      </c>
      <c r="TF8" s="1466" t="s">
        <v>2056</v>
      </c>
      <c r="TG8" s="1467" t="str">
        <f t="shared" si="261"/>
        <v>#NAME?</v>
      </c>
      <c r="TH8" s="1468" t="str">
        <f t="shared" si="262"/>
        <v>#NAME?</v>
      </c>
      <c r="TI8" s="1469" t="s">
        <v>5092</v>
      </c>
      <c r="TK8" s="1266"/>
      <c r="TL8" s="1259" t="s">
        <v>5115</v>
      </c>
      <c r="TM8" s="12"/>
      <c r="TN8" s="962"/>
      <c r="TO8" s="1004" t="s">
        <v>4608</v>
      </c>
      <c r="TQ8" s="1266"/>
      <c r="TR8" s="1259" t="s">
        <v>5116</v>
      </c>
      <c r="TS8" s="12"/>
      <c r="TT8" s="962"/>
      <c r="TU8" s="1004" t="s">
        <v>4608</v>
      </c>
      <c r="TW8" s="977" t="str">
        <f t="shared" ref="TW8:TW13" si="308">MONICON21(TX8)</f>
        <v>#NAME?</v>
      </c>
      <c r="TX8" s="1301" t="s">
        <v>4197</v>
      </c>
      <c r="TY8" s="977" t="str">
        <f t="shared" ref="TY8:TY13" si="309">MONTYPEICON1(TX8)</f>
        <v>#NAME?</v>
      </c>
      <c r="TZ8" s="980" t="str">
        <f t="shared" ref="TZ8:TZ13" si="310">MONTYPEICON2(TX8)</f>
        <v>#NAME?</v>
      </c>
      <c r="UA8" s="1303" t="s">
        <v>5117</v>
      </c>
      <c r="UC8" s="1033" t="str">
        <f t="shared" si="215"/>
        <v>#NAME?</v>
      </c>
      <c r="UD8" s="1098" t="s">
        <v>4049</v>
      </c>
      <c r="UE8" s="1013" t="str">
        <f t="shared" si="216"/>
        <v>#NAME?</v>
      </c>
      <c r="UF8" s="1015" t="str">
        <f t="shared" si="217"/>
        <v>#NAME?</v>
      </c>
      <c r="UG8" s="1414" t="s">
        <v>5063</v>
      </c>
      <c r="UI8" s="997"/>
      <c r="UJ8" s="1026"/>
      <c r="UK8" s="1026"/>
      <c r="UL8" s="1192"/>
      <c r="UM8" s="1446"/>
      <c r="UO8" s="1033" t="str">
        <f t="shared" ref="UO8:UO9" si="311">MONICON21(UP8)</f>
        <v>#NAME?</v>
      </c>
      <c r="UP8" s="1301" t="s">
        <v>1272</v>
      </c>
      <c r="UQ8" s="977" t="str">
        <f t="shared" ref="UQ8:UQ9" si="312">MONTYPEICON1(UP8)</f>
        <v>#NAME?</v>
      </c>
      <c r="UR8" s="980" t="str">
        <f t="shared" ref="UR8:UR9" si="313">MONTYPEICON2(UP8)</f>
        <v>#NAME?</v>
      </c>
      <c r="US8" s="1303" t="s">
        <v>5118</v>
      </c>
      <c r="UU8" s="1033" t="str">
        <f t="shared" ref="UU8:UU9" si="314">MONICON21(UV8)</f>
        <v>#NAME?</v>
      </c>
      <c r="UV8" s="1301" t="s">
        <v>518</v>
      </c>
      <c r="UW8" s="977" t="str">
        <f t="shared" ref="UW8:UW9" si="315">MONTYPEICON1(UV8)</f>
        <v>#NAME?</v>
      </c>
      <c r="UX8" s="980" t="str">
        <f t="shared" ref="UX8:UX9" si="316">MONTYPEICON2(UV8)</f>
        <v>#NAME?</v>
      </c>
      <c r="UY8" s="1303" t="s">
        <v>5028</v>
      </c>
      <c r="VA8" s="1293"/>
      <c r="VB8" s="1291" t="s">
        <v>5119</v>
      </c>
      <c r="VC8" s="12"/>
      <c r="VD8" s="962"/>
      <c r="VE8" s="1292" t="s">
        <v>4608</v>
      </c>
      <c r="VG8" s="1289" t="s">
        <v>4513</v>
      </c>
      <c r="VH8" s="12"/>
      <c r="VI8" s="12"/>
      <c r="VJ8" s="12"/>
      <c r="VK8" s="48"/>
      <c r="VL8" s="442"/>
      <c r="VR8" s="442"/>
      <c r="VS8" s="961" t="s">
        <v>4515</v>
      </c>
      <c r="VT8" s="12"/>
      <c r="VU8" s="12"/>
      <c r="VV8" s="12"/>
      <c r="VW8" s="48"/>
      <c r="VX8" s="442"/>
      <c r="VY8" s="1294"/>
      <c r="VZ8" s="1291" t="s">
        <v>5120</v>
      </c>
      <c r="WA8" s="12"/>
      <c r="WB8" s="962"/>
      <c r="WC8" s="1292" t="s">
        <v>4608</v>
      </c>
      <c r="WD8" s="442"/>
      <c r="WE8" s="442"/>
      <c r="WF8" s="442"/>
      <c r="WG8" s="442"/>
      <c r="WH8" s="442"/>
      <c r="WI8" s="442"/>
      <c r="WJ8" s="442"/>
      <c r="WK8" s="1387" t="str">
        <f t="shared" si="263"/>
        <v>#NAME?</v>
      </c>
      <c r="WL8" s="1388" t="s">
        <v>3360</v>
      </c>
      <c r="WM8" s="1387" t="str">
        <f t="shared" si="264"/>
        <v>#NAME?</v>
      </c>
      <c r="WN8" s="1392" t="str">
        <f t="shared" si="265"/>
        <v>#NAME?</v>
      </c>
      <c r="WO8" s="1391" t="s">
        <v>5019</v>
      </c>
      <c r="WP8" s="442"/>
      <c r="WQ8" s="963" t="s">
        <v>4812</v>
      </c>
      <c r="WR8" s="12"/>
      <c r="WS8" s="12"/>
      <c r="WT8" s="12"/>
      <c r="WU8" s="48"/>
      <c r="WV8" s="442"/>
      <c r="WW8" s="1294"/>
      <c r="WX8" s="1291" t="s">
        <v>5121</v>
      </c>
      <c r="WY8" s="12"/>
      <c r="WZ8" s="962"/>
      <c r="XA8" s="1292" t="s">
        <v>4608</v>
      </c>
      <c r="XB8" s="442"/>
      <c r="XC8" s="1294"/>
      <c r="XD8" s="1291" t="s">
        <v>5122</v>
      </c>
      <c r="XE8" s="12"/>
      <c r="XF8" s="962"/>
      <c r="XG8" s="1292" t="s">
        <v>4608</v>
      </c>
      <c r="XH8" s="442"/>
      <c r="XI8" s="1387" t="str">
        <f t="shared" si="155"/>
        <v>#NAME?</v>
      </c>
      <c r="XJ8" s="1388" t="s">
        <v>504</v>
      </c>
      <c r="XK8" s="1387" t="str">
        <f t="shared" si="156"/>
        <v>#NAME?</v>
      </c>
      <c r="XL8" s="1392" t="str">
        <f t="shared" si="157"/>
        <v>#NAME?</v>
      </c>
      <c r="XM8" s="1394" t="s">
        <v>5004</v>
      </c>
      <c r="XN8" s="442"/>
      <c r="XO8" s="1294"/>
      <c r="XP8" s="1291" t="s">
        <v>5123</v>
      </c>
      <c r="XQ8" s="12"/>
      <c r="XR8" s="962"/>
      <c r="XS8" s="1292" t="s">
        <v>4608</v>
      </c>
      <c r="XT8" s="442"/>
      <c r="XU8" s="108"/>
      <c r="XV8" s="442"/>
      <c r="XW8" s="442"/>
      <c r="XX8" s="442"/>
      <c r="XY8" s="442"/>
      <c r="XZ8" s="442"/>
      <c r="YA8" s="1294"/>
      <c r="YB8" s="1291" t="s">
        <v>5124</v>
      </c>
      <c r="YC8" s="12"/>
      <c r="YD8" s="962"/>
      <c r="YE8" s="1292" t="s">
        <v>4608</v>
      </c>
      <c r="YF8" s="442"/>
      <c r="YG8" s="1294"/>
      <c r="YH8" s="1291" t="s">
        <v>5125</v>
      </c>
      <c r="YI8" s="12"/>
      <c r="YJ8" s="962"/>
      <c r="YK8" s="1292" t="s">
        <v>4608</v>
      </c>
      <c r="YL8" s="442"/>
      <c r="YM8" s="1383" t="str">
        <f t="shared" si="167"/>
        <v>#NAME?</v>
      </c>
      <c r="YN8" s="1470" t="s">
        <v>1508</v>
      </c>
      <c r="YO8" s="1383" t="str">
        <f t="shared" si="168"/>
        <v>#NAME?</v>
      </c>
      <c r="YP8" s="1385" t="str">
        <f t="shared" si="169"/>
        <v>#NAME?</v>
      </c>
      <c r="YQ8" s="1471" t="s">
        <v>5032</v>
      </c>
      <c r="YR8" s="442"/>
      <c r="YS8" s="1294"/>
      <c r="YT8" s="1291" t="s">
        <v>5126</v>
      </c>
      <c r="YU8" s="12"/>
      <c r="YV8" s="962"/>
      <c r="YW8" s="1292" t="s">
        <v>4608</v>
      </c>
      <c r="YX8" s="442"/>
      <c r="YY8" s="1294"/>
      <c r="YZ8" s="1291" t="s">
        <v>5127</v>
      </c>
      <c r="ZA8" s="12"/>
      <c r="ZB8" s="962"/>
      <c r="ZC8" s="1292" t="s">
        <v>4608</v>
      </c>
      <c r="ZD8" s="442"/>
      <c r="ZG8" s="349"/>
      <c r="ZH8" s="349"/>
      <c r="ZJ8" s="442"/>
      <c r="ZM8" s="349"/>
      <c r="ZN8" s="349"/>
      <c r="ZP8" s="442"/>
      <c r="ZQ8" s="1387" t="str">
        <f t="shared" si="266"/>
        <v>#NAME?</v>
      </c>
      <c r="ZR8" s="1395" t="s">
        <v>2458</v>
      </c>
      <c r="ZS8" s="1387" t="str">
        <f t="shared" si="267"/>
        <v>#NAME?</v>
      </c>
      <c r="ZT8" s="1392" t="str">
        <f t="shared" si="268"/>
        <v>#NAME?</v>
      </c>
      <c r="ZU8" s="1396" t="s">
        <v>5092</v>
      </c>
      <c r="ZV8" s="442"/>
      <c r="ZW8" s="1472"/>
      <c r="ZX8" s="1291" t="s">
        <v>5128</v>
      </c>
      <c r="ZY8" s="12"/>
      <c r="ZZ8" s="962"/>
      <c r="AAA8" s="1292" t="s">
        <v>4608</v>
      </c>
      <c r="AAB8" s="442"/>
      <c r="AAC8" s="108"/>
      <c r="AAD8" s="442"/>
      <c r="AAE8" s="108"/>
      <c r="AAF8" s="108"/>
      <c r="AAG8" s="442"/>
      <c r="AAH8" s="442"/>
      <c r="AAI8" s="349"/>
      <c r="AAK8" s="349"/>
      <c r="AAL8" s="349"/>
      <c r="AAO8" s="349"/>
      <c r="AAQ8" s="349"/>
      <c r="AAR8" s="349"/>
      <c r="AAU8" s="1387" t="str">
        <f t="shared" si="185"/>
        <v>#NAME?</v>
      </c>
      <c r="AAV8" s="1388" t="s">
        <v>2752</v>
      </c>
      <c r="AAW8" s="1387" t="str">
        <f t="shared" si="186"/>
        <v>#NAME?</v>
      </c>
      <c r="AAX8" s="1392" t="str">
        <f t="shared" si="187"/>
        <v>#NAME?</v>
      </c>
      <c r="AAY8" s="1397" t="s">
        <v>5036</v>
      </c>
      <c r="ABA8" s="1387" t="str">
        <f t="shared" si="188"/>
        <v>#NAME?</v>
      </c>
      <c r="ABB8" s="1388" t="s">
        <v>4146</v>
      </c>
      <c r="ABC8" s="1387" t="str">
        <f t="shared" si="189"/>
        <v>#NAME?</v>
      </c>
      <c r="ABD8" s="1392" t="str">
        <f t="shared" si="190"/>
        <v>#NAME?</v>
      </c>
      <c r="ABE8" s="1397" t="s">
        <v>5036</v>
      </c>
      <c r="ABG8" s="1387" t="str">
        <f t="shared" si="191"/>
        <v>#NAME?</v>
      </c>
      <c r="ABH8" s="1388" t="s">
        <v>3460</v>
      </c>
      <c r="ABI8" s="1387" t="str">
        <f t="shared" si="192"/>
        <v>#NAME?</v>
      </c>
      <c r="ABJ8" s="1392" t="str">
        <f t="shared" si="193"/>
        <v>#NAME?</v>
      </c>
      <c r="ABK8" s="1397" t="s">
        <v>5036</v>
      </c>
      <c r="ABM8" s="1387" t="str">
        <f t="shared" si="194"/>
        <v>#NAME?</v>
      </c>
      <c r="ABN8" s="1388" t="s">
        <v>1680</v>
      </c>
      <c r="ABO8" s="1387" t="str">
        <f t="shared" si="195"/>
        <v>#NAME?</v>
      </c>
      <c r="ABP8" s="1392" t="str">
        <f t="shared" si="196"/>
        <v>#NAME?</v>
      </c>
      <c r="ABQ8" s="1397" t="s">
        <v>5036</v>
      </c>
      <c r="ABS8" s="1387" t="str">
        <f t="shared" si="197"/>
        <v>#NAME?</v>
      </c>
      <c r="ABT8" s="1388" t="s">
        <v>4250</v>
      </c>
      <c r="ABU8" s="1387" t="str">
        <f t="shared" si="198"/>
        <v>#NAME?</v>
      </c>
      <c r="ABV8" s="1392" t="str">
        <f t="shared" si="199"/>
        <v>#NAME?</v>
      </c>
      <c r="ABW8" s="1397" t="s">
        <v>5036</v>
      </c>
      <c r="ABY8" s="1473"/>
      <c r="ABZ8" s="1474" t="s">
        <v>4981</v>
      </c>
      <c r="ACA8" s="1475"/>
      <c r="ACB8" s="1476"/>
      <c r="ACC8" s="1477" t="s">
        <v>4608</v>
      </c>
      <c r="ACE8" s="1398" t="str">
        <f t="shared" si="1"/>
        <v/>
      </c>
      <c r="ACF8" s="1399" t="s">
        <v>5037</v>
      </c>
      <c r="ACG8" s="1400" t="s">
        <v>4608</v>
      </c>
      <c r="ACH8" s="1401" t="s">
        <v>4608</v>
      </c>
      <c r="ACI8" s="1402" t="s">
        <v>5038</v>
      </c>
      <c r="ACJ8" s="996"/>
    </row>
    <row r="9" ht="15.75" customHeight="1">
      <c r="A9" s="1230"/>
      <c r="D9" s="1478"/>
      <c r="E9" s="1230"/>
      <c r="F9" s="1238"/>
      <c r="G9" s="428"/>
      <c r="H9" s="1230"/>
      <c r="I9" s="1053" t="str">
        <f>MONICON21(J9)</f>
        <v>#NAME?</v>
      </c>
      <c r="J9" s="1052" t="s">
        <v>3587</v>
      </c>
      <c r="K9" s="985" t="str">
        <f>MONTYPEICON1(J9)</f>
        <v>#NAME?</v>
      </c>
      <c r="L9" s="1052" t="str">
        <f>MONTYPEICON2(J9)</f>
        <v>#NAME?</v>
      </c>
      <c r="M9" s="1196" t="s">
        <v>5129</v>
      </c>
      <c r="N9" s="1230"/>
      <c r="O9" s="1033" t="str">
        <f t="shared" ref="O9:O11" si="317">MONICON21(P9)</f>
        <v>#NAME?</v>
      </c>
      <c r="P9" s="1301" t="s">
        <v>680</v>
      </c>
      <c r="Q9" s="977" t="str">
        <f t="shared" ref="Q9:Q11" si="318">MONTYPEICON1(P9)</f>
        <v>#NAME?</v>
      </c>
      <c r="R9" s="980" t="str">
        <f t="shared" ref="R9:R11" si="319">MONTYPEICON2(P9)</f>
        <v>#NAME?</v>
      </c>
      <c r="S9" s="1302" t="s">
        <v>4988</v>
      </c>
      <c r="T9" s="1230"/>
      <c r="U9" s="1071" t="str">
        <f t="shared" si="269"/>
        <v>#NAME?</v>
      </c>
      <c r="V9" s="1076" t="s">
        <v>3730</v>
      </c>
      <c r="W9" s="1071" t="str">
        <f t="shared" si="270"/>
        <v>#NAME?</v>
      </c>
      <c r="X9" s="1073" t="str">
        <f t="shared" si="271"/>
        <v>#NAME?</v>
      </c>
      <c r="Y9" s="1093" t="s">
        <v>5097</v>
      </c>
      <c r="Z9" s="1230"/>
      <c r="AA9" s="1033" t="str">
        <f t="shared" ref="AA9:AA10" si="320">MONICON21(AB9)</f>
        <v>#NAME?</v>
      </c>
      <c r="AB9" s="1301" t="s">
        <v>643</v>
      </c>
      <c r="AC9" s="977" t="str">
        <f t="shared" ref="AC9:AC10" si="321">MONTYPEICON1(AB9)</f>
        <v>#NAME?</v>
      </c>
      <c r="AD9" s="980" t="str">
        <f t="shared" ref="AD9:AD10" si="322">MONTYPEICON2(AB9)</f>
        <v>#NAME?</v>
      </c>
      <c r="AE9" s="1302" t="s">
        <v>5130</v>
      </c>
      <c r="AF9" s="1230"/>
      <c r="AG9" s="961" t="s">
        <v>5131</v>
      </c>
      <c r="AH9" s="12"/>
      <c r="AI9" s="12"/>
      <c r="AJ9" s="12"/>
      <c r="AK9" s="48"/>
      <c r="AL9" s="1230"/>
      <c r="AM9" s="1331"/>
      <c r="AN9" s="1307" t="s">
        <v>4908</v>
      </c>
      <c r="AO9" s="12"/>
      <c r="AP9" s="962"/>
      <c r="AQ9" s="1282" t="s">
        <v>4608</v>
      </c>
      <c r="AR9" s="1230"/>
      <c r="AS9" s="1331"/>
      <c r="AT9" s="1307" t="s">
        <v>4908</v>
      </c>
      <c r="AU9" s="12"/>
      <c r="AV9" s="962"/>
      <c r="AW9" s="1282" t="s">
        <v>4608</v>
      </c>
      <c r="AX9" s="1230"/>
      <c r="AY9" s="1051" t="str">
        <f t="shared" si="221"/>
        <v>#NAME?</v>
      </c>
      <c r="AZ9" s="1479" t="s">
        <v>3837</v>
      </c>
      <c r="BA9" s="1051" t="str">
        <f t="shared" si="222"/>
        <v>#NAME?</v>
      </c>
      <c r="BB9" s="1131" t="str">
        <f t="shared" si="223"/>
        <v>#NAME?</v>
      </c>
      <c r="BC9" s="1411" t="s">
        <v>5076</v>
      </c>
      <c r="BD9" s="442"/>
      <c r="BE9" s="1013" t="str">
        <f t="shared" si="224"/>
        <v>#NAME?</v>
      </c>
      <c r="BF9" s="1415" t="s">
        <v>2962</v>
      </c>
      <c r="BG9" s="1013" t="str">
        <f t="shared" si="225"/>
        <v>#NAME?</v>
      </c>
      <c r="BH9" s="1015" t="str">
        <f t="shared" si="226"/>
        <v>#NAME?</v>
      </c>
      <c r="BI9" s="1416" t="s">
        <v>4994</v>
      </c>
      <c r="BJ9" s="1230"/>
      <c r="BK9" s="1146" t="str">
        <f t="shared" si="272"/>
        <v>#NAME?</v>
      </c>
      <c r="BL9" s="1335" t="s">
        <v>3324</v>
      </c>
      <c r="BM9" s="1146" t="str">
        <f t="shared" si="273"/>
        <v>#NAME?</v>
      </c>
      <c r="BN9" s="1148" t="str">
        <f t="shared" si="274"/>
        <v>#NAME?</v>
      </c>
      <c r="BO9" s="1336" t="s">
        <v>5040</v>
      </c>
      <c r="BP9" s="442"/>
      <c r="BQ9" s="1255"/>
      <c r="BR9" s="1259" t="s">
        <v>5132</v>
      </c>
      <c r="BS9" s="12"/>
      <c r="BT9" s="962"/>
      <c r="BU9" s="1258" t="s">
        <v>4608</v>
      </c>
      <c r="BV9" s="442"/>
      <c r="BW9" s="1255"/>
      <c r="BX9" s="1259" t="s">
        <v>5133</v>
      </c>
      <c r="BY9" s="12"/>
      <c r="BZ9" s="962"/>
      <c r="CA9" s="1258" t="s">
        <v>4608</v>
      </c>
      <c r="CB9" s="1230"/>
      <c r="CC9" s="1263"/>
      <c r="CD9" s="1264" t="s">
        <v>5134</v>
      </c>
      <c r="CE9" s="12"/>
      <c r="CF9" s="962"/>
      <c r="CG9" s="1265" t="s">
        <v>4608</v>
      </c>
      <c r="CH9" s="442"/>
      <c r="CI9" s="1480" t="str">
        <f t="shared" si="275"/>
        <v>#NAME?</v>
      </c>
      <c r="CJ9" s="1449" t="s">
        <v>1672</v>
      </c>
      <c r="CK9" s="1348" t="str">
        <f t="shared" si="276"/>
        <v>#NAME?</v>
      </c>
      <c r="CL9" s="1349" t="str">
        <f t="shared" si="277"/>
        <v>#NAME?</v>
      </c>
      <c r="CM9" s="1450" t="s">
        <v>5099</v>
      </c>
      <c r="CN9" s="442"/>
      <c r="CO9" s="1480" t="str">
        <f t="shared" si="200"/>
        <v>#NAME?</v>
      </c>
      <c r="CP9" s="1449" t="s">
        <v>3964</v>
      </c>
      <c r="CQ9" s="1348" t="str">
        <f t="shared" si="201"/>
        <v>#NAME?</v>
      </c>
      <c r="CR9" s="1349" t="str">
        <f t="shared" si="202"/>
        <v>#NAME?</v>
      </c>
      <c r="CS9" s="1450" t="s">
        <v>5135</v>
      </c>
      <c r="CU9" s="961" t="s">
        <v>4965</v>
      </c>
      <c r="CV9" s="12"/>
      <c r="CW9" s="12"/>
      <c r="CX9" s="12"/>
      <c r="CY9" s="48"/>
      <c r="CZ9" s="442"/>
      <c r="DA9" s="442"/>
      <c r="DB9" s="442"/>
      <c r="DC9" s="442"/>
      <c r="DD9" s="442"/>
      <c r="DE9" s="442"/>
      <c r="DF9" s="442"/>
      <c r="DG9" s="1012" t="str">
        <f t="shared" ref="DG9:DG11" si="323">MONICON21(DH9)</f>
        <v>#NAME?</v>
      </c>
      <c r="DH9" s="1304" t="s">
        <v>2239</v>
      </c>
      <c r="DI9" s="977" t="str">
        <f t="shared" ref="DI9:DI11" si="324">MONTYPEICON1(DH9)</f>
        <v>#NAME?</v>
      </c>
      <c r="DJ9" s="980" t="str">
        <f t="shared" ref="DJ9:DJ11" si="325">MONTYPEICON2(DH9)</f>
        <v>#NAME?</v>
      </c>
      <c r="DK9" s="1305" t="s">
        <v>4998</v>
      </c>
      <c r="DL9" s="442"/>
      <c r="DM9" s="1268"/>
      <c r="DN9" s="1269" t="s">
        <v>4922</v>
      </c>
      <c r="DO9" s="12"/>
      <c r="DP9" s="962"/>
      <c r="DQ9" s="1270" t="s">
        <v>4608</v>
      </c>
      <c r="DR9" s="442"/>
      <c r="DS9" s="1096" t="str">
        <f t="shared" si="230"/>
        <v>#NAME?</v>
      </c>
      <c r="DT9" s="1098" t="s">
        <v>596</v>
      </c>
      <c r="DU9" s="1013" t="str">
        <f t="shared" si="231"/>
        <v>#NAME?</v>
      </c>
      <c r="DV9" s="1015" t="str">
        <f t="shared" si="232"/>
        <v>#NAME?</v>
      </c>
      <c r="DW9" s="1414" t="s">
        <v>5078</v>
      </c>
      <c r="DX9" s="442"/>
      <c r="DY9" s="1283"/>
      <c r="DZ9" s="1264" t="s">
        <v>5136</v>
      </c>
      <c r="EA9" s="12"/>
      <c r="EB9" s="962"/>
      <c r="EC9" s="1265" t="s">
        <v>4608</v>
      </c>
      <c r="ED9" s="442"/>
      <c r="EE9" s="1096" t="str">
        <f t="shared" si="233"/>
        <v>#NAME?</v>
      </c>
      <c r="EF9" s="1415" t="s">
        <v>1452</v>
      </c>
      <c r="EG9" s="1013" t="str">
        <f t="shared" si="234"/>
        <v>#NAME?</v>
      </c>
      <c r="EH9" s="1015" t="str">
        <f t="shared" si="235"/>
        <v>#NAME?</v>
      </c>
      <c r="EI9" s="1416" t="s">
        <v>5079</v>
      </c>
      <c r="EJ9" s="442"/>
      <c r="EK9" s="1346" t="str">
        <f t="shared" si="278"/>
        <v>#NAME?</v>
      </c>
      <c r="EL9" s="1347" t="s">
        <v>3139</v>
      </c>
      <c r="EM9" s="1348" t="str">
        <f t="shared" si="279"/>
        <v>#NAME?</v>
      </c>
      <c r="EN9" s="1349" t="str">
        <f t="shared" si="280"/>
        <v>#NAME?</v>
      </c>
      <c r="EO9" s="1350" t="s">
        <v>5000</v>
      </c>
      <c r="EP9" s="442"/>
      <c r="EQ9" s="983" t="str">
        <f t="shared" ref="EQ9:EQ11" si="326">MONICON21(ER9)</f>
        <v>#NAME?</v>
      </c>
      <c r="ER9" s="38" t="s">
        <v>3978</v>
      </c>
      <c r="ES9" s="977" t="str">
        <f t="shared" ref="ES9:ES11" si="327">MONTYPEICON1(ER9)</f>
        <v>#NAME?</v>
      </c>
      <c r="ET9" s="980" t="str">
        <f t="shared" ref="ET9:ET11" si="328">MONTYPEICON2(ER9)</f>
        <v>#NAME?</v>
      </c>
      <c r="EU9" s="1043" t="s">
        <v>5001</v>
      </c>
      <c r="EV9" s="442"/>
      <c r="EW9" s="985" t="str">
        <f>MONICON21(EX9)</f>
        <v>#NAME?</v>
      </c>
      <c r="EX9" s="41" t="s">
        <v>4004</v>
      </c>
      <c r="EY9" s="1092" t="str">
        <f>MONTYPEICON1(EX9)</f>
        <v>#NAME?</v>
      </c>
      <c r="EZ9" s="987" t="str">
        <f>MONTYPEICON2(EX9)</f>
        <v>#NAME?</v>
      </c>
      <c r="FA9" s="1091" t="s">
        <v>5078</v>
      </c>
      <c r="FB9" s="442"/>
      <c r="FC9" s="1096" t="str">
        <f t="shared" si="41"/>
        <v>#NAME?</v>
      </c>
      <c r="FD9" s="1415" t="s">
        <v>2258</v>
      </c>
      <c r="FE9" s="1013" t="str">
        <f t="shared" si="42"/>
        <v>#NAME?</v>
      </c>
      <c r="FF9" s="1015" t="str">
        <f t="shared" si="43"/>
        <v>#NAME?</v>
      </c>
      <c r="FG9" s="1416" t="s">
        <v>4998</v>
      </c>
      <c r="FH9" s="442"/>
      <c r="FI9" s="1193" t="str">
        <f t="shared" si="203"/>
        <v>#NAME?</v>
      </c>
      <c r="FJ9" s="1335" t="s">
        <v>2779</v>
      </c>
      <c r="FK9" s="1146" t="str">
        <f t="shared" si="204"/>
        <v>#NAME?</v>
      </c>
      <c r="FL9" s="1148" t="str">
        <f t="shared" si="205"/>
        <v>#NAME?</v>
      </c>
      <c r="FM9" s="1336" t="s">
        <v>5045</v>
      </c>
      <c r="FN9" s="442"/>
      <c r="FO9" s="1012" t="str">
        <f t="shared" ref="FO9:FO10" si="329">MONICON21(FP9)</f>
        <v>#NAME?</v>
      </c>
      <c r="FP9" s="1157" t="s">
        <v>1618</v>
      </c>
      <c r="FQ9" s="977" t="str">
        <f t="shared" ref="FQ9:FQ10" si="330">MONTYPEICON1(FP9)</f>
        <v>#NAME?</v>
      </c>
      <c r="FR9" s="980" t="str">
        <f t="shared" ref="FR9:FR10" si="331">MONTYPEICON2(FP9)</f>
        <v>#NAME?</v>
      </c>
      <c r="FS9" s="1303" t="s">
        <v>5079</v>
      </c>
      <c r="FT9" s="442"/>
      <c r="FU9" s="1193" t="str">
        <f t="shared" si="281"/>
        <v>#NAME?</v>
      </c>
      <c r="FV9" s="1357" t="s">
        <v>1115</v>
      </c>
      <c r="FW9" s="1146" t="str">
        <f t="shared" si="282"/>
        <v>#NAME?</v>
      </c>
      <c r="FX9" s="1148" t="str">
        <f t="shared" si="283"/>
        <v>#NAME?</v>
      </c>
      <c r="FY9" s="1330" t="s">
        <v>5003</v>
      </c>
      <c r="FZ9" s="442"/>
      <c r="GA9" s="1283"/>
      <c r="GB9" s="1264" t="s">
        <v>5137</v>
      </c>
      <c r="GC9" s="12"/>
      <c r="GD9" s="962"/>
      <c r="GE9" s="1265" t="s">
        <v>4608</v>
      </c>
      <c r="GF9" s="442"/>
      <c r="GG9" s="1049" t="str">
        <f t="shared" si="236"/>
        <v>#NAME?</v>
      </c>
      <c r="GH9" s="1127" t="s">
        <v>596</v>
      </c>
      <c r="GI9" s="1051" t="str">
        <f t="shared" si="237"/>
        <v>#NAME?</v>
      </c>
      <c r="GJ9" s="1131" t="str">
        <f t="shared" si="238"/>
        <v>#NAME?</v>
      </c>
      <c r="GK9" s="1095" t="s">
        <v>5082</v>
      </c>
      <c r="GL9" s="1230"/>
      <c r="GM9" s="1266"/>
      <c r="GN9" s="1259" t="s">
        <v>5138</v>
      </c>
      <c r="GO9" s="12"/>
      <c r="GP9" s="962"/>
      <c r="GQ9" s="1258" t="s">
        <v>4608</v>
      </c>
      <c r="GR9" s="65"/>
      <c r="GS9" s="1266"/>
      <c r="GT9" s="1259" t="s">
        <v>5139</v>
      </c>
      <c r="GU9" s="12"/>
      <c r="GV9" s="962"/>
      <c r="GW9" s="1258" t="s">
        <v>4608</v>
      </c>
      <c r="GX9" s="65"/>
      <c r="GY9" s="1286"/>
      <c r="GZ9" s="1256" t="s">
        <v>5140</v>
      </c>
      <c r="HA9" s="1257" t="s">
        <v>4888</v>
      </c>
      <c r="HB9" s="962"/>
      <c r="HC9" s="1258" t="s">
        <v>4608</v>
      </c>
      <c r="HD9" s="1230"/>
      <c r="HE9" s="1266"/>
      <c r="HF9" s="1259" t="s">
        <v>5141</v>
      </c>
      <c r="HG9" s="12"/>
      <c r="HH9" s="962"/>
      <c r="HI9" s="1258" t="s">
        <v>4608</v>
      </c>
      <c r="HJ9" s="1230"/>
      <c r="HK9" s="1012" t="str">
        <f t="shared" si="239"/>
        <v>#NAME?</v>
      </c>
      <c r="HL9" s="89" t="s">
        <v>1452</v>
      </c>
      <c r="HM9" s="1418" t="str">
        <f t="shared" si="240"/>
        <v>#NAME?</v>
      </c>
      <c r="HN9" s="1419" t="str">
        <f t="shared" si="241"/>
        <v>#NAME?</v>
      </c>
      <c r="HO9" s="1108" t="s">
        <v>5007</v>
      </c>
      <c r="HP9" s="65"/>
      <c r="HQ9" s="1277"/>
      <c r="HR9" s="1264" t="s">
        <v>5142</v>
      </c>
      <c r="HS9" s="12"/>
      <c r="HT9" s="962"/>
      <c r="HU9" s="1265" t="s">
        <v>4608</v>
      </c>
      <c r="HV9" s="65"/>
      <c r="HW9" s="1245" t="s">
        <v>5143</v>
      </c>
      <c r="HX9" s="12"/>
      <c r="HY9" s="12"/>
      <c r="HZ9" s="12"/>
      <c r="IA9" s="962"/>
      <c r="IB9" s="65"/>
      <c r="IE9" s="108"/>
      <c r="IF9" s="349"/>
      <c r="IG9" s="349"/>
      <c r="II9" s="1096" t="str">
        <f t="shared" si="62"/>
        <v>#NAME?</v>
      </c>
      <c r="IJ9" s="1098" t="s">
        <v>1376</v>
      </c>
      <c r="IK9" s="1418" t="str">
        <f t="shared" si="63"/>
        <v>#NAME?</v>
      </c>
      <c r="IL9" s="1419" t="str">
        <f t="shared" si="64"/>
        <v>#NAME?</v>
      </c>
      <c r="IM9" s="1108" t="s">
        <v>5008</v>
      </c>
      <c r="IO9" s="1096" t="str">
        <f t="shared" si="65"/>
        <v>#NAME?</v>
      </c>
      <c r="IP9" s="1415" t="s">
        <v>1393</v>
      </c>
      <c r="IQ9" s="1418" t="str">
        <f t="shared" si="66"/>
        <v>#NAME?</v>
      </c>
      <c r="IR9" s="1419" t="str">
        <f t="shared" si="67"/>
        <v>#NAME?</v>
      </c>
      <c r="IS9" s="1416" t="s">
        <v>5008</v>
      </c>
      <c r="IT9" s="1230"/>
      <c r="IU9" s="1230"/>
      <c r="IV9" s="1230"/>
      <c r="IW9" s="449"/>
      <c r="IX9" s="449"/>
      <c r="IY9" s="1230"/>
      <c r="IZ9" s="1230"/>
      <c r="JA9" s="1193" t="str">
        <f t="shared" si="284"/>
        <v>#NAME?</v>
      </c>
      <c r="JB9" s="1363" t="s">
        <v>2954</v>
      </c>
      <c r="JC9" s="1146" t="str">
        <f t="shared" si="285"/>
        <v>#NAME?</v>
      </c>
      <c r="JD9" s="1148" t="str">
        <f t="shared" si="286"/>
        <v>#NAME?</v>
      </c>
      <c r="JE9" s="1364" t="s">
        <v>5008</v>
      </c>
      <c r="JF9" s="1230"/>
      <c r="JG9" s="1094" t="str">
        <f t="shared" si="242"/>
        <v>#NAME?</v>
      </c>
      <c r="JH9" s="499" t="s">
        <v>1242</v>
      </c>
      <c r="JI9" s="1420" t="str">
        <f t="shared" si="243"/>
        <v>#NAME?</v>
      </c>
      <c r="JJ9" s="475" t="str">
        <f t="shared" si="244"/>
        <v>#NAME?</v>
      </c>
      <c r="JK9" s="1095" t="s">
        <v>5084</v>
      </c>
      <c r="JL9" s="1230"/>
      <c r="JM9" s="1068" t="str">
        <f t="shared" si="287"/>
        <v>#NAME?</v>
      </c>
      <c r="JN9" s="1078" t="s">
        <v>1057</v>
      </c>
      <c r="JO9" s="1358" t="str">
        <f t="shared" si="288"/>
        <v>#NAME?</v>
      </c>
      <c r="JP9" s="1359" t="str">
        <f t="shared" si="289"/>
        <v>#NAME?</v>
      </c>
      <c r="JQ9" s="1093" t="s">
        <v>5008</v>
      </c>
      <c r="JR9" s="1230"/>
      <c r="JU9" s="349"/>
      <c r="JV9" s="349"/>
      <c r="JW9" s="349"/>
      <c r="JY9" s="1096" t="str">
        <f t="shared" si="71"/>
        <v>#NAME?</v>
      </c>
      <c r="JZ9" s="1149" t="s">
        <v>2661</v>
      </c>
      <c r="KA9" s="1418" t="str">
        <f t="shared" si="72"/>
        <v>#NAME?</v>
      </c>
      <c r="KB9" s="1419" t="str">
        <f t="shared" si="73"/>
        <v>#NAME?</v>
      </c>
      <c r="KC9" s="1108" t="s">
        <v>5010</v>
      </c>
      <c r="KG9" s="349"/>
      <c r="KH9" s="349"/>
      <c r="KI9" s="349"/>
      <c r="KJ9" s="65"/>
      <c r="KK9" s="983" t="str">
        <f t="shared" ref="KK9:KK11" si="332">MONICON21(KL9)</f>
        <v>#NAME?</v>
      </c>
      <c r="KL9" s="1301" t="s">
        <v>2642</v>
      </c>
      <c r="KM9" s="1311" t="str">
        <f t="shared" ref="KM9:KM11" si="333">MONTYPEICON1(KL9)</f>
        <v>#NAME?</v>
      </c>
      <c r="KN9" s="1312" t="str">
        <f t="shared" ref="KN9:KN11" si="334">MONTYPEICON2(KL9)</f>
        <v>#NAME?</v>
      </c>
      <c r="KO9" s="1303" t="s">
        <v>5010</v>
      </c>
      <c r="KQ9" s="1056" t="str">
        <f t="shared" si="209"/>
        <v>#NAME?</v>
      </c>
      <c r="KR9" s="1089" t="s">
        <v>3468</v>
      </c>
      <c r="KS9" s="1021" t="str">
        <f t="shared" si="210"/>
        <v>#NAME?</v>
      </c>
      <c r="KT9" s="1024" t="str">
        <f t="shared" si="211"/>
        <v>#NAME?</v>
      </c>
      <c r="KU9" s="1024" t="s">
        <v>5009</v>
      </c>
      <c r="KW9" s="1280"/>
      <c r="KX9" s="1274" t="s">
        <v>4908</v>
      </c>
      <c r="KY9" s="959"/>
      <c r="KZ9" s="957"/>
      <c r="LA9" s="1282" t="s">
        <v>4608</v>
      </c>
      <c r="LB9" s="442"/>
      <c r="LC9" s="1094" t="str">
        <f t="shared" si="77"/>
        <v>#NAME?</v>
      </c>
      <c r="LD9" s="1479" t="s">
        <v>3941</v>
      </c>
      <c r="LE9" s="1051" t="str">
        <f t="shared" si="78"/>
        <v>#NAME?</v>
      </c>
      <c r="LF9" s="1131" t="str">
        <f t="shared" si="79"/>
        <v>#NAME?</v>
      </c>
      <c r="LG9" s="1422" t="s">
        <v>5106</v>
      </c>
      <c r="LI9" s="1266"/>
      <c r="LJ9" s="1259" t="s">
        <v>5144</v>
      </c>
      <c r="LK9" s="12"/>
      <c r="LL9" s="962"/>
      <c r="LM9" s="1258" t="s">
        <v>4608</v>
      </c>
      <c r="LO9" s="983" t="str">
        <f t="shared" ref="LO9:LO11" si="335">MONICON21(LP9)</f>
        <v>#NAME?</v>
      </c>
      <c r="LP9" s="1301" t="s">
        <v>951</v>
      </c>
      <c r="LQ9" s="977" t="str">
        <f t="shared" ref="LQ9:LQ11" si="336">MONTYPEICON1(LP9)</f>
        <v>#NAME?</v>
      </c>
      <c r="LR9" s="980" t="str">
        <f t="shared" ref="LR9:LR11" si="337">MONTYPEICON2(LP9)</f>
        <v>#NAME?</v>
      </c>
      <c r="LS9" s="1318" t="s">
        <v>5106</v>
      </c>
      <c r="LT9" s="442"/>
      <c r="LU9" s="65"/>
      <c r="LV9" s="65"/>
      <c r="LW9" s="108"/>
      <c r="LX9" s="349"/>
      <c r="MA9" s="1273"/>
      <c r="MB9" s="1281" t="s">
        <v>4908</v>
      </c>
      <c r="MC9" s="12"/>
      <c r="MD9" s="962"/>
      <c r="ME9" s="1282" t="s">
        <v>4608</v>
      </c>
      <c r="MG9" s="1351" t="str">
        <f t="shared" si="290"/>
        <v>#NAME?</v>
      </c>
      <c r="MH9" s="1372" t="s">
        <v>2458</v>
      </c>
      <c r="MI9" s="1353" t="str">
        <f t="shared" si="291"/>
        <v>#NAME?</v>
      </c>
      <c r="MJ9" s="1354" t="str">
        <f t="shared" si="292"/>
        <v>#NAME?</v>
      </c>
      <c r="MK9" s="1367" t="s">
        <v>5106</v>
      </c>
      <c r="MM9" s="1351" t="str">
        <f t="shared" si="212"/>
        <v>#NAME?</v>
      </c>
      <c r="MN9" s="1372" t="s">
        <v>4160</v>
      </c>
      <c r="MO9" s="1353" t="str">
        <f t="shared" si="213"/>
        <v>#NAME?</v>
      </c>
      <c r="MP9" s="1354" t="str">
        <f t="shared" si="214"/>
        <v>#NAME?</v>
      </c>
      <c r="MQ9" s="1367" t="s">
        <v>5051</v>
      </c>
      <c r="MS9" s="1280"/>
      <c r="MT9" s="1281" t="s">
        <v>4908</v>
      </c>
      <c r="MU9" s="12"/>
      <c r="MV9" s="962"/>
      <c r="MW9" s="1282" t="s">
        <v>4608</v>
      </c>
      <c r="MX9" s="442"/>
      <c r="MY9" s="1096" t="str">
        <f t="shared" si="92"/>
        <v>#NAME?</v>
      </c>
      <c r="MZ9" s="1301" t="s">
        <v>1200</v>
      </c>
      <c r="NA9" s="1013" t="str">
        <f t="shared" si="93"/>
        <v>#NAME?</v>
      </c>
      <c r="NB9" s="1015" t="str">
        <f t="shared" si="94"/>
        <v>#NAME?</v>
      </c>
      <c r="NC9" s="1318" t="s">
        <v>5017</v>
      </c>
      <c r="ND9" s="442"/>
      <c r="NE9" s="1094" t="str">
        <f t="shared" si="248"/>
        <v>#NAME?</v>
      </c>
      <c r="NF9" s="1127" t="s">
        <v>2477</v>
      </c>
      <c r="NG9" s="1420" t="str">
        <f t="shared" si="249"/>
        <v>#NAME?</v>
      </c>
      <c r="NH9" s="475" t="str">
        <f t="shared" si="250"/>
        <v>#NAME?</v>
      </c>
      <c r="NI9" s="1422" t="s">
        <v>5017</v>
      </c>
      <c r="NK9" s="1012" t="str">
        <f t="shared" ref="NK9:NK10" si="338">MONICON21(NL9)</f>
        <v>#NAME?</v>
      </c>
      <c r="NL9" s="1301" t="s">
        <v>2141</v>
      </c>
      <c r="NM9" s="1311" t="str">
        <f t="shared" ref="NM9:NM10" si="339">MONTYPEICON1(NL9)</f>
        <v>#NAME?</v>
      </c>
      <c r="NN9" s="1312" t="str">
        <f t="shared" ref="NN9:NN10" si="340">MONTYPEICON2(NL9)</f>
        <v>#NAME?</v>
      </c>
      <c r="NO9" s="1318" t="s">
        <v>5017</v>
      </c>
      <c r="NP9" s="442"/>
      <c r="NQ9" s="983" t="str">
        <f t="shared" ref="NQ9:NQ11" si="341">MONICON21(NR9)</f>
        <v>#NAME?</v>
      </c>
      <c r="NR9" s="1301" t="s">
        <v>1705</v>
      </c>
      <c r="NS9" s="1313" t="str">
        <f t="shared" ref="NS9:NS11" si="342">MONTYPEICON1(NR9)</f>
        <v>#NAME?</v>
      </c>
      <c r="NT9" s="1314" t="str">
        <f t="shared" ref="NT9:NT11" si="343">MONTYPEICON2(NR9)</f>
        <v>#NAME?</v>
      </c>
      <c r="NU9" s="1318" t="s">
        <v>5051</v>
      </c>
      <c r="NV9" s="442"/>
      <c r="NW9" s="1012" t="str">
        <f t="shared" si="251"/>
        <v>#NAME?</v>
      </c>
      <c r="NX9" s="1098" t="s">
        <v>2849</v>
      </c>
      <c r="NY9" s="1013" t="str">
        <f t="shared" si="252"/>
        <v>#NAME?</v>
      </c>
      <c r="NZ9" s="1015" t="str">
        <f t="shared" si="253"/>
        <v>#NAME?</v>
      </c>
      <c r="OA9" s="1414" t="s">
        <v>5020</v>
      </c>
      <c r="OB9" s="442"/>
      <c r="OC9" s="1266"/>
      <c r="OD9" s="1256" t="s">
        <v>5145</v>
      </c>
      <c r="OE9" s="1285" t="s">
        <v>4888</v>
      </c>
      <c r="OF9" s="962"/>
      <c r="OG9" s="1258" t="s">
        <v>4608</v>
      </c>
      <c r="OH9" s="442"/>
      <c r="OK9" s="349"/>
      <c r="OL9" s="349"/>
      <c r="ON9" s="442"/>
      <c r="OO9" s="1094" t="str">
        <f t="shared" si="104"/>
        <v>#NAME?</v>
      </c>
      <c r="OP9" s="1127" t="s">
        <v>1328</v>
      </c>
      <c r="OQ9" s="1420" t="str">
        <f t="shared" si="105"/>
        <v>#NAME?</v>
      </c>
      <c r="OR9" s="475" t="str">
        <f t="shared" si="106"/>
        <v>#NAME?</v>
      </c>
      <c r="OS9" s="1422" t="s">
        <v>5020</v>
      </c>
      <c r="OU9" s="1094" t="str">
        <f t="shared" si="107"/>
        <v>#NAME?</v>
      </c>
      <c r="OV9" s="1127" t="s">
        <v>1934</v>
      </c>
      <c r="OW9" s="1420" t="str">
        <f t="shared" si="108"/>
        <v>#NAME?</v>
      </c>
      <c r="OX9" s="475" t="str">
        <f t="shared" si="109"/>
        <v>#NAME?</v>
      </c>
      <c r="OY9" s="1422" t="s">
        <v>5020</v>
      </c>
      <c r="PA9" s="983" t="str">
        <f t="shared" ref="PA9:PA14" si="344">MONICON21(PB9)</f>
        <v>#NAME?</v>
      </c>
      <c r="PB9" s="1425" t="s">
        <v>1264</v>
      </c>
      <c r="PC9" s="1311" t="str">
        <f t="shared" ref="PC9:PC14" si="345">MONTYPEICON1(PB9)</f>
        <v>#NAME?</v>
      </c>
      <c r="PD9" s="1312" t="str">
        <f t="shared" ref="PD9:PD14" si="346">MONTYPEICON2(PB9)</f>
        <v>#NAME?</v>
      </c>
      <c r="PE9" s="1426" t="s">
        <v>5146</v>
      </c>
      <c r="PF9" s="442"/>
      <c r="PG9" s="983" t="str">
        <f t="shared" ref="PG9:PG11" si="347">MONICON21(PH9)</f>
        <v>#NAME?</v>
      </c>
      <c r="PH9" s="1301" t="s">
        <v>673</v>
      </c>
      <c r="PI9" s="1311" t="str">
        <f t="shared" ref="PI9:PI11" si="348">MONTYPEICON1(PH9)</f>
        <v>#NAME?</v>
      </c>
      <c r="PJ9" s="1312" t="str">
        <f t="shared" ref="PJ9:PJ11" si="349">MONTYPEICON2(PH9)</f>
        <v>#NAME?</v>
      </c>
      <c r="PK9" s="1318" t="s">
        <v>5022</v>
      </c>
      <c r="PM9" s="983" t="str">
        <f t="shared" ref="PM9:PM11" si="350">MONICON21(PN9)</f>
        <v>#NAME?</v>
      </c>
      <c r="PN9" s="1301" t="s">
        <v>3872</v>
      </c>
      <c r="PO9" s="1311" t="str">
        <f t="shared" ref="PO9:PO11" si="351">MONTYPEICON1(PN9)</f>
        <v>#NAME?</v>
      </c>
      <c r="PP9" s="1312" t="str">
        <f t="shared" ref="PP9:PP11" si="352">MONTYPEICON2(PN9)</f>
        <v>#NAME?</v>
      </c>
      <c r="PQ9" s="1318" t="s">
        <v>5022</v>
      </c>
      <c r="PR9" s="442"/>
      <c r="PU9" s="349"/>
      <c r="PV9" s="349"/>
      <c r="PY9" s="1096" t="str">
        <f t="shared" si="119"/>
        <v>#NAME?</v>
      </c>
      <c r="PZ9" s="1098" t="s">
        <v>1384</v>
      </c>
      <c r="QA9" s="1418" t="str">
        <f t="shared" si="120"/>
        <v>#NAME?</v>
      </c>
      <c r="QB9" s="1419" t="str">
        <f t="shared" si="121"/>
        <v>#NAME?</v>
      </c>
      <c r="QC9" s="1423" t="s">
        <v>5023</v>
      </c>
      <c r="QD9" s="442"/>
      <c r="QE9" s="1012" t="str">
        <f t="shared" ref="QE9:QE14" si="353">MONICON21(QF9)</f>
        <v>#NAME?</v>
      </c>
      <c r="QF9" s="1301" t="s">
        <v>3670</v>
      </c>
      <c r="QG9" s="1313" t="str">
        <f t="shared" ref="QG9:QG14" si="354">MONTYPEICON1(QF9)</f>
        <v>#NAME?</v>
      </c>
      <c r="QH9" s="1314" t="str">
        <f t="shared" ref="QH9:QH14" si="355">MONTYPEICON2(QF9)</f>
        <v>#NAME?</v>
      </c>
      <c r="QI9" s="1318" t="s">
        <v>5032</v>
      </c>
      <c r="QJ9" s="442"/>
      <c r="QK9" s="1457" t="str">
        <f t="shared" si="293"/>
        <v>#NAME?</v>
      </c>
      <c r="QL9" s="1429" t="s">
        <v>2046</v>
      </c>
      <c r="QM9" s="1428" t="str">
        <f t="shared" si="294"/>
        <v>#NAME?</v>
      </c>
      <c r="QN9" s="1430" t="str">
        <f t="shared" si="295"/>
        <v>#NAME?</v>
      </c>
      <c r="QO9" s="1431" t="s">
        <v>5031</v>
      </c>
      <c r="QP9" s="442"/>
      <c r="QQ9" s="1457" t="str">
        <f t="shared" si="296"/>
        <v>#NAME?</v>
      </c>
      <c r="QR9" s="1429" t="s">
        <v>3158</v>
      </c>
      <c r="QS9" s="1428" t="str">
        <f t="shared" si="297"/>
        <v>#NAME?</v>
      </c>
      <c r="QT9" s="1430" t="str">
        <f t="shared" si="298"/>
        <v>#NAME?</v>
      </c>
      <c r="QU9" s="1431" t="s">
        <v>5033</v>
      </c>
      <c r="QW9" s="1457" t="str">
        <f t="shared" si="299"/>
        <v>#NAME?</v>
      </c>
      <c r="QX9" s="1429" t="s">
        <v>2185</v>
      </c>
      <c r="QY9" s="1428" t="str">
        <f t="shared" si="300"/>
        <v>#NAME?</v>
      </c>
      <c r="QZ9" s="1430" t="str">
        <f t="shared" si="301"/>
        <v>#NAME?</v>
      </c>
      <c r="RA9" s="1431" t="s">
        <v>5112</v>
      </c>
      <c r="RB9" s="442"/>
      <c r="RC9" s="1457" t="str">
        <f t="shared" si="302"/>
        <v>#NAME?</v>
      </c>
      <c r="RD9" s="1429" t="s">
        <v>1908</v>
      </c>
      <c r="RE9" s="1428" t="str">
        <f t="shared" si="303"/>
        <v>#NAME?</v>
      </c>
      <c r="RF9" s="1430" t="str">
        <f t="shared" si="304"/>
        <v>#NAME?</v>
      </c>
      <c r="RG9" s="1431" t="s">
        <v>5113</v>
      </c>
      <c r="RH9" s="442"/>
      <c r="RI9" s="1457" t="str">
        <f t="shared" si="305"/>
        <v>#NAME?</v>
      </c>
      <c r="RJ9" s="1429" t="s">
        <v>3736</v>
      </c>
      <c r="RK9" s="1428" t="str">
        <f t="shared" si="306"/>
        <v>#NAME?</v>
      </c>
      <c r="RL9" s="1430" t="str">
        <f t="shared" si="307"/>
        <v>#NAME?</v>
      </c>
      <c r="RM9" s="1431" t="s">
        <v>5092</v>
      </c>
      <c r="RN9" s="442"/>
      <c r="RO9" s="442"/>
      <c r="RP9" s="442"/>
      <c r="RQ9" s="108"/>
      <c r="RR9" s="108"/>
      <c r="RS9" s="442"/>
      <c r="RT9" s="442"/>
      <c r="RU9" s="1096" t="str">
        <f t="shared" si="122"/>
        <v>#NAME?</v>
      </c>
      <c r="RV9" s="1304" t="s">
        <v>3317</v>
      </c>
      <c r="RW9" s="1013" t="str">
        <f t="shared" si="123"/>
        <v>#NAME?</v>
      </c>
      <c r="RX9" s="1015" t="str">
        <f t="shared" si="124"/>
        <v>#NAME?</v>
      </c>
      <c r="RY9" s="1321" t="s">
        <v>5024</v>
      </c>
      <c r="RZ9" s="442"/>
      <c r="SC9" s="349"/>
      <c r="SD9" s="349"/>
      <c r="SG9" s="1286"/>
      <c r="SH9" s="1259" t="s">
        <v>5147</v>
      </c>
      <c r="SI9" s="12"/>
      <c r="SJ9" s="962"/>
      <c r="SK9" s="1004" t="s">
        <v>4608</v>
      </c>
      <c r="SL9" s="442"/>
      <c r="SM9" s="1266"/>
      <c r="SN9" s="1256" t="s">
        <v>5148</v>
      </c>
      <c r="SO9" s="1285" t="s">
        <v>4888</v>
      </c>
      <c r="SP9" s="962"/>
      <c r="SQ9" s="1004" t="s">
        <v>4608</v>
      </c>
      <c r="SS9" s="1094" t="str">
        <f t="shared" si="254"/>
        <v>#NAME?</v>
      </c>
      <c r="ST9" s="1127" t="s">
        <v>171</v>
      </c>
      <c r="SU9" s="1420" t="str">
        <f t="shared" si="255"/>
        <v>#NAME?</v>
      </c>
      <c r="SV9" s="475" t="str">
        <f t="shared" si="256"/>
        <v>#NAME?</v>
      </c>
      <c r="SW9" s="1422" t="s">
        <v>5025</v>
      </c>
      <c r="SY9" s="1096" t="str">
        <f t="shared" si="257"/>
        <v>#NAME?</v>
      </c>
      <c r="SZ9" s="1098" t="s">
        <v>1057</v>
      </c>
      <c r="TA9" s="1417" t="str">
        <f t="shared" si="258"/>
        <v>#NAME?</v>
      </c>
      <c r="TB9" s="62" t="str">
        <f t="shared" si="259"/>
        <v>#NAME?</v>
      </c>
      <c r="TC9" s="1423" t="s">
        <v>5033</v>
      </c>
      <c r="TE9" s="1012" t="str">
        <f t="shared" si="260"/>
        <v>#NAME?</v>
      </c>
      <c r="TF9" s="1481" t="s">
        <v>1916</v>
      </c>
      <c r="TG9" s="1417" t="str">
        <f t="shared" si="261"/>
        <v>#NAME?</v>
      </c>
      <c r="TH9" s="62" t="str">
        <f t="shared" si="262"/>
        <v>#NAME?</v>
      </c>
      <c r="TI9" s="1482" t="s">
        <v>5092</v>
      </c>
      <c r="TK9" s="983" t="str">
        <f t="shared" ref="TK9:TK11" si="356">MONICON21(TL9)</f>
        <v>#NAME?</v>
      </c>
      <c r="TL9" s="1301" t="s">
        <v>3670</v>
      </c>
      <c r="TM9" s="1311" t="str">
        <f t="shared" ref="TM9:TM11" si="357">MONTYPEICON1(TL9)</f>
        <v>#NAME?</v>
      </c>
      <c r="TN9" s="1312" t="str">
        <f t="shared" ref="TN9:TN11" si="358">MONTYPEICON2(TL9)</f>
        <v>#NAME?</v>
      </c>
      <c r="TO9" s="1318" t="s">
        <v>5026</v>
      </c>
      <c r="TQ9" s="983" t="str">
        <f t="shared" ref="TQ9:TQ11" si="359">MONICON21(TR9)</f>
        <v>#NAME?</v>
      </c>
      <c r="TR9" s="1301" t="s">
        <v>673</v>
      </c>
      <c r="TS9" s="1311" t="str">
        <f t="shared" ref="TS9:TS11" si="360">MONTYPEICON1(TR9)</f>
        <v>#NAME?</v>
      </c>
      <c r="TT9" s="1312" t="str">
        <f t="shared" ref="TT9:TT11" si="361">MONTYPEICON2(TR9)</f>
        <v>#NAME?</v>
      </c>
      <c r="TU9" s="1318" t="s">
        <v>5026</v>
      </c>
      <c r="TW9" s="1428" t="str">
        <f t="shared" si="308"/>
        <v>#NAME?</v>
      </c>
      <c r="TX9" s="1429" t="s">
        <v>2046</v>
      </c>
      <c r="TY9" s="1428" t="str">
        <f t="shared" si="309"/>
        <v>#NAME?</v>
      </c>
      <c r="TZ9" s="1430" t="str">
        <f t="shared" si="310"/>
        <v>#NAME?</v>
      </c>
      <c r="UA9" s="1431" t="s">
        <v>5117</v>
      </c>
      <c r="UC9" s="1428" t="str">
        <f t="shared" si="215"/>
        <v>#NAME?</v>
      </c>
      <c r="UD9" s="1429" t="s">
        <v>4031</v>
      </c>
      <c r="UE9" s="1428" t="str">
        <f t="shared" si="216"/>
        <v>#NAME?</v>
      </c>
      <c r="UF9" s="1430" t="str">
        <f t="shared" si="217"/>
        <v>#NAME?</v>
      </c>
      <c r="UG9" s="1431" t="s">
        <v>5063</v>
      </c>
      <c r="UO9" s="1383" t="str">
        <f t="shared" si="311"/>
        <v>#NAME?</v>
      </c>
      <c r="UP9" s="1384" t="s">
        <v>767</v>
      </c>
      <c r="UQ9" s="1383" t="str">
        <f t="shared" si="312"/>
        <v>#NAME?</v>
      </c>
      <c r="UR9" s="1385" t="str">
        <f t="shared" si="313"/>
        <v>#NAME?</v>
      </c>
      <c r="US9" s="1386" t="s">
        <v>5118</v>
      </c>
      <c r="UU9" s="1383" t="str">
        <f t="shared" si="314"/>
        <v>#NAME?</v>
      </c>
      <c r="UV9" s="1384" t="s">
        <v>474</v>
      </c>
      <c r="UW9" s="1383" t="str">
        <f t="shared" si="315"/>
        <v>#NAME?</v>
      </c>
      <c r="UX9" s="1385" t="str">
        <f t="shared" si="316"/>
        <v>#NAME?</v>
      </c>
      <c r="UY9" s="1386" t="s">
        <v>5028</v>
      </c>
      <c r="VA9" s="977" t="str">
        <f t="shared" ref="VA9:VA11" si="362">MONICON21(VB9)</f>
        <v>#NAME?</v>
      </c>
      <c r="VB9" s="1301" t="s">
        <v>1705</v>
      </c>
      <c r="VC9" s="979" t="str">
        <f t="shared" ref="VC9:VC11" si="363">MONTYPEICON1(VB9)</f>
        <v>#NAME?</v>
      </c>
      <c r="VD9" s="1314" t="str">
        <f t="shared" ref="VD9:VD11" si="364">MONTYPEICON2(VB9)</f>
        <v>#NAME?</v>
      </c>
      <c r="VE9" s="1303" t="s">
        <v>5029</v>
      </c>
      <c r="VG9" s="442"/>
      <c r="VH9" s="442"/>
      <c r="VI9" s="442"/>
      <c r="VJ9" s="442"/>
      <c r="VK9" s="442"/>
      <c r="VL9" s="442"/>
      <c r="VM9" s="961" t="s">
        <v>4515</v>
      </c>
      <c r="VN9" s="12"/>
      <c r="VO9" s="12"/>
      <c r="VP9" s="12"/>
      <c r="VQ9" s="48"/>
      <c r="VR9" s="442"/>
      <c r="VX9" s="442"/>
      <c r="VY9" s="977" t="str">
        <f t="shared" ref="VY9:VY11" si="365">MONICON21(VZ9)</f>
        <v>#NAME?</v>
      </c>
      <c r="VZ9" s="1301" t="s">
        <v>1858</v>
      </c>
      <c r="WA9" s="977" t="str">
        <f t="shared" ref="WA9:WA11" si="366">MONTYPEICON1(VZ9)</f>
        <v>#NAME?</v>
      </c>
      <c r="WB9" s="980" t="str">
        <f t="shared" ref="WB9:WB11" si="367">MONTYPEICON2(VZ9)</f>
        <v>#NAME?</v>
      </c>
      <c r="WC9" s="1303" t="s">
        <v>4998</v>
      </c>
      <c r="WD9" s="442"/>
      <c r="WE9" s="1289" t="s">
        <v>4524</v>
      </c>
      <c r="WF9" s="12"/>
      <c r="WG9" s="12"/>
      <c r="WH9" s="12"/>
      <c r="WI9" s="48"/>
      <c r="WJ9" s="442"/>
      <c r="WK9" s="1051" t="str">
        <f t="shared" si="263"/>
        <v>#NAME?</v>
      </c>
      <c r="WL9" s="1127" t="s">
        <v>2125</v>
      </c>
      <c r="WM9" s="1051" t="str">
        <f t="shared" si="264"/>
        <v>#NAME?</v>
      </c>
      <c r="WN9" s="1131" t="str">
        <f t="shared" si="265"/>
        <v>#NAME?</v>
      </c>
      <c r="WO9" s="1095" t="s">
        <v>5019</v>
      </c>
      <c r="WP9" s="442"/>
      <c r="WQ9" s="442"/>
      <c r="WR9" s="442"/>
      <c r="WS9" s="442"/>
      <c r="WT9" s="442"/>
      <c r="WU9" s="442"/>
      <c r="WV9" s="442"/>
      <c r="WW9" s="977" t="str">
        <f t="shared" ref="WW9:WW11" si="368">MONICON21(WX9)</f>
        <v>#NAME?</v>
      </c>
      <c r="WX9" s="1301" t="s">
        <v>550</v>
      </c>
      <c r="WY9" s="977" t="str">
        <f t="shared" ref="WY9:WY11" si="369">MONTYPEICON1(WX9)</f>
        <v>#NAME?</v>
      </c>
      <c r="WZ9" s="980" t="str">
        <f t="shared" ref="WZ9:WZ11" si="370">MONTYPEICON2(WX9)</f>
        <v>#NAME?</v>
      </c>
      <c r="XA9" s="1303" t="s">
        <v>5034</v>
      </c>
      <c r="XB9" s="442"/>
      <c r="XC9" s="977" t="str">
        <f t="shared" ref="XC9:XC11" si="371">MONICON21(XD9)</f>
        <v>#NAME?</v>
      </c>
      <c r="XD9" s="1301" t="s">
        <v>364</v>
      </c>
      <c r="XE9" s="977" t="str">
        <f t="shared" ref="XE9:XE11" si="372">MONTYPEICON1(XD9)</f>
        <v>#NAME?</v>
      </c>
      <c r="XF9" s="980" t="str">
        <f t="shared" ref="XF9:XF11" si="373">MONTYPEICON2(XD9)</f>
        <v>#NAME?</v>
      </c>
      <c r="XG9" s="1303" t="s">
        <v>5023</v>
      </c>
      <c r="XH9" s="442"/>
      <c r="XI9" s="1013" t="str">
        <f t="shared" si="155"/>
        <v>#NAME?</v>
      </c>
      <c r="XJ9" s="1098" t="s">
        <v>1292</v>
      </c>
      <c r="XK9" s="1013" t="str">
        <f t="shared" si="156"/>
        <v>#NAME?</v>
      </c>
      <c r="XL9" s="1015" t="str">
        <f t="shared" si="157"/>
        <v>#NAME?</v>
      </c>
      <c r="XM9" s="1434" t="s">
        <v>5004</v>
      </c>
      <c r="XN9" s="442"/>
      <c r="XO9" s="1033" t="str">
        <f t="shared" ref="XO9:XO10" si="374">MONICON21(XP9)</f>
        <v>#NAME?</v>
      </c>
      <c r="XP9" s="1301" t="s">
        <v>3722</v>
      </c>
      <c r="XQ9" s="977" t="str">
        <f t="shared" ref="XQ9:XQ10" si="375">MONTYPEICON1(XP9)</f>
        <v>#NAME?</v>
      </c>
      <c r="XR9" s="980" t="str">
        <f t="shared" ref="XR9:XR10" si="376">MONTYPEICON2(XP9)</f>
        <v>#NAME?</v>
      </c>
      <c r="XS9" s="1302" t="s">
        <v>5018</v>
      </c>
      <c r="XT9" s="442"/>
      <c r="XU9" s="1483"/>
      <c r="XV9" s="1291" t="s">
        <v>5149</v>
      </c>
      <c r="XW9" s="12"/>
      <c r="XX9" s="962"/>
      <c r="XY9" s="1292" t="s">
        <v>4608</v>
      </c>
      <c r="XZ9" s="442"/>
      <c r="YA9" s="977" t="str">
        <f t="shared" ref="YA9:YA11" si="377">MONICON21(YB9)</f>
        <v>#NAME?</v>
      </c>
      <c r="YB9" s="1301" t="s">
        <v>2789</v>
      </c>
      <c r="YC9" s="977" t="str">
        <f t="shared" ref="YC9:YC11" si="378">MONTYPEICON1(YB9)</f>
        <v>#NAME?</v>
      </c>
      <c r="YD9" s="980" t="str">
        <f t="shared" ref="YD9:YD11" si="379">MONTYPEICON2(YB9)</f>
        <v>#NAME?</v>
      </c>
      <c r="YE9" s="1303" t="s">
        <v>5032</v>
      </c>
      <c r="YF9" s="442"/>
      <c r="YG9" s="977" t="str">
        <f t="shared" ref="YG9:YG11" si="380">MONICON21(YH9)</f>
        <v>#NAME?</v>
      </c>
      <c r="YH9" s="1301" t="s">
        <v>896</v>
      </c>
      <c r="YI9" s="977" t="str">
        <f t="shared" ref="YI9:YI11" si="381">MONTYPEICON1(YH9)</f>
        <v>#NAME?</v>
      </c>
      <c r="YJ9" s="980" t="str">
        <f t="shared" ref="YJ9:YJ11" si="382">MONTYPEICON2(YH9)</f>
        <v>#NAME?</v>
      </c>
      <c r="YK9" s="1303" t="s">
        <v>5019</v>
      </c>
      <c r="YL9" s="442"/>
      <c r="YM9" s="108"/>
      <c r="YN9" s="442"/>
      <c r="YO9" s="108"/>
      <c r="YP9" s="108"/>
      <c r="YQ9" s="442"/>
      <c r="YR9" s="442"/>
      <c r="YS9" s="977" t="str">
        <f t="shared" ref="YS9:YS12" si="383">MONICON21(YT9)</f>
        <v>#NAME?</v>
      </c>
      <c r="YT9" s="1325" t="s">
        <v>3196</v>
      </c>
      <c r="YU9" s="977" t="str">
        <f t="shared" ref="YU9:YU12" si="384">MONTYPEICON1(YT9)</f>
        <v>#NAME?</v>
      </c>
      <c r="YV9" s="980" t="str">
        <f t="shared" ref="YV9:YV12" si="385">MONTYPEICON2(YT9)</f>
        <v>#NAME?</v>
      </c>
      <c r="YW9" s="1326" t="s">
        <v>5033</v>
      </c>
      <c r="YX9" s="442"/>
      <c r="YY9" s="977" t="str">
        <f t="shared" ref="YY9:YY11" si="386">MONICON21(YZ9)</f>
        <v>#NAME?</v>
      </c>
      <c r="YZ9" s="1301" t="s">
        <v>4225</v>
      </c>
      <c r="ZA9" s="977" t="str">
        <f t="shared" ref="ZA9:ZA11" si="387">MONTYPEICON1(YZ9)</f>
        <v>#NAME?</v>
      </c>
      <c r="ZB9" s="980" t="str">
        <f t="shared" ref="ZB9:ZB11" si="388">MONTYPEICON2(YZ9)</f>
        <v>#NAME?</v>
      </c>
      <c r="ZC9" s="1303" t="s">
        <v>5033</v>
      </c>
      <c r="ZD9" s="442"/>
      <c r="ZE9" s="1289" t="s">
        <v>5150</v>
      </c>
      <c r="ZF9" s="12"/>
      <c r="ZG9" s="12"/>
      <c r="ZH9" s="12"/>
      <c r="ZI9" s="48"/>
      <c r="ZJ9" s="442"/>
      <c r="ZK9" s="1289" t="s">
        <v>4717</v>
      </c>
      <c r="ZL9" s="12"/>
      <c r="ZM9" s="12"/>
      <c r="ZN9" s="12"/>
      <c r="ZO9" s="48"/>
      <c r="ZP9" s="442"/>
      <c r="ZQ9" s="1013" t="str">
        <f t="shared" si="266"/>
        <v>#NAME?</v>
      </c>
      <c r="ZR9" s="1435" t="s">
        <v>4153</v>
      </c>
      <c r="ZS9" s="1013" t="str">
        <f t="shared" si="267"/>
        <v>#NAME?</v>
      </c>
      <c r="ZT9" s="1015" t="str">
        <f t="shared" si="268"/>
        <v>#NAME?</v>
      </c>
      <c r="ZU9" s="1436" t="s">
        <v>5092</v>
      </c>
      <c r="ZV9" s="442"/>
      <c r="ZW9" s="977" t="str">
        <f t="shared" ref="ZW9:ZW12" si="389">MONICON21(ZX9)</f>
        <v>#NAME?</v>
      </c>
      <c r="ZX9" s="1325" t="s">
        <v>1778</v>
      </c>
      <c r="ZY9" s="977" t="str">
        <f t="shared" ref="ZY9:ZY12" si="390">MONTYPEICON1(ZX9)</f>
        <v>#NAME?</v>
      </c>
      <c r="ZZ9" s="980" t="str">
        <f t="shared" ref="ZZ9:ZZ12" si="391">MONTYPEICON2(ZX9)</f>
        <v>#NAME?</v>
      </c>
      <c r="AAA9" s="1326" t="s">
        <v>5035</v>
      </c>
      <c r="AAB9" s="442"/>
      <c r="AAC9" s="1472"/>
      <c r="AAD9" s="1291" t="s">
        <v>5151</v>
      </c>
      <c r="AAE9" s="12"/>
      <c r="AAF9" s="962"/>
      <c r="AAG9" s="1292" t="s">
        <v>4608</v>
      </c>
      <c r="AAH9" s="442"/>
      <c r="AAI9" s="1297" t="s">
        <v>5152</v>
      </c>
      <c r="AAJ9" s="976"/>
      <c r="AAK9" s="976"/>
      <c r="AAL9" s="976"/>
      <c r="AAM9" s="976"/>
      <c r="AAN9" s="976"/>
      <c r="AAO9" s="976"/>
      <c r="AAP9" s="976"/>
      <c r="AAQ9" s="976"/>
      <c r="AAR9" s="976"/>
      <c r="AAS9" s="954"/>
      <c r="AAU9" s="1013" t="str">
        <f t="shared" si="185"/>
        <v>#NAME?</v>
      </c>
      <c r="AAV9" s="1098" t="s">
        <v>2970</v>
      </c>
      <c r="AAW9" s="1013" t="str">
        <f t="shared" si="186"/>
        <v>#NAME?</v>
      </c>
      <c r="AAX9" s="1015" t="str">
        <f t="shared" si="187"/>
        <v>#NAME?</v>
      </c>
      <c r="AAY9" s="1423" t="s">
        <v>5036</v>
      </c>
      <c r="ABA9" s="1013" t="str">
        <f t="shared" si="188"/>
        <v>#NAME?</v>
      </c>
      <c r="ABB9" s="1098" t="s">
        <v>4233</v>
      </c>
      <c r="ABC9" s="1013" t="str">
        <f t="shared" si="189"/>
        <v>#NAME?</v>
      </c>
      <c r="ABD9" s="1015" t="str">
        <f t="shared" si="190"/>
        <v>#NAME?</v>
      </c>
      <c r="ABE9" s="1423" t="s">
        <v>5036</v>
      </c>
      <c r="ABG9" s="1013" t="str">
        <f t="shared" si="191"/>
        <v>#NAME?</v>
      </c>
      <c r="ABH9" s="1098" t="s">
        <v>2686</v>
      </c>
      <c r="ABI9" s="1013" t="str">
        <f t="shared" si="192"/>
        <v>#NAME?</v>
      </c>
      <c r="ABJ9" s="1015" t="str">
        <f t="shared" si="193"/>
        <v>#NAME?</v>
      </c>
      <c r="ABK9" s="1423" t="s">
        <v>5036</v>
      </c>
      <c r="ABM9" s="1013" t="str">
        <f t="shared" si="194"/>
        <v>#NAME?</v>
      </c>
      <c r="ABN9" s="1098" t="s">
        <v>4139</v>
      </c>
      <c r="ABO9" s="1013" t="str">
        <f t="shared" si="195"/>
        <v>#NAME?</v>
      </c>
      <c r="ABP9" s="1015" t="str">
        <f t="shared" si="196"/>
        <v>#NAME?</v>
      </c>
      <c r="ABQ9" s="1423" t="s">
        <v>5036</v>
      </c>
      <c r="ABS9" s="1013" t="str">
        <f t="shared" si="197"/>
        <v>#NAME?</v>
      </c>
      <c r="ABT9" s="1098" t="s">
        <v>989</v>
      </c>
      <c r="ABU9" s="1013" t="str">
        <f t="shared" si="198"/>
        <v>#NAME?</v>
      </c>
      <c r="ABV9" s="1015" t="str">
        <f t="shared" si="199"/>
        <v>#NAME?</v>
      </c>
      <c r="ABW9" s="1423" t="s">
        <v>5036</v>
      </c>
      <c r="ABY9" s="1484"/>
      <c r="ABZ9" s="1485" t="s">
        <v>5134</v>
      </c>
      <c r="ACA9" s="416"/>
      <c r="ACB9" s="1486"/>
      <c r="ACC9" s="1487" t="s">
        <v>4608</v>
      </c>
      <c r="ACE9" s="1442" t="str">
        <f t="shared" si="1"/>
        <v/>
      </c>
      <c r="ACF9" s="1443" t="s">
        <v>5037</v>
      </c>
      <c r="ACG9" s="1013" t="s">
        <v>4608</v>
      </c>
      <c r="ACH9" s="1015" t="s">
        <v>4608</v>
      </c>
      <c r="ACI9" s="1423" t="s">
        <v>5038</v>
      </c>
      <c r="ACJ9" s="996"/>
    </row>
    <row r="10" ht="15.75" customHeight="1">
      <c r="A10" s="1230"/>
      <c r="B10" s="1403" t="str">
        <f>image("https://archives.bulbagarden.net/media/upload/9/97/Badge_Case_Gardenia_IV.png", 3)</f>
        <v/>
      </c>
      <c r="C10" s="1404" t="s">
        <v>5153</v>
      </c>
      <c r="D10" s="1382" t="s">
        <v>4608</v>
      </c>
      <c r="E10" s="1230"/>
      <c r="F10" s="1238"/>
      <c r="G10" s="1405" t="s">
        <v>5154</v>
      </c>
      <c r="H10" s="1230"/>
      <c r="I10" s="1488"/>
      <c r="J10" s="1489" t="s">
        <v>4926</v>
      </c>
      <c r="K10" s="959"/>
      <c r="L10" s="957"/>
      <c r="M10" s="1270" t="s">
        <v>4608</v>
      </c>
      <c r="N10" s="1230"/>
      <c r="O10" s="1071" t="str">
        <f t="shared" si="317"/>
        <v>#NAME?</v>
      </c>
      <c r="P10" s="1076" t="s">
        <v>3778</v>
      </c>
      <c r="Q10" s="1071" t="str">
        <f t="shared" si="318"/>
        <v>#NAME?</v>
      </c>
      <c r="R10" s="1073" t="str">
        <f t="shared" si="319"/>
        <v>#NAME?</v>
      </c>
      <c r="S10" s="1093" t="s">
        <v>4988</v>
      </c>
      <c r="T10" s="1230"/>
      <c r="U10" s="1051" t="str">
        <f t="shared" si="269"/>
        <v>#NAME?</v>
      </c>
      <c r="V10" s="1127" t="s">
        <v>775</v>
      </c>
      <c r="W10" s="1051" t="str">
        <f t="shared" si="270"/>
        <v>#NAME?</v>
      </c>
      <c r="X10" s="1131" t="str">
        <f t="shared" si="271"/>
        <v>#NAME?</v>
      </c>
      <c r="Y10" s="1095" t="s">
        <v>5097</v>
      </c>
      <c r="Z10" s="1230"/>
      <c r="AA10" s="1146" t="str">
        <f t="shared" si="320"/>
        <v>#NAME?</v>
      </c>
      <c r="AB10" s="1145" t="s">
        <v>1865</v>
      </c>
      <c r="AC10" s="1146" t="str">
        <f t="shared" si="321"/>
        <v>#NAME?</v>
      </c>
      <c r="AD10" s="1148" t="str">
        <f t="shared" si="322"/>
        <v>#NAME?</v>
      </c>
      <c r="AE10" s="1330" t="s">
        <v>5130</v>
      </c>
      <c r="AF10" s="1230"/>
      <c r="AG10" s="442"/>
      <c r="AH10" s="442"/>
      <c r="AI10" s="442"/>
      <c r="AJ10" s="442"/>
      <c r="AK10" s="108"/>
      <c r="AL10" s="1230"/>
      <c r="AM10" s="1033" t="str">
        <f t="shared" ref="AM10:AM11" si="392">MONICON21(AN10)</f>
        <v>#NAME?</v>
      </c>
      <c r="AN10" s="1304" t="s">
        <v>3934</v>
      </c>
      <c r="AO10" s="949" t="str">
        <f t="shared" ref="AO10:AO11" si="393">MONTYPEICON1(AN10)</f>
        <v>#NAME?</v>
      </c>
      <c r="AP10" s="952" t="str">
        <f t="shared" ref="AP10:AP11" si="394">MONTYPEICON2(AN10)</f>
        <v>#NAME?</v>
      </c>
      <c r="AQ10" s="1305" t="s">
        <v>5074</v>
      </c>
      <c r="AR10" s="1230"/>
      <c r="AS10" s="1033" t="str">
        <f t="shared" ref="AS10:AS12" si="395">MONICON21(AT10)</f>
        <v>#NAME?</v>
      </c>
      <c r="AT10" s="1304" t="s">
        <v>2450</v>
      </c>
      <c r="AU10" s="977" t="str">
        <f t="shared" ref="AU10:AU12" si="396">MONTYPEICON1(AT10)</f>
        <v>#NAME?</v>
      </c>
      <c r="AV10" s="980" t="str">
        <f t="shared" ref="AV10:AV12" si="397">MONTYPEICON2(AT10)</f>
        <v>#NAME?</v>
      </c>
      <c r="AW10" s="1305" t="s">
        <v>5155</v>
      </c>
      <c r="AX10" s="1230"/>
      <c r="AY10" s="449"/>
      <c r="AZ10" s="1230"/>
      <c r="BA10" s="1230"/>
      <c r="BB10" s="1230"/>
      <c r="BC10" s="449"/>
      <c r="BD10" s="442"/>
      <c r="BE10" s="1112" t="str">
        <f t="shared" si="224"/>
        <v>#NAME?</v>
      </c>
      <c r="BF10" s="1490" t="s">
        <v>1179</v>
      </c>
      <c r="BG10" s="1112" t="str">
        <f t="shared" si="225"/>
        <v>#NAME?</v>
      </c>
      <c r="BH10" s="1114" t="str">
        <f t="shared" si="226"/>
        <v>#NAME?</v>
      </c>
      <c r="BI10" s="1491" t="s">
        <v>5040</v>
      </c>
      <c r="BJ10" s="1230"/>
      <c r="BP10" s="442"/>
      <c r="BQ10" s="1033" t="str">
        <f t="shared" ref="BQ10:BQ12" si="398">MONICON21(BR10)</f>
        <v>#NAME?</v>
      </c>
      <c r="BR10" s="1304" t="s">
        <v>1748</v>
      </c>
      <c r="BS10" s="977" t="str">
        <f t="shared" ref="BS10:BS12" si="399">MONTYPEICON1(BR10)</f>
        <v>#NAME?</v>
      </c>
      <c r="BT10" s="980" t="str">
        <f t="shared" ref="BT10:BT12" si="400">MONTYPEICON2(BR10)</f>
        <v>#NAME?</v>
      </c>
      <c r="BU10" s="1305" t="s">
        <v>5040</v>
      </c>
      <c r="BV10" s="442"/>
      <c r="BW10" s="1033" t="str">
        <f t="shared" ref="BW10:BW11" si="401">MONICON21(BX10)</f>
        <v>#NAME?</v>
      </c>
      <c r="BX10" s="1304" t="s">
        <v>1740</v>
      </c>
      <c r="BY10" s="977" t="str">
        <f t="shared" ref="BY10:BY11" si="402">MONTYPEICON1(BX10)</f>
        <v>#NAME?</v>
      </c>
      <c r="BZ10" s="980" t="str">
        <f t="shared" ref="BZ10:BZ11" si="403">MONTYPEICON2(BX10)</f>
        <v>#NAME?</v>
      </c>
      <c r="CA10" s="1305" t="s">
        <v>4996</v>
      </c>
      <c r="CB10" s="1230"/>
      <c r="CC10" s="1033" t="str">
        <f t="shared" ref="CC10:CC15" si="404">MONICON21(CD10)</f>
        <v>#NAME?</v>
      </c>
      <c r="CD10" s="1492" t="s">
        <v>1788</v>
      </c>
      <c r="CE10" s="1313" t="str">
        <f t="shared" ref="CE10:CE15" si="405">MONTYPEICON1(CD10)</f>
        <v>#NAME?</v>
      </c>
      <c r="CF10" s="1314" t="str">
        <f t="shared" ref="CF10:CF15" si="406">MONTYPEICON2(CD10)</f>
        <v>#NAME?</v>
      </c>
      <c r="CG10" s="1493" t="s">
        <v>4999</v>
      </c>
      <c r="CH10" s="1230"/>
      <c r="CN10" s="442"/>
      <c r="CU10" s="442"/>
      <c r="CV10" s="442"/>
      <c r="CW10" s="442"/>
      <c r="CX10" s="442"/>
      <c r="CY10" s="442"/>
      <c r="CZ10" s="442"/>
      <c r="DA10" s="1266"/>
      <c r="DB10" s="1259" t="s">
        <v>5156</v>
      </c>
      <c r="DC10" s="12"/>
      <c r="DD10" s="962"/>
      <c r="DE10" s="1258" t="s">
        <v>4608</v>
      </c>
      <c r="DF10" s="442"/>
      <c r="DG10" s="1068" t="str">
        <f t="shared" si="323"/>
        <v>#NAME?</v>
      </c>
      <c r="DH10" s="1337" t="s">
        <v>2839</v>
      </c>
      <c r="DI10" s="1071" t="str">
        <f t="shared" si="324"/>
        <v>#NAME?</v>
      </c>
      <c r="DJ10" s="1073" t="str">
        <f t="shared" si="325"/>
        <v>#NAME?</v>
      </c>
      <c r="DK10" s="1338" t="s">
        <v>4998</v>
      </c>
      <c r="DL10" s="442"/>
      <c r="DM10" s="1012" t="str">
        <f t="shared" ref="DM10:DM13" si="407">MONICON21(DN10)</f>
        <v>#NAME?</v>
      </c>
      <c r="DN10" s="1301" t="s">
        <v>2125</v>
      </c>
      <c r="DO10" s="977" t="str">
        <f t="shared" ref="DO10:DO13" si="408">MONTYPEICON1(DN10)</f>
        <v>#NAME?</v>
      </c>
      <c r="DP10" s="980" t="str">
        <f t="shared" ref="DP10:DP13" si="409">MONTYPEICON2(DN10)</f>
        <v>#NAME?</v>
      </c>
      <c r="DQ10" s="1303" t="s">
        <v>5000</v>
      </c>
      <c r="DR10" s="442"/>
      <c r="DS10" s="1457" t="str">
        <f t="shared" si="230"/>
        <v>#NAME?</v>
      </c>
      <c r="DT10" s="1429" t="s">
        <v>2046</v>
      </c>
      <c r="DU10" s="1428" t="str">
        <f t="shared" si="231"/>
        <v>#NAME?</v>
      </c>
      <c r="DV10" s="1430" t="str">
        <f t="shared" si="232"/>
        <v>#NAME?</v>
      </c>
      <c r="DW10" s="1431" t="s">
        <v>5078</v>
      </c>
      <c r="DX10" s="442"/>
      <c r="DY10" s="1012" t="str">
        <f t="shared" ref="DY10:DY12" si="410">MONICON21(DZ10)</f>
        <v>#NAME?</v>
      </c>
      <c r="DZ10" s="1301" t="s">
        <v>1007</v>
      </c>
      <c r="EA10" s="977" t="str">
        <f t="shared" ref="EA10:EA12" si="411">MONTYPEICON1(DZ10)</f>
        <v>#NAME?</v>
      </c>
      <c r="EB10" s="980" t="str">
        <f t="shared" ref="EB10:EB12" si="412">MONTYPEICON2(DZ10)</f>
        <v>#NAME?</v>
      </c>
      <c r="EC10" s="1303" t="s">
        <v>5000</v>
      </c>
      <c r="ED10" s="442"/>
      <c r="EE10" s="1027" t="str">
        <f t="shared" si="233"/>
        <v>#NAME?</v>
      </c>
      <c r="EF10" s="1494" t="s">
        <v>3596</v>
      </c>
      <c r="EG10" s="1454" t="str">
        <f t="shared" si="234"/>
        <v>#NAME?</v>
      </c>
      <c r="EH10" s="1455" t="str">
        <f t="shared" si="235"/>
        <v>#NAME?</v>
      </c>
      <c r="EI10" s="1495" t="s">
        <v>5001</v>
      </c>
      <c r="EJ10" s="442"/>
      <c r="EK10" s="442"/>
      <c r="EL10" s="442"/>
      <c r="EM10" s="108"/>
      <c r="EN10" s="108"/>
      <c r="EO10" s="442"/>
      <c r="EP10" s="442"/>
      <c r="EQ10" s="1351" t="str">
        <f t="shared" si="326"/>
        <v>#NAME?</v>
      </c>
      <c r="ER10" s="1352" t="s">
        <v>2148</v>
      </c>
      <c r="ES10" s="1353" t="str">
        <f t="shared" si="327"/>
        <v>#NAME?</v>
      </c>
      <c r="ET10" s="1354" t="str">
        <f t="shared" si="328"/>
        <v>#NAME?</v>
      </c>
      <c r="EU10" s="1355" t="s">
        <v>5001</v>
      </c>
      <c r="EV10" s="442"/>
      <c r="EY10" s="349"/>
      <c r="EZ10" s="349"/>
      <c r="FA10" s="349"/>
      <c r="FB10" s="442"/>
      <c r="FC10" s="1193" t="str">
        <f t="shared" si="41"/>
        <v>#NAME?</v>
      </c>
      <c r="FD10" s="1335" t="s">
        <v>3730</v>
      </c>
      <c r="FE10" s="1146" t="str">
        <f t="shared" si="42"/>
        <v>#NAME?</v>
      </c>
      <c r="FF10" s="1148" t="str">
        <f t="shared" si="43"/>
        <v>#NAME?</v>
      </c>
      <c r="FG10" s="1336" t="s">
        <v>4998</v>
      </c>
      <c r="FH10" s="442"/>
      <c r="FI10" s="442"/>
      <c r="FJ10" s="442"/>
      <c r="FK10" s="108"/>
      <c r="FL10" s="449"/>
      <c r="FM10" s="108"/>
      <c r="FN10" s="442"/>
      <c r="FO10" s="1193" t="str">
        <f t="shared" si="329"/>
        <v>#NAME?</v>
      </c>
      <c r="FP10" s="1357" t="s">
        <v>2477</v>
      </c>
      <c r="FQ10" s="1146" t="str">
        <f t="shared" si="330"/>
        <v>#NAME?</v>
      </c>
      <c r="FR10" s="1148" t="str">
        <f t="shared" si="331"/>
        <v>#NAME?</v>
      </c>
      <c r="FS10" s="1330" t="s">
        <v>5079</v>
      </c>
      <c r="FT10" s="442"/>
      <c r="FU10" s="65"/>
      <c r="FV10" s="65"/>
      <c r="FW10" s="108"/>
      <c r="FX10" s="108"/>
      <c r="FY10" s="108"/>
      <c r="FZ10" s="442"/>
      <c r="GA10" s="983" t="str">
        <f t="shared" ref="GA10:GA14" si="413">MONICON21(GB10)</f>
        <v>#NAME?</v>
      </c>
      <c r="GB10" s="1157" t="s">
        <v>750</v>
      </c>
      <c r="GC10" s="1313" t="str">
        <f t="shared" ref="GC10:GC14" si="414">MONTYPEICON1(GB10)</f>
        <v>#NAME?</v>
      </c>
      <c r="GD10" s="1314" t="str">
        <f t="shared" ref="GD10:GD14" si="415">MONTYPEICON2(GB10)</f>
        <v>#NAME?</v>
      </c>
      <c r="GE10" s="1303" t="s">
        <v>5001</v>
      </c>
      <c r="GF10" s="442"/>
      <c r="GG10" s="1280"/>
      <c r="GH10" s="1281" t="s">
        <v>5046</v>
      </c>
      <c r="GI10" s="12"/>
      <c r="GJ10" s="962"/>
      <c r="GK10" s="1282" t="s">
        <v>4608</v>
      </c>
      <c r="GL10" s="1230"/>
      <c r="GM10" s="985" t="str">
        <f>MONICON21(GN10)</f>
        <v>#NAME?</v>
      </c>
      <c r="GN10" s="146" t="s">
        <v>1352</v>
      </c>
      <c r="GO10" s="1092" t="str">
        <f>MONTYPEICON1(GN10)</f>
        <v>#NAME?</v>
      </c>
      <c r="GP10" s="987" t="str">
        <f>MONTYPEICON2(GN10)</f>
        <v>#NAME?</v>
      </c>
      <c r="GQ10" s="1091" t="s">
        <v>5082</v>
      </c>
      <c r="GR10" s="65"/>
      <c r="GS10" s="985" t="str">
        <f>MONICON21(GT10)</f>
        <v>#NAME?</v>
      </c>
      <c r="GT10" s="1310" t="s">
        <v>1901</v>
      </c>
      <c r="GU10" s="1092" t="str">
        <f>MONTYPEICON1(GT10)</f>
        <v>#NAME?</v>
      </c>
      <c r="GV10" s="987" t="str">
        <f>MONTYPEICON2(GT10)</f>
        <v>#NAME?</v>
      </c>
      <c r="GW10" s="1309" t="s">
        <v>5004</v>
      </c>
      <c r="GX10" s="65"/>
      <c r="GY10" s="1012" t="str">
        <f t="shared" ref="GY10:GY11" si="416">MONICON21(GZ10)</f>
        <v>#NAME?</v>
      </c>
      <c r="GZ10" s="1157" t="s">
        <v>2789</v>
      </c>
      <c r="HA10" s="977" t="str">
        <f t="shared" ref="HA10:HA11" si="417">MONTYPEICON1(GZ10)</f>
        <v>#NAME?</v>
      </c>
      <c r="HB10" s="980" t="str">
        <f t="shared" ref="HB10:HB11" si="418">MONTYPEICON2(GZ10)</f>
        <v>#NAME?</v>
      </c>
      <c r="HC10" s="1303" t="s">
        <v>5004</v>
      </c>
      <c r="HD10" s="1230"/>
      <c r="HE10" s="983" t="str">
        <f t="shared" ref="HE10:HE12" si="419">MONICON21(HF10)</f>
        <v>#NAME?</v>
      </c>
      <c r="HF10" s="1157" t="s">
        <v>2141</v>
      </c>
      <c r="HG10" s="977" t="str">
        <f t="shared" ref="HG10:HG12" si="420">MONTYPEICON1(HF10)</f>
        <v>#NAME?</v>
      </c>
      <c r="HH10" s="980" t="str">
        <f t="shared" ref="HH10:HH12" si="421">MONTYPEICON2(HF10)</f>
        <v>#NAME?</v>
      </c>
      <c r="HI10" s="1303" t="s">
        <v>5005</v>
      </c>
      <c r="HJ10" s="1230"/>
      <c r="HK10" s="1027" t="str">
        <f t="shared" si="239"/>
        <v>#NAME?</v>
      </c>
      <c r="HL10" s="1461" t="s">
        <v>1808</v>
      </c>
      <c r="HM10" s="1360" t="str">
        <f t="shared" si="240"/>
        <v>#NAME?</v>
      </c>
      <c r="HN10" s="1361" t="str">
        <f t="shared" si="241"/>
        <v>#NAME?</v>
      </c>
      <c r="HO10" s="1343" t="s">
        <v>5007</v>
      </c>
      <c r="HP10" s="65"/>
      <c r="HQ10" s="983" t="str">
        <f t="shared" ref="HQ10:HQ12" si="422">MONICON21(HR10)</f>
        <v>#NAME?</v>
      </c>
      <c r="HR10" s="1304" t="s">
        <v>1808</v>
      </c>
      <c r="HS10" s="977" t="str">
        <f t="shared" ref="HS10:HS12" si="423">MONTYPEICON1(HR10)</f>
        <v>#NAME?</v>
      </c>
      <c r="HT10" s="980" t="str">
        <f t="shared" ref="HT10:HT12" si="424">MONTYPEICON2(HR10)</f>
        <v>#NAME?</v>
      </c>
      <c r="HU10" s="1303" t="s">
        <v>5006</v>
      </c>
      <c r="HV10" s="65"/>
      <c r="HY10" s="349"/>
      <c r="HZ10" s="349"/>
      <c r="IB10" s="65"/>
      <c r="IC10" s="1266"/>
      <c r="ID10" s="1259" t="s">
        <v>5157</v>
      </c>
      <c r="IE10" s="12"/>
      <c r="IF10" s="962"/>
      <c r="IG10" s="1258" t="s">
        <v>4608</v>
      </c>
      <c r="II10" s="1159" t="str">
        <f t="shared" si="62"/>
        <v>#NAME?</v>
      </c>
      <c r="IJ10" s="1496" t="s">
        <v>3603</v>
      </c>
      <c r="IK10" s="1497" t="str">
        <f t="shared" si="63"/>
        <v>#NAME?</v>
      </c>
      <c r="IL10" s="1498" t="str">
        <f t="shared" si="64"/>
        <v>#NAME?</v>
      </c>
      <c r="IM10" s="1499" t="s">
        <v>5158</v>
      </c>
      <c r="IO10" s="1159" t="str">
        <f t="shared" si="65"/>
        <v>#NAME?</v>
      </c>
      <c r="IP10" s="1494" t="s">
        <v>3649</v>
      </c>
      <c r="IQ10" s="1497" t="str">
        <f t="shared" si="66"/>
        <v>#NAME?</v>
      </c>
      <c r="IR10" s="1498" t="str">
        <f t="shared" si="67"/>
        <v>#NAME?</v>
      </c>
      <c r="IS10" s="1495" t="s">
        <v>5158</v>
      </c>
      <c r="IT10" s="1230"/>
      <c r="IU10" s="1286"/>
      <c r="IV10" s="1259" t="s">
        <v>5159</v>
      </c>
      <c r="IW10" s="12"/>
      <c r="IX10" s="962"/>
      <c r="IY10" s="1258" t="s">
        <v>4608</v>
      </c>
      <c r="IZ10" s="1230"/>
      <c r="JC10" s="349"/>
      <c r="JD10" s="349"/>
      <c r="JF10" s="1230"/>
      <c r="JI10" s="349"/>
      <c r="JJ10" s="349"/>
      <c r="JK10" s="349"/>
      <c r="JL10" s="1230"/>
      <c r="JM10" s="1094" t="str">
        <f t="shared" si="287"/>
        <v>#NAME?</v>
      </c>
      <c r="JN10" s="499" t="s">
        <v>1343</v>
      </c>
      <c r="JO10" s="1420" t="str">
        <f t="shared" si="288"/>
        <v>#NAME?</v>
      </c>
      <c r="JP10" s="475" t="str">
        <f t="shared" si="289"/>
        <v>#NAME?</v>
      </c>
      <c r="JQ10" s="1095" t="s">
        <v>5008</v>
      </c>
      <c r="JR10" s="1230"/>
      <c r="JS10" s="1266"/>
      <c r="JT10" s="1259" t="s">
        <v>5160</v>
      </c>
      <c r="JU10" s="12"/>
      <c r="JV10" s="962"/>
      <c r="JW10" s="1258" t="s">
        <v>4608</v>
      </c>
      <c r="JY10" s="1159" t="str">
        <f t="shared" si="71"/>
        <v>#NAME?</v>
      </c>
      <c r="JZ10" s="1500" t="s">
        <v>3628</v>
      </c>
      <c r="KA10" s="1497" t="str">
        <f t="shared" si="72"/>
        <v>#NAME?</v>
      </c>
      <c r="KB10" s="1498" t="str">
        <f t="shared" si="73"/>
        <v>#NAME?</v>
      </c>
      <c r="KC10" s="1456" t="s">
        <v>5014</v>
      </c>
      <c r="KE10" s="961" t="s">
        <v>5161</v>
      </c>
      <c r="KF10" s="12"/>
      <c r="KG10" s="48"/>
      <c r="KH10" s="349"/>
      <c r="KI10" s="108"/>
      <c r="KJ10" s="65"/>
      <c r="KK10" s="1068" t="str">
        <f t="shared" si="332"/>
        <v>#NAME?</v>
      </c>
      <c r="KL10" s="1076" t="s">
        <v>3218</v>
      </c>
      <c r="KM10" s="1358" t="str">
        <f t="shared" si="333"/>
        <v>#NAME?</v>
      </c>
      <c r="KN10" s="1359" t="str">
        <f t="shared" si="334"/>
        <v>#NAME?</v>
      </c>
      <c r="KO10" s="1093" t="s">
        <v>5010</v>
      </c>
      <c r="KQ10" s="1094" t="str">
        <f t="shared" si="209"/>
        <v>#NAME?</v>
      </c>
      <c r="KR10" s="1050" t="s">
        <v>3757</v>
      </c>
      <c r="KS10" s="1051" t="str">
        <f t="shared" si="210"/>
        <v>#NAME?</v>
      </c>
      <c r="KT10" s="1131" t="str">
        <f t="shared" si="211"/>
        <v>#NAME?</v>
      </c>
      <c r="KU10" s="1131" t="s">
        <v>5009</v>
      </c>
      <c r="KW10" s="985" t="str">
        <f>MONICON21(KX10)</f>
        <v>#NAME?</v>
      </c>
      <c r="KX10" s="1063" t="s">
        <v>3964</v>
      </c>
      <c r="KY10" s="1092" t="str">
        <f>MONTYPEICON1(KX10)</f>
        <v>#NAME?</v>
      </c>
      <c r="KZ10" s="987" t="str">
        <f>MONTYPEICON2(KX10)</f>
        <v>#NAME?</v>
      </c>
      <c r="LA10" s="1421" t="s">
        <v>5086</v>
      </c>
      <c r="LB10" s="442"/>
      <c r="LE10" s="349"/>
      <c r="LF10" s="349"/>
      <c r="LI10" s="983" t="str">
        <f t="shared" ref="LI10:LI12" si="425">MONICON21(LJ10)</f>
        <v>#NAME?</v>
      </c>
      <c r="LJ10" s="1301" t="s">
        <v>767</v>
      </c>
      <c r="LK10" s="1311" t="str">
        <f t="shared" ref="LK10:LK12" si="426">MONTYPEICON1(LJ10)</f>
        <v>#NAME?</v>
      </c>
      <c r="LL10" s="1312" t="str">
        <f t="shared" ref="LL10:LL12" si="427">MONTYPEICON2(LJ10)</f>
        <v>#NAME?</v>
      </c>
      <c r="LM10" s="1318" t="s">
        <v>5162</v>
      </c>
      <c r="LO10" s="1056" t="str">
        <f t="shared" si="335"/>
        <v>#NAME?</v>
      </c>
      <c r="LP10" s="1123" t="s">
        <v>989</v>
      </c>
      <c r="LQ10" s="1021" t="str">
        <f t="shared" si="336"/>
        <v>#NAME?</v>
      </c>
      <c r="LR10" s="1024" t="str">
        <f t="shared" si="337"/>
        <v>#NAME?</v>
      </c>
      <c r="LS10" s="1501" t="s">
        <v>5106</v>
      </c>
      <c r="LT10" s="442"/>
      <c r="LU10" s="1266"/>
      <c r="LV10" s="1256" t="s">
        <v>5163</v>
      </c>
      <c r="LW10" s="1285" t="s">
        <v>4888</v>
      </c>
      <c r="LX10" s="962"/>
      <c r="LY10" s="1258" t="s">
        <v>4608</v>
      </c>
      <c r="MA10" s="983" t="str">
        <f t="shared" ref="MA10:MA12" si="428">MONICON21(MB10)</f>
        <v>#NAME?</v>
      </c>
      <c r="MB10" s="1301" t="s">
        <v>2503</v>
      </c>
      <c r="MC10" s="977" t="str">
        <f t="shared" ref="MC10:MC12" si="429">MONTYPEICON1(MB10)</f>
        <v>#NAME?</v>
      </c>
      <c r="MD10" s="980" t="str">
        <f t="shared" ref="MD10:MD12" si="430">MONTYPEICON2(MB10)</f>
        <v>#NAME?</v>
      </c>
      <c r="ME10" s="1318" t="s">
        <v>5106</v>
      </c>
      <c r="MG10" s="1049" t="str">
        <f t="shared" si="290"/>
        <v>#NAME?</v>
      </c>
      <c r="MH10" s="1127" t="s">
        <v>1672</v>
      </c>
      <c r="MI10" s="1051" t="str">
        <f t="shared" si="291"/>
        <v>#NAME?</v>
      </c>
      <c r="MJ10" s="1131" t="str">
        <f t="shared" si="292"/>
        <v>#NAME?</v>
      </c>
      <c r="MK10" s="1422" t="s">
        <v>5106</v>
      </c>
      <c r="MM10" s="1096" t="str">
        <f t="shared" si="212"/>
        <v>#NAME?</v>
      </c>
      <c r="MN10" s="1301" t="s">
        <v>4183</v>
      </c>
      <c r="MO10" s="1013" t="str">
        <f t="shared" si="213"/>
        <v>#NAME?</v>
      </c>
      <c r="MP10" s="1015" t="str">
        <f t="shared" si="214"/>
        <v>#NAME?</v>
      </c>
      <c r="MQ10" s="1318" t="s">
        <v>5051</v>
      </c>
      <c r="MS10" s="983" t="str">
        <f t="shared" ref="MS10:MS11" si="431">MONICON21(MT10)</f>
        <v>#NAME?</v>
      </c>
      <c r="MT10" s="1301" t="s">
        <v>2642</v>
      </c>
      <c r="MU10" s="977" t="str">
        <f t="shared" ref="MU10:MU11" si="432">MONTYPEICON1(MT10)</f>
        <v>#NAME?</v>
      </c>
      <c r="MV10" s="980" t="str">
        <f t="shared" ref="MV10:MV11" si="433">MONTYPEICON2(MT10)</f>
        <v>#NAME?</v>
      </c>
      <c r="MW10" s="1318" t="s">
        <v>5164</v>
      </c>
      <c r="MX10" s="442"/>
      <c r="MY10" s="1346" t="str">
        <f t="shared" si="92"/>
        <v>#NAME?</v>
      </c>
      <c r="MZ10" s="1370" t="s">
        <v>3941</v>
      </c>
      <c r="NA10" s="1348" t="str">
        <f t="shared" si="93"/>
        <v>#NAME?</v>
      </c>
      <c r="NB10" s="1349" t="str">
        <f t="shared" si="94"/>
        <v>#NAME?</v>
      </c>
      <c r="NC10" s="1371" t="s">
        <v>5069</v>
      </c>
      <c r="ND10" s="442"/>
      <c r="NG10" s="349"/>
      <c r="NH10" s="349"/>
      <c r="NK10" s="1193" t="str">
        <f t="shared" si="338"/>
        <v>#NAME?</v>
      </c>
      <c r="NL10" s="1145" t="s">
        <v>2141</v>
      </c>
      <c r="NM10" s="1462" t="str">
        <f t="shared" si="339"/>
        <v>#NAME?</v>
      </c>
      <c r="NN10" s="1463" t="str">
        <f t="shared" si="340"/>
        <v>#NAME?</v>
      </c>
      <c r="NO10" s="1464" t="s">
        <v>5017</v>
      </c>
      <c r="NP10" s="442"/>
      <c r="NQ10" s="1056" t="str">
        <f t="shared" si="341"/>
        <v>#NAME?</v>
      </c>
      <c r="NR10" s="1123" t="s">
        <v>1705</v>
      </c>
      <c r="NS10" s="1502" t="str">
        <f t="shared" si="342"/>
        <v>#NAME?</v>
      </c>
      <c r="NT10" s="1503" t="str">
        <f t="shared" si="343"/>
        <v>#NAME?</v>
      </c>
      <c r="NU10" s="1501" t="s">
        <v>5051</v>
      </c>
      <c r="NV10" s="442"/>
      <c r="NW10" s="1457" t="str">
        <f t="shared" si="251"/>
        <v>#NAME?</v>
      </c>
      <c r="NX10" s="1429" t="s">
        <v>4190</v>
      </c>
      <c r="NY10" s="1428" t="str">
        <f t="shared" si="252"/>
        <v>#NAME?</v>
      </c>
      <c r="NZ10" s="1430" t="str">
        <f t="shared" si="253"/>
        <v>#NAME?</v>
      </c>
      <c r="OA10" s="1431" t="s">
        <v>5020</v>
      </c>
      <c r="OB10" s="442"/>
      <c r="OC10" s="983" t="str">
        <f t="shared" ref="OC10:OC12" si="434">MONICON21(OD10)</f>
        <v>#NAME?</v>
      </c>
      <c r="OD10" s="1301" t="s">
        <v>3843</v>
      </c>
      <c r="OE10" s="1311" t="str">
        <f t="shared" ref="OE10:OE12" si="435">MONTYPEICON1(OD10)</f>
        <v>#NAME?</v>
      </c>
      <c r="OF10" s="1312" t="str">
        <f t="shared" ref="OF10:OF12" si="436">MONTYPEICON2(OD10)</f>
        <v>#NAME?</v>
      </c>
      <c r="OG10" s="1318" t="s">
        <v>5019</v>
      </c>
      <c r="OH10" s="442"/>
      <c r="OI10" s="1266"/>
      <c r="OJ10" s="1259" t="s">
        <v>5165</v>
      </c>
      <c r="OK10" s="12"/>
      <c r="OL10" s="962"/>
      <c r="OM10" s="1258" t="s">
        <v>4608</v>
      </c>
      <c r="ON10" s="442"/>
      <c r="OQ10" s="349"/>
      <c r="OR10" s="349"/>
      <c r="OW10" s="349"/>
      <c r="OX10" s="349"/>
      <c r="PA10" s="1036" t="str">
        <f t="shared" si="344"/>
        <v>#NAME?</v>
      </c>
      <c r="PB10" s="1466" t="s">
        <v>1073</v>
      </c>
      <c r="PC10" s="1467" t="str">
        <f t="shared" si="345"/>
        <v>#NAME?</v>
      </c>
      <c r="PD10" s="1468" t="str">
        <f t="shared" si="346"/>
        <v>#NAME?</v>
      </c>
      <c r="PE10" s="1469" t="s">
        <v>5146</v>
      </c>
      <c r="PF10" s="442"/>
      <c r="PG10" s="1068" t="str">
        <f t="shared" si="347"/>
        <v>#NAME?</v>
      </c>
      <c r="PH10" s="1076" t="s">
        <v>2661</v>
      </c>
      <c r="PI10" s="1358" t="str">
        <f t="shared" si="348"/>
        <v>#NAME?</v>
      </c>
      <c r="PJ10" s="1359" t="str">
        <f t="shared" si="349"/>
        <v>#NAME?</v>
      </c>
      <c r="PK10" s="1368" t="s">
        <v>5022</v>
      </c>
      <c r="PM10" s="1068" t="str">
        <f t="shared" si="350"/>
        <v>#NAME?</v>
      </c>
      <c r="PN10" s="1076" t="s">
        <v>210</v>
      </c>
      <c r="PO10" s="1358" t="str">
        <f t="shared" si="351"/>
        <v>#NAME?</v>
      </c>
      <c r="PP10" s="1359" t="str">
        <f t="shared" si="352"/>
        <v>#NAME?</v>
      </c>
      <c r="PQ10" s="1368" t="s">
        <v>5022</v>
      </c>
      <c r="PR10" s="442"/>
      <c r="PS10" s="1266"/>
      <c r="PT10" s="1259" t="s">
        <v>5166</v>
      </c>
      <c r="PU10" s="12"/>
      <c r="PV10" s="962"/>
      <c r="PW10" s="1258" t="s">
        <v>4608</v>
      </c>
      <c r="PY10" s="1159" t="str">
        <f t="shared" si="119"/>
        <v>#NAME?</v>
      </c>
      <c r="PZ10" s="1453" t="s">
        <v>3628</v>
      </c>
      <c r="QA10" s="1497" t="str">
        <f t="shared" si="120"/>
        <v>#NAME?</v>
      </c>
      <c r="QB10" s="1498" t="str">
        <f t="shared" si="121"/>
        <v>#NAME?</v>
      </c>
      <c r="QC10" s="1504" t="s">
        <v>5032</v>
      </c>
      <c r="QD10" s="442"/>
      <c r="QE10" s="1027" t="str">
        <f t="shared" si="353"/>
        <v>#NAME?</v>
      </c>
      <c r="QF10" s="1340" t="s">
        <v>2065</v>
      </c>
      <c r="QG10" s="1360" t="str">
        <f t="shared" si="354"/>
        <v>#NAME?</v>
      </c>
      <c r="QH10" s="1361" t="str">
        <f t="shared" si="355"/>
        <v>#NAME?</v>
      </c>
      <c r="QI10" s="1376" t="s">
        <v>5032</v>
      </c>
      <c r="QJ10" s="442"/>
      <c r="QK10" s="1012" t="str">
        <f t="shared" si="293"/>
        <v>#NAME?</v>
      </c>
      <c r="QL10" s="1098" t="s">
        <v>2065</v>
      </c>
      <c r="QM10" s="1013" t="str">
        <f t="shared" si="294"/>
        <v>#NAME?</v>
      </c>
      <c r="QN10" s="1015" t="str">
        <f t="shared" si="295"/>
        <v>#NAME?</v>
      </c>
      <c r="QO10" s="1414" t="s">
        <v>5031</v>
      </c>
      <c r="QP10" s="442"/>
      <c r="QQ10" s="1012" t="str">
        <f t="shared" si="296"/>
        <v>#NAME?</v>
      </c>
      <c r="QR10" s="1098" t="s">
        <v>4217</v>
      </c>
      <c r="QS10" s="1013" t="str">
        <f t="shared" si="297"/>
        <v>#NAME?</v>
      </c>
      <c r="QT10" s="1015" t="str">
        <f t="shared" si="298"/>
        <v>#NAME?</v>
      </c>
      <c r="QU10" s="1414" t="s">
        <v>5033</v>
      </c>
      <c r="QW10" s="1012" t="str">
        <f t="shared" si="299"/>
        <v>#NAME?</v>
      </c>
      <c r="QX10" s="1098" t="s">
        <v>1393</v>
      </c>
      <c r="QY10" s="1013" t="str">
        <f t="shared" si="300"/>
        <v>#NAME?</v>
      </c>
      <c r="QZ10" s="1015" t="str">
        <f t="shared" si="301"/>
        <v>#NAME?</v>
      </c>
      <c r="RA10" s="1414" t="s">
        <v>5112</v>
      </c>
      <c r="RB10" s="442"/>
      <c r="RC10" s="1012" t="str">
        <f t="shared" si="302"/>
        <v>#NAME?</v>
      </c>
      <c r="RD10" s="1098" t="s">
        <v>3978</v>
      </c>
      <c r="RE10" s="1013" t="str">
        <f t="shared" si="303"/>
        <v>#NAME?</v>
      </c>
      <c r="RF10" s="1015" t="str">
        <f t="shared" si="304"/>
        <v>#NAME?</v>
      </c>
      <c r="RG10" s="1414" t="s">
        <v>5113</v>
      </c>
      <c r="RH10" s="442"/>
      <c r="RI10" s="1012" t="str">
        <f t="shared" si="305"/>
        <v>#NAME?</v>
      </c>
      <c r="RJ10" s="1098" t="s">
        <v>4190</v>
      </c>
      <c r="RK10" s="1013" t="str">
        <f t="shared" si="306"/>
        <v>#NAME?</v>
      </c>
      <c r="RL10" s="1015" t="str">
        <f t="shared" si="307"/>
        <v>#NAME?</v>
      </c>
      <c r="RM10" s="1414" t="s">
        <v>5092</v>
      </c>
      <c r="RN10" s="442"/>
      <c r="RO10" s="1283"/>
      <c r="RP10" s="1264" t="s">
        <v>5167</v>
      </c>
      <c r="RQ10" s="12"/>
      <c r="RR10" s="962"/>
      <c r="RS10" s="1288" t="s">
        <v>4608</v>
      </c>
      <c r="RT10" s="442"/>
      <c r="RU10" s="1105" t="str">
        <f t="shared" si="122"/>
        <v>#NAME?</v>
      </c>
      <c r="RV10" s="1505" t="s">
        <v>1508</v>
      </c>
      <c r="RW10" s="1080" t="str">
        <f t="shared" si="123"/>
        <v>#NAME?</v>
      </c>
      <c r="RX10" s="1126" t="str">
        <f t="shared" si="124"/>
        <v>#NAME?</v>
      </c>
      <c r="RY10" s="1506" t="s">
        <v>5092</v>
      </c>
      <c r="RZ10" s="442"/>
      <c r="SA10" s="961" t="s">
        <v>4648</v>
      </c>
      <c r="SB10" s="12"/>
      <c r="SC10" s="12"/>
      <c r="SD10" s="12"/>
      <c r="SE10" s="48"/>
      <c r="SG10" s="983" t="str">
        <f t="shared" ref="SG10:SG11" si="437">MONICON21(SH10)</f>
        <v>#NAME?</v>
      </c>
      <c r="SH10" s="1301" t="s">
        <v>1849</v>
      </c>
      <c r="SI10" s="1311" t="str">
        <f t="shared" ref="SI10:SI11" si="438">MONTYPEICON1(SH10)</f>
        <v>#NAME?</v>
      </c>
      <c r="SJ10" s="1312" t="str">
        <f t="shared" ref="SJ10:SJ11" si="439">MONTYPEICON2(SH10)</f>
        <v>#NAME?</v>
      </c>
      <c r="SK10" s="1318" t="s">
        <v>5024</v>
      </c>
      <c r="SL10" s="442"/>
      <c r="SM10" s="983" t="str">
        <f t="shared" ref="SM10:SM12" si="440">MONICON21(SN10)</f>
        <v>#NAME?</v>
      </c>
      <c r="SN10" s="1301" t="s">
        <v>3083</v>
      </c>
      <c r="SO10" s="1311" t="str">
        <f t="shared" ref="SO10:SO12" si="441">MONTYPEICON1(SN10)</f>
        <v>#NAME?</v>
      </c>
      <c r="SP10" s="1312" t="str">
        <f t="shared" ref="SP10:SP12" si="442">MONTYPEICON2(SN10)</f>
        <v>#NAME?</v>
      </c>
      <c r="SQ10" s="1318" t="s">
        <v>5024</v>
      </c>
      <c r="SS10" s="1266"/>
      <c r="ST10" s="1259" t="s">
        <v>5168</v>
      </c>
      <c r="SU10" s="12"/>
      <c r="SV10" s="962"/>
      <c r="SW10" s="1004" t="s">
        <v>4608</v>
      </c>
      <c r="SY10" s="1193" t="str">
        <f t="shared" si="257"/>
        <v>#NAME?</v>
      </c>
      <c r="SZ10" s="1145" t="s">
        <v>3176</v>
      </c>
      <c r="TA10" s="1462" t="str">
        <f t="shared" si="258"/>
        <v>#NAME?</v>
      </c>
      <c r="TB10" s="1463" t="str">
        <f t="shared" si="259"/>
        <v>#NAME?</v>
      </c>
      <c r="TC10" s="1464" t="s">
        <v>5033</v>
      </c>
      <c r="TE10" s="1036" t="str">
        <f t="shared" si="260"/>
        <v>#NAME?</v>
      </c>
      <c r="TF10" s="1466" t="s">
        <v>4250</v>
      </c>
      <c r="TG10" s="1467" t="str">
        <f t="shared" si="261"/>
        <v>#NAME?</v>
      </c>
      <c r="TH10" s="1468" t="str">
        <f t="shared" si="262"/>
        <v>#NAME?</v>
      </c>
      <c r="TI10" s="1469" t="s">
        <v>5092</v>
      </c>
      <c r="TK10" s="1068" t="str">
        <f t="shared" si="356"/>
        <v>#NAME?</v>
      </c>
      <c r="TL10" s="1076" t="s">
        <v>311</v>
      </c>
      <c r="TM10" s="1358" t="str">
        <f t="shared" si="357"/>
        <v>#NAME?</v>
      </c>
      <c r="TN10" s="1359" t="str">
        <f t="shared" si="358"/>
        <v>#NAME?</v>
      </c>
      <c r="TO10" s="1368" t="s">
        <v>5026</v>
      </c>
      <c r="TQ10" s="1068" t="str">
        <f t="shared" si="359"/>
        <v>#NAME?</v>
      </c>
      <c r="TR10" s="1076" t="s">
        <v>3291</v>
      </c>
      <c r="TS10" s="1358" t="str">
        <f t="shared" si="360"/>
        <v>#NAME?</v>
      </c>
      <c r="TT10" s="1359" t="str">
        <f t="shared" si="361"/>
        <v>#NAME?</v>
      </c>
      <c r="TU10" s="1368" t="s">
        <v>5026</v>
      </c>
      <c r="TW10" s="1033" t="str">
        <f t="shared" si="308"/>
        <v>#NAME?</v>
      </c>
      <c r="TX10" s="1098" t="s">
        <v>2065</v>
      </c>
      <c r="TY10" s="1013" t="str">
        <f t="shared" si="309"/>
        <v>#NAME?</v>
      </c>
      <c r="TZ10" s="1015" t="str">
        <f t="shared" si="310"/>
        <v>#NAME?</v>
      </c>
      <c r="UA10" s="1414" t="s">
        <v>5117</v>
      </c>
      <c r="UC10" s="1013" t="str">
        <f t="shared" si="215"/>
        <v>#NAME?</v>
      </c>
      <c r="UD10" s="1098" t="s">
        <v>3255</v>
      </c>
      <c r="UE10" s="1013" t="str">
        <f t="shared" si="216"/>
        <v>#NAME?</v>
      </c>
      <c r="UF10" s="1015" t="str">
        <f t="shared" si="217"/>
        <v>#NAME?</v>
      </c>
      <c r="UG10" s="1414" t="s">
        <v>5063</v>
      </c>
      <c r="UI10" s="1293"/>
      <c r="UJ10" s="1291" t="s">
        <v>5169</v>
      </c>
      <c r="UK10" s="12"/>
      <c r="UL10" s="962"/>
      <c r="UM10" s="1292" t="s">
        <v>4608</v>
      </c>
      <c r="UU10" s="1293"/>
      <c r="UV10" s="1291" t="s">
        <v>5170</v>
      </c>
      <c r="UW10" s="12"/>
      <c r="UX10" s="962"/>
      <c r="UY10" s="1292" t="s">
        <v>4608</v>
      </c>
      <c r="VA10" s="1387" t="str">
        <f t="shared" si="362"/>
        <v>#NAME?</v>
      </c>
      <c r="VB10" s="1388" t="s">
        <v>347</v>
      </c>
      <c r="VC10" s="1389" t="str">
        <f t="shared" si="363"/>
        <v>#NAME?</v>
      </c>
      <c r="VD10" s="1390" t="str">
        <f t="shared" si="364"/>
        <v>#NAME?</v>
      </c>
      <c r="VE10" s="1391" t="s">
        <v>5029</v>
      </c>
      <c r="VG10" s="1289" t="s">
        <v>4791</v>
      </c>
      <c r="VH10" s="12"/>
      <c r="VI10" s="12"/>
      <c r="VJ10" s="12"/>
      <c r="VK10" s="48"/>
      <c r="VL10" s="442"/>
      <c r="VR10" s="442"/>
      <c r="VS10" s="963" t="s">
        <v>5171</v>
      </c>
      <c r="VT10" s="12"/>
      <c r="VU10" s="12"/>
      <c r="VV10" s="12"/>
      <c r="VW10" s="48"/>
      <c r="VX10" s="442"/>
      <c r="VY10" s="1387" t="str">
        <f t="shared" si="365"/>
        <v>#NAME?</v>
      </c>
      <c r="VZ10" s="1388" t="s">
        <v>2678</v>
      </c>
      <c r="WA10" s="1387" t="str">
        <f t="shared" si="366"/>
        <v>#NAME?</v>
      </c>
      <c r="WB10" s="1392" t="str">
        <f t="shared" si="367"/>
        <v>#NAME?</v>
      </c>
      <c r="WC10" s="1391" t="s">
        <v>4998</v>
      </c>
      <c r="WD10" s="442"/>
      <c r="WJ10" s="442"/>
      <c r="WK10" s="1294"/>
      <c r="WL10" s="1291" t="s">
        <v>5172</v>
      </c>
      <c r="WM10" s="12"/>
      <c r="WN10" s="962"/>
      <c r="WO10" s="1292" t="s">
        <v>4608</v>
      </c>
      <c r="WP10" s="442"/>
      <c r="WQ10" s="1294"/>
      <c r="WR10" s="1291" t="s">
        <v>5173</v>
      </c>
      <c r="WS10" s="12"/>
      <c r="WT10" s="962"/>
      <c r="WU10" s="1292" t="s">
        <v>4608</v>
      </c>
      <c r="WV10" s="442"/>
      <c r="WW10" s="1387" t="str">
        <f t="shared" si="368"/>
        <v>#NAME?</v>
      </c>
      <c r="WX10" s="1388" t="s">
        <v>3856</v>
      </c>
      <c r="WY10" s="1387" t="str">
        <f t="shared" si="369"/>
        <v>#NAME?</v>
      </c>
      <c r="WZ10" s="1392" t="str">
        <f t="shared" si="370"/>
        <v>#NAME?</v>
      </c>
      <c r="XA10" s="1391" t="s">
        <v>5034</v>
      </c>
      <c r="XB10" s="442"/>
      <c r="XC10" s="1387" t="str">
        <f t="shared" si="371"/>
        <v>#NAME?</v>
      </c>
      <c r="XD10" s="1388" t="s">
        <v>364</v>
      </c>
      <c r="XE10" s="1387" t="str">
        <f t="shared" si="372"/>
        <v>#NAME?</v>
      </c>
      <c r="XF10" s="1392" t="str">
        <f t="shared" si="373"/>
        <v>#NAME?</v>
      </c>
      <c r="XG10" s="1391" t="s">
        <v>5023</v>
      </c>
      <c r="XH10" s="442"/>
      <c r="XI10" s="1383" t="str">
        <f t="shared" si="155"/>
        <v>#NAME?</v>
      </c>
      <c r="XJ10" s="1384" t="s">
        <v>2914</v>
      </c>
      <c r="XK10" s="1383" t="str">
        <f t="shared" si="156"/>
        <v>#NAME?</v>
      </c>
      <c r="XL10" s="1385" t="str">
        <f t="shared" si="157"/>
        <v>#NAME?</v>
      </c>
      <c r="XM10" s="1507" t="s">
        <v>5004</v>
      </c>
      <c r="XN10" s="442"/>
      <c r="XO10" s="1383" t="str">
        <f t="shared" si="374"/>
        <v>#NAME?</v>
      </c>
      <c r="XP10" s="1508" t="s">
        <v>3722</v>
      </c>
      <c r="XQ10" s="1383" t="str">
        <f t="shared" si="375"/>
        <v>#NAME?</v>
      </c>
      <c r="XR10" s="1385" t="str">
        <f t="shared" si="376"/>
        <v>#NAME?</v>
      </c>
      <c r="XS10" s="1509" t="s">
        <v>5018</v>
      </c>
      <c r="XT10" s="442"/>
      <c r="XU10" s="1092" t="str">
        <f>MONICON21(XV10)</f>
        <v>#NAME?</v>
      </c>
      <c r="XV10" s="996" t="s">
        <v>615</v>
      </c>
      <c r="XW10" s="1092" t="str">
        <f>MONTYPEICON1(XV10)</f>
        <v>#NAME?</v>
      </c>
      <c r="XX10" s="987" t="str">
        <f>MONTYPEICON2(XV10)</f>
        <v>#NAME?</v>
      </c>
      <c r="XY10" s="442" t="s">
        <v>5174</v>
      </c>
      <c r="XZ10" s="442"/>
      <c r="YA10" s="1387" t="str">
        <f t="shared" si="377"/>
        <v>#NAME?</v>
      </c>
      <c r="YB10" s="1388" t="s">
        <v>635</v>
      </c>
      <c r="YC10" s="1387" t="str">
        <f t="shared" si="378"/>
        <v>#NAME?</v>
      </c>
      <c r="YD10" s="1392" t="str">
        <f t="shared" si="379"/>
        <v>#NAME?</v>
      </c>
      <c r="YE10" s="1391" t="s">
        <v>5032</v>
      </c>
      <c r="YF10" s="442"/>
      <c r="YG10" s="1387" t="str">
        <f t="shared" si="380"/>
        <v>#NAME?</v>
      </c>
      <c r="YH10" s="1388" t="s">
        <v>1073</v>
      </c>
      <c r="YI10" s="1387" t="str">
        <f t="shared" si="381"/>
        <v>#NAME?</v>
      </c>
      <c r="YJ10" s="1392" t="str">
        <f t="shared" si="382"/>
        <v>#NAME?</v>
      </c>
      <c r="YK10" s="1391" t="s">
        <v>5019</v>
      </c>
      <c r="YL10" s="442"/>
      <c r="YM10" s="1294"/>
      <c r="YN10" s="1291" t="s">
        <v>5175</v>
      </c>
      <c r="YO10" s="12"/>
      <c r="YP10" s="962"/>
      <c r="YQ10" s="1292" t="s">
        <v>4608</v>
      </c>
      <c r="YR10" s="442"/>
      <c r="YS10" s="1387" t="str">
        <f t="shared" si="383"/>
        <v>#NAME?</v>
      </c>
      <c r="YT10" s="1395" t="s">
        <v>82</v>
      </c>
      <c r="YU10" s="1387" t="str">
        <f t="shared" si="384"/>
        <v>#NAME?</v>
      </c>
      <c r="YV10" s="1392" t="str">
        <f t="shared" si="385"/>
        <v>#NAME?</v>
      </c>
      <c r="YW10" s="1396" t="s">
        <v>5033</v>
      </c>
      <c r="YX10" s="442"/>
      <c r="YY10" s="1387" t="str">
        <f t="shared" si="386"/>
        <v>#NAME?</v>
      </c>
      <c r="YZ10" s="1388" t="s">
        <v>4225</v>
      </c>
      <c r="ZA10" s="1387" t="str">
        <f t="shared" si="387"/>
        <v>#NAME?</v>
      </c>
      <c r="ZB10" s="1392" t="str">
        <f t="shared" si="388"/>
        <v>#NAME?</v>
      </c>
      <c r="ZC10" s="1391" t="s">
        <v>5033</v>
      </c>
      <c r="ZD10" s="442"/>
      <c r="ZG10" s="349"/>
      <c r="ZH10" s="349"/>
      <c r="ZJ10" s="442"/>
      <c r="ZM10" s="349"/>
      <c r="ZN10" s="349"/>
      <c r="ZP10" s="442"/>
      <c r="ZQ10" s="1383" t="str">
        <f t="shared" si="266"/>
        <v>#NAME?</v>
      </c>
      <c r="ZR10" s="1470" t="s">
        <v>2598</v>
      </c>
      <c r="ZS10" s="1383" t="str">
        <f t="shared" si="267"/>
        <v>#NAME?</v>
      </c>
      <c r="ZT10" s="1385" t="str">
        <f t="shared" si="268"/>
        <v>#NAME?</v>
      </c>
      <c r="ZU10" s="1471" t="s">
        <v>5092</v>
      </c>
      <c r="ZV10" s="442"/>
      <c r="ZW10" s="1387" t="str">
        <f t="shared" si="389"/>
        <v>#NAME?</v>
      </c>
      <c r="ZX10" s="1395" t="s">
        <v>3317</v>
      </c>
      <c r="ZY10" s="1387" t="str">
        <f t="shared" si="390"/>
        <v>#NAME?</v>
      </c>
      <c r="ZZ10" s="1392" t="str">
        <f t="shared" si="391"/>
        <v>#NAME?</v>
      </c>
      <c r="AAA10" s="1396" t="s">
        <v>5035</v>
      </c>
      <c r="AAB10" s="442"/>
      <c r="AAC10" s="977" t="str">
        <f t="shared" ref="AAC10:AAC12" si="443">MONICON21(AAD10)</f>
        <v>#NAME?</v>
      </c>
      <c r="AAD10" s="1301" t="s">
        <v>1039</v>
      </c>
      <c r="AAE10" s="977" t="str">
        <f t="shared" ref="AAE10:AAE12" si="444">MONTYPEICON1(AAD10)</f>
        <v>#NAME?</v>
      </c>
      <c r="AAF10" s="980" t="str">
        <f t="shared" ref="AAF10:AAF12" si="445">MONTYPEICON2(AAD10)</f>
        <v>#NAME?</v>
      </c>
      <c r="AAG10" s="1303" t="s">
        <v>5026</v>
      </c>
      <c r="AAH10" s="442"/>
      <c r="AAI10" s="1155"/>
      <c r="AAS10" s="1154"/>
      <c r="AAU10" s="1383" t="str">
        <f t="shared" si="185"/>
        <v>#NAME?</v>
      </c>
      <c r="AAV10" s="1384" t="s">
        <v>2293</v>
      </c>
      <c r="AAW10" s="1383" t="str">
        <f t="shared" si="186"/>
        <v>#NAME?</v>
      </c>
      <c r="AAX10" s="1385" t="str">
        <f t="shared" si="187"/>
        <v>#NAME?</v>
      </c>
      <c r="AAY10" s="1510" t="s">
        <v>5176</v>
      </c>
      <c r="ABA10" s="1383" t="str">
        <f t="shared" si="188"/>
        <v>#NAME?</v>
      </c>
      <c r="ABB10" s="1384" t="s">
        <v>742</v>
      </c>
      <c r="ABC10" s="1383" t="str">
        <f t="shared" si="189"/>
        <v>#NAME?</v>
      </c>
      <c r="ABD10" s="1385" t="str">
        <f t="shared" si="190"/>
        <v>#NAME?</v>
      </c>
      <c r="ABE10" s="1510" t="s">
        <v>5176</v>
      </c>
      <c r="ABG10" s="1383" t="str">
        <f t="shared" si="191"/>
        <v>#NAME?</v>
      </c>
      <c r="ABH10" s="1384" t="s">
        <v>4049</v>
      </c>
      <c r="ABI10" s="1383" t="str">
        <f t="shared" si="192"/>
        <v>#NAME?</v>
      </c>
      <c r="ABJ10" s="1385" t="str">
        <f t="shared" si="193"/>
        <v>#NAME?</v>
      </c>
      <c r="ABK10" s="1510" t="s">
        <v>5176</v>
      </c>
      <c r="ABM10" s="1383" t="str">
        <f t="shared" si="194"/>
        <v>#NAME?</v>
      </c>
      <c r="ABN10" s="1384" t="s">
        <v>687</v>
      </c>
      <c r="ABO10" s="1383" t="str">
        <f t="shared" si="195"/>
        <v>#NAME?</v>
      </c>
      <c r="ABP10" s="1385" t="str">
        <f t="shared" si="196"/>
        <v>#NAME?</v>
      </c>
      <c r="ABQ10" s="1510" t="s">
        <v>5176</v>
      </c>
      <c r="ABS10" s="1383" t="str">
        <f t="shared" si="197"/>
        <v>#NAME?</v>
      </c>
      <c r="ABT10" s="1384" t="s">
        <v>3196</v>
      </c>
      <c r="ABU10" s="1383" t="str">
        <f t="shared" si="198"/>
        <v>#NAME?</v>
      </c>
      <c r="ABV10" s="1385" t="str">
        <f t="shared" si="199"/>
        <v>#NAME?</v>
      </c>
      <c r="ABW10" s="1510" t="s">
        <v>5176</v>
      </c>
      <c r="ABY10" s="1511" t="s">
        <v>5177</v>
      </c>
      <c r="ACC10" s="1154"/>
      <c r="ACE10" s="1512" t="str">
        <f t="shared" si="1"/>
        <v/>
      </c>
      <c r="ACF10" s="1513" t="s">
        <v>5037</v>
      </c>
      <c r="ACG10" s="1514" t="s">
        <v>4608</v>
      </c>
      <c r="ACH10" s="1515" t="s">
        <v>4608</v>
      </c>
      <c r="ACI10" s="1516" t="s">
        <v>5038</v>
      </c>
      <c r="ACJ10" s="996"/>
    </row>
    <row r="11" ht="15.75" customHeight="1">
      <c r="A11" s="1230"/>
      <c r="B11" s="1444"/>
      <c r="C11" s="1445"/>
      <c r="D11" s="1446"/>
      <c r="E11" s="1230"/>
      <c r="F11" s="1238"/>
      <c r="G11" s="1517"/>
      <c r="H11" s="1230"/>
      <c r="I11" s="1053" t="str">
        <f>MONICON21(J11)</f>
        <v>#NAME?</v>
      </c>
      <c r="J11" s="398" t="s">
        <v>3613</v>
      </c>
      <c r="K11" s="985" t="str">
        <f>MONTYPEICON1(J11)</f>
        <v>#NAME?</v>
      </c>
      <c r="L11" s="1052" t="str">
        <f>MONTYPEICON2(J11)</f>
        <v>#NAME?</v>
      </c>
      <c r="M11" s="1518" t="s">
        <v>5129</v>
      </c>
      <c r="N11" s="1230"/>
      <c r="O11" s="1051" t="str">
        <f t="shared" si="317"/>
        <v>#NAME?</v>
      </c>
      <c r="P11" s="1127" t="s">
        <v>2466</v>
      </c>
      <c r="Q11" s="1051" t="str">
        <f t="shared" si="318"/>
        <v>#NAME?</v>
      </c>
      <c r="R11" s="1131" t="str">
        <f t="shared" si="319"/>
        <v>#NAME?</v>
      </c>
      <c r="S11" s="1519" t="s">
        <v>4988</v>
      </c>
      <c r="T11" s="1230"/>
      <c r="Z11" s="1230"/>
      <c r="AF11" s="1230"/>
      <c r="AG11" s="1263"/>
      <c r="AH11" s="1264" t="s">
        <v>5178</v>
      </c>
      <c r="AI11" s="12"/>
      <c r="AJ11" s="962"/>
      <c r="AK11" s="1265" t="s">
        <v>4608</v>
      </c>
      <c r="AL11" s="1230"/>
      <c r="AM11" s="1520" t="str">
        <f t="shared" si="392"/>
        <v>#NAME?</v>
      </c>
      <c r="AN11" s="1449" t="s">
        <v>2512</v>
      </c>
      <c r="AO11" s="1348" t="str">
        <f t="shared" si="393"/>
        <v>#NAME?</v>
      </c>
      <c r="AP11" s="1349" t="str">
        <f t="shared" si="394"/>
        <v>#NAME?</v>
      </c>
      <c r="AQ11" s="1450" t="s">
        <v>5074</v>
      </c>
      <c r="AR11" s="1230"/>
      <c r="AS11" s="1448" t="str">
        <f t="shared" si="395"/>
        <v>#NAME?</v>
      </c>
      <c r="AT11" s="1366" t="s">
        <v>2923</v>
      </c>
      <c r="AU11" s="1353" t="str">
        <f t="shared" si="396"/>
        <v>#NAME?</v>
      </c>
      <c r="AV11" s="1354" t="str">
        <f t="shared" si="397"/>
        <v>#NAME?</v>
      </c>
      <c r="AW11" s="1413" t="s">
        <v>5179</v>
      </c>
      <c r="AX11" s="1230"/>
      <c r="AY11" s="1255"/>
      <c r="AZ11" s="1259" t="s">
        <v>5180</v>
      </c>
      <c r="BA11" s="12"/>
      <c r="BB11" s="962"/>
      <c r="BC11" s="1258" t="s">
        <v>4608</v>
      </c>
      <c r="BD11" s="1230"/>
      <c r="BE11" s="442"/>
      <c r="BF11" s="442"/>
      <c r="BG11" s="442"/>
      <c r="BH11" s="442"/>
      <c r="BI11" s="108"/>
      <c r="BJ11" s="1230"/>
      <c r="BK11" s="961" t="s">
        <v>5181</v>
      </c>
      <c r="BL11" s="12"/>
      <c r="BM11" s="12"/>
      <c r="BN11" s="12"/>
      <c r="BO11" s="48"/>
      <c r="BP11" s="442"/>
      <c r="BQ11" s="1071" t="str">
        <f t="shared" si="398"/>
        <v>#NAME?</v>
      </c>
      <c r="BR11" s="1337" t="s">
        <v>3092</v>
      </c>
      <c r="BS11" s="1071" t="str">
        <f t="shared" si="399"/>
        <v>#NAME?</v>
      </c>
      <c r="BT11" s="1073" t="str">
        <f t="shared" si="400"/>
        <v>#NAME?</v>
      </c>
      <c r="BU11" s="1338" t="s">
        <v>5040</v>
      </c>
      <c r="BV11" s="442"/>
      <c r="BW11" s="1146" t="str">
        <f t="shared" si="401"/>
        <v>#NAME?</v>
      </c>
      <c r="BX11" s="1335" t="s">
        <v>2583</v>
      </c>
      <c r="BY11" s="1146" t="str">
        <f t="shared" si="402"/>
        <v>#NAME?</v>
      </c>
      <c r="BZ11" s="1148" t="str">
        <f t="shared" si="403"/>
        <v>#NAME?</v>
      </c>
      <c r="CA11" s="1336" t="s">
        <v>4996</v>
      </c>
      <c r="CB11" s="1230"/>
      <c r="CC11" s="1021" t="str">
        <f t="shared" si="404"/>
        <v>#NAME?</v>
      </c>
      <c r="CD11" s="1521" t="s">
        <v>1191</v>
      </c>
      <c r="CE11" s="1502" t="str">
        <f t="shared" si="405"/>
        <v>#NAME?</v>
      </c>
      <c r="CF11" s="1503" t="str">
        <f t="shared" si="406"/>
        <v>#NAME?</v>
      </c>
      <c r="CG11" s="1522" t="s">
        <v>4999</v>
      </c>
      <c r="CH11" s="442"/>
      <c r="CI11" s="1523" t="s">
        <v>5182</v>
      </c>
      <c r="CJ11" s="12"/>
      <c r="CK11" s="12"/>
      <c r="CL11" s="12"/>
      <c r="CM11" s="48"/>
      <c r="CN11" s="1230"/>
      <c r="CO11" s="973" t="s">
        <v>5183</v>
      </c>
      <c r="CP11" s="976"/>
      <c r="CQ11" s="976"/>
      <c r="CR11" s="976"/>
      <c r="CS11" s="954"/>
      <c r="CT11" s="65"/>
      <c r="CU11" s="1266"/>
      <c r="CV11" s="1259" t="s">
        <v>5184</v>
      </c>
      <c r="CW11" s="12"/>
      <c r="CX11" s="962"/>
      <c r="CY11" s="1258" t="s">
        <v>4608</v>
      </c>
      <c r="CZ11" s="65"/>
      <c r="DA11" s="1012" t="str">
        <f t="shared" ref="DA11:DA12" si="446">MONICON21(DB11)</f>
        <v>#NAME?</v>
      </c>
      <c r="DB11" s="1304" t="s">
        <v>2905</v>
      </c>
      <c r="DC11" s="977" t="str">
        <f t="shared" ref="DC11:DC12" si="447">MONTYPEICON1(DB11)</f>
        <v>#NAME?</v>
      </c>
      <c r="DD11" s="980" t="str">
        <f t="shared" ref="DD11:DD12" si="448">MONTYPEICON2(DB11)</f>
        <v>#NAME?</v>
      </c>
      <c r="DE11" s="1305" t="s">
        <v>4999</v>
      </c>
      <c r="DF11" s="65"/>
      <c r="DG11" s="1094" t="str">
        <f t="shared" si="323"/>
        <v>#NAME?</v>
      </c>
      <c r="DH11" s="1410" t="s">
        <v>2752</v>
      </c>
      <c r="DI11" s="1051" t="str">
        <f t="shared" si="324"/>
        <v>#NAME?</v>
      </c>
      <c r="DJ11" s="1131" t="str">
        <f t="shared" si="325"/>
        <v>#NAME?</v>
      </c>
      <c r="DK11" s="1411" t="s">
        <v>4998</v>
      </c>
      <c r="DL11" s="65"/>
      <c r="DM11" s="1027" t="str">
        <f t="shared" si="407"/>
        <v>#NAME?</v>
      </c>
      <c r="DN11" s="1340" t="s">
        <v>2030</v>
      </c>
      <c r="DO11" s="1341" t="str">
        <f t="shared" si="408"/>
        <v>#NAME?</v>
      </c>
      <c r="DP11" s="1342" t="str">
        <f t="shared" si="409"/>
        <v>#NAME?</v>
      </c>
      <c r="DQ11" s="1343" t="s">
        <v>5000</v>
      </c>
      <c r="DR11" s="65"/>
      <c r="DS11" s="1094" t="str">
        <f t="shared" si="230"/>
        <v>#NAME?</v>
      </c>
      <c r="DT11" s="1127" t="s">
        <v>4077</v>
      </c>
      <c r="DU11" s="1051" t="str">
        <f t="shared" si="231"/>
        <v>#NAME?</v>
      </c>
      <c r="DV11" s="1131" t="str">
        <f t="shared" si="232"/>
        <v>#NAME?</v>
      </c>
      <c r="DW11" s="1519" t="s">
        <v>5079</v>
      </c>
      <c r="DX11" s="65"/>
      <c r="DY11" s="1056" t="str">
        <f t="shared" si="410"/>
        <v>#NAME?</v>
      </c>
      <c r="DZ11" s="1123" t="s">
        <v>2710</v>
      </c>
      <c r="EA11" s="1021" t="str">
        <f t="shared" si="411"/>
        <v>#NAME?</v>
      </c>
      <c r="EB11" s="1024" t="str">
        <f t="shared" si="412"/>
        <v>#NAME?</v>
      </c>
      <c r="EC11" s="1339" t="s">
        <v>5000</v>
      </c>
      <c r="ED11" s="442"/>
      <c r="EE11" s="1268"/>
      <c r="EF11" s="1524" t="s">
        <v>4926</v>
      </c>
      <c r="EG11" s="12"/>
      <c r="EH11" s="962"/>
      <c r="EI11" s="1525" t="s">
        <v>4608</v>
      </c>
      <c r="EJ11" s="1230"/>
      <c r="EK11" s="1188" t="s">
        <v>5185</v>
      </c>
      <c r="EL11" s="976"/>
      <c r="EM11" s="976"/>
      <c r="EN11" s="976"/>
      <c r="EO11" s="954"/>
      <c r="EP11" s="1230"/>
      <c r="EQ11" s="1049" t="str">
        <f t="shared" si="326"/>
        <v>#NAME?</v>
      </c>
      <c r="ER11" s="499" t="s">
        <v>4091</v>
      </c>
      <c r="ES11" s="1051" t="str">
        <f t="shared" si="327"/>
        <v>#NAME?</v>
      </c>
      <c r="ET11" s="1131" t="str">
        <f t="shared" si="328"/>
        <v>#NAME?</v>
      </c>
      <c r="EU11" s="1095" t="s">
        <v>5003</v>
      </c>
      <c r="EV11" s="1230"/>
      <c r="EW11" s="1266"/>
      <c r="EX11" s="1259" t="s">
        <v>5186</v>
      </c>
      <c r="EY11" s="12"/>
      <c r="EZ11" s="962"/>
      <c r="FA11" s="1258" t="s">
        <v>4608</v>
      </c>
      <c r="FB11" s="442"/>
      <c r="FC11" s="442"/>
      <c r="FD11" s="442"/>
      <c r="FE11" s="108"/>
      <c r="FF11" s="108"/>
      <c r="FG11" s="108"/>
      <c r="FH11" s="442"/>
      <c r="FI11" s="1266"/>
      <c r="FJ11" s="1259" t="s">
        <v>5187</v>
      </c>
      <c r="FK11" s="12"/>
      <c r="FL11" s="962"/>
      <c r="FM11" s="1258" t="s">
        <v>4608</v>
      </c>
      <c r="FN11" s="442"/>
      <c r="FQ11" s="349"/>
      <c r="FR11" s="349"/>
      <c r="FS11" s="349"/>
      <c r="FT11" s="442"/>
      <c r="FU11" s="1266"/>
      <c r="FV11" s="1259" t="s">
        <v>5188</v>
      </c>
      <c r="FW11" s="12"/>
      <c r="FX11" s="962"/>
      <c r="FY11" s="1258" t="s">
        <v>4608</v>
      </c>
      <c r="FZ11" s="442"/>
      <c r="GA11" s="1056" t="str">
        <f t="shared" si="413"/>
        <v>#NAME?</v>
      </c>
      <c r="GB11" s="1465" t="s">
        <v>2839</v>
      </c>
      <c r="GC11" s="1502" t="str">
        <f t="shared" si="414"/>
        <v>#NAME?</v>
      </c>
      <c r="GD11" s="1503" t="str">
        <f t="shared" si="415"/>
        <v>#NAME?</v>
      </c>
      <c r="GE11" s="1339" t="s">
        <v>5001</v>
      </c>
      <c r="GF11" s="442"/>
      <c r="GG11" s="983" t="str">
        <f t="shared" ref="GG11:GG13" si="449">MONICON21(GH11)</f>
        <v>#NAME?</v>
      </c>
      <c r="GH11" s="1301" t="s">
        <v>3964</v>
      </c>
      <c r="GI11" s="977" t="str">
        <f t="shared" ref="GI11:GI13" si="450">MONTYPEICON1(GH11)</f>
        <v>#NAME?</v>
      </c>
      <c r="GJ11" s="980" t="str">
        <f t="shared" ref="GJ11:GJ13" si="451">MONTYPEICON2(GH11)</f>
        <v>#NAME?</v>
      </c>
      <c r="GK11" s="1303" t="s">
        <v>5082</v>
      </c>
      <c r="GL11" s="1230"/>
      <c r="GM11" s="442"/>
      <c r="GN11" s="442"/>
      <c r="GO11" s="108"/>
      <c r="GP11" s="108"/>
      <c r="GQ11" s="108"/>
      <c r="GR11" s="65"/>
      <c r="GS11" s="1266"/>
      <c r="GT11" s="1259" t="s">
        <v>5189</v>
      </c>
      <c r="GU11" s="12"/>
      <c r="GV11" s="962"/>
      <c r="GW11" s="1258" t="s">
        <v>4608</v>
      </c>
      <c r="GX11" s="65"/>
      <c r="GY11" s="1193" t="str">
        <f t="shared" si="416"/>
        <v>#NAME?</v>
      </c>
      <c r="GZ11" s="1357" t="s">
        <v>635</v>
      </c>
      <c r="HA11" s="1146" t="str">
        <f t="shared" si="417"/>
        <v>#NAME?</v>
      </c>
      <c r="HB11" s="1148" t="str">
        <f t="shared" si="418"/>
        <v>#NAME?</v>
      </c>
      <c r="HC11" s="1330" t="s">
        <v>5004</v>
      </c>
      <c r="HD11" s="1230"/>
      <c r="HE11" s="1068" t="str">
        <f t="shared" si="419"/>
        <v>#NAME?</v>
      </c>
      <c r="HF11" s="1078" t="s">
        <v>1228</v>
      </c>
      <c r="HG11" s="1071" t="str">
        <f t="shared" si="420"/>
        <v>#NAME?</v>
      </c>
      <c r="HH11" s="1073" t="str">
        <f t="shared" si="421"/>
        <v>#NAME?</v>
      </c>
      <c r="HI11" s="1093" t="s">
        <v>5005</v>
      </c>
      <c r="HK11" s="1096" t="str">
        <f t="shared" si="239"/>
        <v>#NAME?</v>
      </c>
      <c r="HL11" s="89" t="s">
        <v>687</v>
      </c>
      <c r="HM11" s="1418" t="str">
        <f t="shared" si="240"/>
        <v>#NAME?</v>
      </c>
      <c r="HN11" s="1419" t="str">
        <f t="shared" si="241"/>
        <v>#NAME?</v>
      </c>
      <c r="HO11" s="1108" t="s">
        <v>5007</v>
      </c>
      <c r="HP11" s="65"/>
      <c r="HQ11" s="1056" t="str">
        <f t="shared" si="422"/>
        <v>#NAME?</v>
      </c>
      <c r="HR11" s="1377" t="s">
        <v>2435</v>
      </c>
      <c r="HS11" s="1021" t="str">
        <f t="shared" si="423"/>
        <v>#NAME?</v>
      </c>
      <c r="HT11" s="1024" t="str">
        <f t="shared" si="424"/>
        <v>#NAME?</v>
      </c>
      <c r="HU11" s="1339" t="s">
        <v>5006</v>
      </c>
      <c r="HV11" s="65"/>
      <c r="HW11" s="1266"/>
      <c r="HX11" s="1259" t="s">
        <v>5190</v>
      </c>
      <c r="HY11" s="12"/>
      <c r="HZ11" s="962"/>
      <c r="IA11" s="1258" t="s">
        <v>4608</v>
      </c>
      <c r="IB11" s="65"/>
      <c r="IC11" s="985" t="str">
        <f>MONICON21(ID11)</f>
        <v>#NAME?</v>
      </c>
      <c r="ID11" s="146" t="s">
        <v>493</v>
      </c>
      <c r="IE11" s="22" t="str">
        <f>MONTYPEICON1(ID11)</f>
        <v>#NAME?</v>
      </c>
      <c r="IF11" s="24" t="str">
        <f>MONTYPEICON2(ID11)</f>
        <v>#NAME?</v>
      </c>
      <c r="IG11" s="1196" t="s">
        <v>5007</v>
      </c>
      <c r="II11" s="1278"/>
      <c r="IJ11" s="1269" t="s">
        <v>4945</v>
      </c>
      <c r="IK11" s="12"/>
      <c r="IL11" s="962"/>
      <c r="IM11" s="1270" t="s">
        <v>4608</v>
      </c>
      <c r="IQ11" s="349"/>
      <c r="IR11" s="349"/>
      <c r="IT11" s="1230"/>
      <c r="IU11" s="983" t="str">
        <f t="shared" ref="IU11:IU13" si="452">MONICON21(IV11)</f>
        <v>#NAME?</v>
      </c>
      <c r="IV11" s="1315" t="s">
        <v>4049</v>
      </c>
      <c r="IW11" s="1311" t="str">
        <f t="shared" ref="IW11:IW13" si="453">MONTYPEICON1(IV11)</f>
        <v>#NAME?</v>
      </c>
      <c r="IX11" s="1312" t="str">
        <f t="shared" ref="IX11:IX13" si="454">MONTYPEICON2(IV11)</f>
        <v>#NAME?</v>
      </c>
      <c r="IY11" s="1316" t="s">
        <v>5158</v>
      </c>
      <c r="IZ11" s="1230"/>
      <c r="JA11" s="963" t="s">
        <v>4539</v>
      </c>
      <c r="JB11" s="12"/>
      <c r="JC11" s="12"/>
      <c r="JD11" s="12"/>
      <c r="JE11" s="48"/>
      <c r="JF11" s="1230"/>
      <c r="JG11" s="1286"/>
      <c r="JH11" s="1259" t="s">
        <v>5191</v>
      </c>
      <c r="JI11" s="12"/>
      <c r="JJ11" s="962"/>
      <c r="JK11" s="1258" t="s">
        <v>4608</v>
      </c>
      <c r="JL11" s="1230"/>
      <c r="JO11" s="349"/>
      <c r="JP11" s="349"/>
      <c r="JQ11" s="349"/>
      <c r="JR11" s="1230"/>
      <c r="JS11" s="985" t="str">
        <f>MONICON21(JT11)</f>
        <v>#NAME?</v>
      </c>
      <c r="JT11" s="146" t="s">
        <v>3176</v>
      </c>
      <c r="JU11" s="22" t="str">
        <f>MONTYPEICON1(JT11)</f>
        <v>#NAME?</v>
      </c>
      <c r="JV11" s="24" t="str">
        <f>MONTYPEICON2(JT11)</f>
        <v>#NAME?</v>
      </c>
      <c r="JW11" s="1196" t="s">
        <v>5158</v>
      </c>
      <c r="JY11" s="1268"/>
      <c r="JZ11" s="1269" t="s">
        <v>5192</v>
      </c>
      <c r="KA11" s="12"/>
      <c r="KB11" s="962"/>
      <c r="KC11" s="1270" t="s">
        <v>4608</v>
      </c>
      <c r="KE11" s="1266"/>
      <c r="KF11" s="1259" t="s">
        <v>5193</v>
      </c>
      <c r="KG11" s="12"/>
      <c r="KH11" s="962"/>
      <c r="KI11" s="1258" t="s">
        <v>4608</v>
      </c>
      <c r="KJ11" s="442"/>
      <c r="KK11" s="1094" t="str">
        <f t="shared" si="332"/>
        <v>#NAME?</v>
      </c>
      <c r="KL11" s="1127" t="s">
        <v>4063</v>
      </c>
      <c r="KM11" s="1420" t="str">
        <f t="shared" si="333"/>
        <v>#NAME?</v>
      </c>
      <c r="KN11" s="475" t="str">
        <f t="shared" si="334"/>
        <v>#NAME?</v>
      </c>
      <c r="KO11" s="1095" t="s">
        <v>5010</v>
      </c>
      <c r="KP11" s="442"/>
      <c r="KS11" s="349"/>
      <c r="KT11" s="349"/>
      <c r="KV11" s="442"/>
      <c r="KY11" s="349"/>
      <c r="KZ11" s="349"/>
      <c r="LB11" s="442"/>
      <c r="LC11" s="961" t="s">
        <v>4743</v>
      </c>
      <c r="LD11" s="12"/>
      <c r="LE11" s="12"/>
      <c r="LF11" s="12"/>
      <c r="LG11" s="48"/>
      <c r="LH11" s="65"/>
      <c r="LI11" s="1068" t="str">
        <f t="shared" si="425"/>
        <v>#NAME?</v>
      </c>
      <c r="LJ11" s="1076" t="s">
        <v>4091</v>
      </c>
      <c r="LK11" s="1358" t="str">
        <f t="shared" si="426"/>
        <v>#NAME?</v>
      </c>
      <c r="LL11" s="1359" t="str">
        <f t="shared" si="427"/>
        <v>#NAME?</v>
      </c>
      <c r="LM11" s="1368" t="s">
        <v>5162</v>
      </c>
      <c r="LO11" s="1094" t="str">
        <f t="shared" si="335"/>
        <v>#NAME?</v>
      </c>
      <c r="LP11" s="1127" t="s">
        <v>1352</v>
      </c>
      <c r="LQ11" s="1051" t="str">
        <f t="shared" si="336"/>
        <v>#NAME?</v>
      </c>
      <c r="LR11" s="1131" t="str">
        <f t="shared" si="337"/>
        <v>#NAME?</v>
      </c>
      <c r="LS11" s="1422" t="s">
        <v>5106</v>
      </c>
      <c r="LT11" s="442"/>
      <c r="LU11" s="1012" t="str">
        <f t="shared" ref="LU11:LU12" si="455">MONICON21(LV11)</f>
        <v>#NAME?</v>
      </c>
      <c r="LV11" s="1425" t="s">
        <v>2752</v>
      </c>
      <c r="LW11" s="1311" t="str">
        <f t="shared" ref="LW11:LW12" si="456">MONTYPEICON1(LV11)</f>
        <v>#NAME?</v>
      </c>
      <c r="LX11" s="1312" t="str">
        <f t="shared" ref="LX11:LX12" si="457">MONTYPEICON2(LV11)</f>
        <v>#NAME?</v>
      </c>
      <c r="LY11" s="1526" t="s">
        <v>5164</v>
      </c>
      <c r="MA11" s="1351" t="str">
        <f t="shared" si="428"/>
        <v>#NAME?</v>
      </c>
      <c r="MB11" s="1372" t="s">
        <v>3941</v>
      </c>
      <c r="MC11" s="1353" t="str">
        <f t="shared" si="429"/>
        <v>#NAME?</v>
      </c>
      <c r="MD11" s="1354" t="str">
        <f t="shared" si="430"/>
        <v>#NAME?</v>
      </c>
      <c r="ME11" s="1367" t="s">
        <v>5106</v>
      </c>
      <c r="MG11" s="1273"/>
      <c r="MH11" s="1281" t="s">
        <v>4908</v>
      </c>
      <c r="MI11" s="12"/>
      <c r="MJ11" s="962"/>
      <c r="MK11" s="1282" t="s">
        <v>4608</v>
      </c>
      <c r="MM11" s="1346" t="str">
        <f t="shared" si="212"/>
        <v>#NAME?</v>
      </c>
      <c r="MN11" s="1370" t="s">
        <v>4091</v>
      </c>
      <c r="MO11" s="1348" t="str">
        <f t="shared" si="213"/>
        <v>#NAME?</v>
      </c>
      <c r="MP11" s="1349" t="str">
        <f t="shared" si="214"/>
        <v>#NAME?</v>
      </c>
      <c r="MQ11" s="1371" t="s">
        <v>5017</v>
      </c>
      <c r="MS11" s="1346" t="str">
        <f t="shared" si="431"/>
        <v>#NAME?</v>
      </c>
      <c r="MT11" s="1370" t="s">
        <v>969</v>
      </c>
      <c r="MU11" s="1348" t="str">
        <f t="shared" si="432"/>
        <v>#NAME?</v>
      </c>
      <c r="MV11" s="1349" t="str">
        <f t="shared" si="433"/>
        <v>#NAME?</v>
      </c>
      <c r="MW11" s="1371" t="s">
        <v>5164</v>
      </c>
      <c r="MX11" s="442"/>
      <c r="MY11" s="1527"/>
      <c r="MZ11" s="1281" t="s">
        <v>4997</v>
      </c>
      <c r="NA11" s="12"/>
      <c r="NB11" s="962"/>
      <c r="NC11" s="1282" t="s">
        <v>4608</v>
      </c>
      <c r="ND11" s="442"/>
      <c r="NE11" s="1266"/>
      <c r="NF11" s="1256" t="s">
        <v>5194</v>
      </c>
      <c r="NG11" s="1285" t="s">
        <v>4888</v>
      </c>
      <c r="NH11" s="962"/>
      <c r="NI11" s="1258" t="s">
        <v>4608</v>
      </c>
      <c r="NM11" s="349"/>
      <c r="NN11" s="349"/>
      <c r="NP11" s="442"/>
      <c r="NQ11" s="1094" t="str">
        <f t="shared" si="341"/>
        <v>#NAME?</v>
      </c>
      <c r="NR11" s="1127" t="s">
        <v>347</v>
      </c>
      <c r="NS11" s="1528" t="str">
        <f t="shared" si="342"/>
        <v>#NAME?</v>
      </c>
      <c r="NT11" s="1433" t="str">
        <f t="shared" si="343"/>
        <v>#NAME?</v>
      </c>
      <c r="NU11" s="1422" t="s">
        <v>5019</v>
      </c>
      <c r="NV11" s="442"/>
      <c r="NW11" s="1096" t="str">
        <f t="shared" si="251"/>
        <v>#NAME?</v>
      </c>
      <c r="NX11" s="1098" t="s">
        <v>2544</v>
      </c>
      <c r="NY11" s="1013" t="str">
        <f t="shared" si="252"/>
        <v>#NAME?</v>
      </c>
      <c r="NZ11" s="1015" t="str">
        <f t="shared" si="253"/>
        <v>#NAME?</v>
      </c>
      <c r="OA11" s="1414" t="s">
        <v>5020</v>
      </c>
      <c r="OB11" s="442"/>
      <c r="OC11" s="1068" t="str">
        <f t="shared" si="434"/>
        <v>#NAME?</v>
      </c>
      <c r="OD11" s="1076" t="s">
        <v>2954</v>
      </c>
      <c r="OE11" s="1358" t="str">
        <f t="shared" si="435"/>
        <v>#NAME?</v>
      </c>
      <c r="OF11" s="1359" t="str">
        <f t="shared" si="436"/>
        <v>#NAME?</v>
      </c>
      <c r="OG11" s="1368" t="s">
        <v>5019</v>
      </c>
      <c r="OH11" s="442"/>
      <c r="OI11" s="983" t="str">
        <f t="shared" ref="OI11:OI14" si="458">MONICON21(OJ11)</f>
        <v>#NAME?</v>
      </c>
      <c r="OJ11" s="1301" t="s">
        <v>1014</v>
      </c>
      <c r="OK11" s="1311" t="str">
        <f t="shared" ref="OK11:OK14" si="459">MONTYPEICON1(OJ11)</f>
        <v>#NAME?</v>
      </c>
      <c r="OL11" s="1312" t="str">
        <f t="shared" ref="OL11:OL14" si="460">MONTYPEICON2(OJ11)</f>
        <v>#NAME?</v>
      </c>
      <c r="OM11" s="1318" t="s">
        <v>5020</v>
      </c>
      <c r="ON11" s="442"/>
      <c r="OO11" s="1266"/>
      <c r="OP11" s="1259" t="s">
        <v>5195</v>
      </c>
      <c r="OQ11" s="12"/>
      <c r="OR11" s="962"/>
      <c r="OS11" s="1258" t="s">
        <v>4608</v>
      </c>
      <c r="OU11" s="1266"/>
      <c r="OV11" s="1259" t="s">
        <v>5196</v>
      </c>
      <c r="OW11" s="12"/>
      <c r="OX11" s="962"/>
      <c r="OY11" s="1258" t="s">
        <v>4608</v>
      </c>
      <c r="PA11" s="1012" t="str">
        <f t="shared" si="344"/>
        <v>#NAME?</v>
      </c>
      <c r="PB11" s="1481" t="s">
        <v>2393</v>
      </c>
      <c r="PC11" s="1417" t="str">
        <f t="shared" si="345"/>
        <v>#NAME?</v>
      </c>
      <c r="PD11" s="62" t="str">
        <f t="shared" si="346"/>
        <v>#NAME?</v>
      </c>
      <c r="PE11" s="1482" t="s">
        <v>5146</v>
      </c>
      <c r="PF11" s="442"/>
      <c r="PG11" s="1094" t="str">
        <f t="shared" si="347"/>
        <v>#NAME?</v>
      </c>
      <c r="PH11" s="1127" t="s">
        <v>3628</v>
      </c>
      <c r="PI11" s="1420" t="str">
        <f t="shared" si="348"/>
        <v>#NAME?</v>
      </c>
      <c r="PJ11" s="475" t="str">
        <f t="shared" si="349"/>
        <v>#NAME?</v>
      </c>
      <c r="PK11" s="1422" t="s">
        <v>5022</v>
      </c>
      <c r="PM11" s="1094" t="str">
        <f t="shared" si="350"/>
        <v>#NAME?</v>
      </c>
      <c r="PN11" s="1127" t="s">
        <v>1778</v>
      </c>
      <c r="PO11" s="1420" t="str">
        <f t="shared" si="351"/>
        <v>#NAME?</v>
      </c>
      <c r="PP11" s="475" t="str">
        <f t="shared" si="352"/>
        <v>#NAME?</v>
      </c>
      <c r="PQ11" s="1422" t="s">
        <v>5022</v>
      </c>
      <c r="PR11" s="442"/>
      <c r="PS11" s="983" t="str">
        <f t="shared" ref="PS11:PS14" si="461">MONICON21(PT11)</f>
        <v>#NAME?</v>
      </c>
      <c r="PT11" s="1301" t="s">
        <v>1443</v>
      </c>
      <c r="PU11" s="1311" t="str">
        <f t="shared" ref="PU11:PU14" si="462">MONTYPEICON1(PT11)</f>
        <v>#NAME?</v>
      </c>
      <c r="PV11" s="1312" t="str">
        <f t="shared" ref="PV11:PV14" si="463">MONTYPEICON2(PT11)</f>
        <v>#NAME?</v>
      </c>
      <c r="PW11" s="1318" t="s">
        <v>5021</v>
      </c>
      <c r="PX11" s="442"/>
      <c r="PY11" s="1278"/>
      <c r="PZ11" s="1269" t="s">
        <v>5197</v>
      </c>
      <c r="QA11" s="12"/>
      <c r="QB11" s="962"/>
      <c r="QC11" s="1270" t="s">
        <v>4608</v>
      </c>
      <c r="QD11" s="442"/>
      <c r="QE11" s="1012" t="str">
        <f t="shared" si="353"/>
        <v>#NAME?</v>
      </c>
      <c r="QF11" s="1098" t="s">
        <v>1452</v>
      </c>
      <c r="QG11" s="1418" t="str">
        <f t="shared" si="354"/>
        <v>#NAME?</v>
      </c>
      <c r="QH11" s="1419" t="str">
        <f t="shared" si="355"/>
        <v>#NAME?</v>
      </c>
      <c r="QI11" s="1423" t="s">
        <v>5032</v>
      </c>
      <c r="QJ11" s="442"/>
      <c r="QK11" s="1457" t="str">
        <f t="shared" si="293"/>
        <v>#NAME?</v>
      </c>
      <c r="QL11" s="1429" t="s">
        <v>3825</v>
      </c>
      <c r="QM11" s="1428" t="str">
        <f t="shared" si="294"/>
        <v>#NAME?</v>
      </c>
      <c r="QN11" s="1430" t="str">
        <f t="shared" si="295"/>
        <v>#NAME?</v>
      </c>
      <c r="QO11" s="1431" t="s">
        <v>5031</v>
      </c>
      <c r="QP11" s="442"/>
      <c r="QQ11" s="1457" t="str">
        <f t="shared" si="296"/>
        <v>#NAME?</v>
      </c>
      <c r="QR11" s="1429" t="s">
        <v>839</v>
      </c>
      <c r="QS11" s="1428" t="str">
        <f t="shared" si="297"/>
        <v>#NAME?</v>
      </c>
      <c r="QT11" s="1430" t="str">
        <f t="shared" si="298"/>
        <v>#NAME?</v>
      </c>
      <c r="QU11" s="1431" t="s">
        <v>5033</v>
      </c>
      <c r="QV11" s="442"/>
      <c r="QW11" s="1457" t="str">
        <f t="shared" si="299"/>
        <v>#NAME?</v>
      </c>
      <c r="QX11" s="1429" t="s">
        <v>857</v>
      </c>
      <c r="QY11" s="1428" t="str">
        <f t="shared" si="300"/>
        <v>#NAME?</v>
      </c>
      <c r="QZ11" s="1430" t="str">
        <f t="shared" si="301"/>
        <v>#NAME?</v>
      </c>
      <c r="RA11" s="1431" t="s">
        <v>5112</v>
      </c>
      <c r="RB11" s="442"/>
      <c r="RC11" s="1457" t="str">
        <f t="shared" si="302"/>
        <v>#NAME?</v>
      </c>
      <c r="RD11" s="1429" t="s">
        <v>742</v>
      </c>
      <c r="RE11" s="1428" t="str">
        <f t="shared" si="303"/>
        <v>#NAME?</v>
      </c>
      <c r="RF11" s="1430" t="str">
        <f t="shared" si="304"/>
        <v>#NAME?</v>
      </c>
      <c r="RG11" s="1431" t="s">
        <v>5113</v>
      </c>
      <c r="RH11" s="442"/>
      <c r="RI11" s="1457" t="str">
        <f t="shared" si="305"/>
        <v>#NAME?</v>
      </c>
      <c r="RJ11" s="1429" t="s">
        <v>4049</v>
      </c>
      <c r="RK11" s="1428" t="str">
        <f t="shared" si="306"/>
        <v>#NAME?</v>
      </c>
      <c r="RL11" s="1430" t="str">
        <f t="shared" si="307"/>
        <v>#NAME?</v>
      </c>
      <c r="RM11" s="1431" t="s">
        <v>5092</v>
      </c>
      <c r="RN11" s="442"/>
      <c r="RO11" s="983" t="str">
        <f t="shared" ref="RO11:RO13" si="464">MONICON21(RP11)</f>
        <v>#NAME?</v>
      </c>
      <c r="RP11" s="1301" t="s">
        <v>364</v>
      </c>
      <c r="RQ11" s="977" t="str">
        <f t="shared" ref="RQ11:RQ13" si="465">MONTYPEICON1(RP11)</f>
        <v>#NAME?</v>
      </c>
      <c r="RR11" s="980" t="str">
        <f t="shared" ref="RR11:RR13" si="466">MONTYPEICON2(RP11)</f>
        <v>#NAME?</v>
      </c>
      <c r="RS11" s="1318" t="s">
        <v>5113</v>
      </c>
      <c r="RT11" s="442"/>
      <c r="RW11" s="349"/>
      <c r="RX11" s="349"/>
      <c r="RZ11" s="442"/>
      <c r="SA11" s="442"/>
      <c r="SB11" s="442"/>
      <c r="SC11" s="108"/>
      <c r="SD11" s="108"/>
      <c r="SE11" s="442"/>
      <c r="SG11" s="1193" t="str">
        <f t="shared" si="437"/>
        <v>#NAME?</v>
      </c>
      <c r="SH11" s="1145" t="s">
        <v>3911</v>
      </c>
      <c r="SI11" s="1462" t="str">
        <f t="shared" si="438"/>
        <v>#NAME?</v>
      </c>
      <c r="SJ11" s="1463" t="str">
        <f t="shared" si="439"/>
        <v>#NAME?</v>
      </c>
      <c r="SK11" s="1464" t="s">
        <v>5024</v>
      </c>
      <c r="SL11" s="442"/>
      <c r="SM11" s="1068" t="str">
        <f t="shared" si="440"/>
        <v>#NAME?</v>
      </c>
      <c r="SN11" s="1076" t="s">
        <v>3872</v>
      </c>
      <c r="SO11" s="1358" t="str">
        <f t="shared" si="441"/>
        <v>#NAME?</v>
      </c>
      <c r="SP11" s="1359" t="str">
        <f t="shared" si="442"/>
        <v>#NAME?</v>
      </c>
      <c r="SQ11" s="1368" t="s">
        <v>5024</v>
      </c>
      <c r="SS11" s="1012" t="str">
        <f t="shared" ref="SS11:SS12" si="467">MONICON21(ST11)</f>
        <v>#NAME?</v>
      </c>
      <c r="ST11" s="1301" t="s">
        <v>4250</v>
      </c>
      <c r="SU11" s="1311" t="str">
        <f t="shared" ref="SU11:SU12" si="468">MONTYPEICON1(ST11)</f>
        <v>#NAME?</v>
      </c>
      <c r="SV11" s="1312" t="str">
        <f t="shared" ref="SV11:SV12" si="469">MONTYPEICON2(ST11)</f>
        <v>#NAME?</v>
      </c>
      <c r="SW11" s="1318" t="s">
        <v>5024</v>
      </c>
      <c r="TA11" s="349"/>
      <c r="TB11" s="108"/>
      <c r="TC11" s="442"/>
      <c r="TE11" s="1096" t="str">
        <f t="shared" si="260"/>
        <v>#NAME?</v>
      </c>
      <c r="TF11" s="1481" t="s">
        <v>989</v>
      </c>
      <c r="TG11" s="1417" t="str">
        <f t="shared" si="261"/>
        <v>#NAME?</v>
      </c>
      <c r="TH11" s="62" t="str">
        <f t="shared" si="262"/>
        <v>#NAME?</v>
      </c>
      <c r="TI11" s="1482" t="s">
        <v>5092</v>
      </c>
      <c r="TJ11" s="442"/>
      <c r="TK11" s="1094" t="str">
        <f t="shared" si="356"/>
        <v>#NAME?</v>
      </c>
      <c r="TL11" s="1127" t="s">
        <v>1637</v>
      </c>
      <c r="TM11" s="1420" t="str">
        <f t="shared" si="357"/>
        <v>#NAME?</v>
      </c>
      <c r="TN11" s="475" t="str">
        <f t="shared" si="358"/>
        <v>#NAME?</v>
      </c>
      <c r="TO11" s="1422" t="s">
        <v>5026</v>
      </c>
      <c r="TP11" s="442"/>
      <c r="TQ11" s="1094" t="str">
        <f t="shared" si="359"/>
        <v>#NAME?</v>
      </c>
      <c r="TR11" s="1127" t="s">
        <v>4174</v>
      </c>
      <c r="TS11" s="1420" t="str">
        <f t="shared" si="360"/>
        <v>#NAME?</v>
      </c>
      <c r="TT11" s="475" t="str">
        <f t="shared" si="361"/>
        <v>#NAME?</v>
      </c>
      <c r="TU11" s="1422" t="s">
        <v>5026</v>
      </c>
      <c r="TW11" s="1428" t="str">
        <f t="shared" si="308"/>
        <v>#NAME?</v>
      </c>
      <c r="TX11" s="1429" t="s">
        <v>1284</v>
      </c>
      <c r="TY11" s="1428" t="str">
        <f t="shared" si="309"/>
        <v>#NAME?</v>
      </c>
      <c r="TZ11" s="1430" t="str">
        <f t="shared" si="310"/>
        <v>#NAME?</v>
      </c>
      <c r="UA11" s="1431" t="s">
        <v>5117</v>
      </c>
      <c r="UB11" s="442"/>
      <c r="UC11" s="1529" t="str">
        <f t="shared" si="215"/>
        <v>#NAME?</v>
      </c>
      <c r="UD11" s="1530" t="s">
        <v>3539</v>
      </c>
      <c r="UE11" s="1529" t="str">
        <f t="shared" si="216"/>
        <v>#NAME?</v>
      </c>
      <c r="UF11" s="1531" t="str">
        <f t="shared" si="217"/>
        <v>#NAME?</v>
      </c>
      <c r="UG11" s="1532" t="s">
        <v>5198</v>
      </c>
      <c r="UH11" s="442"/>
      <c r="UI11" s="1033" t="str">
        <f t="shared" ref="UI11:UI12" si="470">MONICON21(UJ11)</f>
        <v>#NAME?</v>
      </c>
      <c r="UJ11" s="1301" t="s">
        <v>3886</v>
      </c>
      <c r="UK11" s="977" t="str">
        <f t="shared" ref="UK11:UK12" si="471">MONTYPEICON1(UJ11)</f>
        <v>#NAME?</v>
      </c>
      <c r="UL11" s="980" t="str">
        <f t="shared" ref="UL11:UL12" si="472">MONTYPEICON2(UJ11)</f>
        <v>#NAME?</v>
      </c>
      <c r="UM11" s="1302" t="s">
        <v>5130</v>
      </c>
      <c r="UO11" s="1293"/>
      <c r="UP11" s="1291" t="s">
        <v>5199</v>
      </c>
      <c r="UQ11" s="12"/>
      <c r="UR11" s="962"/>
      <c r="US11" s="1292" t="s">
        <v>4608</v>
      </c>
      <c r="UU11" s="1033" t="str">
        <f t="shared" ref="UU11:UU12" si="473">MONICON21(UV11)</f>
        <v>#NAME?</v>
      </c>
      <c r="UV11" s="1301" t="s">
        <v>518</v>
      </c>
      <c r="UW11" s="977" t="str">
        <f t="shared" ref="UW11:UW12" si="474">MONTYPEICON1(UV11)</f>
        <v>#NAME?</v>
      </c>
      <c r="UX11" s="980" t="str">
        <f t="shared" ref="UX11:UX12" si="475">MONTYPEICON2(UV11)</f>
        <v>#NAME?</v>
      </c>
      <c r="UY11" s="1303" t="s">
        <v>5118</v>
      </c>
      <c r="VA11" s="1051" t="str">
        <f t="shared" si="362"/>
        <v>#NAME?</v>
      </c>
      <c r="VB11" s="1127" t="s">
        <v>364</v>
      </c>
      <c r="VC11" s="1130" t="str">
        <f t="shared" si="363"/>
        <v>#NAME?</v>
      </c>
      <c r="VD11" s="1433" t="str">
        <f t="shared" si="364"/>
        <v>#NAME?</v>
      </c>
      <c r="VE11" s="1095" t="s">
        <v>5029</v>
      </c>
      <c r="VG11" s="442"/>
      <c r="VH11" s="442"/>
      <c r="VI11" s="442"/>
      <c r="VJ11" s="442"/>
      <c r="VK11" s="442"/>
      <c r="VL11" s="442"/>
      <c r="VM11" s="963" t="s">
        <v>4752</v>
      </c>
      <c r="VN11" s="12"/>
      <c r="VO11" s="12"/>
      <c r="VP11" s="12"/>
      <c r="VQ11" s="48"/>
      <c r="VR11" s="442"/>
      <c r="VS11" s="442"/>
      <c r="VT11" s="442"/>
      <c r="VU11" s="442"/>
      <c r="VV11" s="442"/>
      <c r="VW11" s="442"/>
      <c r="VX11" s="442"/>
      <c r="VY11" s="1051" t="str">
        <f t="shared" si="365"/>
        <v>#NAME?</v>
      </c>
      <c r="VZ11" s="1127" t="s">
        <v>2583</v>
      </c>
      <c r="WA11" s="1051" t="str">
        <f t="shared" si="366"/>
        <v>#NAME?</v>
      </c>
      <c r="WB11" s="1131" t="str">
        <f t="shared" si="367"/>
        <v>#NAME?</v>
      </c>
      <c r="WC11" s="1095" t="s">
        <v>4998</v>
      </c>
      <c r="WD11" s="442"/>
      <c r="WE11" s="963" t="s">
        <v>5200</v>
      </c>
      <c r="WF11" s="12"/>
      <c r="WG11" s="12"/>
      <c r="WH11" s="12"/>
      <c r="WI11" s="48"/>
      <c r="WJ11" s="442"/>
      <c r="WK11" s="977" t="str">
        <f t="shared" ref="WK11:WK13" si="476">MONICON21(WL11)</f>
        <v>#NAME?</v>
      </c>
      <c r="WL11" s="1301" t="s">
        <v>4132</v>
      </c>
      <c r="WM11" s="977" t="str">
        <f t="shared" ref="WM11:WM13" si="477">MONTYPEICON1(WL11)</f>
        <v>#NAME?</v>
      </c>
      <c r="WN11" s="980" t="str">
        <f t="shared" ref="WN11:WN13" si="478">MONTYPEICON2(WL11)</f>
        <v>#NAME?</v>
      </c>
      <c r="WO11" s="1303" t="s">
        <v>5032</v>
      </c>
      <c r="WP11" s="442"/>
      <c r="WQ11" s="977" t="str">
        <f t="shared" ref="WQ11:WQ13" si="479">MONICON21(WR11)</f>
        <v>#NAME?</v>
      </c>
      <c r="WR11" s="1301" t="s">
        <v>2239</v>
      </c>
      <c r="WS11" s="977" t="str">
        <f t="shared" ref="WS11:WS13" si="480">MONTYPEICON1(WR11)</f>
        <v>#NAME?</v>
      </c>
      <c r="WT11" s="980" t="str">
        <f t="shared" ref="WT11:WT13" si="481">MONTYPEICON2(WR11)</f>
        <v>#NAME?</v>
      </c>
      <c r="WU11" s="1303" t="s">
        <v>5201</v>
      </c>
      <c r="WV11" s="442"/>
      <c r="WW11" s="1051" t="str">
        <f t="shared" si="368"/>
        <v>#NAME?</v>
      </c>
      <c r="WX11" s="1127" t="s">
        <v>1849</v>
      </c>
      <c r="WY11" s="1051" t="str">
        <f t="shared" si="369"/>
        <v>#NAME?</v>
      </c>
      <c r="WZ11" s="1131" t="str">
        <f t="shared" si="370"/>
        <v>#NAME?</v>
      </c>
      <c r="XA11" s="1095" t="s">
        <v>5034</v>
      </c>
      <c r="XB11" s="442"/>
      <c r="XC11" s="1051" t="str">
        <f t="shared" si="371"/>
        <v>#NAME?</v>
      </c>
      <c r="XD11" s="1127" t="s">
        <v>364</v>
      </c>
      <c r="XE11" s="1051" t="str">
        <f t="shared" si="372"/>
        <v>#NAME?</v>
      </c>
      <c r="XF11" s="1131" t="str">
        <f t="shared" si="373"/>
        <v>#NAME?</v>
      </c>
      <c r="XG11" s="1095" t="s">
        <v>5023</v>
      </c>
      <c r="XH11" s="442"/>
      <c r="XI11" s="1294"/>
      <c r="XJ11" s="1291" t="s">
        <v>5202</v>
      </c>
      <c r="XK11" s="12"/>
      <c r="XL11" s="962"/>
      <c r="XM11" s="1292" t="s">
        <v>4608</v>
      </c>
      <c r="XN11" s="442"/>
      <c r="XO11" s="1294"/>
      <c r="XP11" s="1291" t="s">
        <v>5203</v>
      </c>
      <c r="XQ11" s="12"/>
      <c r="XR11" s="962"/>
      <c r="XS11" s="1292" t="s">
        <v>4608</v>
      </c>
      <c r="XT11" s="442"/>
      <c r="XU11" s="1294"/>
      <c r="XV11" s="1291" t="s">
        <v>5204</v>
      </c>
      <c r="XW11" s="12"/>
      <c r="XX11" s="962"/>
      <c r="XY11" s="1292" t="s">
        <v>4608</v>
      </c>
      <c r="XZ11" s="442"/>
      <c r="YA11" s="1051" t="str">
        <f t="shared" si="377"/>
        <v>#NAME?</v>
      </c>
      <c r="YB11" s="1127" t="s">
        <v>3941</v>
      </c>
      <c r="YC11" s="1051" t="str">
        <f t="shared" si="378"/>
        <v>#NAME?</v>
      </c>
      <c r="YD11" s="1131" t="str">
        <f t="shared" si="379"/>
        <v>#NAME?</v>
      </c>
      <c r="YE11" s="1095" t="s">
        <v>5032</v>
      </c>
      <c r="YF11" s="442"/>
      <c r="YG11" s="1051" t="str">
        <f t="shared" si="380"/>
        <v>#NAME?</v>
      </c>
      <c r="YH11" s="1127" t="s">
        <v>2217</v>
      </c>
      <c r="YI11" s="1051" t="str">
        <f t="shared" si="381"/>
        <v>#NAME?</v>
      </c>
      <c r="YJ11" s="1131" t="str">
        <f t="shared" si="382"/>
        <v>#NAME?</v>
      </c>
      <c r="YK11" s="1095" t="s">
        <v>5019</v>
      </c>
      <c r="YL11" s="442"/>
      <c r="YM11" s="977" t="str">
        <f t="shared" ref="YM11:YM13" si="482">MONICON21(YN11)</f>
        <v>#NAME?</v>
      </c>
      <c r="YN11" s="1301" t="s">
        <v>930</v>
      </c>
      <c r="YO11" s="977" t="str">
        <f t="shared" ref="YO11:YO13" si="483">MONTYPEICON1(YN11)</f>
        <v>#NAME?</v>
      </c>
      <c r="YP11" s="980" t="str">
        <f t="shared" ref="YP11:YP13" si="484">MONTYPEICON2(YN11)</f>
        <v>#NAME?</v>
      </c>
      <c r="YQ11" s="1303" t="s">
        <v>5018</v>
      </c>
      <c r="YR11" s="442"/>
      <c r="YS11" s="1013" t="str">
        <f t="shared" si="383"/>
        <v>#NAME?</v>
      </c>
      <c r="YT11" s="1435" t="s">
        <v>1091</v>
      </c>
      <c r="YU11" s="1013" t="str">
        <f t="shared" si="384"/>
        <v>#NAME?</v>
      </c>
      <c r="YV11" s="1015" t="str">
        <f t="shared" si="385"/>
        <v>#NAME?</v>
      </c>
      <c r="YW11" s="1436" t="s">
        <v>5033</v>
      </c>
      <c r="YX11" s="442"/>
      <c r="YY11" s="1051" t="str">
        <f t="shared" si="386"/>
        <v>#NAME?</v>
      </c>
      <c r="YZ11" s="1127" t="s">
        <v>4225</v>
      </c>
      <c r="ZA11" s="1051" t="str">
        <f t="shared" si="387"/>
        <v>#NAME?</v>
      </c>
      <c r="ZB11" s="1131" t="str">
        <f t="shared" si="388"/>
        <v>#NAME?</v>
      </c>
      <c r="ZC11" s="1095" t="s">
        <v>5033</v>
      </c>
      <c r="ZD11" s="442"/>
      <c r="ZE11" s="1289" t="s">
        <v>4934</v>
      </c>
      <c r="ZF11" s="12"/>
      <c r="ZG11" s="12"/>
      <c r="ZH11" s="12"/>
      <c r="ZI11" s="48"/>
      <c r="ZJ11" s="442"/>
      <c r="ZK11" s="963" t="s">
        <v>4817</v>
      </c>
      <c r="ZL11" s="12"/>
      <c r="ZM11" s="12"/>
      <c r="ZN11" s="12"/>
      <c r="ZO11" s="48"/>
      <c r="ZP11" s="442"/>
      <c r="ZQ11" s="108"/>
      <c r="ZR11" s="442"/>
      <c r="ZS11" s="108"/>
      <c r="ZT11" s="108"/>
      <c r="ZU11" s="442"/>
      <c r="ZV11" s="442"/>
      <c r="ZW11" s="1013" t="str">
        <f t="shared" si="389"/>
        <v>#NAME?</v>
      </c>
      <c r="ZX11" s="1435" t="s">
        <v>1352</v>
      </c>
      <c r="ZY11" s="1013" t="str">
        <f t="shared" si="390"/>
        <v>#NAME?</v>
      </c>
      <c r="ZZ11" s="1015" t="str">
        <f t="shared" si="391"/>
        <v>#NAME?</v>
      </c>
      <c r="AAA11" s="1436" t="s">
        <v>5035</v>
      </c>
      <c r="AAB11" s="442"/>
      <c r="AAC11" s="1387" t="str">
        <f t="shared" si="443"/>
        <v>#NAME?</v>
      </c>
      <c r="AAD11" s="1388" t="s">
        <v>4238</v>
      </c>
      <c r="AAE11" s="1387" t="str">
        <f t="shared" si="444"/>
        <v>#NAME?</v>
      </c>
      <c r="AAF11" s="1392" t="str">
        <f t="shared" si="445"/>
        <v>#NAME?</v>
      </c>
      <c r="AAG11" s="1391" t="s">
        <v>5026</v>
      </c>
      <c r="AAH11" s="442"/>
      <c r="AAI11" s="997"/>
      <c r="AAJ11" s="1026"/>
      <c r="AAK11" s="1026"/>
      <c r="AAL11" s="1026"/>
      <c r="AAM11" s="1026"/>
      <c r="AAN11" s="1026"/>
      <c r="AAO11" s="1026"/>
      <c r="AAP11" s="1026"/>
      <c r="AAQ11" s="1026"/>
      <c r="AAR11" s="1026"/>
      <c r="AAS11" s="998"/>
      <c r="AAU11" s="1294"/>
      <c r="AAV11" s="1291" t="s">
        <v>5042</v>
      </c>
      <c r="AAW11" s="12"/>
      <c r="AAX11" s="962"/>
      <c r="AAY11" s="1298" t="s">
        <v>4608</v>
      </c>
      <c r="ABA11" s="1294"/>
      <c r="ABB11" s="1291" t="s">
        <v>5205</v>
      </c>
      <c r="ABC11" s="12"/>
      <c r="ABD11" s="962"/>
      <c r="ABE11" s="1298" t="s">
        <v>4608</v>
      </c>
      <c r="ABG11" s="1294"/>
      <c r="ABH11" s="1291" t="s">
        <v>5206</v>
      </c>
      <c r="ABI11" s="12"/>
      <c r="ABJ11" s="962"/>
      <c r="ABK11" s="1298" t="s">
        <v>4608</v>
      </c>
      <c r="ABM11" s="1294"/>
      <c r="ABN11" s="1291" t="s">
        <v>5207</v>
      </c>
      <c r="ABO11" s="12"/>
      <c r="ABP11" s="962"/>
      <c r="ABQ11" s="1298" t="s">
        <v>4608</v>
      </c>
      <c r="ABS11" s="1294"/>
      <c r="ABT11" s="1291" t="s">
        <v>5027</v>
      </c>
      <c r="ABU11" s="12"/>
      <c r="ABV11" s="962"/>
      <c r="ABW11" s="1298" t="s">
        <v>4608</v>
      </c>
      <c r="ABY11" s="1533"/>
      <c r="ABZ11" s="1438" t="s">
        <v>4930</v>
      </c>
      <c r="ACA11" s="1439"/>
      <c r="ACB11" s="1440"/>
      <c r="ACC11" s="1441" t="s">
        <v>4608</v>
      </c>
      <c r="ACJ11" s="996"/>
    </row>
    <row r="12" ht="15.75" customHeight="1">
      <c r="A12" s="1230"/>
      <c r="D12" s="1478"/>
      <c r="E12" s="1230"/>
      <c r="F12" s="1238"/>
      <c r="G12" s="1254"/>
      <c r="H12" s="1230"/>
      <c r="I12" s="1488"/>
      <c r="J12" s="1534" t="s">
        <v>5192</v>
      </c>
      <c r="K12" s="967"/>
      <c r="L12" s="1249"/>
      <c r="M12" s="1270" t="s">
        <v>4608</v>
      </c>
      <c r="N12" s="1230"/>
      <c r="T12" s="1230"/>
      <c r="U12" s="961" t="s">
        <v>4515</v>
      </c>
      <c r="V12" s="12"/>
      <c r="W12" s="12"/>
      <c r="X12" s="12"/>
      <c r="Y12" s="48"/>
      <c r="Z12" s="1230"/>
      <c r="AA12" s="961" t="s">
        <v>5103</v>
      </c>
      <c r="AB12" s="12"/>
      <c r="AC12" s="12"/>
      <c r="AD12" s="12"/>
      <c r="AE12" s="48"/>
      <c r="AF12" s="1230"/>
      <c r="AG12" s="1033" t="str">
        <f t="shared" ref="AG12:AG14" si="485">MONICON21(AH12)</f>
        <v>#NAME?</v>
      </c>
      <c r="AH12" s="1301" t="s">
        <v>1161</v>
      </c>
      <c r="AI12" s="977" t="str">
        <f t="shared" ref="AI12:AI14" si="486">MONTYPEICON1(AH12)</f>
        <v>#NAME?</v>
      </c>
      <c r="AJ12" s="980" t="str">
        <f t="shared" ref="AJ12:AJ14" si="487">MONTYPEICON2(AH12)</f>
        <v>#NAME?</v>
      </c>
      <c r="AK12" s="1303" t="s">
        <v>5208</v>
      </c>
      <c r="AL12" s="1230"/>
      <c r="AM12" s="1535" t="s">
        <v>5209</v>
      </c>
      <c r="AN12" s="976"/>
      <c r="AO12" s="976"/>
      <c r="AP12" s="974"/>
      <c r="AQ12" s="1536" t="s">
        <v>4608</v>
      </c>
      <c r="AR12" s="1230"/>
      <c r="AS12" s="1053" t="str">
        <f t="shared" si="395"/>
        <v>#NAME?</v>
      </c>
      <c r="AT12" s="1479" t="s">
        <v>2178</v>
      </c>
      <c r="AU12" s="1051" t="str">
        <f t="shared" si="396"/>
        <v>#NAME?</v>
      </c>
      <c r="AV12" s="1131" t="str">
        <f t="shared" si="397"/>
        <v>#NAME?</v>
      </c>
      <c r="AW12" s="1411" t="s">
        <v>5179</v>
      </c>
      <c r="AX12" s="1230"/>
      <c r="AY12" s="1033" t="str">
        <f t="shared" ref="AY12:AY14" si="488">MONICON21(AZ12)</f>
        <v>#NAME?</v>
      </c>
      <c r="AZ12" s="1407" t="s">
        <v>605</v>
      </c>
      <c r="BA12" s="977" t="str">
        <f t="shared" ref="BA12:BA14" si="489">MONTYPEICON1(AZ12)</f>
        <v>#NAME?</v>
      </c>
      <c r="BB12" s="980" t="str">
        <f t="shared" ref="BB12:BB14" si="490">MONTYPEICON2(AZ12)</f>
        <v>#NAME?</v>
      </c>
      <c r="BC12" s="1408" t="s">
        <v>5076</v>
      </c>
      <c r="BD12" s="1230"/>
      <c r="BE12" s="1535" t="s">
        <v>5210</v>
      </c>
      <c r="BF12" s="976"/>
      <c r="BG12" s="976"/>
      <c r="BH12" s="974"/>
      <c r="BI12" s="1536" t="s">
        <v>4608</v>
      </c>
      <c r="BJ12" s="1230"/>
      <c r="BK12" s="442"/>
      <c r="BL12" s="442"/>
      <c r="BM12" s="1230"/>
      <c r="BN12" s="442"/>
      <c r="BO12" s="108"/>
      <c r="BP12" s="442"/>
      <c r="BQ12" s="1051" t="str">
        <f t="shared" si="398"/>
        <v>#NAME?</v>
      </c>
      <c r="BR12" s="1410" t="s">
        <v>3664</v>
      </c>
      <c r="BS12" s="1051" t="str">
        <f t="shared" si="399"/>
        <v>#NAME?</v>
      </c>
      <c r="BT12" s="1131" t="str">
        <f t="shared" si="400"/>
        <v>#NAME?</v>
      </c>
      <c r="BU12" s="1411" t="s">
        <v>5040</v>
      </c>
      <c r="BV12" s="442"/>
      <c r="BW12" s="349"/>
      <c r="CB12" s="1230"/>
      <c r="CC12" s="1013" t="str">
        <f t="shared" si="404"/>
        <v>#NAME?</v>
      </c>
      <c r="CD12" s="1537" t="s">
        <v>3856</v>
      </c>
      <c r="CE12" s="1418" t="str">
        <f t="shared" si="405"/>
        <v>#NAME?</v>
      </c>
      <c r="CF12" s="1419" t="str">
        <f t="shared" si="406"/>
        <v>#NAME?</v>
      </c>
      <c r="CG12" s="1538" t="s">
        <v>4999</v>
      </c>
      <c r="CH12" s="442"/>
      <c r="CL12" s="442"/>
      <c r="CM12" s="442"/>
      <c r="CN12" s="442"/>
      <c r="CO12" s="997"/>
      <c r="CP12" s="1026"/>
      <c r="CQ12" s="1026"/>
      <c r="CR12" s="1026"/>
      <c r="CS12" s="998"/>
      <c r="CT12" s="442"/>
      <c r="CU12" s="1049" t="str">
        <f>MONICON21(CV12)</f>
        <v>#NAME?</v>
      </c>
      <c r="CV12" s="1308" t="s">
        <v>3000</v>
      </c>
      <c r="CW12" s="1092" t="str">
        <f>MONTYPEICON1(CV12)</f>
        <v>#NAME?</v>
      </c>
      <c r="CX12" s="987" t="str">
        <f>MONTYPEICON2(CV12)</f>
        <v>#NAME?</v>
      </c>
      <c r="CY12" s="1309" t="s">
        <v>4998</v>
      </c>
      <c r="CZ12" s="442"/>
      <c r="DA12" s="1193" t="str">
        <f t="shared" si="446"/>
        <v>#NAME?</v>
      </c>
      <c r="DB12" s="1335" t="s">
        <v>1618</v>
      </c>
      <c r="DC12" s="1146" t="str">
        <f t="shared" si="447"/>
        <v>#NAME?</v>
      </c>
      <c r="DD12" s="1148" t="str">
        <f t="shared" si="448"/>
        <v>#NAME?</v>
      </c>
      <c r="DE12" s="1336" t="s">
        <v>4999</v>
      </c>
      <c r="DF12" s="442"/>
      <c r="DL12" s="442"/>
      <c r="DM12" s="1096" t="str">
        <f t="shared" si="407"/>
        <v>#NAME?</v>
      </c>
      <c r="DN12" s="1098" t="s">
        <v>4153</v>
      </c>
      <c r="DO12" s="1013" t="str">
        <f t="shared" si="408"/>
        <v>#NAME?</v>
      </c>
      <c r="DP12" s="1015" t="str">
        <f t="shared" si="409"/>
        <v>#NAME?</v>
      </c>
      <c r="DQ12" s="1414" t="s">
        <v>5000</v>
      </c>
      <c r="DR12" s="442"/>
      <c r="DX12" s="442"/>
      <c r="DY12" s="1094" t="str">
        <f t="shared" si="410"/>
        <v>#NAME?</v>
      </c>
      <c r="DZ12" s="1127" t="s">
        <v>2798</v>
      </c>
      <c r="EA12" s="1051" t="str">
        <f t="shared" si="411"/>
        <v>#NAME?</v>
      </c>
      <c r="EB12" s="1131" t="str">
        <f t="shared" si="412"/>
        <v>#NAME?</v>
      </c>
      <c r="EC12" s="1095" t="s">
        <v>5000</v>
      </c>
      <c r="ED12" s="442"/>
      <c r="EE12" s="1012" t="str">
        <f t="shared" ref="EE12:EE15" si="491">MONICON21(EF12)</f>
        <v>#NAME?</v>
      </c>
      <c r="EF12" s="1425" t="s">
        <v>3664</v>
      </c>
      <c r="EG12" s="1311" t="str">
        <f t="shared" ref="EG12:EG15" si="492">MONTYPEICON1(EF12)</f>
        <v>#NAME?</v>
      </c>
      <c r="EH12" s="1312" t="str">
        <f t="shared" ref="EH12:EH15" si="493">MONTYPEICON2(EF12)</f>
        <v>#NAME?</v>
      </c>
      <c r="EI12" s="1426" t="s">
        <v>5079</v>
      </c>
      <c r="EJ12" s="1230"/>
      <c r="EK12" s="997"/>
      <c r="EL12" s="1026"/>
      <c r="EM12" s="1026"/>
      <c r="EN12" s="1026"/>
      <c r="EO12" s="998"/>
      <c r="EP12" s="1230"/>
      <c r="ES12" s="349"/>
      <c r="ET12" s="349"/>
      <c r="EV12" s="1230"/>
      <c r="EW12" s="985" t="str">
        <f>MONICON21(EX12)</f>
        <v>#NAME?</v>
      </c>
      <c r="EX12" s="1052" t="s">
        <v>687</v>
      </c>
      <c r="EY12" s="1092" t="str">
        <f>MONTYPEICON1(EX12)</f>
        <v>#NAME?</v>
      </c>
      <c r="EZ12" s="987" t="str">
        <f>MONTYPEICON2(EX12)</f>
        <v>#NAME?</v>
      </c>
      <c r="FA12" s="1091" t="s">
        <v>5078</v>
      </c>
      <c r="FB12" s="442"/>
      <c r="FC12" s="1266"/>
      <c r="FD12" s="1259" t="s">
        <v>5211</v>
      </c>
      <c r="FE12" s="12"/>
      <c r="FF12" s="962"/>
      <c r="FG12" s="1258" t="s">
        <v>4608</v>
      </c>
      <c r="FH12" s="442"/>
      <c r="FI12" s="1012" t="str">
        <f t="shared" ref="FI12:FI13" si="494">MONICON21(FJ12)</f>
        <v>#NAME?</v>
      </c>
      <c r="FJ12" s="1301" t="s">
        <v>848</v>
      </c>
      <c r="FK12" s="977" t="str">
        <f t="shared" ref="FK12:FK13" si="495">MONTYPEICON1(FJ12)</f>
        <v>#NAME?</v>
      </c>
      <c r="FL12" s="980" t="str">
        <f t="shared" ref="FL12:FL13" si="496">MONTYPEICON2(FJ12)</f>
        <v>#NAME?</v>
      </c>
      <c r="FM12" s="1303" t="s">
        <v>5001</v>
      </c>
      <c r="FN12" s="442"/>
      <c r="FO12" s="1266"/>
      <c r="FP12" s="1259" t="s">
        <v>5212</v>
      </c>
      <c r="FQ12" s="12"/>
      <c r="FR12" s="962"/>
      <c r="FS12" s="1258" t="s">
        <v>4608</v>
      </c>
      <c r="FT12" s="442"/>
      <c r="FU12" s="1012" t="str">
        <f t="shared" ref="FU12:FU13" si="497">MONICON21(FV12)</f>
        <v>#NAME?</v>
      </c>
      <c r="FV12" s="1157" t="s">
        <v>673</v>
      </c>
      <c r="FW12" s="977" t="str">
        <f t="shared" ref="FW12:FW13" si="498">MONTYPEICON1(FV12)</f>
        <v>#NAME?</v>
      </c>
      <c r="FX12" s="980" t="str">
        <f t="shared" ref="FX12:FX13" si="499">MONTYPEICON2(FV12)</f>
        <v>#NAME?</v>
      </c>
      <c r="FY12" s="1303" t="s">
        <v>5003</v>
      </c>
      <c r="FZ12" s="442"/>
      <c r="GA12" s="1096" t="str">
        <f t="shared" si="413"/>
        <v>#NAME?</v>
      </c>
      <c r="GB12" s="89" t="s">
        <v>4083</v>
      </c>
      <c r="GC12" s="1418" t="str">
        <f t="shared" si="414"/>
        <v>#NAME?</v>
      </c>
      <c r="GD12" s="1419" t="str">
        <f t="shared" si="415"/>
        <v>#NAME?</v>
      </c>
      <c r="GE12" s="1108" t="s">
        <v>5001</v>
      </c>
      <c r="GF12" s="442"/>
      <c r="GG12" s="1351" t="str">
        <f t="shared" si="449"/>
        <v>#NAME?</v>
      </c>
      <c r="GH12" s="1372" t="s">
        <v>2519</v>
      </c>
      <c r="GI12" s="1353" t="str">
        <f t="shared" si="450"/>
        <v>#NAME?</v>
      </c>
      <c r="GJ12" s="1354" t="str">
        <f t="shared" si="451"/>
        <v>#NAME?</v>
      </c>
      <c r="GK12" s="1355" t="s">
        <v>5082</v>
      </c>
      <c r="GL12" s="1230"/>
      <c r="GM12" s="1266"/>
      <c r="GN12" s="1259" t="s">
        <v>5213</v>
      </c>
      <c r="GO12" s="12"/>
      <c r="GP12" s="962"/>
      <c r="GQ12" s="1258" t="s">
        <v>4608</v>
      </c>
      <c r="GR12" s="65"/>
      <c r="GS12" s="985" t="str">
        <f>MONICON21(GT12)</f>
        <v>#NAME?</v>
      </c>
      <c r="GT12" s="1310" t="s">
        <v>3832</v>
      </c>
      <c r="GU12" s="1092" t="str">
        <f>MONTYPEICON1(GT12)</f>
        <v>#NAME?</v>
      </c>
      <c r="GV12" s="987" t="str">
        <f>MONTYPEICON2(GT12)</f>
        <v>#NAME?</v>
      </c>
      <c r="GW12" s="1309" t="s">
        <v>5004</v>
      </c>
      <c r="GX12" s="65"/>
      <c r="HA12" s="349"/>
      <c r="HB12" s="349"/>
      <c r="HD12" s="1230"/>
      <c r="HE12" s="1094" t="str">
        <f t="shared" si="419"/>
        <v>#NAME?</v>
      </c>
      <c r="HF12" s="499" t="s">
        <v>2148</v>
      </c>
      <c r="HG12" s="1051" t="str">
        <f t="shared" si="420"/>
        <v>#NAME?</v>
      </c>
      <c r="HH12" s="1131" t="str">
        <f t="shared" si="421"/>
        <v>#NAME?</v>
      </c>
      <c r="HI12" s="1095" t="s">
        <v>5006</v>
      </c>
      <c r="HJ12" s="1230"/>
      <c r="HK12" s="1027" t="str">
        <f t="shared" si="239"/>
        <v>#NAME?</v>
      </c>
      <c r="HL12" s="1539" t="s">
        <v>3603</v>
      </c>
      <c r="HM12" s="1497" t="str">
        <f t="shared" si="240"/>
        <v>#NAME?</v>
      </c>
      <c r="HN12" s="1498" t="str">
        <f t="shared" si="241"/>
        <v>#NAME?</v>
      </c>
      <c r="HO12" s="1456" t="s">
        <v>5214</v>
      </c>
      <c r="HP12" s="65"/>
      <c r="HQ12" s="1094" t="str">
        <f t="shared" si="422"/>
        <v>#NAME?</v>
      </c>
      <c r="HR12" s="1479" t="s">
        <v>951</v>
      </c>
      <c r="HS12" s="1051" t="str">
        <f t="shared" si="423"/>
        <v>#NAME?</v>
      </c>
      <c r="HT12" s="1131" t="str">
        <f t="shared" si="424"/>
        <v>#NAME?</v>
      </c>
      <c r="HU12" s="1095" t="s">
        <v>5006</v>
      </c>
      <c r="HV12" s="65"/>
      <c r="HW12" s="985" t="str">
        <f>MONICON21(HX12)</f>
        <v>#NAME?</v>
      </c>
      <c r="HX12" s="1308" t="s">
        <v>4091</v>
      </c>
      <c r="HY12" s="1092" t="str">
        <f>MONTYPEICON1(HX12)</f>
        <v>#NAME?</v>
      </c>
      <c r="HZ12" s="987" t="str">
        <f>MONTYPEICON2(HX12)</f>
        <v>#NAME?</v>
      </c>
      <c r="IA12" s="1309" t="s">
        <v>5007</v>
      </c>
      <c r="IB12" s="65"/>
      <c r="IE12" s="349"/>
      <c r="IF12" s="349"/>
      <c r="IG12" s="349"/>
      <c r="II12" s="1012" t="str">
        <f t="shared" ref="II12:II17" si="500">MONICON21(IJ12)</f>
        <v>#NAME?</v>
      </c>
      <c r="IJ12" s="1301" t="s">
        <v>742</v>
      </c>
      <c r="IK12" s="1313" t="str">
        <f t="shared" ref="IK12:IK17" si="501">MONTYPEICON1(IJ12)</f>
        <v>#NAME?</v>
      </c>
      <c r="IL12" s="1314" t="str">
        <f t="shared" ref="IL12:IL17" si="502">MONTYPEICON2(IJ12)</f>
        <v>#NAME?</v>
      </c>
      <c r="IM12" s="1303" t="s">
        <v>5008</v>
      </c>
      <c r="IO12" s="1245" t="s">
        <v>4841</v>
      </c>
      <c r="IP12" s="12"/>
      <c r="IQ12" s="12"/>
      <c r="IR12" s="12"/>
      <c r="IS12" s="962"/>
      <c r="IT12" s="1230"/>
      <c r="IU12" s="1068" t="str">
        <f t="shared" si="452"/>
        <v>#NAME?</v>
      </c>
      <c r="IV12" s="1540" t="s">
        <v>839</v>
      </c>
      <c r="IW12" s="1358" t="str">
        <f t="shared" si="453"/>
        <v>#NAME?</v>
      </c>
      <c r="IX12" s="1359" t="str">
        <f t="shared" si="454"/>
        <v>#NAME?</v>
      </c>
      <c r="IY12" s="1541" t="s">
        <v>5158</v>
      </c>
      <c r="IZ12" s="1230"/>
      <c r="JA12" s="1230"/>
      <c r="JB12" s="1230"/>
      <c r="JC12" s="449"/>
      <c r="JD12" s="449"/>
      <c r="JE12" s="1230"/>
      <c r="JF12" s="1230"/>
      <c r="JG12" s="983" t="str">
        <f t="shared" ref="JG12:JG14" si="503">MONICON21(JH12)</f>
        <v>#NAME?</v>
      </c>
      <c r="JH12" s="1157" t="s">
        <v>1219</v>
      </c>
      <c r="JI12" s="1311" t="str">
        <f t="shared" ref="JI12:JI14" si="504">MONTYPEICON1(JH12)</f>
        <v>#NAME?</v>
      </c>
      <c r="JJ12" s="1312" t="str">
        <f t="shared" ref="JJ12:JJ14" si="505">MONTYPEICON2(JH12)</f>
        <v>#NAME?</v>
      </c>
      <c r="JK12" s="1303" t="s">
        <v>5084</v>
      </c>
      <c r="JL12" s="1230"/>
      <c r="JM12" s="1266"/>
      <c r="JN12" s="1256" t="s">
        <v>5215</v>
      </c>
      <c r="JO12" s="1257" t="s">
        <v>4888</v>
      </c>
      <c r="JP12" s="962"/>
      <c r="JQ12" s="1258" t="s">
        <v>4608</v>
      </c>
      <c r="JR12" s="1230"/>
      <c r="JS12" s="1230"/>
      <c r="JT12" s="1230"/>
      <c r="JU12" s="349"/>
      <c r="JV12" s="349"/>
      <c r="JW12" s="108"/>
      <c r="JY12" s="1012" t="str">
        <f t="shared" ref="JY12:JY17" si="506">MONICON21(JZ12)</f>
        <v>#NAME?</v>
      </c>
      <c r="JZ12" s="1317" t="s">
        <v>3670</v>
      </c>
      <c r="KA12" s="1313" t="str">
        <f t="shared" ref="KA12:KA17" si="507">MONTYPEICON1(JZ12)</f>
        <v>#NAME?</v>
      </c>
      <c r="KB12" s="1314" t="str">
        <f t="shared" ref="KB12:KB17" si="508">MONTYPEICON2(JZ12)</f>
        <v>#NAME?</v>
      </c>
      <c r="KC12" s="1303" t="s">
        <v>5010</v>
      </c>
      <c r="KE12" s="985" t="str">
        <f>MONICON21(KF12)</f>
        <v>#NAME?</v>
      </c>
      <c r="KF12" s="1229" t="s">
        <v>2210</v>
      </c>
      <c r="KG12" s="22" t="str">
        <f>MONTYPEICON1(KF12)</f>
        <v>#NAME?</v>
      </c>
      <c r="KH12" s="24" t="str">
        <f>MONTYPEICON2(KF12)</f>
        <v>#NAME?</v>
      </c>
      <c r="KI12" s="1196" t="s">
        <v>5010</v>
      </c>
      <c r="KJ12" s="65"/>
      <c r="KM12" s="349"/>
      <c r="KN12" s="349"/>
      <c r="KQ12" s="1283"/>
      <c r="KR12" s="1264" t="s">
        <v>5216</v>
      </c>
      <c r="KS12" s="12"/>
      <c r="KT12" s="962"/>
      <c r="KU12" s="1265" t="s">
        <v>4608</v>
      </c>
      <c r="KW12" s="1280"/>
      <c r="KX12" s="1274" t="s">
        <v>4908</v>
      </c>
      <c r="KY12" s="959"/>
      <c r="KZ12" s="957"/>
      <c r="LA12" s="1282" t="s">
        <v>4608</v>
      </c>
      <c r="LB12" s="442"/>
      <c r="LE12" s="349"/>
      <c r="LF12" s="349"/>
      <c r="LI12" s="1094" t="str">
        <f t="shared" si="425"/>
        <v>#NAME?</v>
      </c>
      <c r="LJ12" s="1127" t="s">
        <v>4049</v>
      </c>
      <c r="LK12" s="1420" t="str">
        <f t="shared" si="426"/>
        <v>#NAME?</v>
      </c>
      <c r="LL12" s="475" t="str">
        <f t="shared" si="427"/>
        <v>#NAME?</v>
      </c>
      <c r="LM12" s="1422" t="s">
        <v>5162</v>
      </c>
      <c r="LQ12" s="349"/>
      <c r="LR12" s="349"/>
      <c r="LU12" s="1193" t="str">
        <f t="shared" si="455"/>
        <v>#NAME?</v>
      </c>
      <c r="LV12" s="1363" t="s">
        <v>767</v>
      </c>
      <c r="LW12" s="1462" t="str">
        <f t="shared" si="456"/>
        <v>#NAME?</v>
      </c>
      <c r="LX12" s="1463" t="str">
        <f t="shared" si="457"/>
        <v>#NAME?</v>
      </c>
      <c r="LY12" s="1542" t="s">
        <v>5164</v>
      </c>
      <c r="MA12" s="1049" t="str">
        <f t="shared" si="428"/>
        <v>#NAME?</v>
      </c>
      <c r="MB12" s="1127" t="s">
        <v>3825</v>
      </c>
      <c r="MC12" s="1051" t="str">
        <f t="shared" si="429"/>
        <v>#NAME?</v>
      </c>
      <c r="MD12" s="1131" t="str">
        <f t="shared" si="430"/>
        <v>#NAME?</v>
      </c>
      <c r="ME12" s="1422" t="s">
        <v>5106</v>
      </c>
      <c r="MG12" s="983" t="str">
        <f t="shared" ref="MG12:MG14" si="509">MONICON21(MH12)</f>
        <v>#NAME?</v>
      </c>
      <c r="MH12" s="1301" t="s">
        <v>535</v>
      </c>
      <c r="MI12" s="977" t="str">
        <f t="shared" ref="MI12:MI14" si="510">MONTYPEICON1(MH12)</f>
        <v>#NAME?</v>
      </c>
      <c r="MJ12" s="980" t="str">
        <f t="shared" ref="MJ12:MJ14" si="511">MONTYPEICON2(MH12)</f>
        <v>#NAME?</v>
      </c>
      <c r="MK12" s="1318" t="s">
        <v>5106</v>
      </c>
      <c r="MO12" s="349"/>
      <c r="MP12" s="349"/>
      <c r="MU12" s="349"/>
      <c r="MV12" s="108"/>
      <c r="MW12" s="442"/>
      <c r="MX12" s="442"/>
      <c r="MY12" s="983" t="str">
        <f t="shared" ref="MY12:MY17" si="512">MONICON21(MZ12)</f>
        <v>#NAME?</v>
      </c>
      <c r="MZ12" s="1301" t="s">
        <v>1680</v>
      </c>
      <c r="NA12" s="977" t="str">
        <f t="shared" ref="NA12:NA17" si="513">MONTYPEICON1(MZ12)</f>
        <v>#NAME?</v>
      </c>
      <c r="NB12" s="980" t="str">
        <f t="shared" ref="NB12:NB17" si="514">MONTYPEICON2(MZ12)</f>
        <v>#NAME?</v>
      </c>
      <c r="NC12" s="1318" t="s">
        <v>5017</v>
      </c>
      <c r="ND12" s="442"/>
      <c r="NE12" s="983" t="str">
        <f t="shared" ref="NE12:NE14" si="515">MONICON21(NF12)</f>
        <v>#NAME?</v>
      </c>
      <c r="NF12" s="1301" t="s">
        <v>1343</v>
      </c>
      <c r="NG12" s="1311" t="str">
        <f t="shared" ref="NG12:NG14" si="516">MONTYPEICON1(NF12)</f>
        <v>#NAME?</v>
      </c>
      <c r="NH12" s="1312" t="str">
        <f t="shared" ref="NH12:NH14" si="517">MONTYPEICON2(NF12)</f>
        <v>#NAME?</v>
      </c>
      <c r="NI12" s="1318" t="s">
        <v>5017</v>
      </c>
      <c r="NK12" s="1266"/>
      <c r="NL12" s="1259" t="s">
        <v>5217</v>
      </c>
      <c r="NM12" s="12"/>
      <c r="NN12" s="962"/>
      <c r="NO12" s="1258" t="s">
        <v>4608</v>
      </c>
      <c r="NP12" s="442"/>
      <c r="NS12" s="349"/>
      <c r="NT12" s="349"/>
      <c r="NV12" s="442"/>
      <c r="NW12" s="1543" t="str">
        <f t="shared" si="251"/>
        <v>#NAME?</v>
      </c>
      <c r="NX12" s="1530" t="s">
        <v>1473</v>
      </c>
      <c r="NY12" s="1529" t="str">
        <f t="shared" si="252"/>
        <v>#NAME?</v>
      </c>
      <c r="NZ12" s="1531" t="str">
        <f t="shared" si="253"/>
        <v>#NAME?</v>
      </c>
      <c r="OA12" s="1532" t="s">
        <v>5020</v>
      </c>
      <c r="OB12" s="442"/>
      <c r="OC12" s="1094" t="str">
        <f t="shared" si="434"/>
        <v>#NAME?</v>
      </c>
      <c r="OD12" s="1127" t="s">
        <v>2039</v>
      </c>
      <c r="OE12" s="1420" t="str">
        <f t="shared" si="435"/>
        <v>#NAME?</v>
      </c>
      <c r="OF12" s="475" t="str">
        <f t="shared" si="436"/>
        <v>#NAME?</v>
      </c>
      <c r="OG12" s="1422" t="s">
        <v>5019</v>
      </c>
      <c r="OH12" s="442"/>
      <c r="OI12" s="1068" t="str">
        <f t="shared" si="458"/>
        <v>#NAME?</v>
      </c>
      <c r="OJ12" s="1076" t="s">
        <v>2625</v>
      </c>
      <c r="OK12" s="1358" t="str">
        <f t="shared" si="459"/>
        <v>#NAME?</v>
      </c>
      <c r="OL12" s="1359" t="str">
        <f t="shared" si="460"/>
        <v>#NAME?</v>
      </c>
      <c r="OM12" s="1368" t="s">
        <v>5020</v>
      </c>
      <c r="ON12" s="442"/>
      <c r="OO12" s="983" t="str">
        <f t="shared" ref="OO12:OO15" si="518">MONICON21(OP12)</f>
        <v>#NAME?</v>
      </c>
      <c r="OP12" s="1301" t="s">
        <v>3158</v>
      </c>
      <c r="OQ12" s="1311" t="str">
        <f t="shared" ref="OQ12:OQ15" si="519">MONTYPEICON1(OP12)</f>
        <v>#NAME?</v>
      </c>
      <c r="OR12" s="1312" t="str">
        <f t="shared" ref="OR12:OR15" si="520">MONTYPEICON2(OP12)</f>
        <v>#NAME?</v>
      </c>
      <c r="OS12" s="1318" t="s">
        <v>5022</v>
      </c>
      <c r="OU12" s="983" t="str">
        <f t="shared" ref="OU12:OU15" si="521">MONICON21(OV12)</f>
        <v>#NAME?</v>
      </c>
      <c r="OV12" s="1301" t="s">
        <v>2849</v>
      </c>
      <c r="OW12" s="1311" t="str">
        <f t="shared" ref="OW12:OW15" si="522">MONTYPEICON1(OV12)</f>
        <v>#NAME?</v>
      </c>
      <c r="OX12" s="1312" t="str">
        <f t="shared" ref="OX12:OX15" si="523">MONTYPEICON2(OV12)</f>
        <v>#NAME?</v>
      </c>
      <c r="OY12" s="1318" t="s">
        <v>5022</v>
      </c>
      <c r="PA12" s="1036" t="str">
        <f t="shared" si="344"/>
        <v>#NAME?</v>
      </c>
      <c r="PB12" s="1466" t="s">
        <v>1680</v>
      </c>
      <c r="PC12" s="1467" t="str">
        <f t="shared" si="345"/>
        <v>#NAME?</v>
      </c>
      <c r="PD12" s="1468" t="str">
        <f t="shared" si="346"/>
        <v>#NAME?</v>
      </c>
      <c r="PE12" s="1469" t="s">
        <v>5146</v>
      </c>
      <c r="PF12" s="442"/>
      <c r="PI12" s="349"/>
      <c r="PJ12" s="349"/>
      <c r="PO12" s="349"/>
      <c r="PP12" s="349"/>
      <c r="PR12" s="442"/>
      <c r="PS12" s="1068" t="str">
        <f t="shared" si="461"/>
        <v>#NAME?</v>
      </c>
      <c r="PT12" s="1076" t="s">
        <v>3237</v>
      </c>
      <c r="PU12" s="1358" t="str">
        <f t="shared" si="462"/>
        <v>#NAME?</v>
      </c>
      <c r="PV12" s="1359" t="str">
        <f t="shared" si="463"/>
        <v>#NAME?</v>
      </c>
      <c r="PW12" s="1368" t="s">
        <v>5021</v>
      </c>
      <c r="PY12" s="1012" t="str">
        <f t="shared" ref="PY12:PY17" si="524">MONICON21(PZ12)</f>
        <v>#NAME?</v>
      </c>
      <c r="PZ12" s="1301" t="s">
        <v>742</v>
      </c>
      <c r="QA12" s="1313" t="str">
        <f t="shared" ref="QA12:QA17" si="525">MONTYPEICON1(PZ12)</f>
        <v>#NAME?</v>
      </c>
      <c r="QB12" s="1314" t="str">
        <f t="shared" ref="QB12:QB17" si="526">MONTYPEICON2(PZ12)</f>
        <v>#NAME?</v>
      </c>
      <c r="QC12" s="1318" t="s">
        <v>5023</v>
      </c>
      <c r="QD12" s="442"/>
      <c r="QE12" s="1027" t="str">
        <f t="shared" si="353"/>
        <v>#NAME?</v>
      </c>
      <c r="QF12" s="1340" t="s">
        <v>1808</v>
      </c>
      <c r="QG12" s="1360" t="str">
        <f t="shared" si="354"/>
        <v>#NAME?</v>
      </c>
      <c r="QH12" s="1361" t="str">
        <f t="shared" si="355"/>
        <v>#NAME?</v>
      </c>
      <c r="QI12" s="1376" t="s">
        <v>5032</v>
      </c>
      <c r="QJ12" s="442"/>
      <c r="QK12" s="1096" t="str">
        <f t="shared" si="293"/>
        <v>#NAME?</v>
      </c>
      <c r="QL12" s="1098" t="s">
        <v>3237</v>
      </c>
      <c r="QM12" s="1013" t="str">
        <f t="shared" si="294"/>
        <v>#NAME?</v>
      </c>
      <c r="QN12" s="1015" t="str">
        <f t="shared" si="295"/>
        <v>#NAME?</v>
      </c>
      <c r="QO12" s="1414" t="s">
        <v>5031</v>
      </c>
      <c r="QP12" s="442"/>
      <c r="QQ12" s="1096" t="str">
        <f t="shared" si="296"/>
        <v>#NAME?</v>
      </c>
      <c r="QR12" s="1098" t="s">
        <v>2210</v>
      </c>
      <c r="QS12" s="1013" t="str">
        <f t="shared" si="297"/>
        <v>#NAME?</v>
      </c>
      <c r="QT12" s="1015" t="str">
        <f t="shared" si="298"/>
        <v>#NAME?</v>
      </c>
      <c r="QU12" s="1414" t="s">
        <v>5033</v>
      </c>
      <c r="QW12" s="1096" t="str">
        <f t="shared" si="299"/>
        <v>#NAME?</v>
      </c>
      <c r="QX12" s="1098" t="s">
        <v>3628</v>
      </c>
      <c r="QY12" s="1013" t="str">
        <f t="shared" si="300"/>
        <v>#NAME?</v>
      </c>
      <c r="QZ12" s="1015" t="str">
        <f t="shared" si="301"/>
        <v>#NAME?</v>
      </c>
      <c r="RA12" s="1414" t="s">
        <v>5112</v>
      </c>
      <c r="RB12" s="442"/>
      <c r="RC12" s="1096" t="str">
        <f t="shared" si="302"/>
        <v>#NAME?</v>
      </c>
      <c r="RD12" s="1098" t="s">
        <v>3485</v>
      </c>
      <c r="RE12" s="1013" t="str">
        <f t="shared" si="303"/>
        <v>#NAME?</v>
      </c>
      <c r="RF12" s="1015" t="str">
        <f t="shared" si="304"/>
        <v>#NAME?</v>
      </c>
      <c r="RG12" s="1414" t="s">
        <v>5113</v>
      </c>
      <c r="RH12" s="442"/>
      <c r="RI12" s="1096" t="str">
        <f t="shared" si="305"/>
        <v>#NAME?</v>
      </c>
      <c r="RJ12" s="1098" t="s">
        <v>3255</v>
      </c>
      <c r="RK12" s="1013" t="str">
        <f t="shared" si="306"/>
        <v>#NAME?</v>
      </c>
      <c r="RL12" s="1015" t="str">
        <f t="shared" si="307"/>
        <v>#NAME?</v>
      </c>
      <c r="RM12" s="1414" t="s">
        <v>5092</v>
      </c>
      <c r="RN12" s="442"/>
      <c r="RO12" s="1056" t="str">
        <f t="shared" si="464"/>
        <v>#NAME?</v>
      </c>
      <c r="RP12" s="1123" t="s">
        <v>1384</v>
      </c>
      <c r="RQ12" s="1021" t="str">
        <f t="shared" si="465"/>
        <v>#NAME?</v>
      </c>
      <c r="RR12" s="1024" t="str">
        <f t="shared" si="466"/>
        <v>#NAME?</v>
      </c>
      <c r="RS12" s="1501" t="s">
        <v>5113</v>
      </c>
      <c r="RT12" s="442"/>
      <c r="RU12" s="1286"/>
      <c r="RV12" s="1259" t="s">
        <v>5218</v>
      </c>
      <c r="RW12" s="12"/>
      <c r="RX12" s="962"/>
      <c r="RY12" s="1004" t="s">
        <v>4608</v>
      </c>
      <c r="RZ12" s="442"/>
      <c r="SA12" s="1266"/>
      <c r="SB12" s="1259" t="s">
        <v>5219</v>
      </c>
      <c r="SC12" s="12"/>
      <c r="SD12" s="962"/>
      <c r="SE12" s="1004" t="s">
        <v>4608</v>
      </c>
      <c r="SI12" s="349"/>
      <c r="SJ12" s="349"/>
      <c r="SL12" s="442"/>
      <c r="SM12" s="1094" t="str">
        <f t="shared" si="440"/>
        <v>#NAME?</v>
      </c>
      <c r="SN12" s="1127" t="s">
        <v>3196</v>
      </c>
      <c r="SO12" s="1420" t="str">
        <f t="shared" si="441"/>
        <v>#NAME?</v>
      </c>
      <c r="SP12" s="475" t="str">
        <f t="shared" si="442"/>
        <v>#NAME?</v>
      </c>
      <c r="SQ12" s="1422" t="s">
        <v>5024</v>
      </c>
      <c r="SS12" s="1193" t="str">
        <f t="shared" si="467"/>
        <v>#NAME?</v>
      </c>
      <c r="ST12" s="1145" t="s">
        <v>3460</v>
      </c>
      <c r="SU12" s="1462" t="str">
        <f t="shared" si="468"/>
        <v>#NAME?</v>
      </c>
      <c r="SV12" s="1463" t="str">
        <f t="shared" si="469"/>
        <v>#NAME?</v>
      </c>
      <c r="SW12" s="1464" t="s">
        <v>5024</v>
      </c>
      <c r="SX12" s="442"/>
      <c r="SY12" s="1266"/>
      <c r="SZ12" s="1259" t="s">
        <v>5220</v>
      </c>
      <c r="TA12" s="12"/>
      <c r="TB12" s="962"/>
      <c r="TC12" s="1004" t="s">
        <v>4608</v>
      </c>
      <c r="TD12" s="65"/>
      <c r="TE12" s="1132" t="str">
        <f t="shared" si="260"/>
        <v>#NAME?</v>
      </c>
      <c r="TF12" s="1544" t="s">
        <v>3196</v>
      </c>
      <c r="TG12" s="1545" t="str">
        <f t="shared" si="261"/>
        <v>#NAME?</v>
      </c>
      <c r="TH12" s="1546" t="str">
        <f t="shared" si="262"/>
        <v>#NAME?</v>
      </c>
      <c r="TI12" s="1547" t="s">
        <v>5026</v>
      </c>
      <c r="TJ12" s="442"/>
      <c r="TM12" s="349"/>
      <c r="TN12" s="349"/>
      <c r="TP12" s="442"/>
      <c r="TS12" s="349"/>
      <c r="TT12" s="349"/>
      <c r="TW12" s="1013" t="str">
        <f t="shared" si="308"/>
        <v>#NAME?</v>
      </c>
      <c r="TX12" s="1098" t="s">
        <v>3237</v>
      </c>
      <c r="TY12" s="1013" t="str">
        <f t="shared" si="309"/>
        <v>#NAME?</v>
      </c>
      <c r="TZ12" s="1015" t="str">
        <f t="shared" si="310"/>
        <v>#NAME?</v>
      </c>
      <c r="UA12" s="1414" t="s">
        <v>5117</v>
      </c>
      <c r="UB12" s="442"/>
      <c r="UH12" s="442"/>
      <c r="UI12" s="1383" t="str">
        <f t="shared" si="470"/>
        <v>#NAME?</v>
      </c>
      <c r="UJ12" s="1508" t="s">
        <v>3707</v>
      </c>
      <c r="UK12" s="1383" t="str">
        <f t="shared" si="471"/>
        <v>#NAME?</v>
      </c>
      <c r="UL12" s="1385" t="str">
        <f t="shared" si="472"/>
        <v>#NAME?</v>
      </c>
      <c r="UM12" s="1509" t="s">
        <v>5130</v>
      </c>
      <c r="UO12" s="1033" t="str">
        <f t="shared" ref="UO12:UO13" si="527">MONICON21(UP12)</f>
        <v>#NAME?</v>
      </c>
      <c r="UP12" s="1301" t="s">
        <v>885</v>
      </c>
      <c r="UQ12" s="977" t="str">
        <f t="shared" ref="UQ12:UQ13" si="528">MONTYPEICON1(UP12)</f>
        <v>#NAME?</v>
      </c>
      <c r="UR12" s="980" t="str">
        <f t="shared" ref="UR12:UR13" si="529">MONTYPEICON2(UP12)</f>
        <v>#NAME?</v>
      </c>
      <c r="US12" s="1302" t="s">
        <v>5130</v>
      </c>
      <c r="UU12" s="1383" t="str">
        <f t="shared" si="473"/>
        <v>#NAME?</v>
      </c>
      <c r="UV12" s="1384" t="s">
        <v>474</v>
      </c>
      <c r="UW12" s="1383" t="str">
        <f t="shared" si="474"/>
        <v>#NAME?</v>
      </c>
      <c r="UX12" s="1385" t="str">
        <f t="shared" si="475"/>
        <v>#NAME?</v>
      </c>
      <c r="UY12" s="1386" t="s">
        <v>5118</v>
      </c>
      <c r="VA12" s="1293"/>
      <c r="VB12" s="1291" t="s">
        <v>5221</v>
      </c>
      <c r="VC12" s="12"/>
      <c r="VD12" s="962"/>
      <c r="VE12" s="1292" t="s">
        <v>4608</v>
      </c>
      <c r="VG12" s="963" t="s">
        <v>4514</v>
      </c>
      <c r="VH12" s="12"/>
      <c r="VI12" s="12"/>
      <c r="VJ12" s="12"/>
      <c r="VK12" s="48"/>
      <c r="VL12" s="442"/>
      <c r="VM12" s="442"/>
      <c r="VN12" s="442"/>
      <c r="VO12" s="442"/>
      <c r="VP12" s="442"/>
      <c r="VQ12" s="442"/>
      <c r="VR12" s="442"/>
      <c r="VS12" s="1294"/>
      <c r="VT12" s="1291" t="s">
        <v>5222</v>
      </c>
      <c r="VU12" s="12"/>
      <c r="VV12" s="962"/>
      <c r="VW12" s="1292" t="s">
        <v>4608</v>
      </c>
      <c r="VX12" s="442"/>
      <c r="VY12" s="1294"/>
      <c r="VZ12" s="1291" t="s">
        <v>5223</v>
      </c>
      <c r="WA12" s="12"/>
      <c r="WB12" s="962"/>
      <c r="WC12" s="1292" t="s">
        <v>4608</v>
      </c>
      <c r="WD12" s="442"/>
      <c r="WE12" s="442"/>
      <c r="WF12" s="442"/>
      <c r="WG12" s="442"/>
      <c r="WH12" s="442"/>
      <c r="WI12" s="442"/>
      <c r="WJ12" s="442"/>
      <c r="WK12" s="1387" t="str">
        <f t="shared" si="476"/>
        <v>#NAME?</v>
      </c>
      <c r="WL12" s="1388" t="s">
        <v>3360</v>
      </c>
      <c r="WM12" s="1387" t="str">
        <f t="shared" si="477"/>
        <v>#NAME?</v>
      </c>
      <c r="WN12" s="1392" t="str">
        <f t="shared" si="478"/>
        <v>#NAME?</v>
      </c>
      <c r="WO12" s="1391" t="s">
        <v>5032</v>
      </c>
      <c r="WP12" s="442"/>
      <c r="WQ12" s="1387" t="str">
        <f t="shared" si="479"/>
        <v>#NAME?</v>
      </c>
      <c r="WR12" s="1388" t="s">
        <v>2839</v>
      </c>
      <c r="WS12" s="1387" t="str">
        <f t="shared" si="480"/>
        <v>#NAME?</v>
      </c>
      <c r="WT12" s="1392" t="str">
        <f t="shared" si="481"/>
        <v>#NAME?</v>
      </c>
      <c r="WU12" s="1391" t="s">
        <v>5201</v>
      </c>
      <c r="WV12" s="442"/>
      <c r="WW12" s="1294"/>
      <c r="WX12" s="1291" t="s">
        <v>5224</v>
      </c>
      <c r="WY12" s="12"/>
      <c r="WZ12" s="962"/>
      <c r="XA12" s="1292" t="s">
        <v>4608</v>
      </c>
      <c r="XB12" s="442"/>
      <c r="XH12" s="442"/>
      <c r="XI12" s="977" t="str">
        <f t="shared" ref="XI12:XI17" si="530">MONICON21(XJ12)</f>
        <v>#NAME?</v>
      </c>
      <c r="XJ12" s="1301" t="s">
        <v>1808</v>
      </c>
      <c r="XK12" s="977" t="str">
        <f t="shared" ref="XK12:XK17" si="531">MONTYPEICON1(XJ12)</f>
        <v>#NAME?</v>
      </c>
      <c r="XL12" s="980" t="str">
        <f t="shared" ref="XL12:XL17" si="532">MONTYPEICON2(XJ12)</f>
        <v>#NAME?</v>
      </c>
      <c r="XM12" s="1321" t="s">
        <v>5017</v>
      </c>
      <c r="XN12" s="442"/>
      <c r="XO12" s="1033" t="str">
        <f t="shared" ref="XO12:XO13" si="533">MONICON21(XP12)</f>
        <v>#NAME?</v>
      </c>
      <c r="XP12" s="1301" t="s">
        <v>3722</v>
      </c>
      <c r="XQ12" s="977" t="str">
        <f t="shared" ref="XQ12:XQ13" si="534">MONTYPEICON1(XP12)</f>
        <v>#NAME?</v>
      </c>
      <c r="XR12" s="980" t="str">
        <f t="shared" ref="XR12:XR13" si="535">MONTYPEICON2(XP12)</f>
        <v>#NAME?</v>
      </c>
      <c r="XS12" s="1302" t="s">
        <v>5033</v>
      </c>
      <c r="XT12" s="442"/>
      <c r="XU12" s="977" t="str">
        <f t="shared" ref="XU12:XU14" si="536">MONICON21(XV12)</f>
        <v>#NAME?</v>
      </c>
      <c r="XV12" s="1301" t="s">
        <v>615</v>
      </c>
      <c r="XW12" s="977" t="str">
        <f t="shared" ref="XW12:XW14" si="537">MONTYPEICON1(XV12)</f>
        <v>#NAME?</v>
      </c>
      <c r="XX12" s="980" t="str">
        <f t="shared" ref="XX12:XX14" si="538">MONTYPEICON2(XV12)</f>
        <v>#NAME?</v>
      </c>
      <c r="XY12" s="1303" t="s">
        <v>5032</v>
      </c>
      <c r="XZ12" s="442"/>
      <c r="YF12" s="442"/>
      <c r="YG12" s="1294"/>
      <c r="YH12" s="1291" t="s">
        <v>5225</v>
      </c>
      <c r="YI12" s="12"/>
      <c r="YJ12" s="962"/>
      <c r="YK12" s="1292" t="s">
        <v>4608</v>
      </c>
      <c r="YL12" s="442"/>
      <c r="YM12" s="1387" t="str">
        <f t="shared" si="482"/>
        <v>#NAME?</v>
      </c>
      <c r="YN12" s="1388" t="s">
        <v>254</v>
      </c>
      <c r="YO12" s="1387" t="str">
        <f t="shared" si="483"/>
        <v>#NAME?</v>
      </c>
      <c r="YP12" s="1392" t="str">
        <f t="shared" si="484"/>
        <v>#NAME?</v>
      </c>
      <c r="YQ12" s="1391" t="s">
        <v>5018</v>
      </c>
      <c r="YR12" s="442"/>
      <c r="YS12" s="1383" t="str">
        <f t="shared" si="383"/>
        <v>#NAME?</v>
      </c>
      <c r="YT12" s="1470" t="s">
        <v>3333</v>
      </c>
      <c r="YU12" s="1383" t="str">
        <f t="shared" si="384"/>
        <v>#NAME?</v>
      </c>
      <c r="YV12" s="1385" t="str">
        <f t="shared" si="385"/>
        <v>#NAME?</v>
      </c>
      <c r="YW12" s="1471" t="s">
        <v>5033</v>
      </c>
      <c r="YX12" s="442"/>
      <c r="YY12" s="108"/>
      <c r="YZ12" s="442"/>
      <c r="ZA12" s="108"/>
      <c r="ZB12" s="108"/>
      <c r="ZC12" s="442"/>
      <c r="ZD12" s="442"/>
      <c r="ZG12" s="349"/>
      <c r="ZH12" s="349"/>
      <c r="ZJ12" s="442"/>
      <c r="ZK12" s="442"/>
      <c r="ZL12" s="442"/>
      <c r="ZM12" s="108"/>
      <c r="ZN12" s="108"/>
      <c r="ZO12" s="442"/>
      <c r="ZP12" s="442"/>
      <c r="ZQ12" s="1294"/>
      <c r="ZR12" s="1291" t="s">
        <v>5226</v>
      </c>
      <c r="ZS12" s="12"/>
      <c r="ZT12" s="962"/>
      <c r="ZU12" s="1292" t="s">
        <v>4608</v>
      </c>
      <c r="ZV12" s="442"/>
      <c r="ZW12" s="1383" t="str">
        <f t="shared" si="389"/>
        <v>#NAME?</v>
      </c>
      <c r="ZX12" s="1470" t="s">
        <v>2285</v>
      </c>
      <c r="ZY12" s="1383" t="str">
        <f t="shared" si="390"/>
        <v>#NAME?</v>
      </c>
      <c r="ZZ12" s="1385" t="str">
        <f t="shared" si="391"/>
        <v>#NAME?</v>
      </c>
      <c r="AAA12" s="1471" t="s">
        <v>5035</v>
      </c>
      <c r="AAB12" s="442"/>
      <c r="AAC12" s="1051" t="str">
        <f t="shared" si="443"/>
        <v>#NAME?</v>
      </c>
      <c r="AAD12" s="1127" t="s">
        <v>1756</v>
      </c>
      <c r="AAE12" s="1051" t="str">
        <f t="shared" si="444"/>
        <v>#NAME?</v>
      </c>
      <c r="AAF12" s="1131" t="str">
        <f t="shared" si="445"/>
        <v>#NAME?</v>
      </c>
      <c r="AAG12" s="1095" t="s">
        <v>5026</v>
      </c>
      <c r="AAH12" s="442"/>
      <c r="AAI12" s="349"/>
      <c r="AAK12" s="349"/>
      <c r="AAL12" s="349"/>
      <c r="AAO12" s="349"/>
      <c r="AAQ12" s="349"/>
      <c r="AAR12" s="349"/>
      <c r="AAU12" s="1033" t="str">
        <f t="shared" ref="AAU12:AAU17" si="539">MONICON21(AAV12)</f>
        <v>#NAME?</v>
      </c>
      <c r="AAV12" s="1301" t="s">
        <v>4197</v>
      </c>
      <c r="AAW12" s="977" t="str">
        <f t="shared" ref="AAW12:AAW17" si="540">MONTYPEICON1(AAV12)</f>
        <v>#NAME?</v>
      </c>
      <c r="AAX12" s="980" t="str">
        <f t="shared" ref="AAX12:AAX17" si="541">MONTYPEICON2(AAV12)</f>
        <v>#NAME?</v>
      </c>
      <c r="AAY12" s="1318" t="s">
        <v>5117</v>
      </c>
      <c r="ABA12" s="1033" t="str">
        <f t="shared" ref="ABA12:ABA17" si="542">MONICON21(ABB12)</f>
        <v>#NAME?</v>
      </c>
      <c r="ABB12" s="1301" t="s">
        <v>4063</v>
      </c>
      <c r="ABC12" s="977" t="str">
        <f t="shared" ref="ABC12:ABC17" si="543">MONTYPEICON1(ABB12)</f>
        <v>#NAME?</v>
      </c>
      <c r="ABD12" s="980" t="str">
        <f t="shared" ref="ABD12:ABD17" si="544">MONTYPEICON2(ABB12)</f>
        <v>#NAME?</v>
      </c>
      <c r="ABE12" s="1318" t="s">
        <v>5227</v>
      </c>
      <c r="ABG12" s="1033" t="str">
        <f t="shared" ref="ABG12:ABG17" si="545">MONICON21(ABH12)</f>
        <v>#NAME?</v>
      </c>
      <c r="ABH12" s="1301" t="s">
        <v>493</v>
      </c>
      <c r="ABI12" s="977" t="str">
        <f t="shared" ref="ABI12:ABI17" si="546">MONTYPEICON1(ABH12)</f>
        <v>#NAME?</v>
      </c>
      <c r="ABJ12" s="980" t="str">
        <f t="shared" ref="ABJ12:ABJ17" si="547">MONTYPEICON2(ABH12)</f>
        <v>#NAME?</v>
      </c>
      <c r="ABK12" s="1318" t="s">
        <v>5228</v>
      </c>
      <c r="ABM12" s="1033" t="str">
        <f t="shared" ref="ABM12:ABM17" si="548">MONICON21(ABN12)</f>
        <v>#NAME?</v>
      </c>
      <c r="ABN12" s="1301" t="s">
        <v>1272</v>
      </c>
      <c r="ABO12" s="977" t="str">
        <f t="shared" ref="ABO12:ABO17" si="549">MONTYPEICON1(ABN12)</f>
        <v>#NAME?</v>
      </c>
      <c r="ABP12" s="980" t="str">
        <f t="shared" ref="ABP12:ABP17" si="550">MONTYPEICON2(ABN12)</f>
        <v>#NAME?</v>
      </c>
      <c r="ABQ12" s="1318" t="s">
        <v>5229</v>
      </c>
      <c r="ABS12" s="1033" t="str">
        <f t="shared" ref="ABS12:ABS17" si="551">MONICON21(ABT12)</f>
        <v>#NAME?</v>
      </c>
      <c r="ABT12" s="1301" t="s">
        <v>4010</v>
      </c>
      <c r="ABU12" s="977" t="str">
        <f t="shared" ref="ABU12:ABU17" si="552">MONTYPEICON1(ABT12)</f>
        <v>#NAME?</v>
      </c>
      <c r="ABV12" s="980" t="str">
        <f t="shared" ref="ABV12:ABV17" si="553">MONTYPEICON2(ABT12)</f>
        <v>#NAME?</v>
      </c>
      <c r="ABW12" s="1318" t="s">
        <v>5063</v>
      </c>
      <c r="ABY12" s="1473"/>
      <c r="ABZ12" s="1474" t="s">
        <v>5230</v>
      </c>
      <c r="ACA12" s="1475"/>
      <c r="ACB12" s="1476"/>
      <c r="ACC12" s="1477" t="s">
        <v>4608</v>
      </c>
      <c r="ACJ12" s="996"/>
    </row>
    <row r="13" ht="15.75" customHeight="1">
      <c r="A13" s="1230"/>
      <c r="B13" s="1403" t="str">
        <f>image("https://archives.bulbagarden.net/media/upload/9/91/Badge_Case_Fantina_IV.png", 3)</f>
        <v/>
      </c>
      <c r="C13" s="1404" t="s">
        <v>5231</v>
      </c>
      <c r="D13" s="1382" t="s">
        <v>4608</v>
      </c>
      <c r="E13" s="1230"/>
      <c r="F13" s="1238"/>
      <c r="G13" s="428"/>
      <c r="H13" s="1230"/>
      <c r="I13" s="1053" t="str">
        <f>MONICON21(J13)</f>
        <v>#NAME?</v>
      </c>
      <c r="J13" s="1229" t="s">
        <v>3635</v>
      </c>
      <c r="K13" s="985" t="str">
        <f>MONTYPEICON1(J13)</f>
        <v>#NAME?</v>
      </c>
      <c r="L13" s="1052" t="str">
        <f>MONTYPEICON2(J13)</f>
        <v>#NAME?</v>
      </c>
      <c r="M13" s="1196" t="s">
        <v>5129</v>
      </c>
      <c r="N13" s="1230"/>
      <c r="O13" s="961" t="s">
        <v>4515</v>
      </c>
      <c r="P13" s="12"/>
      <c r="Q13" s="12"/>
      <c r="R13" s="12"/>
      <c r="S13" s="48"/>
      <c r="T13" s="1230"/>
      <c r="Z13" s="1230"/>
      <c r="AA13" s="442"/>
      <c r="AB13" s="442"/>
      <c r="AC13" s="442"/>
      <c r="AD13" s="442"/>
      <c r="AE13" s="108"/>
      <c r="AF13" s="1230"/>
      <c r="AG13" s="1021" t="str">
        <f t="shared" si="485"/>
        <v>#NAME?</v>
      </c>
      <c r="AH13" s="1123" t="s">
        <v>1411</v>
      </c>
      <c r="AI13" s="1021" t="str">
        <f t="shared" si="486"/>
        <v>#NAME?</v>
      </c>
      <c r="AJ13" s="1024" t="str">
        <f t="shared" si="487"/>
        <v>#NAME?</v>
      </c>
      <c r="AK13" s="1339" t="s">
        <v>5208</v>
      </c>
      <c r="AL13" s="1230"/>
      <c r="AM13" s="997"/>
      <c r="AN13" s="1026"/>
      <c r="AO13" s="1026"/>
      <c r="AP13" s="1192"/>
      <c r="AQ13" s="1446"/>
      <c r="AR13" s="1230"/>
      <c r="AX13" s="1230"/>
      <c r="AY13" s="1071" t="str">
        <f t="shared" si="488"/>
        <v>#NAME?</v>
      </c>
      <c r="AZ13" s="1356" t="s">
        <v>3757</v>
      </c>
      <c r="BA13" s="1071" t="str">
        <f t="shared" si="489"/>
        <v>#NAME?</v>
      </c>
      <c r="BB13" s="1073" t="str">
        <f t="shared" si="490"/>
        <v>#NAME?</v>
      </c>
      <c r="BC13" s="1338" t="s">
        <v>5076</v>
      </c>
      <c r="BD13" s="1230"/>
      <c r="BE13" s="997"/>
      <c r="BF13" s="1026"/>
      <c r="BG13" s="1026"/>
      <c r="BH13" s="1192"/>
      <c r="BI13" s="1446"/>
      <c r="BJ13" s="1230"/>
      <c r="BK13" s="1255"/>
      <c r="BL13" s="1256" t="s">
        <v>5232</v>
      </c>
      <c r="BM13" s="1257" t="s">
        <v>4888</v>
      </c>
      <c r="BN13" s="962"/>
      <c r="BO13" s="1258" t="s">
        <v>4608</v>
      </c>
      <c r="BP13" s="442"/>
      <c r="BV13" s="442"/>
      <c r="BW13" s="1255"/>
      <c r="BX13" s="1256" t="s">
        <v>5233</v>
      </c>
      <c r="BY13" s="1257" t="s">
        <v>4888</v>
      </c>
      <c r="BZ13" s="962"/>
      <c r="CA13" s="1258" t="s">
        <v>4608</v>
      </c>
      <c r="CB13" s="1230"/>
      <c r="CC13" s="1021" t="str">
        <f t="shared" si="404"/>
        <v>#NAME?</v>
      </c>
      <c r="CD13" s="1521" t="s">
        <v>3596</v>
      </c>
      <c r="CE13" s="1502" t="str">
        <f t="shared" si="405"/>
        <v>#NAME?</v>
      </c>
      <c r="CF13" s="1503" t="str">
        <f t="shared" si="406"/>
        <v>#NAME?</v>
      </c>
      <c r="CG13" s="1522" t="s">
        <v>4999</v>
      </c>
      <c r="CH13" s="442"/>
      <c r="CI13" s="961" t="s">
        <v>5234</v>
      </c>
      <c r="CJ13" s="12"/>
      <c r="CK13" s="48"/>
      <c r="CM13" s="442"/>
      <c r="CN13" s="442"/>
      <c r="CT13" s="442"/>
      <c r="CU13" s="442"/>
      <c r="CV13" s="442"/>
      <c r="CW13" s="442"/>
      <c r="CX13" s="442"/>
      <c r="CY13" s="442"/>
      <c r="CZ13" s="442"/>
      <c r="DA13" s="1266"/>
      <c r="DB13" s="1259" t="s">
        <v>5235</v>
      </c>
      <c r="DC13" s="12"/>
      <c r="DD13" s="962"/>
      <c r="DE13" s="1258" t="s">
        <v>4608</v>
      </c>
      <c r="DF13" s="442"/>
      <c r="DG13" s="1266"/>
      <c r="DH13" s="1259" t="s">
        <v>5236</v>
      </c>
      <c r="DI13" s="12"/>
      <c r="DJ13" s="962"/>
      <c r="DK13" s="1258" t="s">
        <v>4608</v>
      </c>
      <c r="DL13" s="442"/>
      <c r="DM13" s="1159" t="str">
        <f t="shared" si="407"/>
        <v>#NAME?</v>
      </c>
      <c r="DN13" s="1453" t="s">
        <v>3642</v>
      </c>
      <c r="DO13" s="1454" t="str">
        <f t="shared" si="408"/>
        <v>#NAME?</v>
      </c>
      <c r="DP13" s="1455" t="str">
        <f t="shared" si="409"/>
        <v>#NAME?</v>
      </c>
      <c r="DQ13" s="1456" t="s">
        <v>5045</v>
      </c>
      <c r="DR13" s="442"/>
      <c r="DS13" s="961" t="s">
        <v>4907</v>
      </c>
      <c r="DT13" s="12"/>
      <c r="DU13" s="12"/>
      <c r="DV13" s="12"/>
      <c r="DW13" s="48"/>
      <c r="DX13" s="442"/>
      <c r="ED13" s="442"/>
      <c r="EE13" s="1027" t="str">
        <f t="shared" si="491"/>
        <v>#NAME?</v>
      </c>
      <c r="EF13" s="1548" t="s">
        <v>2065</v>
      </c>
      <c r="EG13" s="1549" t="str">
        <f t="shared" si="492"/>
        <v>#NAME?</v>
      </c>
      <c r="EH13" s="1550" t="str">
        <f t="shared" si="493"/>
        <v>#NAME?</v>
      </c>
      <c r="EI13" s="1551" t="s">
        <v>5079</v>
      </c>
      <c r="EJ13" s="1230"/>
      <c r="EK13" s="442"/>
      <c r="EL13" s="442"/>
      <c r="EM13" s="108"/>
      <c r="EN13" s="108"/>
      <c r="EO13" s="108"/>
      <c r="EP13" s="1230"/>
      <c r="EQ13" s="1272" t="s">
        <v>4966</v>
      </c>
      <c r="ER13" s="12"/>
      <c r="ES13" s="12"/>
      <c r="ET13" s="12"/>
      <c r="EU13" s="48"/>
      <c r="EV13" s="1230"/>
      <c r="EW13" s="442"/>
      <c r="EX13" s="442"/>
      <c r="EY13" s="108"/>
      <c r="EZ13" s="108"/>
      <c r="FA13" s="108"/>
      <c r="FB13" s="442"/>
      <c r="FC13" s="985" t="str">
        <f>MONICON21(FD13)</f>
        <v>#NAME?</v>
      </c>
      <c r="FD13" s="41" t="s">
        <v>311</v>
      </c>
      <c r="FE13" s="1092" t="str">
        <f>MONTYPEICON1(FD13)</f>
        <v>#NAME?</v>
      </c>
      <c r="FF13" s="987" t="str">
        <f>MONTYPEICON2(FD13)</f>
        <v>#NAME?</v>
      </c>
      <c r="FG13" s="1091" t="s">
        <v>5078</v>
      </c>
      <c r="FH13" s="442"/>
      <c r="FI13" s="1193" t="str">
        <f t="shared" si="494"/>
        <v>#NAME?</v>
      </c>
      <c r="FJ13" s="1145" t="s">
        <v>1770</v>
      </c>
      <c r="FK13" s="1146" t="str">
        <f t="shared" si="495"/>
        <v>#NAME?</v>
      </c>
      <c r="FL13" s="1148" t="str">
        <f t="shared" si="496"/>
        <v>#NAME?</v>
      </c>
      <c r="FM13" s="1330" t="s">
        <v>5001</v>
      </c>
      <c r="FN13" s="442"/>
      <c r="FO13" s="983" t="str">
        <f t="shared" ref="FO13:FO15" si="554">MONICON21(FP13)</f>
        <v>#NAME?</v>
      </c>
      <c r="FP13" s="1157" t="s">
        <v>4043</v>
      </c>
      <c r="FQ13" s="977" t="str">
        <f t="shared" ref="FQ13:FQ15" si="555">MONTYPEICON1(FP13)</f>
        <v>#NAME?</v>
      </c>
      <c r="FR13" s="980" t="str">
        <f t="shared" ref="FR13:FR15" si="556">MONTYPEICON2(FP13)</f>
        <v>#NAME?</v>
      </c>
      <c r="FS13" s="1303" t="s">
        <v>5078</v>
      </c>
      <c r="FT13" s="442"/>
      <c r="FU13" s="1193" t="str">
        <f t="shared" si="497"/>
        <v>#NAME?</v>
      </c>
      <c r="FV13" s="1357" t="s">
        <v>1125</v>
      </c>
      <c r="FW13" s="1146" t="str">
        <f t="shared" si="498"/>
        <v>#NAME?</v>
      </c>
      <c r="FX13" s="1148" t="str">
        <f t="shared" si="499"/>
        <v>#NAME?</v>
      </c>
      <c r="FY13" s="1330" t="s">
        <v>5003</v>
      </c>
      <c r="FZ13" s="442"/>
      <c r="GA13" s="1056" t="str">
        <f t="shared" si="413"/>
        <v>#NAME?</v>
      </c>
      <c r="GB13" s="1465" t="s">
        <v>663</v>
      </c>
      <c r="GC13" s="1502" t="str">
        <f t="shared" si="414"/>
        <v>#NAME?</v>
      </c>
      <c r="GD13" s="1503" t="str">
        <f t="shared" si="415"/>
        <v>#NAME?</v>
      </c>
      <c r="GE13" s="1339" t="s">
        <v>5001</v>
      </c>
      <c r="GF13" s="442"/>
      <c r="GG13" s="1049" t="str">
        <f t="shared" si="449"/>
        <v>#NAME?</v>
      </c>
      <c r="GH13" s="1127" t="s">
        <v>3787</v>
      </c>
      <c r="GI13" s="1051" t="str">
        <f t="shared" si="450"/>
        <v>#NAME?</v>
      </c>
      <c r="GJ13" s="1131" t="str">
        <f t="shared" si="451"/>
        <v>#NAME?</v>
      </c>
      <c r="GK13" s="1095" t="s">
        <v>5082</v>
      </c>
      <c r="GL13" s="1230"/>
      <c r="GM13" s="985" t="str">
        <f>MONICON21(GN13)</f>
        <v>#NAME?</v>
      </c>
      <c r="GN13" s="146" t="s">
        <v>3424</v>
      </c>
      <c r="GO13" s="1092" t="str">
        <f>MONTYPEICON1(GN13)</f>
        <v>#NAME?</v>
      </c>
      <c r="GP13" s="987" t="str">
        <f>MONTYPEICON2(GN13)</f>
        <v>#NAME?</v>
      </c>
      <c r="GQ13" s="1196" t="s">
        <v>5082</v>
      </c>
      <c r="GR13" s="65"/>
      <c r="GS13" s="442"/>
      <c r="GT13" s="442"/>
      <c r="GU13" s="108"/>
      <c r="GV13" s="108"/>
      <c r="GW13" s="108"/>
      <c r="GX13" s="65"/>
      <c r="GY13" s="1246" t="s">
        <v>4534</v>
      </c>
      <c r="GZ13" s="12"/>
      <c r="HA13" s="12"/>
      <c r="HB13" s="12"/>
      <c r="HC13" s="48"/>
      <c r="HD13" s="1230"/>
      <c r="HG13" s="349"/>
      <c r="HH13" s="349"/>
      <c r="HI13" s="349"/>
      <c r="HJ13" s="1230"/>
      <c r="HK13" s="1268"/>
      <c r="HL13" s="1269" t="s">
        <v>4926</v>
      </c>
      <c r="HM13" s="12"/>
      <c r="HN13" s="962"/>
      <c r="HO13" s="1270" t="s">
        <v>4608</v>
      </c>
      <c r="HP13" s="65"/>
      <c r="HS13" s="349"/>
      <c r="HT13" s="349"/>
      <c r="HU13" s="349"/>
      <c r="HV13" s="65"/>
      <c r="HY13" s="349"/>
      <c r="HZ13" s="349"/>
      <c r="IA13" s="349"/>
      <c r="IB13" s="65"/>
      <c r="IC13" s="1266"/>
      <c r="ID13" s="1256" t="s">
        <v>5237</v>
      </c>
      <c r="IE13" s="1257" t="s">
        <v>4888</v>
      </c>
      <c r="IF13" s="962"/>
      <c r="IG13" s="1258" t="s">
        <v>4608</v>
      </c>
      <c r="II13" s="1027" t="str">
        <f t="shared" si="500"/>
        <v>#NAME?</v>
      </c>
      <c r="IJ13" s="1340" t="s">
        <v>4225</v>
      </c>
      <c r="IK13" s="1360" t="str">
        <f t="shared" si="501"/>
        <v>#NAME?</v>
      </c>
      <c r="IL13" s="1361" t="str">
        <f t="shared" si="502"/>
        <v>#NAME?</v>
      </c>
      <c r="IM13" s="1343" t="s">
        <v>5008</v>
      </c>
      <c r="IQ13" s="349"/>
      <c r="IR13" s="349"/>
      <c r="IT13" s="1230"/>
      <c r="IU13" s="1094" t="str">
        <f t="shared" si="452"/>
        <v>#NAME?</v>
      </c>
      <c r="IV13" s="1552" t="s">
        <v>3670</v>
      </c>
      <c r="IW13" s="1420" t="str">
        <f t="shared" si="453"/>
        <v>#NAME?</v>
      </c>
      <c r="IX13" s="475" t="str">
        <f t="shared" si="454"/>
        <v>#NAME?</v>
      </c>
      <c r="IY13" s="1553" t="s">
        <v>5158</v>
      </c>
      <c r="IZ13" s="1230"/>
      <c r="JA13" s="1266"/>
      <c r="JB13" s="1259" t="s">
        <v>5238</v>
      </c>
      <c r="JC13" s="12"/>
      <c r="JD13" s="962"/>
      <c r="JE13" s="1258" t="s">
        <v>4608</v>
      </c>
      <c r="JF13" s="1230"/>
      <c r="JG13" s="1068" t="str">
        <f t="shared" si="503"/>
        <v>#NAME?</v>
      </c>
      <c r="JH13" s="1078" t="s">
        <v>3433</v>
      </c>
      <c r="JI13" s="1358" t="str">
        <f t="shared" si="504"/>
        <v>#NAME?</v>
      </c>
      <c r="JJ13" s="1359" t="str">
        <f t="shared" si="505"/>
        <v>#NAME?</v>
      </c>
      <c r="JK13" s="1093" t="s">
        <v>5084</v>
      </c>
      <c r="JL13" s="1230"/>
      <c r="JM13" s="983" t="str">
        <f t="shared" ref="JM13:JM16" si="557">MONICON21(JN13)</f>
        <v>#NAME?</v>
      </c>
      <c r="JN13" s="1157" t="s">
        <v>559</v>
      </c>
      <c r="JO13" s="1311" t="str">
        <f t="shared" ref="JO13:JO16" si="558">MONTYPEICON1(JN13)</f>
        <v>#NAME?</v>
      </c>
      <c r="JP13" s="1312" t="str">
        <f t="shared" ref="JP13:JP16" si="559">MONTYPEICON2(JN13)</f>
        <v>#NAME?</v>
      </c>
      <c r="JQ13" s="1303" t="s">
        <v>5158</v>
      </c>
      <c r="JR13" s="1230"/>
      <c r="JS13" s="1266"/>
      <c r="JT13" s="1259" t="s">
        <v>5239</v>
      </c>
      <c r="JU13" s="12"/>
      <c r="JV13" s="962"/>
      <c r="JW13" s="1258" t="s">
        <v>4608</v>
      </c>
      <c r="JY13" s="1027" t="str">
        <f t="shared" si="506"/>
        <v>#NAME?</v>
      </c>
      <c r="JZ13" s="1365" t="s">
        <v>2065</v>
      </c>
      <c r="KA13" s="1360" t="str">
        <f t="shared" si="507"/>
        <v>#NAME?</v>
      </c>
      <c r="KB13" s="1361" t="str">
        <f t="shared" si="508"/>
        <v>#NAME?</v>
      </c>
      <c r="KC13" s="1343" t="s">
        <v>5010</v>
      </c>
      <c r="KE13" s="1266"/>
      <c r="KF13" s="1259" t="s">
        <v>5240</v>
      </c>
      <c r="KG13" s="12"/>
      <c r="KH13" s="962"/>
      <c r="KI13" s="1258" t="s">
        <v>4608</v>
      </c>
      <c r="KJ13" s="65"/>
      <c r="KK13" s="1280"/>
      <c r="KL13" s="1281" t="s">
        <v>4908</v>
      </c>
      <c r="KM13" s="12"/>
      <c r="KN13" s="962"/>
      <c r="KO13" s="1282" t="s">
        <v>4608</v>
      </c>
      <c r="KQ13" s="983" t="str">
        <f t="shared" ref="KQ13:KQ15" si="560">MONICON21(KR13)</f>
        <v>#NAME?</v>
      </c>
      <c r="KR13" s="1031" t="s">
        <v>3649</v>
      </c>
      <c r="KS13" s="977" t="str">
        <f t="shared" ref="KS13:KS15" si="561">MONTYPEICON1(KR13)</f>
        <v>#NAME?</v>
      </c>
      <c r="KT13" s="980" t="str">
        <f t="shared" ref="KT13:KT15" si="562">MONTYPEICON2(KR13)</f>
        <v>#NAME?</v>
      </c>
      <c r="KU13" s="1035" t="s">
        <v>5086</v>
      </c>
      <c r="KW13" s="985" t="str">
        <f>MONICON21(KX13)</f>
        <v>#NAME?</v>
      </c>
      <c r="KX13" s="1063" t="s">
        <v>2185</v>
      </c>
      <c r="KY13" s="1092" t="str">
        <f>MONTYPEICON1(KX13)</f>
        <v>#NAME?</v>
      </c>
      <c r="KZ13" s="987" t="str">
        <f>MONTYPEICON2(KX13)</f>
        <v>#NAME?</v>
      </c>
      <c r="LA13" s="1421" t="s">
        <v>5086</v>
      </c>
      <c r="LB13" s="442"/>
      <c r="LC13" s="1266"/>
      <c r="LD13" s="1256" t="s">
        <v>5241</v>
      </c>
      <c r="LE13" s="1257" t="s">
        <v>4888</v>
      </c>
      <c r="LF13" s="962"/>
      <c r="LG13" s="1258" t="s">
        <v>4608</v>
      </c>
      <c r="LK13" s="349"/>
      <c r="LL13" s="349"/>
      <c r="LO13" s="1283"/>
      <c r="LP13" s="1264" t="s">
        <v>5242</v>
      </c>
      <c r="LQ13" s="12"/>
      <c r="LR13" s="962"/>
      <c r="LS13" s="1265" t="s">
        <v>4608</v>
      </c>
      <c r="LW13" s="108"/>
      <c r="LX13" s="349"/>
      <c r="MC13" s="349"/>
      <c r="MD13" s="349"/>
      <c r="MG13" s="1351" t="str">
        <f t="shared" si="509"/>
        <v>#NAME?</v>
      </c>
      <c r="MH13" s="1372" t="s">
        <v>596</v>
      </c>
      <c r="MI13" s="1353" t="str">
        <f t="shared" si="510"/>
        <v>#NAME?</v>
      </c>
      <c r="MJ13" s="1354" t="str">
        <f t="shared" si="511"/>
        <v>#NAME?</v>
      </c>
      <c r="MK13" s="1367" t="s">
        <v>5106</v>
      </c>
      <c r="MM13" s="961" t="s">
        <v>5243</v>
      </c>
      <c r="MN13" s="12"/>
      <c r="MO13" s="12"/>
      <c r="MP13" s="12"/>
      <c r="MQ13" s="48"/>
      <c r="MS13" s="961" t="s">
        <v>5244</v>
      </c>
      <c r="MT13" s="12"/>
      <c r="MU13" s="48"/>
      <c r="MV13" s="349"/>
      <c r="MW13" s="442"/>
      <c r="MX13" s="442"/>
      <c r="MY13" s="1351" t="str">
        <f t="shared" si="512"/>
        <v>#NAME?</v>
      </c>
      <c r="MZ13" s="1372" t="s">
        <v>2798</v>
      </c>
      <c r="NA13" s="1353" t="str">
        <f t="shared" si="513"/>
        <v>#NAME?</v>
      </c>
      <c r="NB13" s="1354" t="str">
        <f t="shared" si="514"/>
        <v>#NAME?</v>
      </c>
      <c r="NC13" s="1367" t="s">
        <v>5017</v>
      </c>
      <c r="ND13" s="442"/>
      <c r="NE13" s="1068" t="str">
        <f t="shared" si="515"/>
        <v>#NAME?</v>
      </c>
      <c r="NF13" s="1076" t="s">
        <v>1343</v>
      </c>
      <c r="NG13" s="1358" t="str">
        <f t="shared" si="516"/>
        <v>#NAME?</v>
      </c>
      <c r="NH13" s="1359" t="str">
        <f t="shared" si="517"/>
        <v>#NAME?</v>
      </c>
      <c r="NI13" s="1368" t="s">
        <v>5017</v>
      </c>
      <c r="NK13" s="983" t="str">
        <f t="shared" ref="NK13:NK16" si="563">MONICON21(NL13)</f>
        <v>#NAME?</v>
      </c>
      <c r="NL13" s="1301" t="s">
        <v>2598</v>
      </c>
      <c r="NM13" s="1311" t="str">
        <f t="shared" ref="NM13:NM16" si="564">MONTYPEICON1(NL13)</f>
        <v>#NAME?</v>
      </c>
      <c r="NN13" s="1312" t="str">
        <f t="shared" ref="NN13:NN16" si="565">MONTYPEICON2(NL13)</f>
        <v>#NAME?</v>
      </c>
      <c r="NO13" s="1318" t="s">
        <v>5051</v>
      </c>
      <c r="NP13" s="442"/>
      <c r="NQ13" s="961" t="s">
        <v>5245</v>
      </c>
      <c r="NR13" s="12"/>
      <c r="NS13" s="48"/>
      <c r="NT13" s="349"/>
      <c r="NV13" s="442"/>
      <c r="NY13" s="349"/>
      <c r="NZ13" s="349"/>
      <c r="OB13" s="442"/>
      <c r="OE13" s="349"/>
      <c r="OF13" s="349"/>
      <c r="OH13" s="442"/>
      <c r="OI13" s="1096" t="str">
        <f t="shared" si="458"/>
        <v>#NAME?</v>
      </c>
      <c r="OJ13" s="1098" t="s">
        <v>1091</v>
      </c>
      <c r="OK13" s="1417" t="str">
        <f t="shared" si="459"/>
        <v>#NAME?</v>
      </c>
      <c r="OL13" s="62" t="str">
        <f t="shared" si="460"/>
        <v>#NAME?</v>
      </c>
      <c r="OM13" s="1423" t="s">
        <v>5020</v>
      </c>
      <c r="ON13" s="442"/>
      <c r="OO13" s="1068" t="str">
        <f t="shared" si="518"/>
        <v>#NAME?</v>
      </c>
      <c r="OP13" s="1076" t="s">
        <v>3879</v>
      </c>
      <c r="OQ13" s="1358" t="str">
        <f t="shared" si="519"/>
        <v>#NAME?</v>
      </c>
      <c r="OR13" s="1359" t="str">
        <f t="shared" si="520"/>
        <v>#NAME?</v>
      </c>
      <c r="OS13" s="1368" t="s">
        <v>5022</v>
      </c>
      <c r="OU13" s="1068" t="str">
        <f t="shared" si="521"/>
        <v>#NAME?</v>
      </c>
      <c r="OV13" s="1076" t="s">
        <v>3255</v>
      </c>
      <c r="OW13" s="1358" t="str">
        <f t="shared" si="522"/>
        <v>#NAME?</v>
      </c>
      <c r="OX13" s="1359" t="str">
        <f t="shared" si="523"/>
        <v>#NAME?</v>
      </c>
      <c r="OY13" s="1368" t="s">
        <v>5022</v>
      </c>
      <c r="PA13" s="1096" t="str">
        <f t="shared" si="344"/>
        <v>#NAME?</v>
      </c>
      <c r="PB13" s="1481" t="s">
        <v>4139</v>
      </c>
      <c r="PC13" s="1417" t="str">
        <f t="shared" si="345"/>
        <v>#NAME?</v>
      </c>
      <c r="PD13" s="62" t="str">
        <f t="shared" si="346"/>
        <v>#NAME?</v>
      </c>
      <c r="PE13" s="1482" t="s">
        <v>5146</v>
      </c>
      <c r="PF13" s="442"/>
      <c r="PG13" s="1266"/>
      <c r="PH13" s="1259" t="s">
        <v>5246</v>
      </c>
      <c r="PI13" s="12"/>
      <c r="PJ13" s="962"/>
      <c r="PK13" s="1258" t="s">
        <v>4608</v>
      </c>
      <c r="PM13" s="961" t="s">
        <v>5247</v>
      </c>
      <c r="PN13" s="12"/>
      <c r="PO13" s="12"/>
      <c r="PP13" s="48"/>
      <c r="PS13" s="1096" t="str">
        <f t="shared" si="461"/>
        <v>#NAME?</v>
      </c>
      <c r="PT13" s="1098" t="s">
        <v>3218</v>
      </c>
      <c r="PU13" s="1417" t="str">
        <f t="shared" si="462"/>
        <v>#NAME?</v>
      </c>
      <c r="PV13" s="62" t="str">
        <f t="shared" si="463"/>
        <v>#NAME?</v>
      </c>
      <c r="PW13" s="1423" t="s">
        <v>5021</v>
      </c>
      <c r="PY13" s="1027" t="str">
        <f t="shared" si="524"/>
        <v>#NAME?</v>
      </c>
      <c r="PZ13" s="1340" t="s">
        <v>4225</v>
      </c>
      <c r="QA13" s="1360" t="str">
        <f t="shared" si="525"/>
        <v>#NAME?</v>
      </c>
      <c r="QB13" s="1361" t="str">
        <f t="shared" si="526"/>
        <v>#NAME?</v>
      </c>
      <c r="QC13" s="1376" t="s">
        <v>5023</v>
      </c>
      <c r="QD13" s="442"/>
      <c r="QE13" s="1096" t="str">
        <f t="shared" si="353"/>
        <v>#NAME?</v>
      </c>
      <c r="QF13" s="1098" t="s">
        <v>687</v>
      </c>
      <c r="QG13" s="1418" t="str">
        <f t="shared" si="354"/>
        <v>#NAME?</v>
      </c>
      <c r="QH13" s="1419" t="str">
        <f t="shared" si="355"/>
        <v>#NAME?</v>
      </c>
      <c r="QI13" s="1423" t="s">
        <v>5032</v>
      </c>
      <c r="QJ13" s="442"/>
      <c r="QK13" s="1543" t="str">
        <f t="shared" si="293"/>
        <v>#NAME?</v>
      </c>
      <c r="QL13" s="1530" t="s">
        <v>4077</v>
      </c>
      <c r="QM13" s="1529" t="str">
        <f t="shared" si="294"/>
        <v>#NAME?</v>
      </c>
      <c r="QN13" s="1531" t="str">
        <f t="shared" si="295"/>
        <v>#NAME?</v>
      </c>
      <c r="QO13" s="1532" t="s">
        <v>5033</v>
      </c>
      <c r="QP13" s="442"/>
      <c r="QQ13" s="1543" t="str">
        <f t="shared" si="296"/>
        <v>#NAME?</v>
      </c>
      <c r="QR13" s="1530" t="s">
        <v>4160</v>
      </c>
      <c r="QS13" s="1529" t="str">
        <f t="shared" si="297"/>
        <v>#NAME?</v>
      </c>
      <c r="QT13" s="1531" t="str">
        <f t="shared" si="298"/>
        <v>#NAME?</v>
      </c>
      <c r="QU13" s="1532" t="s">
        <v>5112</v>
      </c>
      <c r="QV13" s="442"/>
      <c r="QW13" s="1543" t="str">
        <f t="shared" si="299"/>
        <v>#NAME?</v>
      </c>
      <c r="QX13" s="1530" t="s">
        <v>4183</v>
      </c>
      <c r="QY13" s="1529" t="str">
        <f t="shared" si="300"/>
        <v>#NAME?</v>
      </c>
      <c r="QZ13" s="1531" t="str">
        <f t="shared" si="301"/>
        <v>#NAME?</v>
      </c>
      <c r="RA13" s="1532" t="s">
        <v>5113</v>
      </c>
      <c r="RB13" s="442"/>
      <c r="RC13" s="1543" t="str">
        <f t="shared" si="302"/>
        <v>#NAME?</v>
      </c>
      <c r="RD13" s="1530" t="s">
        <v>4238</v>
      </c>
      <c r="RE13" s="1529" t="str">
        <f t="shared" si="303"/>
        <v>#NAME?</v>
      </c>
      <c r="RF13" s="1531" t="str">
        <f t="shared" si="304"/>
        <v>#NAME?</v>
      </c>
      <c r="RG13" s="1532" t="s">
        <v>5025</v>
      </c>
      <c r="RH13" s="442"/>
      <c r="RI13" s="1543" t="str">
        <f t="shared" si="305"/>
        <v>#NAME?</v>
      </c>
      <c r="RJ13" s="1530" t="s">
        <v>4031</v>
      </c>
      <c r="RK13" s="1529" t="str">
        <f t="shared" si="306"/>
        <v>#NAME?</v>
      </c>
      <c r="RL13" s="1531" t="str">
        <f t="shared" si="307"/>
        <v>#NAME?</v>
      </c>
      <c r="RM13" s="1532" t="s">
        <v>5026</v>
      </c>
      <c r="RN13" s="442"/>
      <c r="RO13" s="1094" t="str">
        <f t="shared" si="464"/>
        <v>#NAME?</v>
      </c>
      <c r="RP13" s="1127" t="s">
        <v>4174</v>
      </c>
      <c r="RQ13" s="1082" t="str">
        <f t="shared" si="465"/>
        <v>#NAME?</v>
      </c>
      <c r="RR13" s="1084" t="str">
        <f t="shared" si="466"/>
        <v>#NAME?</v>
      </c>
      <c r="RS13" s="1422" t="s">
        <v>5025</v>
      </c>
      <c r="RT13" s="442"/>
      <c r="RU13" s="983" t="str">
        <f t="shared" ref="RU13:RU15" si="566">MONICON21(RV13)</f>
        <v>#NAME?</v>
      </c>
      <c r="RV13" s="1301" t="s">
        <v>2170</v>
      </c>
      <c r="RW13" s="1311" t="str">
        <f t="shared" ref="RW13:RW15" si="567">MONTYPEICON1(RV13)</f>
        <v>#NAME?</v>
      </c>
      <c r="RX13" s="1312" t="str">
        <f t="shared" ref="RX13:RX15" si="568">MONTYPEICON2(RV13)</f>
        <v>#NAME?</v>
      </c>
      <c r="RY13" s="1318" t="s">
        <v>5112</v>
      </c>
      <c r="RZ13" s="442"/>
      <c r="SA13" s="983" t="str">
        <f t="shared" ref="SA13:SA16" si="569">MONICON21(SB13)</f>
        <v>#NAME?</v>
      </c>
      <c r="SB13" s="1301" t="s">
        <v>2239</v>
      </c>
      <c r="SC13" s="1311" t="str">
        <f t="shared" ref="SC13:SC16" si="570">MONTYPEICON1(SB13)</f>
        <v>#NAME?</v>
      </c>
      <c r="SD13" s="1312" t="str">
        <f t="shared" ref="SD13:SD16" si="571">MONTYPEICON2(SB13)</f>
        <v>#NAME?</v>
      </c>
      <c r="SE13" s="1318" t="s">
        <v>5113</v>
      </c>
      <c r="SG13" s="1266"/>
      <c r="SH13" s="1259" t="s">
        <v>5248</v>
      </c>
      <c r="SI13" s="12"/>
      <c r="SJ13" s="962"/>
      <c r="SK13" s="1004" t="s">
        <v>4608</v>
      </c>
      <c r="SL13" s="442"/>
      <c r="SO13" s="349"/>
      <c r="SP13" s="349"/>
      <c r="SU13" s="349"/>
      <c r="SV13" s="349"/>
      <c r="SY13" s="983" t="str">
        <f t="shared" ref="SY13:SY15" si="572">MONICON21(SZ13)</f>
        <v>#NAME?</v>
      </c>
      <c r="SZ13" s="1301" t="s">
        <v>3433</v>
      </c>
      <c r="TA13" s="1311" t="str">
        <f t="shared" ref="TA13:TA15" si="573">MONTYPEICON1(SZ13)</f>
        <v>#NAME?</v>
      </c>
      <c r="TB13" s="1312" t="str">
        <f t="shared" ref="TB13:TB15" si="574">MONTYPEICON2(SZ13)</f>
        <v>#NAME?</v>
      </c>
      <c r="TC13" s="1318" t="s">
        <v>5033</v>
      </c>
      <c r="TE13" s="65"/>
      <c r="TF13" s="65"/>
      <c r="TG13" s="349"/>
      <c r="TH13" s="349"/>
      <c r="TJ13" s="442"/>
      <c r="TK13" s="1266"/>
      <c r="TL13" s="1259" t="s">
        <v>5249</v>
      </c>
      <c r="TM13" s="12"/>
      <c r="TN13" s="962"/>
      <c r="TO13" s="1004" t="s">
        <v>4608</v>
      </c>
      <c r="TP13" s="442"/>
      <c r="TQ13" s="1266"/>
      <c r="TR13" s="1259" t="s">
        <v>5250</v>
      </c>
      <c r="TS13" s="12"/>
      <c r="TT13" s="962"/>
      <c r="TU13" s="1004" t="s">
        <v>4608</v>
      </c>
      <c r="TW13" s="1529" t="str">
        <f t="shared" si="308"/>
        <v>#NAME?</v>
      </c>
      <c r="TX13" s="1530" t="s">
        <v>4077</v>
      </c>
      <c r="TY13" s="1529" t="str">
        <f t="shared" si="309"/>
        <v>#NAME?</v>
      </c>
      <c r="TZ13" s="1531" t="str">
        <f t="shared" si="310"/>
        <v>#NAME?</v>
      </c>
      <c r="UA13" s="1532" t="s">
        <v>5227</v>
      </c>
      <c r="UB13" s="442"/>
      <c r="UC13" s="963" t="s">
        <v>4518</v>
      </c>
      <c r="UD13" s="12"/>
      <c r="UE13" s="12"/>
      <c r="UF13" s="12"/>
      <c r="UG13" s="48"/>
      <c r="UH13" s="442"/>
      <c r="UI13" s="1293"/>
      <c r="UJ13" s="1291" t="s">
        <v>5251</v>
      </c>
      <c r="UK13" s="12"/>
      <c r="UL13" s="962"/>
      <c r="UM13" s="1292" t="s">
        <v>4608</v>
      </c>
      <c r="UO13" s="1383" t="str">
        <f t="shared" si="527"/>
        <v>#NAME?</v>
      </c>
      <c r="UP13" s="1508" t="s">
        <v>2607</v>
      </c>
      <c r="UQ13" s="1383" t="str">
        <f t="shared" si="528"/>
        <v>#NAME?</v>
      </c>
      <c r="UR13" s="1385" t="str">
        <f t="shared" si="529"/>
        <v>#NAME?</v>
      </c>
      <c r="US13" s="1509" t="s">
        <v>5130</v>
      </c>
      <c r="VA13" s="977" t="str">
        <f t="shared" ref="VA13:VA15" si="575">MONICON21(VB13)</f>
        <v>#NAME?</v>
      </c>
      <c r="VB13" s="1301" t="s">
        <v>1705</v>
      </c>
      <c r="VC13" s="979" t="str">
        <f t="shared" ref="VC13:VC15" si="576">MONTYPEICON1(VB13)</f>
        <v>#NAME?</v>
      </c>
      <c r="VD13" s="1314" t="str">
        <f t="shared" ref="VD13:VD15" si="577">MONTYPEICON2(VB13)</f>
        <v>#NAME?</v>
      </c>
      <c r="VE13" s="1303" t="s">
        <v>5028</v>
      </c>
      <c r="VG13" s="442"/>
      <c r="VH13" s="442"/>
      <c r="VI13" s="442"/>
      <c r="VJ13" s="442"/>
      <c r="VK13" s="442"/>
      <c r="VL13" s="442"/>
      <c r="VM13" s="1294"/>
      <c r="VN13" s="1291" t="s">
        <v>5252</v>
      </c>
      <c r="VO13" s="12"/>
      <c r="VP13" s="962"/>
      <c r="VQ13" s="1292" t="s">
        <v>4608</v>
      </c>
      <c r="VR13" s="442"/>
      <c r="VS13" s="1033" t="str">
        <f t="shared" ref="VS13:VS14" si="578">MONICON21(VT13)</f>
        <v>#NAME?</v>
      </c>
      <c r="VT13" s="1301" t="s">
        <v>2519</v>
      </c>
      <c r="VU13" s="977" t="str">
        <f t="shared" ref="VU13:VU14" si="579">MONTYPEICON1(VT13)</f>
        <v>#NAME?</v>
      </c>
      <c r="VV13" s="980" t="str">
        <f t="shared" ref="VV13:VV14" si="580">MONTYPEICON2(VT13)</f>
        <v>#NAME?</v>
      </c>
      <c r="VW13" s="1302" t="s">
        <v>5135</v>
      </c>
      <c r="VX13" s="442"/>
      <c r="VY13" s="977" t="str">
        <f t="shared" ref="VY13:VY15" si="581">MONICON21(VZ13)</f>
        <v>#NAME?</v>
      </c>
      <c r="VZ13" s="1301" t="s">
        <v>3879</v>
      </c>
      <c r="WA13" s="977" t="str">
        <f t="shared" ref="WA13:WA15" si="582">MONTYPEICON1(VZ13)</f>
        <v>#NAME?</v>
      </c>
      <c r="WB13" s="980" t="str">
        <f t="shared" ref="WB13:WB15" si="583">MONTYPEICON2(VZ13)</f>
        <v>#NAME?</v>
      </c>
      <c r="WC13" s="1303" t="s">
        <v>5034</v>
      </c>
      <c r="WD13" s="442"/>
      <c r="WE13" s="1294"/>
      <c r="WF13" s="1291" t="s">
        <v>5253</v>
      </c>
      <c r="WG13" s="12"/>
      <c r="WH13" s="962"/>
      <c r="WI13" s="1292" t="s">
        <v>4608</v>
      </c>
      <c r="WJ13" s="442"/>
      <c r="WK13" s="1051" t="str">
        <f t="shared" si="476"/>
        <v>#NAME?</v>
      </c>
      <c r="WL13" s="1127" t="s">
        <v>4225</v>
      </c>
      <c r="WM13" s="1051" t="str">
        <f t="shared" si="477"/>
        <v>#NAME?</v>
      </c>
      <c r="WN13" s="1131" t="str">
        <f t="shared" si="478"/>
        <v>#NAME?</v>
      </c>
      <c r="WO13" s="1095" t="s">
        <v>5032</v>
      </c>
      <c r="WP13" s="442"/>
      <c r="WQ13" s="1051" t="str">
        <f t="shared" si="479"/>
        <v>#NAME?</v>
      </c>
      <c r="WR13" s="1127" t="s">
        <v>2752</v>
      </c>
      <c r="WS13" s="1051" t="str">
        <f t="shared" si="480"/>
        <v>#NAME?</v>
      </c>
      <c r="WT13" s="1131" t="str">
        <f t="shared" si="481"/>
        <v>#NAME?</v>
      </c>
      <c r="WU13" s="1095" t="s">
        <v>5201</v>
      </c>
      <c r="WV13" s="442"/>
      <c r="WW13" s="977" t="str">
        <f t="shared" ref="WW13:WW15" si="584">MONICON21(WX13)</f>
        <v>#NAME?</v>
      </c>
      <c r="WX13" s="1301" t="s">
        <v>1788</v>
      </c>
      <c r="WY13" s="977" t="str">
        <f t="shared" ref="WY13:WY15" si="585">MONTYPEICON1(WX13)</f>
        <v>#NAME?</v>
      </c>
      <c r="WZ13" s="980" t="str">
        <f t="shared" ref="WZ13:WZ15" si="586">MONTYPEICON2(WX13)</f>
        <v>#NAME?</v>
      </c>
      <c r="XA13" s="1303" t="s">
        <v>5019</v>
      </c>
      <c r="XB13" s="442"/>
      <c r="XC13" s="1294"/>
      <c r="XD13" s="1291" t="s">
        <v>5254</v>
      </c>
      <c r="XE13" s="12"/>
      <c r="XF13" s="962"/>
      <c r="XG13" s="1292" t="s">
        <v>4608</v>
      </c>
      <c r="XH13" s="442"/>
      <c r="XI13" s="1387" t="str">
        <f t="shared" si="530"/>
        <v>#NAME?</v>
      </c>
      <c r="XJ13" s="1388" t="s">
        <v>4190</v>
      </c>
      <c r="XK13" s="1387" t="str">
        <f t="shared" si="531"/>
        <v>#NAME?</v>
      </c>
      <c r="XL13" s="1392" t="str">
        <f t="shared" si="532"/>
        <v>#NAME?</v>
      </c>
      <c r="XM13" s="1394" t="s">
        <v>5017</v>
      </c>
      <c r="XN13" s="442"/>
      <c r="XO13" s="1383" t="str">
        <f t="shared" si="533"/>
        <v>#NAME?</v>
      </c>
      <c r="XP13" s="1384" t="s">
        <v>3722</v>
      </c>
      <c r="XQ13" s="1383" t="str">
        <f t="shared" si="534"/>
        <v>#NAME?</v>
      </c>
      <c r="XR13" s="1385" t="str">
        <f t="shared" si="535"/>
        <v>#NAME?</v>
      </c>
      <c r="XS13" s="1386" t="s">
        <v>5033</v>
      </c>
      <c r="XT13" s="442"/>
      <c r="XU13" s="1387" t="str">
        <f t="shared" si="536"/>
        <v>#NAME?</v>
      </c>
      <c r="XV13" s="1388" t="s">
        <v>1352</v>
      </c>
      <c r="XW13" s="1387" t="str">
        <f t="shared" si="537"/>
        <v>#NAME?</v>
      </c>
      <c r="XX13" s="1392" t="str">
        <f t="shared" si="538"/>
        <v>#NAME?</v>
      </c>
      <c r="XY13" s="1391" t="s">
        <v>5032</v>
      </c>
      <c r="XZ13" s="442"/>
      <c r="YA13" s="1554" t="s">
        <v>4534</v>
      </c>
      <c r="YB13" s="12"/>
      <c r="YC13" s="12"/>
      <c r="YD13" s="12"/>
      <c r="YE13" s="48"/>
      <c r="YF13" s="442"/>
      <c r="YG13" s="977" t="str">
        <f t="shared" ref="YG13:YG15" si="587">MONICON21(YH13)</f>
        <v>#NAME?</v>
      </c>
      <c r="YH13" s="1301" t="s">
        <v>4146</v>
      </c>
      <c r="YI13" s="977" t="str">
        <f t="shared" ref="YI13:YI15" si="588">MONTYPEICON1(YH13)</f>
        <v>#NAME?</v>
      </c>
      <c r="YJ13" s="980" t="str">
        <f t="shared" ref="YJ13:YJ15" si="589">MONTYPEICON2(YH13)</f>
        <v>#NAME?</v>
      </c>
      <c r="YK13" s="1303" t="s">
        <v>5032</v>
      </c>
      <c r="YL13" s="442"/>
      <c r="YM13" s="1051" t="str">
        <f t="shared" si="482"/>
        <v>#NAME?</v>
      </c>
      <c r="YN13" s="1127" t="s">
        <v>2170</v>
      </c>
      <c r="YO13" s="1051" t="str">
        <f t="shared" si="483"/>
        <v>#NAME?</v>
      </c>
      <c r="YP13" s="1131" t="str">
        <f t="shared" si="484"/>
        <v>#NAME?</v>
      </c>
      <c r="YQ13" s="1095" t="s">
        <v>5018</v>
      </c>
      <c r="YR13" s="442"/>
      <c r="YS13" s="442"/>
      <c r="YT13" s="442"/>
      <c r="YU13" s="108"/>
      <c r="YV13" s="108"/>
      <c r="YW13" s="442"/>
      <c r="YX13" s="442"/>
      <c r="YY13" s="1294"/>
      <c r="YZ13" s="1291" t="s">
        <v>5255</v>
      </c>
      <c r="ZA13" s="12"/>
      <c r="ZB13" s="962"/>
      <c r="ZC13" s="1292" t="s">
        <v>4608</v>
      </c>
      <c r="ZD13" s="442"/>
      <c r="ZE13" s="1289" t="s">
        <v>5243</v>
      </c>
      <c r="ZF13" s="12"/>
      <c r="ZG13" s="12"/>
      <c r="ZH13" s="12"/>
      <c r="ZI13" s="48"/>
      <c r="ZJ13" s="442"/>
      <c r="ZK13" s="1472"/>
      <c r="ZL13" s="1291" t="s">
        <v>5256</v>
      </c>
      <c r="ZM13" s="12"/>
      <c r="ZN13" s="962"/>
      <c r="ZO13" s="1292" t="s">
        <v>4608</v>
      </c>
      <c r="ZP13" s="442"/>
      <c r="ZQ13" s="977" t="str">
        <f t="shared" ref="ZQ13:ZQ16" si="590">MONICON21(ZR13)</f>
        <v>#NAME?</v>
      </c>
      <c r="ZR13" s="1301" t="s">
        <v>3103</v>
      </c>
      <c r="ZS13" s="977" t="str">
        <f t="shared" ref="ZS13:ZS16" si="591">MONTYPEICON1(ZR13)</f>
        <v>#NAME?</v>
      </c>
      <c r="ZT13" s="980" t="str">
        <f t="shared" ref="ZT13:ZT16" si="592">MONTYPEICON2(ZR13)</f>
        <v>#NAME?</v>
      </c>
      <c r="ZU13" s="1303" t="s">
        <v>5092</v>
      </c>
      <c r="ZV13" s="442"/>
      <c r="ZW13" s="108"/>
      <c r="ZX13" s="442"/>
      <c r="ZY13" s="108"/>
      <c r="ZZ13" s="108"/>
      <c r="AAA13" s="442"/>
      <c r="AAB13" s="442"/>
      <c r="AAC13" s="108"/>
      <c r="AAD13" s="442"/>
      <c r="AAE13" s="108"/>
      <c r="AAF13" s="108"/>
      <c r="AAG13" s="442"/>
      <c r="AAH13" s="442"/>
      <c r="AAI13" s="349"/>
      <c r="AAK13" s="349"/>
      <c r="AAL13" s="349"/>
      <c r="AAO13" s="349"/>
      <c r="AAQ13" s="349"/>
      <c r="AAR13" s="349"/>
      <c r="AAU13" s="1387" t="str">
        <f t="shared" si="539"/>
        <v>#NAME?</v>
      </c>
      <c r="AAV13" s="1388" t="s">
        <v>2046</v>
      </c>
      <c r="AAW13" s="1387" t="str">
        <f t="shared" si="540"/>
        <v>#NAME?</v>
      </c>
      <c r="AAX13" s="1392" t="str">
        <f t="shared" si="541"/>
        <v>#NAME?</v>
      </c>
      <c r="AAY13" s="1397" t="s">
        <v>5117</v>
      </c>
      <c r="ABA13" s="1387" t="str">
        <f t="shared" si="542"/>
        <v>#NAME?</v>
      </c>
      <c r="ABB13" s="1388" t="s">
        <v>2442</v>
      </c>
      <c r="ABC13" s="1387" t="str">
        <f t="shared" si="543"/>
        <v>#NAME?</v>
      </c>
      <c r="ABD13" s="1392" t="str">
        <f t="shared" si="544"/>
        <v>#NAME?</v>
      </c>
      <c r="ABE13" s="1397" t="s">
        <v>5227</v>
      </c>
      <c r="ABG13" s="1387" t="str">
        <f t="shared" si="545"/>
        <v>#NAME?</v>
      </c>
      <c r="ABH13" s="1388" t="s">
        <v>2185</v>
      </c>
      <c r="ABI13" s="1387" t="str">
        <f t="shared" si="546"/>
        <v>#NAME?</v>
      </c>
      <c r="ABJ13" s="1392" t="str">
        <f t="shared" si="547"/>
        <v>#NAME?</v>
      </c>
      <c r="ABK13" s="1397" t="s">
        <v>5228</v>
      </c>
      <c r="ABM13" s="1387" t="str">
        <f t="shared" si="548"/>
        <v>#NAME?</v>
      </c>
      <c r="ABN13" s="1388" t="s">
        <v>1908</v>
      </c>
      <c r="ABO13" s="1387" t="str">
        <f t="shared" si="549"/>
        <v>#NAME?</v>
      </c>
      <c r="ABP13" s="1392" t="str">
        <f t="shared" si="550"/>
        <v>#NAME?</v>
      </c>
      <c r="ABQ13" s="1397" t="s">
        <v>5229</v>
      </c>
      <c r="ABS13" s="1387" t="str">
        <f t="shared" si="551"/>
        <v>#NAME?</v>
      </c>
      <c r="ABT13" s="1388" t="s">
        <v>4190</v>
      </c>
      <c r="ABU13" s="1387" t="str">
        <f t="shared" si="552"/>
        <v>#NAME?</v>
      </c>
      <c r="ABV13" s="1392" t="str">
        <f t="shared" si="553"/>
        <v>#NAME?</v>
      </c>
      <c r="ABW13" s="1397" t="s">
        <v>5063</v>
      </c>
      <c r="ABY13" s="1555"/>
      <c r="ABZ13" s="1485" t="s">
        <v>4982</v>
      </c>
      <c r="ACA13" s="416"/>
      <c r="ACB13" s="1486"/>
      <c r="ACC13" s="1487" t="s">
        <v>4608</v>
      </c>
      <c r="ACE13" s="973" t="s">
        <v>5257</v>
      </c>
      <c r="ACF13" s="976"/>
      <c r="ACG13" s="976"/>
      <c r="ACH13" s="976"/>
      <c r="ACI13" s="954"/>
      <c r="ACJ13" s="996"/>
    </row>
    <row r="14" ht="15.75" customHeight="1">
      <c r="A14" s="1230"/>
      <c r="B14" s="1444"/>
      <c r="C14" s="1445"/>
      <c r="D14" s="1446"/>
      <c r="E14" s="1230"/>
      <c r="F14" s="1238"/>
      <c r="G14" s="1405" t="s">
        <v>5258</v>
      </c>
      <c r="H14" s="1230"/>
      <c r="N14" s="1230"/>
      <c r="T14" s="1230"/>
      <c r="U14" s="961" t="s">
        <v>4752</v>
      </c>
      <c r="V14" s="12"/>
      <c r="W14" s="12"/>
      <c r="X14" s="12"/>
      <c r="Y14" s="48"/>
      <c r="Z14" s="1230"/>
      <c r="AA14" s="1255"/>
      <c r="AB14" s="1259" t="s">
        <v>5259</v>
      </c>
      <c r="AC14" s="12"/>
      <c r="AD14" s="962"/>
      <c r="AE14" s="1258" t="s">
        <v>4608</v>
      </c>
      <c r="AF14" s="1230"/>
      <c r="AG14" s="1051" t="str">
        <f t="shared" si="485"/>
        <v>#NAME?</v>
      </c>
      <c r="AH14" s="1127" t="s">
        <v>1427</v>
      </c>
      <c r="AI14" s="1051" t="str">
        <f t="shared" si="486"/>
        <v>#NAME?</v>
      </c>
      <c r="AJ14" s="1131" t="str">
        <f t="shared" si="487"/>
        <v>#NAME?</v>
      </c>
      <c r="AK14" s="1095" t="s">
        <v>5208</v>
      </c>
      <c r="AL14" s="1230"/>
      <c r="AR14" s="1230"/>
      <c r="AS14" s="961" t="s">
        <v>4819</v>
      </c>
      <c r="AT14" s="12"/>
      <c r="AU14" s="12"/>
      <c r="AV14" s="12"/>
      <c r="AW14" s="48"/>
      <c r="AX14" s="1230"/>
      <c r="AY14" s="1051" t="str">
        <f t="shared" si="488"/>
        <v>#NAME?</v>
      </c>
      <c r="AZ14" s="1479" t="s">
        <v>2979</v>
      </c>
      <c r="BA14" s="1051" t="str">
        <f t="shared" si="489"/>
        <v>#NAME?</v>
      </c>
      <c r="BB14" s="1131" t="str">
        <f t="shared" si="490"/>
        <v>#NAME?</v>
      </c>
      <c r="BC14" s="1411" t="s">
        <v>5076</v>
      </c>
      <c r="BD14" s="1230"/>
      <c r="BJ14" s="1230"/>
      <c r="BK14" s="1033" t="str">
        <f t="shared" ref="BK14:BK16" si="593">MONICON21(BL14)</f>
        <v>#NAME?</v>
      </c>
      <c r="BL14" s="1304" t="s">
        <v>1228</v>
      </c>
      <c r="BM14" s="977" t="str">
        <f t="shared" ref="BM14:BM16" si="594">MONTYPEICON1(BL14)</f>
        <v>#NAME?</v>
      </c>
      <c r="BN14" s="980" t="str">
        <f t="shared" ref="BN14:BN16" si="595">MONTYPEICON2(BL14)</f>
        <v>#NAME?</v>
      </c>
      <c r="BO14" s="1305" t="s">
        <v>4993</v>
      </c>
      <c r="BP14" s="442"/>
      <c r="BQ14" s="961" t="s">
        <v>5260</v>
      </c>
      <c r="BR14" s="12"/>
      <c r="BS14" s="12"/>
      <c r="BT14" s="12"/>
      <c r="BU14" s="48"/>
      <c r="BV14" s="442"/>
      <c r="BW14" s="1033" t="str">
        <f t="shared" ref="BW14:BW16" si="596">MONICON21(BX14)</f>
        <v>#NAME?</v>
      </c>
      <c r="BX14" s="1304" t="s">
        <v>4123</v>
      </c>
      <c r="BY14" s="977" t="str">
        <f t="shared" ref="BY14:BY16" si="597">MONTYPEICON1(BX14)</f>
        <v>#NAME?</v>
      </c>
      <c r="BZ14" s="980" t="str">
        <f t="shared" ref="BZ14:BZ16" si="598">MONTYPEICON2(BX14)</f>
        <v>#NAME?</v>
      </c>
      <c r="CA14" s="1305" t="s">
        <v>5040</v>
      </c>
      <c r="CB14" s="1230"/>
      <c r="CC14" s="1013" t="str">
        <f t="shared" si="404"/>
        <v>#NAME?</v>
      </c>
      <c r="CD14" s="1537" t="s">
        <v>2661</v>
      </c>
      <c r="CE14" s="1418" t="str">
        <f t="shared" si="405"/>
        <v>#NAME?</v>
      </c>
      <c r="CF14" s="1419" t="str">
        <f t="shared" si="406"/>
        <v>#NAME?</v>
      </c>
      <c r="CG14" s="1538" t="s">
        <v>4999</v>
      </c>
      <c r="CH14" s="1230"/>
      <c r="CI14" s="1273"/>
      <c r="CJ14" s="1307" t="s">
        <v>4908</v>
      </c>
      <c r="CK14" s="12"/>
      <c r="CL14" s="962"/>
      <c r="CM14" s="1282" t="s">
        <v>4608</v>
      </c>
      <c r="CN14" s="442"/>
      <c r="CO14" s="961" t="s">
        <v>5261</v>
      </c>
      <c r="CP14" s="12"/>
      <c r="CQ14" s="12"/>
      <c r="CR14" s="12"/>
      <c r="CS14" s="48"/>
      <c r="CT14" s="442"/>
      <c r="CU14" s="1272" t="s">
        <v>5067</v>
      </c>
      <c r="CV14" s="12"/>
      <c r="CW14" s="12"/>
      <c r="CX14" s="12"/>
      <c r="CY14" s="48"/>
      <c r="CZ14" s="442"/>
      <c r="DA14" s="1012" t="str">
        <f t="shared" ref="DA14:DA15" si="599">MONICON21(DB14)</f>
        <v>#NAME?</v>
      </c>
      <c r="DB14" s="1304" t="s">
        <v>2893</v>
      </c>
      <c r="DC14" s="977" t="str">
        <f t="shared" ref="DC14:DC15" si="600">MONTYPEICON1(DB14)</f>
        <v>#NAME?</v>
      </c>
      <c r="DD14" s="980" t="str">
        <f t="shared" ref="DD14:DD15" si="601">MONTYPEICON2(DB14)</f>
        <v>#NAME?</v>
      </c>
      <c r="DE14" s="1305" t="s">
        <v>4999</v>
      </c>
      <c r="DF14" s="442"/>
      <c r="DG14" s="1012" t="str">
        <f t="shared" ref="DG14:DG15" si="602">MONICON21(DH14)</f>
        <v>#NAME?</v>
      </c>
      <c r="DH14" s="1304" t="s">
        <v>1993</v>
      </c>
      <c r="DI14" s="977" t="str">
        <f t="shared" ref="DI14:DI15" si="603">MONTYPEICON1(DH14)</f>
        <v>#NAME?</v>
      </c>
      <c r="DJ14" s="980" t="str">
        <f t="shared" ref="DJ14:DJ15" si="604">MONTYPEICON2(DH14)</f>
        <v>#NAME?</v>
      </c>
      <c r="DK14" s="1305" t="s">
        <v>4999</v>
      </c>
      <c r="DL14" s="442"/>
      <c r="DR14" s="442"/>
      <c r="DX14" s="442"/>
      <c r="DY14" s="1283"/>
      <c r="DZ14" s="1264" t="s">
        <v>5262</v>
      </c>
      <c r="EA14" s="12"/>
      <c r="EB14" s="962"/>
      <c r="EC14" s="1265" t="s">
        <v>4608</v>
      </c>
      <c r="ED14" s="442"/>
      <c r="EE14" s="1096" t="str">
        <f t="shared" si="491"/>
        <v>#NAME?</v>
      </c>
      <c r="EF14" s="1481" t="s">
        <v>1452</v>
      </c>
      <c r="EG14" s="1417" t="str">
        <f t="shared" si="492"/>
        <v>#NAME?</v>
      </c>
      <c r="EH14" s="62" t="str">
        <f t="shared" si="493"/>
        <v>#NAME?</v>
      </c>
      <c r="EI14" s="1482" t="s">
        <v>5079</v>
      </c>
      <c r="EJ14" s="1230"/>
      <c r="EK14" s="1280"/>
      <c r="EL14" s="1274" t="s">
        <v>4908</v>
      </c>
      <c r="EM14" s="959"/>
      <c r="EN14" s="957"/>
      <c r="EO14" s="1275" t="s">
        <v>4608</v>
      </c>
      <c r="EP14" s="1230"/>
      <c r="EQ14" s="442"/>
      <c r="ER14" s="442"/>
      <c r="ES14" s="108"/>
      <c r="ET14" s="108"/>
      <c r="EU14" s="108"/>
      <c r="EV14" s="1230"/>
      <c r="EW14" s="1266"/>
      <c r="EX14" s="1259" t="s">
        <v>5263</v>
      </c>
      <c r="EY14" s="12"/>
      <c r="EZ14" s="962"/>
      <c r="FA14" s="1258" t="s">
        <v>4608</v>
      </c>
      <c r="FB14" s="442"/>
      <c r="FE14" s="349"/>
      <c r="FF14" s="349"/>
      <c r="FG14" s="349"/>
      <c r="FH14" s="442"/>
      <c r="FK14" s="349"/>
      <c r="FL14" s="349"/>
      <c r="FM14" s="349"/>
      <c r="FN14" s="442"/>
      <c r="FO14" s="1068" t="str">
        <f t="shared" si="554"/>
        <v>#NAME?</v>
      </c>
      <c r="FP14" s="1078" t="s">
        <v>3948</v>
      </c>
      <c r="FQ14" s="1071" t="str">
        <f t="shared" si="555"/>
        <v>#NAME?</v>
      </c>
      <c r="FR14" s="1073" t="str">
        <f t="shared" si="556"/>
        <v>#NAME?</v>
      </c>
      <c r="FS14" s="1093" t="s">
        <v>5078</v>
      </c>
      <c r="FT14" s="442"/>
      <c r="FW14" s="349"/>
      <c r="FX14" s="349"/>
      <c r="FY14" s="349"/>
      <c r="FZ14" s="442"/>
      <c r="GA14" s="1094" t="str">
        <f t="shared" si="413"/>
        <v>#NAME?</v>
      </c>
      <c r="GB14" s="499" t="s">
        <v>2743</v>
      </c>
      <c r="GC14" s="1528" t="str">
        <f t="shared" si="414"/>
        <v>#NAME?</v>
      </c>
      <c r="GD14" s="1433" t="str">
        <f t="shared" si="415"/>
        <v>#NAME?</v>
      </c>
      <c r="GE14" s="1095" t="s">
        <v>5001</v>
      </c>
      <c r="GF14" s="442"/>
      <c r="GG14" s="1535" t="s">
        <v>5264</v>
      </c>
      <c r="GH14" s="976"/>
      <c r="GI14" s="976"/>
      <c r="GJ14" s="974"/>
      <c r="GK14" s="1536" t="s">
        <v>4608</v>
      </c>
      <c r="GL14" s="1230"/>
      <c r="GM14" s="442"/>
      <c r="GN14" s="442"/>
      <c r="GO14" s="108"/>
      <c r="GP14" s="108"/>
      <c r="GQ14" s="108"/>
      <c r="GR14" s="65"/>
      <c r="GS14" s="1286"/>
      <c r="GT14" s="1259" t="s">
        <v>5265</v>
      </c>
      <c r="GU14" s="12"/>
      <c r="GV14" s="962"/>
      <c r="GW14" s="1258" t="s">
        <v>4608</v>
      </c>
      <c r="GX14" s="65"/>
      <c r="HA14" s="349"/>
      <c r="HB14" s="349"/>
      <c r="HD14" s="1230"/>
      <c r="HE14" s="1266"/>
      <c r="HF14" s="1259" t="s">
        <v>5266</v>
      </c>
      <c r="HG14" s="12"/>
      <c r="HH14" s="962"/>
      <c r="HI14" s="1258" t="s">
        <v>4608</v>
      </c>
      <c r="HJ14" s="1230"/>
      <c r="HK14" s="1012" t="str">
        <f t="shared" ref="HK14:HK19" si="605">MONICON21(HL14)</f>
        <v>#NAME?</v>
      </c>
      <c r="HL14" s="1157" t="s">
        <v>3670</v>
      </c>
      <c r="HM14" s="1313" t="str">
        <f t="shared" ref="HM14:HM19" si="606">MONTYPEICON1(HL14)</f>
        <v>#NAME?</v>
      </c>
      <c r="HN14" s="1314" t="str">
        <f t="shared" ref="HN14:HN19" si="607">MONTYPEICON2(HL14)</f>
        <v>#NAME?</v>
      </c>
      <c r="HO14" s="1303" t="s">
        <v>5007</v>
      </c>
      <c r="HP14" s="65"/>
      <c r="HQ14" s="1283"/>
      <c r="HR14" s="1264" t="s">
        <v>5267</v>
      </c>
      <c r="HS14" s="12"/>
      <c r="HT14" s="962"/>
      <c r="HU14" s="1265" t="s">
        <v>4608</v>
      </c>
      <c r="HV14" s="65"/>
      <c r="HW14" s="1266"/>
      <c r="HX14" s="1259" t="s">
        <v>5268</v>
      </c>
      <c r="HY14" s="12"/>
      <c r="HZ14" s="962"/>
      <c r="IA14" s="1258" t="s">
        <v>4608</v>
      </c>
      <c r="IB14" s="65"/>
      <c r="IC14" s="983" t="str">
        <f t="shared" ref="IC14:IC17" si="608">MONICON21(ID14)</f>
        <v>#NAME?</v>
      </c>
      <c r="ID14" s="1304" t="s">
        <v>4025</v>
      </c>
      <c r="IE14" s="1311" t="str">
        <f t="shared" ref="IE14:IE17" si="609">MONTYPEICON1(ID14)</f>
        <v>#NAME?</v>
      </c>
      <c r="IF14" s="1312" t="str">
        <f t="shared" ref="IF14:IF17" si="610">MONTYPEICON2(ID14)</f>
        <v>#NAME?</v>
      </c>
      <c r="IG14" s="1305" t="s">
        <v>5007</v>
      </c>
      <c r="II14" s="1012" t="str">
        <f t="shared" si="500"/>
        <v>#NAME?</v>
      </c>
      <c r="IJ14" s="1098" t="s">
        <v>474</v>
      </c>
      <c r="IK14" s="1418" t="str">
        <f t="shared" si="501"/>
        <v>#NAME?</v>
      </c>
      <c r="IL14" s="1419" t="str">
        <f t="shared" si="502"/>
        <v>#NAME?</v>
      </c>
      <c r="IM14" s="1108" t="s">
        <v>5008</v>
      </c>
      <c r="IO14" s="1556" t="s">
        <v>5269</v>
      </c>
      <c r="IP14" s="959"/>
      <c r="IQ14" s="959"/>
      <c r="IR14" s="959"/>
      <c r="IS14" s="960"/>
      <c r="IT14" s="1230"/>
      <c r="IW14" s="349"/>
      <c r="IX14" s="349"/>
      <c r="IZ14" s="1230"/>
      <c r="JA14" s="983" t="str">
        <f t="shared" ref="JA14:JA16" si="611">MONICON21(JB14)</f>
        <v>#NAME?</v>
      </c>
      <c r="JB14" s="1304" t="s">
        <v>750</v>
      </c>
      <c r="JC14" s="1311" t="str">
        <f t="shared" ref="JC14:JC16" si="612">MONTYPEICON1(JB14)</f>
        <v>#NAME?</v>
      </c>
      <c r="JD14" s="1312" t="str">
        <f t="shared" ref="JD14:JD16" si="613">MONTYPEICON2(JB14)</f>
        <v>#NAME?</v>
      </c>
      <c r="JE14" s="1305" t="s">
        <v>5214</v>
      </c>
      <c r="JF14" s="1230"/>
      <c r="JG14" s="1094" t="str">
        <f t="shared" si="503"/>
        <v>#NAME?</v>
      </c>
      <c r="JH14" s="499" t="s">
        <v>1242</v>
      </c>
      <c r="JI14" s="1420" t="str">
        <f t="shared" si="504"/>
        <v>#NAME?</v>
      </c>
      <c r="JJ14" s="475" t="str">
        <f t="shared" si="505"/>
        <v>#NAME?</v>
      </c>
      <c r="JK14" s="1095" t="s">
        <v>5084</v>
      </c>
      <c r="JL14" s="1230"/>
      <c r="JM14" s="1068" t="str">
        <f t="shared" si="557"/>
        <v>#NAME?</v>
      </c>
      <c r="JN14" s="1078" t="s">
        <v>2625</v>
      </c>
      <c r="JO14" s="1358" t="str">
        <f t="shared" si="558"/>
        <v>#NAME?</v>
      </c>
      <c r="JP14" s="1359" t="str">
        <f t="shared" si="559"/>
        <v>#NAME?</v>
      </c>
      <c r="JQ14" s="1093" t="s">
        <v>5158</v>
      </c>
      <c r="JR14" s="1230"/>
      <c r="JS14" s="983" t="str">
        <f t="shared" ref="JS14:JS16" si="614">MONICON21(JT14)</f>
        <v>#NAME?</v>
      </c>
      <c r="JT14" s="1157" t="s">
        <v>1419</v>
      </c>
      <c r="JU14" s="1311" t="str">
        <f t="shared" ref="JU14:JU16" si="615">MONTYPEICON1(JT14)</f>
        <v>#NAME?</v>
      </c>
      <c r="JV14" s="1312" t="str">
        <f t="shared" ref="JV14:JV16" si="616">MONTYPEICON2(JT14)</f>
        <v>#NAME?</v>
      </c>
      <c r="JW14" s="1303" t="s">
        <v>5084</v>
      </c>
      <c r="JY14" s="1012" t="str">
        <f t="shared" si="506"/>
        <v>#NAME?</v>
      </c>
      <c r="JZ14" s="1149" t="s">
        <v>1452</v>
      </c>
      <c r="KA14" s="1418" t="str">
        <f t="shared" si="507"/>
        <v>#NAME?</v>
      </c>
      <c r="KB14" s="1419" t="str">
        <f t="shared" si="508"/>
        <v>#NAME?</v>
      </c>
      <c r="KC14" s="1108" t="s">
        <v>5010</v>
      </c>
      <c r="KE14" s="985" t="str">
        <f>MONICON21(KF14)</f>
        <v>#NAME?</v>
      </c>
      <c r="KF14" s="1229" t="s">
        <v>2990</v>
      </c>
      <c r="KG14" s="22" t="str">
        <f>MONTYPEICON1(KF14)</f>
        <v>#NAME?</v>
      </c>
      <c r="KH14" s="24" t="str">
        <f>MONTYPEICON2(KF14)</f>
        <v>#NAME?</v>
      </c>
      <c r="KI14" s="1196" t="s">
        <v>5010</v>
      </c>
      <c r="KJ14" s="65"/>
      <c r="KK14" s="983" t="str">
        <f t="shared" ref="KK14:KK16" si="617">MONICON21(KL14)</f>
        <v>#NAME?</v>
      </c>
      <c r="KL14" s="1031" t="s">
        <v>3941</v>
      </c>
      <c r="KM14" s="977" t="str">
        <f t="shared" ref="KM14:KM16" si="618">MONTYPEICON1(KL14)</f>
        <v>#NAME?</v>
      </c>
      <c r="KN14" s="980" t="str">
        <f t="shared" ref="KN14:KN16" si="619">MONTYPEICON2(KL14)</f>
        <v>#NAME?</v>
      </c>
      <c r="KO14" s="1035" t="s">
        <v>5009</v>
      </c>
      <c r="KQ14" s="1056" t="str">
        <f t="shared" si="560"/>
        <v>#NAME?</v>
      </c>
      <c r="KR14" s="1089" t="s">
        <v>2046</v>
      </c>
      <c r="KS14" s="1021" t="str">
        <f t="shared" si="561"/>
        <v>#NAME?</v>
      </c>
      <c r="KT14" s="1024" t="str">
        <f t="shared" si="562"/>
        <v>#NAME?</v>
      </c>
      <c r="KU14" s="1024" t="s">
        <v>5086</v>
      </c>
      <c r="KY14" s="349"/>
      <c r="KZ14" s="349"/>
      <c r="LB14" s="442"/>
      <c r="LC14" s="983" t="str">
        <f t="shared" ref="LC14:LC16" si="620">MONICON21(LD14)</f>
        <v>#NAME?</v>
      </c>
      <c r="LD14" s="1301" t="s">
        <v>4183</v>
      </c>
      <c r="LE14" s="1311" t="str">
        <f t="shared" ref="LE14:LE16" si="621">MONTYPEICON1(LD14)</f>
        <v>#NAME?</v>
      </c>
      <c r="LF14" s="1312" t="str">
        <f t="shared" ref="LF14:LF16" si="622">MONTYPEICON2(LD14)</f>
        <v>#NAME?</v>
      </c>
      <c r="LG14" s="1318" t="s">
        <v>5013</v>
      </c>
      <c r="LI14" s="1266"/>
      <c r="LJ14" s="1256" t="s">
        <v>5270</v>
      </c>
      <c r="LK14" s="1257" t="s">
        <v>4888</v>
      </c>
      <c r="LL14" s="962"/>
      <c r="LM14" s="1258" t="s">
        <v>4608</v>
      </c>
      <c r="LO14" s="983" t="str">
        <f t="shared" ref="LO14:LO16" si="623">MONICON21(LP14)</f>
        <v>#NAME?</v>
      </c>
      <c r="LP14" s="1301" t="s">
        <v>2116</v>
      </c>
      <c r="LQ14" s="977" t="str">
        <f t="shared" ref="LQ14:LQ16" si="624">MONTYPEICON1(LP14)</f>
        <v>#NAME?</v>
      </c>
      <c r="LR14" s="980" t="str">
        <f t="shared" ref="LR14:LR16" si="625">MONTYPEICON2(LP14)</f>
        <v>#NAME?</v>
      </c>
      <c r="LS14" s="1318" t="s">
        <v>5162</v>
      </c>
      <c r="LU14" s="1266"/>
      <c r="LV14" s="1259" t="s">
        <v>5271</v>
      </c>
      <c r="LW14" s="12"/>
      <c r="LX14" s="962"/>
      <c r="LY14" s="1258" t="s">
        <v>4608</v>
      </c>
      <c r="MA14" s="961" t="s">
        <v>5272</v>
      </c>
      <c r="MB14" s="12"/>
      <c r="MC14" s="48"/>
      <c r="MD14" s="349"/>
      <c r="MG14" s="1049" t="str">
        <f t="shared" si="509"/>
        <v>#NAME?</v>
      </c>
      <c r="MH14" s="1127" t="s">
        <v>3083</v>
      </c>
      <c r="MI14" s="1051" t="str">
        <f t="shared" si="510"/>
        <v>#NAME?</v>
      </c>
      <c r="MJ14" s="1131" t="str">
        <f t="shared" si="511"/>
        <v>#NAME?</v>
      </c>
      <c r="MK14" s="1422" t="s">
        <v>5106</v>
      </c>
      <c r="MO14" s="349"/>
      <c r="MP14" s="349"/>
      <c r="MS14" s="1273"/>
      <c r="MT14" s="1281" t="s">
        <v>5273</v>
      </c>
      <c r="MU14" s="12"/>
      <c r="MV14" s="962"/>
      <c r="MW14" s="1282" t="s">
        <v>4608</v>
      </c>
      <c r="MX14" s="442"/>
      <c r="MY14" s="1012" t="str">
        <f t="shared" si="512"/>
        <v>#NAME?</v>
      </c>
      <c r="MZ14" s="1301" t="s">
        <v>3978</v>
      </c>
      <c r="NA14" s="1013" t="str">
        <f t="shared" si="513"/>
        <v>#NAME?</v>
      </c>
      <c r="NB14" s="1015" t="str">
        <f t="shared" si="514"/>
        <v>#NAME?</v>
      </c>
      <c r="NC14" s="1318" t="s">
        <v>5017</v>
      </c>
      <c r="ND14" s="442"/>
      <c r="NE14" s="1094" t="str">
        <f t="shared" si="515"/>
        <v>#NAME?</v>
      </c>
      <c r="NF14" s="1127" t="s">
        <v>1343</v>
      </c>
      <c r="NG14" s="1420" t="str">
        <f t="shared" si="516"/>
        <v>#NAME?</v>
      </c>
      <c r="NH14" s="475" t="str">
        <f t="shared" si="517"/>
        <v>#NAME?</v>
      </c>
      <c r="NI14" s="1422" t="s">
        <v>5017</v>
      </c>
      <c r="NJ14" s="65"/>
      <c r="NK14" s="1068" t="str">
        <f t="shared" si="563"/>
        <v>#NAME?</v>
      </c>
      <c r="NL14" s="1076" t="s">
        <v>3872</v>
      </c>
      <c r="NM14" s="1358" t="str">
        <f t="shared" si="564"/>
        <v>#NAME?</v>
      </c>
      <c r="NN14" s="1359" t="str">
        <f t="shared" si="565"/>
        <v>#NAME?</v>
      </c>
      <c r="NO14" s="1368" t="s">
        <v>5051</v>
      </c>
      <c r="NP14" s="442"/>
      <c r="NQ14" s="1277"/>
      <c r="NR14" s="1264" t="s">
        <v>5274</v>
      </c>
      <c r="NS14" s="12"/>
      <c r="NT14" s="962"/>
      <c r="NU14" s="1265" t="s">
        <v>4608</v>
      </c>
      <c r="NV14" s="442"/>
      <c r="NW14" s="961" t="s">
        <v>4817</v>
      </c>
      <c r="NX14" s="12"/>
      <c r="NY14" s="12"/>
      <c r="NZ14" s="12"/>
      <c r="OA14" s="48"/>
      <c r="OB14" s="442"/>
      <c r="OC14" s="1266"/>
      <c r="OD14" s="1256" t="s">
        <v>5275</v>
      </c>
      <c r="OE14" s="1285" t="s">
        <v>4888</v>
      </c>
      <c r="OF14" s="962"/>
      <c r="OG14" s="1258" t="s">
        <v>4608</v>
      </c>
      <c r="OH14" s="442"/>
      <c r="OI14" s="1193" t="str">
        <f t="shared" si="458"/>
        <v>#NAME?</v>
      </c>
      <c r="OJ14" s="1145" t="s">
        <v>1908</v>
      </c>
      <c r="OK14" s="1462" t="str">
        <f t="shared" si="459"/>
        <v>#NAME?</v>
      </c>
      <c r="OL14" s="1463" t="str">
        <f t="shared" si="460"/>
        <v>#NAME?</v>
      </c>
      <c r="OM14" s="1464" t="s">
        <v>5020</v>
      </c>
      <c r="ON14" s="442"/>
      <c r="OO14" s="1096" t="str">
        <f t="shared" si="518"/>
        <v>#NAME?</v>
      </c>
      <c r="OP14" s="1098" t="s">
        <v>1916</v>
      </c>
      <c r="OQ14" s="1417" t="str">
        <f t="shared" si="519"/>
        <v>#NAME?</v>
      </c>
      <c r="OR14" s="62" t="str">
        <f t="shared" si="520"/>
        <v>#NAME?</v>
      </c>
      <c r="OS14" s="1423" t="s">
        <v>5022</v>
      </c>
      <c r="OU14" s="1096" t="str">
        <f t="shared" si="521"/>
        <v>#NAME?</v>
      </c>
      <c r="OV14" s="1098" t="s">
        <v>493</v>
      </c>
      <c r="OW14" s="1417" t="str">
        <f t="shared" si="522"/>
        <v>#NAME?</v>
      </c>
      <c r="OX14" s="62" t="str">
        <f t="shared" si="523"/>
        <v>#NAME?</v>
      </c>
      <c r="OY14" s="1423" t="s">
        <v>5022</v>
      </c>
      <c r="PA14" s="1132" t="str">
        <f t="shared" si="344"/>
        <v>#NAME?</v>
      </c>
      <c r="PB14" s="1544" t="s">
        <v>687</v>
      </c>
      <c r="PC14" s="1545" t="str">
        <f t="shared" si="345"/>
        <v>#NAME?</v>
      </c>
      <c r="PD14" s="1546" t="str">
        <f t="shared" si="346"/>
        <v>#NAME?</v>
      </c>
      <c r="PE14" s="1547" t="s">
        <v>5021</v>
      </c>
      <c r="PF14" s="442"/>
      <c r="PG14" s="983" t="str">
        <f t="shared" ref="PG14:PG16" si="626">MONICON21(PH14)</f>
        <v>#NAME?</v>
      </c>
      <c r="PH14" s="1301" t="s">
        <v>1499</v>
      </c>
      <c r="PI14" s="1311" t="str">
        <f t="shared" ref="PI14:PI16" si="627">MONTYPEICON1(PH14)</f>
        <v>#NAME?</v>
      </c>
      <c r="PJ14" s="1312" t="str">
        <f t="shared" ref="PJ14:PJ16" si="628">MONTYPEICON2(PH14)</f>
        <v>#NAME?</v>
      </c>
      <c r="PK14" s="1318" t="s">
        <v>5146</v>
      </c>
      <c r="PO14" s="349"/>
      <c r="PP14" s="349"/>
      <c r="PS14" s="1193" t="str">
        <f t="shared" si="461"/>
        <v>#NAME?</v>
      </c>
      <c r="PT14" s="1145" t="s">
        <v>3424</v>
      </c>
      <c r="PU14" s="1462" t="str">
        <f t="shared" si="462"/>
        <v>#NAME?</v>
      </c>
      <c r="PV14" s="1463" t="str">
        <f t="shared" si="463"/>
        <v>#NAME?</v>
      </c>
      <c r="PW14" s="1464" t="s">
        <v>5021</v>
      </c>
      <c r="PY14" s="1012" t="str">
        <f t="shared" si="524"/>
        <v>#NAME?</v>
      </c>
      <c r="PZ14" s="1098" t="s">
        <v>474</v>
      </c>
      <c r="QA14" s="1418" t="str">
        <f t="shared" si="525"/>
        <v>#NAME?</v>
      </c>
      <c r="QB14" s="1419" t="str">
        <f t="shared" si="526"/>
        <v>#NAME?</v>
      </c>
      <c r="QC14" s="1423" t="s">
        <v>5023</v>
      </c>
      <c r="QD14" s="442"/>
      <c r="QE14" s="1159" t="str">
        <f t="shared" si="353"/>
        <v>#NAME?</v>
      </c>
      <c r="QF14" s="1453" t="s">
        <v>3603</v>
      </c>
      <c r="QG14" s="1497" t="str">
        <f t="shared" si="354"/>
        <v>#NAME?</v>
      </c>
      <c r="QH14" s="1498" t="str">
        <f t="shared" si="355"/>
        <v>#NAME?</v>
      </c>
      <c r="QI14" s="1504" t="s">
        <v>5031</v>
      </c>
      <c r="QJ14" s="442"/>
      <c r="QK14" s="442"/>
      <c r="QL14" s="442"/>
      <c r="QM14" s="108"/>
      <c r="QN14" s="108"/>
      <c r="QO14" s="442"/>
      <c r="QP14" s="442"/>
      <c r="QQ14" s="442"/>
      <c r="QR14" s="442"/>
      <c r="QS14" s="108"/>
      <c r="QT14" s="108"/>
      <c r="QU14" s="442"/>
      <c r="QW14" s="442"/>
      <c r="QX14" s="442"/>
      <c r="QY14" s="108"/>
      <c r="QZ14" s="108"/>
      <c r="RA14" s="442"/>
      <c r="RB14" s="442"/>
      <c r="RC14" s="442"/>
      <c r="RD14" s="442"/>
      <c r="RE14" s="108"/>
      <c r="RF14" s="108"/>
      <c r="RG14" s="442"/>
      <c r="RH14" s="442"/>
      <c r="RI14" s="442"/>
      <c r="RJ14" s="442"/>
      <c r="RK14" s="108"/>
      <c r="RL14" s="108"/>
      <c r="RM14" s="442"/>
      <c r="RN14" s="442"/>
      <c r="RO14" s="1375"/>
      <c r="RP14" s="1323" t="s">
        <v>5206</v>
      </c>
      <c r="RQ14" s="12"/>
      <c r="RR14" s="962"/>
      <c r="RS14" s="1557" t="s">
        <v>4608</v>
      </c>
      <c r="RT14" s="442"/>
      <c r="RU14" s="1068" t="str">
        <f t="shared" si="566"/>
        <v>#NAME?</v>
      </c>
      <c r="RV14" s="1076" t="s">
        <v>653</v>
      </c>
      <c r="RW14" s="1358" t="str">
        <f t="shared" si="567"/>
        <v>#NAME?</v>
      </c>
      <c r="RX14" s="1359" t="str">
        <f t="shared" si="568"/>
        <v>#NAME?</v>
      </c>
      <c r="RY14" s="1368" t="s">
        <v>5112</v>
      </c>
      <c r="RZ14" s="442"/>
      <c r="SA14" s="1068" t="str">
        <f t="shared" si="569"/>
        <v>#NAME?</v>
      </c>
      <c r="SB14" s="1076" t="s">
        <v>1125</v>
      </c>
      <c r="SC14" s="1358" t="str">
        <f t="shared" si="570"/>
        <v>#NAME?</v>
      </c>
      <c r="SD14" s="1359" t="str">
        <f t="shared" si="571"/>
        <v>#NAME?</v>
      </c>
      <c r="SE14" s="1368" t="s">
        <v>5113</v>
      </c>
      <c r="SG14" s="983" t="str">
        <f t="shared" ref="SG14:SG16" si="629">MONICON21(SH14)</f>
        <v>#NAME?</v>
      </c>
      <c r="SH14" s="1301" t="s">
        <v>2661</v>
      </c>
      <c r="SI14" s="1311" t="str">
        <f t="shared" ref="SI14:SI16" si="630">MONTYPEICON1(SH14)</f>
        <v>#NAME?</v>
      </c>
      <c r="SJ14" s="1312" t="str">
        <f t="shared" ref="SJ14:SJ16" si="631">MONTYPEICON2(SH14)</f>
        <v>#NAME?</v>
      </c>
      <c r="SK14" s="1318" t="s">
        <v>5025</v>
      </c>
      <c r="SL14" s="442"/>
      <c r="SM14" s="1286"/>
      <c r="SN14" s="1259" t="s">
        <v>5276</v>
      </c>
      <c r="SO14" s="12"/>
      <c r="SP14" s="962"/>
      <c r="SQ14" s="1004" t="s">
        <v>4608</v>
      </c>
      <c r="SS14" s="1266"/>
      <c r="ST14" s="1259" t="s">
        <v>5277</v>
      </c>
      <c r="SU14" s="12"/>
      <c r="SV14" s="962"/>
      <c r="SW14" s="1004" t="s">
        <v>4608</v>
      </c>
      <c r="SY14" s="1068" t="str">
        <f t="shared" si="572"/>
        <v>#NAME?</v>
      </c>
      <c r="SZ14" s="1076" t="s">
        <v>2133</v>
      </c>
      <c r="TA14" s="1358" t="str">
        <f t="shared" si="573"/>
        <v>#NAME?</v>
      </c>
      <c r="TB14" s="1359" t="str">
        <f t="shared" si="574"/>
        <v>#NAME?</v>
      </c>
      <c r="TC14" s="1368" t="s">
        <v>5033</v>
      </c>
      <c r="TE14" s="961" t="s">
        <v>5278</v>
      </c>
      <c r="TF14" s="12"/>
      <c r="TG14" s="12"/>
      <c r="TH14" s="12"/>
      <c r="TI14" s="48"/>
      <c r="TK14" s="983" t="str">
        <f t="shared" ref="TK14:TK16" si="632">MONICON21(TL14)</f>
        <v>#NAME?</v>
      </c>
      <c r="TL14" s="1301" t="s">
        <v>3139</v>
      </c>
      <c r="TM14" s="1311" t="str">
        <f t="shared" ref="TM14:TM16" si="633">MONTYPEICON1(TL14)</f>
        <v>#NAME?</v>
      </c>
      <c r="TN14" s="1312" t="str">
        <f t="shared" ref="TN14:TN16" si="634">MONTYPEICON2(TL14)</f>
        <v>#NAME?</v>
      </c>
      <c r="TO14" s="1318" t="s">
        <v>5026</v>
      </c>
      <c r="TQ14" s="983" t="str">
        <f t="shared" ref="TQ14:TQ16" si="635">MONICON21(TR14)</f>
        <v>#NAME?</v>
      </c>
      <c r="TR14" s="1301" t="s">
        <v>4077</v>
      </c>
      <c r="TS14" s="1311" t="str">
        <f t="shared" ref="TS14:TS16" si="636">MONTYPEICON1(TR14)</f>
        <v>#NAME?</v>
      </c>
      <c r="TT14" s="1312" t="str">
        <f t="shared" ref="TT14:TT16" si="637">MONTYPEICON2(TR14)</f>
        <v>#NAME?</v>
      </c>
      <c r="TU14" s="1318" t="s">
        <v>5026</v>
      </c>
      <c r="UI14" s="1033" t="str">
        <f t="shared" ref="UI14:UI15" si="638">MONICON21(UJ14)</f>
        <v>#NAME?</v>
      </c>
      <c r="UJ14" s="1301" t="s">
        <v>3886</v>
      </c>
      <c r="UK14" s="977" t="str">
        <f t="shared" ref="UK14:UK15" si="639">MONTYPEICON1(UJ14)</f>
        <v>#NAME?</v>
      </c>
      <c r="UL14" s="980" t="str">
        <f t="shared" ref="UL14:UL15" si="640">MONTYPEICON2(UJ14)</f>
        <v>#NAME?</v>
      </c>
      <c r="UM14" s="1303" t="s">
        <v>5279</v>
      </c>
      <c r="UO14" s="1293"/>
      <c r="UP14" s="1291" t="s">
        <v>5280</v>
      </c>
      <c r="UQ14" s="12"/>
      <c r="UR14" s="962"/>
      <c r="US14" s="1292" t="s">
        <v>4608</v>
      </c>
      <c r="UU14" s="1293"/>
      <c r="UV14" s="1291" t="s">
        <v>5281</v>
      </c>
      <c r="UW14" s="12"/>
      <c r="UX14" s="962"/>
      <c r="UY14" s="1292" t="s">
        <v>4608</v>
      </c>
      <c r="VA14" s="1387" t="str">
        <f t="shared" si="575"/>
        <v>#NAME?</v>
      </c>
      <c r="VB14" s="1388" t="s">
        <v>347</v>
      </c>
      <c r="VC14" s="1389" t="str">
        <f t="shared" si="576"/>
        <v>#NAME?</v>
      </c>
      <c r="VD14" s="1390" t="str">
        <f t="shared" si="577"/>
        <v>#NAME?</v>
      </c>
      <c r="VE14" s="1391" t="s">
        <v>5028</v>
      </c>
      <c r="VG14" s="1294"/>
      <c r="VH14" s="1291" t="s">
        <v>5282</v>
      </c>
      <c r="VI14" s="12"/>
      <c r="VJ14" s="962"/>
      <c r="VK14" s="1292" t="s">
        <v>4608</v>
      </c>
      <c r="VL14" s="442"/>
      <c r="VM14" s="1033" t="str">
        <f t="shared" ref="VM14:VM15" si="641">MONICON21(VN14)</f>
        <v>#NAME?</v>
      </c>
      <c r="VN14" s="1301" t="s">
        <v>3715</v>
      </c>
      <c r="VO14" s="977" t="str">
        <f t="shared" ref="VO14:VO15" si="642">MONTYPEICON1(VN14)</f>
        <v>#NAME?</v>
      </c>
      <c r="VP14" s="980" t="str">
        <f t="shared" ref="VP14:VP15" si="643">MONTYPEICON2(VN14)</f>
        <v>#NAME?</v>
      </c>
      <c r="VQ14" s="1302" t="s">
        <v>5283</v>
      </c>
      <c r="VR14" s="442"/>
      <c r="VS14" s="1383" t="str">
        <f t="shared" si="578"/>
        <v>#NAME?</v>
      </c>
      <c r="VT14" s="1508" t="s">
        <v>3700</v>
      </c>
      <c r="VU14" s="1383" t="str">
        <f t="shared" si="579"/>
        <v>#NAME?</v>
      </c>
      <c r="VV14" s="1385" t="str">
        <f t="shared" si="580"/>
        <v>#NAME?</v>
      </c>
      <c r="VW14" s="1509" t="s">
        <v>5135</v>
      </c>
      <c r="VX14" s="442"/>
      <c r="VY14" s="1387" t="str">
        <f t="shared" si="581"/>
        <v>#NAME?</v>
      </c>
      <c r="VZ14" s="1388" t="s">
        <v>2678</v>
      </c>
      <c r="WA14" s="1387" t="str">
        <f t="shared" si="582"/>
        <v>#NAME?</v>
      </c>
      <c r="WB14" s="1392" t="str">
        <f t="shared" si="583"/>
        <v>#NAME?</v>
      </c>
      <c r="WC14" s="1391" t="s">
        <v>5034</v>
      </c>
      <c r="WD14" s="442"/>
      <c r="WE14" s="977" t="str">
        <f t="shared" ref="WE14:WE16" si="644">MONICON21(WF14)</f>
        <v>#NAME?</v>
      </c>
      <c r="WF14" s="1301" t="s">
        <v>535</v>
      </c>
      <c r="WG14" s="977" t="str">
        <f t="shared" ref="WG14:WG16" si="645">MONTYPEICON1(WF14)</f>
        <v>#NAME?</v>
      </c>
      <c r="WH14" s="980" t="str">
        <f t="shared" ref="WH14:WH16" si="646">MONTYPEICON2(WF14)</f>
        <v>#NAME?</v>
      </c>
      <c r="WI14" s="1303" t="s">
        <v>5034</v>
      </c>
      <c r="WJ14" s="442"/>
      <c r="WK14" s="442"/>
      <c r="WL14" s="442"/>
      <c r="WM14" s="442"/>
      <c r="WN14" s="442"/>
      <c r="WO14" s="442"/>
      <c r="WP14" s="442"/>
      <c r="WQ14" s="1294"/>
      <c r="WR14" s="1291" t="s">
        <v>5284</v>
      </c>
      <c r="WS14" s="12"/>
      <c r="WT14" s="962"/>
      <c r="WU14" s="1292" t="s">
        <v>4608</v>
      </c>
      <c r="WV14" s="442"/>
      <c r="WW14" s="1387" t="str">
        <f t="shared" si="584"/>
        <v>#NAME?</v>
      </c>
      <c r="WX14" s="1388" t="s">
        <v>3856</v>
      </c>
      <c r="WY14" s="1387" t="str">
        <f t="shared" si="585"/>
        <v>#NAME?</v>
      </c>
      <c r="WZ14" s="1392" t="str">
        <f t="shared" si="586"/>
        <v>#NAME?</v>
      </c>
      <c r="XA14" s="1391" t="s">
        <v>5019</v>
      </c>
      <c r="XB14" s="442"/>
      <c r="XC14" s="977" t="str">
        <f t="shared" ref="XC14:XC19" si="647">MONICON21(XD14)</f>
        <v>#NAME?</v>
      </c>
      <c r="XD14" s="1301" t="s">
        <v>2251</v>
      </c>
      <c r="XE14" s="977" t="str">
        <f t="shared" ref="XE14:XE19" si="648">MONTYPEICON1(XD14)</f>
        <v>#NAME?</v>
      </c>
      <c r="XF14" s="980" t="str">
        <f t="shared" ref="XF14:XF19" si="649">MONTYPEICON2(XD14)</f>
        <v>#NAME?</v>
      </c>
      <c r="XG14" s="1321" t="s">
        <v>5004</v>
      </c>
      <c r="XH14" s="442"/>
      <c r="XI14" s="1013" t="str">
        <f t="shared" si="530"/>
        <v>#NAME?</v>
      </c>
      <c r="XJ14" s="1098" t="s">
        <v>474</v>
      </c>
      <c r="XK14" s="1013" t="str">
        <f t="shared" si="531"/>
        <v>#NAME?</v>
      </c>
      <c r="XL14" s="1015" t="str">
        <f t="shared" si="532"/>
        <v>#NAME?</v>
      </c>
      <c r="XM14" s="1434" t="s">
        <v>5017</v>
      </c>
      <c r="XN14" s="442"/>
      <c r="XO14" s="108"/>
      <c r="XP14" s="442"/>
      <c r="XQ14" s="442"/>
      <c r="XR14" s="442"/>
      <c r="XS14" s="442"/>
      <c r="XT14" s="442"/>
      <c r="XU14" s="1051" t="str">
        <f t="shared" si="536"/>
        <v>#NAME?</v>
      </c>
      <c r="XV14" s="1127" t="s">
        <v>1057</v>
      </c>
      <c r="XW14" s="1051" t="str">
        <f t="shared" si="537"/>
        <v>#NAME?</v>
      </c>
      <c r="XX14" s="1131" t="str">
        <f t="shared" si="538"/>
        <v>#NAME?</v>
      </c>
      <c r="XY14" s="1095" t="s">
        <v>5032</v>
      </c>
      <c r="XZ14" s="442"/>
      <c r="YF14" s="442"/>
      <c r="YG14" s="1387" t="str">
        <f t="shared" si="587"/>
        <v>#NAME?</v>
      </c>
      <c r="YH14" s="1388" t="s">
        <v>1073</v>
      </c>
      <c r="YI14" s="1387" t="str">
        <f t="shared" si="588"/>
        <v>#NAME?</v>
      </c>
      <c r="YJ14" s="1392" t="str">
        <f t="shared" si="589"/>
        <v>#NAME?</v>
      </c>
      <c r="YK14" s="1391" t="s">
        <v>5032</v>
      </c>
      <c r="YL14" s="442"/>
      <c r="YM14" s="1294"/>
      <c r="YN14" s="1291" t="s">
        <v>5285</v>
      </c>
      <c r="YO14" s="12"/>
      <c r="YP14" s="962"/>
      <c r="YQ14" s="1292" t="s">
        <v>4608</v>
      </c>
      <c r="YR14" s="442"/>
      <c r="YS14" s="1289" t="s">
        <v>5286</v>
      </c>
      <c r="YT14" s="12"/>
      <c r="YU14" s="12"/>
      <c r="YV14" s="12"/>
      <c r="YW14" s="48"/>
      <c r="YX14" s="442"/>
      <c r="YY14" s="977" t="str">
        <f t="shared" ref="YY14:YY16" si="650">MONICON21(YZ14)</f>
        <v>#NAME?</v>
      </c>
      <c r="YZ14" s="1301" t="s">
        <v>1292</v>
      </c>
      <c r="ZA14" s="977" t="str">
        <f t="shared" ref="ZA14:ZA16" si="651">MONTYPEICON1(YZ14)</f>
        <v>#NAME?</v>
      </c>
      <c r="ZB14" s="980" t="str">
        <f t="shared" ref="ZB14:ZB16" si="652">MONTYPEICON2(YZ14)</f>
        <v>#NAME?</v>
      </c>
      <c r="ZC14" s="1303" t="s">
        <v>5019</v>
      </c>
      <c r="ZD14" s="442"/>
      <c r="ZG14" s="349"/>
      <c r="ZH14" s="349"/>
      <c r="ZJ14" s="442"/>
      <c r="ZK14" s="977" t="str">
        <f t="shared" ref="ZK14:ZK16" si="653">MONICON21(ZL14)</f>
        <v>#NAME?</v>
      </c>
      <c r="ZL14" s="1301" t="s">
        <v>989</v>
      </c>
      <c r="ZM14" s="977" t="str">
        <f t="shared" ref="ZM14:ZM16" si="654">MONTYPEICON1(ZL14)</f>
        <v>#NAME?</v>
      </c>
      <c r="ZN14" s="980" t="str">
        <f t="shared" ref="ZN14:ZN16" si="655">MONTYPEICON2(ZL14)</f>
        <v>#NAME?</v>
      </c>
      <c r="ZO14" s="1303" t="s">
        <v>5025</v>
      </c>
      <c r="ZP14" s="442"/>
      <c r="ZQ14" s="1387" t="str">
        <f t="shared" si="590"/>
        <v>#NAME?</v>
      </c>
      <c r="ZR14" s="1388" t="s">
        <v>3460</v>
      </c>
      <c r="ZS14" s="1387" t="str">
        <f t="shared" si="591"/>
        <v>#NAME?</v>
      </c>
      <c r="ZT14" s="1392" t="str">
        <f t="shared" si="592"/>
        <v>#NAME?</v>
      </c>
      <c r="ZU14" s="1391" t="s">
        <v>5092</v>
      </c>
      <c r="ZV14" s="442"/>
      <c r="ZW14" s="1294"/>
      <c r="ZX14" s="1291" t="s">
        <v>5287</v>
      </c>
      <c r="ZY14" s="12"/>
      <c r="ZZ14" s="962"/>
      <c r="AAA14" s="1292" t="s">
        <v>4608</v>
      </c>
      <c r="AAB14" s="442"/>
      <c r="AAC14" s="1294"/>
      <c r="AAD14" s="1291" t="s">
        <v>5288</v>
      </c>
      <c r="AAE14" s="12"/>
      <c r="AAF14" s="962"/>
      <c r="AAG14" s="1292" t="s">
        <v>4608</v>
      </c>
      <c r="AAH14" s="442"/>
      <c r="AAI14" s="1297" t="s">
        <v>5289</v>
      </c>
      <c r="AAJ14" s="976"/>
      <c r="AAK14" s="976"/>
      <c r="AAL14" s="976"/>
      <c r="AAM14" s="976"/>
      <c r="AAN14" s="976"/>
      <c r="AAO14" s="976"/>
      <c r="AAP14" s="976"/>
      <c r="AAQ14" s="976"/>
      <c r="AAR14" s="976"/>
      <c r="AAS14" s="954"/>
      <c r="AAU14" s="1033" t="str">
        <f t="shared" si="539"/>
        <v>#NAME?</v>
      </c>
      <c r="AAV14" s="1098" t="s">
        <v>2065</v>
      </c>
      <c r="AAW14" s="1013" t="str">
        <f t="shared" si="540"/>
        <v>#NAME?</v>
      </c>
      <c r="AAX14" s="1015" t="str">
        <f t="shared" si="541"/>
        <v>#NAME?</v>
      </c>
      <c r="AAY14" s="1423" t="s">
        <v>5117</v>
      </c>
      <c r="ABA14" s="1033" t="str">
        <f t="shared" si="542"/>
        <v>#NAME?</v>
      </c>
      <c r="ABB14" s="1098" t="s">
        <v>4217</v>
      </c>
      <c r="ABC14" s="1013" t="str">
        <f t="shared" si="543"/>
        <v>#NAME?</v>
      </c>
      <c r="ABD14" s="1015" t="str">
        <f t="shared" si="544"/>
        <v>#NAME?</v>
      </c>
      <c r="ABE14" s="1423" t="s">
        <v>5227</v>
      </c>
      <c r="ABG14" s="1033" t="str">
        <f t="shared" si="545"/>
        <v>#NAME?</v>
      </c>
      <c r="ABH14" s="1098" t="s">
        <v>4183</v>
      </c>
      <c r="ABI14" s="1013" t="str">
        <f t="shared" si="546"/>
        <v>#NAME?</v>
      </c>
      <c r="ABJ14" s="1015" t="str">
        <f t="shared" si="547"/>
        <v>#NAME?</v>
      </c>
      <c r="ABK14" s="1423" t="s">
        <v>5228</v>
      </c>
      <c r="ABM14" s="1033" t="str">
        <f t="shared" si="548"/>
        <v>#NAME?</v>
      </c>
      <c r="ABN14" s="1098" t="s">
        <v>4238</v>
      </c>
      <c r="ABO14" s="1013" t="str">
        <f t="shared" si="549"/>
        <v>#NAME?</v>
      </c>
      <c r="ABP14" s="1015" t="str">
        <f t="shared" si="550"/>
        <v>#NAME?</v>
      </c>
      <c r="ABQ14" s="1423" t="s">
        <v>5229</v>
      </c>
      <c r="ABS14" s="1033" t="str">
        <f t="shared" si="551"/>
        <v>#NAME?</v>
      </c>
      <c r="ABT14" s="1098" t="s">
        <v>4049</v>
      </c>
      <c r="ABU14" s="1013" t="str">
        <f t="shared" si="552"/>
        <v>#NAME?</v>
      </c>
      <c r="ABV14" s="1015" t="str">
        <f t="shared" si="553"/>
        <v>#NAME?</v>
      </c>
      <c r="ABW14" s="1423" t="s">
        <v>5063</v>
      </c>
      <c r="ABY14" s="1511" t="s">
        <v>5177</v>
      </c>
      <c r="ACC14" s="1154"/>
      <c r="ACE14" s="1155"/>
      <c r="ACI14" s="1154"/>
      <c r="ACJ14" s="996"/>
    </row>
    <row r="15" ht="15.75" customHeight="1">
      <c r="A15" s="1230"/>
      <c r="D15" s="1478"/>
      <c r="E15" s="1230"/>
      <c r="F15" s="1238"/>
      <c r="G15" s="1254"/>
      <c r="H15" s="1230"/>
      <c r="I15" s="1289" t="s">
        <v>4513</v>
      </c>
      <c r="J15" s="12"/>
      <c r="K15" s="12"/>
      <c r="L15" s="12"/>
      <c r="M15" s="48"/>
      <c r="N15" s="1230"/>
      <c r="O15" s="1523" t="s">
        <v>5290</v>
      </c>
      <c r="P15" s="12"/>
      <c r="Q15" s="12"/>
      <c r="R15" s="12"/>
      <c r="S15" s="48"/>
      <c r="T15" s="1230"/>
      <c r="U15" s="442"/>
      <c r="V15" s="442"/>
      <c r="W15" s="442"/>
      <c r="X15" s="442"/>
      <c r="Y15" s="108"/>
      <c r="Z15" s="1230"/>
      <c r="AA15" s="1033" t="str">
        <f t="shared" ref="AA15:AA16" si="656">MONICON21(AB15)</f>
        <v>#NAME?</v>
      </c>
      <c r="AB15" s="1301" t="s">
        <v>2551</v>
      </c>
      <c r="AC15" s="977" t="str">
        <f t="shared" ref="AC15:AC16" si="657">MONTYPEICON1(AB15)</f>
        <v>#NAME?</v>
      </c>
      <c r="AD15" s="980" t="str">
        <f t="shared" ref="AD15:AD16" si="658">MONTYPEICON2(AB15)</f>
        <v>#NAME?</v>
      </c>
      <c r="AE15" s="1302" t="s">
        <v>5130</v>
      </c>
      <c r="AF15" s="1230"/>
      <c r="AG15" s="349"/>
      <c r="AL15" s="1230"/>
      <c r="AM15" s="961" t="s">
        <v>5171</v>
      </c>
      <c r="AN15" s="12"/>
      <c r="AO15" s="12"/>
      <c r="AP15" s="12"/>
      <c r="AQ15" s="48"/>
      <c r="AR15" s="1230"/>
      <c r="AS15" s="108"/>
      <c r="AT15" s="442"/>
      <c r="AU15" s="442"/>
      <c r="AV15" s="442"/>
      <c r="AW15" s="108"/>
      <c r="AX15" s="1230"/>
      <c r="AY15" s="108"/>
      <c r="AZ15" s="442"/>
      <c r="BA15" s="442"/>
      <c r="BB15" s="442"/>
      <c r="BC15" s="108"/>
      <c r="BD15" s="1230"/>
      <c r="BE15" s="1255"/>
      <c r="BF15" s="1259" t="s">
        <v>5291</v>
      </c>
      <c r="BG15" s="12"/>
      <c r="BH15" s="962"/>
      <c r="BI15" s="1258" t="s">
        <v>4608</v>
      </c>
      <c r="BJ15" s="1230"/>
      <c r="BK15" s="1071" t="str">
        <f t="shared" si="593"/>
        <v>#NAME?</v>
      </c>
      <c r="BL15" s="1337" t="s">
        <v>695</v>
      </c>
      <c r="BM15" s="1071" t="str">
        <f t="shared" si="594"/>
        <v>#NAME?</v>
      </c>
      <c r="BN15" s="1073" t="str">
        <f t="shared" si="595"/>
        <v>#NAME?</v>
      </c>
      <c r="BO15" s="1338" t="s">
        <v>4993</v>
      </c>
      <c r="BP15" s="442"/>
      <c r="BV15" s="442"/>
      <c r="BW15" s="1071" t="str">
        <f t="shared" si="596"/>
        <v>#NAME?</v>
      </c>
      <c r="BX15" s="1337" t="s">
        <v>3350</v>
      </c>
      <c r="BY15" s="1071" t="str">
        <f t="shared" si="597"/>
        <v>#NAME?</v>
      </c>
      <c r="BZ15" s="1073" t="str">
        <f t="shared" si="598"/>
        <v>#NAME?</v>
      </c>
      <c r="CA15" s="1338" t="s">
        <v>5040</v>
      </c>
      <c r="CB15" s="1230"/>
      <c r="CC15" s="1080" t="str">
        <f t="shared" si="404"/>
        <v>#NAME?</v>
      </c>
      <c r="CD15" s="1558" t="s">
        <v>3736</v>
      </c>
      <c r="CE15" s="1373" t="str">
        <f t="shared" si="405"/>
        <v>#NAME?</v>
      </c>
      <c r="CF15" s="1374" t="str">
        <f t="shared" si="406"/>
        <v>#NAME?</v>
      </c>
      <c r="CG15" s="1559" t="s">
        <v>4998</v>
      </c>
      <c r="CH15" s="442"/>
      <c r="CI15" s="1012" t="str">
        <f t="shared" ref="CI15:CI17" si="659">MONICON21(CJ15)</f>
        <v>#NAME?</v>
      </c>
      <c r="CJ15" s="1304" t="s">
        <v>322</v>
      </c>
      <c r="CK15" s="977" t="str">
        <f t="shared" ref="CK15:CK17" si="660">MONTYPEICON1(CJ15)</f>
        <v>#NAME?</v>
      </c>
      <c r="CL15" s="980" t="str">
        <f t="shared" ref="CL15:CL17" si="661">MONTYPEICON2(CJ15)</f>
        <v>#NAME?</v>
      </c>
      <c r="CM15" s="1305" t="s">
        <v>4996</v>
      </c>
      <c r="CN15" s="442"/>
      <c r="CO15" s="65"/>
      <c r="CP15" s="65"/>
      <c r="CQ15" s="65"/>
      <c r="CR15" s="65"/>
      <c r="CS15" s="65"/>
      <c r="CT15" s="442"/>
      <c r="CU15" s="442"/>
      <c r="CV15" s="442"/>
      <c r="CW15" s="442"/>
      <c r="CX15" s="442"/>
      <c r="CY15" s="442"/>
      <c r="CZ15" s="442"/>
      <c r="DA15" s="1193" t="str">
        <f t="shared" si="599"/>
        <v>#NAME?</v>
      </c>
      <c r="DB15" s="1335" t="s">
        <v>2477</v>
      </c>
      <c r="DC15" s="1146" t="str">
        <f t="shared" si="600"/>
        <v>#NAME?</v>
      </c>
      <c r="DD15" s="1148" t="str">
        <f t="shared" si="601"/>
        <v>#NAME?</v>
      </c>
      <c r="DE15" s="1336" t="s">
        <v>4999</v>
      </c>
      <c r="DF15" s="442"/>
      <c r="DG15" s="1193" t="str">
        <f t="shared" si="602"/>
        <v>#NAME?</v>
      </c>
      <c r="DH15" s="1335" t="s">
        <v>1993</v>
      </c>
      <c r="DI15" s="1146" t="str">
        <f t="shared" si="603"/>
        <v>#NAME?</v>
      </c>
      <c r="DJ15" s="1148" t="str">
        <f t="shared" si="604"/>
        <v>#NAME?</v>
      </c>
      <c r="DK15" s="1336" t="s">
        <v>4999</v>
      </c>
      <c r="DL15" s="442"/>
      <c r="DM15" s="1272" t="s">
        <v>4787</v>
      </c>
      <c r="DN15" s="12"/>
      <c r="DO15" s="12"/>
      <c r="DP15" s="12"/>
      <c r="DQ15" s="48"/>
      <c r="DR15" s="442"/>
      <c r="DS15" s="973" t="s">
        <v>5292</v>
      </c>
      <c r="DT15" s="976"/>
      <c r="DU15" s="976"/>
      <c r="DV15" s="976"/>
      <c r="DW15" s="954"/>
      <c r="DX15" s="442"/>
      <c r="DY15" s="1012" t="str">
        <f t="shared" ref="DY15:DY17" si="662">MONICON21(DZ15)</f>
        <v>#NAME?</v>
      </c>
      <c r="DZ15" s="1301" t="s">
        <v>1007</v>
      </c>
      <c r="EA15" s="977" t="str">
        <f t="shared" ref="EA15:EA17" si="663">MONTYPEICON1(DZ15)</f>
        <v>#NAME?</v>
      </c>
      <c r="EB15" s="980" t="str">
        <f t="shared" ref="EB15:EB17" si="664">MONTYPEICON2(DZ15)</f>
        <v>#NAME?</v>
      </c>
      <c r="EC15" s="1303" t="s">
        <v>5000</v>
      </c>
      <c r="ED15" s="442"/>
      <c r="EE15" s="1027" t="str">
        <f t="shared" si="491"/>
        <v>#NAME?</v>
      </c>
      <c r="EF15" s="1560" t="s">
        <v>3620</v>
      </c>
      <c r="EG15" s="1561" t="str">
        <f t="shared" si="492"/>
        <v>#NAME?</v>
      </c>
      <c r="EH15" s="1562" t="str">
        <f t="shared" si="493"/>
        <v>#NAME?</v>
      </c>
      <c r="EI15" s="1563" t="s">
        <v>5001</v>
      </c>
      <c r="EJ15" s="1230"/>
      <c r="EK15" s="985" t="str">
        <f>MONICON21(EL15)</f>
        <v>#NAME?</v>
      </c>
      <c r="EL15" s="41" t="s">
        <v>1924</v>
      </c>
      <c r="EM15" s="1092" t="str">
        <f>MONTYPEICON1(EL15)</f>
        <v>#NAME?</v>
      </c>
      <c r="EN15" s="987" t="str">
        <f>MONTYPEICON2(EL15)</f>
        <v>#NAME?</v>
      </c>
      <c r="EO15" s="1091" t="s">
        <v>5045</v>
      </c>
      <c r="EP15" s="1230"/>
      <c r="EQ15" s="1286"/>
      <c r="ER15" s="1259" t="s">
        <v>5293</v>
      </c>
      <c r="ES15" s="12"/>
      <c r="ET15" s="962"/>
      <c r="EU15" s="1258" t="s">
        <v>4608</v>
      </c>
      <c r="EV15" s="1230"/>
      <c r="EW15" s="985" t="str">
        <f>MONICON21(EX15)</f>
        <v>#NAME?</v>
      </c>
      <c r="EX15" s="1052" t="s">
        <v>767</v>
      </c>
      <c r="EY15" s="1092" t="str">
        <f>MONTYPEICON1(EX15)</f>
        <v>#NAME?</v>
      </c>
      <c r="EZ15" s="987" t="str">
        <f>MONTYPEICON2(EX15)</f>
        <v>#NAME?</v>
      </c>
      <c r="FA15" s="1091" t="s">
        <v>5078</v>
      </c>
      <c r="FB15" s="442"/>
      <c r="FC15" s="1266"/>
      <c r="FD15" s="1259" t="s">
        <v>5294</v>
      </c>
      <c r="FE15" s="12"/>
      <c r="FF15" s="962"/>
      <c r="FG15" s="1258" t="s">
        <v>4608</v>
      </c>
      <c r="FH15" s="442"/>
      <c r="FI15" s="1266"/>
      <c r="FJ15" s="1259" t="s">
        <v>5295</v>
      </c>
      <c r="FK15" s="12"/>
      <c r="FL15" s="962"/>
      <c r="FM15" s="1258" t="s">
        <v>4608</v>
      </c>
      <c r="FN15" s="442"/>
      <c r="FO15" s="1094" t="str">
        <f t="shared" si="554"/>
        <v>#NAME?</v>
      </c>
      <c r="FP15" s="499" t="s">
        <v>4037</v>
      </c>
      <c r="FQ15" s="1051" t="str">
        <f t="shared" si="555"/>
        <v>#NAME?</v>
      </c>
      <c r="FR15" s="1131" t="str">
        <f t="shared" si="556"/>
        <v>#NAME?</v>
      </c>
      <c r="FS15" s="1095" t="s">
        <v>5078</v>
      </c>
      <c r="FT15" s="442"/>
      <c r="FU15" s="1266"/>
      <c r="FV15" s="1259" t="s">
        <v>5296</v>
      </c>
      <c r="FW15" s="12"/>
      <c r="FX15" s="962"/>
      <c r="FY15" s="1258" t="s">
        <v>4608</v>
      </c>
      <c r="FZ15" s="442"/>
      <c r="GC15" s="349"/>
      <c r="GD15" s="349"/>
      <c r="GF15" s="442"/>
      <c r="GG15" s="997"/>
      <c r="GH15" s="1026"/>
      <c r="GI15" s="1026"/>
      <c r="GJ15" s="1192"/>
      <c r="GK15" s="1446"/>
      <c r="GL15" s="1230"/>
      <c r="GM15" s="1266"/>
      <c r="GN15" s="1259" t="s">
        <v>5297</v>
      </c>
      <c r="GO15" s="12"/>
      <c r="GP15" s="962"/>
      <c r="GQ15" s="1258" t="s">
        <v>4608</v>
      </c>
      <c r="GR15" s="65"/>
      <c r="GS15" s="985" t="str">
        <f>MONICON21(GT15)</f>
        <v>#NAME?</v>
      </c>
      <c r="GT15" s="1310" t="s">
        <v>2418</v>
      </c>
      <c r="GU15" s="1092" t="str">
        <f>MONTYPEICON1(GT15)</f>
        <v>#NAME?</v>
      </c>
      <c r="GV15" s="987" t="str">
        <f>MONTYPEICON2(GT15)</f>
        <v>#NAME?</v>
      </c>
      <c r="GW15" s="1309" t="s">
        <v>5004</v>
      </c>
      <c r="GX15" s="65"/>
      <c r="GY15" s="1556" t="s">
        <v>5298</v>
      </c>
      <c r="GZ15" s="959"/>
      <c r="HA15" s="959"/>
      <c r="HB15" s="959"/>
      <c r="HC15" s="960"/>
      <c r="HD15" s="1230"/>
      <c r="HE15" s="1012" t="str">
        <f t="shared" ref="HE15:HE16" si="665">MONICON21(HF15)</f>
        <v>#NAME?</v>
      </c>
      <c r="HF15" s="1157" t="s">
        <v>3148</v>
      </c>
      <c r="HG15" s="977" t="str">
        <f t="shared" ref="HG15:HG16" si="666">MONTYPEICON1(HF15)</f>
        <v>#NAME?</v>
      </c>
      <c r="HH15" s="980" t="str">
        <f t="shared" ref="HH15:HH16" si="667">MONTYPEICON2(HF15)</f>
        <v>#NAME?</v>
      </c>
      <c r="HI15" s="1303" t="s">
        <v>5034</v>
      </c>
      <c r="HJ15" s="1230"/>
      <c r="HK15" s="1027" t="str">
        <f t="shared" si="605"/>
        <v>#NAME?</v>
      </c>
      <c r="HL15" s="1461" t="s">
        <v>2065</v>
      </c>
      <c r="HM15" s="1360" t="str">
        <f t="shared" si="606"/>
        <v>#NAME?</v>
      </c>
      <c r="HN15" s="1361" t="str">
        <f t="shared" si="607"/>
        <v>#NAME?</v>
      </c>
      <c r="HO15" s="1343" t="s">
        <v>5007</v>
      </c>
      <c r="HP15" s="65"/>
      <c r="HQ15" s="983" t="str">
        <f t="shared" ref="HQ15:HQ17" si="668">MONICON21(HR15)</f>
        <v>#NAME?</v>
      </c>
      <c r="HR15" s="1304" t="s">
        <v>4111</v>
      </c>
      <c r="HS15" s="977" t="str">
        <f t="shared" ref="HS15:HS17" si="669">MONTYPEICON1(HR15)</f>
        <v>#NAME?</v>
      </c>
      <c r="HT15" s="980" t="str">
        <f t="shared" ref="HT15:HT17" si="670">MONTYPEICON2(HR15)</f>
        <v>#NAME?</v>
      </c>
      <c r="HU15" s="1303" t="s">
        <v>5006</v>
      </c>
      <c r="HV15" s="65"/>
      <c r="HW15" s="985" t="str">
        <f>MONICON21(HX15)</f>
        <v>#NAME?</v>
      </c>
      <c r="HX15" s="1308" t="s">
        <v>2703</v>
      </c>
      <c r="HY15" s="1092" t="str">
        <f>MONTYPEICON1(HX15)</f>
        <v>#NAME?</v>
      </c>
      <c r="HZ15" s="987" t="str">
        <f>MONTYPEICON2(HX15)</f>
        <v>#NAME?</v>
      </c>
      <c r="IA15" s="1309" t="s">
        <v>5007</v>
      </c>
      <c r="IB15" s="65"/>
      <c r="IC15" s="1068" t="str">
        <f t="shared" si="608"/>
        <v>#NAME?</v>
      </c>
      <c r="ID15" s="1356" t="s">
        <v>3453</v>
      </c>
      <c r="IE15" s="1358" t="str">
        <f t="shared" si="609"/>
        <v>#NAME?</v>
      </c>
      <c r="IF15" s="1359" t="str">
        <f t="shared" si="610"/>
        <v>#NAME?</v>
      </c>
      <c r="IG15" s="1338" t="s">
        <v>5007</v>
      </c>
      <c r="II15" s="1027" t="str">
        <f t="shared" si="500"/>
        <v>#NAME?</v>
      </c>
      <c r="IJ15" s="1340" t="s">
        <v>3911</v>
      </c>
      <c r="IK15" s="1360" t="str">
        <f t="shared" si="501"/>
        <v>#NAME?</v>
      </c>
      <c r="IL15" s="1361" t="str">
        <f t="shared" si="502"/>
        <v>#NAME?</v>
      </c>
      <c r="IM15" s="1343" t="s">
        <v>5008</v>
      </c>
      <c r="IO15" s="1260"/>
      <c r="IP15" s="1261" t="s">
        <v>4892</v>
      </c>
      <c r="IQ15" s="959"/>
      <c r="IR15" s="957"/>
      <c r="IS15" s="1262" t="s">
        <v>4608</v>
      </c>
      <c r="IT15" s="1230"/>
      <c r="IU15" s="963" t="s">
        <v>4787</v>
      </c>
      <c r="IV15" s="12"/>
      <c r="IW15" s="12"/>
      <c r="IX15" s="12"/>
      <c r="IY15" s="48"/>
      <c r="IZ15" s="1230"/>
      <c r="JA15" s="1068" t="str">
        <f t="shared" si="611"/>
        <v>#NAME?</v>
      </c>
      <c r="JB15" s="1356" t="s">
        <v>759</v>
      </c>
      <c r="JC15" s="1358" t="str">
        <f t="shared" si="612"/>
        <v>#NAME?</v>
      </c>
      <c r="JD15" s="1359" t="str">
        <f t="shared" si="613"/>
        <v>#NAME?</v>
      </c>
      <c r="JE15" s="1338" t="s">
        <v>5084</v>
      </c>
      <c r="JF15" s="1230"/>
      <c r="JI15" s="349"/>
      <c r="JJ15" s="349"/>
      <c r="JK15" s="349"/>
      <c r="JL15" s="1230"/>
      <c r="JM15" s="1096" t="str">
        <f t="shared" si="557"/>
        <v>#NAME?</v>
      </c>
      <c r="JN15" s="89" t="s">
        <v>3911</v>
      </c>
      <c r="JO15" s="1417" t="str">
        <f t="shared" si="558"/>
        <v>#NAME?</v>
      </c>
      <c r="JP15" s="62" t="str">
        <f t="shared" si="559"/>
        <v>#NAME?</v>
      </c>
      <c r="JQ15" s="1108" t="s">
        <v>5158</v>
      </c>
      <c r="JR15" s="1230"/>
      <c r="JS15" s="1068" t="str">
        <f t="shared" si="614"/>
        <v>#NAME?</v>
      </c>
      <c r="JT15" s="1078" t="s">
        <v>1436</v>
      </c>
      <c r="JU15" s="1358" t="str">
        <f t="shared" si="615"/>
        <v>#NAME?</v>
      </c>
      <c r="JV15" s="1359" t="str">
        <f t="shared" si="616"/>
        <v>#NAME?</v>
      </c>
      <c r="JW15" s="1093" t="s">
        <v>5084</v>
      </c>
      <c r="JY15" s="1027" t="str">
        <f t="shared" si="506"/>
        <v>#NAME?</v>
      </c>
      <c r="JZ15" s="1365" t="s">
        <v>2661</v>
      </c>
      <c r="KA15" s="1360" t="str">
        <f t="shared" si="507"/>
        <v>#NAME?</v>
      </c>
      <c r="KB15" s="1361" t="str">
        <f t="shared" si="508"/>
        <v>#NAME?</v>
      </c>
      <c r="KC15" s="1343" t="s">
        <v>5010</v>
      </c>
      <c r="KG15" s="349"/>
      <c r="KH15" s="349"/>
      <c r="KJ15" s="65"/>
      <c r="KK15" s="1351" t="str">
        <f t="shared" si="617"/>
        <v>#NAME?</v>
      </c>
      <c r="KL15" s="1564" t="s">
        <v>4091</v>
      </c>
      <c r="KM15" s="1353" t="str">
        <f t="shared" si="618"/>
        <v>#NAME?</v>
      </c>
      <c r="KN15" s="1354" t="str">
        <f t="shared" si="619"/>
        <v>#NAME?</v>
      </c>
      <c r="KO15" s="1354" t="s">
        <v>5009</v>
      </c>
      <c r="KQ15" s="1094" t="str">
        <f t="shared" si="560"/>
        <v>#NAME?</v>
      </c>
      <c r="KR15" s="1050" t="s">
        <v>3485</v>
      </c>
      <c r="KS15" s="1051" t="str">
        <f t="shared" si="561"/>
        <v>#NAME?</v>
      </c>
      <c r="KT15" s="1131" t="str">
        <f t="shared" si="562"/>
        <v>#NAME?</v>
      </c>
      <c r="KU15" s="1131" t="s">
        <v>5086</v>
      </c>
      <c r="KW15" s="1459"/>
      <c r="KX15" s="1274" t="s">
        <v>5016</v>
      </c>
      <c r="KY15" s="959"/>
      <c r="KZ15" s="957"/>
      <c r="LA15" s="1282" t="s">
        <v>4608</v>
      </c>
      <c r="LB15" s="442"/>
      <c r="LC15" s="1068" t="str">
        <f t="shared" si="620"/>
        <v>#NAME?</v>
      </c>
      <c r="LD15" s="1076" t="s">
        <v>37</v>
      </c>
      <c r="LE15" s="1358" t="str">
        <f t="shared" si="621"/>
        <v>#NAME?</v>
      </c>
      <c r="LF15" s="1359" t="str">
        <f t="shared" si="622"/>
        <v>#NAME?</v>
      </c>
      <c r="LG15" s="1368" t="s">
        <v>5013</v>
      </c>
      <c r="LI15" s="983" t="str">
        <f t="shared" ref="LI15:LI17" si="671">MONICON21(LJ15)</f>
        <v>#NAME?</v>
      </c>
      <c r="LJ15" s="1301" t="s">
        <v>2567</v>
      </c>
      <c r="LK15" s="1311" t="str">
        <f t="shared" ref="LK15:LK17" si="672">MONTYPEICON1(LJ15)</f>
        <v>#NAME?</v>
      </c>
      <c r="LL15" s="1312" t="str">
        <f t="shared" ref="LL15:LL17" si="673">MONTYPEICON2(LJ15)</f>
        <v>#NAME?</v>
      </c>
      <c r="LM15" s="1318" t="s">
        <v>5013</v>
      </c>
      <c r="LO15" s="1056" t="str">
        <f t="shared" si="623"/>
        <v>#NAME?</v>
      </c>
      <c r="LP15" s="1123" t="s">
        <v>2125</v>
      </c>
      <c r="LQ15" s="1021" t="str">
        <f t="shared" si="624"/>
        <v>#NAME?</v>
      </c>
      <c r="LR15" s="1024" t="str">
        <f t="shared" si="625"/>
        <v>#NAME?</v>
      </c>
      <c r="LS15" s="1501" t="s">
        <v>5106</v>
      </c>
      <c r="LU15" s="985" t="str">
        <f>MONICON21(LV15)</f>
        <v>#NAME?</v>
      </c>
      <c r="LV15" s="1565" t="s">
        <v>1352</v>
      </c>
      <c r="LW15" s="1092" t="str">
        <f>MONTYPEICON1(LV15)</f>
        <v>#NAME?</v>
      </c>
      <c r="LX15" s="987" t="str">
        <f>MONTYPEICON2(LV15)</f>
        <v>#NAME?</v>
      </c>
      <c r="LY15" s="1566" t="s">
        <v>5164</v>
      </c>
      <c r="MA15" s="1280"/>
      <c r="MB15" s="1281" t="s">
        <v>4908</v>
      </c>
      <c r="MC15" s="12"/>
      <c r="MD15" s="962"/>
      <c r="ME15" s="1282" t="s">
        <v>4608</v>
      </c>
      <c r="MI15" s="349"/>
      <c r="MJ15" s="349"/>
      <c r="MM15" s="961" t="s">
        <v>4912</v>
      </c>
      <c r="MN15" s="12"/>
      <c r="MO15" s="48"/>
      <c r="MP15" s="349"/>
      <c r="MQ15" s="442"/>
      <c r="MS15" s="983" t="str">
        <f t="shared" ref="MS15:MS17" si="674">MONICON21(MT15)</f>
        <v>#NAME?</v>
      </c>
      <c r="MT15" s="1301" t="s">
        <v>535</v>
      </c>
      <c r="MU15" s="977" t="str">
        <f t="shared" ref="MU15:MU17" si="675">MONTYPEICON1(MT15)</f>
        <v>#NAME?</v>
      </c>
      <c r="MV15" s="980" t="str">
        <f t="shared" ref="MV15:MV17" si="676">MONTYPEICON2(MT15)</f>
        <v>#NAME?</v>
      </c>
      <c r="MW15" s="1318" t="s">
        <v>5164</v>
      </c>
      <c r="MX15" s="442"/>
      <c r="MY15" s="1351" t="str">
        <f t="shared" si="512"/>
        <v>#NAME?</v>
      </c>
      <c r="MZ15" s="1372" t="s">
        <v>4167</v>
      </c>
      <c r="NA15" s="1353" t="str">
        <f t="shared" si="513"/>
        <v>#NAME?</v>
      </c>
      <c r="NB15" s="1354" t="str">
        <f t="shared" si="514"/>
        <v>#NAME?</v>
      </c>
      <c r="NC15" s="1367" t="s">
        <v>5017</v>
      </c>
      <c r="ND15" s="442"/>
      <c r="NE15" s="442"/>
      <c r="NF15" s="442"/>
      <c r="NG15" s="108"/>
      <c r="NH15" s="108"/>
      <c r="NI15" s="442"/>
      <c r="NJ15" s="65"/>
      <c r="NK15" s="1096" t="str">
        <f t="shared" si="563"/>
        <v>#NAME?</v>
      </c>
      <c r="NL15" s="1098" t="s">
        <v>713</v>
      </c>
      <c r="NM15" s="1417" t="str">
        <f t="shared" si="564"/>
        <v>#NAME?</v>
      </c>
      <c r="NN15" s="62" t="str">
        <f t="shared" si="565"/>
        <v>#NAME?</v>
      </c>
      <c r="NO15" s="1423" t="s">
        <v>5051</v>
      </c>
      <c r="NP15" s="442"/>
      <c r="NQ15" s="983" t="str">
        <f t="shared" ref="NQ15:NQ16" si="677">MONICON21(NR15)</f>
        <v>#NAME?</v>
      </c>
      <c r="NR15" s="1301" t="s">
        <v>1303</v>
      </c>
      <c r="NS15" s="1313" t="str">
        <f t="shared" ref="NS15:NS16" si="678">MONTYPEICON1(NR15)</f>
        <v>#NAME?</v>
      </c>
      <c r="NT15" s="1314" t="str">
        <f t="shared" ref="NT15:NT16" si="679">MONTYPEICON2(NR15)</f>
        <v>#NAME?</v>
      </c>
      <c r="NU15" s="1318" t="s">
        <v>5018</v>
      </c>
      <c r="NV15" s="442"/>
      <c r="NY15" s="108"/>
      <c r="NZ15" s="349"/>
      <c r="OB15" s="442"/>
      <c r="OC15" s="983" t="str">
        <f t="shared" ref="OC15:OC18" si="680">MONICON21(OD15)</f>
        <v>#NAME?</v>
      </c>
      <c r="OD15" s="1301" t="s">
        <v>1057</v>
      </c>
      <c r="OE15" s="1311" t="str">
        <f t="shared" ref="OE15:OE18" si="681">MONTYPEICON1(OD15)</f>
        <v>#NAME?</v>
      </c>
      <c r="OF15" s="1312" t="str">
        <f t="shared" ref="OF15:OF18" si="682">MONTYPEICON2(OD15)</f>
        <v>#NAME?</v>
      </c>
      <c r="OG15" s="1318" t="s">
        <v>5069</v>
      </c>
      <c r="OH15" s="442"/>
      <c r="OK15" s="349"/>
      <c r="OL15" s="349"/>
      <c r="ON15" s="442"/>
      <c r="OO15" s="1193" t="str">
        <f t="shared" si="518"/>
        <v>#NAME?</v>
      </c>
      <c r="OP15" s="1145" t="s">
        <v>37</v>
      </c>
      <c r="OQ15" s="1462" t="str">
        <f t="shared" si="519"/>
        <v>#NAME?</v>
      </c>
      <c r="OR15" s="1463" t="str">
        <f t="shared" si="520"/>
        <v>#NAME?</v>
      </c>
      <c r="OS15" s="1464" t="s">
        <v>5022</v>
      </c>
      <c r="OU15" s="1193" t="str">
        <f t="shared" si="521"/>
        <v>#NAME?</v>
      </c>
      <c r="OV15" s="1145" t="s">
        <v>793</v>
      </c>
      <c r="OW15" s="1462" t="str">
        <f t="shared" si="522"/>
        <v>#NAME?</v>
      </c>
      <c r="OX15" s="1463" t="str">
        <f t="shared" si="523"/>
        <v>#NAME?</v>
      </c>
      <c r="OY15" s="1464" t="s">
        <v>5022</v>
      </c>
      <c r="PC15" s="349"/>
      <c r="PD15" s="349"/>
      <c r="PF15" s="442"/>
      <c r="PG15" s="1068" t="str">
        <f t="shared" si="626"/>
        <v>#NAME?</v>
      </c>
      <c r="PH15" s="1076" t="s">
        <v>3460</v>
      </c>
      <c r="PI15" s="1358" t="str">
        <f t="shared" si="627"/>
        <v>#NAME?</v>
      </c>
      <c r="PJ15" s="1359" t="str">
        <f t="shared" si="628"/>
        <v>#NAME?</v>
      </c>
      <c r="PK15" s="1368" t="s">
        <v>5146</v>
      </c>
      <c r="PM15" s="961" t="s">
        <v>4765</v>
      </c>
      <c r="PN15" s="12"/>
      <c r="PO15" s="12"/>
      <c r="PP15" s="12"/>
      <c r="PQ15" s="48"/>
      <c r="PU15" s="349"/>
      <c r="PV15" s="349"/>
      <c r="PY15" s="1027" t="str">
        <f t="shared" si="524"/>
        <v>#NAME?</v>
      </c>
      <c r="PZ15" s="1340" t="s">
        <v>3911</v>
      </c>
      <c r="QA15" s="1360" t="str">
        <f t="shared" si="525"/>
        <v>#NAME?</v>
      </c>
      <c r="QB15" s="1361" t="str">
        <f t="shared" si="526"/>
        <v>#NAME?</v>
      </c>
      <c r="QC15" s="1376" t="s">
        <v>5023</v>
      </c>
      <c r="QD15" s="442"/>
      <c r="QE15" s="1268"/>
      <c r="QF15" s="1269" t="s">
        <v>4926</v>
      </c>
      <c r="QG15" s="12"/>
      <c r="QH15" s="962"/>
      <c r="QI15" s="1270" t="s">
        <v>4608</v>
      </c>
      <c r="QJ15" s="442"/>
      <c r="QK15" s="1344"/>
      <c r="QL15" s="1323" t="s">
        <v>5299</v>
      </c>
      <c r="QM15" s="12"/>
      <c r="QN15" s="962"/>
      <c r="QO15" s="1345" t="s">
        <v>4608</v>
      </c>
      <c r="QP15" s="442"/>
      <c r="QQ15" s="1344"/>
      <c r="QR15" s="1323" t="s">
        <v>5300</v>
      </c>
      <c r="QS15" s="12"/>
      <c r="QT15" s="962"/>
      <c r="QU15" s="1345" t="s">
        <v>4608</v>
      </c>
      <c r="QV15" s="442"/>
      <c r="QW15" s="1375"/>
      <c r="QX15" s="1323" t="s">
        <v>5301</v>
      </c>
      <c r="QY15" s="12"/>
      <c r="QZ15" s="962"/>
      <c r="RA15" s="1345" t="s">
        <v>4608</v>
      </c>
      <c r="RB15" s="442"/>
      <c r="RC15" s="1375"/>
      <c r="RD15" s="1323" t="s">
        <v>5302</v>
      </c>
      <c r="RE15" s="12"/>
      <c r="RF15" s="962"/>
      <c r="RG15" s="1345" t="s">
        <v>4608</v>
      </c>
      <c r="RH15" s="442"/>
      <c r="RI15" s="1375"/>
      <c r="RJ15" s="1323" t="s">
        <v>5303</v>
      </c>
      <c r="RK15" s="12"/>
      <c r="RL15" s="962"/>
      <c r="RM15" s="1345" t="s">
        <v>4608</v>
      </c>
      <c r="RN15" s="442"/>
      <c r="RO15" s="983" t="str">
        <f t="shared" ref="RO15:RO17" si="683">MONICON21(RP15)</f>
        <v>#NAME?</v>
      </c>
      <c r="RP15" s="1301" t="s">
        <v>687</v>
      </c>
      <c r="RQ15" s="977" t="str">
        <f t="shared" ref="RQ15:RQ17" si="684">MONTYPEICON1(RP15)</f>
        <v>#NAME?</v>
      </c>
      <c r="RR15" s="980" t="str">
        <f t="shared" ref="RR15:RR17" si="685">MONTYPEICON2(RP15)</f>
        <v>#NAME?</v>
      </c>
      <c r="RS15" s="1318" t="s">
        <v>5113</v>
      </c>
      <c r="RT15" s="442"/>
      <c r="RU15" s="1094" t="str">
        <f t="shared" si="566"/>
        <v>#NAME?</v>
      </c>
      <c r="RV15" s="1127" t="s">
        <v>2210</v>
      </c>
      <c r="RW15" s="1420" t="str">
        <f t="shared" si="567"/>
        <v>#NAME?</v>
      </c>
      <c r="RX15" s="475" t="str">
        <f t="shared" si="568"/>
        <v>#NAME?</v>
      </c>
      <c r="RY15" s="1422" t="s">
        <v>5112</v>
      </c>
      <c r="RZ15" s="442"/>
      <c r="SA15" s="1096" t="str">
        <f t="shared" si="569"/>
        <v>#NAME?</v>
      </c>
      <c r="SB15" s="1098" t="s">
        <v>1115</v>
      </c>
      <c r="SC15" s="1417" t="str">
        <f t="shared" si="570"/>
        <v>#NAME?</v>
      </c>
      <c r="SD15" s="62" t="str">
        <f t="shared" si="571"/>
        <v>#NAME?</v>
      </c>
      <c r="SE15" s="1423" t="s">
        <v>5113</v>
      </c>
      <c r="SG15" s="1068" t="str">
        <f t="shared" si="629"/>
        <v>#NAME?</v>
      </c>
      <c r="SH15" s="1076" t="s">
        <v>2849</v>
      </c>
      <c r="SI15" s="1358" t="str">
        <f t="shared" si="630"/>
        <v>#NAME?</v>
      </c>
      <c r="SJ15" s="1359" t="str">
        <f t="shared" si="631"/>
        <v>#NAME?</v>
      </c>
      <c r="SK15" s="1368" t="s">
        <v>5025</v>
      </c>
      <c r="SL15" s="442"/>
      <c r="SM15" s="1012" t="str">
        <f t="shared" ref="SM15:SM16" si="686">MONICON21(SN15)</f>
        <v>#NAME?</v>
      </c>
      <c r="SN15" s="1301" t="s">
        <v>1107</v>
      </c>
      <c r="SO15" s="1311" t="str">
        <f t="shared" ref="SO15:SO16" si="687">MONTYPEICON1(SN15)</f>
        <v>#NAME?</v>
      </c>
      <c r="SP15" s="1312" t="str">
        <f t="shared" ref="SP15:SP16" si="688">MONTYPEICON2(SN15)</f>
        <v>#NAME?</v>
      </c>
      <c r="SQ15" s="1318" t="s">
        <v>5024</v>
      </c>
      <c r="SS15" s="983" t="str">
        <f t="shared" ref="SS15:SS18" si="689">MONICON21(ST15)</f>
        <v>#NAME?</v>
      </c>
      <c r="ST15" s="1301" t="s">
        <v>615</v>
      </c>
      <c r="SU15" s="1311" t="str">
        <f t="shared" ref="SU15:SU18" si="690">MONTYPEICON1(ST15)</f>
        <v>#NAME?</v>
      </c>
      <c r="SV15" s="1312" t="str">
        <f t="shared" ref="SV15:SV18" si="691">MONTYPEICON2(ST15)</f>
        <v>#NAME?</v>
      </c>
      <c r="SW15" s="1318" t="s">
        <v>5113</v>
      </c>
      <c r="SY15" s="1094" t="str">
        <f t="shared" si="572"/>
        <v>#NAME?</v>
      </c>
      <c r="SZ15" s="1127" t="s">
        <v>1376</v>
      </c>
      <c r="TA15" s="1420" t="str">
        <f t="shared" si="573"/>
        <v>#NAME?</v>
      </c>
      <c r="TB15" s="475" t="str">
        <f t="shared" si="574"/>
        <v>#NAME?</v>
      </c>
      <c r="TC15" s="1422" t="s">
        <v>5033</v>
      </c>
      <c r="TE15" s="65"/>
      <c r="TF15" s="65"/>
      <c r="TG15" s="349"/>
      <c r="TH15" s="349"/>
      <c r="TK15" s="1068" t="str">
        <f t="shared" si="632"/>
        <v>#NAME?</v>
      </c>
      <c r="TL15" s="1076" t="s">
        <v>4238</v>
      </c>
      <c r="TM15" s="1358" t="str">
        <f t="shared" si="633"/>
        <v>#NAME?</v>
      </c>
      <c r="TN15" s="1359" t="str">
        <f t="shared" si="634"/>
        <v>#NAME?</v>
      </c>
      <c r="TO15" s="1368" t="s">
        <v>5026</v>
      </c>
      <c r="TQ15" s="1068" t="str">
        <f t="shared" si="635"/>
        <v>#NAME?</v>
      </c>
      <c r="TR15" s="1076" t="s">
        <v>4063</v>
      </c>
      <c r="TS15" s="1358" t="str">
        <f t="shared" si="636"/>
        <v>#NAME?</v>
      </c>
      <c r="TT15" s="1359" t="str">
        <f t="shared" si="637"/>
        <v>#NAME?</v>
      </c>
      <c r="TU15" s="1368" t="s">
        <v>5026</v>
      </c>
      <c r="TW15" s="961" t="s">
        <v>5304</v>
      </c>
      <c r="TX15" s="12"/>
      <c r="TY15" s="12"/>
      <c r="TZ15" s="48"/>
      <c r="UC15" s="1567"/>
      <c r="UD15" s="1323" t="s">
        <v>5305</v>
      </c>
      <c r="UE15" s="12"/>
      <c r="UF15" s="962"/>
      <c r="UG15" s="1324" t="s">
        <v>4608</v>
      </c>
      <c r="UI15" s="1383" t="str">
        <f t="shared" si="638"/>
        <v>#NAME?</v>
      </c>
      <c r="UJ15" s="1384" t="s">
        <v>3715</v>
      </c>
      <c r="UK15" s="1383" t="str">
        <f t="shared" si="639"/>
        <v>#NAME?</v>
      </c>
      <c r="UL15" s="1385" t="str">
        <f t="shared" si="640"/>
        <v>#NAME?</v>
      </c>
      <c r="UM15" s="1386" t="s">
        <v>5279</v>
      </c>
      <c r="UO15" s="1033" t="str">
        <f t="shared" ref="UO15:UO16" si="692">MONICON21(UP15)</f>
        <v>#NAME?</v>
      </c>
      <c r="UP15" s="1301" t="s">
        <v>896</v>
      </c>
      <c r="UQ15" s="977" t="str">
        <f t="shared" ref="UQ15:UQ16" si="693">MONTYPEICON1(UP15)</f>
        <v>#NAME?</v>
      </c>
      <c r="UR15" s="980" t="str">
        <f t="shared" ref="UR15:UR16" si="694">MONTYPEICON2(UP15)</f>
        <v>#NAME?</v>
      </c>
      <c r="US15" s="1303" t="s">
        <v>5279</v>
      </c>
      <c r="UU15" s="1033" t="str">
        <f t="shared" ref="UU15:UU16" si="695">MONICON21(UV15)</f>
        <v>#NAME?</v>
      </c>
      <c r="UV15" s="1301" t="s">
        <v>3691</v>
      </c>
      <c r="UW15" s="977" t="str">
        <f t="shared" ref="UW15:UW16" si="696">MONTYPEICON1(UV15)</f>
        <v>#NAME?</v>
      </c>
      <c r="UX15" s="980" t="str">
        <f t="shared" ref="UX15:UX16" si="697">MONTYPEICON2(UV15)</f>
        <v>#NAME?</v>
      </c>
      <c r="UY15" s="1302" t="s">
        <v>5130</v>
      </c>
      <c r="VA15" s="1051" t="str">
        <f t="shared" si="575"/>
        <v>#NAME?</v>
      </c>
      <c r="VB15" s="1127" t="s">
        <v>364</v>
      </c>
      <c r="VC15" s="1130" t="str">
        <f t="shared" si="576"/>
        <v>#NAME?</v>
      </c>
      <c r="VD15" s="1433" t="str">
        <f t="shared" si="577"/>
        <v>#NAME?</v>
      </c>
      <c r="VE15" s="1095" t="s">
        <v>5028</v>
      </c>
      <c r="VG15" s="1033" t="str">
        <f t="shared" ref="VG15:VG16" si="698">MONICON21(VH15)</f>
        <v>#NAME?</v>
      </c>
      <c r="VH15" s="1301" t="s">
        <v>1637</v>
      </c>
      <c r="VI15" s="977" t="str">
        <f t="shared" ref="VI15:VI16" si="699">MONTYPEICON1(VH15)</f>
        <v>#NAME?</v>
      </c>
      <c r="VJ15" s="980" t="str">
        <f t="shared" ref="VJ15:VJ16" si="700">MONTYPEICON2(VH15)</f>
        <v>#NAME?</v>
      </c>
      <c r="VK15" s="1302" t="s">
        <v>5283</v>
      </c>
      <c r="VL15" s="442"/>
      <c r="VM15" s="1383" t="str">
        <f t="shared" si="641"/>
        <v>#NAME?</v>
      </c>
      <c r="VN15" s="1384" t="s">
        <v>383</v>
      </c>
      <c r="VO15" s="1383" t="str">
        <f t="shared" si="642"/>
        <v>#NAME?</v>
      </c>
      <c r="VP15" s="1385" t="str">
        <f t="shared" si="643"/>
        <v>#NAME?</v>
      </c>
      <c r="VQ15" s="1386" t="s">
        <v>5283</v>
      </c>
      <c r="VR15" s="442"/>
      <c r="VS15" s="1294"/>
      <c r="VT15" s="1291" t="s">
        <v>5306</v>
      </c>
      <c r="VU15" s="12"/>
      <c r="VV15" s="962"/>
      <c r="VW15" s="1292" t="s">
        <v>4608</v>
      </c>
      <c r="VX15" s="442"/>
      <c r="VY15" s="1051" t="str">
        <f t="shared" si="581"/>
        <v>#NAME?</v>
      </c>
      <c r="VZ15" s="1127" t="s">
        <v>2583</v>
      </c>
      <c r="WA15" s="1051" t="str">
        <f t="shared" si="582"/>
        <v>#NAME?</v>
      </c>
      <c r="WB15" s="1131" t="str">
        <f t="shared" si="583"/>
        <v>#NAME?</v>
      </c>
      <c r="WC15" s="1095" t="s">
        <v>5034</v>
      </c>
      <c r="WD15" s="442"/>
      <c r="WE15" s="1387" t="str">
        <f t="shared" si="644"/>
        <v>#NAME?</v>
      </c>
      <c r="WF15" s="1388" t="s">
        <v>4069</v>
      </c>
      <c r="WG15" s="1387" t="str">
        <f t="shared" si="645"/>
        <v>#NAME?</v>
      </c>
      <c r="WH15" s="1392" t="str">
        <f t="shared" si="646"/>
        <v>#NAME?</v>
      </c>
      <c r="WI15" s="1391" t="s">
        <v>5034</v>
      </c>
      <c r="WJ15" s="442"/>
      <c r="WK15" s="1289" t="s">
        <v>4524</v>
      </c>
      <c r="WL15" s="12"/>
      <c r="WM15" s="12"/>
      <c r="WN15" s="12"/>
      <c r="WO15" s="48"/>
      <c r="WP15" s="442"/>
      <c r="WQ15" s="977" t="str">
        <f t="shared" ref="WQ15:WQ17" si="701">MONICON21(WR15)</f>
        <v>#NAME?</v>
      </c>
      <c r="WR15" s="1301" t="s">
        <v>2251</v>
      </c>
      <c r="WS15" s="977" t="str">
        <f t="shared" ref="WS15:WS17" si="702">MONTYPEICON1(WR15)</f>
        <v>#NAME?</v>
      </c>
      <c r="WT15" s="980" t="str">
        <f t="shared" ref="WT15:WT17" si="703">MONTYPEICON2(WR15)</f>
        <v>#NAME?</v>
      </c>
      <c r="WU15" s="1303" t="s">
        <v>5015</v>
      </c>
      <c r="WV15" s="442"/>
      <c r="WW15" s="1051" t="str">
        <f t="shared" si="584"/>
        <v>#NAME?</v>
      </c>
      <c r="WX15" s="1127" t="s">
        <v>1849</v>
      </c>
      <c r="WY15" s="1051" t="str">
        <f t="shared" si="585"/>
        <v>#NAME?</v>
      </c>
      <c r="WZ15" s="1131" t="str">
        <f t="shared" si="586"/>
        <v>#NAME?</v>
      </c>
      <c r="XA15" s="1095" t="s">
        <v>5019</v>
      </c>
      <c r="XB15" s="442"/>
      <c r="XC15" s="1387" t="str">
        <f t="shared" si="647"/>
        <v>#NAME?</v>
      </c>
      <c r="XD15" s="1388" t="s">
        <v>3324</v>
      </c>
      <c r="XE15" s="1387" t="str">
        <f t="shared" si="648"/>
        <v>#NAME?</v>
      </c>
      <c r="XF15" s="1392" t="str">
        <f t="shared" si="649"/>
        <v>#NAME?</v>
      </c>
      <c r="XG15" s="1394" t="s">
        <v>5004</v>
      </c>
      <c r="XH15" s="442"/>
      <c r="XI15" s="1387" t="str">
        <f t="shared" si="530"/>
        <v>#NAME?</v>
      </c>
      <c r="XJ15" s="1388" t="s">
        <v>518</v>
      </c>
      <c r="XK15" s="1387" t="str">
        <f t="shared" si="531"/>
        <v>#NAME?</v>
      </c>
      <c r="XL15" s="1392" t="str">
        <f t="shared" si="532"/>
        <v>#NAME?</v>
      </c>
      <c r="XM15" s="1394" t="s">
        <v>5017</v>
      </c>
      <c r="XN15" s="442"/>
      <c r="XO15" s="1294"/>
      <c r="XP15" s="1291" t="s">
        <v>5307</v>
      </c>
      <c r="XQ15" s="12"/>
      <c r="XR15" s="962"/>
      <c r="XS15" s="1292" t="s">
        <v>4608</v>
      </c>
      <c r="XT15" s="442"/>
      <c r="XU15" s="108"/>
      <c r="XV15" s="442"/>
      <c r="XW15" s="442"/>
      <c r="XX15" s="442"/>
      <c r="XY15" s="442"/>
      <c r="XZ15" s="442"/>
      <c r="YA15" s="963" t="s">
        <v>5308</v>
      </c>
      <c r="YB15" s="12"/>
      <c r="YC15" s="12"/>
      <c r="YD15" s="12"/>
      <c r="YE15" s="48"/>
      <c r="YF15" s="442"/>
      <c r="YG15" s="1051" t="str">
        <f t="shared" si="587"/>
        <v>#NAME?</v>
      </c>
      <c r="YH15" s="1127" t="s">
        <v>4233</v>
      </c>
      <c r="YI15" s="1051" t="str">
        <f t="shared" si="588"/>
        <v>#NAME?</v>
      </c>
      <c r="YJ15" s="1131" t="str">
        <f t="shared" si="589"/>
        <v>#NAME?</v>
      </c>
      <c r="YK15" s="1095" t="s">
        <v>5032</v>
      </c>
      <c r="YL15" s="442"/>
      <c r="YM15" s="977" t="str">
        <f t="shared" ref="YM15:YM17" si="704">MONICON21(YN15)</f>
        <v>#NAME?</v>
      </c>
      <c r="YN15" s="1301" t="s">
        <v>930</v>
      </c>
      <c r="YO15" s="977" t="str">
        <f t="shared" ref="YO15:YO17" si="705">MONTYPEICON1(YN15)</f>
        <v>#NAME?</v>
      </c>
      <c r="YP15" s="980" t="str">
        <f t="shared" ref="YP15:YP17" si="706">MONTYPEICON2(YN15)</f>
        <v>#NAME?</v>
      </c>
      <c r="YQ15" s="1303" t="s">
        <v>5031</v>
      </c>
      <c r="YR15" s="442"/>
      <c r="YU15" s="349"/>
      <c r="YV15" s="349"/>
      <c r="YX15" s="442"/>
      <c r="YY15" s="1387" t="str">
        <f t="shared" si="650"/>
        <v>#NAME?</v>
      </c>
      <c r="YZ15" s="1388" t="s">
        <v>4257</v>
      </c>
      <c r="ZA15" s="1387" t="str">
        <f t="shared" si="651"/>
        <v>#NAME?</v>
      </c>
      <c r="ZB15" s="1392" t="str">
        <f t="shared" si="652"/>
        <v>#NAME?</v>
      </c>
      <c r="ZC15" s="1391" t="s">
        <v>5019</v>
      </c>
      <c r="ZD15" s="442"/>
      <c r="ZE15" s="1289" t="s">
        <v>5309</v>
      </c>
      <c r="ZF15" s="12"/>
      <c r="ZG15" s="12"/>
      <c r="ZH15" s="12"/>
      <c r="ZI15" s="48"/>
      <c r="ZJ15" s="442"/>
      <c r="ZK15" s="1387" t="str">
        <f t="shared" si="653"/>
        <v>#NAME?</v>
      </c>
      <c r="ZL15" s="1388" t="s">
        <v>4111</v>
      </c>
      <c r="ZM15" s="1387" t="str">
        <f t="shared" si="654"/>
        <v>#NAME?</v>
      </c>
      <c r="ZN15" s="1392" t="str">
        <f t="shared" si="655"/>
        <v>#NAME?</v>
      </c>
      <c r="ZO15" s="1391" t="s">
        <v>5025</v>
      </c>
      <c r="ZP15" s="442"/>
      <c r="ZQ15" s="1013" t="str">
        <f t="shared" si="590"/>
        <v>#NAME?</v>
      </c>
      <c r="ZR15" s="1435" t="s">
        <v>2192</v>
      </c>
      <c r="ZS15" s="1013" t="str">
        <f t="shared" si="591"/>
        <v>#NAME?</v>
      </c>
      <c r="ZT15" s="1015" t="str">
        <f t="shared" si="592"/>
        <v>#NAME?</v>
      </c>
      <c r="ZU15" s="1436" t="s">
        <v>5092</v>
      </c>
      <c r="ZV15" s="442"/>
      <c r="ZW15" s="977" t="str">
        <f t="shared" ref="ZW15:ZW17" si="707">MONICON21(ZX15)</f>
        <v>#NAME?</v>
      </c>
      <c r="ZX15" s="1301" t="s">
        <v>903</v>
      </c>
      <c r="ZY15" s="977" t="str">
        <f t="shared" ref="ZY15:ZY17" si="708">MONTYPEICON1(ZX15)</f>
        <v>#NAME?</v>
      </c>
      <c r="ZZ15" s="980" t="str">
        <f t="shared" ref="ZZ15:ZZ17" si="709">MONTYPEICON2(ZX15)</f>
        <v>#NAME?</v>
      </c>
      <c r="AAA15" s="1303" t="s">
        <v>5026</v>
      </c>
      <c r="AAB15" s="442"/>
      <c r="AAC15" s="977" t="str">
        <f t="shared" ref="AAC15:AAC17" si="710">MONICON21(AAD15)</f>
        <v>#NAME?</v>
      </c>
      <c r="AAD15" s="1301" t="s">
        <v>2752</v>
      </c>
      <c r="AAE15" s="977" t="str">
        <f t="shared" ref="AAE15:AAE17" si="711">MONTYPEICON1(AAD15)</f>
        <v>#NAME?</v>
      </c>
      <c r="AAF15" s="980" t="str">
        <f t="shared" ref="AAF15:AAF17" si="712">MONTYPEICON2(AAD15)</f>
        <v>#NAME?</v>
      </c>
      <c r="AAG15" s="1303" t="s">
        <v>5026</v>
      </c>
      <c r="AAH15" s="442"/>
      <c r="AAI15" s="1155"/>
      <c r="AAS15" s="1154"/>
      <c r="AAU15" s="1387" t="str">
        <f t="shared" si="539"/>
        <v>#NAME?</v>
      </c>
      <c r="AAV15" s="1388" t="s">
        <v>1284</v>
      </c>
      <c r="AAW15" s="1387" t="str">
        <f t="shared" si="540"/>
        <v>#NAME?</v>
      </c>
      <c r="AAX15" s="1392" t="str">
        <f t="shared" si="541"/>
        <v>#NAME?</v>
      </c>
      <c r="AAY15" s="1397" t="s">
        <v>5117</v>
      </c>
      <c r="ABA15" s="1387" t="str">
        <f t="shared" si="542"/>
        <v>#NAME?</v>
      </c>
      <c r="ABB15" s="1388" t="s">
        <v>2341</v>
      </c>
      <c r="ABC15" s="1387" t="str">
        <f t="shared" si="543"/>
        <v>#NAME?</v>
      </c>
      <c r="ABD15" s="1392" t="str">
        <f t="shared" si="544"/>
        <v>#NAME?</v>
      </c>
      <c r="ABE15" s="1397" t="s">
        <v>5227</v>
      </c>
      <c r="ABG15" s="1387" t="str">
        <f t="shared" si="545"/>
        <v>#NAME?</v>
      </c>
      <c r="ABH15" s="1388" t="s">
        <v>3628</v>
      </c>
      <c r="ABI15" s="1387" t="str">
        <f t="shared" si="546"/>
        <v>#NAME?</v>
      </c>
      <c r="ABJ15" s="1392" t="str">
        <f t="shared" si="547"/>
        <v>#NAME?</v>
      </c>
      <c r="ABK15" s="1397" t="s">
        <v>5228</v>
      </c>
      <c r="ABM15" s="1387" t="str">
        <f t="shared" si="548"/>
        <v>#NAME?</v>
      </c>
      <c r="ABN15" s="1388" t="s">
        <v>3485</v>
      </c>
      <c r="ABO15" s="1387" t="str">
        <f t="shared" si="549"/>
        <v>#NAME?</v>
      </c>
      <c r="ABP15" s="1392" t="str">
        <f t="shared" si="550"/>
        <v>#NAME?</v>
      </c>
      <c r="ABQ15" s="1397" t="s">
        <v>5229</v>
      </c>
      <c r="ABS15" s="1387" t="str">
        <f t="shared" si="551"/>
        <v>#NAME?</v>
      </c>
      <c r="ABT15" s="1388" t="s">
        <v>4031</v>
      </c>
      <c r="ABU15" s="1387" t="str">
        <f t="shared" si="552"/>
        <v>#NAME?</v>
      </c>
      <c r="ABV15" s="1392" t="str">
        <f t="shared" si="553"/>
        <v>#NAME?</v>
      </c>
      <c r="ABW15" s="1397" t="s">
        <v>5063</v>
      </c>
      <c r="ABY15" s="1437"/>
      <c r="ABZ15" s="1438" t="s">
        <v>5310</v>
      </c>
      <c r="ACA15" s="1439"/>
      <c r="ACB15" s="1440"/>
      <c r="ACC15" s="1441" t="s">
        <v>4608</v>
      </c>
      <c r="ACE15" s="1155"/>
      <c r="ACI15" s="1154"/>
      <c r="ACJ15" s="996"/>
    </row>
    <row r="16" ht="15.75" customHeight="1">
      <c r="A16" s="1230"/>
      <c r="B16" s="1403" t="str">
        <f>image("https://archives.bulbagarden.net/media/upload/0/03/Badge_Case_Maylene_IV.png", 3)</f>
        <v/>
      </c>
      <c r="C16" s="1404" t="s">
        <v>5311</v>
      </c>
      <c r="D16" s="1382" t="s">
        <v>4608</v>
      </c>
      <c r="E16" s="1230"/>
      <c r="F16" s="1238"/>
      <c r="G16" s="428"/>
      <c r="H16" s="1230"/>
      <c r="N16" s="1230"/>
      <c r="O16" s="442"/>
      <c r="P16" s="442"/>
      <c r="Q16" s="442"/>
      <c r="R16" s="442"/>
      <c r="S16" s="108"/>
      <c r="T16" s="1230"/>
      <c r="U16" s="1447"/>
      <c r="V16" s="1269" t="s">
        <v>5043</v>
      </c>
      <c r="W16" s="12"/>
      <c r="X16" s="962"/>
      <c r="Y16" s="1270" t="s">
        <v>4608</v>
      </c>
      <c r="Z16" s="1230"/>
      <c r="AA16" s="1146" t="str">
        <f t="shared" si="656"/>
        <v>#NAME?</v>
      </c>
      <c r="AB16" s="1145" t="s">
        <v>605</v>
      </c>
      <c r="AC16" s="1146" t="str">
        <f t="shared" si="657"/>
        <v>#NAME?</v>
      </c>
      <c r="AD16" s="1148" t="str">
        <f t="shared" si="658"/>
        <v>#NAME?</v>
      </c>
      <c r="AE16" s="1330" t="s">
        <v>5130</v>
      </c>
      <c r="AF16" s="1230"/>
      <c r="AG16" s="1263"/>
      <c r="AH16" s="1264" t="s">
        <v>5312</v>
      </c>
      <c r="AI16" s="12"/>
      <c r="AJ16" s="962"/>
      <c r="AK16" s="1265" t="s">
        <v>4608</v>
      </c>
      <c r="AL16" s="1230"/>
      <c r="AM16" s="442"/>
      <c r="AN16" s="442"/>
      <c r="AO16" s="442"/>
      <c r="AP16" s="442"/>
      <c r="AQ16" s="108"/>
      <c r="AR16" s="1230"/>
      <c r="AS16" s="1331"/>
      <c r="AT16" s="1307" t="s">
        <v>4908</v>
      </c>
      <c r="AU16" s="12"/>
      <c r="AV16" s="962"/>
      <c r="AW16" s="1282" t="s">
        <v>4608</v>
      </c>
      <c r="AX16" s="1230"/>
      <c r="AY16" s="1255"/>
      <c r="AZ16" s="1256" t="s">
        <v>5313</v>
      </c>
      <c r="BA16" s="1257" t="s">
        <v>4888</v>
      </c>
      <c r="BB16" s="962"/>
      <c r="BC16" s="1258" t="s">
        <v>4608</v>
      </c>
      <c r="BD16" s="1230"/>
      <c r="BE16" s="1033" t="str">
        <f t="shared" ref="BE16:BE17" si="713">MONICON21(BF16)</f>
        <v>#NAME?</v>
      </c>
      <c r="BF16" s="1304" t="s">
        <v>3902</v>
      </c>
      <c r="BG16" s="977" t="str">
        <f t="shared" ref="BG16:BG17" si="714">MONTYPEICON1(BF16)</f>
        <v>#NAME?</v>
      </c>
      <c r="BH16" s="980" t="str">
        <f t="shared" ref="BH16:BH17" si="715">MONTYPEICON2(BF16)</f>
        <v>#NAME?</v>
      </c>
      <c r="BI16" s="1305" t="s">
        <v>5314</v>
      </c>
      <c r="BJ16" s="1230"/>
      <c r="BK16" s="1051" t="str">
        <f t="shared" si="593"/>
        <v>#NAME?</v>
      </c>
      <c r="BL16" s="1410" t="s">
        <v>3167</v>
      </c>
      <c r="BM16" s="1051" t="str">
        <f t="shared" si="594"/>
        <v>#NAME?</v>
      </c>
      <c r="BN16" s="1131" t="str">
        <f t="shared" si="595"/>
        <v>#NAME?</v>
      </c>
      <c r="BO16" s="1411" t="s">
        <v>4993</v>
      </c>
      <c r="BP16" s="442"/>
      <c r="BQ16" s="961" t="s">
        <v>5315</v>
      </c>
      <c r="BR16" s="12"/>
      <c r="BS16" s="12"/>
      <c r="BT16" s="12"/>
      <c r="BU16" s="48"/>
      <c r="BV16" s="442"/>
      <c r="BW16" s="1051" t="str">
        <f t="shared" si="596"/>
        <v>#NAME?</v>
      </c>
      <c r="BX16" s="1410" t="s">
        <v>2116</v>
      </c>
      <c r="BY16" s="1051" t="str">
        <f t="shared" si="597"/>
        <v>#NAME?</v>
      </c>
      <c r="BZ16" s="1131" t="str">
        <f t="shared" si="598"/>
        <v>#NAME?</v>
      </c>
      <c r="CA16" s="1411" t="s">
        <v>5040</v>
      </c>
      <c r="CB16" s="1230"/>
      <c r="CC16" s="349"/>
      <c r="CH16" s="442"/>
      <c r="CI16" s="1568" t="str">
        <f t="shared" si="659"/>
        <v>#NAME?</v>
      </c>
      <c r="CJ16" s="1366" t="s">
        <v>3934</v>
      </c>
      <c r="CK16" s="1353" t="str">
        <f t="shared" si="660"/>
        <v>#NAME?</v>
      </c>
      <c r="CL16" s="1354" t="str">
        <f t="shared" si="661"/>
        <v>#NAME?</v>
      </c>
      <c r="CM16" s="1413" t="s">
        <v>4996</v>
      </c>
      <c r="CN16" s="442"/>
      <c r="CO16" s="1266"/>
      <c r="CP16" s="1259" t="s">
        <v>5316</v>
      </c>
      <c r="CQ16" s="12"/>
      <c r="CR16" s="962"/>
      <c r="CS16" s="1267" t="s">
        <v>4608</v>
      </c>
      <c r="CT16" s="442"/>
      <c r="CU16" s="1569"/>
      <c r="CV16" s="1333" t="s">
        <v>4982</v>
      </c>
      <c r="CW16" s="12"/>
      <c r="CX16" s="962"/>
      <c r="CY16" s="1334" t="s">
        <v>4608</v>
      </c>
      <c r="CZ16" s="442"/>
      <c r="DA16" s="442"/>
      <c r="DB16" s="442"/>
      <c r="DC16" s="442"/>
      <c r="DD16" s="442"/>
      <c r="DE16" s="442"/>
      <c r="DF16" s="442"/>
      <c r="DL16" s="442"/>
      <c r="DM16" s="442"/>
      <c r="DN16" s="442"/>
      <c r="DO16" s="442"/>
      <c r="DP16" s="65"/>
      <c r="DQ16" s="442"/>
      <c r="DR16" s="442"/>
      <c r="DS16" s="997"/>
      <c r="DT16" s="1026"/>
      <c r="DU16" s="1026"/>
      <c r="DV16" s="1026"/>
      <c r="DW16" s="998"/>
      <c r="DX16" s="442"/>
      <c r="DY16" s="1056" t="str">
        <f t="shared" si="662"/>
        <v>#NAME?</v>
      </c>
      <c r="DZ16" s="1123" t="s">
        <v>4265</v>
      </c>
      <c r="EA16" s="1021" t="str">
        <f t="shared" si="663"/>
        <v>#NAME?</v>
      </c>
      <c r="EB16" s="1024" t="str">
        <f t="shared" si="664"/>
        <v>#NAME?</v>
      </c>
      <c r="EC16" s="1339" t="s">
        <v>5000</v>
      </c>
      <c r="ED16" s="442"/>
      <c r="EE16" s="1268"/>
      <c r="EF16" s="1269" t="s">
        <v>5192</v>
      </c>
      <c r="EG16" s="12"/>
      <c r="EH16" s="962"/>
      <c r="EI16" s="1270" t="s">
        <v>4608</v>
      </c>
      <c r="EJ16" s="1230"/>
      <c r="EM16" s="349"/>
      <c r="EN16" s="349"/>
      <c r="EP16" s="1230"/>
      <c r="EQ16" s="985" t="str">
        <f>MONICON21(ER16)</f>
        <v>#NAME?</v>
      </c>
      <c r="ER16" s="1052" t="s">
        <v>458</v>
      </c>
      <c r="ES16" s="1092" t="str">
        <f>MONTYPEICON1(ER16)</f>
        <v>#NAME?</v>
      </c>
      <c r="ET16" s="987" t="str">
        <f>MONTYPEICON2(ER16)</f>
        <v>#NAME?</v>
      </c>
      <c r="EU16" s="1518" t="s">
        <v>4999</v>
      </c>
      <c r="EV16" s="1230"/>
      <c r="EY16" s="349"/>
      <c r="EZ16" s="349"/>
      <c r="FA16" s="349"/>
      <c r="FB16" s="442"/>
      <c r="FC16" s="1012" t="str">
        <f t="shared" ref="FC16:FC17" si="716">MONICON21(FD16)</f>
        <v>#NAME?</v>
      </c>
      <c r="FD16" s="38" t="s">
        <v>848</v>
      </c>
      <c r="FE16" s="977" t="str">
        <f t="shared" ref="FE16:FE17" si="717">MONTYPEICON1(FD16)</f>
        <v>#NAME?</v>
      </c>
      <c r="FF16" s="980" t="str">
        <f t="shared" ref="FF16:FF17" si="718">MONTYPEICON2(FD16)</f>
        <v>#NAME?</v>
      </c>
      <c r="FG16" s="1043" t="s">
        <v>5045</v>
      </c>
      <c r="FH16" s="442"/>
      <c r="FI16" s="1012" t="str">
        <f t="shared" ref="FI16:FI17" si="719">MONICON21(FJ16)</f>
        <v>#NAME?</v>
      </c>
      <c r="FJ16" s="1301" t="s">
        <v>1924</v>
      </c>
      <c r="FK16" s="977" t="str">
        <f t="shared" ref="FK16:FK17" si="720">MONTYPEICON1(FJ16)</f>
        <v>#NAME?</v>
      </c>
      <c r="FL16" s="980" t="str">
        <f t="shared" ref="FL16:FL17" si="721">MONTYPEICON2(FJ16)</f>
        <v>#NAME?</v>
      </c>
      <c r="FM16" s="1303" t="s">
        <v>5001</v>
      </c>
      <c r="FN16" s="442"/>
      <c r="FO16" s="1230"/>
      <c r="FP16" s="1230"/>
      <c r="FQ16" s="449"/>
      <c r="FR16" s="449"/>
      <c r="FS16" s="449"/>
      <c r="FT16" s="442"/>
      <c r="FU16" s="1012" t="str">
        <f t="shared" ref="FU16:FU17" si="722">MONICON21(FV16)</f>
        <v>#NAME?</v>
      </c>
      <c r="FV16" s="1157" t="s">
        <v>759</v>
      </c>
      <c r="FW16" s="977" t="str">
        <f t="shared" ref="FW16:FW17" si="723">MONTYPEICON1(FV16)</f>
        <v>#NAME?</v>
      </c>
      <c r="FX16" s="980" t="str">
        <f t="shared" ref="FX16:FX17" si="724">MONTYPEICON2(FV16)</f>
        <v>#NAME?</v>
      </c>
      <c r="FY16" s="1303" t="s">
        <v>5003</v>
      </c>
      <c r="FZ16" s="442"/>
      <c r="GA16" s="1283"/>
      <c r="GB16" s="1264" t="s">
        <v>5317</v>
      </c>
      <c r="GC16" s="12"/>
      <c r="GD16" s="962"/>
      <c r="GE16" s="1265" t="s">
        <v>4608</v>
      </c>
      <c r="GF16" s="442"/>
      <c r="GI16" s="349"/>
      <c r="GJ16" s="349"/>
      <c r="GL16" s="1230"/>
      <c r="GM16" s="983" t="str">
        <f t="shared" ref="GM16:GM18" si="725">MONICON21(GN16)</f>
        <v>#NAME?</v>
      </c>
      <c r="GN16" s="1157" t="s">
        <v>1384</v>
      </c>
      <c r="GO16" s="977" t="str">
        <f t="shared" ref="GO16:GO18" si="726">MONTYPEICON1(GN16)</f>
        <v>#NAME?</v>
      </c>
      <c r="GP16" s="980" t="str">
        <f t="shared" ref="GP16:GP18" si="727">MONTYPEICON2(GN16)</f>
        <v>#NAME?</v>
      </c>
      <c r="GQ16" s="1303" t="s">
        <v>5001</v>
      </c>
      <c r="GR16" s="65"/>
      <c r="GS16" s="1266"/>
      <c r="GT16" s="1259" t="s">
        <v>5318</v>
      </c>
      <c r="GU16" s="12"/>
      <c r="GV16" s="962"/>
      <c r="GW16" s="1258" t="s">
        <v>4608</v>
      </c>
      <c r="GX16" s="65"/>
      <c r="GY16" s="1260"/>
      <c r="GZ16" s="1261" t="s">
        <v>4892</v>
      </c>
      <c r="HA16" s="959"/>
      <c r="HB16" s="957"/>
      <c r="HC16" s="1262" t="s">
        <v>4608</v>
      </c>
      <c r="HD16" s="1230"/>
      <c r="HE16" s="1193" t="str">
        <f t="shared" si="665"/>
        <v>#NAME?</v>
      </c>
      <c r="HF16" s="1357" t="s">
        <v>2039</v>
      </c>
      <c r="HG16" s="1146" t="str">
        <f t="shared" si="666"/>
        <v>#NAME?</v>
      </c>
      <c r="HH16" s="1148" t="str">
        <f t="shared" si="667"/>
        <v>#NAME?</v>
      </c>
      <c r="HI16" s="1330" t="s">
        <v>5034</v>
      </c>
      <c r="HJ16" s="1230"/>
      <c r="HK16" s="1012" t="str">
        <f t="shared" si="605"/>
        <v>#NAME?</v>
      </c>
      <c r="HL16" s="89" t="s">
        <v>1452</v>
      </c>
      <c r="HM16" s="1418" t="str">
        <f t="shared" si="606"/>
        <v>#NAME?</v>
      </c>
      <c r="HN16" s="1419" t="str">
        <f t="shared" si="607"/>
        <v>#NAME?</v>
      </c>
      <c r="HO16" s="1108" t="s">
        <v>5007</v>
      </c>
      <c r="HP16" s="65"/>
      <c r="HQ16" s="1056" t="str">
        <f t="shared" si="668"/>
        <v>#NAME?</v>
      </c>
      <c r="HR16" s="1377" t="s">
        <v>812</v>
      </c>
      <c r="HS16" s="1021" t="str">
        <f t="shared" si="669"/>
        <v>#NAME?</v>
      </c>
      <c r="HT16" s="1024" t="str">
        <f t="shared" si="670"/>
        <v>#NAME?</v>
      </c>
      <c r="HU16" s="1339" t="s">
        <v>5006</v>
      </c>
      <c r="HV16" s="65"/>
      <c r="HY16" s="349"/>
      <c r="HZ16" s="349"/>
      <c r="IA16" s="349"/>
      <c r="IB16" s="65"/>
      <c r="IC16" s="1096" t="str">
        <f t="shared" si="608"/>
        <v>#NAME?</v>
      </c>
      <c r="ID16" s="1415" t="s">
        <v>3047</v>
      </c>
      <c r="IE16" s="1417" t="str">
        <f t="shared" si="609"/>
        <v>#NAME?</v>
      </c>
      <c r="IF16" s="62" t="str">
        <f t="shared" si="610"/>
        <v>#NAME?</v>
      </c>
      <c r="IG16" s="1416" t="s">
        <v>5007</v>
      </c>
      <c r="II16" s="1096" t="str">
        <f t="shared" si="500"/>
        <v>#NAME?</v>
      </c>
      <c r="IJ16" s="1415" t="s">
        <v>1384</v>
      </c>
      <c r="IK16" s="1418" t="str">
        <f t="shared" si="501"/>
        <v>#NAME?</v>
      </c>
      <c r="IL16" s="1419" t="str">
        <f t="shared" si="502"/>
        <v>#NAME?</v>
      </c>
      <c r="IM16" s="1108" t="s">
        <v>5008</v>
      </c>
      <c r="IO16" s="985" t="s">
        <v>4992</v>
      </c>
      <c r="IP16" s="12"/>
      <c r="IQ16" s="12"/>
      <c r="IR16" s="12"/>
      <c r="IS16" s="48"/>
      <c r="IT16" s="1230"/>
      <c r="IU16" s="1230"/>
      <c r="IV16" s="1230"/>
      <c r="IW16" s="449"/>
      <c r="IX16" s="449"/>
      <c r="IY16" s="1230"/>
      <c r="IZ16" s="1230"/>
      <c r="JA16" s="1094" t="str">
        <f t="shared" si="611"/>
        <v>#NAME?</v>
      </c>
      <c r="JB16" s="1479" t="s">
        <v>767</v>
      </c>
      <c r="JC16" s="1420" t="str">
        <f t="shared" si="612"/>
        <v>#NAME?</v>
      </c>
      <c r="JD16" s="475" t="str">
        <f t="shared" si="613"/>
        <v>#NAME?</v>
      </c>
      <c r="JE16" s="1411" t="s">
        <v>5008</v>
      </c>
      <c r="JF16" s="1230"/>
      <c r="JG16" s="1266"/>
      <c r="JH16" s="1259" t="s">
        <v>5319</v>
      </c>
      <c r="JI16" s="12"/>
      <c r="JJ16" s="962"/>
      <c r="JK16" s="1258" t="s">
        <v>4608</v>
      </c>
      <c r="JL16" s="1230"/>
      <c r="JM16" s="1193" t="str">
        <f t="shared" si="557"/>
        <v>#NAME?</v>
      </c>
      <c r="JN16" s="1357" t="s">
        <v>417</v>
      </c>
      <c r="JO16" s="1462" t="str">
        <f t="shared" si="558"/>
        <v>#NAME?</v>
      </c>
      <c r="JP16" s="1463" t="str">
        <f t="shared" si="559"/>
        <v>#NAME?</v>
      </c>
      <c r="JQ16" s="1330" t="s">
        <v>5158</v>
      </c>
      <c r="JR16" s="1230"/>
      <c r="JS16" s="1094" t="str">
        <f t="shared" si="614"/>
        <v>#NAME?</v>
      </c>
      <c r="JT16" s="499" t="s">
        <v>3424</v>
      </c>
      <c r="JU16" s="1420" t="str">
        <f t="shared" si="615"/>
        <v>#NAME?</v>
      </c>
      <c r="JV16" s="475" t="str">
        <f t="shared" si="616"/>
        <v>#NAME?</v>
      </c>
      <c r="JW16" s="1095" t="s">
        <v>5084</v>
      </c>
      <c r="JX16" s="1230"/>
      <c r="JY16" s="1096" t="str">
        <f t="shared" si="506"/>
        <v>#NAME?</v>
      </c>
      <c r="JZ16" s="1149" t="s">
        <v>687</v>
      </c>
      <c r="KA16" s="1418" t="str">
        <f t="shared" si="507"/>
        <v>#NAME?</v>
      </c>
      <c r="KB16" s="1419" t="str">
        <f t="shared" si="508"/>
        <v>#NAME?</v>
      </c>
      <c r="KC16" s="1108" t="s">
        <v>5010</v>
      </c>
      <c r="KD16" s="1230"/>
      <c r="KE16" s="961" t="s">
        <v>5320</v>
      </c>
      <c r="KF16" s="12"/>
      <c r="KG16" s="48"/>
      <c r="KH16" s="349"/>
      <c r="KI16" s="65"/>
      <c r="KK16" s="1049" t="str">
        <f t="shared" si="617"/>
        <v>#NAME?</v>
      </c>
      <c r="KL16" s="1050" t="s">
        <v>3964</v>
      </c>
      <c r="KM16" s="1051" t="str">
        <f t="shared" si="618"/>
        <v>#NAME?</v>
      </c>
      <c r="KN16" s="1131" t="str">
        <f t="shared" si="619"/>
        <v>#NAME?</v>
      </c>
      <c r="KO16" s="1131" t="s">
        <v>5009</v>
      </c>
      <c r="KS16" s="349"/>
      <c r="KT16" s="349"/>
      <c r="KW16" s="983" t="str">
        <f t="shared" ref="KW16:KW20" si="728">MONICON21(KX16)</f>
        <v>#NAME?</v>
      </c>
      <c r="KX16" s="1304" t="s">
        <v>742</v>
      </c>
      <c r="KY16" s="977" t="str">
        <f t="shared" ref="KY16:KY20" si="729">MONTYPEICON1(KX16)</f>
        <v>#NAME?</v>
      </c>
      <c r="KZ16" s="980" t="str">
        <f t="shared" ref="KZ16:KZ20" si="730">MONTYPEICON2(KX16)</f>
        <v>#NAME?</v>
      </c>
      <c r="LA16" s="1318" t="s">
        <v>5013</v>
      </c>
      <c r="LB16" s="442"/>
      <c r="LC16" s="1094" t="str">
        <f t="shared" si="620"/>
        <v>#NAME?</v>
      </c>
      <c r="LD16" s="1127" t="s">
        <v>2192</v>
      </c>
      <c r="LE16" s="1420" t="str">
        <f t="shared" si="621"/>
        <v>#NAME?</v>
      </c>
      <c r="LF16" s="475" t="str">
        <f t="shared" si="622"/>
        <v>#NAME?</v>
      </c>
      <c r="LG16" s="1422" t="s">
        <v>5013</v>
      </c>
      <c r="LH16" s="65"/>
      <c r="LI16" s="1068" t="str">
        <f t="shared" si="671"/>
        <v>#NAME?</v>
      </c>
      <c r="LJ16" s="1076" t="s">
        <v>3103</v>
      </c>
      <c r="LK16" s="1358" t="str">
        <f t="shared" si="672"/>
        <v>#NAME?</v>
      </c>
      <c r="LL16" s="1359" t="str">
        <f t="shared" si="673"/>
        <v>#NAME?</v>
      </c>
      <c r="LM16" s="1368" t="s">
        <v>5013</v>
      </c>
      <c r="LN16" s="65"/>
      <c r="LO16" s="1094" t="str">
        <f t="shared" si="623"/>
        <v>#NAME?</v>
      </c>
      <c r="LP16" s="1127" t="s">
        <v>4225</v>
      </c>
      <c r="LQ16" s="1051" t="str">
        <f t="shared" si="624"/>
        <v>#NAME?</v>
      </c>
      <c r="LR16" s="1131" t="str">
        <f t="shared" si="625"/>
        <v>#NAME?</v>
      </c>
      <c r="LS16" s="1422" t="s">
        <v>5164</v>
      </c>
      <c r="LW16" s="108"/>
      <c r="LX16" s="349"/>
      <c r="MA16" s="983" t="str">
        <f t="shared" ref="MA16:MA17" si="731">MONICON21(MB16)</f>
        <v>#NAME?</v>
      </c>
      <c r="MB16" s="1301" t="s">
        <v>4091</v>
      </c>
      <c r="MC16" s="977" t="str">
        <f t="shared" ref="MC16:MC17" si="732">MONTYPEICON1(MB16)</f>
        <v>#NAME?</v>
      </c>
      <c r="MD16" s="980" t="str">
        <f t="shared" ref="MD16:MD17" si="733">MONTYPEICON2(MB16)</f>
        <v>#NAME?</v>
      </c>
      <c r="ME16" s="1318" t="s">
        <v>5015</v>
      </c>
      <c r="MG16" s="1273"/>
      <c r="MH16" s="1281" t="s">
        <v>5321</v>
      </c>
      <c r="MI16" s="12"/>
      <c r="MJ16" s="962"/>
      <c r="MK16" s="1282" t="s">
        <v>4608</v>
      </c>
      <c r="MM16" s="1273"/>
      <c r="MN16" s="1281" t="s">
        <v>4908</v>
      </c>
      <c r="MO16" s="12"/>
      <c r="MP16" s="962"/>
      <c r="MQ16" s="1282" t="s">
        <v>4608</v>
      </c>
      <c r="MS16" s="1351" t="str">
        <f t="shared" si="674"/>
        <v>#NAME?</v>
      </c>
      <c r="MT16" s="1372" t="s">
        <v>2185</v>
      </c>
      <c r="MU16" s="1353" t="str">
        <f t="shared" si="675"/>
        <v>#NAME?</v>
      </c>
      <c r="MV16" s="1354" t="str">
        <f t="shared" si="676"/>
        <v>#NAME?</v>
      </c>
      <c r="MW16" s="1367" t="s">
        <v>5164</v>
      </c>
      <c r="MX16" s="442"/>
      <c r="MY16" s="1096" t="str">
        <f t="shared" si="512"/>
        <v>#NAME?</v>
      </c>
      <c r="MZ16" s="1301" t="s">
        <v>3872</v>
      </c>
      <c r="NA16" s="1013" t="str">
        <f t="shared" si="513"/>
        <v>#NAME?</v>
      </c>
      <c r="NB16" s="1015" t="str">
        <f t="shared" si="514"/>
        <v>#NAME?</v>
      </c>
      <c r="NC16" s="1318" t="s">
        <v>5017</v>
      </c>
      <c r="ND16" s="442"/>
      <c r="NE16" s="1266"/>
      <c r="NF16" s="1259" t="s">
        <v>5322</v>
      </c>
      <c r="NG16" s="12"/>
      <c r="NH16" s="962"/>
      <c r="NI16" s="1258" t="s">
        <v>4608</v>
      </c>
      <c r="NJ16" s="65"/>
      <c r="NK16" s="1193" t="str">
        <f t="shared" si="563"/>
        <v>#NAME?</v>
      </c>
      <c r="NL16" s="1145" t="s">
        <v>1057</v>
      </c>
      <c r="NM16" s="1462" t="str">
        <f t="shared" si="564"/>
        <v>#NAME?</v>
      </c>
      <c r="NN16" s="1463" t="str">
        <f t="shared" si="565"/>
        <v>#NAME?</v>
      </c>
      <c r="NO16" s="1464" t="s">
        <v>5051</v>
      </c>
      <c r="NQ16" s="1105" t="str">
        <f t="shared" si="677"/>
        <v>#NAME?</v>
      </c>
      <c r="NR16" s="1079" t="s">
        <v>1073</v>
      </c>
      <c r="NS16" s="1373" t="str">
        <f t="shared" si="678"/>
        <v>#NAME?</v>
      </c>
      <c r="NT16" s="1374" t="str">
        <f t="shared" si="679"/>
        <v>#NAME?</v>
      </c>
      <c r="NU16" s="1369" t="s">
        <v>5018</v>
      </c>
      <c r="NV16" s="442"/>
      <c r="NW16" s="1266"/>
      <c r="NX16" s="1256" t="s">
        <v>5323</v>
      </c>
      <c r="NY16" s="1285" t="s">
        <v>4888</v>
      </c>
      <c r="NZ16" s="48"/>
      <c r="OA16" s="1570" t="s">
        <v>4608</v>
      </c>
      <c r="OB16" s="442"/>
      <c r="OC16" s="1068" t="str">
        <f t="shared" si="680"/>
        <v>#NAME?</v>
      </c>
      <c r="OD16" s="1076" t="s">
        <v>767</v>
      </c>
      <c r="OE16" s="1358" t="str">
        <f t="shared" si="681"/>
        <v>#NAME?</v>
      </c>
      <c r="OF16" s="1359" t="str">
        <f t="shared" si="682"/>
        <v>#NAME?</v>
      </c>
      <c r="OG16" s="1368" t="s">
        <v>5069</v>
      </c>
      <c r="OH16" s="442"/>
      <c r="OI16" s="1266"/>
      <c r="OJ16" s="1259" t="s">
        <v>5324</v>
      </c>
      <c r="OK16" s="12"/>
      <c r="OL16" s="962"/>
      <c r="OM16" s="1258" t="s">
        <v>4608</v>
      </c>
      <c r="ON16" s="442"/>
      <c r="OQ16" s="349"/>
      <c r="OR16" s="349"/>
      <c r="OW16" s="349"/>
      <c r="OX16" s="349"/>
      <c r="PA16" s="1535" t="s">
        <v>5325</v>
      </c>
      <c r="PB16" s="976"/>
      <c r="PC16" s="976"/>
      <c r="PD16" s="974"/>
      <c r="PE16" s="1536" t="s">
        <v>4608</v>
      </c>
      <c r="PF16" s="442"/>
      <c r="PG16" s="1094" t="str">
        <f t="shared" si="626"/>
        <v>#NAME?</v>
      </c>
      <c r="PH16" s="1127" t="s">
        <v>2192</v>
      </c>
      <c r="PI16" s="1420" t="str">
        <f t="shared" si="627"/>
        <v>#NAME?</v>
      </c>
      <c r="PJ16" s="475" t="str">
        <f t="shared" si="628"/>
        <v>#NAME?</v>
      </c>
      <c r="PK16" s="1422" t="s">
        <v>5146</v>
      </c>
      <c r="PM16" s="65"/>
      <c r="PN16" s="65"/>
      <c r="PO16" s="108"/>
      <c r="PP16" s="349"/>
      <c r="PS16" s="1266"/>
      <c r="PT16" s="1259" t="s">
        <v>5326</v>
      </c>
      <c r="PU16" s="12"/>
      <c r="PV16" s="962"/>
      <c r="PW16" s="1258" t="s">
        <v>4608</v>
      </c>
      <c r="PX16" s="442"/>
      <c r="PY16" s="1096" t="str">
        <f t="shared" si="524"/>
        <v>#NAME?</v>
      </c>
      <c r="PZ16" s="1098" t="s">
        <v>1393</v>
      </c>
      <c r="QA16" s="1418" t="str">
        <f t="shared" si="525"/>
        <v>#NAME?</v>
      </c>
      <c r="QB16" s="1419" t="str">
        <f t="shared" si="526"/>
        <v>#NAME?</v>
      </c>
      <c r="QC16" s="1423" t="s">
        <v>5023</v>
      </c>
      <c r="QD16" s="442"/>
      <c r="QE16" s="1012" t="str">
        <f t="shared" ref="QE16:QE21" si="734">MONICON21(QF16)</f>
        <v>#NAME?</v>
      </c>
      <c r="QF16" s="1301" t="s">
        <v>3670</v>
      </c>
      <c r="QG16" s="1313" t="str">
        <f t="shared" ref="QG16:QG21" si="735">MONTYPEICON1(QF16)</f>
        <v>#NAME?</v>
      </c>
      <c r="QH16" s="1314" t="str">
        <f t="shared" ref="QH16:QH21" si="736">MONTYPEICON2(QF16)</f>
        <v>#NAME?</v>
      </c>
      <c r="QI16" s="1318" t="s">
        <v>5032</v>
      </c>
      <c r="QJ16" s="442"/>
      <c r="QK16" s="983" t="str">
        <f t="shared" ref="QK16:QK21" si="737">MONICON21(QL16)</f>
        <v>#NAME?</v>
      </c>
      <c r="QL16" s="1301" t="s">
        <v>596</v>
      </c>
      <c r="QM16" s="977" t="str">
        <f t="shared" ref="QM16:QM21" si="738">MONTYPEICON1(QL16)</f>
        <v>#NAME?</v>
      </c>
      <c r="QN16" s="980" t="str">
        <f t="shared" ref="QN16:QN21" si="739">MONTYPEICON2(QL16)</f>
        <v>#NAME?</v>
      </c>
      <c r="QO16" s="1303" t="s">
        <v>5031</v>
      </c>
      <c r="QP16" s="442"/>
      <c r="QQ16" s="983" t="str">
        <f t="shared" ref="QQ16:QQ21" si="740">MONICON21(QR16)</f>
        <v>#NAME?</v>
      </c>
      <c r="QR16" s="1301" t="s">
        <v>4063</v>
      </c>
      <c r="QS16" s="977" t="str">
        <f t="shared" ref="QS16:QS21" si="741">MONTYPEICON1(QR16)</f>
        <v>#NAME?</v>
      </c>
      <c r="QT16" s="980" t="str">
        <f t="shared" ref="QT16:QT21" si="742">MONTYPEICON2(QR16)</f>
        <v>#NAME?</v>
      </c>
      <c r="QU16" s="1303" t="s">
        <v>5033</v>
      </c>
      <c r="QW16" s="983" t="str">
        <f t="shared" ref="QW16:QW21" si="743">MONICON21(QX16)</f>
        <v>#NAME?</v>
      </c>
      <c r="QX16" s="1301" t="s">
        <v>857</v>
      </c>
      <c r="QY16" s="977" t="str">
        <f t="shared" ref="QY16:QY21" si="744">MONTYPEICON1(QX16)</f>
        <v>#NAME?</v>
      </c>
      <c r="QZ16" s="980" t="str">
        <f t="shared" ref="QZ16:QZ21" si="745">MONTYPEICON2(QX16)</f>
        <v>#NAME?</v>
      </c>
      <c r="RA16" s="1303" t="s">
        <v>5112</v>
      </c>
      <c r="RB16" s="442"/>
      <c r="RC16" s="983" t="str">
        <f t="shared" ref="RC16:RC21" si="746">MONICON21(RD16)</f>
        <v>#NAME?</v>
      </c>
      <c r="RD16" s="1301" t="s">
        <v>1908</v>
      </c>
      <c r="RE16" s="977" t="str">
        <f t="shared" ref="RE16:RE21" si="747">MONTYPEICON1(RD16)</f>
        <v>#NAME?</v>
      </c>
      <c r="RF16" s="980" t="str">
        <f t="shared" ref="RF16:RF21" si="748">MONTYPEICON2(RD16)</f>
        <v>#NAME?</v>
      </c>
      <c r="RG16" s="1303" t="s">
        <v>5113</v>
      </c>
      <c r="RH16" s="442"/>
      <c r="RI16" s="983" t="str">
        <f t="shared" ref="RI16:RI21" si="749">MONICON21(RJ16)</f>
        <v>#NAME?</v>
      </c>
      <c r="RJ16" s="1301" t="s">
        <v>3255</v>
      </c>
      <c r="RK16" s="977" t="str">
        <f t="shared" ref="RK16:RK21" si="750">MONTYPEICON1(RJ16)</f>
        <v>#NAME?</v>
      </c>
      <c r="RL16" s="980" t="str">
        <f t="shared" ref="RL16:RL21" si="751">MONTYPEICON2(RJ16)</f>
        <v>#NAME?</v>
      </c>
      <c r="RM16" s="1303" t="s">
        <v>5092</v>
      </c>
      <c r="RN16" s="442"/>
      <c r="RO16" s="1457" t="str">
        <f t="shared" si="683"/>
        <v>#NAME?</v>
      </c>
      <c r="RP16" s="1429" t="s">
        <v>1393</v>
      </c>
      <c r="RQ16" s="1428" t="str">
        <f t="shared" si="684"/>
        <v>#NAME?</v>
      </c>
      <c r="RR16" s="1430" t="str">
        <f t="shared" si="685"/>
        <v>#NAME?</v>
      </c>
      <c r="RS16" s="1571" t="s">
        <v>5113</v>
      </c>
      <c r="RT16" s="442"/>
      <c r="RW16" s="349"/>
      <c r="RX16" s="349"/>
      <c r="RZ16" s="442"/>
      <c r="SA16" s="1193" t="str">
        <f t="shared" si="569"/>
        <v>#NAME?</v>
      </c>
      <c r="SB16" s="1145" t="s">
        <v>2251</v>
      </c>
      <c r="SC16" s="1462" t="str">
        <f t="shared" si="570"/>
        <v>#NAME?</v>
      </c>
      <c r="SD16" s="1463" t="str">
        <f t="shared" si="571"/>
        <v>#NAME?</v>
      </c>
      <c r="SE16" s="1464" t="s">
        <v>5113</v>
      </c>
      <c r="SG16" s="1094" t="str">
        <f t="shared" si="629"/>
        <v>#NAME?</v>
      </c>
      <c r="SH16" s="1127" t="s">
        <v>4049</v>
      </c>
      <c r="SI16" s="1420" t="str">
        <f t="shared" si="630"/>
        <v>#NAME?</v>
      </c>
      <c r="SJ16" s="475" t="str">
        <f t="shared" si="631"/>
        <v>#NAME?</v>
      </c>
      <c r="SK16" s="1422" t="s">
        <v>5025</v>
      </c>
      <c r="SL16" s="442"/>
      <c r="SM16" s="1193" t="str">
        <f t="shared" si="686"/>
        <v>#NAME?</v>
      </c>
      <c r="SN16" s="1145" t="s">
        <v>2831</v>
      </c>
      <c r="SO16" s="1462" t="str">
        <f t="shared" si="687"/>
        <v>#NAME?</v>
      </c>
      <c r="SP16" s="1463" t="str">
        <f t="shared" si="688"/>
        <v>#NAME?</v>
      </c>
      <c r="SQ16" s="1464" t="s">
        <v>5024</v>
      </c>
      <c r="SS16" s="1068" t="str">
        <f t="shared" si="689"/>
        <v>#NAME?</v>
      </c>
      <c r="ST16" s="1076" t="s">
        <v>364</v>
      </c>
      <c r="SU16" s="1358" t="str">
        <f t="shared" si="690"/>
        <v>#NAME?</v>
      </c>
      <c r="SV16" s="1359" t="str">
        <f t="shared" si="691"/>
        <v>#NAME?</v>
      </c>
      <c r="SW16" s="1368" t="s">
        <v>5113</v>
      </c>
      <c r="TA16" s="349"/>
      <c r="TB16" s="349"/>
      <c r="TE16" s="1266"/>
      <c r="TF16" s="1259" t="s">
        <v>5327</v>
      </c>
      <c r="TG16" s="12"/>
      <c r="TH16" s="962"/>
      <c r="TI16" s="1004" t="s">
        <v>4608</v>
      </c>
      <c r="TK16" s="1094" t="str">
        <f t="shared" si="632"/>
        <v>#NAME?</v>
      </c>
      <c r="TL16" s="1127" t="s">
        <v>3196</v>
      </c>
      <c r="TM16" s="1420" t="str">
        <f t="shared" si="633"/>
        <v>#NAME?</v>
      </c>
      <c r="TN16" s="475" t="str">
        <f t="shared" si="634"/>
        <v>#NAME?</v>
      </c>
      <c r="TO16" s="1422" t="s">
        <v>5026</v>
      </c>
      <c r="TQ16" s="1094" t="str">
        <f t="shared" si="635"/>
        <v>#NAME?</v>
      </c>
      <c r="TR16" s="1127" t="s">
        <v>4183</v>
      </c>
      <c r="TS16" s="1420" t="str">
        <f t="shared" si="636"/>
        <v>#NAME?</v>
      </c>
      <c r="TT16" s="475" t="str">
        <f t="shared" si="637"/>
        <v>#NAME?</v>
      </c>
      <c r="TU16" s="1422" t="s">
        <v>5026</v>
      </c>
      <c r="TW16" s="1344"/>
      <c r="TX16" s="1323" t="s">
        <v>5205</v>
      </c>
      <c r="TY16" s="12"/>
      <c r="TZ16" s="962"/>
      <c r="UA16" s="1324" t="s">
        <v>4608</v>
      </c>
      <c r="UC16" s="977" t="str">
        <f t="shared" ref="UC16:UC21" si="752">MONICON21(UD16)</f>
        <v>#NAME?</v>
      </c>
      <c r="UD16" s="1301" t="s">
        <v>2170</v>
      </c>
      <c r="UE16" s="977" t="str">
        <f t="shared" ref="UE16:UE21" si="753">MONTYPEICON1(UD16)</f>
        <v>#NAME?</v>
      </c>
      <c r="UF16" s="980" t="str">
        <f t="shared" ref="UF16:UF21" si="754">MONTYPEICON2(UD16)</f>
        <v>#NAME?</v>
      </c>
      <c r="UG16" s="1303" t="s">
        <v>5063</v>
      </c>
      <c r="UI16" s="1293"/>
      <c r="UJ16" s="1291" t="s">
        <v>5328</v>
      </c>
      <c r="UK16" s="12"/>
      <c r="UL16" s="962"/>
      <c r="UM16" s="1292" t="s">
        <v>4608</v>
      </c>
      <c r="UO16" s="1383" t="str">
        <f t="shared" si="692"/>
        <v>#NAME?</v>
      </c>
      <c r="UP16" s="1384" t="s">
        <v>2616</v>
      </c>
      <c r="UQ16" s="1383" t="str">
        <f t="shared" si="693"/>
        <v>#NAME?</v>
      </c>
      <c r="UR16" s="1385" t="str">
        <f t="shared" si="694"/>
        <v>#NAME?</v>
      </c>
      <c r="US16" s="1386" t="s">
        <v>5279</v>
      </c>
      <c r="UU16" s="1383" t="str">
        <f t="shared" si="695"/>
        <v>#NAME?</v>
      </c>
      <c r="UV16" s="1508" t="s">
        <v>1064</v>
      </c>
      <c r="UW16" s="1383" t="str">
        <f t="shared" si="696"/>
        <v>#NAME?</v>
      </c>
      <c r="UX16" s="1385" t="str">
        <f t="shared" si="697"/>
        <v>#NAME?</v>
      </c>
      <c r="UY16" s="1509" t="s">
        <v>5130</v>
      </c>
      <c r="VA16" s="1293"/>
      <c r="VB16" s="1291" t="s">
        <v>5329</v>
      </c>
      <c r="VC16" s="12"/>
      <c r="VD16" s="962"/>
      <c r="VE16" s="1292" t="s">
        <v>4608</v>
      </c>
      <c r="VG16" s="1383" t="str">
        <f t="shared" si="698"/>
        <v>#NAME?</v>
      </c>
      <c r="VH16" s="1508" t="s">
        <v>3664</v>
      </c>
      <c r="VI16" s="1383" t="str">
        <f t="shared" si="699"/>
        <v>#NAME?</v>
      </c>
      <c r="VJ16" s="1385" t="str">
        <f t="shared" si="700"/>
        <v>#NAME?</v>
      </c>
      <c r="VK16" s="1509" t="s">
        <v>5283</v>
      </c>
      <c r="VL16" s="442"/>
      <c r="VM16" s="1294"/>
      <c r="VN16" s="1291" t="s">
        <v>5330</v>
      </c>
      <c r="VO16" s="12"/>
      <c r="VP16" s="962"/>
      <c r="VQ16" s="1292" t="s">
        <v>4608</v>
      </c>
      <c r="VR16" s="442"/>
      <c r="VS16" s="977" t="str">
        <f t="shared" ref="VS16:VS18" si="755">MONICON21(VT16)</f>
        <v>#NAME?</v>
      </c>
      <c r="VT16" s="1301" t="s">
        <v>2519</v>
      </c>
      <c r="VU16" s="977" t="str">
        <f t="shared" ref="VU16:VU18" si="756">MONTYPEICON1(VT16)</f>
        <v>#NAME?</v>
      </c>
      <c r="VV16" s="980" t="str">
        <f t="shared" ref="VV16:VV18" si="757">MONTYPEICON2(VT16)</f>
        <v>#NAME?</v>
      </c>
      <c r="VW16" s="1303" t="s">
        <v>5034</v>
      </c>
      <c r="VX16" s="442"/>
      <c r="VY16" s="1294"/>
      <c r="VZ16" s="1291" t="s">
        <v>5331</v>
      </c>
      <c r="WA16" s="12"/>
      <c r="WB16" s="962"/>
      <c r="WC16" s="1292" t="s">
        <v>4608</v>
      </c>
      <c r="WD16" s="442"/>
      <c r="WE16" s="1051" t="str">
        <f t="shared" si="644"/>
        <v>#NAME?</v>
      </c>
      <c r="WF16" s="1127" t="s">
        <v>535</v>
      </c>
      <c r="WG16" s="1051" t="str">
        <f t="shared" si="645"/>
        <v>#NAME?</v>
      </c>
      <c r="WH16" s="1131" t="str">
        <f t="shared" si="646"/>
        <v>#NAME?</v>
      </c>
      <c r="WI16" s="1095" t="s">
        <v>5034</v>
      </c>
      <c r="WJ16" s="442"/>
      <c r="WP16" s="442"/>
      <c r="WQ16" s="1387" t="str">
        <f t="shared" si="701"/>
        <v>#NAME?</v>
      </c>
      <c r="WR16" s="1388" t="s">
        <v>2849</v>
      </c>
      <c r="WS16" s="1387" t="str">
        <f t="shared" si="702"/>
        <v>#NAME?</v>
      </c>
      <c r="WT16" s="1392" t="str">
        <f t="shared" si="703"/>
        <v>#NAME?</v>
      </c>
      <c r="WU16" s="1391" t="s">
        <v>5015</v>
      </c>
      <c r="WV16" s="442"/>
      <c r="WW16" s="1294"/>
      <c r="WX16" s="1291" t="s">
        <v>5332</v>
      </c>
      <c r="WY16" s="12"/>
      <c r="WZ16" s="962"/>
      <c r="XA16" s="1292" t="s">
        <v>4608</v>
      </c>
      <c r="XB16" s="442"/>
      <c r="XC16" s="1013" t="str">
        <f t="shared" si="647"/>
        <v>#NAME?</v>
      </c>
      <c r="XD16" s="1098" t="s">
        <v>1816</v>
      </c>
      <c r="XE16" s="1013" t="str">
        <f t="shared" si="648"/>
        <v>#NAME?</v>
      </c>
      <c r="XF16" s="1015" t="str">
        <f t="shared" si="649"/>
        <v>#NAME?</v>
      </c>
      <c r="XG16" s="1434" t="s">
        <v>5004</v>
      </c>
      <c r="XH16" s="442"/>
      <c r="XI16" s="1013" t="str">
        <f t="shared" si="530"/>
        <v>#NAME?</v>
      </c>
      <c r="XJ16" s="1098" t="s">
        <v>1292</v>
      </c>
      <c r="XK16" s="1013" t="str">
        <f t="shared" si="531"/>
        <v>#NAME?</v>
      </c>
      <c r="XL16" s="1015" t="str">
        <f t="shared" si="532"/>
        <v>#NAME?</v>
      </c>
      <c r="XM16" s="1434" t="s">
        <v>5017</v>
      </c>
      <c r="XN16" s="442"/>
      <c r="XO16" s="977" t="str">
        <f t="shared" ref="XO16:XO18" si="758">MONICON21(XP16)</f>
        <v>#NAME?</v>
      </c>
      <c r="XP16" s="1301" t="s">
        <v>4153</v>
      </c>
      <c r="XQ16" s="977" t="str">
        <f t="shared" ref="XQ16:XQ18" si="759">MONTYPEICON1(XP16)</f>
        <v>#NAME?</v>
      </c>
      <c r="XR16" s="980" t="str">
        <f t="shared" ref="XR16:XR18" si="760">MONTYPEICON2(XP16)</f>
        <v>#NAME?</v>
      </c>
      <c r="XS16" s="1303" t="s">
        <v>5174</v>
      </c>
      <c r="XT16" s="442"/>
      <c r="XU16" s="1472"/>
      <c r="XV16" s="1291" t="s">
        <v>5333</v>
      </c>
      <c r="XW16" s="12"/>
      <c r="XX16" s="962"/>
      <c r="XY16" s="1292" t="s">
        <v>4608</v>
      </c>
      <c r="XZ16" s="442"/>
      <c r="YA16" s="442"/>
      <c r="YB16" s="442"/>
      <c r="YC16" s="442"/>
      <c r="YD16" s="442"/>
      <c r="YE16" s="442"/>
      <c r="YF16" s="442"/>
      <c r="YG16" s="108"/>
      <c r="YH16" s="442"/>
      <c r="YI16" s="108"/>
      <c r="YJ16" s="108"/>
      <c r="YK16" s="442"/>
      <c r="YL16" s="442"/>
      <c r="YM16" s="1387" t="str">
        <f t="shared" si="704"/>
        <v>#NAME?</v>
      </c>
      <c r="YN16" s="1388" t="s">
        <v>254</v>
      </c>
      <c r="YO16" s="1387" t="str">
        <f t="shared" si="705"/>
        <v>#NAME?</v>
      </c>
      <c r="YP16" s="1392" t="str">
        <f t="shared" si="706"/>
        <v>#NAME?</v>
      </c>
      <c r="YQ16" s="1391" t="s">
        <v>5031</v>
      </c>
      <c r="YR16" s="442"/>
      <c r="YS16" s="963" t="s">
        <v>4540</v>
      </c>
      <c r="YT16" s="12"/>
      <c r="YU16" s="12"/>
      <c r="YV16" s="12"/>
      <c r="YW16" s="48"/>
      <c r="YX16" s="442"/>
      <c r="YY16" s="1051" t="str">
        <f t="shared" si="650"/>
        <v>#NAME?</v>
      </c>
      <c r="YZ16" s="1127" t="s">
        <v>1292</v>
      </c>
      <c r="ZA16" s="1051" t="str">
        <f t="shared" si="651"/>
        <v>#NAME?</v>
      </c>
      <c r="ZB16" s="1131" t="str">
        <f t="shared" si="652"/>
        <v>#NAME?</v>
      </c>
      <c r="ZC16" s="1095" t="s">
        <v>5019</v>
      </c>
      <c r="ZD16" s="442"/>
      <c r="ZG16" s="349"/>
      <c r="ZH16" s="349"/>
      <c r="ZJ16" s="442"/>
      <c r="ZK16" s="1051" t="str">
        <f t="shared" si="653"/>
        <v>#NAME?</v>
      </c>
      <c r="ZL16" s="1127" t="s">
        <v>1264</v>
      </c>
      <c r="ZM16" s="1051" t="str">
        <f t="shared" si="654"/>
        <v>#NAME?</v>
      </c>
      <c r="ZN16" s="1131" t="str">
        <f t="shared" si="655"/>
        <v>#NAME?</v>
      </c>
      <c r="ZO16" s="1095" t="s">
        <v>5025</v>
      </c>
      <c r="ZP16" s="442"/>
      <c r="ZQ16" s="1383" t="str">
        <f t="shared" si="590"/>
        <v>#NAME?</v>
      </c>
      <c r="ZR16" s="1470" t="s">
        <v>1508</v>
      </c>
      <c r="ZS16" s="1383" t="str">
        <f t="shared" si="591"/>
        <v>#NAME?</v>
      </c>
      <c r="ZT16" s="1385" t="str">
        <f t="shared" si="592"/>
        <v>#NAME?</v>
      </c>
      <c r="ZU16" s="1471" t="s">
        <v>5092</v>
      </c>
      <c r="ZV16" s="442"/>
      <c r="ZW16" s="1387" t="str">
        <f t="shared" si="707"/>
        <v>#NAME?</v>
      </c>
      <c r="ZX16" s="1388" t="s">
        <v>2583</v>
      </c>
      <c r="ZY16" s="1387" t="str">
        <f t="shared" si="708"/>
        <v>#NAME?</v>
      </c>
      <c r="ZZ16" s="1392" t="str">
        <f t="shared" si="709"/>
        <v>#NAME?</v>
      </c>
      <c r="AAA16" s="1391" t="s">
        <v>5026</v>
      </c>
      <c r="AAB16" s="442"/>
      <c r="AAC16" s="1387" t="str">
        <f t="shared" si="710"/>
        <v>#NAME?</v>
      </c>
      <c r="AAD16" s="1388" t="s">
        <v>767</v>
      </c>
      <c r="AAE16" s="1387" t="str">
        <f t="shared" si="711"/>
        <v>#NAME?</v>
      </c>
      <c r="AAF16" s="1392" t="str">
        <f t="shared" si="712"/>
        <v>#NAME?</v>
      </c>
      <c r="AAG16" s="1391" t="s">
        <v>5026</v>
      </c>
      <c r="AAH16" s="442"/>
      <c r="AAI16" s="997"/>
      <c r="AAJ16" s="1026"/>
      <c r="AAK16" s="1026"/>
      <c r="AAL16" s="1026"/>
      <c r="AAM16" s="1026"/>
      <c r="AAN16" s="1026"/>
      <c r="AAO16" s="1026"/>
      <c r="AAP16" s="1026"/>
      <c r="AAQ16" s="1026"/>
      <c r="AAR16" s="1026"/>
      <c r="AAS16" s="998"/>
      <c r="AAU16" s="1013" t="str">
        <f t="shared" si="539"/>
        <v>#NAME?</v>
      </c>
      <c r="AAV16" s="1098" t="s">
        <v>3237</v>
      </c>
      <c r="AAW16" s="1013" t="str">
        <f t="shared" si="540"/>
        <v>#NAME?</v>
      </c>
      <c r="AAX16" s="1015" t="str">
        <f t="shared" si="541"/>
        <v>#NAME?</v>
      </c>
      <c r="AAY16" s="1423" t="s">
        <v>5117</v>
      </c>
      <c r="ABA16" s="1013" t="str">
        <f t="shared" si="542"/>
        <v>#NAME?</v>
      </c>
      <c r="ABB16" s="1098" t="s">
        <v>615</v>
      </c>
      <c r="ABC16" s="1013" t="str">
        <f t="shared" si="543"/>
        <v>#NAME?</v>
      </c>
      <c r="ABD16" s="1015" t="str">
        <f t="shared" si="544"/>
        <v>#NAME?</v>
      </c>
      <c r="ABE16" s="1423" t="s">
        <v>5227</v>
      </c>
      <c r="ABG16" s="1013" t="str">
        <f t="shared" si="545"/>
        <v>#NAME?</v>
      </c>
      <c r="ABH16" s="1098" t="s">
        <v>857</v>
      </c>
      <c r="ABI16" s="1013" t="str">
        <f t="shared" si="546"/>
        <v>#NAME?</v>
      </c>
      <c r="ABJ16" s="1015" t="str">
        <f t="shared" si="547"/>
        <v>#NAME?</v>
      </c>
      <c r="ABK16" s="1423" t="s">
        <v>5228</v>
      </c>
      <c r="ABM16" s="1013" t="str">
        <f t="shared" si="548"/>
        <v>#NAME?</v>
      </c>
      <c r="ABN16" s="1098" t="s">
        <v>742</v>
      </c>
      <c r="ABO16" s="1013" t="str">
        <f t="shared" si="549"/>
        <v>#NAME?</v>
      </c>
      <c r="ABP16" s="1015" t="str">
        <f t="shared" si="550"/>
        <v>#NAME?</v>
      </c>
      <c r="ABQ16" s="1423" t="s">
        <v>5229</v>
      </c>
      <c r="ABS16" s="1013" t="str">
        <f t="shared" si="551"/>
        <v>#NAME?</v>
      </c>
      <c r="ABT16" s="1098" t="s">
        <v>3255</v>
      </c>
      <c r="ABU16" s="1013" t="str">
        <f t="shared" si="552"/>
        <v>#NAME?</v>
      </c>
      <c r="ABV16" s="1015" t="str">
        <f t="shared" si="553"/>
        <v>#NAME?</v>
      </c>
      <c r="ABW16" s="1423" t="s">
        <v>5063</v>
      </c>
      <c r="ABY16" s="1473"/>
      <c r="ABZ16" s="1474" t="s">
        <v>4997</v>
      </c>
      <c r="ACA16" s="1475"/>
      <c r="ACB16" s="1476"/>
      <c r="ACC16" s="1477" t="s">
        <v>4608</v>
      </c>
      <c r="ACE16" s="997"/>
      <c r="ACF16" s="1026"/>
      <c r="ACG16" s="1026"/>
      <c r="ACH16" s="1026"/>
      <c r="ACI16" s="998"/>
      <c r="ACJ16" s="996"/>
    </row>
    <row r="17" ht="15.75" customHeight="1">
      <c r="A17" s="1230"/>
      <c r="B17" s="1444"/>
      <c r="C17" s="1445"/>
      <c r="D17" s="1446"/>
      <c r="E17" s="1230"/>
      <c r="F17" s="1238"/>
      <c r="G17" s="1405" t="s">
        <v>5334</v>
      </c>
      <c r="H17" s="1230"/>
      <c r="I17" s="1289" t="s">
        <v>4791</v>
      </c>
      <c r="J17" s="12"/>
      <c r="K17" s="12"/>
      <c r="L17" s="12"/>
      <c r="M17" s="48"/>
      <c r="N17" s="1230"/>
      <c r="O17" s="1255"/>
      <c r="P17" s="1259" t="s">
        <v>5335</v>
      </c>
      <c r="Q17" s="12"/>
      <c r="R17" s="962"/>
      <c r="S17" s="1258" t="s">
        <v>4608</v>
      </c>
      <c r="T17" s="1230"/>
      <c r="U17" s="1033" t="str">
        <f t="shared" ref="U17:U19" si="761">MONICON21(V17)</f>
        <v>#NAME?</v>
      </c>
      <c r="V17" s="1301" t="s">
        <v>3657</v>
      </c>
      <c r="W17" s="983" t="str">
        <f t="shared" ref="W17:W19" si="762">MONTYPEICON1(V17)</f>
        <v>#NAME?</v>
      </c>
      <c r="X17" s="1046" t="str">
        <f t="shared" ref="X17:X19" si="763">MONTYPEICON2(V17)</f>
        <v>#NAME?</v>
      </c>
      <c r="Y17" s="1303" t="s">
        <v>5130</v>
      </c>
      <c r="Z17" s="1230"/>
      <c r="AA17" s="108"/>
      <c r="AB17" s="442"/>
      <c r="AC17" s="442"/>
      <c r="AD17" s="442"/>
      <c r="AE17" s="108"/>
      <c r="AF17" s="1230"/>
      <c r="AG17" s="1033" t="str">
        <f t="shared" ref="AG17:AG19" si="764">MONICON21(AH17)</f>
        <v>#NAME?</v>
      </c>
      <c r="AH17" s="1301" t="s">
        <v>2816</v>
      </c>
      <c r="AI17" s="977" t="str">
        <f t="shared" ref="AI17:AI19" si="765">MONTYPEICON1(AH17)</f>
        <v>#NAME?</v>
      </c>
      <c r="AJ17" s="980" t="str">
        <f t="shared" ref="AJ17:AJ19" si="766">MONTYPEICON2(AH17)</f>
        <v>#NAME?</v>
      </c>
      <c r="AK17" s="1303" t="s">
        <v>5208</v>
      </c>
      <c r="AL17" s="1230"/>
      <c r="AM17" s="1255"/>
      <c r="AN17" s="1259" t="s">
        <v>5336</v>
      </c>
      <c r="AO17" s="12"/>
      <c r="AP17" s="962"/>
      <c r="AQ17" s="1258" t="s">
        <v>4608</v>
      </c>
      <c r="AR17" s="1230"/>
      <c r="AS17" s="1033" t="str">
        <f t="shared" ref="AS17:AS18" si="767">MONICON21(AT17)</f>
        <v>#NAME?</v>
      </c>
      <c r="AT17" s="1304" t="s">
        <v>4083</v>
      </c>
      <c r="AU17" s="949" t="str">
        <f t="shared" ref="AU17:AU18" si="768">MONTYPEICON1(AT17)</f>
        <v>#NAME?</v>
      </c>
      <c r="AV17" s="952" t="str">
        <f t="shared" ref="AV17:AV18" si="769">MONTYPEICON2(AT17)</f>
        <v>#NAME?</v>
      </c>
      <c r="AW17" s="1305" t="s">
        <v>5076</v>
      </c>
      <c r="AX17" s="1230"/>
      <c r="AY17" s="1033" t="str">
        <f t="shared" ref="AY17:AY18" si="770">MONICON21(AZ17)</f>
        <v>#NAME?</v>
      </c>
      <c r="AZ17" s="1407" t="s">
        <v>1530</v>
      </c>
      <c r="BA17" s="977" t="str">
        <f t="shared" ref="BA17:BA18" si="771">MONTYPEICON1(AZ17)</f>
        <v>#NAME?</v>
      </c>
      <c r="BB17" s="980" t="str">
        <f t="shared" ref="BB17:BB18" si="772">MONTYPEICON2(AZ17)</f>
        <v>#NAME?</v>
      </c>
      <c r="BC17" s="1408" t="s">
        <v>5337</v>
      </c>
      <c r="BD17" s="1230"/>
      <c r="BE17" s="1146" t="str">
        <f t="shared" si="713"/>
        <v>#NAME?</v>
      </c>
      <c r="BF17" s="1335" t="s">
        <v>1797</v>
      </c>
      <c r="BG17" s="1146" t="str">
        <f t="shared" si="714"/>
        <v>#NAME?</v>
      </c>
      <c r="BH17" s="1148" t="str">
        <f t="shared" si="715"/>
        <v>#NAME?</v>
      </c>
      <c r="BI17" s="1336" t="s">
        <v>5314</v>
      </c>
      <c r="BJ17" s="1230"/>
      <c r="BK17" s="349"/>
      <c r="BP17" s="442"/>
      <c r="BQ17" s="442"/>
      <c r="BR17" s="442"/>
      <c r="BS17" s="442"/>
      <c r="BT17" s="442"/>
      <c r="BU17" s="108"/>
      <c r="BV17" s="442"/>
      <c r="BW17" s="349"/>
      <c r="CB17" s="1230"/>
      <c r="CH17" s="442"/>
      <c r="CI17" s="1049" t="str">
        <f t="shared" si="659"/>
        <v>#NAME?</v>
      </c>
      <c r="CJ17" s="1479" t="s">
        <v>391</v>
      </c>
      <c r="CK17" s="1051" t="str">
        <f t="shared" si="660"/>
        <v>#NAME?</v>
      </c>
      <c r="CL17" s="1131" t="str">
        <f t="shared" si="661"/>
        <v>#NAME?</v>
      </c>
      <c r="CM17" s="1411" t="s">
        <v>4996</v>
      </c>
      <c r="CN17" s="442"/>
      <c r="CO17" s="1012" t="str">
        <f t="shared" ref="CO17:CO19" si="773">MONICON21(CP17)</f>
        <v>#NAME?</v>
      </c>
      <c r="CP17" s="1304" t="s">
        <v>1705</v>
      </c>
      <c r="CQ17" s="977" t="str">
        <f t="shared" ref="CQ17:CQ19" si="774">MONTYPEICON1(CP17)</f>
        <v>#NAME?</v>
      </c>
      <c r="CR17" s="980" t="str">
        <f t="shared" ref="CR17:CR19" si="775">MONTYPEICON2(CP17)</f>
        <v>#NAME?</v>
      </c>
      <c r="CS17" s="1305" t="s">
        <v>4994</v>
      </c>
      <c r="CT17" s="442"/>
      <c r="CU17" s="1012" t="str">
        <f t="shared" ref="CU17:CU20" si="776">MONICON21(CV17)</f>
        <v>#NAME?</v>
      </c>
      <c r="CV17" s="1407" t="s">
        <v>1740</v>
      </c>
      <c r="CW17" s="977" t="str">
        <f t="shared" ref="CW17:CW20" si="777">MONTYPEICON1(CV17)</f>
        <v>#NAME?</v>
      </c>
      <c r="CX17" s="980" t="str">
        <f t="shared" ref="CX17:CX20" si="778">MONTYPEICON2(CV17)</f>
        <v>#NAME?</v>
      </c>
      <c r="CY17" s="1408" t="s">
        <v>5135</v>
      </c>
      <c r="CZ17" s="442"/>
      <c r="DA17" s="1266"/>
      <c r="DB17" s="1259" t="s">
        <v>5338</v>
      </c>
      <c r="DC17" s="12"/>
      <c r="DD17" s="962"/>
      <c r="DE17" s="1267" t="s">
        <v>4608</v>
      </c>
      <c r="DF17" s="442"/>
      <c r="DG17" s="1278"/>
      <c r="DH17" s="1269" t="s">
        <v>4921</v>
      </c>
      <c r="DI17" s="12"/>
      <c r="DJ17" s="962"/>
      <c r="DK17" s="1270" t="s">
        <v>4608</v>
      </c>
      <c r="DL17" s="442"/>
      <c r="DM17" s="1266"/>
      <c r="DN17" s="1259" t="s">
        <v>5339</v>
      </c>
      <c r="DO17" s="12"/>
      <c r="DP17" s="962"/>
      <c r="DQ17" s="1267" t="s">
        <v>4608</v>
      </c>
      <c r="DR17" s="442"/>
      <c r="DX17" s="442"/>
      <c r="DY17" s="1094" t="str">
        <f t="shared" si="662"/>
        <v>#NAME?</v>
      </c>
      <c r="DZ17" s="1127" t="s">
        <v>4257</v>
      </c>
      <c r="EA17" s="1051" t="str">
        <f t="shared" si="663"/>
        <v>#NAME?</v>
      </c>
      <c r="EB17" s="1131" t="str">
        <f t="shared" si="664"/>
        <v>#NAME?</v>
      </c>
      <c r="EC17" s="1095" t="s">
        <v>5000</v>
      </c>
      <c r="ED17" s="442"/>
      <c r="EE17" s="1012" t="str">
        <f t="shared" ref="EE17:EE20" si="779">MONICON21(EF17)</f>
        <v>#NAME?</v>
      </c>
      <c r="EF17" s="1407" t="s">
        <v>3664</v>
      </c>
      <c r="EG17" s="977" t="str">
        <f t="shared" ref="EG17:EG20" si="780">MONTYPEICON1(EF17)</f>
        <v>#NAME?</v>
      </c>
      <c r="EH17" s="980" t="str">
        <f t="shared" ref="EH17:EH20" si="781">MONTYPEICON2(EF17)</f>
        <v>#NAME?</v>
      </c>
      <c r="EI17" s="1408" t="s">
        <v>5079</v>
      </c>
      <c r="EJ17" s="1230"/>
      <c r="EK17" s="1273"/>
      <c r="EL17" s="1274" t="s">
        <v>4908</v>
      </c>
      <c r="EM17" s="959"/>
      <c r="EN17" s="957"/>
      <c r="EO17" s="1275" t="s">
        <v>4608</v>
      </c>
      <c r="EP17" s="1230"/>
      <c r="EQ17" s="1286"/>
      <c r="ER17" s="1259" t="s">
        <v>5340</v>
      </c>
      <c r="ES17" s="12"/>
      <c r="ET17" s="962"/>
      <c r="EU17" s="1258" t="s">
        <v>4608</v>
      </c>
      <c r="EV17" s="1230"/>
      <c r="EW17" s="1266"/>
      <c r="EX17" s="1259" t="s">
        <v>5341</v>
      </c>
      <c r="EY17" s="12"/>
      <c r="EZ17" s="962"/>
      <c r="FA17" s="1258" t="s">
        <v>4608</v>
      </c>
      <c r="FB17" s="442"/>
      <c r="FC17" s="1193" t="str">
        <f t="shared" si="716"/>
        <v>#NAME?</v>
      </c>
      <c r="FD17" s="1357" t="s">
        <v>3683</v>
      </c>
      <c r="FE17" s="1146" t="str">
        <f t="shared" si="717"/>
        <v>#NAME?</v>
      </c>
      <c r="FF17" s="1148" t="str">
        <f t="shared" si="718"/>
        <v>#NAME?</v>
      </c>
      <c r="FG17" s="1330" t="s">
        <v>5045</v>
      </c>
      <c r="FH17" s="442"/>
      <c r="FI17" s="1193" t="str">
        <f t="shared" si="719"/>
        <v>#NAME?</v>
      </c>
      <c r="FJ17" s="1145" t="s">
        <v>1941</v>
      </c>
      <c r="FK17" s="1146" t="str">
        <f t="shared" si="720"/>
        <v>#NAME?</v>
      </c>
      <c r="FL17" s="1148" t="str">
        <f t="shared" si="721"/>
        <v>#NAME?</v>
      </c>
      <c r="FM17" s="1330" t="s">
        <v>5001</v>
      </c>
      <c r="FN17" s="442"/>
      <c r="FO17" s="1266"/>
      <c r="FP17" s="1259" t="s">
        <v>5342</v>
      </c>
      <c r="FQ17" s="12"/>
      <c r="FR17" s="962"/>
      <c r="FS17" s="1258" t="s">
        <v>4608</v>
      </c>
      <c r="FT17" s="442"/>
      <c r="FU17" s="1193" t="str">
        <f t="shared" si="722"/>
        <v>#NAME?</v>
      </c>
      <c r="FV17" s="1357" t="s">
        <v>2251</v>
      </c>
      <c r="FW17" s="1146" t="str">
        <f t="shared" si="723"/>
        <v>#NAME?</v>
      </c>
      <c r="FX17" s="1148" t="str">
        <f t="shared" si="724"/>
        <v>#NAME?</v>
      </c>
      <c r="FY17" s="1330" t="s">
        <v>5003</v>
      </c>
      <c r="FZ17" s="442"/>
      <c r="GA17" s="983" t="str">
        <f t="shared" ref="GA17:GA19" si="782">MONICON21(GB17)</f>
        <v>#NAME?</v>
      </c>
      <c r="GB17" s="1304" t="s">
        <v>673</v>
      </c>
      <c r="GC17" s="977" t="str">
        <f t="shared" ref="GC17:GC19" si="783">MONTYPEICON1(GB17)</f>
        <v>#NAME?</v>
      </c>
      <c r="GD17" s="980" t="str">
        <f t="shared" ref="GD17:GD19" si="784">MONTYPEICON2(GB17)</f>
        <v>#NAME?</v>
      </c>
      <c r="GE17" s="1305" t="s">
        <v>5082</v>
      </c>
      <c r="GF17" s="442"/>
      <c r="GG17" s="1246" t="s">
        <v>4532</v>
      </c>
      <c r="GH17" s="12"/>
      <c r="GI17" s="12"/>
      <c r="GJ17" s="12"/>
      <c r="GK17" s="48"/>
      <c r="GL17" s="1230"/>
      <c r="GM17" s="1068" t="str">
        <f t="shared" si="725"/>
        <v>#NAME?</v>
      </c>
      <c r="GN17" s="1078" t="s">
        <v>1376</v>
      </c>
      <c r="GO17" s="1071" t="str">
        <f t="shared" si="726"/>
        <v>#NAME?</v>
      </c>
      <c r="GP17" s="1073" t="str">
        <f t="shared" si="727"/>
        <v>#NAME?</v>
      </c>
      <c r="GQ17" s="1093" t="s">
        <v>5001</v>
      </c>
      <c r="GR17" s="65"/>
      <c r="GS17" s="985" t="str">
        <f>MONICON21(GT17)</f>
        <v>#NAME?</v>
      </c>
      <c r="GT17" s="1310" t="s">
        <v>3911</v>
      </c>
      <c r="GU17" s="1092" t="str">
        <f>MONTYPEICON1(GT17)</f>
        <v>#NAME?</v>
      </c>
      <c r="GV17" s="987" t="str">
        <f>MONTYPEICON2(GT17)</f>
        <v>#NAME?</v>
      </c>
      <c r="GW17" s="1309" t="s">
        <v>5004</v>
      </c>
      <c r="GX17" s="65"/>
      <c r="GY17" s="985" t="s">
        <v>4992</v>
      </c>
      <c r="GZ17" s="12"/>
      <c r="HA17" s="12"/>
      <c r="HB17" s="12"/>
      <c r="HC17" s="48"/>
      <c r="HD17" s="1230"/>
      <c r="HG17" s="349"/>
      <c r="HH17" s="349"/>
      <c r="HI17" s="349"/>
      <c r="HJ17" s="1230"/>
      <c r="HK17" s="1027" t="str">
        <f t="shared" si="605"/>
        <v>#NAME?</v>
      </c>
      <c r="HL17" s="1461" t="s">
        <v>1808</v>
      </c>
      <c r="HM17" s="1360" t="str">
        <f t="shared" si="606"/>
        <v>#NAME?</v>
      </c>
      <c r="HN17" s="1361" t="str">
        <f t="shared" si="607"/>
        <v>#NAME?</v>
      </c>
      <c r="HO17" s="1343" t="s">
        <v>5007</v>
      </c>
      <c r="HP17" s="65"/>
      <c r="HQ17" s="1094" t="str">
        <f t="shared" si="668"/>
        <v>#NAME?</v>
      </c>
      <c r="HR17" s="1479" t="s">
        <v>1057</v>
      </c>
      <c r="HS17" s="1051" t="str">
        <f t="shared" si="669"/>
        <v>#NAME?</v>
      </c>
      <c r="HT17" s="1131" t="str">
        <f t="shared" si="670"/>
        <v>#NAME?</v>
      </c>
      <c r="HU17" s="1095" t="s">
        <v>5006</v>
      </c>
      <c r="HV17" s="65"/>
      <c r="HW17" s="1266"/>
      <c r="HX17" s="1259" t="s">
        <v>5343</v>
      </c>
      <c r="HY17" s="12"/>
      <c r="HZ17" s="962"/>
      <c r="IA17" s="1258" t="s">
        <v>4608</v>
      </c>
      <c r="IB17" s="65"/>
      <c r="IC17" s="1193" t="str">
        <f t="shared" si="608"/>
        <v>#NAME?</v>
      </c>
      <c r="ID17" s="1335" t="s">
        <v>1499</v>
      </c>
      <c r="IE17" s="1462" t="str">
        <f t="shared" si="609"/>
        <v>#NAME?</v>
      </c>
      <c r="IF17" s="1463" t="str">
        <f t="shared" si="610"/>
        <v>#NAME?</v>
      </c>
      <c r="IG17" s="1336" t="s">
        <v>5007</v>
      </c>
      <c r="II17" s="1159" t="str">
        <f t="shared" si="500"/>
        <v>#NAME?</v>
      </c>
      <c r="IJ17" s="1572" t="s">
        <v>3628</v>
      </c>
      <c r="IK17" s="1497" t="str">
        <f t="shared" si="501"/>
        <v>#NAME?</v>
      </c>
      <c r="IL17" s="1498" t="str">
        <f t="shared" si="502"/>
        <v>#NAME?</v>
      </c>
      <c r="IM17" s="1499" t="s">
        <v>5158</v>
      </c>
      <c r="IQ17" s="349"/>
      <c r="IR17" s="349"/>
      <c r="IT17" s="1230"/>
      <c r="IU17" s="1266"/>
      <c r="IV17" s="1259" t="s">
        <v>5344</v>
      </c>
      <c r="IW17" s="12"/>
      <c r="IX17" s="962"/>
      <c r="IY17" s="1258" t="s">
        <v>4608</v>
      </c>
      <c r="IZ17" s="442"/>
      <c r="JC17" s="349"/>
      <c r="JD17" s="349"/>
      <c r="JE17" s="349"/>
      <c r="JF17" s="442"/>
      <c r="JG17" s="1012" t="str">
        <f t="shared" ref="JG17:JG18" si="785">MONICON21(JH17)</f>
        <v>#NAME?</v>
      </c>
      <c r="JH17" s="1157" t="s">
        <v>4111</v>
      </c>
      <c r="JI17" s="977" t="str">
        <f t="shared" ref="JI17:JI18" si="786">MONTYPEICON1(JH17)</f>
        <v>#NAME?</v>
      </c>
      <c r="JJ17" s="980" t="str">
        <f t="shared" ref="JJ17:JJ18" si="787">MONTYPEICON2(JH17)</f>
        <v>#NAME?</v>
      </c>
      <c r="JK17" s="1303" t="s">
        <v>5008</v>
      </c>
      <c r="JL17" s="442"/>
      <c r="JO17" s="349"/>
      <c r="JP17" s="349"/>
      <c r="JQ17" s="349"/>
      <c r="JR17" s="442"/>
      <c r="JS17" s="1230"/>
      <c r="JT17" s="1230"/>
      <c r="JU17" s="349"/>
      <c r="JV17" s="349"/>
      <c r="JW17" s="108"/>
      <c r="JX17" s="1230"/>
      <c r="JY17" s="1159" t="str">
        <f t="shared" si="506"/>
        <v>#NAME?</v>
      </c>
      <c r="JZ17" s="1500" t="s">
        <v>3649</v>
      </c>
      <c r="KA17" s="1497" t="str">
        <f t="shared" si="507"/>
        <v>#NAME?</v>
      </c>
      <c r="KB17" s="1498" t="str">
        <f t="shared" si="508"/>
        <v>#NAME?</v>
      </c>
      <c r="KC17" s="1456" t="s">
        <v>5014</v>
      </c>
      <c r="KD17" s="1230"/>
      <c r="KE17" s="1535" t="s">
        <v>5345</v>
      </c>
      <c r="KF17" s="976"/>
      <c r="KG17" s="976"/>
      <c r="KH17" s="974"/>
      <c r="KI17" s="1536" t="s">
        <v>4608</v>
      </c>
      <c r="KK17" s="1280"/>
      <c r="KL17" s="1281" t="s">
        <v>5346</v>
      </c>
      <c r="KM17" s="12"/>
      <c r="KN17" s="962"/>
      <c r="KO17" s="1282" t="s">
        <v>4608</v>
      </c>
      <c r="KQ17" s="961" t="s">
        <v>5272</v>
      </c>
      <c r="KR17" s="12"/>
      <c r="KS17" s="48"/>
      <c r="KT17" s="349"/>
      <c r="KU17" s="349"/>
      <c r="KW17" s="1351" t="str">
        <f t="shared" si="728"/>
        <v>#NAME?</v>
      </c>
      <c r="KX17" s="1366" t="s">
        <v>2148</v>
      </c>
      <c r="KY17" s="1353" t="str">
        <f t="shared" si="729"/>
        <v>#NAME?</v>
      </c>
      <c r="KZ17" s="1354" t="str">
        <f t="shared" si="730"/>
        <v>#NAME?</v>
      </c>
      <c r="LA17" s="1367" t="s">
        <v>5013</v>
      </c>
      <c r="LB17" s="442"/>
      <c r="LE17" s="349"/>
      <c r="LF17" s="349"/>
      <c r="LI17" s="1094" t="str">
        <f t="shared" si="671"/>
        <v>#NAME?</v>
      </c>
      <c r="LJ17" s="1127" t="s">
        <v>2293</v>
      </c>
      <c r="LK17" s="1420" t="str">
        <f t="shared" si="672"/>
        <v>#NAME?</v>
      </c>
      <c r="LL17" s="475" t="str">
        <f t="shared" si="673"/>
        <v>#NAME?</v>
      </c>
      <c r="LM17" s="1422" t="s">
        <v>5013</v>
      </c>
      <c r="LQ17" s="349"/>
      <c r="LR17" s="349"/>
      <c r="LU17" s="1266"/>
      <c r="LV17" s="1259" t="s">
        <v>5347</v>
      </c>
      <c r="LW17" s="12"/>
      <c r="LX17" s="962"/>
      <c r="LY17" s="1258" t="s">
        <v>4608</v>
      </c>
      <c r="MA17" s="1346" t="str">
        <f t="shared" si="731"/>
        <v>#NAME?</v>
      </c>
      <c r="MB17" s="1370" t="s">
        <v>3964</v>
      </c>
      <c r="MC17" s="1348" t="str">
        <f t="shared" si="732"/>
        <v>#NAME?</v>
      </c>
      <c r="MD17" s="1349" t="str">
        <f t="shared" si="733"/>
        <v>#NAME?</v>
      </c>
      <c r="ME17" s="1371" t="s">
        <v>5015</v>
      </c>
      <c r="MG17" s="985" t="str">
        <f>MONICON21(MH17)</f>
        <v>#NAME?</v>
      </c>
      <c r="MH17" s="1052" t="s">
        <v>4233</v>
      </c>
      <c r="MI17" s="1092" t="str">
        <f>MONTYPEICON1(MH17)</f>
        <v>#NAME?</v>
      </c>
      <c r="MJ17" s="987" t="str">
        <f>MONTYPEICON2(MH17)</f>
        <v>#NAME?</v>
      </c>
      <c r="MK17" s="1573" t="s">
        <v>5164</v>
      </c>
      <c r="MM17" s="983" t="str">
        <f t="shared" ref="MM17:MM19" si="788">MONICON21(MN17)</f>
        <v>#NAME?</v>
      </c>
      <c r="MN17" s="1301" t="s">
        <v>406</v>
      </c>
      <c r="MO17" s="977" t="str">
        <f t="shared" ref="MO17:MO19" si="789">MONTYPEICON1(MN17)</f>
        <v>#NAME?</v>
      </c>
      <c r="MP17" s="980" t="str">
        <f t="shared" ref="MP17:MP19" si="790">MONTYPEICON2(MN17)</f>
        <v>#NAME?</v>
      </c>
      <c r="MQ17" s="1318" t="s">
        <v>5015</v>
      </c>
      <c r="MS17" s="1049" t="str">
        <f t="shared" si="674"/>
        <v>#NAME?</v>
      </c>
      <c r="MT17" s="1127" t="s">
        <v>4197</v>
      </c>
      <c r="MU17" s="1051" t="str">
        <f t="shared" si="675"/>
        <v>#NAME?</v>
      </c>
      <c r="MV17" s="1131" t="str">
        <f t="shared" si="676"/>
        <v>#NAME?</v>
      </c>
      <c r="MW17" s="1422" t="s">
        <v>5164</v>
      </c>
      <c r="MX17" s="442"/>
      <c r="MY17" s="1346" t="str">
        <f t="shared" si="512"/>
        <v>#NAME?</v>
      </c>
      <c r="MZ17" s="1370" t="s">
        <v>3964</v>
      </c>
      <c r="NA17" s="1348" t="str">
        <f t="shared" si="513"/>
        <v>#NAME?</v>
      </c>
      <c r="NB17" s="1349" t="str">
        <f t="shared" si="514"/>
        <v>#NAME?</v>
      </c>
      <c r="NC17" s="1371" t="s">
        <v>5069</v>
      </c>
      <c r="ND17" s="442"/>
      <c r="NE17" s="1012" t="str">
        <f t="shared" ref="NE17:NE18" si="791">MONICON21(NF17)</f>
        <v>#NAME?</v>
      </c>
      <c r="NF17" s="1301" t="s">
        <v>2148</v>
      </c>
      <c r="NG17" s="1311" t="str">
        <f t="shared" ref="NG17:NG18" si="792">MONTYPEICON1(NF17)</f>
        <v>#NAME?</v>
      </c>
      <c r="NH17" s="1312" t="str">
        <f t="shared" ref="NH17:NH18" si="793">MONTYPEICON2(NF17)</f>
        <v>#NAME?</v>
      </c>
      <c r="NI17" s="1318" t="s">
        <v>5069</v>
      </c>
      <c r="NJ17" s="65"/>
      <c r="NM17" s="349"/>
      <c r="NN17" s="349"/>
      <c r="NQ17" s="442"/>
      <c r="NR17" s="442"/>
      <c r="NS17" s="349"/>
      <c r="NT17" s="349"/>
      <c r="NU17" s="442"/>
      <c r="NV17" s="442"/>
      <c r="NW17" s="1012" t="str">
        <f t="shared" ref="NW17:NW18" si="794">MONICON21(NX17)</f>
        <v>#NAME?</v>
      </c>
      <c r="NX17" s="1301" t="s">
        <v>989</v>
      </c>
      <c r="NY17" s="1311" t="str">
        <f t="shared" ref="NY17:NY18" si="795">MONTYPEICON1(NX17)</f>
        <v>#NAME?</v>
      </c>
      <c r="NZ17" s="1312" t="str">
        <f t="shared" ref="NZ17:NZ18" si="796">MONTYPEICON2(NX17)</f>
        <v>#NAME?</v>
      </c>
      <c r="OA17" s="1318" t="s">
        <v>5018</v>
      </c>
      <c r="OB17" s="442"/>
      <c r="OC17" s="1096" t="str">
        <f t="shared" si="680"/>
        <v>#NAME?</v>
      </c>
      <c r="OD17" s="1098" t="s">
        <v>3872</v>
      </c>
      <c r="OE17" s="1417" t="str">
        <f t="shared" si="681"/>
        <v>#NAME?</v>
      </c>
      <c r="OF17" s="62" t="str">
        <f t="shared" si="682"/>
        <v>#NAME?</v>
      </c>
      <c r="OG17" s="1423" t="s">
        <v>5069</v>
      </c>
      <c r="OH17" s="442"/>
      <c r="OI17" s="983" t="str">
        <f t="shared" ref="OI17:OI20" si="797">MONICON21(OJ17)</f>
        <v>#NAME?</v>
      </c>
      <c r="OJ17" s="1301" t="s">
        <v>1637</v>
      </c>
      <c r="OK17" s="1311" t="str">
        <f t="shared" ref="OK17:OK20" si="798">MONTYPEICON1(OJ17)</f>
        <v>#NAME?</v>
      </c>
      <c r="OL17" s="1312" t="str">
        <f t="shared" ref="OL17:OL20" si="799">MONTYPEICON2(OJ17)</f>
        <v>#NAME?</v>
      </c>
      <c r="OM17" s="1318" t="s">
        <v>5020</v>
      </c>
      <c r="ON17" s="442"/>
      <c r="OO17" s="1286"/>
      <c r="OP17" s="1259" t="s">
        <v>5348</v>
      </c>
      <c r="OQ17" s="12"/>
      <c r="OR17" s="962"/>
      <c r="OS17" s="1258" t="s">
        <v>4608</v>
      </c>
      <c r="OU17" s="1266"/>
      <c r="OV17" s="1259" t="s">
        <v>5349</v>
      </c>
      <c r="OW17" s="12"/>
      <c r="OX17" s="962"/>
      <c r="OY17" s="1258" t="s">
        <v>4608</v>
      </c>
      <c r="PA17" s="997"/>
      <c r="PB17" s="1026"/>
      <c r="PC17" s="1026"/>
      <c r="PD17" s="1192"/>
      <c r="PE17" s="1446"/>
      <c r="PF17" s="442"/>
      <c r="PG17" s="1266"/>
      <c r="PH17" s="1259" t="s">
        <v>5350</v>
      </c>
      <c r="PI17" s="12"/>
      <c r="PJ17" s="962"/>
      <c r="PK17" s="1258" t="s">
        <v>4608</v>
      </c>
      <c r="PM17" s="1266"/>
      <c r="PN17" s="1259" t="s">
        <v>5351</v>
      </c>
      <c r="PO17" s="12"/>
      <c r="PP17" s="962"/>
      <c r="PQ17" s="1258" t="s">
        <v>4608</v>
      </c>
      <c r="PR17" s="442"/>
      <c r="PS17" s="983" t="str">
        <f t="shared" ref="PS17:PS20" si="800">MONICON21(PT17)</f>
        <v>#NAME?</v>
      </c>
      <c r="PT17" s="1301" t="s">
        <v>1376</v>
      </c>
      <c r="PU17" s="1311" t="str">
        <f t="shared" ref="PU17:PU20" si="801">MONTYPEICON1(PT17)</f>
        <v>#NAME?</v>
      </c>
      <c r="PV17" s="1312" t="str">
        <f t="shared" ref="PV17:PV20" si="802">MONTYPEICON2(PT17)</f>
        <v>#NAME?</v>
      </c>
      <c r="PW17" s="1318" t="s">
        <v>5352</v>
      </c>
      <c r="PY17" s="1159" t="str">
        <f t="shared" si="524"/>
        <v>#NAME?</v>
      </c>
      <c r="PZ17" s="1453" t="s">
        <v>3649</v>
      </c>
      <c r="QA17" s="1497" t="str">
        <f t="shared" si="525"/>
        <v>#NAME?</v>
      </c>
      <c r="QB17" s="1498" t="str">
        <f t="shared" si="526"/>
        <v>#NAME?</v>
      </c>
      <c r="QC17" s="1504" t="s">
        <v>5032</v>
      </c>
      <c r="QD17" s="442"/>
      <c r="QE17" s="1027" t="str">
        <f t="shared" si="734"/>
        <v>#NAME?</v>
      </c>
      <c r="QF17" s="1340" t="s">
        <v>2065</v>
      </c>
      <c r="QG17" s="1360" t="str">
        <f t="shared" si="735"/>
        <v>#NAME?</v>
      </c>
      <c r="QH17" s="1361" t="str">
        <f t="shared" si="736"/>
        <v>#NAME?</v>
      </c>
      <c r="QI17" s="1376" t="s">
        <v>5032</v>
      </c>
      <c r="QJ17" s="442"/>
      <c r="QK17" s="1457" t="str">
        <f t="shared" si="737"/>
        <v>#NAME?</v>
      </c>
      <c r="QL17" s="1429" t="s">
        <v>1284</v>
      </c>
      <c r="QM17" s="1428" t="str">
        <f t="shared" si="738"/>
        <v>#NAME?</v>
      </c>
      <c r="QN17" s="1430" t="str">
        <f t="shared" si="739"/>
        <v>#NAME?</v>
      </c>
      <c r="QO17" s="1431" t="s">
        <v>5031</v>
      </c>
      <c r="QP17" s="442"/>
      <c r="QQ17" s="1457" t="str">
        <f t="shared" si="740"/>
        <v>#NAME?</v>
      </c>
      <c r="QR17" s="1429" t="s">
        <v>1816</v>
      </c>
      <c r="QS17" s="1428" t="str">
        <f t="shared" si="741"/>
        <v>#NAME?</v>
      </c>
      <c r="QT17" s="1430" t="str">
        <f t="shared" si="742"/>
        <v>#NAME?</v>
      </c>
      <c r="QU17" s="1431" t="s">
        <v>5033</v>
      </c>
      <c r="QV17" s="442"/>
      <c r="QW17" s="1457" t="str">
        <f t="shared" si="743"/>
        <v>#NAME?</v>
      </c>
      <c r="QX17" s="1429" t="s">
        <v>3911</v>
      </c>
      <c r="QY17" s="1428" t="str">
        <f t="shared" si="744"/>
        <v>#NAME?</v>
      </c>
      <c r="QZ17" s="1430" t="str">
        <f t="shared" si="745"/>
        <v>#NAME?</v>
      </c>
      <c r="RA17" s="1431" t="s">
        <v>5112</v>
      </c>
      <c r="RB17" s="442"/>
      <c r="RC17" s="1457" t="str">
        <f t="shared" si="746"/>
        <v>#NAME?</v>
      </c>
      <c r="RD17" s="1429" t="s">
        <v>1968</v>
      </c>
      <c r="RE17" s="1428" t="str">
        <f t="shared" si="747"/>
        <v>#NAME?</v>
      </c>
      <c r="RF17" s="1430" t="str">
        <f t="shared" si="748"/>
        <v>#NAME?</v>
      </c>
      <c r="RG17" s="1431" t="s">
        <v>5113</v>
      </c>
      <c r="RH17" s="442"/>
      <c r="RI17" s="1457" t="str">
        <f t="shared" si="749"/>
        <v>#NAME?</v>
      </c>
      <c r="RJ17" s="1429" t="s">
        <v>4010</v>
      </c>
      <c r="RK17" s="1428" t="str">
        <f t="shared" si="750"/>
        <v>#NAME?</v>
      </c>
      <c r="RL17" s="1430" t="str">
        <f t="shared" si="751"/>
        <v>#NAME?</v>
      </c>
      <c r="RM17" s="1431" t="s">
        <v>5092</v>
      </c>
      <c r="RN17" s="442"/>
      <c r="RO17" s="1049" t="str">
        <f t="shared" si="683"/>
        <v>#NAME?</v>
      </c>
      <c r="RP17" s="1127" t="s">
        <v>4183</v>
      </c>
      <c r="RQ17" s="1051" t="str">
        <f t="shared" si="684"/>
        <v>#NAME?</v>
      </c>
      <c r="RR17" s="1131" t="str">
        <f t="shared" si="685"/>
        <v>#NAME?</v>
      </c>
      <c r="RS17" s="1422" t="s">
        <v>5025</v>
      </c>
      <c r="RT17" s="442"/>
      <c r="RU17" s="1266"/>
      <c r="RV17" s="1256" t="s">
        <v>5353</v>
      </c>
      <c r="RW17" s="1285" t="s">
        <v>4888</v>
      </c>
      <c r="RX17" s="962"/>
      <c r="RY17" s="1004" t="s">
        <v>4608</v>
      </c>
      <c r="RZ17" s="442"/>
      <c r="SC17" s="349"/>
      <c r="SD17" s="349"/>
      <c r="SI17" s="349"/>
      <c r="SJ17" s="349"/>
      <c r="SL17" s="442"/>
      <c r="SM17" s="1286"/>
      <c r="SN17" s="1256" t="s">
        <v>5354</v>
      </c>
      <c r="SO17" s="1285" t="s">
        <v>4888</v>
      </c>
      <c r="SP17" s="962"/>
      <c r="SQ17" s="1004" t="s">
        <v>4608</v>
      </c>
      <c r="SS17" s="1096" t="str">
        <f t="shared" si="689"/>
        <v>#NAME?</v>
      </c>
      <c r="ST17" s="1098" t="s">
        <v>687</v>
      </c>
      <c r="SU17" s="1417" t="str">
        <f t="shared" si="690"/>
        <v>#NAME?</v>
      </c>
      <c r="SV17" s="62" t="str">
        <f t="shared" si="691"/>
        <v>#NAME?</v>
      </c>
      <c r="SW17" s="1423" t="s">
        <v>5113</v>
      </c>
      <c r="SY17" s="1266"/>
      <c r="SZ17" s="1259" t="s">
        <v>5355</v>
      </c>
      <c r="TA17" s="12"/>
      <c r="TB17" s="962"/>
      <c r="TC17" s="1004" t="s">
        <v>4608</v>
      </c>
      <c r="TD17" s="65"/>
      <c r="TE17" s="985" t="str">
        <f>MONICON21(TF17)</f>
        <v>#NAME?</v>
      </c>
      <c r="TF17" s="1229" t="s">
        <v>1508</v>
      </c>
      <c r="TG17" s="22" t="str">
        <f>MONTYPEICON1(TF17)</f>
        <v>#NAME?</v>
      </c>
      <c r="TH17" s="24" t="str">
        <f>MONTYPEICON2(TF17)</f>
        <v>#NAME?</v>
      </c>
      <c r="TI17" s="1424" t="s">
        <v>5026</v>
      </c>
      <c r="TK17" s="1266"/>
      <c r="TL17" s="1259" t="s">
        <v>5356</v>
      </c>
      <c r="TM17" s="12"/>
      <c r="TN17" s="962"/>
      <c r="TO17" s="1004" t="s">
        <v>4608</v>
      </c>
      <c r="TQ17" s="1266"/>
      <c r="TR17" s="1259" t="s">
        <v>5357</v>
      </c>
      <c r="TS17" s="12"/>
      <c r="TT17" s="962"/>
      <c r="TU17" s="1004" t="s">
        <v>4608</v>
      </c>
      <c r="TW17" s="977" t="str">
        <f t="shared" ref="TW17:TW22" si="803">MONICON21(TX17)</f>
        <v>#NAME?</v>
      </c>
      <c r="TX17" s="1301" t="s">
        <v>4063</v>
      </c>
      <c r="TY17" s="977" t="str">
        <f t="shared" ref="TY17:TY22" si="804">MONTYPEICON1(TX17)</f>
        <v>#NAME?</v>
      </c>
      <c r="TZ17" s="980" t="str">
        <f t="shared" ref="TZ17:TZ22" si="805">MONTYPEICON2(TX17)</f>
        <v>#NAME?</v>
      </c>
      <c r="UA17" s="1303" t="s">
        <v>5227</v>
      </c>
      <c r="UC17" s="1428" t="str">
        <f t="shared" si="752"/>
        <v>#NAME?</v>
      </c>
      <c r="UD17" s="1429" t="s">
        <v>2831</v>
      </c>
      <c r="UE17" s="1428" t="str">
        <f t="shared" si="753"/>
        <v>#NAME?</v>
      </c>
      <c r="UF17" s="1430" t="str">
        <f t="shared" si="754"/>
        <v>#NAME?</v>
      </c>
      <c r="UG17" s="1431" t="s">
        <v>5063</v>
      </c>
      <c r="UI17" s="1033" t="str">
        <f t="shared" ref="UI17:UI18" si="806">MONICON21(UJ17)</f>
        <v>#NAME?</v>
      </c>
      <c r="UJ17" s="1301" t="s">
        <v>3896</v>
      </c>
      <c r="UK17" s="977" t="str">
        <f t="shared" ref="UK17:UK18" si="807">MONTYPEICON1(UJ17)</f>
        <v>#NAME?</v>
      </c>
      <c r="UL17" s="980" t="str">
        <f t="shared" ref="UL17:UL18" si="808">MONTYPEICON2(UJ17)</f>
        <v>#NAME?</v>
      </c>
      <c r="UM17" s="1302" t="s">
        <v>5030</v>
      </c>
      <c r="UO17" s="1293"/>
      <c r="UP17" s="1291" t="s">
        <v>5358</v>
      </c>
      <c r="UQ17" s="12"/>
      <c r="UR17" s="962"/>
      <c r="US17" s="1292" t="s">
        <v>4608</v>
      </c>
      <c r="UU17" s="1293"/>
      <c r="UV17" s="1291" t="s">
        <v>5359</v>
      </c>
      <c r="UW17" s="12"/>
      <c r="UX17" s="962"/>
      <c r="UY17" s="1292" t="s">
        <v>4608</v>
      </c>
      <c r="VA17" s="977" t="str">
        <f t="shared" ref="VA17:VA19" si="809">MONICON21(VB17)</f>
        <v>#NAME?</v>
      </c>
      <c r="VB17" s="1301" t="s">
        <v>1705</v>
      </c>
      <c r="VC17" s="979" t="str">
        <f t="shared" ref="VC17:VC19" si="810">MONTYPEICON1(VB17)</f>
        <v>#NAME?</v>
      </c>
      <c r="VD17" s="1314" t="str">
        <f t="shared" ref="VD17:VD19" si="811">MONTYPEICON2(VB17)</f>
        <v>#NAME?</v>
      </c>
      <c r="VE17" s="1303" t="s">
        <v>5118</v>
      </c>
      <c r="VG17" s="1294"/>
      <c r="VH17" s="1291" t="s">
        <v>5360</v>
      </c>
      <c r="VI17" s="12"/>
      <c r="VJ17" s="962"/>
      <c r="VK17" s="1292" t="s">
        <v>4608</v>
      </c>
      <c r="VL17" s="442"/>
      <c r="VM17" s="977" t="str">
        <f t="shared" ref="VM17:VM19" si="812">MONICON21(VN17)</f>
        <v>#NAME?</v>
      </c>
      <c r="VN17" s="1301" t="s">
        <v>3715</v>
      </c>
      <c r="VO17" s="977" t="str">
        <f t="shared" ref="VO17:VO19" si="813">MONTYPEICON1(VN17)</f>
        <v>#NAME?</v>
      </c>
      <c r="VP17" s="980" t="str">
        <f t="shared" ref="VP17:VP19" si="814">MONTYPEICON2(VN17)</f>
        <v>#NAME?</v>
      </c>
      <c r="VQ17" s="1302" t="s">
        <v>5361</v>
      </c>
      <c r="VR17" s="442"/>
      <c r="VS17" s="1387" t="str">
        <f t="shared" si="755"/>
        <v>#NAME?</v>
      </c>
      <c r="VT17" s="1388" t="s">
        <v>3700</v>
      </c>
      <c r="VU17" s="1387" t="str">
        <f t="shared" si="756"/>
        <v>#NAME?</v>
      </c>
      <c r="VV17" s="1392" t="str">
        <f t="shared" si="757"/>
        <v>#NAME?</v>
      </c>
      <c r="VW17" s="1391" t="s">
        <v>5034</v>
      </c>
      <c r="VX17" s="442"/>
      <c r="VY17" s="977" t="str">
        <f t="shared" ref="VY17:VY19" si="815">MONICON21(VZ17)</f>
        <v>#NAME?</v>
      </c>
      <c r="VZ17" s="1301" t="s">
        <v>3879</v>
      </c>
      <c r="WA17" s="977" t="str">
        <f t="shared" ref="WA17:WA19" si="816">MONTYPEICON1(VZ17)</f>
        <v>#NAME?</v>
      </c>
      <c r="WB17" s="980" t="str">
        <f t="shared" ref="WB17:WB19" si="817">MONTYPEICON2(VZ17)</f>
        <v>#NAME?</v>
      </c>
      <c r="WC17" s="1303" t="s">
        <v>5032</v>
      </c>
      <c r="WD17" s="442"/>
      <c r="WE17" s="1294"/>
      <c r="WF17" s="1291" t="s">
        <v>5362</v>
      </c>
      <c r="WG17" s="12"/>
      <c r="WH17" s="962"/>
      <c r="WI17" s="1292" t="s">
        <v>4608</v>
      </c>
      <c r="WJ17" s="442"/>
      <c r="WK17" s="1295" t="s">
        <v>5182</v>
      </c>
      <c r="WL17" s="12"/>
      <c r="WM17" s="12"/>
      <c r="WN17" s="12"/>
      <c r="WO17" s="48"/>
      <c r="WP17" s="442"/>
      <c r="WQ17" s="1051" t="str">
        <f t="shared" si="701"/>
        <v>#NAME?</v>
      </c>
      <c r="WR17" s="1127" t="s">
        <v>2752</v>
      </c>
      <c r="WS17" s="1051" t="str">
        <f t="shared" si="702"/>
        <v>#NAME?</v>
      </c>
      <c r="WT17" s="1131" t="str">
        <f t="shared" si="703"/>
        <v>#NAME?</v>
      </c>
      <c r="WU17" s="1095" t="s">
        <v>5015</v>
      </c>
      <c r="WV17" s="442"/>
      <c r="WW17" s="977" t="str">
        <f t="shared" ref="WW17:WW19" si="818">MONICON21(WX17)</f>
        <v>#NAME?</v>
      </c>
      <c r="WX17" s="1301" t="s">
        <v>1788</v>
      </c>
      <c r="WY17" s="977" t="str">
        <f t="shared" ref="WY17:WY19" si="819">MONTYPEICON1(WX17)</f>
        <v>#NAME?</v>
      </c>
      <c r="WZ17" s="980" t="str">
        <f t="shared" ref="WZ17:WZ19" si="820">MONTYPEICON2(WX17)</f>
        <v>#NAME?</v>
      </c>
      <c r="XA17" s="1303" t="s">
        <v>5032</v>
      </c>
      <c r="XB17" s="442"/>
      <c r="XC17" s="1387" t="str">
        <f t="shared" si="647"/>
        <v>#NAME?</v>
      </c>
      <c r="XD17" s="1388" t="s">
        <v>1312</v>
      </c>
      <c r="XE17" s="1387" t="str">
        <f t="shared" si="648"/>
        <v>#NAME?</v>
      </c>
      <c r="XF17" s="1392" t="str">
        <f t="shared" si="649"/>
        <v>#NAME?</v>
      </c>
      <c r="XG17" s="1394" t="s">
        <v>5004</v>
      </c>
      <c r="XH17" s="442"/>
      <c r="XI17" s="1383" t="str">
        <f t="shared" si="530"/>
        <v>#NAME?</v>
      </c>
      <c r="XJ17" s="1384" t="s">
        <v>3736</v>
      </c>
      <c r="XK17" s="1383" t="str">
        <f t="shared" si="531"/>
        <v>#NAME?</v>
      </c>
      <c r="XL17" s="1385" t="str">
        <f t="shared" si="532"/>
        <v>#NAME?</v>
      </c>
      <c r="XM17" s="1507" t="s">
        <v>5017</v>
      </c>
      <c r="XN17" s="442"/>
      <c r="XO17" s="1387" t="str">
        <f t="shared" si="758"/>
        <v>#NAME?</v>
      </c>
      <c r="XP17" s="1388" t="s">
        <v>2625</v>
      </c>
      <c r="XQ17" s="1387" t="str">
        <f t="shared" si="759"/>
        <v>#NAME?</v>
      </c>
      <c r="XR17" s="1392" t="str">
        <f t="shared" si="760"/>
        <v>#NAME?</v>
      </c>
      <c r="XS17" s="1391" t="s">
        <v>5174</v>
      </c>
      <c r="XT17" s="442"/>
      <c r="XU17" s="977" t="str">
        <f t="shared" ref="XU17:XU19" si="821">MONICON21(XV17)</f>
        <v>#NAME?</v>
      </c>
      <c r="XV17" s="1301" t="s">
        <v>742</v>
      </c>
      <c r="XW17" s="977" t="str">
        <f t="shared" ref="XW17:XW19" si="822">MONTYPEICON1(XV17)</f>
        <v>#NAME?</v>
      </c>
      <c r="XX17" s="980" t="str">
        <f t="shared" ref="XX17:XX19" si="823">MONTYPEICON2(XV17)</f>
        <v>#NAME?</v>
      </c>
      <c r="XY17" s="1303" t="s">
        <v>5018</v>
      </c>
      <c r="XZ17" s="442"/>
      <c r="YA17" s="1296"/>
      <c r="YB17" s="1291" t="s">
        <v>5363</v>
      </c>
      <c r="YC17" s="12"/>
      <c r="YD17" s="962"/>
      <c r="YE17" s="1292" t="s">
        <v>4608</v>
      </c>
      <c r="YF17" s="442"/>
      <c r="YG17" s="1296"/>
      <c r="YH17" s="1291" t="s">
        <v>5364</v>
      </c>
      <c r="YI17" s="12"/>
      <c r="YJ17" s="962"/>
      <c r="YK17" s="1292" t="s">
        <v>4608</v>
      </c>
      <c r="YL17" s="442"/>
      <c r="YM17" s="1051" t="str">
        <f t="shared" si="704"/>
        <v>#NAME?</v>
      </c>
      <c r="YN17" s="1127" t="s">
        <v>2170</v>
      </c>
      <c r="YO17" s="1051" t="str">
        <f t="shared" si="705"/>
        <v>#NAME?</v>
      </c>
      <c r="YP17" s="1131" t="str">
        <f t="shared" si="706"/>
        <v>#NAME?</v>
      </c>
      <c r="YQ17" s="1095" t="s">
        <v>5031</v>
      </c>
      <c r="YR17" s="442"/>
      <c r="YS17" s="442"/>
      <c r="YT17" s="442"/>
      <c r="YU17" s="108"/>
      <c r="YV17" s="108"/>
      <c r="YW17" s="442"/>
      <c r="YX17" s="442"/>
      <c r="YY17" s="1294"/>
      <c r="YZ17" s="1291" t="s">
        <v>5365</v>
      </c>
      <c r="ZA17" s="12"/>
      <c r="ZB17" s="962"/>
      <c r="ZC17" s="1292" t="s">
        <v>4608</v>
      </c>
      <c r="ZD17" s="442"/>
      <c r="ZE17" s="1574" t="s">
        <v>5366</v>
      </c>
      <c r="ZF17" s="1203"/>
      <c r="ZG17" s="1203"/>
      <c r="ZH17" s="1203"/>
      <c r="ZI17" s="1204"/>
      <c r="ZJ17" s="442"/>
      <c r="ZK17" s="349"/>
      <c r="ZM17" s="349"/>
      <c r="ZN17" s="349"/>
      <c r="ZP17" s="442"/>
      <c r="ZV17" s="442"/>
      <c r="ZW17" s="1051" t="str">
        <f t="shared" si="707"/>
        <v>#NAME?</v>
      </c>
      <c r="ZX17" s="1127" t="s">
        <v>254</v>
      </c>
      <c r="ZY17" s="1051" t="str">
        <f t="shared" si="708"/>
        <v>#NAME?</v>
      </c>
      <c r="ZZ17" s="1131" t="str">
        <f t="shared" si="709"/>
        <v>#NAME?</v>
      </c>
      <c r="AAA17" s="1095" t="s">
        <v>5026</v>
      </c>
      <c r="AAB17" s="442"/>
      <c r="AAC17" s="1051" t="str">
        <f t="shared" si="710"/>
        <v>#NAME?</v>
      </c>
      <c r="AAD17" s="1127" t="s">
        <v>673</v>
      </c>
      <c r="AAE17" s="1051" t="str">
        <f t="shared" si="711"/>
        <v>#NAME?</v>
      </c>
      <c r="AAF17" s="1131" t="str">
        <f t="shared" si="712"/>
        <v>#NAME?</v>
      </c>
      <c r="AAG17" s="1095" t="s">
        <v>5026</v>
      </c>
      <c r="AAH17" s="442"/>
      <c r="AAI17" s="349"/>
      <c r="AAK17" s="349"/>
      <c r="AAL17" s="349"/>
      <c r="AAO17" s="349"/>
      <c r="AAQ17" s="349"/>
      <c r="AAR17" s="349"/>
      <c r="AAU17" s="1383" t="str">
        <f t="shared" si="539"/>
        <v>#NAME?</v>
      </c>
      <c r="AAV17" s="1384" t="s">
        <v>4077</v>
      </c>
      <c r="AAW17" s="1383" t="str">
        <f t="shared" si="540"/>
        <v>#NAME?</v>
      </c>
      <c r="AAX17" s="1385" t="str">
        <f t="shared" si="541"/>
        <v>#NAME?</v>
      </c>
      <c r="AAY17" s="1510" t="s">
        <v>5227</v>
      </c>
      <c r="ABA17" s="1383" t="str">
        <f t="shared" si="542"/>
        <v>#NAME?</v>
      </c>
      <c r="ABB17" s="1384" t="s">
        <v>4160</v>
      </c>
      <c r="ABC17" s="1383" t="str">
        <f t="shared" si="543"/>
        <v>#NAME?</v>
      </c>
      <c r="ABD17" s="1385" t="str">
        <f t="shared" si="544"/>
        <v>#NAME?</v>
      </c>
      <c r="ABE17" s="1510" t="s">
        <v>5228</v>
      </c>
      <c r="ABG17" s="1383" t="str">
        <f t="shared" si="545"/>
        <v>#NAME?</v>
      </c>
      <c r="ABH17" s="1384" t="s">
        <v>1482</v>
      </c>
      <c r="ABI17" s="1383" t="str">
        <f t="shared" si="546"/>
        <v>#NAME?</v>
      </c>
      <c r="ABJ17" s="1385" t="str">
        <f t="shared" si="547"/>
        <v>#NAME?</v>
      </c>
      <c r="ABK17" s="1510" t="s">
        <v>5229</v>
      </c>
      <c r="ABM17" s="1383" t="str">
        <f t="shared" si="548"/>
        <v>#NAME?</v>
      </c>
      <c r="ABN17" s="1384" t="s">
        <v>3520</v>
      </c>
      <c r="ABO17" s="1383" t="str">
        <f t="shared" si="549"/>
        <v>#NAME?</v>
      </c>
      <c r="ABP17" s="1385" t="str">
        <f t="shared" si="550"/>
        <v>#NAME?</v>
      </c>
      <c r="ABQ17" s="1510" t="s">
        <v>5367</v>
      </c>
      <c r="ABS17" s="1383" t="str">
        <f t="shared" si="551"/>
        <v>#NAME?</v>
      </c>
      <c r="ABT17" s="1384" t="s">
        <v>3539</v>
      </c>
      <c r="ABU17" s="1383" t="str">
        <f t="shared" si="552"/>
        <v>#NAME?</v>
      </c>
      <c r="ABV17" s="1385" t="str">
        <f t="shared" si="553"/>
        <v>#NAME?</v>
      </c>
      <c r="ABW17" s="1510" t="s">
        <v>5198</v>
      </c>
      <c r="ABY17" s="1484"/>
      <c r="ABZ17" s="1485" t="s">
        <v>5368</v>
      </c>
      <c r="ACA17" s="416"/>
      <c r="ACB17" s="1486"/>
      <c r="ACC17" s="1487" t="s">
        <v>4608</v>
      </c>
      <c r="ACE17" s="442"/>
      <c r="ACF17" s="442"/>
      <c r="ACG17" s="442"/>
      <c r="ACH17" s="442"/>
      <c r="ACI17" s="442"/>
      <c r="ACJ17" s="996"/>
    </row>
    <row r="18" ht="15.75" customHeight="1">
      <c r="A18" s="1230"/>
      <c r="D18" s="1478"/>
      <c r="E18" s="1230"/>
      <c r="F18" s="1238"/>
      <c r="G18" s="1254"/>
      <c r="H18" s="1230"/>
      <c r="N18" s="1230"/>
      <c r="O18" s="1033" t="str">
        <f t="shared" ref="O18:O19" si="824">MONICON21(P18)</f>
        <v>#NAME?</v>
      </c>
      <c r="P18" s="1301" t="s">
        <v>724</v>
      </c>
      <c r="Q18" s="977" t="str">
        <f t="shared" ref="Q18:Q19" si="825">MONTYPEICON1(P18)</f>
        <v>#NAME?</v>
      </c>
      <c r="R18" s="980" t="str">
        <f t="shared" ref="R18:R19" si="826">MONTYPEICON2(P18)</f>
        <v>#NAME?</v>
      </c>
      <c r="S18" s="1303" t="s">
        <v>5097</v>
      </c>
      <c r="T18" s="1230"/>
      <c r="U18" s="1341" t="str">
        <f t="shared" si="761"/>
        <v>#NAME?</v>
      </c>
      <c r="V18" s="1340" t="s">
        <v>4037</v>
      </c>
      <c r="W18" s="1027" t="str">
        <f t="shared" si="762"/>
        <v>#NAME?</v>
      </c>
      <c r="X18" s="1340" t="str">
        <f t="shared" si="763"/>
        <v>#NAME?</v>
      </c>
      <c r="Y18" s="1343" t="s">
        <v>5130</v>
      </c>
      <c r="Z18" s="1230"/>
      <c r="AA18" s="1255"/>
      <c r="AB18" s="1259" t="s">
        <v>5369</v>
      </c>
      <c r="AC18" s="12"/>
      <c r="AD18" s="962"/>
      <c r="AE18" s="1258" t="s">
        <v>4608</v>
      </c>
      <c r="AF18" s="1230"/>
      <c r="AG18" s="1021" t="str">
        <f t="shared" si="764"/>
        <v>#NAME?</v>
      </c>
      <c r="AH18" s="1123" t="s">
        <v>3227</v>
      </c>
      <c r="AI18" s="1021" t="str">
        <f t="shared" si="765"/>
        <v>#NAME?</v>
      </c>
      <c r="AJ18" s="1024" t="str">
        <f t="shared" si="766"/>
        <v>#NAME?</v>
      </c>
      <c r="AK18" s="1339" t="s">
        <v>5208</v>
      </c>
      <c r="AL18" s="1230"/>
      <c r="AM18" s="1033" t="str">
        <f t="shared" ref="AM18:AM20" si="827">MONICON21(AN18)</f>
        <v>#NAME?</v>
      </c>
      <c r="AN18" s="1407" t="s">
        <v>3849</v>
      </c>
      <c r="AO18" s="977" t="str">
        <f t="shared" ref="AO18:AO20" si="828">MONTYPEICON1(AN18)</f>
        <v>#NAME?</v>
      </c>
      <c r="AP18" s="980" t="str">
        <f t="shared" ref="AP18:AP20" si="829">MONTYPEICON2(AN18)</f>
        <v>#NAME?</v>
      </c>
      <c r="AQ18" s="1408" t="s">
        <v>5074</v>
      </c>
      <c r="AR18" s="1230"/>
      <c r="AS18" s="1448" t="str">
        <f t="shared" si="767"/>
        <v>#NAME?</v>
      </c>
      <c r="AT18" s="1449" t="s">
        <v>1647</v>
      </c>
      <c r="AU18" s="1348" t="str">
        <f t="shared" si="768"/>
        <v>#NAME?</v>
      </c>
      <c r="AV18" s="1349" t="str">
        <f t="shared" si="769"/>
        <v>#NAME?</v>
      </c>
      <c r="AW18" s="1450" t="s">
        <v>5076</v>
      </c>
      <c r="AX18" s="1230"/>
      <c r="AY18" s="1146" t="str">
        <f t="shared" si="770"/>
        <v>#NAME?</v>
      </c>
      <c r="AZ18" s="1335" t="s">
        <v>1</v>
      </c>
      <c r="BA18" s="1146" t="str">
        <f t="shared" si="771"/>
        <v>#NAME?</v>
      </c>
      <c r="BB18" s="1148" t="str">
        <f t="shared" si="772"/>
        <v>#NAME?</v>
      </c>
      <c r="BC18" s="1336" t="s">
        <v>5337</v>
      </c>
      <c r="BD18" s="1230"/>
      <c r="BE18" s="1255"/>
      <c r="BF18" s="1259" t="s">
        <v>5370</v>
      </c>
      <c r="BG18" s="12"/>
      <c r="BH18" s="962"/>
      <c r="BI18" s="1258" t="s">
        <v>4608</v>
      </c>
      <c r="BJ18" s="1230"/>
      <c r="BK18" s="1255"/>
      <c r="BL18" s="1259" t="s">
        <v>5371</v>
      </c>
      <c r="BM18" s="12"/>
      <c r="BN18" s="962"/>
      <c r="BO18" s="1258" t="s">
        <v>4608</v>
      </c>
      <c r="BP18" s="442"/>
      <c r="BQ18" s="1255"/>
      <c r="BR18" s="1259" t="s">
        <v>5372</v>
      </c>
      <c r="BS18" s="12"/>
      <c r="BT18" s="962"/>
      <c r="BU18" s="1258" t="s">
        <v>4608</v>
      </c>
      <c r="BV18" s="442"/>
      <c r="BW18" s="1255"/>
      <c r="BX18" s="1259" t="s">
        <v>5373</v>
      </c>
      <c r="BY18" s="12"/>
      <c r="BZ18" s="962"/>
      <c r="CA18" s="1267" t="s">
        <v>4608</v>
      </c>
      <c r="CB18" s="1230"/>
      <c r="CH18" s="442"/>
      <c r="CI18" s="1280"/>
      <c r="CJ18" s="1307" t="s">
        <v>4908</v>
      </c>
      <c r="CK18" s="12"/>
      <c r="CL18" s="962"/>
      <c r="CM18" s="1282" t="s">
        <v>4608</v>
      </c>
      <c r="CN18" s="442"/>
      <c r="CO18" s="1068" t="str">
        <f t="shared" si="773"/>
        <v>#NAME?</v>
      </c>
      <c r="CP18" s="1337" t="s">
        <v>1705</v>
      </c>
      <c r="CQ18" s="1071" t="str">
        <f t="shared" si="774"/>
        <v>#NAME?</v>
      </c>
      <c r="CR18" s="1073" t="str">
        <f t="shared" si="775"/>
        <v>#NAME?</v>
      </c>
      <c r="CS18" s="1338" t="s">
        <v>4994</v>
      </c>
      <c r="CT18" s="442"/>
      <c r="CU18" s="1036" t="str">
        <f t="shared" si="776"/>
        <v>#NAME?</v>
      </c>
      <c r="CV18" s="1451" t="s">
        <v>1007</v>
      </c>
      <c r="CW18" s="1038" t="str">
        <f t="shared" si="777"/>
        <v>#NAME?</v>
      </c>
      <c r="CX18" s="1040" t="str">
        <f t="shared" si="778"/>
        <v>#NAME?</v>
      </c>
      <c r="CY18" s="1452" t="s">
        <v>5135</v>
      </c>
      <c r="CZ18" s="442"/>
      <c r="DA18" s="1012" t="str">
        <f t="shared" ref="DA18:DA20" si="830">MONICON21(DB18)</f>
        <v>#NAME?</v>
      </c>
      <c r="DB18" s="1304" t="s">
        <v>4017</v>
      </c>
      <c r="DC18" s="977" t="str">
        <f t="shared" ref="DC18:DC20" si="831">MONTYPEICON1(DB18)</f>
        <v>#NAME?</v>
      </c>
      <c r="DD18" s="980" t="str">
        <f t="shared" ref="DD18:DD20" si="832">MONTYPEICON2(DB18)</f>
        <v>#NAME?</v>
      </c>
      <c r="DE18" s="1305" t="s">
        <v>5099</v>
      </c>
      <c r="DF18" s="442"/>
      <c r="DG18" s="1012" t="str">
        <f t="shared" ref="DG18:DG21" si="833">MONICON21(DH18)</f>
        <v>#NAME?</v>
      </c>
      <c r="DH18" s="1301" t="s">
        <v>2125</v>
      </c>
      <c r="DI18" s="977" t="str">
        <f t="shared" ref="DI18:DI21" si="834">MONTYPEICON1(DH18)</f>
        <v>#NAME?</v>
      </c>
      <c r="DJ18" s="980" t="str">
        <f t="shared" ref="DJ18:DJ21" si="835">MONTYPEICON2(DH18)</f>
        <v>#NAME?</v>
      </c>
      <c r="DK18" s="1303" t="s">
        <v>5000</v>
      </c>
      <c r="DL18" s="442"/>
      <c r="DM18" s="1012" t="str">
        <f t="shared" ref="DM18:DM20" si="836">MONICON21(DN18)</f>
        <v>#NAME?</v>
      </c>
      <c r="DN18" s="1304" t="s">
        <v>4056</v>
      </c>
      <c r="DO18" s="977" t="str">
        <f t="shared" ref="DO18:DO20" si="837">MONTYPEICON1(DN18)</f>
        <v>#NAME?</v>
      </c>
      <c r="DP18" s="980" t="str">
        <f t="shared" ref="DP18:DP20" si="838">MONTYPEICON2(DN18)</f>
        <v>#NAME?</v>
      </c>
      <c r="DQ18" s="1305" t="s">
        <v>4998</v>
      </c>
      <c r="DR18" s="442"/>
      <c r="DS18" s="1260"/>
      <c r="DT18" s="1261" t="s">
        <v>4892</v>
      </c>
      <c r="DU18" s="959"/>
      <c r="DV18" s="957"/>
      <c r="DW18" s="1262" t="s">
        <v>4608</v>
      </c>
      <c r="DX18" s="442"/>
      <c r="EB18" s="442"/>
      <c r="EC18" s="442"/>
      <c r="ED18" s="442"/>
      <c r="EE18" s="1027" t="str">
        <f t="shared" si="779"/>
        <v>#NAME?</v>
      </c>
      <c r="EF18" s="1458" t="s">
        <v>2065</v>
      </c>
      <c r="EG18" s="1341" t="str">
        <f t="shared" si="780"/>
        <v>#NAME?</v>
      </c>
      <c r="EH18" s="1342" t="str">
        <f t="shared" si="781"/>
        <v>#NAME?</v>
      </c>
      <c r="EI18" s="1362" t="s">
        <v>5079</v>
      </c>
      <c r="EJ18" s="1230"/>
      <c r="EK18" s="983" t="str">
        <f t="shared" ref="EK18:EK20" si="839">MONICON21(EL18)</f>
        <v>#NAME?</v>
      </c>
      <c r="EL18" s="38" t="s">
        <v>4083</v>
      </c>
      <c r="EM18" s="977" t="str">
        <f t="shared" ref="EM18:EM20" si="840">MONTYPEICON1(EL18)</f>
        <v>#NAME?</v>
      </c>
      <c r="EN18" s="980" t="str">
        <f t="shared" ref="EN18:EN20" si="841">MONTYPEICON2(EL18)</f>
        <v>#NAME?</v>
      </c>
      <c r="EO18" s="1043" t="s">
        <v>5201</v>
      </c>
      <c r="EP18" s="1230"/>
      <c r="EQ18" s="985" t="str">
        <f>MONICON21(ER18)</f>
        <v>#NAME?</v>
      </c>
      <c r="ER18" s="1052" t="s">
        <v>458</v>
      </c>
      <c r="ES18" s="1092" t="str">
        <f>MONTYPEICON1(ER18)</f>
        <v>#NAME?</v>
      </c>
      <c r="ET18" s="987" t="str">
        <f>MONTYPEICON2(ER18)</f>
        <v>#NAME?</v>
      </c>
      <c r="EU18" s="1518" t="s">
        <v>5135</v>
      </c>
      <c r="EV18" s="1230"/>
      <c r="EW18" s="985" t="str">
        <f>MONICON21(EX18)</f>
        <v>#NAME?</v>
      </c>
      <c r="EX18" s="1052" t="s">
        <v>1637</v>
      </c>
      <c r="EY18" s="1092" t="str">
        <f>MONTYPEICON1(EX18)</f>
        <v>#NAME?</v>
      </c>
      <c r="EZ18" s="987" t="str">
        <f>MONTYPEICON2(EX18)</f>
        <v>#NAME?</v>
      </c>
      <c r="FA18" s="1091" t="s">
        <v>5078</v>
      </c>
      <c r="FB18" s="442"/>
      <c r="FC18" s="442"/>
      <c r="FD18" s="442"/>
      <c r="FE18" s="108"/>
      <c r="FF18" s="449"/>
      <c r="FG18" s="108"/>
      <c r="FH18" s="442"/>
      <c r="FK18" s="349"/>
      <c r="FL18" s="349"/>
      <c r="FN18" s="442"/>
      <c r="FO18" s="983" t="str">
        <f t="shared" ref="FO18:FO20" si="842">MONICON21(FP18)</f>
        <v>#NAME?</v>
      </c>
      <c r="FP18" s="1157" t="s">
        <v>4117</v>
      </c>
      <c r="FQ18" s="977" t="str">
        <f t="shared" ref="FQ18:FQ20" si="843">MONTYPEICON1(FP18)</f>
        <v>#NAME?</v>
      </c>
      <c r="FR18" s="980" t="str">
        <f t="shared" ref="FR18:FR20" si="844">MONTYPEICON2(FP18)</f>
        <v>#NAME?</v>
      </c>
      <c r="FS18" s="1303" t="s">
        <v>5078</v>
      </c>
      <c r="FT18" s="442"/>
      <c r="FW18" s="349"/>
      <c r="FX18" s="349"/>
      <c r="FZ18" s="442"/>
      <c r="GA18" s="1056" t="str">
        <f t="shared" si="782"/>
        <v>#NAME?</v>
      </c>
      <c r="GB18" s="1377" t="s">
        <v>2752</v>
      </c>
      <c r="GC18" s="1021" t="str">
        <f t="shared" si="783"/>
        <v>#NAME?</v>
      </c>
      <c r="GD18" s="1024" t="str">
        <f t="shared" si="784"/>
        <v>#NAME?</v>
      </c>
      <c r="GE18" s="1575" t="s">
        <v>5082</v>
      </c>
      <c r="GF18" s="442"/>
      <c r="GG18" s="1230"/>
      <c r="GH18" s="1230"/>
      <c r="GI18" s="108"/>
      <c r="GJ18" s="449"/>
      <c r="GK18" s="1230"/>
      <c r="GL18" s="1230"/>
      <c r="GM18" s="1094" t="str">
        <f t="shared" si="725"/>
        <v>#NAME?</v>
      </c>
      <c r="GN18" s="499" t="s">
        <v>1393</v>
      </c>
      <c r="GO18" s="1051" t="str">
        <f t="shared" si="726"/>
        <v>#NAME?</v>
      </c>
      <c r="GP18" s="1131" t="str">
        <f t="shared" si="727"/>
        <v>#NAME?</v>
      </c>
      <c r="GQ18" s="1095" t="s">
        <v>5001</v>
      </c>
      <c r="GR18" s="65"/>
      <c r="GS18" s="442"/>
      <c r="GT18" s="442"/>
      <c r="GU18" s="108"/>
      <c r="GV18" s="108"/>
      <c r="GW18" s="108"/>
      <c r="GX18" s="65"/>
      <c r="HA18" s="349"/>
      <c r="HB18" s="349"/>
      <c r="HD18" s="1230"/>
      <c r="HE18" s="1266"/>
      <c r="HF18" s="1259" t="s">
        <v>5374</v>
      </c>
      <c r="HG18" s="12"/>
      <c r="HH18" s="962"/>
      <c r="HI18" s="1258" t="s">
        <v>4608</v>
      </c>
      <c r="HJ18" s="1230"/>
      <c r="HK18" s="1096" t="str">
        <f t="shared" si="605"/>
        <v>#NAME?</v>
      </c>
      <c r="HL18" s="89" t="s">
        <v>2661</v>
      </c>
      <c r="HM18" s="1418" t="str">
        <f t="shared" si="606"/>
        <v>#NAME?</v>
      </c>
      <c r="HN18" s="1419" t="str">
        <f t="shared" si="607"/>
        <v>#NAME?</v>
      </c>
      <c r="HO18" s="1108" t="s">
        <v>5007</v>
      </c>
      <c r="HP18" s="65"/>
      <c r="HQ18" s="65"/>
      <c r="HR18" s="65"/>
      <c r="HS18" s="108"/>
      <c r="HT18" s="108"/>
      <c r="HU18" s="108"/>
      <c r="HV18" s="65"/>
      <c r="HW18" s="985" t="str">
        <f>MONICON21(HX18)</f>
        <v>#NAME?</v>
      </c>
      <c r="HX18" s="146" t="s">
        <v>3964</v>
      </c>
      <c r="HY18" s="1092" t="str">
        <f>MONTYPEICON1(HX18)</f>
        <v>#NAME?</v>
      </c>
      <c r="HZ18" s="987" t="str">
        <f>MONTYPEICON2(HX18)</f>
        <v>#NAME?</v>
      </c>
      <c r="IA18" s="1196" t="s">
        <v>5007</v>
      </c>
      <c r="IB18" s="65"/>
      <c r="IE18" s="349"/>
      <c r="IF18" s="349"/>
      <c r="IG18" s="349"/>
      <c r="II18" s="1278"/>
      <c r="IJ18" s="1269" t="s">
        <v>5197</v>
      </c>
      <c r="IK18" s="12"/>
      <c r="IL18" s="962"/>
      <c r="IM18" s="1270" t="s">
        <v>4608</v>
      </c>
      <c r="IO18" s="1245" t="s">
        <v>4841</v>
      </c>
      <c r="IP18" s="12"/>
      <c r="IQ18" s="12"/>
      <c r="IR18" s="12"/>
      <c r="IS18" s="962"/>
      <c r="IT18" s="1230"/>
      <c r="IU18" s="1012" t="str">
        <f t="shared" ref="IU18:IU19" si="845">MONICON21(IV18)</f>
        <v>#NAME?</v>
      </c>
      <c r="IV18" s="1425" t="s">
        <v>3158</v>
      </c>
      <c r="IW18" s="977" t="str">
        <f t="shared" ref="IW18:IW19" si="846">MONTYPEICON1(IV18)</f>
        <v>#NAME?</v>
      </c>
      <c r="IX18" s="980" t="str">
        <f t="shared" ref="IX18:IX19" si="847">MONTYPEICON2(IV18)</f>
        <v>#NAME?</v>
      </c>
      <c r="IY18" s="1426" t="s">
        <v>5008</v>
      </c>
      <c r="IZ18" s="442"/>
      <c r="JA18" s="1266"/>
      <c r="JB18" s="1259" t="s">
        <v>5375</v>
      </c>
      <c r="JC18" s="12"/>
      <c r="JD18" s="962"/>
      <c r="JE18" s="1258" t="s">
        <v>4608</v>
      </c>
      <c r="JF18" s="442"/>
      <c r="JG18" s="1193" t="str">
        <f t="shared" si="785"/>
        <v>#NAME?</v>
      </c>
      <c r="JH18" s="1357" t="s">
        <v>2133</v>
      </c>
      <c r="JI18" s="1146" t="str">
        <f t="shared" si="786"/>
        <v>#NAME?</v>
      </c>
      <c r="JJ18" s="1148" t="str">
        <f t="shared" si="787"/>
        <v>#NAME?</v>
      </c>
      <c r="JK18" s="1330" t="s">
        <v>5008</v>
      </c>
      <c r="JL18" s="442"/>
      <c r="JM18" s="1266"/>
      <c r="JN18" s="1256" t="s">
        <v>5376</v>
      </c>
      <c r="JO18" s="1257" t="s">
        <v>4888</v>
      </c>
      <c r="JP18" s="962"/>
      <c r="JQ18" s="1258" t="s">
        <v>4608</v>
      </c>
      <c r="JR18" s="442"/>
      <c r="JS18" s="1286"/>
      <c r="JT18" s="1259" t="s">
        <v>5377</v>
      </c>
      <c r="JU18" s="12"/>
      <c r="JV18" s="962"/>
      <c r="JW18" s="1258" t="s">
        <v>4608</v>
      </c>
      <c r="JX18" s="1230"/>
      <c r="KA18" s="349"/>
      <c r="KB18" s="108"/>
      <c r="KD18" s="1230"/>
      <c r="KE18" s="997"/>
      <c r="KF18" s="1026"/>
      <c r="KG18" s="1026"/>
      <c r="KH18" s="1192"/>
      <c r="KI18" s="1446"/>
      <c r="KK18" s="983" t="str">
        <f t="shared" ref="KK18:KK20" si="848">MONICON21(KL18)</f>
        <v>#NAME?</v>
      </c>
      <c r="KL18" s="1031" t="s">
        <v>535</v>
      </c>
      <c r="KM18" s="977" t="str">
        <f t="shared" ref="KM18:KM20" si="849">MONTYPEICON1(KL18)</f>
        <v>#NAME?</v>
      </c>
      <c r="KN18" s="980" t="str">
        <f t="shared" ref="KN18:KN20" si="850">MONTYPEICON2(KL18)</f>
        <v>#NAME?</v>
      </c>
      <c r="KO18" s="1035" t="s">
        <v>5009</v>
      </c>
      <c r="KQ18" s="1283"/>
      <c r="KR18" s="1264" t="s">
        <v>5378</v>
      </c>
      <c r="KS18" s="12"/>
      <c r="KT18" s="962"/>
      <c r="KU18" s="1265" t="s">
        <v>4608</v>
      </c>
      <c r="KW18" s="1012" t="str">
        <f t="shared" si="728"/>
        <v>#NAME?</v>
      </c>
      <c r="KX18" s="1304" t="s">
        <v>3978</v>
      </c>
      <c r="KY18" s="1013" t="str">
        <f t="shared" si="729"/>
        <v>#NAME?</v>
      </c>
      <c r="KZ18" s="1015" t="str">
        <f t="shared" si="730"/>
        <v>#NAME?</v>
      </c>
      <c r="LA18" s="1318" t="s">
        <v>5013</v>
      </c>
      <c r="LB18" s="442"/>
      <c r="LC18" s="1266"/>
      <c r="LD18" s="1259" t="s">
        <v>5379</v>
      </c>
      <c r="LE18" s="12"/>
      <c r="LF18" s="962"/>
      <c r="LG18" s="1258" t="s">
        <v>4608</v>
      </c>
      <c r="LK18" s="349"/>
      <c r="LL18" s="349"/>
      <c r="LO18" s="1283"/>
      <c r="LP18" s="1264" t="s">
        <v>5380</v>
      </c>
      <c r="LQ18" s="12"/>
      <c r="LR18" s="962"/>
      <c r="LS18" s="1265" t="s">
        <v>4608</v>
      </c>
      <c r="LU18" s="1012" t="str">
        <f t="shared" ref="LU18:LU19" si="851">MONICON21(LV18)</f>
        <v>#NAME?</v>
      </c>
      <c r="LV18" s="1425" t="s">
        <v>2125</v>
      </c>
      <c r="LW18" s="1311" t="str">
        <f t="shared" ref="LW18:LW19" si="852">MONTYPEICON1(LV18)</f>
        <v>#NAME?</v>
      </c>
      <c r="LX18" s="1312" t="str">
        <f t="shared" ref="LX18:LX19" si="853">MONTYPEICON2(LV18)</f>
        <v>#NAME?</v>
      </c>
      <c r="LY18" s="1526" t="s">
        <v>5015</v>
      </c>
      <c r="MC18" s="349"/>
      <c r="MD18" s="349"/>
      <c r="MI18" s="349"/>
      <c r="MJ18" s="349"/>
      <c r="MM18" s="1351" t="str">
        <f t="shared" si="788"/>
        <v>#NAME?</v>
      </c>
      <c r="MN18" s="1372" t="s">
        <v>2934</v>
      </c>
      <c r="MO18" s="1353" t="str">
        <f t="shared" si="789"/>
        <v>#NAME?</v>
      </c>
      <c r="MP18" s="1354" t="str">
        <f t="shared" si="790"/>
        <v>#NAME?</v>
      </c>
      <c r="MQ18" s="1367" t="s">
        <v>5015</v>
      </c>
      <c r="MU18" s="349"/>
      <c r="MV18" s="349"/>
      <c r="MX18" s="442"/>
      <c r="MY18" s="1535" t="s">
        <v>5381</v>
      </c>
      <c r="MZ18" s="976"/>
      <c r="NA18" s="976"/>
      <c r="NB18" s="974"/>
      <c r="NC18" s="1536" t="s">
        <v>4608</v>
      </c>
      <c r="ND18" s="442"/>
      <c r="NE18" s="1193" t="str">
        <f t="shared" si="791"/>
        <v>#NAME?</v>
      </c>
      <c r="NF18" s="1145" t="s">
        <v>4111</v>
      </c>
      <c r="NG18" s="1462" t="str">
        <f t="shared" si="792"/>
        <v>#NAME?</v>
      </c>
      <c r="NH18" s="1463" t="str">
        <f t="shared" si="793"/>
        <v>#NAME?</v>
      </c>
      <c r="NI18" s="1464" t="s">
        <v>5069</v>
      </c>
      <c r="NJ18" s="65"/>
      <c r="NK18" s="1284" t="s">
        <v>5382</v>
      </c>
      <c r="NL18" s="1203"/>
      <c r="NM18" s="1204"/>
      <c r="NN18" s="349"/>
      <c r="NQ18" s="1283"/>
      <c r="NR18" s="1264" t="s">
        <v>5383</v>
      </c>
      <c r="NS18" s="12"/>
      <c r="NT18" s="962"/>
      <c r="NU18" s="1265" t="s">
        <v>4608</v>
      </c>
      <c r="NV18" s="442"/>
      <c r="NW18" s="1193" t="str">
        <f t="shared" si="794"/>
        <v>#NAME?</v>
      </c>
      <c r="NX18" s="1145" t="s">
        <v>4111</v>
      </c>
      <c r="NY18" s="1462" t="str">
        <f t="shared" si="795"/>
        <v>#NAME?</v>
      </c>
      <c r="NZ18" s="1463" t="str">
        <f t="shared" si="796"/>
        <v>#NAME?</v>
      </c>
      <c r="OA18" s="1464" t="s">
        <v>5018</v>
      </c>
      <c r="OB18" s="442"/>
      <c r="OC18" s="1193" t="str">
        <f t="shared" si="680"/>
        <v>#NAME?</v>
      </c>
      <c r="OD18" s="1145" t="s">
        <v>1934</v>
      </c>
      <c r="OE18" s="1462" t="str">
        <f t="shared" si="681"/>
        <v>#NAME?</v>
      </c>
      <c r="OF18" s="1463" t="str">
        <f t="shared" si="682"/>
        <v>#NAME?</v>
      </c>
      <c r="OG18" s="1464" t="s">
        <v>5069</v>
      </c>
      <c r="OH18" s="442"/>
      <c r="OI18" s="1068" t="str">
        <f t="shared" si="797"/>
        <v>#NAME?</v>
      </c>
      <c r="OJ18" s="1076" t="s">
        <v>930</v>
      </c>
      <c r="OK18" s="1358" t="str">
        <f t="shared" si="798"/>
        <v>#NAME?</v>
      </c>
      <c r="OL18" s="1359" t="str">
        <f t="shared" si="799"/>
        <v>#NAME?</v>
      </c>
      <c r="OM18" s="1368" t="s">
        <v>5020</v>
      </c>
      <c r="ON18" s="442"/>
      <c r="OO18" s="983" t="str">
        <f t="shared" ref="OO18:OO22" si="854">MONICON21(OP18)</f>
        <v>#NAME?</v>
      </c>
      <c r="OP18" s="1301" t="s">
        <v>4153</v>
      </c>
      <c r="OQ18" s="1311" t="str">
        <f t="shared" ref="OQ18:OQ22" si="855">MONTYPEICON1(OP18)</f>
        <v>#NAME?</v>
      </c>
      <c r="OR18" s="1312" t="str">
        <f t="shared" ref="OR18:OR22" si="856">MONTYPEICON2(OP18)</f>
        <v>#NAME?</v>
      </c>
      <c r="OS18" s="1318" t="s">
        <v>5022</v>
      </c>
      <c r="OU18" s="983" t="str">
        <f t="shared" ref="OU18:OU21" si="857">MONICON21(OV18)</f>
        <v>#NAME?</v>
      </c>
      <c r="OV18" s="1301" t="s">
        <v>2192</v>
      </c>
      <c r="OW18" s="1311" t="str">
        <f t="shared" ref="OW18:OW21" si="858">MONTYPEICON1(OV18)</f>
        <v>#NAME?</v>
      </c>
      <c r="OX18" s="1312" t="str">
        <f t="shared" ref="OX18:OX21" si="859">MONTYPEICON2(OV18)</f>
        <v>#NAME?</v>
      </c>
      <c r="OY18" s="1318" t="s">
        <v>5022</v>
      </c>
      <c r="PC18" s="349"/>
      <c r="PD18" s="349"/>
      <c r="PF18" s="442"/>
      <c r="PG18" s="983" t="str">
        <f t="shared" ref="PG18:PG20" si="860">MONICON21(PH18)</f>
        <v>#NAME?</v>
      </c>
      <c r="PH18" s="1301" t="s">
        <v>1756</v>
      </c>
      <c r="PI18" s="1311" t="str">
        <f t="shared" ref="PI18:PI20" si="861">MONTYPEICON1(PH18)</f>
        <v>#NAME?</v>
      </c>
      <c r="PJ18" s="1312" t="str">
        <f t="shared" ref="PJ18:PJ20" si="862">MONTYPEICON2(PH18)</f>
        <v>#NAME?</v>
      </c>
      <c r="PK18" s="1318" t="s">
        <v>5022</v>
      </c>
      <c r="PM18" s="983" t="str">
        <f t="shared" ref="PM18:PM21" si="863">MONICON21(PN18)</f>
        <v>#NAME?</v>
      </c>
      <c r="PN18" s="1301" t="s">
        <v>2567</v>
      </c>
      <c r="PO18" s="1311" t="str">
        <f t="shared" ref="PO18:PO21" si="864">MONTYPEICON1(PN18)</f>
        <v>#NAME?</v>
      </c>
      <c r="PP18" s="1312" t="str">
        <f t="shared" ref="PP18:PP21" si="865">MONTYPEICON2(PN18)</f>
        <v>#NAME?</v>
      </c>
      <c r="PQ18" s="1318" t="s">
        <v>5352</v>
      </c>
      <c r="PR18" s="442"/>
      <c r="PS18" s="1068" t="str">
        <f t="shared" si="800"/>
        <v>#NAME?</v>
      </c>
      <c r="PT18" s="1076" t="s">
        <v>3485</v>
      </c>
      <c r="PU18" s="1358" t="str">
        <f t="shared" si="801"/>
        <v>#NAME?</v>
      </c>
      <c r="PV18" s="1359" t="str">
        <f t="shared" si="802"/>
        <v>#NAME?</v>
      </c>
      <c r="PW18" s="1368" t="s">
        <v>5352</v>
      </c>
      <c r="QA18" s="349"/>
      <c r="QB18" s="349"/>
      <c r="QD18" s="442"/>
      <c r="QE18" s="1012" t="str">
        <f t="shared" si="734"/>
        <v>#NAME?</v>
      </c>
      <c r="QF18" s="1098" t="s">
        <v>1452</v>
      </c>
      <c r="QG18" s="1418" t="str">
        <f t="shared" si="735"/>
        <v>#NAME?</v>
      </c>
      <c r="QH18" s="1419" t="str">
        <f t="shared" si="736"/>
        <v>#NAME?</v>
      </c>
      <c r="QI18" s="1423" t="s">
        <v>5032</v>
      </c>
      <c r="QJ18" s="442"/>
      <c r="QK18" s="1012" t="str">
        <f t="shared" si="737"/>
        <v>#NAME?</v>
      </c>
      <c r="QL18" s="1098" t="s">
        <v>1321</v>
      </c>
      <c r="QM18" s="1013" t="str">
        <f t="shared" si="738"/>
        <v>#NAME?</v>
      </c>
      <c r="QN18" s="1015" t="str">
        <f t="shared" si="739"/>
        <v>#NAME?</v>
      </c>
      <c r="QO18" s="1414" t="s">
        <v>5031</v>
      </c>
      <c r="QP18" s="442"/>
      <c r="QQ18" s="1012" t="str">
        <f t="shared" si="740"/>
        <v>#NAME?</v>
      </c>
      <c r="QR18" s="1098" t="s">
        <v>4217</v>
      </c>
      <c r="QS18" s="1013" t="str">
        <f t="shared" si="741"/>
        <v>#NAME?</v>
      </c>
      <c r="QT18" s="1015" t="str">
        <f t="shared" si="742"/>
        <v>#NAME?</v>
      </c>
      <c r="QU18" s="1414" t="s">
        <v>5033</v>
      </c>
      <c r="QW18" s="1012" t="str">
        <f t="shared" si="743"/>
        <v>#NAME?</v>
      </c>
      <c r="QX18" s="1098" t="s">
        <v>3896</v>
      </c>
      <c r="QY18" s="1013" t="str">
        <f t="shared" si="744"/>
        <v>#NAME?</v>
      </c>
      <c r="QZ18" s="1015" t="str">
        <f t="shared" si="745"/>
        <v>#NAME?</v>
      </c>
      <c r="RA18" s="1414" t="s">
        <v>5112</v>
      </c>
      <c r="RB18" s="442"/>
      <c r="RC18" s="1012" t="str">
        <f t="shared" si="746"/>
        <v>#NAME?</v>
      </c>
      <c r="RD18" s="1098" t="s">
        <v>2849</v>
      </c>
      <c r="RE18" s="1013" t="str">
        <f t="shared" si="747"/>
        <v>#NAME?</v>
      </c>
      <c r="RF18" s="1015" t="str">
        <f t="shared" si="748"/>
        <v>#NAME?</v>
      </c>
      <c r="RG18" s="1414" t="s">
        <v>5113</v>
      </c>
      <c r="RH18" s="442"/>
      <c r="RI18" s="1012" t="str">
        <f t="shared" si="749"/>
        <v>#NAME?</v>
      </c>
      <c r="RJ18" s="1098" t="s">
        <v>1778</v>
      </c>
      <c r="RK18" s="1013" t="str">
        <f t="shared" si="750"/>
        <v>#NAME?</v>
      </c>
      <c r="RL18" s="1015" t="str">
        <f t="shared" si="751"/>
        <v>#NAME?</v>
      </c>
      <c r="RM18" s="1414" t="s">
        <v>5092</v>
      </c>
      <c r="RN18" s="442"/>
      <c r="RO18" s="1535" t="s">
        <v>5384</v>
      </c>
      <c r="RP18" s="976"/>
      <c r="RQ18" s="976"/>
      <c r="RR18" s="974"/>
      <c r="RS18" s="1576" t="s">
        <v>4608</v>
      </c>
      <c r="RT18" s="442"/>
      <c r="RU18" s="983" t="str">
        <f t="shared" ref="RU18:RU21" si="866">MONICON21(RV18)</f>
        <v>#NAME?</v>
      </c>
      <c r="RV18" s="1301" t="s">
        <v>1264</v>
      </c>
      <c r="RW18" s="1311" t="str">
        <f t="shared" ref="RW18:RW21" si="867">MONTYPEICON1(RV18)</f>
        <v>#NAME?</v>
      </c>
      <c r="RX18" s="1312" t="str">
        <f t="shared" ref="RX18:RX21" si="868">MONTYPEICON2(RV18)</f>
        <v>#NAME?</v>
      </c>
      <c r="RY18" s="1318" t="s">
        <v>5112</v>
      </c>
      <c r="RZ18" s="442"/>
      <c r="SA18" s="1266"/>
      <c r="SB18" s="1259" t="s">
        <v>5385</v>
      </c>
      <c r="SC18" s="12"/>
      <c r="SD18" s="962"/>
      <c r="SE18" s="1004" t="s">
        <v>4608</v>
      </c>
      <c r="SG18" s="1283"/>
      <c r="SH18" s="1264" t="s">
        <v>5386</v>
      </c>
      <c r="SI18" s="12"/>
      <c r="SJ18" s="962"/>
      <c r="SK18" s="1288" t="s">
        <v>4608</v>
      </c>
      <c r="SL18" s="442"/>
      <c r="SM18" s="983" t="str">
        <f t="shared" ref="SM18:SM20" si="869">MONICON21(SN18)</f>
        <v>#NAME?</v>
      </c>
      <c r="SN18" s="1301" t="s">
        <v>1091</v>
      </c>
      <c r="SO18" s="1311" t="str">
        <f t="shared" ref="SO18:SO20" si="870">MONTYPEICON1(SN18)</f>
        <v>#NAME?</v>
      </c>
      <c r="SP18" s="1312" t="str">
        <f t="shared" ref="SP18:SP20" si="871">MONTYPEICON2(SN18)</f>
        <v>#NAME?</v>
      </c>
      <c r="SQ18" s="1318" t="s">
        <v>5025</v>
      </c>
      <c r="SS18" s="1193" t="str">
        <f t="shared" si="689"/>
        <v>#NAME?</v>
      </c>
      <c r="ST18" s="1145" t="s">
        <v>559</v>
      </c>
      <c r="SU18" s="1462" t="str">
        <f t="shared" si="690"/>
        <v>#NAME?</v>
      </c>
      <c r="SV18" s="1463" t="str">
        <f t="shared" si="691"/>
        <v>#NAME?</v>
      </c>
      <c r="SW18" s="1464" t="s">
        <v>5113</v>
      </c>
      <c r="SY18" s="1012" t="str">
        <f t="shared" ref="SY18:SY19" si="872">MONICON21(SZ18)</f>
        <v>#NAME?</v>
      </c>
      <c r="SZ18" s="1301" t="s">
        <v>2642</v>
      </c>
      <c r="TA18" s="1311" t="str">
        <f t="shared" ref="TA18:TA19" si="873">MONTYPEICON1(SZ18)</f>
        <v>#NAME?</v>
      </c>
      <c r="TB18" s="1312" t="str">
        <f t="shared" ref="TB18:TB19" si="874">MONTYPEICON2(SZ18)</f>
        <v>#NAME?</v>
      </c>
      <c r="TC18" s="1318" t="s">
        <v>5112</v>
      </c>
      <c r="TD18" s="65"/>
      <c r="TE18" s="65"/>
      <c r="TF18" s="65"/>
      <c r="TG18" s="349"/>
      <c r="TH18" s="349"/>
      <c r="TK18" s="983" t="str">
        <f t="shared" ref="TK18:TK20" si="875">MONICON21(TL18)</f>
        <v>#NAME?</v>
      </c>
      <c r="TL18" s="1301" t="s">
        <v>3130</v>
      </c>
      <c r="TM18" s="1311" t="str">
        <f t="shared" ref="TM18:TM20" si="876">MONTYPEICON1(TL18)</f>
        <v>#NAME?</v>
      </c>
      <c r="TN18" s="1312" t="str">
        <f t="shared" ref="TN18:TN20" si="877">MONTYPEICON2(TL18)</f>
        <v>#NAME?</v>
      </c>
      <c r="TO18" s="1318" t="s">
        <v>5026</v>
      </c>
      <c r="TQ18" s="983" t="str">
        <f t="shared" ref="TQ18:TQ20" si="878">MONICON21(TR18)</f>
        <v>#NAME?</v>
      </c>
      <c r="TR18" s="1301" t="s">
        <v>2341</v>
      </c>
      <c r="TS18" s="1311" t="str">
        <f t="shared" ref="TS18:TS20" si="879">MONTYPEICON1(TR18)</f>
        <v>#NAME?</v>
      </c>
      <c r="TT18" s="1312" t="str">
        <f t="shared" ref="TT18:TT20" si="880">MONTYPEICON2(TR18)</f>
        <v>#NAME?</v>
      </c>
      <c r="TU18" s="1318" t="s">
        <v>5026</v>
      </c>
      <c r="TW18" s="1428" t="str">
        <f t="shared" si="803"/>
        <v>#NAME?</v>
      </c>
      <c r="TX18" s="1429" t="s">
        <v>2442</v>
      </c>
      <c r="TY18" s="1428" t="str">
        <f t="shared" si="804"/>
        <v>#NAME?</v>
      </c>
      <c r="TZ18" s="1430" t="str">
        <f t="shared" si="805"/>
        <v>#NAME?</v>
      </c>
      <c r="UA18" s="1431" t="s">
        <v>5227</v>
      </c>
      <c r="UC18" s="1033" t="str">
        <f t="shared" si="752"/>
        <v>#NAME?</v>
      </c>
      <c r="UD18" s="1098" t="s">
        <v>1443</v>
      </c>
      <c r="UE18" s="1013" t="str">
        <f t="shared" si="753"/>
        <v>#NAME?</v>
      </c>
      <c r="UF18" s="1015" t="str">
        <f t="shared" si="754"/>
        <v>#NAME?</v>
      </c>
      <c r="UG18" s="1414" t="s">
        <v>5063</v>
      </c>
      <c r="UI18" s="1383" t="str">
        <f t="shared" si="806"/>
        <v>#NAME?</v>
      </c>
      <c r="UJ18" s="1508" t="s">
        <v>3722</v>
      </c>
      <c r="UK18" s="1383" t="str">
        <f t="shared" si="807"/>
        <v>#NAME?</v>
      </c>
      <c r="UL18" s="1385" t="str">
        <f t="shared" si="808"/>
        <v>#NAME?</v>
      </c>
      <c r="UM18" s="1509" t="s">
        <v>5030</v>
      </c>
      <c r="UO18" s="1033" t="str">
        <f t="shared" ref="UO18:UO19" si="881">MONICON21(UP18)</f>
        <v>#NAME?</v>
      </c>
      <c r="UP18" s="21" t="s">
        <v>4146</v>
      </c>
      <c r="UQ18" s="977" t="str">
        <f t="shared" ref="UQ18:UQ19" si="882">MONTYPEICON1(UP18)</f>
        <v>#NAME?</v>
      </c>
      <c r="UR18" s="980" t="str">
        <f t="shared" ref="UR18:UR19" si="883">MONTYPEICON2(UP18)</f>
        <v>#NAME?</v>
      </c>
      <c r="US18" s="1302" t="s">
        <v>5030</v>
      </c>
      <c r="UU18" s="1033" t="str">
        <f t="shared" ref="UU18:UU19" si="884">MONICON21(UV18)</f>
        <v>#NAME?</v>
      </c>
      <c r="UV18" s="1301" t="s">
        <v>3700</v>
      </c>
      <c r="UW18" s="977" t="str">
        <f t="shared" ref="UW18:UW19" si="885">MONTYPEICON1(UV18)</f>
        <v>#NAME?</v>
      </c>
      <c r="UX18" s="980" t="str">
        <f t="shared" ref="UX18:UX19" si="886">MONTYPEICON2(UV18)</f>
        <v>#NAME?</v>
      </c>
      <c r="UY18" s="1303" t="s">
        <v>5279</v>
      </c>
      <c r="VA18" s="1387" t="str">
        <f t="shared" si="809"/>
        <v>#NAME?</v>
      </c>
      <c r="VB18" s="1388" t="s">
        <v>347</v>
      </c>
      <c r="VC18" s="1389" t="str">
        <f t="shared" si="810"/>
        <v>#NAME?</v>
      </c>
      <c r="VD18" s="1390" t="str">
        <f t="shared" si="811"/>
        <v>#NAME?</v>
      </c>
      <c r="VE18" s="1391" t="s">
        <v>5118</v>
      </c>
      <c r="VG18" s="1033" t="str">
        <f t="shared" ref="VG18:VG19" si="887">MONICON21(VH18)</f>
        <v>#NAME?</v>
      </c>
      <c r="VH18" s="1301" t="s">
        <v>1637</v>
      </c>
      <c r="VI18" s="977" t="str">
        <f t="shared" ref="VI18:VI19" si="888">MONTYPEICON1(VH18)</f>
        <v>#NAME?</v>
      </c>
      <c r="VJ18" s="980" t="str">
        <f t="shared" ref="VJ18:VJ19" si="889">MONTYPEICON2(VH18)</f>
        <v>#NAME?</v>
      </c>
      <c r="VK18" s="1303" t="s">
        <v>5387</v>
      </c>
      <c r="VL18" s="442"/>
      <c r="VM18" s="1387" t="str">
        <f t="shared" si="812"/>
        <v>#NAME?</v>
      </c>
      <c r="VN18" s="1388" t="s">
        <v>383</v>
      </c>
      <c r="VO18" s="1387" t="str">
        <f t="shared" si="813"/>
        <v>#NAME?</v>
      </c>
      <c r="VP18" s="1392" t="str">
        <f t="shared" si="814"/>
        <v>#NAME?</v>
      </c>
      <c r="VQ18" s="1391" t="s">
        <v>5361</v>
      </c>
      <c r="VR18" s="442"/>
      <c r="VS18" s="1051" t="str">
        <f t="shared" si="755"/>
        <v>#NAME?</v>
      </c>
      <c r="VT18" s="1127" t="s">
        <v>1284</v>
      </c>
      <c r="VU18" s="1051" t="str">
        <f t="shared" si="756"/>
        <v>#NAME?</v>
      </c>
      <c r="VV18" s="1131" t="str">
        <f t="shared" si="757"/>
        <v>#NAME?</v>
      </c>
      <c r="VW18" s="1095" t="s">
        <v>5034</v>
      </c>
      <c r="VX18" s="442"/>
      <c r="VY18" s="1387" t="str">
        <f t="shared" si="815"/>
        <v>#NAME?</v>
      </c>
      <c r="VZ18" s="1388" t="s">
        <v>2686</v>
      </c>
      <c r="WA18" s="1387" t="str">
        <f t="shared" si="816"/>
        <v>#NAME?</v>
      </c>
      <c r="WB18" s="1392" t="str">
        <f t="shared" si="817"/>
        <v>#NAME?</v>
      </c>
      <c r="WC18" s="1391" t="s">
        <v>5032</v>
      </c>
      <c r="WD18" s="442"/>
      <c r="WE18" s="977" t="str">
        <f t="shared" ref="WE18:WE20" si="890">MONICON21(WF18)</f>
        <v>#NAME?</v>
      </c>
      <c r="WF18" s="1301" t="s">
        <v>1680</v>
      </c>
      <c r="WG18" s="977" t="str">
        <f t="shared" ref="WG18:WG20" si="891">MONTYPEICON1(WF18)</f>
        <v>#NAME?</v>
      </c>
      <c r="WH18" s="980" t="str">
        <f t="shared" ref="WH18:WH20" si="892">MONTYPEICON2(WF18)</f>
        <v>#NAME?</v>
      </c>
      <c r="WI18" s="1303" t="s">
        <v>5019</v>
      </c>
      <c r="WJ18" s="442"/>
      <c r="WP18" s="442"/>
      <c r="WQ18" s="1294"/>
      <c r="WR18" s="1291" t="s">
        <v>5388</v>
      </c>
      <c r="WS18" s="12"/>
      <c r="WT18" s="962"/>
      <c r="WU18" s="1292" t="s">
        <v>4608</v>
      </c>
      <c r="WV18" s="442"/>
      <c r="WW18" s="1387" t="str">
        <f t="shared" si="818"/>
        <v>#NAME?</v>
      </c>
      <c r="WX18" s="1388" t="s">
        <v>3856</v>
      </c>
      <c r="WY18" s="1387" t="str">
        <f t="shared" si="819"/>
        <v>#NAME?</v>
      </c>
      <c r="WZ18" s="1392" t="str">
        <f t="shared" si="820"/>
        <v>#NAME?</v>
      </c>
      <c r="XA18" s="1391" t="s">
        <v>5032</v>
      </c>
      <c r="XB18" s="442"/>
      <c r="XC18" s="1013" t="str">
        <f t="shared" si="647"/>
        <v>#NAME?</v>
      </c>
      <c r="XD18" s="1098" t="s">
        <v>1303</v>
      </c>
      <c r="XE18" s="1013" t="str">
        <f t="shared" si="648"/>
        <v>#NAME?</v>
      </c>
      <c r="XF18" s="1015" t="str">
        <f t="shared" si="649"/>
        <v>#NAME?</v>
      </c>
      <c r="XG18" s="1434" t="s">
        <v>5004</v>
      </c>
      <c r="XH18" s="442"/>
      <c r="XI18" s="1294"/>
      <c r="XJ18" s="1291" t="s">
        <v>5389</v>
      </c>
      <c r="XK18" s="12"/>
      <c r="XL18" s="962"/>
      <c r="XM18" s="1292" t="s">
        <v>4608</v>
      </c>
      <c r="XN18" s="442"/>
      <c r="XO18" s="1051" t="str">
        <f t="shared" si="758"/>
        <v>#NAME?</v>
      </c>
      <c r="XP18" s="1127" t="s">
        <v>3736</v>
      </c>
      <c r="XQ18" s="1051" t="str">
        <f t="shared" si="759"/>
        <v>#NAME?</v>
      </c>
      <c r="XR18" s="1131" t="str">
        <f t="shared" si="760"/>
        <v>#NAME?</v>
      </c>
      <c r="XS18" s="1095" t="s">
        <v>5174</v>
      </c>
      <c r="XT18" s="442"/>
      <c r="XU18" s="1387" t="str">
        <f t="shared" si="821"/>
        <v>#NAME?</v>
      </c>
      <c r="XV18" s="1388" t="s">
        <v>3021</v>
      </c>
      <c r="XW18" s="1387" t="str">
        <f t="shared" si="822"/>
        <v>#NAME?</v>
      </c>
      <c r="XX18" s="1392" t="str">
        <f t="shared" si="823"/>
        <v>#NAME?</v>
      </c>
      <c r="XY18" s="1391" t="s">
        <v>5018</v>
      </c>
      <c r="XZ18" s="442"/>
      <c r="YA18" s="977" t="str">
        <f t="shared" ref="YA18:YA20" si="893">MONICON21(YB18)</f>
        <v>#NAME?</v>
      </c>
      <c r="YB18" s="1301" t="s">
        <v>4098</v>
      </c>
      <c r="YC18" s="977" t="str">
        <f t="shared" ref="YC18:YC20" si="894">MONTYPEICON1(YB18)</f>
        <v>#NAME?</v>
      </c>
      <c r="YD18" s="980" t="str">
        <f t="shared" ref="YD18:YD20" si="895">MONTYPEICON2(YB18)</f>
        <v>#NAME?</v>
      </c>
      <c r="YE18" s="1303" t="s">
        <v>5390</v>
      </c>
      <c r="YF18" s="442"/>
      <c r="YG18" s="977" t="str">
        <f t="shared" ref="YG18:YG20" si="896">MONICON21(YH18)</f>
        <v>#NAME?</v>
      </c>
      <c r="YH18" s="1301" t="s">
        <v>3255</v>
      </c>
      <c r="YI18" s="977" t="str">
        <f t="shared" ref="YI18:YI20" si="897">MONTYPEICON1(YH18)</f>
        <v>#NAME?</v>
      </c>
      <c r="YJ18" s="980" t="str">
        <f t="shared" ref="YJ18:YJ20" si="898">MONTYPEICON2(YH18)</f>
        <v>#NAME?</v>
      </c>
      <c r="YK18" s="1303" t="s">
        <v>5390</v>
      </c>
      <c r="YL18" s="442"/>
      <c r="YM18" s="108"/>
      <c r="YN18" s="442"/>
      <c r="YO18" s="108"/>
      <c r="YP18" s="108"/>
      <c r="YQ18" s="442"/>
      <c r="YR18" s="442"/>
      <c r="YS18" s="1294"/>
      <c r="YT18" s="1291" t="s">
        <v>5391</v>
      </c>
      <c r="YU18" s="12"/>
      <c r="YV18" s="962"/>
      <c r="YW18" s="1292" t="s">
        <v>4608</v>
      </c>
      <c r="YX18" s="442"/>
      <c r="YY18" s="977" t="str">
        <f t="shared" ref="YY18:YY20" si="899">MONICON21(YZ18)</f>
        <v>#NAME?</v>
      </c>
      <c r="YZ18" s="1301" t="s">
        <v>1292</v>
      </c>
      <c r="ZA18" s="977" t="str">
        <f t="shared" ref="ZA18:ZA20" si="900">MONTYPEICON1(YZ18)</f>
        <v>#NAME?</v>
      </c>
      <c r="ZB18" s="980" t="str">
        <f t="shared" ref="ZB18:ZB20" si="901">MONTYPEICON2(YZ18)</f>
        <v>#NAME?</v>
      </c>
      <c r="ZC18" s="1303" t="s">
        <v>5032</v>
      </c>
      <c r="ZD18" s="442"/>
      <c r="ZG18" s="349"/>
      <c r="ZH18" s="349"/>
      <c r="ZJ18" s="442"/>
      <c r="ZK18" s="1472"/>
      <c r="ZL18" s="1291" t="s">
        <v>5392</v>
      </c>
      <c r="ZM18" s="12"/>
      <c r="ZN18" s="962"/>
      <c r="ZO18" s="1292" t="s">
        <v>4608</v>
      </c>
      <c r="ZP18" s="442"/>
      <c r="ZQ18" s="1289" t="s">
        <v>5054</v>
      </c>
      <c r="ZR18" s="12"/>
      <c r="ZS18" s="12"/>
      <c r="ZT18" s="12"/>
      <c r="ZU18" s="48"/>
      <c r="ZV18" s="442"/>
      <c r="ZW18" s="108"/>
      <c r="ZX18" s="442"/>
      <c r="ZY18" s="108"/>
      <c r="ZZ18" s="108"/>
      <c r="AAA18" s="442"/>
      <c r="AAB18" s="442"/>
      <c r="AAC18" s="108"/>
      <c r="AAD18" s="442"/>
      <c r="AAE18" s="108"/>
      <c r="AAF18" s="108"/>
      <c r="AAG18" s="442"/>
      <c r="AAH18" s="442"/>
      <c r="AAI18" s="1294"/>
      <c r="AAJ18" s="1291" t="s">
        <v>5043</v>
      </c>
      <c r="AAK18" s="12"/>
      <c r="AAL18" s="962"/>
      <c r="AAM18" s="1298" t="s">
        <v>4608</v>
      </c>
      <c r="AAO18" s="1294"/>
      <c r="AAP18" s="1291" t="s">
        <v>4921</v>
      </c>
      <c r="AAQ18" s="12"/>
      <c r="AAR18" s="962"/>
      <c r="AAS18" s="1298" t="s">
        <v>4608</v>
      </c>
      <c r="AAU18" s="1294"/>
      <c r="AAV18" s="1291" t="s">
        <v>5393</v>
      </c>
      <c r="AAW18" s="12"/>
      <c r="AAX18" s="962"/>
      <c r="AAY18" s="1298" t="s">
        <v>4608</v>
      </c>
      <c r="ABA18" s="1294"/>
      <c r="ABB18" s="1291" t="s">
        <v>4930</v>
      </c>
      <c r="ABC18" s="12"/>
      <c r="ABD18" s="962"/>
      <c r="ABE18" s="1298" t="s">
        <v>4608</v>
      </c>
      <c r="ABG18" s="1294"/>
      <c r="ABH18" s="1291" t="s">
        <v>4997</v>
      </c>
      <c r="ABI18" s="12"/>
      <c r="ABJ18" s="962"/>
      <c r="ABK18" s="1298" t="s">
        <v>4608</v>
      </c>
      <c r="ABM18" s="1294"/>
      <c r="ABN18" s="1291" t="s">
        <v>5016</v>
      </c>
      <c r="ABO18" s="12"/>
      <c r="ABP18" s="962"/>
      <c r="ABQ18" s="1298" t="s">
        <v>4608</v>
      </c>
      <c r="ABS18" s="1294"/>
      <c r="ABT18" s="1291" t="s">
        <v>5394</v>
      </c>
      <c r="ABU18" s="12"/>
      <c r="ABV18" s="962"/>
      <c r="ABW18" s="1298" t="s">
        <v>4608</v>
      </c>
      <c r="ABY18" s="1511" t="s">
        <v>5177</v>
      </c>
      <c r="ACC18" s="1154"/>
      <c r="ACJ18" s="996"/>
    </row>
    <row r="19" ht="15.75" customHeight="1">
      <c r="A19" s="1230"/>
      <c r="B19" s="1403" t="str">
        <f>image("https://archives.bulbagarden.net/media/upload/e/e9/Badge_Case_Crasher_Wake_IV.png", 3)</f>
        <v/>
      </c>
      <c r="C19" s="1404" t="s">
        <v>5395</v>
      </c>
      <c r="D19" s="1382" t="s">
        <v>4608</v>
      </c>
      <c r="E19" s="1230"/>
      <c r="F19" s="1238"/>
      <c r="G19" s="428"/>
      <c r="H19" s="1230"/>
      <c r="I19" s="961" t="s">
        <v>4514</v>
      </c>
      <c r="J19" s="12"/>
      <c r="K19" s="12"/>
      <c r="L19" s="12"/>
      <c r="M19" s="48"/>
      <c r="N19" s="1230"/>
      <c r="O19" s="1146" t="str">
        <f t="shared" si="824"/>
        <v>#NAME?</v>
      </c>
      <c r="P19" s="1145" t="s">
        <v>643</v>
      </c>
      <c r="Q19" s="1146" t="str">
        <f t="shared" si="825"/>
        <v>#NAME?</v>
      </c>
      <c r="R19" s="1148" t="str">
        <f t="shared" si="826"/>
        <v>#NAME?</v>
      </c>
      <c r="S19" s="1330" t="s">
        <v>5097</v>
      </c>
      <c r="T19" s="1230"/>
      <c r="U19" s="1051" t="str">
        <f t="shared" si="761"/>
        <v>#NAME?</v>
      </c>
      <c r="V19" s="1127" t="s">
        <v>3587</v>
      </c>
      <c r="W19" s="1094" t="str">
        <f t="shared" si="762"/>
        <v>#NAME?</v>
      </c>
      <c r="X19" s="1127" t="str">
        <f t="shared" si="763"/>
        <v>#NAME?</v>
      </c>
      <c r="Y19" s="1519" t="s">
        <v>4989</v>
      </c>
      <c r="Z19" s="1230"/>
      <c r="AA19" s="1033" t="str">
        <f t="shared" ref="AA19:AA20" si="902">MONICON21(AB19)</f>
        <v>#NAME?</v>
      </c>
      <c r="AB19" s="1301" t="s">
        <v>2720</v>
      </c>
      <c r="AC19" s="977" t="str">
        <f t="shared" ref="AC19:AC20" si="903">MONTYPEICON1(AB19)</f>
        <v>#NAME?</v>
      </c>
      <c r="AD19" s="980" t="str">
        <f t="shared" ref="AD19:AD20" si="904">MONTYPEICON2(AB19)</f>
        <v>#NAME?</v>
      </c>
      <c r="AE19" s="1303" t="s">
        <v>5130</v>
      </c>
      <c r="AF19" s="1230"/>
      <c r="AG19" s="1051" t="str">
        <f t="shared" si="764"/>
        <v>#NAME?</v>
      </c>
      <c r="AH19" s="1127" t="s">
        <v>3205</v>
      </c>
      <c r="AI19" s="1051" t="str">
        <f t="shared" si="765"/>
        <v>#NAME?</v>
      </c>
      <c r="AJ19" s="1131" t="str">
        <f t="shared" si="766"/>
        <v>#NAME?</v>
      </c>
      <c r="AK19" s="1095" t="s">
        <v>5208</v>
      </c>
      <c r="AL19" s="1230"/>
      <c r="AM19" s="1071" t="str">
        <f t="shared" si="827"/>
        <v>#NAME?</v>
      </c>
      <c r="AN19" s="1356" t="s">
        <v>1832</v>
      </c>
      <c r="AO19" s="1071" t="str">
        <f t="shared" si="828"/>
        <v>#NAME?</v>
      </c>
      <c r="AP19" s="1073" t="str">
        <f t="shared" si="829"/>
        <v>#NAME?</v>
      </c>
      <c r="AQ19" s="1338" t="s">
        <v>5074</v>
      </c>
      <c r="AR19" s="1230"/>
      <c r="AS19" s="1331"/>
      <c r="AT19" s="1307" t="s">
        <v>4908</v>
      </c>
      <c r="AU19" s="12"/>
      <c r="AV19" s="962"/>
      <c r="AW19" s="1282" t="s">
        <v>4608</v>
      </c>
      <c r="AX19" s="1230"/>
      <c r="AY19" s="349"/>
      <c r="BD19" s="1230"/>
      <c r="BE19" s="1033" t="str">
        <f t="shared" ref="BE19:BE21" si="905">MONICON21(BF19)</f>
        <v>#NAME?</v>
      </c>
      <c r="BF19" s="1304" t="s">
        <v>2633</v>
      </c>
      <c r="BG19" s="977" t="str">
        <f t="shared" ref="BG19:BG21" si="906">MONTYPEICON1(BF19)</f>
        <v>#NAME?</v>
      </c>
      <c r="BH19" s="980" t="str">
        <f t="shared" ref="BH19:BH21" si="907">MONTYPEICON2(BF19)</f>
        <v>#NAME?</v>
      </c>
      <c r="BI19" s="1305" t="s">
        <v>5337</v>
      </c>
      <c r="BJ19" s="1230"/>
      <c r="BK19" s="1033" t="str">
        <f t="shared" ref="BK19:BK21" si="908">MONICON21(BL19)</f>
        <v>#NAME?</v>
      </c>
      <c r="BL19" s="1304" t="s">
        <v>1336</v>
      </c>
      <c r="BM19" s="977" t="str">
        <f t="shared" ref="BM19:BM21" si="909">MONTYPEICON1(BL19)</f>
        <v>#NAME?</v>
      </c>
      <c r="BN19" s="980" t="str">
        <f t="shared" ref="BN19:BN21" si="910">MONTYPEICON2(BL19)</f>
        <v>#NAME?</v>
      </c>
      <c r="BO19" s="1305" t="s">
        <v>4993</v>
      </c>
      <c r="BP19" s="442"/>
      <c r="BQ19" s="1053" t="str">
        <f>MONICON21(BR19)</f>
        <v>#NAME?</v>
      </c>
      <c r="BR19" s="1308" t="s">
        <v>1637</v>
      </c>
      <c r="BS19" s="1092" t="str">
        <f>MONTYPEICON1(BR19)</f>
        <v>#NAME?</v>
      </c>
      <c r="BT19" s="987" t="str">
        <f>MONTYPEICON2(BR19)</f>
        <v>#NAME?</v>
      </c>
      <c r="BU19" s="1309" t="s">
        <v>4995</v>
      </c>
      <c r="BV19" s="442"/>
      <c r="BW19" s="1033" t="str">
        <f t="shared" ref="BW19:BW21" si="911">MONICON21(BX19)</f>
        <v>#NAME?</v>
      </c>
      <c r="BX19" s="1304" t="s">
        <v>1272</v>
      </c>
      <c r="BY19" s="977" t="str">
        <f t="shared" ref="BY19:BY21" si="912">MONTYPEICON1(BX19)</f>
        <v>#NAME?</v>
      </c>
      <c r="BZ19" s="980" t="str">
        <f t="shared" ref="BZ19:BZ21" si="913">MONTYPEICON2(BX19)</f>
        <v>#NAME?</v>
      </c>
      <c r="CA19" s="1305" t="s">
        <v>4995</v>
      </c>
      <c r="CB19" s="1230"/>
      <c r="CH19" s="442"/>
      <c r="CI19" s="1012" t="str">
        <f t="shared" ref="CI19:CI21" si="914">MONICON21(CJ19)</f>
        <v>#NAME?</v>
      </c>
      <c r="CJ19" s="1304" t="s">
        <v>1143</v>
      </c>
      <c r="CK19" s="977" t="str">
        <f t="shared" ref="CK19:CK21" si="915">MONTYPEICON1(CJ19)</f>
        <v>#NAME?</v>
      </c>
      <c r="CL19" s="980" t="str">
        <f t="shared" ref="CL19:CL21" si="916">MONTYPEICON2(CJ19)</f>
        <v>#NAME?</v>
      </c>
      <c r="CM19" s="1305" t="s">
        <v>4996</v>
      </c>
      <c r="CN19" s="442"/>
      <c r="CO19" s="1094" t="str">
        <f t="shared" si="773"/>
        <v>#NAME?</v>
      </c>
      <c r="CP19" s="1410" t="s">
        <v>347</v>
      </c>
      <c r="CQ19" s="1051" t="str">
        <f t="shared" si="774"/>
        <v>#NAME?</v>
      </c>
      <c r="CR19" s="1131" t="str">
        <f t="shared" si="775"/>
        <v>#NAME?</v>
      </c>
      <c r="CS19" s="1411" t="s">
        <v>4994</v>
      </c>
      <c r="CT19" s="442"/>
      <c r="CU19" s="1096" t="str">
        <f t="shared" si="776"/>
        <v>#NAME?</v>
      </c>
      <c r="CV19" s="1415" t="s">
        <v>2217</v>
      </c>
      <c r="CW19" s="1013" t="str">
        <f t="shared" si="777"/>
        <v>#NAME?</v>
      </c>
      <c r="CX19" s="1015" t="str">
        <f t="shared" si="778"/>
        <v>#NAME?</v>
      </c>
      <c r="CY19" s="1416" t="s">
        <v>5135</v>
      </c>
      <c r="CZ19" s="442"/>
      <c r="DA19" s="1068" t="str">
        <f t="shared" si="830"/>
        <v>#NAME?</v>
      </c>
      <c r="DB19" s="1337" t="s">
        <v>3443</v>
      </c>
      <c r="DC19" s="1071" t="str">
        <f t="shared" si="831"/>
        <v>#NAME?</v>
      </c>
      <c r="DD19" s="1073" t="str">
        <f t="shared" si="832"/>
        <v>#NAME?</v>
      </c>
      <c r="DE19" s="1338" t="s">
        <v>5099</v>
      </c>
      <c r="DF19" s="442"/>
      <c r="DG19" s="1027" t="str">
        <f t="shared" si="833"/>
        <v>#NAME?</v>
      </c>
      <c r="DH19" s="1340" t="s">
        <v>474</v>
      </c>
      <c r="DI19" s="1341" t="str">
        <f t="shared" si="834"/>
        <v>#NAME?</v>
      </c>
      <c r="DJ19" s="1342" t="str">
        <f t="shared" si="835"/>
        <v>#NAME?</v>
      </c>
      <c r="DK19" s="1343" t="s">
        <v>5000</v>
      </c>
      <c r="DL19" s="442"/>
      <c r="DM19" s="1068" t="str">
        <f t="shared" si="836"/>
        <v>#NAME?</v>
      </c>
      <c r="DN19" s="1337" t="s">
        <v>2056</v>
      </c>
      <c r="DO19" s="1071" t="str">
        <f t="shared" si="837"/>
        <v>#NAME?</v>
      </c>
      <c r="DP19" s="1073" t="str">
        <f t="shared" si="838"/>
        <v>#NAME?</v>
      </c>
      <c r="DQ19" s="1338" t="s">
        <v>4998</v>
      </c>
      <c r="DR19" s="442"/>
      <c r="DS19" s="985" t="s">
        <v>4992</v>
      </c>
      <c r="DT19" s="12"/>
      <c r="DU19" s="12"/>
      <c r="DV19" s="12"/>
      <c r="DW19" s="48"/>
      <c r="DX19" s="442"/>
      <c r="DY19" s="961" t="s">
        <v>5245</v>
      </c>
      <c r="DZ19" s="12"/>
      <c r="EA19" s="48"/>
      <c r="EC19" s="442"/>
      <c r="ED19" s="442"/>
      <c r="EE19" s="1096" t="str">
        <f t="shared" si="779"/>
        <v>#NAME?</v>
      </c>
      <c r="EF19" s="1415" t="s">
        <v>1452</v>
      </c>
      <c r="EG19" s="1013" t="str">
        <f t="shared" si="780"/>
        <v>#NAME?</v>
      </c>
      <c r="EH19" s="1015" t="str">
        <f t="shared" si="781"/>
        <v>#NAME?</v>
      </c>
      <c r="EI19" s="1416" t="s">
        <v>5079</v>
      </c>
      <c r="EJ19" s="1230"/>
      <c r="EK19" s="1351" t="str">
        <f t="shared" si="839"/>
        <v>#NAME?</v>
      </c>
      <c r="EL19" s="1352" t="s">
        <v>3121</v>
      </c>
      <c r="EM19" s="1353" t="str">
        <f t="shared" si="840"/>
        <v>#NAME?</v>
      </c>
      <c r="EN19" s="1354" t="str">
        <f t="shared" si="841"/>
        <v>#NAME?</v>
      </c>
      <c r="EO19" s="1355" t="s">
        <v>5201</v>
      </c>
      <c r="EP19" s="1230"/>
      <c r="EQ19" s="1286"/>
      <c r="ER19" s="1259" t="s">
        <v>5396</v>
      </c>
      <c r="ES19" s="12"/>
      <c r="ET19" s="962"/>
      <c r="EU19" s="1258" t="s">
        <v>4608</v>
      </c>
      <c r="EV19" s="1230"/>
      <c r="EY19" s="349"/>
      <c r="EZ19" s="349"/>
      <c r="FB19" s="442"/>
      <c r="FC19" s="1266"/>
      <c r="FD19" s="1259" t="s">
        <v>5397</v>
      </c>
      <c r="FE19" s="12"/>
      <c r="FF19" s="962"/>
      <c r="FG19" s="1258" t="s">
        <v>4608</v>
      </c>
      <c r="FH19" s="442"/>
      <c r="FI19" s="1272" t="s">
        <v>5398</v>
      </c>
      <c r="FJ19" s="12"/>
      <c r="FK19" s="12"/>
      <c r="FL19" s="12"/>
      <c r="FM19" s="48"/>
      <c r="FN19" s="442"/>
      <c r="FO19" s="1068" t="str">
        <f t="shared" si="842"/>
        <v>#NAME?</v>
      </c>
      <c r="FP19" s="1078" t="s">
        <v>3996</v>
      </c>
      <c r="FQ19" s="1071" t="str">
        <f t="shared" si="843"/>
        <v>#NAME?</v>
      </c>
      <c r="FR19" s="1073" t="str">
        <f t="shared" si="844"/>
        <v>#NAME?</v>
      </c>
      <c r="FS19" s="1093" t="s">
        <v>5078</v>
      </c>
      <c r="FT19" s="442"/>
      <c r="FU19" s="1266"/>
      <c r="FV19" s="1259" t="s">
        <v>5399</v>
      </c>
      <c r="FW19" s="12"/>
      <c r="FX19" s="962"/>
      <c r="FY19" s="1258" t="s">
        <v>4608</v>
      </c>
      <c r="FZ19" s="442"/>
      <c r="GA19" s="1094" t="str">
        <f t="shared" si="782"/>
        <v>#NAME?</v>
      </c>
      <c r="GB19" s="1479" t="s">
        <v>2661</v>
      </c>
      <c r="GC19" s="1051" t="str">
        <f t="shared" si="783"/>
        <v>#NAME?</v>
      </c>
      <c r="GD19" s="1131" t="str">
        <f t="shared" si="784"/>
        <v>#NAME?</v>
      </c>
      <c r="GE19" s="1411" t="s">
        <v>5082</v>
      </c>
      <c r="GF19" s="442"/>
      <c r="GG19" s="1286"/>
      <c r="GH19" s="1256" t="s">
        <v>5400</v>
      </c>
      <c r="GI19" s="1257" t="s">
        <v>4888</v>
      </c>
      <c r="GJ19" s="962"/>
      <c r="GK19" s="1258" t="s">
        <v>4608</v>
      </c>
      <c r="GL19" s="1230"/>
      <c r="GO19" s="349"/>
      <c r="GP19" s="349"/>
      <c r="GR19" s="65"/>
      <c r="GS19" s="1286"/>
      <c r="GT19" s="1259" t="s">
        <v>5401</v>
      </c>
      <c r="GU19" s="12"/>
      <c r="GV19" s="962"/>
      <c r="GW19" s="1258" t="s">
        <v>4608</v>
      </c>
      <c r="GX19" s="65"/>
      <c r="GY19" s="1246" t="s">
        <v>5308</v>
      </c>
      <c r="GZ19" s="12"/>
      <c r="HA19" s="12"/>
      <c r="HB19" s="12"/>
      <c r="HC19" s="48"/>
      <c r="HD19" s="1230"/>
      <c r="HE19" s="983" t="str">
        <f t="shared" ref="HE19:HE21" si="917">MONICON21(HF19)</f>
        <v>#NAME?</v>
      </c>
      <c r="HF19" s="1157" t="s">
        <v>1916</v>
      </c>
      <c r="HG19" s="977" t="str">
        <f t="shared" ref="HG19:HG21" si="918">MONTYPEICON1(HF19)</f>
        <v>#NAME?</v>
      </c>
      <c r="HH19" s="980" t="str">
        <f t="shared" ref="HH19:HH21" si="919">MONTYPEICON2(HF19)</f>
        <v>#NAME?</v>
      </c>
      <c r="HI19" s="1303" t="s">
        <v>5004</v>
      </c>
      <c r="HJ19" s="1230"/>
      <c r="HK19" s="1027" t="str">
        <f t="shared" si="605"/>
        <v>#NAME?</v>
      </c>
      <c r="HL19" s="1577" t="s">
        <v>3628</v>
      </c>
      <c r="HM19" s="1497" t="str">
        <f t="shared" si="606"/>
        <v>#NAME?</v>
      </c>
      <c r="HN19" s="1498" t="str">
        <f t="shared" si="607"/>
        <v>#NAME?</v>
      </c>
      <c r="HO19" s="1456" t="s">
        <v>5214</v>
      </c>
      <c r="HP19" s="65"/>
      <c r="HQ19" s="1283"/>
      <c r="HR19" s="1264" t="s">
        <v>5402</v>
      </c>
      <c r="HS19" s="12"/>
      <c r="HT19" s="962"/>
      <c r="HU19" s="1265" t="s">
        <v>4608</v>
      </c>
      <c r="HV19" s="65"/>
      <c r="HY19" s="349"/>
      <c r="HZ19" s="349"/>
      <c r="IA19" s="349"/>
      <c r="IB19" s="65"/>
      <c r="IC19" s="1266"/>
      <c r="ID19" s="1259" t="s">
        <v>5403</v>
      </c>
      <c r="IE19" s="12"/>
      <c r="IF19" s="962"/>
      <c r="IG19" s="1258" t="s">
        <v>4608</v>
      </c>
      <c r="II19" s="1012" t="str">
        <f t="shared" ref="II19:II24" si="920">MONICON21(IJ19)</f>
        <v>#NAME?</v>
      </c>
      <c r="IJ19" s="1301" t="s">
        <v>742</v>
      </c>
      <c r="IK19" s="1313" t="str">
        <f t="shared" ref="IK19:IK24" si="921">MONTYPEICON1(IJ19)</f>
        <v>#NAME?</v>
      </c>
      <c r="IL19" s="1314" t="str">
        <f t="shared" ref="IL19:IL24" si="922">MONTYPEICON2(IJ19)</f>
        <v>#NAME?</v>
      </c>
      <c r="IM19" s="1303" t="s">
        <v>5008</v>
      </c>
      <c r="IQ19" s="349"/>
      <c r="IR19" s="349"/>
      <c r="IT19" s="1230"/>
      <c r="IU19" s="1193" t="str">
        <f t="shared" si="845"/>
        <v>#NAME?</v>
      </c>
      <c r="IV19" s="1363" t="s">
        <v>1343</v>
      </c>
      <c r="IW19" s="1146" t="str">
        <f t="shared" si="846"/>
        <v>#NAME?</v>
      </c>
      <c r="IX19" s="1148" t="str">
        <f t="shared" si="847"/>
        <v>#NAME?</v>
      </c>
      <c r="IY19" s="1364" t="s">
        <v>5008</v>
      </c>
      <c r="IZ19" s="442"/>
      <c r="JA19" s="983" t="str">
        <f t="shared" ref="JA19:JA21" si="923">MONICON21(JB19)</f>
        <v>#NAME?</v>
      </c>
      <c r="JB19" s="1304" t="s">
        <v>1312</v>
      </c>
      <c r="JC19" s="1311" t="str">
        <f t="shared" ref="JC19:JC21" si="924">MONTYPEICON1(JB19)</f>
        <v>#NAME?</v>
      </c>
      <c r="JD19" s="1312" t="str">
        <f t="shared" ref="JD19:JD21" si="925">MONTYPEICON2(JB19)</f>
        <v>#NAME?</v>
      </c>
      <c r="JE19" s="1305" t="s">
        <v>5084</v>
      </c>
      <c r="JF19" s="442"/>
      <c r="JI19" s="349"/>
      <c r="JJ19" s="349"/>
      <c r="JK19" s="349"/>
      <c r="JL19" s="442"/>
      <c r="JM19" s="1012" t="str">
        <f t="shared" ref="JM19:JM20" si="926">MONICON21(JN19)</f>
        <v>#NAME?</v>
      </c>
      <c r="JN19" s="223" t="s">
        <v>4190</v>
      </c>
      <c r="JO19" s="977" t="str">
        <f t="shared" ref="JO19:JO20" si="927">MONTYPEICON1(JN19)</f>
        <v>#NAME?</v>
      </c>
      <c r="JP19" s="980" t="str">
        <f t="shared" ref="JP19:JP20" si="928">MONTYPEICON2(JN19)</f>
        <v>#NAME?</v>
      </c>
      <c r="JQ19" s="1578" t="s">
        <v>5158</v>
      </c>
      <c r="JR19" s="442"/>
      <c r="JS19" s="1012" t="str">
        <f t="shared" ref="JS19:JS20" si="929">MONICON21(JT19)</f>
        <v>#NAME?</v>
      </c>
      <c r="JT19" s="1157" t="s">
        <v>3700</v>
      </c>
      <c r="JU19" s="977" t="str">
        <f t="shared" ref="JU19:JU20" si="930">MONTYPEICON1(JT19)</f>
        <v>#NAME?</v>
      </c>
      <c r="JV19" s="980" t="str">
        <f t="shared" ref="JV19:JV20" si="931">MONTYPEICON2(JT19)</f>
        <v>#NAME?</v>
      </c>
      <c r="JW19" s="1303" t="s">
        <v>5008</v>
      </c>
      <c r="JX19" s="1230"/>
      <c r="JY19" s="961" t="s">
        <v>5404</v>
      </c>
      <c r="JZ19" s="12"/>
      <c r="KA19" s="12"/>
      <c r="KB19" s="12"/>
      <c r="KC19" s="48"/>
      <c r="KD19" s="1230"/>
      <c r="KG19" s="349"/>
      <c r="KH19" s="349"/>
      <c r="KK19" s="1351" t="str">
        <f t="shared" si="848"/>
        <v>#NAME?</v>
      </c>
      <c r="KL19" s="1564" t="s">
        <v>2185</v>
      </c>
      <c r="KM19" s="1353" t="str">
        <f t="shared" si="849"/>
        <v>#NAME?</v>
      </c>
      <c r="KN19" s="1354" t="str">
        <f t="shared" si="850"/>
        <v>#NAME?</v>
      </c>
      <c r="KO19" s="1354" t="s">
        <v>5009</v>
      </c>
      <c r="KQ19" s="983" t="str">
        <f t="shared" ref="KQ19:KQ20" si="932">MONICON21(KR19)</f>
        <v>#NAME?</v>
      </c>
      <c r="KR19" s="1031" t="s">
        <v>4244</v>
      </c>
      <c r="KS19" s="977" t="str">
        <f t="shared" ref="KS19:KS20" si="933">MONTYPEICON1(KR19)</f>
        <v>#NAME?</v>
      </c>
      <c r="KT19" s="980" t="str">
        <f t="shared" ref="KT19:KT20" si="934">MONTYPEICON2(KR19)</f>
        <v>#NAME?</v>
      </c>
      <c r="KU19" s="1035" t="s">
        <v>5014</v>
      </c>
      <c r="KW19" s="1351" t="str">
        <f t="shared" si="728"/>
        <v>#NAME?</v>
      </c>
      <c r="KX19" s="1366" t="s">
        <v>1173</v>
      </c>
      <c r="KY19" s="1353" t="str">
        <f t="shared" si="729"/>
        <v>#NAME?</v>
      </c>
      <c r="KZ19" s="1354" t="str">
        <f t="shared" si="730"/>
        <v>#NAME?</v>
      </c>
      <c r="LA19" s="1367" t="s">
        <v>5013</v>
      </c>
      <c r="LB19" s="442"/>
      <c r="LC19" s="983" t="str">
        <f t="shared" ref="LC19:LC21" si="935">MONICON21(LD19)</f>
        <v>#NAME?</v>
      </c>
      <c r="LD19" s="1301" t="s">
        <v>4123</v>
      </c>
      <c r="LE19" s="1311" t="str">
        <f t="shared" ref="LE19:LE21" si="936">MONTYPEICON1(LD19)</f>
        <v>#NAME?</v>
      </c>
      <c r="LF19" s="1312" t="str">
        <f t="shared" ref="LF19:LF21" si="937">MONTYPEICON2(LD19)</f>
        <v>#NAME?</v>
      </c>
      <c r="LG19" s="1318" t="s">
        <v>5014</v>
      </c>
      <c r="LI19" s="961" t="s">
        <v>5057</v>
      </c>
      <c r="LJ19" s="12"/>
      <c r="LK19" s="12"/>
      <c r="LL19" s="12"/>
      <c r="LM19" s="48"/>
      <c r="LO19" s="983" t="str">
        <f t="shared" ref="LO19:LO21" si="938">MONICON21(LP19)</f>
        <v>#NAME?</v>
      </c>
      <c r="LP19" s="1301" t="s">
        <v>941</v>
      </c>
      <c r="LQ19" s="977" t="str">
        <f t="shared" ref="LQ19:LQ21" si="939">MONTYPEICON1(LP19)</f>
        <v>#NAME?</v>
      </c>
      <c r="LR19" s="980" t="str">
        <f t="shared" ref="LR19:LR21" si="940">MONTYPEICON2(LP19)</f>
        <v>#NAME?</v>
      </c>
      <c r="LS19" s="1318" t="s">
        <v>5162</v>
      </c>
      <c r="LU19" s="1193" t="str">
        <f t="shared" si="851"/>
        <v>#NAME?</v>
      </c>
      <c r="LV19" s="1363" t="s">
        <v>3360</v>
      </c>
      <c r="LW19" s="1462" t="str">
        <f t="shared" si="852"/>
        <v>#NAME?</v>
      </c>
      <c r="LX19" s="1463" t="str">
        <f t="shared" si="853"/>
        <v>#NAME?</v>
      </c>
      <c r="LY19" s="1542" t="s">
        <v>5015</v>
      </c>
      <c r="MA19" s="961" t="s">
        <v>5050</v>
      </c>
      <c r="MB19" s="12"/>
      <c r="MC19" s="48"/>
      <c r="MD19" s="349"/>
      <c r="MG19" s="961" t="s">
        <v>5272</v>
      </c>
      <c r="MH19" s="12"/>
      <c r="MI19" s="48"/>
      <c r="MJ19" s="349"/>
      <c r="MM19" s="1049" t="str">
        <f t="shared" si="788"/>
        <v>#NAME?</v>
      </c>
      <c r="MN19" s="1127" t="s">
        <v>635</v>
      </c>
      <c r="MO19" s="1051" t="str">
        <f t="shared" si="789"/>
        <v>#NAME?</v>
      </c>
      <c r="MP19" s="1131" t="str">
        <f t="shared" si="790"/>
        <v>#NAME?</v>
      </c>
      <c r="MQ19" s="1422" t="s">
        <v>5015</v>
      </c>
      <c r="MS19" s="1280"/>
      <c r="MT19" s="1281" t="s">
        <v>5273</v>
      </c>
      <c r="MU19" s="12"/>
      <c r="MV19" s="962"/>
      <c r="MW19" s="1282" t="s">
        <v>4608</v>
      </c>
      <c r="MX19" s="442"/>
      <c r="MY19" s="997"/>
      <c r="MZ19" s="1026"/>
      <c r="NA19" s="1026"/>
      <c r="NB19" s="1192"/>
      <c r="NC19" s="1446"/>
      <c r="ND19" s="442"/>
      <c r="NG19" s="349"/>
      <c r="NH19" s="349"/>
      <c r="NJ19" s="65"/>
      <c r="NK19" s="1266"/>
      <c r="NL19" s="1259" t="s">
        <v>5405</v>
      </c>
      <c r="NM19" s="12"/>
      <c r="NN19" s="962"/>
      <c r="NO19" s="1258" t="s">
        <v>4608</v>
      </c>
      <c r="NQ19" s="983" t="str">
        <f t="shared" ref="NQ19:NQ22" si="941">MONICON21(NR19)</f>
        <v>#NAME?</v>
      </c>
      <c r="NR19" s="1301" t="s">
        <v>364</v>
      </c>
      <c r="NS19" s="1313" t="str">
        <f t="shared" ref="NS19:NS22" si="942">MONTYPEICON1(NR19)</f>
        <v>#NAME?</v>
      </c>
      <c r="NT19" s="1314" t="str">
        <f t="shared" ref="NT19:NT22" si="943">MONTYPEICON2(NR19)</f>
        <v>#NAME?</v>
      </c>
      <c r="NU19" s="1318" t="s">
        <v>5018</v>
      </c>
      <c r="NV19" s="442"/>
      <c r="NY19" s="349"/>
      <c r="NZ19" s="349"/>
      <c r="OB19" s="442"/>
      <c r="OC19" s="442"/>
      <c r="OD19" s="442"/>
      <c r="OE19" s="108"/>
      <c r="OF19" s="108"/>
      <c r="OG19" s="65"/>
      <c r="OH19" s="442"/>
      <c r="OI19" s="1096" t="str">
        <f t="shared" si="797"/>
        <v>#NAME?</v>
      </c>
      <c r="OJ19" s="1098" t="s">
        <v>903</v>
      </c>
      <c r="OK19" s="1417" t="str">
        <f t="shared" si="798"/>
        <v>#NAME?</v>
      </c>
      <c r="OL19" s="62" t="str">
        <f t="shared" si="799"/>
        <v>#NAME?</v>
      </c>
      <c r="OM19" s="1423" t="s">
        <v>5020</v>
      </c>
      <c r="ON19" s="442"/>
      <c r="OO19" s="1068" t="str">
        <f t="shared" si="854"/>
        <v>#NAME?</v>
      </c>
      <c r="OP19" s="1076" t="s">
        <v>4063</v>
      </c>
      <c r="OQ19" s="1358" t="str">
        <f t="shared" si="855"/>
        <v>#NAME?</v>
      </c>
      <c r="OR19" s="1359" t="str">
        <f t="shared" si="856"/>
        <v>#NAME?</v>
      </c>
      <c r="OS19" s="1368" t="s">
        <v>5022</v>
      </c>
      <c r="OU19" s="1068" t="str">
        <f t="shared" si="857"/>
        <v>#NAME?</v>
      </c>
      <c r="OV19" s="1076" t="s">
        <v>3103</v>
      </c>
      <c r="OW19" s="1358" t="str">
        <f t="shared" si="858"/>
        <v>#NAME?</v>
      </c>
      <c r="OX19" s="1359" t="str">
        <f t="shared" si="859"/>
        <v>#NAME?</v>
      </c>
      <c r="OY19" s="1368" t="s">
        <v>5022</v>
      </c>
      <c r="PA19" s="1266"/>
      <c r="PB19" s="1259" t="s">
        <v>5406</v>
      </c>
      <c r="PC19" s="12"/>
      <c r="PD19" s="962"/>
      <c r="PE19" s="1258" t="s">
        <v>4608</v>
      </c>
      <c r="PF19" s="442"/>
      <c r="PG19" s="1068" t="str">
        <f t="shared" si="860"/>
        <v>#NAME?</v>
      </c>
      <c r="PH19" s="1076" t="s">
        <v>2598</v>
      </c>
      <c r="PI19" s="1358" t="str">
        <f t="shared" si="861"/>
        <v>#NAME?</v>
      </c>
      <c r="PJ19" s="1359" t="str">
        <f t="shared" si="862"/>
        <v>#NAME?</v>
      </c>
      <c r="PK19" s="1368" t="s">
        <v>5022</v>
      </c>
      <c r="PM19" s="1068" t="str">
        <f t="shared" si="863"/>
        <v>#NAME?</v>
      </c>
      <c r="PN19" s="1076" t="s">
        <v>1343</v>
      </c>
      <c r="PO19" s="1358" t="str">
        <f t="shared" si="864"/>
        <v>#NAME?</v>
      </c>
      <c r="PP19" s="1359" t="str">
        <f t="shared" si="865"/>
        <v>#NAME?</v>
      </c>
      <c r="PQ19" s="1368" t="s">
        <v>5352</v>
      </c>
      <c r="PR19" s="442"/>
      <c r="PS19" s="1096" t="str">
        <f t="shared" si="800"/>
        <v>#NAME?</v>
      </c>
      <c r="PT19" s="1098" t="s">
        <v>3736</v>
      </c>
      <c r="PU19" s="1417" t="str">
        <f t="shared" si="801"/>
        <v>#NAME?</v>
      </c>
      <c r="PV19" s="62" t="str">
        <f t="shared" si="802"/>
        <v>#NAME?</v>
      </c>
      <c r="PW19" s="1423" t="s">
        <v>5352</v>
      </c>
      <c r="PY19" s="1268"/>
      <c r="PZ19" s="1269" t="s">
        <v>5393</v>
      </c>
      <c r="QA19" s="12"/>
      <c r="QB19" s="962"/>
      <c r="QC19" s="1270" t="s">
        <v>4608</v>
      </c>
      <c r="QD19" s="442"/>
      <c r="QE19" s="1027" t="str">
        <f t="shared" si="734"/>
        <v>#NAME?</v>
      </c>
      <c r="QF19" s="1340" t="s">
        <v>1808</v>
      </c>
      <c r="QG19" s="1360" t="str">
        <f t="shared" si="735"/>
        <v>#NAME?</v>
      </c>
      <c r="QH19" s="1361" t="str">
        <f t="shared" si="736"/>
        <v>#NAME?</v>
      </c>
      <c r="QI19" s="1376" t="s">
        <v>5032</v>
      </c>
      <c r="QJ19" s="442"/>
      <c r="QK19" s="1457" t="str">
        <f t="shared" si="737"/>
        <v>#NAME?</v>
      </c>
      <c r="QL19" s="1429" t="s">
        <v>1984</v>
      </c>
      <c r="QM19" s="1428" t="str">
        <f t="shared" si="738"/>
        <v>#NAME?</v>
      </c>
      <c r="QN19" s="1430" t="str">
        <f t="shared" si="739"/>
        <v>#NAME?</v>
      </c>
      <c r="QO19" s="1431" t="s">
        <v>5031</v>
      </c>
      <c r="QP19" s="442"/>
      <c r="QQ19" s="1457" t="str">
        <f t="shared" si="740"/>
        <v>#NAME?</v>
      </c>
      <c r="QR19" s="1429" t="s">
        <v>3603</v>
      </c>
      <c r="QS19" s="1428" t="str">
        <f t="shared" si="741"/>
        <v>#NAME?</v>
      </c>
      <c r="QT19" s="1430" t="str">
        <f t="shared" si="742"/>
        <v>#NAME?</v>
      </c>
      <c r="QU19" s="1431" t="s">
        <v>5033</v>
      </c>
      <c r="QV19" s="442"/>
      <c r="QW19" s="1457" t="str">
        <f t="shared" si="743"/>
        <v>#NAME?</v>
      </c>
      <c r="QX19" s="1429" t="s">
        <v>2012</v>
      </c>
      <c r="QY19" s="1428" t="str">
        <f t="shared" si="744"/>
        <v>#NAME?</v>
      </c>
      <c r="QZ19" s="1430" t="str">
        <f t="shared" si="745"/>
        <v>#NAME?</v>
      </c>
      <c r="RA19" s="1431" t="s">
        <v>5112</v>
      </c>
      <c r="RB19" s="442"/>
      <c r="RC19" s="1457" t="str">
        <f t="shared" si="746"/>
        <v>#NAME?</v>
      </c>
      <c r="RD19" s="1429" t="s">
        <v>1264</v>
      </c>
      <c r="RE19" s="1428" t="str">
        <f t="shared" si="747"/>
        <v>#NAME?</v>
      </c>
      <c r="RF19" s="1430" t="str">
        <f t="shared" si="748"/>
        <v>#NAME?</v>
      </c>
      <c r="RG19" s="1431" t="s">
        <v>5113</v>
      </c>
      <c r="RH19" s="442"/>
      <c r="RI19" s="1457" t="str">
        <f t="shared" si="749"/>
        <v>#NAME?</v>
      </c>
      <c r="RJ19" s="1429" t="s">
        <v>3670</v>
      </c>
      <c r="RK19" s="1428" t="str">
        <f t="shared" si="750"/>
        <v>#NAME?</v>
      </c>
      <c r="RL19" s="1430" t="str">
        <f t="shared" si="751"/>
        <v>#NAME?</v>
      </c>
      <c r="RM19" s="1431" t="s">
        <v>5092</v>
      </c>
      <c r="RN19" s="442"/>
      <c r="RO19" s="997"/>
      <c r="RP19" s="1026"/>
      <c r="RQ19" s="1026"/>
      <c r="RR19" s="1192"/>
      <c r="RS19" s="1446"/>
      <c r="RT19" s="442"/>
      <c r="RU19" s="1068" t="str">
        <f t="shared" si="866"/>
        <v>#NAME?</v>
      </c>
      <c r="RV19" s="1076" t="s">
        <v>2046</v>
      </c>
      <c r="RW19" s="1358" t="str">
        <f t="shared" si="867"/>
        <v>#NAME?</v>
      </c>
      <c r="RX19" s="1359" t="str">
        <f t="shared" si="868"/>
        <v>#NAME?</v>
      </c>
      <c r="RY19" s="1368" t="s">
        <v>5112</v>
      </c>
      <c r="RZ19" s="442"/>
      <c r="SA19" s="985" t="str">
        <f>MONICON21(SB19)</f>
        <v>#NAME?</v>
      </c>
      <c r="SB19" s="1229" t="s">
        <v>2192</v>
      </c>
      <c r="SC19" s="22" t="str">
        <f>MONTYPEICON1(SB19)</f>
        <v>#NAME?</v>
      </c>
      <c r="SD19" s="24" t="str">
        <f>MONTYPEICON2(SB19)</f>
        <v>#NAME?</v>
      </c>
      <c r="SE19" s="1424" t="s">
        <v>5024</v>
      </c>
      <c r="SG19" s="983" t="str">
        <f t="shared" ref="SG19:SG24" si="944">MONICON21(SH19)</f>
        <v>#NAME?</v>
      </c>
      <c r="SH19" s="1304" t="s">
        <v>1014</v>
      </c>
      <c r="SI19" s="977" t="str">
        <f t="shared" ref="SI19:SI24" si="945">MONTYPEICON1(SH19)</f>
        <v>#NAME?</v>
      </c>
      <c r="SJ19" s="980" t="str">
        <f t="shared" ref="SJ19:SJ24" si="946">MONTYPEICON2(SH19)</f>
        <v>#NAME?</v>
      </c>
      <c r="SK19" s="1321" t="s">
        <v>5024</v>
      </c>
      <c r="SL19" s="442"/>
      <c r="SM19" s="1068" t="str">
        <f t="shared" si="869"/>
        <v>#NAME?</v>
      </c>
      <c r="SN19" s="1076" t="s">
        <v>3113</v>
      </c>
      <c r="SO19" s="1358" t="str">
        <f t="shared" si="870"/>
        <v>#NAME?</v>
      </c>
      <c r="SP19" s="1359" t="str">
        <f t="shared" si="871"/>
        <v>#NAME?</v>
      </c>
      <c r="SQ19" s="1368" t="s">
        <v>5025</v>
      </c>
      <c r="SU19" s="349"/>
      <c r="SV19" s="349"/>
      <c r="SY19" s="1193" t="str">
        <f t="shared" si="872"/>
        <v>#NAME?</v>
      </c>
      <c r="SZ19" s="1145" t="s">
        <v>2544</v>
      </c>
      <c r="TA19" s="1462" t="str">
        <f t="shared" si="873"/>
        <v>#NAME?</v>
      </c>
      <c r="TB19" s="1463" t="str">
        <f t="shared" si="874"/>
        <v>#NAME?</v>
      </c>
      <c r="TC19" s="1464" t="s">
        <v>5112</v>
      </c>
      <c r="TD19" s="65"/>
      <c r="TE19" s="961" t="s">
        <v>5407</v>
      </c>
      <c r="TF19" s="12"/>
      <c r="TG19" s="12"/>
      <c r="TH19" s="12"/>
      <c r="TI19" s="48"/>
      <c r="TK19" s="1068" t="str">
        <f t="shared" si="875"/>
        <v>#NAME?</v>
      </c>
      <c r="TL19" s="1076" t="s">
        <v>2625</v>
      </c>
      <c r="TM19" s="1358" t="str">
        <f t="shared" si="876"/>
        <v>#NAME?</v>
      </c>
      <c r="TN19" s="1359" t="str">
        <f t="shared" si="877"/>
        <v>#NAME?</v>
      </c>
      <c r="TO19" s="1368" t="s">
        <v>5026</v>
      </c>
      <c r="TQ19" s="1068" t="str">
        <f t="shared" si="878"/>
        <v>#NAME?</v>
      </c>
      <c r="TR19" s="1076" t="s">
        <v>3603</v>
      </c>
      <c r="TS19" s="1358" t="str">
        <f t="shared" si="879"/>
        <v>#NAME?</v>
      </c>
      <c r="TT19" s="1359" t="str">
        <f t="shared" si="880"/>
        <v>#NAME?</v>
      </c>
      <c r="TU19" s="1368" t="s">
        <v>5026</v>
      </c>
      <c r="TW19" s="1033" t="str">
        <f t="shared" si="803"/>
        <v>#NAME?</v>
      </c>
      <c r="TX19" s="1098" t="s">
        <v>4217</v>
      </c>
      <c r="TY19" s="1013" t="str">
        <f t="shared" si="804"/>
        <v>#NAME?</v>
      </c>
      <c r="TZ19" s="1015" t="str">
        <f t="shared" si="805"/>
        <v>#NAME?</v>
      </c>
      <c r="UA19" s="1414" t="s">
        <v>5227</v>
      </c>
      <c r="UC19" s="1428" t="str">
        <f t="shared" si="752"/>
        <v>#NAME?</v>
      </c>
      <c r="UD19" s="1429" t="s">
        <v>3218</v>
      </c>
      <c r="UE19" s="1428" t="str">
        <f t="shared" si="753"/>
        <v>#NAME?</v>
      </c>
      <c r="UF19" s="1430" t="str">
        <f t="shared" si="754"/>
        <v>#NAME?</v>
      </c>
      <c r="UG19" s="1431" t="s">
        <v>5063</v>
      </c>
      <c r="UI19" s="1293"/>
      <c r="UJ19" s="1291" t="s">
        <v>5408</v>
      </c>
      <c r="UK19" s="12"/>
      <c r="UL19" s="962"/>
      <c r="UM19" s="1292" t="s">
        <v>4608</v>
      </c>
      <c r="UO19" s="1383" t="str">
        <f t="shared" si="881"/>
        <v>#NAME?</v>
      </c>
      <c r="UP19" s="1384" t="s">
        <v>2625</v>
      </c>
      <c r="UQ19" s="1383" t="str">
        <f t="shared" si="882"/>
        <v>#NAME?</v>
      </c>
      <c r="UR19" s="1385" t="str">
        <f t="shared" si="883"/>
        <v>#NAME?</v>
      </c>
      <c r="US19" s="1386" t="s">
        <v>5030</v>
      </c>
      <c r="UU19" s="1383" t="str">
        <f t="shared" si="884"/>
        <v>#NAME?</v>
      </c>
      <c r="UV19" s="1384" t="s">
        <v>1073</v>
      </c>
      <c r="UW19" s="1383" t="str">
        <f t="shared" si="885"/>
        <v>#NAME?</v>
      </c>
      <c r="UX19" s="1385" t="str">
        <f t="shared" si="886"/>
        <v>#NAME?</v>
      </c>
      <c r="UY19" s="1386" t="s">
        <v>5279</v>
      </c>
      <c r="VA19" s="1051" t="str">
        <f t="shared" si="809"/>
        <v>#NAME?</v>
      </c>
      <c r="VB19" s="1127" t="s">
        <v>364</v>
      </c>
      <c r="VC19" s="1130" t="str">
        <f t="shared" si="810"/>
        <v>#NAME?</v>
      </c>
      <c r="VD19" s="1433" t="str">
        <f t="shared" si="811"/>
        <v>#NAME?</v>
      </c>
      <c r="VE19" s="1095" t="s">
        <v>5118</v>
      </c>
      <c r="VG19" s="1383" t="str">
        <f t="shared" si="887"/>
        <v>#NAME?</v>
      </c>
      <c r="VH19" s="1384" t="s">
        <v>3670</v>
      </c>
      <c r="VI19" s="1383" t="str">
        <f t="shared" si="888"/>
        <v>#NAME?</v>
      </c>
      <c r="VJ19" s="1385" t="str">
        <f t="shared" si="889"/>
        <v>#NAME?</v>
      </c>
      <c r="VK19" s="1386" t="s">
        <v>5387</v>
      </c>
      <c r="VL19" s="442"/>
      <c r="VM19" s="1051" t="str">
        <f t="shared" si="812"/>
        <v>#NAME?</v>
      </c>
      <c r="VN19" s="1127" t="s">
        <v>3683</v>
      </c>
      <c r="VO19" s="1051" t="str">
        <f t="shared" si="813"/>
        <v>#NAME?</v>
      </c>
      <c r="VP19" s="1131" t="str">
        <f t="shared" si="814"/>
        <v>#NAME?</v>
      </c>
      <c r="VQ19" s="1519" t="s">
        <v>5361</v>
      </c>
      <c r="VR19" s="442"/>
      <c r="VS19" s="1294"/>
      <c r="VT19" s="1291" t="s">
        <v>5409</v>
      </c>
      <c r="VU19" s="12"/>
      <c r="VV19" s="962"/>
      <c r="VW19" s="1292" t="s">
        <v>4608</v>
      </c>
      <c r="VX19" s="442"/>
      <c r="VY19" s="1051" t="str">
        <f t="shared" si="815"/>
        <v>#NAME?</v>
      </c>
      <c r="VZ19" s="1127" t="s">
        <v>2583</v>
      </c>
      <c r="WA19" s="1051" t="str">
        <f t="shared" si="816"/>
        <v>#NAME?</v>
      </c>
      <c r="WB19" s="1131" t="str">
        <f t="shared" si="817"/>
        <v>#NAME?</v>
      </c>
      <c r="WC19" s="1095" t="s">
        <v>5032</v>
      </c>
      <c r="WD19" s="442"/>
      <c r="WE19" s="1387" t="str">
        <f t="shared" si="890"/>
        <v>#NAME?</v>
      </c>
      <c r="WF19" s="1388" t="s">
        <v>4077</v>
      </c>
      <c r="WG19" s="1387" t="str">
        <f t="shared" si="891"/>
        <v>#NAME?</v>
      </c>
      <c r="WH19" s="1392" t="str">
        <f t="shared" si="892"/>
        <v>#NAME?</v>
      </c>
      <c r="WI19" s="1391" t="s">
        <v>5019</v>
      </c>
      <c r="WJ19" s="442"/>
      <c r="WK19" s="963" t="s">
        <v>5261</v>
      </c>
      <c r="WL19" s="12"/>
      <c r="WM19" s="12"/>
      <c r="WN19" s="12"/>
      <c r="WO19" s="48"/>
      <c r="WP19" s="442"/>
      <c r="WQ19" s="977" t="str">
        <f t="shared" ref="WQ19:WQ21" si="947">MONICON21(WR19)</f>
        <v>#NAME?</v>
      </c>
      <c r="WR19" s="1301" t="s">
        <v>2251</v>
      </c>
      <c r="WS19" s="977" t="str">
        <f t="shared" ref="WS19:WS21" si="948">MONTYPEICON1(WR19)</f>
        <v>#NAME?</v>
      </c>
      <c r="WT19" s="980" t="str">
        <f t="shared" ref="WT19:WT21" si="949">MONTYPEICON2(WR19)</f>
        <v>#NAME?</v>
      </c>
      <c r="WU19" s="1303" t="s">
        <v>5033</v>
      </c>
      <c r="WV19" s="442"/>
      <c r="WW19" s="1051" t="str">
        <f t="shared" si="818"/>
        <v>#NAME?</v>
      </c>
      <c r="WX19" s="1127" t="s">
        <v>1849</v>
      </c>
      <c r="WY19" s="1051" t="str">
        <f t="shared" si="819"/>
        <v>#NAME?</v>
      </c>
      <c r="WZ19" s="1131" t="str">
        <f t="shared" si="820"/>
        <v>#NAME?</v>
      </c>
      <c r="XA19" s="1095" t="s">
        <v>5032</v>
      </c>
      <c r="XB19" s="442"/>
      <c r="XC19" s="1383" t="str">
        <f t="shared" si="647"/>
        <v>#NAME?</v>
      </c>
      <c r="XD19" s="1384" t="s">
        <v>1272</v>
      </c>
      <c r="XE19" s="1383" t="str">
        <f t="shared" si="648"/>
        <v>#NAME?</v>
      </c>
      <c r="XF19" s="1385" t="str">
        <f t="shared" si="649"/>
        <v>#NAME?</v>
      </c>
      <c r="XG19" s="1507" t="s">
        <v>5004</v>
      </c>
      <c r="XH19" s="442"/>
      <c r="XI19" s="977" t="str">
        <f t="shared" ref="XI19:XI24" si="950">MONICON21(XJ19)</f>
        <v>#NAME?</v>
      </c>
      <c r="XJ19" s="1301" t="s">
        <v>1808</v>
      </c>
      <c r="XK19" s="977" t="str">
        <f t="shared" ref="XK19:XK24" si="951">MONTYPEICON1(XJ19)</f>
        <v>#NAME?</v>
      </c>
      <c r="XL19" s="980" t="str">
        <f t="shared" ref="XL19:XL24" si="952">MONTYPEICON2(XJ19)</f>
        <v>#NAME?</v>
      </c>
      <c r="XM19" s="1321" t="s">
        <v>5410</v>
      </c>
      <c r="XN19" s="442"/>
      <c r="XO19" s="1294"/>
      <c r="XP19" s="1291" t="s">
        <v>5411</v>
      </c>
      <c r="XQ19" s="12"/>
      <c r="XR19" s="962"/>
      <c r="XS19" s="1292" t="s">
        <v>4608</v>
      </c>
      <c r="XT19" s="442"/>
      <c r="XU19" s="1051" t="str">
        <f t="shared" si="821"/>
        <v>#NAME?</v>
      </c>
      <c r="XV19" s="1127" t="s">
        <v>1039</v>
      </c>
      <c r="XW19" s="1051" t="str">
        <f t="shared" si="822"/>
        <v>#NAME?</v>
      </c>
      <c r="XX19" s="1131" t="str">
        <f t="shared" si="823"/>
        <v>#NAME?</v>
      </c>
      <c r="XY19" s="1095" t="s">
        <v>5018</v>
      </c>
      <c r="XZ19" s="442"/>
      <c r="YA19" s="1387" t="str">
        <f t="shared" si="893"/>
        <v>#NAME?</v>
      </c>
      <c r="YB19" s="1388" t="s">
        <v>3273</v>
      </c>
      <c r="YC19" s="1387" t="str">
        <f t="shared" si="894"/>
        <v>#NAME?</v>
      </c>
      <c r="YD19" s="1392" t="str">
        <f t="shared" si="895"/>
        <v>#NAME?</v>
      </c>
      <c r="YE19" s="1391" t="s">
        <v>5390</v>
      </c>
      <c r="YF19" s="442"/>
      <c r="YG19" s="1387" t="str">
        <f t="shared" si="896"/>
        <v>#NAME?</v>
      </c>
      <c r="YH19" s="1388" t="s">
        <v>4204</v>
      </c>
      <c r="YI19" s="1387" t="str">
        <f t="shared" si="897"/>
        <v>#NAME?</v>
      </c>
      <c r="YJ19" s="1392" t="str">
        <f t="shared" si="898"/>
        <v>#NAME?</v>
      </c>
      <c r="YK19" s="1391" t="s">
        <v>5390</v>
      </c>
      <c r="YL19" s="442"/>
      <c r="YM19" s="1294"/>
      <c r="YN19" s="1291" t="s">
        <v>5412</v>
      </c>
      <c r="YO19" s="12"/>
      <c r="YP19" s="962"/>
      <c r="YQ19" s="1292" t="s">
        <v>4608</v>
      </c>
      <c r="YR19" s="442"/>
      <c r="YS19" s="977" t="str">
        <f t="shared" ref="YS19:YS21" si="953">MONICON21(YT19)</f>
        <v>#NAME?</v>
      </c>
      <c r="YT19" s="1301" t="s">
        <v>3397</v>
      </c>
      <c r="YU19" s="977" t="str">
        <f t="shared" ref="YU19:YU21" si="954">MONTYPEICON1(YT19)</f>
        <v>#NAME?</v>
      </c>
      <c r="YV19" s="980" t="str">
        <f t="shared" ref="YV19:YV21" si="955">MONTYPEICON2(YT19)</f>
        <v>#NAME?</v>
      </c>
      <c r="YW19" s="1303" t="s">
        <v>5032</v>
      </c>
      <c r="YX19" s="442"/>
      <c r="YY19" s="1387" t="str">
        <f t="shared" si="899"/>
        <v>#NAME?</v>
      </c>
      <c r="YZ19" s="1388" t="s">
        <v>4257</v>
      </c>
      <c r="ZA19" s="1387" t="str">
        <f t="shared" si="900"/>
        <v>#NAME?</v>
      </c>
      <c r="ZB19" s="1392" t="str">
        <f t="shared" si="901"/>
        <v>#NAME?</v>
      </c>
      <c r="ZC19" s="1391" t="s">
        <v>5032</v>
      </c>
      <c r="ZD19" s="442"/>
      <c r="ZE19" s="1574" t="s">
        <v>4658</v>
      </c>
      <c r="ZF19" s="1203"/>
      <c r="ZG19" s="1203"/>
      <c r="ZH19" s="1203"/>
      <c r="ZI19" s="1204"/>
      <c r="ZJ19" s="442"/>
      <c r="ZK19" s="977" t="str">
        <f t="shared" ref="ZK19:ZK21" si="956">MONICON21(ZL19)</f>
        <v>#NAME?</v>
      </c>
      <c r="ZL19" s="1301" t="s">
        <v>2970</v>
      </c>
      <c r="ZM19" s="977" t="str">
        <f t="shared" ref="ZM19:ZM21" si="957">MONTYPEICON1(ZL19)</f>
        <v>#NAME?</v>
      </c>
      <c r="ZN19" s="980" t="str">
        <f t="shared" ref="ZN19:ZN21" si="958">MONTYPEICON2(ZL19)</f>
        <v>#NAME?</v>
      </c>
      <c r="ZO19" s="1303" t="s">
        <v>5025</v>
      </c>
      <c r="ZP19" s="442"/>
      <c r="ZS19" s="349"/>
      <c r="ZT19" s="349"/>
      <c r="ZV19" s="442"/>
      <c r="ZW19" s="1294"/>
      <c r="ZX19" s="1291" t="s">
        <v>5413</v>
      </c>
      <c r="ZY19" s="12"/>
      <c r="ZZ19" s="962"/>
      <c r="AAA19" s="1292" t="s">
        <v>4608</v>
      </c>
      <c r="AAB19" s="442"/>
      <c r="AAC19" s="1579" t="s">
        <v>4555</v>
      </c>
      <c r="AAD19" s="12"/>
      <c r="AAE19" s="12"/>
      <c r="AAF19" s="12"/>
      <c r="AAG19" s="48"/>
      <c r="AAH19" s="442"/>
      <c r="AAI19" s="1033" t="str">
        <f t="shared" ref="AAI19:AAI24" si="959">MONICON21(AAJ19)</f>
        <v>#NAME?</v>
      </c>
      <c r="AAJ19" s="1301" t="s">
        <v>3670</v>
      </c>
      <c r="AAK19" s="977" t="str">
        <f t="shared" ref="AAK19:AAK24" si="960">MONTYPEICON1(AAJ19)</f>
        <v>#NAME?</v>
      </c>
      <c r="AAL19" s="980" t="str">
        <f t="shared" ref="AAL19:AAL24" si="961">MONTYPEICON2(AAJ19)</f>
        <v>#NAME?</v>
      </c>
      <c r="AAM19" s="1318" t="s">
        <v>5227</v>
      </c>
      <c r="AAO19" s="1033" t="str">
        <f t="shared" ref="AAO19:AAO24" si="962">MONICON21(AAP19)</f>
        <v>#NAME?</v>
      </c>
      <c r="AAP19" s="1301" t="s">
        <v>742</v>
      </c>
      <c r="AAQ19" s="977" t="str">
        <f t="shared" ref="AAQ19:AAQ24" si="963">MONTYPEICON1(AAP19)</f>
        <v>#NAME?</v>
      </c>
      <c r="AAR19" s="980" t="str">
        <f t="shared" ref="AAR19:AAR24" si="964">MONTYPEICON2(AAP19)</f>
        <v>#NAME?</v>
      </c>
      <c r="AAS19" s="1318" t="s">
        <v>5117</v>
      </c>
      <c r="AAU19" s="1033" t="str">
        <f t="shared" ref="AAU19:AAU24" si="965">MONICON21(AAV19)</f>
        <v>#NAME?</v>
      </c>
      <c r="AAV19" s="1301" t="s">
        <v>742</v>
      </c>
      <c r="AAW19" s="977" t="str">
        <f t="shared" ref="AAW19:AAW24" si="966">MONTYPEICON1(AAV19)</f>
        <v>#NAME?</v>
      </c>
      <c r="AAX19" s="980" t="str">
        <f t="shared" ref="AAX19:AAX24" si="967">MONTYPEICON2(AAV19)</f>
        <v>#NAME?</v>
      </c>
      <c r="AAY19" s="1318" t="s">
        <v>5117</v>
      </c>
      <c r="ABA19" s="1033" t="str">
        <f t="shared" ref="ABA19:ABA24" si="968">MONICON21(ABB19)</f>
        <v>#NAME?</v>
      </c>
      <c r="ABB19" s="1301" t="s">
        <v>1680</v>
      </c>
      <c r="ABC19" s="977" t="str">
        <f t="shared" ref="ABC19:ABC24" si="969">MONTYPEICON1(ABB19)</f>
        <v>#NAME?</v>
      </c>
      <c r="ABD19" s="980" t="str">
        <f t="shared" ref="ABD19:ABD24" si="970">MONTYPEICON2(ABB19)</f>
        <v>#NAME?</v>
      </c>
      <c r="ABE19" s="1318" t="s">
        <v>5036</v>
      </c>
      <c r="ABG19" s="1033" t="str">
        <f t="shared" ref="ABG19:ABG24" si="971">MONICON21(ABH19)</f>
        <v>#NAME?</v>
      </c>
      <c r="ABH19" s="1301" t="s">
        <v>3978</v>
      </c>
      <c r="ABI19" s="977" t="str">
        <f t="shared" ref="ABI19:ABI24" si="972">MONTYPEICON1(ABH19)</f>
        <v>#NAME?</v>
      </c>
      <c r="ABJ19" s="980" t="str">
        <f t="shared" ref="ABJ19:ABJ24" si="973">MONTYPEICON2(ABH19)</f>
        <v>#NAME?</v>
      </c>
      <c r="ABK19" s="1318" t="s">
        <v>5036</v>
      </c>
      <c r="ABM19" s="1033" t="str">
        <f t="shared" ref="ABM19:ABM24" si="974">MONICON21(ABN19)</f>
        <v>#NAME?</v>
      </c>
      <c r="ABN19" s="1301" t="s">
        <v>3978</v>
      </c>
      <c r="ABO19" s="977" t="str">
        <f t="shared" ref="ABO19:ABO24" si="975">MONTYPEICON1(ABN19)</f>
        <v>#NAME?</v>
      </c>
      <c r="ABP19" s="980" t="str">
        <f t="shared" ref="ABP19:ABP24" si="976">MONTYPEICON2(ABN19)</f>
        <v>#NAME?</v>
      </c>
      <c r="ABQ19" s="1318" t="s">
        <v>5036</v>
      </c>
      <c r="ABS19" s="1033" t="str">
        <f t="shared" ref="ABS19:ABS24" si="977">MONICON21(ABT19)</f>
        <v>#NAME?</v>
      </c>
      <c r="ABT19" s="1301" t="s">
        <v>1680</v>
      </c>
      <c r="ABU19" s="977" t="str">
        <f t="shared" ref="ABU19:ABU24" si="978">MONTYPEICON1(ABT19)</f>
        <v>#NAME?</v>
      </c>
      <c r="ABV19" s="980" t="str">
        <f t="shared" ref="ABV19:ABV24" si="979">MONTYPEICON2(ABT19)</f>
        <v>#NAME?</v>
      </c>
      <c r="ABW19" s="1318" t="s">
        <v>5117</v>
      </c>
      <c r="ABY19" s="1437"/>
      <c r="ABZ19" s="1438" t="s">
        <v>4983</v>
      </c>
      <c r="ACA19" s="1439"/>
      <c r="ACB19" s="1440"/>
      <c r="ACC19" s="1441" t="s">
        <v>4608</v>
      </c>
      <c r="ACJ19" s="996"/>
    </row>
    <row r="20" ht="15.75" customHeight="1">
      <c r="A20" s="1230"/>
      <c r="B20" s="1444"/>
      <c r="C20" s="1445"/>
      <c r="D20" s="1446"/>
      <c r="E20" s="1230"/>
      <c r="F20" s="1238"/>
      <c r="G20" s="1405" t="s">
        <v>5414</v>
      </c>
      <c r="H20" s="1230"/>
      <c r="I20" s="442"/>
      <c r="J20" s="442"/>
      <c r="K20" s="442"/>
      <c r="L20" s="442"/>
      <c r="M20" s="108"/>
      <c r="N20" s="1230"/>
      <c r="O20" s="108"/>
      <c r="P20" s="442"/>
      <c r="Q20" s="442"/>
      <c r="R20" s="442"/>
      <c r="S20" s="108"/>
      <c r="T20" s="1230"/>
      <c r="U20" s="1488"/>
      <c r="V20" s="1269" t="s">
        <v>4926</v>
      </c>
      <c r="W20" s="12"/>
      <c r="X20" s="962"/>
      <c r="Y20" s="1270" t="s">
        <v>4608</v>
      </c>
      <c r="Z20" s="1230"/>
      <c r="AA20" s="1146" t="str">
        <f t="shared" si="902"/>
        <v>#NAME?</v>
      </c>
      <c r="AB20" s="1145" t="s">
        <v>1889</v>
      </c>
      <c r="AC20" s="1146" t="str">
        <f t="shared" si="903"/>
        <v>#NAME?</v>
      </c>
      <c r="AD20" s="1148" t="str">
        <f t="shared" si="904"/>
        <v>#NAME?</v>
      </c>
      <c r="AE20" s="1330" t="s">
        <v>5130</v>
      </c>
      <c r="AF20" s="1230"/>
      <c r="AG20" s="108"/>
      <c r="AH20" s="442"/>
      <c r="AI20" s="442"/>
      <c r="AJ20" s="442"/>
      <c r="AK20" s="108"/>
      <c r="AL20" s="1230"/>
      <c r="AM20" s="1051" t="str">
        <f t="shared" si="827"/>
        <v>#NAME?</v>
      </c>
      <c r="AN20" s="1479" t="s">
        <v>2651</v>
      </c>
      <c r="AO20" s="1051" t="str">
        <f t="shared" si="828"/>
        <v>#NAME?</v>
      </c>
      <c r="AP20" s="1131" t="str">
        <f t="shared" si="829"/>
        <v>#NAME?</v>
      </c>
      <c r="AQ20" s="1411" t="s">
        <v>5074</v>
      </c>
      <c r="AR20" s="1230"/>
      <c r="AS20" s="1033" t="str">
        <f t="shared" ref="AS20:AS21" si="980">MONICON21(AT20)</f>
        <v>#NAME?</v>
      </c>
      <c r="AT20" s="1304" t="s">
        <v>526</v>
      </c>
      <c r="AU20" s="949" t="str">
        <f t="shared" ref="AU20:AU21" si="981">MONTYPEICON1(AT20)</f>
        <v>#NAME?</v>
      </c>
      <c r="AV20" s="952" t="str">
        <f t="shared" ref="AV20:AV21" si="982">MONTYPEICON2(AT20)</f>
        <v>#NAME?</v>
      </c>
      <c r="AW20" s="1305" t="s">
        <v>5076</v>
      </c>
      <c r="AX20" s="1230"/>
      <c r="AY20" s="1255"/>
      <c r="AZ20" s="1259" t="s">
        <v>5415</v>
      </c>
      <c r="BA20" s="12"/>
      <c r="BB20" s="962"/>
      <c r="BC20" s="1258" t="s">
        <v>4608</v>
      </c>
      <c r="BD20" s="1230"/>
      <c r="BE20" s="1071" t="str">
        <f t="shared" si="905"/>
        <v>#NAME?</v>
      </c>
      <c r="BF20" s="1337" t="s">
        <v>570</v>
      </c>
      <c r="BG20" s="1071" t="str">
        <f t="shared" si="906"/>
        <v>#NAME?</v>
      </c>
      <c r="BH20" s="1073" t="str">
        <f t="shared" si="907"/>
        <v>#NAME?</v>
      </c>
      <c r="BI20" s="1338" t="s">
        <v>5337</v>
      </c>
      <c r="BJ20" s="1230"/>
      <c r="BK20" s="1071" t="str">
        <f t="shared" si="908"/>
        <v>#NAME?</v>
      </c>
      <c r="BL20" s="1337" t="s">
        <v>3246</v>
      </c>
      <c r="BM20" s="1071" t="str">
        <f t="shared" si="909"/>
        <v>#NAME?</v>
      </c>
      <c r="BN20" s="1073" t="str">
        <f t="shared" si="910"/>
        <v>#NAME?</v>
      </c>
      <c r="BO20" s="1338" t="s">
        <v>4993</v>
      </c>
      <c r="BP20" s="442"/>
      <c r="BQ20" s="108"/>
      <c r="BR20" s="442"/>
      <c r="BS20" s="442"/>
      <c r="BT20" s="442"/>
      <c r="BU20" s="108"/>
      <c r="BV20" s="442"/>
      <c r="BW20" s="1071" t="str">
        <f t="shared" si="911"/>
        <v>#NAME?</v>
      </c>
      <c r="BX20" s="1337" t="s">
        <v>2559</v>
      </c>
      <c r="BY20" s="1071" t="str">
        <f t="shared" si="912"/>
        <v>#NAME?</v>
      </c>
      <c r="BZ20" s="1073" t="str">
        <f t="shared" si="913"/>
        <v>#NAME?</v>
      </c>
      <c r="CA20" s="1338" t="s">
        <v>4995</v>
      </c>
      <c r="CB20" s="1230"/>
      <c r="CH20" s="1230"/>
      <c r="CI20" s="1568" t="str">
        <f t="shared" si="914"/>
        <v>#NAME?</v>
      </c>
      <c r="CJ20" s="1366" t="s">
        <v>3955</v>
      </c>
      <c r="CK20" s="1353" t="str">
        <f t="shared" si="915"/>
        <v>#NAME?</v>
      </c>
      <c r="CL20" s="1354" t="str">
        <f t="shared" si="916"/>
        <v>#NAME?</v>
      </c>
      <c r="CM20" s="1413" t="s">
        <v>4996</v>
      </c>
      <c r="CN20" s="1230"/>
      <c r="CO20" s="442"/>
      <c r="CP20" s="442"/>
      <c r="CQ20" s="442"/>
      <c r="CR20" s="442"/>
      <c r="CS20" s="442"/>
      <c r="CT20" s="442"/>
      <c r="CU20" s="1132" t="str">
        <f t="shared" si="776"/>
        <v>#NAME?</v>
      </c>
      <c r="CV20" s="1490" t="s">
        <v>734</v>
      </c>
      <c r="CW20" s="1112" t="str">
        <f t="shared" si="777"/>
        <v>#NAME?</v>
      </c>
      <c r="CX20" s="1114" t="str">
        <f t="shared" si="778"/>
        <v>#NAME?</v>
      </c>
      <c r="CY20" s="1491" t="s">
        <v>5201</v>
      </c>
      <c r="CZ20" s="442"/>
      <c r="DA20" s="1094" t="str">
        <f t="shared" si="830"/>
        <v>#NAME?</v>
      </c>
      <c r="DB20" s="1410" t="s">
        <v>4025</v>
      </c>
      <c r="DC20" s="1051" t="str">
        <f t="shared" si="831"/>
        <v>#NAME?</v>
      </c>
      <c r="DD20" s="1131" t="str">
        <f t="shared" si="832"/>
        <v>#NAME?</v>
      </c>
      <c r="DE20" s="1411" t="s">
        <v>5099</v>
      </c>
      <c r="DF20" s="442"/>
      <c r="DG20" s="1096" t="str">
        <f t="shared" si="833"/>
        <v>#NAME?</v>
      </c>
      <c r="DH20" s="1098" t="s">
        <v>3911</v>
      </c>
      <c r="DI20" s="1013" t="str">
        <f t="shared" si="834"/>
        <v>#NAME?</v>
      </c>
      <c r="DJ20" s="1015" t="str">
        <f t="shared" si="835"/>
        <v>#NAME?</v>
      </c>
      <c r="DK20" s="1414" t="s">
        <v>5000</v>
      </c>
      <c r="DL20" s="442"/>
      <c r="DM20" s="1094" t="str">
        <f t="shared" si="836"/>
        <v>#NAME?</v>
      </c>
      <c r="DN20" s="1410" t="s">
        <v>3970</v>
      </c>
      <c r="DO20" s="1051" t="str">
        <f t="shared" si="837"/>
        <v>#NAME?</v>
      </c>
      <c r="DP20" s="1131" t="str">
        <f t="shared" si="838"/>
        <v>#NAME?</v>
      </c>
      <c r="DQ20" s="1411" t="s">
        <v>4998</v>
      </c>
      <c r="DR20" s="442"/>
      <c r="DX20" s="442"/>
      <c r="DY20" s="1283"/>
      <c r="DZ20" s="1580" t="s">
        <v>5230</v>
      </c>
      <c r="EA20" s="959"/>
      <c r="EB20" s="957"/>
      <c r="EC20" s="1581" t="s">
        <v>4608</v>
      </c>
      <c r="ED20" s="442"/>
      <c r="EE20" s="1159" t="str">
        <f t="shared" si="779"/>
        <v>#NAME?</v>
      </c>
      <c r="EF20" s="1494" t="s">
        <v>3642</v>
      </c>
      <c r="EG20" s="1454" t="str">
        <f t="shared" si="780"/>
        <v>#NAME?</v>
      </c>
      <c r="EH20" s="1455" t="str">
        <f t="shared" si="781"/>
        <v>#NAME?</v>
      </c>
      <c r="EI20" s="1495" t="s">
        <v>5001</v>
      </c>
      <c r="EJ20" s="1230"/>
      <c r="EK20" s="1049" t="str">
        <f t="shared" si="839"/>
        <v>#NAME?</v>
      </c>
      <c r="EL20" s="499" t="s">
        <v>171</v>
      </c>
      <c r="EM20" s="1051" t="str">
        <f t="shared" si="840"/>
        <v>#NAME?</v>
      </c>
      <c r="EN20" s="1131" t="str">
        <f t="shared" si="841"/>
        <v>#NAME?</v>
      </c>
      <c r="EO20" s="1095" t="s">
        <v>5201</v>
      </c>
      <c r="EP20" s="1230"/>
      <c r="EQ20" s="985" t="str">
        <f>MONICON21(ER20)</f>
        <v>#NAME?</v>
      </c>
      <c r="ER20" s="1052" t="s">
        <v>458</v>
      </c>
      <c r="ES20" s="1092" t="str">
        <f>MONTYPEICON1(ER20)</f>
        <v>#NAME?</v>
      </c>
      <c r="ET20" s="987" t="str">
        <f>MONTYPEICON2(ER20)</f>
        <v>#NAME?</v>
      </c>
      <c r="EU20" s="1518" t="s">
        <v>5000</v>
      </c>
      <c r="EV20" s="1230"/>
      <c r="EW20" s="1272" t="s">
        <v>4748</v>
      </c>
      <c r="EX20" s="12"/>
      <c r="EY20" s="12"/>
      <c r="EZ20" s="12"/>
      <c r="FA20" s="48"/>
      <c r="FB20" s="442"/>
      <c r="FC20" s="1012" t="str">
        <f t="shared" ref="FC20:FC21" si="983">MONICON21(FD20)</f>
        <v>#NAME?</v>
      </c>
      <c r="FD20" s="38" t="s">
        <v>2905</v>
      </c>
      <c r="FE20" s="977" t="str">
        <f t="shared" ref="FE20:FE21" si="984">MONTYPEICON1(FD20)</f>
        <v>#NAME?</v>
      </c>
      <c r="FF20" s="980" t="str">
        <f t="shared" ref="FF20:FF21" si="985">MONTYPEICON2(FD20)</f>
        <v>#NAME?</v>
      </c>
      <c r="FG20" s="1043" t="s">
        <v>5078</v>
      </c>
      <c r="FH20" s="442"/>
      <c r="FK20" s="349"/>
      <c r="FL20" s="349"/>
      <c r="FN20" s="442"/>
      <c r="FO20" s="1094" t="str">
        <f t="shared" si="842"/>
        <v>#NAME?</v>
      </c>
      <c r="FP20" s="499" t="s">
        <v>3342</v>
      </c>
      <c r="FQ20" s="1051" t="str">
        <f t="shared" si="843"/>
        <v>#NAME?</v>
      </c>
      <c r="FR20" s="1131" t="str">
        <f t="shared" si="844"/>
        <v>#NAME?</v>
      </c>
      <c r="FS20" s="1095" t="s">
        <v>5078</v>
      </c>
      <c r="FT20" s="442"/>
      <c r="FU20" s="985" t="str">
        <f>MONICON21(FV20)</f>
        <v>#NAME?</v>
      </c>
      <c r="FV20" s="146" t="s">
        <v>3670</v>
      </c>
      <c r="FW20" s="1092" t="str">
        <f>MONTYPEICON1(FV20)</f>
        <v>#NAME?</v>
      </c>
      <c r="FX20" s="987" t="str">
        <f>MONTYPEICON2(FV20)</f>
        <v>#NAME?</v>
      </c>
      <c r="FY20" s="1196" t="s">
        <v>5003</v>
      </c>
      <c r="FZ20" s="442"/>
      <c r="GC20" s="349"/>
      <c r="GD20" s="349"/>
      <c r="GF20" s="442"/>
      <c r="GG20" s="983" t="str">
        <f t="shared" ref="GG20:GG22" si="986">MONICON21(GH20)</f>
        <v>#NAME?</v>
      </c>
      <c r="GH20" s="1304" t="s">
        <v>2616</v>
      </c>
      <c r="GI20" s="977" t="str">
        <f t="shared" ref="GI20:GI22" si="987">MONTYPEICON1(GH20)</f>
        <v>#NAME?</v>
      </c>
      <c r="GJ20" s="980" t="str">
        <f t="shared" ref="GJ20:GJ22" si="988">MONTYPEICON2(GH20)</f>
        <v>#NAME?</v>
      </c>
      <c r="GK20" s="1305" t="s">
        <v>5003</v>
      </c>
      <c r="GL20" s="1230"/>
      <c r="GM20" s="1246" t="s">
        <v>4822</v>
      </c>
      <c r="GN20" s="12"/>
      <c r="GO20" s="12"/>
      <c r="GP20" s="12"/>
      <c r="GQ20" s="48"/>
      <c r="GR20" s="65"/>
      <c r="GS20" s="985" t="str">
        <f>MONICON21(GT20)</f>
        <v>#NAME?</v>
      </c>
      <c r="GT20" s="1310" t="s">
        <v>896</v>
      </c>
      <c r="GU20" s="1092" t="str">
        <f>MONTYPEICON1(GT20)</f>
        <v>#NAME?</v>
      </c>
      <c r="GV20" s="987" t="str">
        <f>MONTYPEICON2(GT20)</f>
        <v>#NAME?</v>
      </c>
      <c r="GW20" s="1309" t="s">
        <v>5004</v>
      </c>
      <c r="GX20" s="65"/>
      <c r="HA20" s="349"/>
      <c r="HB20" s="349"/>
      <c r="HD20" s="1230"/>
      <c r="HE20" s="1068" t="str">
        <f t="shared" si="917"/>
        <v>#NAME?</v>
      </c>
      <c r="HF20" s="1078" t="s">
        <v>1908</v>
      </c>
      <c r="HG20" s="1071" t="str">
        <f t="shared" si="918"/>
        <v>#NAME?</v>
      </c>
      <c r="HH20" s="1073" t="str">
        <f t="shared" si="919"/>
        <v>#NAME?</v>
      </c>
      <c r="HI20" s="1093" t="s">
        <v>5004</v>
      </c>
      <c r="HJ20" s="1230"/>
      <c r="HK20" s="1268"/>
      <c r="HL20" s="1269" t="s">
        <v>5192</v>
      </c>
      <c r="HM20" s="12"/>
      <c r="HN20" s="962"/>
      <c r="HO20" s="1270" t="s">
        <v>4608</v>
      </c>
      <c r="HP20" s="65"/>
      <c r="HQ20" s="983" t="str">
        <f t="shared" ref="HQ20:HQ22" si="989">MONICON21(HR20)</f>
        <v>#NAME?</v>
      </c>
      <c r="HR20" s="1304" t="s">
        <v>878</v>
      </c>
      <c r="HS20" s="977" t="str">
        <f t="shared" ref="HS20:HS22" si="990">MONTYPEICON1(HR20)</f>
        <v>#NAME?</v>
      </c>
      <c r="HT20" s="980" t="str">
        <f t="shared" ref="HT20:HT22" si="991">MONTYPEICON2(HR20)</f>
        <v>#NAME?</v>
      </c>
      <c r="HU20" s="1303" t="s">
        <v>5006</v>
      </c>
      <c r="HV20" s="65"/>
      <c r="HW20" s="1266"/>
      <c r="HX20" s="1259" t="s">
        <v>5416</v>
      </c>
      <c r="HY20" s="12"/>
      <c r="HZ20" s="962"/>
      <c r="IA20" s="1258" t="s">
        <v>4608</v>
      </c>
      <c r="IB20" s="65"/>
      <c r="IC20" s="983" t="str">
        <f t="shared" ref="IC20:IC22" si="992">MONICON21(ID20)</f>
        <v>#NAME?</v>
      </c>
      <c r="ID20" s="1157" t="s">
        <v>767</v>
      </c>
      <c r="IE20" s="1311" t="str">
        <f t="shared" ref="IE20:IE22" si="993">MONTYPEICON1(ID20)</f>
        <v>#NAME?</v>
      </c>
      <c r="IF20" s="1312" t="str">
        <f t="shared" ref="IF20:IF22" si="994">MONTYPEICON2(ID20)</f>
        <v>#NAME?</v>
      </c>
      <c r="IG20" s="1303" t="s">
        <v>5214</v>
      </c>
      <c r="II20" s="1027" t="str">
        <f t="shared" si="920"/>
        <v>#NAME?</v>
      </c>
      <c r="IJ20" s="1340" t="s">
        <v>4225</v>
      </c>
      <c r="IK20" s="1360" t="str">
        <f t="shared" si="921"/>
        <v>#NAME?</v>
      </c>
      <c r="IL20" s="1361" t="str">
        <f t="shared" si="922"/>
        <v>#NAME?</v>
      </c>
      <c r="IM20" s="1343" t="s">
        <v>5008</v>
      </c>
      <c r="IN20" s="1230"/>
      <c r="IO20" s="1280"/>
      <c r="IP20" s="1281" t="s">
        <v>4908</v>
      </c>
      <c r="IQ20" s="12"/>
      <c r="IR20" s="962"/>
      <c r="IS20" s="1282" t="s">
        <v>4608</v>
      </c>
      <c r="IT20" s="1230"/>
      <c r="IU20" s="442"/>
      <c r="IV20" s="442"/>
      <c r="IW20" s="108"/>
      <c r="IX20" s="108"/>
      <c r="IY20" s="442"/>
      <c r="IZ20" s="442"/>
      <c r="JA20" s="1068" t="str">
        <f t="shared" si="923"/>
        <v>#NAME?</v>
      </c>
      <c r="JB20" s="1356" t="s">
        <v>2106</v>
      </c>
      <c r="JC20" s="1358" t="str">
        <f t="shared" si="924"/>
        <v>#NAME?</v>
      </c>
      <c r="JD20" s="1359" t="str">
        <f t="shared" si="925"/>
        <v>#NAME?</v>
      </c>
      <c r="JE20" s="1338" t="s">
        <v>5084</v>
      </c>
      <c r="JF20" s="442"/>
      <c r="JG20" s="1266"/>
      <c r="JH20" s="1259" t="s">
        <v>5417</v>
      </c>
      <c r="JI20" s="12"/>
      <c r="JJ20" s="962"/>
      <c r="JK20" s="1258" t="s">
        <v>4608</v>
      </c>
      <c r="JL20" s="442"/>
      <c r="JM20" s="1193" t="str">
        <f t="shared" si="926"/>
        <v>#NAME?</v>
      </c>
      <c r="JN20" s="1582" t="s">
        <v>2293</v>
      </c>
      <c r="JO20" s="1146" t="str">
        <f t="shared" si="927"/>
        <v>#NAME?</v>
      </c>
      <c r="JP20" s="1148" t="str">
        <f t="shared" si="928"/>
        <v>#NAME?</v>
      </c>
      <c r="JQ20" s="1583" t="s">
        <v>5158</v>
      </c>
      <c r="JR20" s="442"/>
      <c r="JS20" s="1193" t="str">
        <f t="shared" si="929"/>
        <v>#NAME?</v>
      </c>
      <c r="JT20" s="1357" t="s">
        <v>2735</v>
      </c>
      <c r="JU20" s="1146" t="str">
        <f t="shared" si="930"/>
        <v>#NAME?</v>
      </c>
      <c r="JV20" s="1148" t="str">
        <f t="shared" si="931"/>
        <v>#NAME?</v>
      </c>
      <c r="JW20" s="1330" t="s">
        <v>5008</v>
      </c>
      <c r="JX20" s="1230"/>
      <c r="KA20" s="349"/>
      <c r="KB20" s="108"/>
      <c r="KC20" s="442"/>
      <c r="KD20" s="1230"/>
      <c r="KE20" s="1266"/>
      <c r="KF20" s="1259" t="s">
        <v>5418</v>
      </c>
      <c r="KG20" s="12"/>
      <c r="KH20" s="962"/>
      <c r="KI20" s="1258" t="s">
        <v>4608</v>
      </c>
      <c r="KK20" s="1049" t="str">
        <f t="shared" si="848"/>
        <v>#NAME?</v>
      </c>
      <c r="KL20" s="1050" t="s">
        <v>969</v>
      </c>
      <c r="KM20" s="1051" t="str">
        <f t="shared" si="849"/>
        <v>#NAME?</v>
      </c>
      <c r="KN20" s="1131" t="str">
        <f t="shared" si="850"/>
        <v>#NAME?</v>
      </c>
      <c r="KO20" s="1131" t="s">
        <v>5009</v>
      </c>
      <c r="KQ20" s="1105" t="str">
        <f t="shared" si="932"/>
        <v>#NAME?</v>
      </c>
      <c r="KR20" s="1173" t="s">
        <v>1984</v>
      </c>
      <c r="KS20" s="1080" t="str">
        <f t="shared" si="933"/>
        <v>#NAME?</v>
      </c>
      <c r="KT20" s="1126" t="str">
        <f t="shared" si="934"/>
        <v>#NAME?</v>
      </c>
      <c r="KU20" s="1126" t="s">
        <v>5014</v>
      </c>
      <c r="KW20" s="1094" t="str">
        <f t="shared" si="728"/>
        <v>#NAME?</v>
      </c>
      <c r="KX20" s="1479" t="s">
        <v>4091</v>
      </c>
      <c r="KY20" s="1051" t="str">
        <f t="shared" si="729"/>
        <v>#NAME?</v>
      </c>
      <c r="KZ20" s="1131" t="str">
        <f t="shared" si="730"/>
        <v>#NAME?</v>
      </c>
      <c r="LA20" s="1422" t="s">
        <v>5106</v>
      </c>
      <c r="LB20" s="442"/>
      <c r="LC20" s="1068" t="str">
        <f t="shared" si="935"/>
        <v>#NAME?</v>
      </c>
      <c r="LD20" s="1076" t="s">
        <v>4123</v>
      </c>
      <c r="LE20" s="1358" t="str">
        <f t="shared" si="936"/>
        <v>#NAME?</v>
      </c>
      <c r="LF20" s="1359" t="str">
        <f t="shared" si="937"/>
        <v>#NAME?</v>
      </c>
      <c r="LG20" s="1368" t="s">
        <v>5014</v>
      </c>
      <c r="LK20" s="349"/>
      <c r="LL20" s="349"/>
      <c r="LO20" s="1056" t="str">
        <f t="shared" si="938"/>
        <v>#NAME?</v>
      </c>
      <c r="LP20" s="1123" t="s">
        <v>1292</v>
      </c>
      <c r="LQ20" s="1021" t="str">
        <f t="shared" si="939"/>
        <v>#NAME?</v>
      </c>
      <c r="LR20" s="1024" t="str">
        <f t="shared" si="940"/>
        <v>#NAME?</v>
      </c>
      <c r="LS20" s="1501" t="s">
        <v>5015</v>
      </c>
      <c r="LW20" s="108"/>
      <c r="LX20" s="349"/>
      <c r="MA20" s="1273"/>
      <c r="MB20" s="1281" t="s">
        <v>5419</v>
      </c>
      <c r="MC20" s="12"/>
      <c r="MD20" s="962"/>
      <c r="ME20" s="1282" t="s">
        <v>4608</v>
      </c>
      <c r="MG20" s="1280"/>
      <c r="MH20" s="1281" t="s">
        <v>4908</v>
      </c>
      <c r="MI20" s="12"/>
      <c r="MJ20" s="962"/>
      <c r="MK20" s="1282" t="s">
        <v>4608</v>
      </c>
      <c r="MO20" s="349"/>
      <c r="MP20" s="349"/>
      <c r="MS20" s="983" t="str">
        <f t="shared" ref="MS20:MS22" si="995">MONICON21(MT20)</f>
        <v>#NAME?</v>
      </c>
      <c r="MT20" s="1301" t="s">
        <v>1672</v>
      </c>
      <c r="MU20" s="977" t="str">
        <f t="shared" ref="MU20:MU22" si="996">MONTYPEICON1(MT20)</f>
        <v>#NAME?</v>
      </c>
      <c r="MV20" s="980" t="str">
        <f t="shared" ref="MV20:MV22" si="997">MONTYPEICON2(MT20)</f>
        <v>#NAME?</v>
      </c>
      <c r="MW20" s="1318" t="s">
        <v>5164</v>
      </c>
      <c r="MX20" s="442"/>
      <c r="MY20" s="442"/>
      <c r="MZ20" s="442"/>
      <c r="NA20" s="108"/>
      <c r="NB20" s="108"/>
      <c r="NC20" s="442"/>
      <c r="ND20" s="442"/>
      <c r="NE20" s="1266"/>
      <c r="NF20" s="1259" t="s">
        <v>5420</v>
      </c>
      <c r="NG20" s="12"/>
      <c r="NH20" s="962"/>
      <c r="NI20" s="1258" t="s">
        <v>4608</v>
      </c>
      <c r="NJ20" s="65"/>
      <c r="NK20" s="1012" t="str">
        <f t="shared" ref="NK20:NK21" si="998">MONICON21(NL20)</f>
        <v>#NAME?</v>
      </c>
      <c r="NL20" s="1301" t="s">
        <v>347</v>
      </c>
      <c r="NM20" s="1311" t="str">
        <f t="shared" ref="NM20:NM21" si="999">MONTYPEICON1(NL20)</f>
        <v>#NAME?</v>
      </c>
      <c r="NN20" s="1312" t="str">
        <f t="shared" ref="NN20:NN21" si="1000">MONTYPEICON2(NL20)</f>
        <v>#NAME?</v>
      </c>
      <c r="NO20" s="1318" t="s">
        <v>5017</v>
      </c>
      <c r="NQ20" s="1056" t="str">
        <f t="shared" si="941"/>
        <v>#NAME?</v>
      </c>
      <c r="NR20" s="1123" t="s">
        <v>1697</v>
      </c>
      <c r="NS20" s="1502" t="str">
        <f t="shared" si="942"/>
        <v>#NAME?</v>
      </c>
      <c r="NT20" s="1503" t="str">
        <f t="shared" si="943"/>
        <v>#NAME?</v>
      </c>
      <c r="NU20" s="1501" t="s">
        <v>5018</v>
      </c>
      <c r="NV20" s="442"/>
      <c r="NW20" s="1266"/>
      <c r="NX20" s="1259" t="s">
        <v>5421</v>
      </c>
      <c r="NY20" s="12"/>
      <c r="NZ20" s="962"/>
      <c r="OA20" s="1258" t="s">
        <v>4608</v>
      </c>
      <c r="OB20" s="442"/>
      <c r="OC20" s="1266"/>
      <c r="OD20" s="1259" t="s">
        <v>5422</v>
      </c>
      <c r="OE20" s="12"/>
      <c r="OF20" s="962"/>
      <c r="OG20" s="1258" t="s">
        <v>4608</v>
      </c>
      <c r="OH20" s="442"/>
      <c r="OI20" s="1193" t="str">
        <f t="shared" si="797"/>
        <v>#NAME?</v>
      </c>
      <c r="OJ20" s="1145" t="s">
        <v>254</v>
      </c>
      <c r="OK20" s="1462" t="str">
        <f t="shared" si="798"/>
        <v>#NAME?</v>
      </c>
      <c r="OL20" s="1463" t="str">
        <f t="shared" si="799"/>
        <v>#NAME?</v>
      </c>
      <c r="OM20" s="1464" t="s">
        <v>5020</v>
      </c>
      <c r="ON20" s="442"/>
      <c r="OO20" s="1096" t="str">
        <f t="shared" si="854"/>
        <v>#NAME?</v>
      </c>
      <c r="OP20" s="1098" t="s">
        <v>3670</v>
      </c>
      <c r="OQ20" s="1417" t="str">
        <f t="shared" si="855"/>
        <v>#NAME?</v>
      </c>
      <c r="OR20" s="62" t="str">
        <f t="shared" si="856"/>
        <v>#NAME?</v>
      </c>
      <c r="OS20" s="1423" t="s">
        <v>5022</v>
      </c>
      <c r="OU20" s="1096" t="str">
        <f t="shared" si="857"/>
        <v>#NAME?</v>
      </c>
      <c r="OV20" s="1098" t="s">
        <v>3460</v>
      </c>
      <c r="OW20" s="1417" t="str">
        <f t="shared" si="858"/>
        <v>#NAME?</v>
      </c>
      <c r="OX20" s="62" t="str">
        <f t="shared" si="859"/>
        <v>#NAME?</v>
      </c>
      <c r="OY20" s="1423" t="s">
        <v>5022</v>
      </c>
      <c r="OZ20" s="442"/>
      <c r="PA20" s="983" t="str">
        <f t="shared" ref="PA20:PA22" si="1001">MONICON21(PB20)</f>
        <v>#NAME?</v>
      </c>
      <c r="PB20" s="1301" t="s">
        <v>417</v>
      </c>
      <c r="PC20" s="1311" t="str">
        <f t="shared" ref="PC20:PC22" si="1002">MONTYPEICON1(PB20)</f>
        <v>#NAME?</v>
      </c>
      <c r="PD20" s="1312" t="str">
        <f t="shared" ref="PD20:PD22" si="1003">MONTYPEICON2(PB20)</f>
        <v>#NAME?</v>
      </c>
      <c r="PE20" s="1318" t="s">
        <v>5146</v>
      </c>
      <c r="PF20" s="442"/>
      <c r="PG20" s="1094" t="str">
        <f t="shared" si="860"/>
        <v>#NAME?</v>
      </c>
      <c r="PH20" s="1127" t="s">
        <v>2156</v>
      </c>
      <c r="PI20" s="1420" t="str">
        <f t="shared" si="861"/>
        <v>#NAME?</v>
      </c>
      <c r="PJ20" s="475" t="str">
        <f t="shared" si="862"/>
        <v>#NAME?</v>
      </c>
      <c r="PK20" s="1422" t="s">
        <v>5022</v>
      </c>
      <c r="PL20" s="65"/>
      <c r="PM20" s="1096" t="str">
        <f t="shared" si="863"/>
        <v>#NAME?</v>
      </c>
      <c r="PN20" s="1098" t="s">
        <v>1823</v>
      </c>
      <c r="PO20" s="1417" t="str">
        <f t="shared" si="864"/>
        <v>#NAME?</v>
      </c>
      <c r="PP20" s="62" t="str">
        <f t="shared" si="865"/>
        <v>#NAME?</v>
      </c>
      <c r="PQ20" s="1423" t="s">
        <v>5352</v>
      </c>
      <c r="PR20" s="442"/>
      <c r="PS20" s="1193" t="str">
        <f t="shared" si="800"/>
        <v>#NAME?</v>
      </c>
      <c r="PT20" s="1145" t="s">
        <v>615</v>
      </c>
      <c r="PU20" s="1462" t="str">
        <f t="shared" si="801"/>
        <v>#NAME?</v>
      </c>
      <c r="PV20" s="1463" t="str">
        <f t="shared" si="802"/>
        <v>#NAME?</v>
      </c>
      <c r="PW20" s="1464" t="s">
        <v>5352</v>
      </c>
      <c r="PY20" s="1012" t="str">
        <f t="shared" ref="PY20:PY25" si="1004">MONICON21(PZ20)</f>
        <v>#NAME?</v>
      </c>
      <c r="PZ20" s="1301" t="s">
        <v>742</v>
      </c>
      <c r="QA20" s="1313" t="str">
        <f t="shared" ref="QA20:QA25" si="1005">MONTYPEICON1(PZ20)</f>
        <v>#NAME?</v>
      </c>
      <c r="QB20" s="1314" t="str">
        <f t="shared" ref="QB20:QB25" si="1006">MONTYPEICON2(PZ20)</f>
        <v>#NAME?</v>
      </c>
      <c r="QC20" s="1318" t="s">
        <v>5023</v>
      </c>
      <c r="QD20" s="442"/>
      <c r="QE20" s="1096" t="str">
        <f t="shared" si="734"/>
        <v>#NAME?</v>
      </c>
      <c r="QF20" s="1098" t="s">
        <v>2661</v>
      </c>
      <c r="QG20" s="1418" t="str">
        <f t="shared" si="735"/>
        <v>#NAME?</v>
      </c>
      <c r="QH20" s="1419" t="str">
        <f t="shared" si="736"/>
        <v>#NAME?</v>
      </c>
      <c r="QI20" s="1423" t="s">
        <v>5032</v>
      </c>
      <c r="QJ20" s="442"/>
      <c r="QK20" s="1096" t="str">
        <f t="shared" si="737"/>
        <v>#NAME?</v>
      </c>
      <c r="QL20" s="1098" t="s">
        <v>3237</v>
      </c>
      <c r="QM20" s="1013" t="str">
        <f t="shared" si="738"/>
        <v>#NAME?</v>
      </c>
      <c r="QN20" s="1015" t="str">
        <f t="shared" si="739"/>
        <v>#NAME?</v>
      </c>
      <c r="QO20" s="1414" t="s">
        <v>5031</v>
      </c>
      <c r="QP20" s="442"/>
      <c r="QQ20" s="1096" t="str">
        <f t="shared" si="740"/>
        <v>#NAME?</v>
      </c>
      <c r="QR20" s="1098" t="s">
        <v>2990</v>
      </c>
      <c r="QS20" s="1013" t="str">
        <f t="shared" si="741"/>
        <v>#NAME?</v>
      </c>
      <c r="QT20" s="1015" t="str">
        <f t="shared" si="742"/>
        <v>#NAME?</v>
      </c>
      <c r="QU20" s="1414" t="s">
        <v>5033</v>
      </c>
      <c r="QW20" s="1096" t="str">
        <f t="shared" si="743"/>
        <v>#NAME?</v>
      </c>
      <c r="QX20" s="1098" t="s">
        <v>3628</v>
      </c>
      <c r="QY20" s="1013" t="str">
        <f t="shared" si="744"/>
        <v>#NAME?</v>
      </c>
      <c r="QZ20" s="1015" t="str">
        <f t="shared" si="745"/>
        <v>#NAME?</v>
      </c>
      <c r="RA20" s="1414" t="s">
        <v>5112</v>
      </c>
      <c r="RB20" s="442"/>
      <c r="RC20" s="1096" t="str">
        <f t="shared" si="746"/>
        <v>#NAME?</v>
      </c>
      <c r="RD20" s="1098" t="s">
        <v>1091</v>
      </c>
      <c r="RE20" s="1013" t="str">
        <f t="shared" si="747"/>
        <v>#NAME?</v>
      </c>
      <c r="RF20" s="1015" t="str">
        <f t="shared" si="748"/>
        <v>#NAME?</v>
      </c>
      <c r="RG20" s="1414" t="s">
        <v>5113</v>
      </c>
      <c r="RH20" s="442"/>
      <c r="RI20" s="1096" t="str">
        <f t="shared" si="749"/>
        <v>#NAME?</v>
      </c>
      <c r="RJ20" s="1098" t="s">
        <v>4049</v>
      </c>
      <c r="RK20" s="1013" t="str">
        <f t="shared" si="750"/>
        <v>#NAME?</v>
      </c>
      <c r="RL20" s="1015" t="str">
        <f t="shared" si="751"/>
        <v>#NAME?</v>
      </c>
      <c r="RM20" s="1414" t="s">
        <v>5092</v>
      </c>
      <c r="RN20" s="442"/>
      <c r="RQ20" s="349"/>
      <c r="RR20" s="349"/>
      <c r="RT20" s="442"/>
      <c r="RU20" s="1096" t="str">
        <f t="shared" si="866"/>
        <v>#NAME?</v>
      </c>
      <c r="RV20" s="1098" t="s">
        <v>2393</v>
      </c>
      <c r="RW20" s="1417" t="str">
        <f t="shared" si="867"/>
        <v>#NAME?</v>
      </c>
      <c r="RX20" s="62" t="str">
        <f t="shared" si="868"/>
        <v>#NAME?</v>
      </c>
      <c r="RY20" s="1423" t="s">
        <v>5112</v>
      </c>
      <c r="RZ20" s="442"/>
      <c r="SA20" s="1266"/>
      <c r="SB20" s="1259" t="s">
        <v>5423</v>
      </c>
      <c r="SC20" s="12"/>
      <c r="SD20" s="962"/>
      <c r="SE20" s="1004" t="s">
        <v>4608</v>
      </c>
      <c r="SG20" s="1056" t="str">
        <f t="shared" si="944"/>
        <v>#NAME?</v>
      </c>
      <c r="SH20" s="1377" t="s">
        <v>812</v>
      </c>
      <c r="SI20" s="1021" t="str">
        <f t="shared" si="945"/>
        <v>#NAME?</v>
      </c>
      <c r="SJ20" s="1024" t="str">
        <f t="shared" si="946"/>
        <v>#NAME?</v>
      </c>
      <c r="SK20" s="1378" t="s">
        <v>5024</v>
      </c>
      <c r="SL20" s="442"/>
      <c r="SM20" s="1094" t="str">
        <f t="shared" si="869"/>
        <v>#NAME?</v>
      </c>
      <c r="SN20" s="1127" t="s">
        <v>3649</v>
      </c>
      <c r="SO20" s="1420" t="str">
        <f t="shared" si="870"/>
        <v>#NAME?</v>
      </c>
      <c r="SP20" s="475" t="str">
        <f t="shared" si="871"/>
        <v>#NAME?</v>
      </c>
      <c r="SQ20" s="1422" t="s">
        <v>5025</v>
      </c>
      <c r="SS20" s="1286"/>
      <c r="ST20" s="1259" t="s">
        <v>5424</v>
      </c>
      <c r="SU20" s="12"/>
      <c r="SV20" s="962"/>
      <c r="SW20" s="1004" t="s">
        <v>4608</v>
      </c>
      <c r="TA20" s="349"/>
      <c r="TB20" s="349"/>
      <c r="TD20" s="65"/>
      <c r="TE20" s="65"/>
      <c r="TF20" s="65"/>
      <c r="TG20" s="349"/>
      <c r="TH20" s="349"/>
      <c r="TK20" s="1094" t="str">
        <f t="shared" si="875"/>
        <v>#NAME?</v>
      </c>
      <c r="TL20" s="1127" t="s">
        <v>1756</v>
      </c>
      <c r="TM20" s="1420" t="str">
        <f t="shared" si="876"/>
        <v>#NAME?</v>
      </c>
      <c r="TN20" s="475" t="str">
        <f t="shared" si="877"/>
        <v>#NAME?</v>
      </c>
      <c r="TO20" s="1422" t="s">
        <v>5026</v>
      </c>
      <c r="TQ20" s="1094" t="str">
        <f t="shared" si="878"/>
        <v>#NAME?</v>
      </c>
      <c r="TR20" s="1127" t="s">
        <v>2831</v>
      </c>
      <c r="TS20" s="1420" t="str">
        <f t="shared" si="879"/>
        <v>#NAME?</v>
      </c>
      <c r="TT20" s="475" t="str">
        <f t="shared" si="880"/>
        <v>#NAME?</v>
      </c>
      <c r="TU20" s="1422" t="s">
        <v>5026</v>
      </c>
      <c r="TW20" s="1428" t="str">
        <f t="shared" si="803"/>
        <v>#NAME?</v>
      </c>
      <c r="TX20" s="1429" t="s">
        <v>2341</v>
      </c>
      <c r="TY20" s="1428" t="str">
        <f t="shared" si="804"/>
        <v>#NAME?</v>
      </c>
      <c r="TZ20" s="1430" t="str">
        <f t="shared" si="805"/>
        <v>#NAME?</v>
      </c>
      <c r="UA20" s="1431" t="s">
        <v>5227</v>
      </c>
      <c r="UC20" s="1013" t="str">
        <f t="shared" si="752"/>
        <v>#NAME?</v>
      </c>
      <c r="UD20" s="1098" t="s">
        <v>3237</v>
      </c>
      <c r="UE20" s="1013" t="str">
        <f t="shared" si="753"/>
        <v>#NAME?</v>
      </c>
      <c r="UF20" s="1015" t="str">
        <f t="shared" si="754"/>
        <v>#NAME?</v>
      </c>
      <c r="UG20" s="1414" t="s">
        <v>5063</v>
      </c>
      <c r="UI20" s="1033" t="str">
        <f t="shared" ref="UI20:UI21" si="1007">MONICON21(UJ20)</f>
        <v>#NAME?</v>
      </c>
      <c r="UJ20" s="1301" t="s">
        <v>3896</v>
      </c>
      <c r="UK20" s="977" t="str">
        <f t="shared" ref="UK20:UK21" si="1008">MONTYPEICON1(UJ20)</f>
        <v>#NAME?</v>
      </c>
      <c r="UL20" s="980" t="str">
        <f t="shared" ref="UL20:UL21" si="1009">MONTYPEICON2(UJ20)</f>
        <v>#NAME?</v>
      </c>
      <c r="UM20" s="1303" t="s">
        <v>5029</v>
      </c>
      <c r="UO20" s="1293"/>
      <c r="UP20" s="1291" t="s">
        <v>5425</v>
      </c>
      <c r="UQ20" s="12"/>
      <c r="UR20" s="962"/>
      <c r="US20" s="1292" t="s">
        <v>4608</v>
      </c>
      <c r="UU20" s="1293"/>
      <c r="UV20" s="1291" t="s">
        <v>5426</v>
      </c>
      <c r="UW20" s="12"/>
      <c r="UX20" s="962"/>
      <c r="UY20" s="1292" t="s">
        <v>4608</v>
      </c>
      <c r="VG20" s="1294"/>
      <c r="VH20" s="1291" t="s">
        <v>5427</v>
      </c>
      <c r="VI20" s="12"/>
      <c r="VJ20" s="962"/>
      <c r="VK20" s="1292" t="s">
        <v>4608</v>
      </c>
      <c r="VL20" s="442"/>
      <c r="VM20" s="1294"/>
      <c r="VN20" s="1291" t="s">
        <v>5428</v>
      </c>
      <c r="VO20" s="12"/>
      <c r="VP20" s="962"/>
      <c r="VQ20" s="1292" t="s">
        <v>4608</v>
      </c>
      <c r="VR20" s="442"/>
      <c r="VS20" s="977" t="str">
        <f t="shared" ref="VS20:VS22" si="1010">MONICON21(VT20)</f>
        <v>#NAME?</v>
      </c>
      <c r="VT20" s="1301" t="s">
        <v>2519</v>
      </c>
      <c r="VU20" s="977" t="str">
        <f t="shared" ref="VU20:VU22" si="1011">MONTYPEICON1(VT20)</f>
        <v>#NAME?</v>
      </c>
      <c r="VV20" s="980" t="str">
        <f t="shared" ref="VV20:VV22" si="1012">MONTYPEICON2(VT20)</f>
        <v>#NAME?</v>
      </c>
      <c r="VW20" s="1303" t="s">
        <v>5032</v>
      </c>
      <c r="VX20" s="442"/>
      <c r="VY20" s="108"/>
      <c r="VZ20" s="442"/>
      <c r="WA20" s="442"/>
      <c r="WB20" s="442"/>
      <c r="WC20" s="442"/>
      <c r="WD20" s="442"/>
      <c r="WE20" s="1051" t="str">
        <f t="shared" si="890"/>
        <v>#NAME?</v>
      </c>
      <c r="WF20" s="1127" t="s">
        <v>1680</v>
      </c>
      <c r="WG20" s="1051" t="str">
        <f t="shared" si="891"/>
        <v>#NAME?</v>
      </c>
      <c r="WH20" s="1131" t="str">
        <f t="shared" si="892"/>
        <v>#NAME?</v>
      </c>
      <c r="WI20" s="1095" t="s">
        <v>5019</v>
      </c>
      <c r="WJ20" s="442"/>
      <c r="WK20" s="442"/>
      <c r="WL20" s="442"/>
      <c r="WM20" s="442"/>
      <c r="WN20" s="442"/>
      <c r="WO20" s="442"/>
      <c r="WP20" s="442"/>
      <c r="WQ20" s="1387" t="str">
        <f t="shared" si="947"/>
        <v>#NAME?</v>
      </c>
      <c r="WR20" s="1388" t="s">
        <v>2849</v>
      </c>
      <c r="WS20" s="1387" t="str">
        <f t="shared" si="948"/>
        <v>#NAME?</v>
      </c>
      <c r="WT20" s="1392" t="str">
        <f t="shared" si="949"/>
        <v>#NAME?</v>
      </c>
      <c r="WU20" s="1391" t="s">
        <v>5033</v>
      </c>
      <c r="WV20" s="442"/>
      <c r="XB20" s="442"/>
      <c r="XC20" s="1294"/>
      <c r="XD20" s="1291" t="s">
        <v>5429</v>
      </c>
      <c r="XE20" s="12"/>
      <c r="XF20" s="962"/>
      <c r="XG20" s="1292" t="s">
        <v>4608</v>
      </c>
      <c r="XH20" s="442"/>
      <c r="XI20" s="1387" t="str">
        <f t="shared" si="950"/>
        <v>#NAME?</v>
      </c>
      <c r="XJ20" s="1388" t="s">
        <v>4190</v>
      </c>
      <c r="XK20" s="1387" t="str">
        <f t="shared" si="951"/>
        <v>#NAME?</v>
      </c>
      <c r="XL20" s="1392" t="str">
        <f t="shared" si="952"/>
        <v>#NAME?</v>
      </c>
      <c r="XM20" s="1394" t="s">
        <v>5410</v>
      </c>
      <c r="XN20" s="442"/>
      <c r="XO20" s="977" t="str">
        <f t="shared" ref="XO20:XO22" si="1013">MONICON21(XP20)</f>
        <v>#NAME?</v>
      </c>
      <c r="XP20" s="1301" t="s">
        <v>4153</v>
      </c>
      <c r="XQ20" s="977" t="str">
        <f t="shared" ref="XQ20:XQ22" si="1014">MONTYPEICON1(XP20)</f>
        <v>#NAME?</v>
      </c>
      <c r="XR20" s="980" t="str">
        <f t="shared" ref="XR20:XR22" si="1015">MONTYPEICON2(XP20)</f>
        <v>#NAME?</v>
      </c>
      <c r="XS20" s="1303" t="s">
        <v>5092</v>
      </c>
      <c r="XT20" s="442"/>
      <c r="XU20" s="1472"/>
      <c r="XV20" s="1291" t="s">
        <v>5430</v>
      </c>
      <c r="XW20" s="12"/>
      <c r="XX20" s="962"/>
      <c r="XY20" s="1292" t="s">
        <v>4608</v>
      </c>
      <c r="XZ20" s="442"/>
      <c r="YA20" s="1051" t="str">
        <f t="shared" si="893"/>
        <v>#NAME?</v>
      </c>
      <c r="YB20" s="1127" t="s">
        <v>1303</v>
      </c>
      <c r="YC20" s="1051" t="str">
        <f t="shared" si="894"/>
        <v>#NAME?</v>
      </c>
      <c r="YD20" s="1131" t="str">
        <f t="shared" si="895"/>
        <v>#NAME?</v>
      </c>
      <c r="YE20" s="1095" t="s">
        <v>5390</v>
      </c>
      <c r="YF20" s="442"/>
      <c r="YG20" s="1051" t="str">
        <f t="shared" si="896"/>
        <v>#NAME?</v>
      </c>
      <c r="YH20" s="1127" t="s">
        <v>1292</v>
      </c>
      <c r="YI20" s="1051" t="str">
        <f t="shared" si="897"/>
        <v>#NAME?</v>
      </c>
      <c r="YJ20" s="1131" t="str">
        <f t="shared" si="898"/>
        <v>#NAME?</v>
      </c>
      <c r="YK20" s="1095" t="s">
        <v>5390</v>
      </c>
      <c r="YL20" s="442"/>
      <c r="YM20" s="977" t="str">
        <f t="shared" ref="YM20:YM22" si="1016">MONICON21(YN20)</f>
        <v>#NAME?</v>
      </c>
      <c r="YN20" s="1301" t="s">
        <v>4167</v>
      </c>
      <c r="YO20" s="977" t="str">
        <f t="shared" ref="YO20:YO22" si="1017">MONTYPEICON1(YN20)</f>
        <v>#NAME?</v>
      </c>
      <c r="YP20" s="980" t="str">
        <f t="shared" ref="YP20:YP22" si="1018">MONTYPEICON2(YN20)</f>
        <v>#NAME?</v>
      </c>
      <c r="YQ20" s="1303" t="s">
        <v>5431</v>
      </c>
      <c r="YR20" s="442"/>
      <c r="YS20" s="1387" t="str">
        <f t="shared" si="953"/>
        <v>#NAME?</v>
      </c>
      <c r="YT20" s="1388" t="s">
        <v>3406</v>
      </c>
      <c r="YU20" s="1387" t="str">
        <f t="shared" si="954"/>
        <v>#NAME?</v>
      </c>
      <c r="YV20" s="1392" t="str">
        <f t="shared" si="955"/>
        <v>#NAME?</v>
      </c>
      <c r="YW20" s="1391" t="s">
        <v>5032</v>
      </c>
      <c r="YX20" s="442"/>
      <c r="YY20" s="1051" t="str">
        <f t="shared" si="899"/>
        <v>#NAME?</v>
      </c>
      <c r="YZ20" s="1127" t="s">
        <v>1292</v>
      </c>
      <c r="ZA20" s="1051" t="str">
        <f t="shared" si="900"/>
        <v>#NAME?</v>
      </c>
      <c r="ZB20" s="1131" t="str">
        <f t="shared" si="901"/>
        <v>#NAME?</v>
      </c>
      <c r="ZC20" s="1095" t="s">
        <v>5032</v>
      </c>
      <c r="ZD20" s="442"/>
      <c r="ZG20" s="349"/>
      <c r="ZH20" s="349"/>
      <c r="ZJ20" s="442"/>
      <c r="ZK20" s="1387" t="str">
        <f t="shared" si="956"/>
        <v>#NAME?</v>
      </c>
      <c r="ZL20" s="1388" t="s">
        <v>1242</v>
      </c>
      <c r="ZM20" s="1387" t="str">
        <f t="shared" si="957"/>
        <v>#NAME?</v>
      </c>
      <c r="ZN20" s="1392" t="str">
        <f t="shared" si="958"/>
        <v>#NAME?</v>
      </c>
      <c r="ZO20" s="1391" t="s">
        <v>5025</v>
      </c>
      <c r="ZP20" s="442"/>
      <c r="ZQ20" s="1289" t="s">
        <v>4660</v>
      </c>
      <c r="ZR20" s="12"/>
      <c r="ZS20" s="12"/>
      <c r="ZT20" s="12"/>
      <c r="ZU20" s="48"/>
      <c r="ZV20" s="442"/>
      <c r="ZW20" s="1033" t="str">
        <f t="shared" ref="ZW20:ZW21" si="1019">MONICON21(ZX20)</f>
        <v>#NAME?</v>
      </c>
      <c r="ZX20" s="1301" t="s">
        <v>3103</v>
      </c>
      <c r="ZY20" s="977" t="str">
        <f t="shared" ref="ZY20:ZY21" si="1020">MONTYPEICON1(ZX20)</f>
        <v>#NAME?</v>
      </c>
      <c r="ZZ20" s="980" t="str">
        <f t="shared" ref="ZZ20:ZZ21" si="1021">MONTYPEICON2(ZX20)</f>
        <v>#NAME?</v>
      </c>
      <c r="AAA20" s="1302" t="s">
        <v>5035</v>
      </c>
      <c r="AAB20" s="442"/>
      <c r="AAC20" s="484"/>
      <c r="AAD20" s="484"/>
      <c r="AAE20" s="484"/>
      <c r="AAF20" s="484"/>
      <c r="AAG20" s="484"/>
      <c r="AAH20" s="442"/>
      <c r="AAI20" s="1387" t="str">
        <f t="shared" si="959"/>
        <v>#NAME?</v>
      </c>
      <c r="AAJ20" s="1388" t="s">
        <v>2065</v>
      </c>
      <c r="AAK20" s="1387" t="str">
        <f t="shared" si="960"/>
        <v>#NAME?</v>
      </c>
      <c r="AAL20" s="1392" t="str">
        <f t="shared" si="961"/>
        <v>#NAME?</v>
      </c>
      <c r="AAM20" s="1397" t="s">
        <v>5227</v>
      </c>
      <c r="AAO20" s="1387" t="str">
        <f t="shared" si="962"/>
        <v>#NAME?</v>
      </c>
      <c r="AAP20" s="1388" t="s">
        <v>4225</v>
      </c>
      <c r="AAQ20" s="1387" t="str">
        <f t="shared" si="963"/>
        <v>#NAME?</v>
      </c>
      <c r="AAR20" s="1392" t="str">
        <f t="shared" si="964"/>
        <v>#NAME?</v>
      </c>
      <c r="AAS20" s="1397" t="s">
        <v>5117</v>
      </c>
      <c r="AAU20" s="1387" t="str">
        <f t="shared" si="965"/>
        <v>#NAME?</v>
      </c>
      <c r="AAV20" s="1388" t="s">
        <v>4225</v>
      </c>
      <c r="AAW20" s="1387" t="str">
        <f t="shared" si="966"/>
        <v>#NAME?</v>
      </c>
      <c r="AAX20" s="1392" t="str">
        <f t="shared" si="967"/>
        <v>#NAME?</v>
      </c>
      <c r="AAY20" s="1397" t="s">
        <v>5117</v>
      </c>
      <c r="ABA20" s="1387" t="str">
        <f t="shared" si="968"/>
        <v>#NAME?</v>
      </c>
      <c r="ABB20" s="1388" t="s">
        <v>4197</v>
      </c>
      <c r="ABC20" s="1387" t="str">
        <f t="shared" si="969"/>
        <v>#NAME?</v>
      </c>
      <c r="ABD20" s="1392" t="str">
        <f t="shared" si="970"/>
        <v>#NAME?</v>
      </c>
      <c r="ABE20" s="1397" t="s">
        <v>5036</v>
      </c>
      <c r="ABG20" s="1387" t="str">
        <f t="shared" si="971"/>
        <v>#NAME?</v>
      </c>
      <c r="ABH20" s="1388" t="s">
        <v>2798</v>
      </c>
      <c r="ABI20" s="1387" t="str">
        <f t="shared" si="972"/>
        <v>#NAME?</v>
      </c>
      <c r="ABJ20" s="1392" t="str">
        <f t="shared" si="973"/>
        <v>#NAME?</v>
      </c>
      <c r="ABK20" s="1397" t="s">
        <v>5036</v>
      </c>
      <c r="ABM20" s="1387" t="str">
        <f t="shared" si="974"/>
        <v>#NAME?</v>
      </c>
      <c r="ABN20" s="1388" t="s">
        <v>2148</v>
      </c>
      <c r="ABO20" s="1387" t="str">
        <f t="shared" si="975"/>
        <v>#NAME?</v>
      </c>
      <c r="ABP20" s="1392" t="str">
        <f t="shared" si="976"/>
        <v>#NAME?</v>
      </c>
      <c r="ABQ20" s="1397" t="s">
        <v>5036</v>
      </c>
      <c r="ABS20" s="1387" t="str">
        <f t="shared" si="977"/>
        <v>#NAME?</v>
      </c>
      <c r="ABT20" s="1388" t="s">
        <v>3926</v>
      </c>
      <c r="ABU20" s="1387" t="str">
        <f t="shared" si="978"/>
        <v>#NAME?</v>
      </c>
      <c r="ABV20" s="1392" t="str">
        <f t="shared" si="979"/>
        <v>#NAME?</v>
      </c>
      <c r="ABW20" s="1397" t="s">
        <v>5117</v>
      </c>
      <c r="ABY20" s="1473"/>
      <c r="ABZ20" s="1474" t="s">
        <v>5432</v>
      </c>
      <c r="ACA20" s="1475"/>
      <c r="ACB20" s="1476"/>
      <c r="ACC20" s="1477" t="s">
        <v>4608</v>
      </c>
      <c r="ACJ20" s="996"/>
    </row>
    <row r="21" ht="15.75" customHeight="1">
      <c r="A21" s="1230"/>
      <c r="D21" s="1478"/>
      <c r="E21" s="1230"/>
      <c r="F21" s="1238"/>
      <c r="G21" s="1517"/>
      <c r="H21" s="1230"/>
      <c r="I21" s="1584"/>
      <c r="J21" s="1585" t="s">
        <v>4921</v>
      </c>
      <c r="K21" s="12"/>
      <c r="L21" s="962"/>
      <c r="M21" s="1270" t="s">
        <v>4608</v>
      </c>
      <c r="N21" s="1230"/>
      <c r="O21" s="1255"/>
      <c r="P21" s="1259" t="s">
        <v>5433</v>
      </c>
      <c r="Q21" s="12"/>
      <c r="R21" s="962"/>
      <c r="S21" s="1258" t="s">
        <v>4608</v>
      </c>
      <c r="T21" s="1230"/>
      <c r="U21" s="1033" t="str">
        <f t="shared" ref="U21:U23" si="1022">MONICON21(V21)</f>
        <v>#NAME?</v>
      </c>
      <c r="V21" s="1301" t="s">
        <v>3657</v>
      </c>
      <c r="W21" s="977" t="str">
        <f t="shared" ref="W21:W23" si="1023">MONTYPEICON1(V21)</f>
        <v>#NAME?</v>
      </c>
      <c r="X21" s="980" t="str">
        <f t="shared" ref="X21:X23" si="1024">MONTYPEICON2(V21)</f>
        <v>#NAME?</v>
      </c>
      <c r="Y21" s="1303" t="s">
        <v>5130</v>
      </c>
      <c r="Z21" s="1230"/>
      <c r="AA21" s="442"/>
      <c r="AB21" s="442"/>
      <c r="AC21" s="442"/>
      <c r="AD21" s="442"/>
      <c r="AE21" s="108"/>
      <c r="AF21" s="1230"/>
      <c r="AG21" s="1263"/>
      <c r="AH21" s="1264" t="s">
        <v>5095</v>
      </c>
      <c r="AI21" s="12"/>
      <c r="AJ21" s="962"/>
      <c r="AK21" s="1265" t="s">
        <v>4608</v>
      </c>
      <c r="AL21" s="1230"/>
      <c r="AM21" s="108"/>
      <c r="AN21" s="442"/>
      <c r="AO21" s="442"/>
      <c r="AP21" s="442"/>
      <c r="AQ21" s="108"/>
      <c r="AR21" s="1230"/>
      <c r="AS21" s="1520" t="str">
        <f t="shared" si="980"/>
        <v>#NAME?</v>
      </c>
      <c r="AT21" s="1449" t="s">
        <v>1665</v>
      </c>
      <c r="AU21" s="1348" t="str">
        <f t="shared" si="981"/>
        <v>#NAME?</v>
      </c>
      <c r="AV21" s="1349" t="str">
        <f t="shared" si="982"/>
        <v>#NAME?</v>
      </c>
      <c r="AW21" s="1450" t="s">
        <v>5076</v>
      </c>
      <c r="AX21" s="1230"/>
      <c r="AY21" s="1053" t="str">
        <f>MONICON21(AZ21)</f>
        <v>#NAME?</v>
      </c>
      <c r="AZ21" s="1308" t="s">
        <v>3832</v>
      </c>
      <c r="BA21" s="1092" t="str">
        <f>MONTYPEICON1(AZ21)</f>
        <v>#NAME?</v>
      </c>
      <c r="BB21" s="987" t="str">
        <f>MONTYPEICON2(AZ21)</f>
        <v>#NAME?</v>
      </c>
      <c r="BC21" s="1309" t="s">
        <v>5314</v>
      </c>
      <c r="BD21" s="1230"/>
      <c r="BE21" s="1051" t="str">
        <f t="shared" si="905"/>
        <v>#NAME?</v>
      </c>
      <c r="BF21" s="1410" t="s">
        <v>589</v>
      </c>
      <c r="BG21" s="1051" t="str">
        <f t="shared" si="906"/>
        <v>#NAME?</v>
      </c>
      <c r="BH21" s="1131" t="str">
        <f t="shared" si="907"/>
        <v>#NAME?</v>
      </c>
      <c r="BI21" s="1411" t="s">
        <v>5337</v>
      </c>
      <c r="BJ21" s="1230"/>
      <c r="BK21" s="1051" t="str">
        <f t="shared" si="908"/>
        <v>#NAME?</v>
      </c>
      <c r="BL21" s="1410" t="s">
        <v>1336</v>
      </c>
      <c r="BM21" s="1051" t="str">
        <f t="shared" si="909"/>
        <v>#NAME?</v>
      </c>
      <c r="BN21" s="1131" t="str">
        <f t="shared" si="910"/>
        <v>#NAME?</v>
      </c>
      <c r="BO21" s="1411" t="s">
        <v>4993</v>
      </c>
      <c r="BP21" s="442"/>
      <c r="BQ21" s="1255"/>
      <c r="BR21" s="1256" t="s">
        <v>5434</v>
      </c>
      <c r="BS21" s="1257" t="s">
        <v>4888</v>
      </c>
      <c r="BT21" s="962"/>
      <c r="BU21" s="1258" t="s">
        <v>4608</v>
      </c>
      <c r="BV21" s="442"/>
      <c r="BW21" s="1051" t="str">
        <f t="shared" si="911"/>
        <v>#NAME?</v>
      </c>
      <c r="BX21" s="1410" t="s">
        <v>1284</v>
      </c>
      <c r="BY21" s="1051" t="str">
        <f t="shared" si="912"/>
        <v>#NAME?</v>
      </c>
      <c r="BZ21" s="1131" t="str">
        <f t="shared" si="913"/>
        <v>#NAME?</v>
      </c>
      <c r="CA21" s="1411" t="s">
        <v>4995</v>
      </c>
      <c r="CB21" s="442"/>
      <c r="CH21" s="1230"/>
      <c r="CI21" s="1049" t="str">
        <f t="shared" si="914"/>
        <v>#NAME?</v>
      </c>
      <c r="CJ21" s="1479" t="s">
        <v>429</v>
      </c>
      <c r="CK21" s="1051" t="str">
        <f t="shared" si="915"/>
        <v>#NAME?</v>
      </c>
      <c r="CL21" s="1131" t="str">
        <f t="shared" si="916"/>
        <v>#NAME?</v>
      </c>
      <c r="CM21" s="1411" t="s">
        <v>4996</v>
      </c>
      <c r="CN21" s="1230"/>
      <c r="CO21" s="1266"/>
      <c r="CP21" s="1259" t="s">
        <v>5435</v>
      </c>
      <c r="CQ21" s="12"/>
      <c r="CR21" s="962"/>
      <c r="CS21" s="1258" t="s">
        <v>4608</v>
      </c>
      <c r="CT21" s="442"/>
      <c r="CU21" s="442"/>
      <c r="CV21" s="442"/>
      <c r="CW21" s="442"/>
      <c r="CX21" s="442"/>
      <c r="CY21" s="442"/>
      <c r="CZ21" s="442"/>
      <c r="DA21" s="1266"/>
      <c r="DB21" s="1259" t="s">
        <v>5436</v>
      </c>
      <c r="DC21" s="12"/>
      <c r="DD21" s="962"/>
      <c r="DE21" s="1258" t="s">
        <v>4608</v>
      </c>
      <c r="DF21" s="442"/>
      <c r="DG21" s="1027" t="str">
        <f t="shared" si="833"/>
        <v>#NAME?</v>
      </c>
      <c r="DH21" s="1453" t="s">
        <v>3596</v>
      </c>
      <c r="DI21" s="1454" t="str">
        <f t="shared" si="834"/>
        <v>#NAME?</v>
      </c>
      <c r="DJ21" s="1455" t="str">
        <f t="shared" si="835"/>
        <v>#NAME?</v>
      </c>
      <c r="DK21" s="1456" t="s">
        <v>5045</v>
      </c>
      <c r="DL21" s="442"/>
      <c r="DM21" s="442"/>
      <c r="DN21" s="442"/>
      <c r="DO21" s="442"/>
      <c r="DP21" s="65"/>
      <c r="DQ21" s="442"/>
      <c r="DR21" s="442"/>
      <c r="DS21" s="961" t="s">
        <v>5437</v>
      </c>
      <c r="DT21" s="12"/>
      <c r="DU21" s="12"/>
      <c r="DV21" s="12"/>
      <c r="DW21" s="48"/>
      <c r="DX21" s="442"/>
      <c r="DY21" s="983" t="str">
        <f t="shared" ref="DY21:DY26" si="1025">MONICON21(DZ21)</f>
        <v>#NAME?</v>
      </c>
      <c r="DZ21" s="1492" t="s">
        <v>3896</v>
      </c>
      <c r="EA21" s="1313" t="str">
        <f t="shared" ref="EA21:EA26" si="1026">MONTYPEICON1(DZ21)</f>
        <v>#NAME?</v>
      </c>
      <c r="EB21" s="1314" t="str">
        <f t="shared" ref="EB21:EB26" si="1027">MONTYPEICON2(DZ21)</f>
        <v>#NAME?</v>
      </c>
      <c r="EC21" s="1493" t="s">
        <v>5079</v>
      </c>
      <c r="ED21" s="442"/>
      <c r="EG21" s="349"/>
      <c r="EH21" s="349"/>
      <c r="EJ21" s="1230"/>
      <c r="EK21" s="442"/>
      <c r="EL21" s="442"/>
      <c r="EM21" s="108"/>
      <c r="EN21" s="108"/>
      <c r="EO21" s="108"/>
      <c r="EP21" s="1230"/>
      <c r="EQ21" s="1286"/>
      <c r="ER21" s="1259" t="s">
        <v>5438</v>
      </c>
      <c r="ES21" s="12"/>
      <c r="ET21" s="962"/>
      <c r="EU21" s="1258" t="s">
        <v>4608</v>
      </c>
      <c r="EV21" s="1230"/>
      <c r="EW21" s="442"/>
      <c r="EX21" s="442"/>
      <c r="EY21" s="108"/>
      <c r="EZ21" s="108"/>
      <c r="FA21" s="442"/>
      <c r="FB21" s="442"/>
      <c r="FC21" s="1193" t="str">
        <f t="shared" si="983"/>
        <v>#NAME?</v>
      </c>
      <c r="FD21" s="1357" t="s">
        <v>2893</v>
      </c>
      <c r="FE21" s="1146" t="str">
        <f t="shared" si="984"/>
        <v>#NAME?</v>
      </c>
      <c r="FF21" s="1148" t="str">
        <f t="shared" si="985"/>
        <v>#NAME?</v>
      </c>
      <c r="FG21" s="1330" t="s">
        <v>5078</v>
      </c>
      <c r="FH21" s="442"/>
      <c r="FI21" s="1188" t="s">
        <v>5439</v>
      </c>
      <c r="FJ21" s="976"/>
      <c r="FK21" s="976"/>
      <c r="FL21" s="976"/>
      <c r="FM21" s="954"/>
      <c r="FN21" s="442"/>
      <c r="FQ21" s="349"/>
      <c r="FR21" s="349"/>
      <c r="FT21" s="442"/>
      <c r="FW21" s="349"/>
      <c r="FX21" s="349"/>
      <c r="FZ21" s="442"/>
      <c r="GA21" s="1283"/>
      <c r="GB21" s="1264" t="s">
        <v>5440</v>
      </c>
      <c r="GC21" s="12"/>
      <c r="GD21" s="962"/>
      <c r="GE21" s="1265" t="s">
        <v>4608</v>
      </c>
      <c r="GF21" s="442"/>
      <c r="GG21" s="1068" t="str">
        <f t="shared" si="986"/>
        <v>#NAME?</v>
      </c>
      <c r="GH21" s="1356" t="s">
        <v>3324</v>
      </c>
      <c r="GI21" s="1071" t="str">
        <f t="shared" si="987"/>
        <v>#NAME?</v>
      </c>
      <c r="GJ21" s="1073" t="str">
        <f t="shared" si="988"/>
        <v>#NAME?</v>
      </c>
      <c r="GK21" s="1338" t="s">
        <v>5003</v>
      </c>
      <c r="GL21" s="1230"/>
      <c r="GO21" s="349"/>
      <c r="GP21" s="349"/>
      <c r="GR21" s="65"/>
      <c r="GS21" s="1266"/>
      <c r="GT21" s="1259" t="s">
        <v>5441</v>
      </c>
      <c r="GU21" s="12"/>
      <c r="GV21" s="962"/>
      <c r="GW21" s="1258" t="s">
        <v>4608</v>
      </c>
      <c r="GX21" s="65"/>
      <c r="GY21" s="1286"/>
      <c r="GZ21" s="1256" t="s">
        <v>5442</v>
      </c>
      <c r="HA21" s="1257" t="s">
        <v>4888</v>
      </c>
      <c r="HB21" s="962"/>
      <c r="HC21" s="1258" t="s">
        <v>4608</v>
      </c>
      <c r="HD21" s="1230"/>
      <c r="HE21" s="1094" t="str">
        <f t="shared" si="917"/>
        <v>#NAME?</v>
      </c>
      <c r="HF21" s="499" t="s">
        <v>4210</v>
      </c>
      <c r="HG21" s="1051" t="str">
        <f t="shared" si="918"/>
        <v>#NAME?</v>
      </c>
      <c r="HH21" s="1131" t="str">
        <f t="shared" si="919"/>
        <v>#NAME?</v>
      </c>
      <c r="HI21" s="1095" t="s">
        <v>5004</v>
      </c>
      <c r="HJ21" s="1230"/>
      <c r="HK21" s="1012" t="str">
        <f t="shared" ref="HK21:HK26" si="1028">MONICON21(HL21)</f>
        <v>#NAME?</v>
      </c>
      <c r="HL21" s="1157" t="s">
        <v>3670</v>
      </c>
      <c r="HM21" s="1313" t="str">
        <f t="shared" ref="HM21:HM26" si="1029">MONTYPEICON1(HL21)</f>
        <v>#NAME?</v>
      </c>
      <c r="HN21" s="1314" t="str">
        <f t="shared" ref="HN21:HN26" si="1030">MONTYPEICON2(HL21)</f>
        <v>#NAME?</v>
      </c>
      <c r="HO21" s="1303" t="s">
        <v>5007</v>
      </c>
      <c r="HP21" s="65"/>
      <c r="HQ21" s="1056" t="str">
        <f t="shared" si="989"/>
        <v>#NAME?</v>
      </c>
      <c r="HR21" s="1377" t="s">
        <v>3872</v>
      </c>
      <c r="HS21" s="1021" t="str">
        <f t="shared" si="990"/>
        <v>#NAME?</v>
      </c>
      <c r="HT21" s="1024" t="str">
        <f t="shared" si="991"/>
        <v>#NAME?</v>
      </c>
      <c r="HU21" s="1339" t="s">
        <v>5006</v>
      </c>
      <c r="HV21" s="65"/>
      <c r="HW21" s="983" t="str">
        <f t="shared" ref="HW21:HW23" si="1031">MONICON21(HX21)</f>
        <v>#NAME?</v>
      </c>
      <c r="HX21" s="1157" t="s">
        <v>1284</v>
      </c>
      <c r="HY21" s="977" t="str">
        <f t="shared" ref="HY21:HY23" si="1032">MONTYPEICON1(HX21)</f>
        <v>#NAME?</v>
      </c>
      <c r="HZ21" s="980" t="str">
        <f t="shared" ref="HZ21:HZ23" si="1033">MONTYPEICON2(HX21)</f>
        <v>#NAME?</v>
      </c>
      <c r="IA21" s="1303" t="s">
        <v>5006</v>
      </c>
      <c r="IB21" s="65"/>
      <c r="IC21" s="1068" t="str">
        <f t="shared" si="992"/>
        <v>#NAME?</v>
      </c>
      <c r="ID21" s="1078" t="s">
        <v>2418</v>
      </c>
      <c r="IE21" s="1358" t="str">
        <f t="shared" si="993"/>
        <v>#NAME?</v>
      </c>
      <c r="IF21" s="1359" t="str">
        <f t="shared" si="994"/>
        <v>#NAME?</v>
      </c>
      <c r="IG21" s="1093" t="s">
        <v>5214</v>
      </c>
      <c r="II21" s="1012" t="str">
        <f t="shared" si="920"/>
        <v>#NAME?</v>
      </c>
      <c r="IJ21" s="1098" t="s">
        <v>474</v>
      </c>
      <c r="IK21" s="1418" t="str">
        <f t="shared" si="921"/>
        <v>#NAME?</v>
      </c>
      <c r="IL21" s="1419" t="str">
        <f t="shared" si="922"/>
        <v>#NAME?</v>
      </c>
      <c r="IM21" s="1108" t="s">
        <v>5008</v>
      </c>
      <c r="IO21" s="983" t="str">
        <f t="shared" ref="IO21:IO23" si="1034">MONICON21(IP21)</f>
        <v>#NAME?</v>
      </c>
      <c r="IP21" s="1301" t="s">
        <v>2185</v>
      </c>
      <c r="IQ21" s="977" t="str">
        <f t="shared" ref="IQ21:IQ23" si="1035">MONTYPEICON1(IP21)</f>
        <v>#NAME?</v>
      </c>
      <c r="IR21" s="980" t="str">
        <f t="shared" ref="IR21:IR23" si="1036">MONTYPEICON2(IP21)</f>
        <v>#NAME?</v>
      </c>
      <c r="IS21" s="1303" t="s">
        <v>5084</v>
      </c>
      <c r="IT21" s="1230"/>
      <c r="IU21" s="963" t="s">
        <v>4533</v>
      </c>
      <c r="IV21" s="12"/>
      <c r="IW21" s="12"/>
      <c r="IX21" s="12"/>
      <c r="IY21" s="48"/>
      <c r="IZ21" s="442"/>
      <c r="JA21" s="1094" t="str">
        <f t="shared" si="923"/>
        <v>#NAME?</v>
      </c>
      <c r="JB21" s="1479" t="s">
        <v>857</v>
      </c>
      <c r="JC21" s="1420" t="str">
        <f t="shared" si="924"/>
        <v>#NAME?</v>
      </c>
      <c r="JD21" s="475" t="str">
        <f t="shared" si="925"/>
        <v>#NAME?</v>
      </c>
      <c r="JE21" s="1411" t="s">
        <v>5084</v>
      </c>
      <c r="JF21" s="442"/>
      <c r="JG21" s="983" t="str">
        <f t="shared" ref="JG21:JG23" si="1037">MONICON21(JH21)</f>
        <v>#NAME?</v>
      </c>
      <c r="JH21" s="1157" t="s">
        <v>2148</v>
      </c>
      <c r="JI21" s="1311" t="str">
        <f t="shared" ref="JI21:JI23" si="1038">MONTYPEICON1(JH21)</f>
        <v>#NAME?</v>
      </c>
      <c r="JJ21" s="1312" t="str">
        <f t="shared" ref="JJ21:JJ23" si="1039">MONTYPEICON2(JH21)</f>
        <v>#NAME?</v>
      </c>
      <c r="JK21" s="1303" t="s">
        <v>5084</v>
      </c>
      <c r="JL21" s="442"/>
      <c r="JO21" s="349"/>
      <c r="JP21" s="349"/>
      <c r="JQ21" s="349"/>
      <c r="JR21" s="442"/>
      <c r="JS21" s="1230"/>
      <c r="JT21" s="1230"/>
      <c r="JU21" s="449"/>
      <c r="JV21" s="449"/>
      <c r="JW21" s="1230"/>
      <c r="JX21" s="1230"/>
      <c r="JY21" s="1569"/>
      <c r="JZ21" s="1333" t="s">
        <v>4983</v>
      </c>
      <c r="KA21" s="12"/>
      <c r="KB21" s="962"/>
      <c r="KC21" s="1334" t="s">
        <v>4608</v>
      </c>
      <c r="KD21" s="1230"/>
      <c r="KE21" s="983" t="str">
        <f t="shared" ref="KE21:KE23" si="1040">MONICON21(KF21)</f>
        <v>#NAME?</v>
      </c>
      <c r="KF21" s="1301" t="s">
        <v>2334</v>
      </c>
      <c r="KG21" s="1311" t="str">
        <f t="shared" ref="KG21:KG23" si="1041">MONTYPEICON1(KF21)</f>
        <v>#NAME?</v>
      </c>
      <c r="KH21" s="1312" t="str">
        <f t="shared" ref="KH21:KH23" si="1042">MONTYPEICON2(KF21)</f>
        <v>#NAME?</v>
      </c>
      <c r="KI21" s="1303" t="s">
        <v>5009</v>
      </c>
      <c r="KM21" s="349"/>
      <c r="KN21" s="349"/>
      <c r="KS21" s="349"/>
      <c r="KT21" s="349"/>
      <c r="KU21" s="349"/>
      <c r="KY21" s="349"/>
      <c r="KZ21" s="349"/>
      <c r="LB21" s="442"/>
      <c r="LC21" s="1094" t="str">
        <f t="shared" si="935"/>
        <v>#NAME?</v>
      </c>
      <c r="LD21" s="1127" t="s">
        <v>4132</v>
      </c>
      <c r="LE21" s="1420" t="str">
        <f t="shared" si="936"/>
        <v>#NAME?</v>
      </c>
      <c r="LF21" s="475" t="str">
        <f t="shared" si="937"/>
        <v>#NAME?</v>
      </c>
      <c r="LG21" s="1422" t="s">
        <v>5013</v>
      </c>
      <c r="LH21" s="65"/>
      <c r="LI21" s="1241" t="s">
        <v>5443</v>
      </c>
      <c r="LJ21" s="12"/>
      <c r="LK21" s="12"/>
      <c r="LL21" s="12"/>
      <c r="LM21" s="48"/>
      <c r="LN21" s="65"/>
      <c r="LO21" s="1094" t="str">
        <f t="shared" si="938"/>
        <v>#NAME?</v>
      </c>
      <c r="LP21" s="1127" t="s">
        <v>951</v>
      </c>
      <c r="LQ21" s="1051" t="str">
        <f t="shared" si="939"/>
        <v>#NAME?</v>
      </c>
      <c r="LR21" s="1131" t="str">
        <f t="shared" si="940"/>
        <v>#NAME?</v>
      </c>
      <c r="LS21" s="1422" t="s">
        <v>5015</v>
      </c>
      <c r="LU21" s="1266"/>
      <c r="LV21" s="1256" t="s">
        <v>5444</v>
      </c>
      <c r="LW21" s="1285" t="s">
        <v>4888</v>
      </c>
      <c r="LX21" s="962"/>
      <c r="LY21" s="1258" t="s">
        <v>4608</v>
      </c>
      <c r="MA21" s="983" t="str">
        <f t="shared" ref="MA21:MA23" si="1043">MONICON21(MB21)</f>
        <v>#NAME?</v>
      </c>
      <c r="MB21" s="1301" t="s">
        <v>2616</v>
      </c>
      <c r="MC21" s="977" t="str">
        <f t="shared" ref="MC21:MC23" si="1044">MONTYPEICON1(MB21)</f>
        <v>#NAME?</v>
      </c>
      <c r="MD21" s="980" t="str">
        <f t="shared" ref="MD21:MD23" si="1045">MONTYPEICON2(MB21)</f>
        <v>#NAME?</v>
      </c>
      <c r="ME21" s="1318" t="s">
        <v>5106</v>
      </c>
      <c r="MG21" s="983" t="str">
        <f t="shared" ref="MG21:MG22" si="1046">MONICON21(MH21)</f>
        <v>#NAME?</v>
      </c>
      <c r="MH21" s="1301" t="s">
        <v>969</v>
      </c>
      <c r="MI21" s="977" t="str">
        <f t="shared" ref="MI21:MI22" si="1047">MONTYPEICON1(MH21)</f>
        <v>#NAME?</v>
      </c>
      <c r="MJ21" s="980" t="str">
        <f t="shared" ref="MJ21:MJ22" si="1048">MONTYPEICON2(MH21)</f>
        <v>#NAME?</v>
      </c>
      <c r="MK21" s="1318" t="s">
        <v>5015</v>
      </c>
      <c r="MM21" s="1280"/>
      <c r="MN21" s="1281" t="s">
        <v>4908</v>
      </c>
      <c r="MO21" s="12"/>
      <c r="MP21" s="962"/>
      <c r="MQ21" s="1282" t="s">
        <v>4608</v>
      </c>
      <c r="MS21" s="1351" t="str">
        <f t="shared" si="995"/>
        <v>#NAME?</v>
      </c>
      <c r="MT21" s="1372" t="s">
        <v>635</v>
      </c>
      <c r="MU21" s="1353" t="str">
        <f t="shared" si="996"/>
        <v>#NAME?</v>
      </c>
      <c r="MV21" s="1354" t="str">
        <f t="shared" si="997"/>
        <v>#NAME?</v>
      </c>
      <c r="MW21" s="1367" t="s">
        <v>5164</v>
      </c>
      <c r="MX21" s="442"/>
      <c r="MY21" s="1284" t="s">
        <v>5366</v>
      </c>
      <c r="MZ21" s="1203"/>
      <c r="NA21" s="1203"/>
      <c r="NB21" s="1203"/>
      <c r="NC21" s="1204"/>
      <c r="ND21" s="442"/>
      <c r="NE21" s="985" t="str">
        <f>MONICON21(NF21)</f>
        <v>#NAME?</v>
      </c>
      <c r="NF21" s="1229" t="s">
        <v>2039</v>
      </c>
      <c r="NG21" s="1586" t="str">
        <f>MONTYPEICON1(NF21)</f>
        <v>#NAME?</v>
      </c>
      <c r="NH21" s="1587" t="str">
        <f>MONTYPEICON2(NF21)</f>
        <v>#NAME?</v>
      </c>
      <c r="NI21" s="1424" t="s">
        <v>5019</v>
      </c>
      <c r="NJ21" s="65"/>
      <c r="NK21" s="1193" t="str">
        <f t="shared" si="998"/>
        <v>#NAME?</v>
      </c>
      <c r="NL21" s="1145" t="s">
        <v>347</v>
      </c>
      <c r="NM21" s="1462" t="str">
        <f t="shared" si="999"/>
        <v>#NAME?</v>
      </c>
      <c r="NN21" s="1463" t="str">
        <f t="shared" si="1000"/>
        <v>#NAME?</v>
      </c>
      <c r="NO21" s="1464" t="s">
        <v>5017</v>
      </c>
      <c r="NQ21" s="1096" t="str">
        <f t="shared" si="941"/>
        <v>#NAME?</v>
      </c>
      <c r="NR21" s="1098" t="s">
        <v>1384</v>
      </c>
      <c r="NS21" s="1418" t="str">
        <f t="shared" si="942"/>
        <v>#NAME?</v>
      </c>
      <c r="NT21" s="1419" t="str">
        <f t="shared" si="943"/>
        <v>#NAME?</v>
      </c>
      <c r="NU21" s="1423" t="s">
        <v>5018</v>
      </c>
      <c r="NV21" s="442"/>
      <c r="NW21" s="1012" t="str">
        <f t="shared" ref="NW21:NW22" si="1049">MONICON21(NX21)</f>
        <v>#NAME?</v>
      </c>
      <c r="NX21" s="1301" t="s">
        <v>3683</v>
      </c>
      <c r="NY21" s="1311" t="str">
        <f t="shared" ref="NY21:NY22" si="1050">MONTYPEICON1(NX21)</f>
        <v>#NAME?</v>
      </c>
      <c r="NZ21" s="1312" t="str">
        <f t="shared" ref="NZ21:NZ22" si="1051">MONTYPEICON2(NX21)</f>
        <v>#NAME?</v>
      </c>
      <c r="OA21" s="1318" t="s">
        <v>5018</v>
      </c>
      <c r="OB21" s="442"/>
      <c r="OC21" s="983" t="str">
        <f t="shared" ref="OC21:OC23" si="1052">MONICON21(OD21)</f>
        <v>#NAME?</v>
      </c>
      <c r="OD21" s="1301" t="s">
        <v>653</v>
      </c>
      <c r="OE21" s="1311" t="str">
        <f t="shared" ref="OE21:OE23" si="1053">MONTYPEICON1(OD21)</f>
        <v>#NAME?</v>
      </c>
      <c r="OF21" s="1312" t="str">
        <f t="shared" ref="OF21:OF23" si="1054">MONTYPEICON2(OD21)</f>
        <v>#NAME?</v>
      </c>
      <c r="OG21" s="1318" t="s">
        <v>5019</v>
      </c>
      <c r="OH21" s="442"/>
      <c r="OK21" s="349"/>
      <c r="OL21" s="349"/>
      <c r="ON21" s="442"/>
      <c r="OO21" s="1068" t="str">
        <f t="shared" si="854"/>
        <v>#NAME?</v>
      </c>
      <c r="OP21" s="1076" t="s">
        <v>1321</v>
      </c>
      <c r="OQ21" s="1358" t="str">
        <f t="shared" si="855"/>
        <v>#NAME?</v>
      </c>
      <c r="OR21" s="1359" t="str">
        <f t="shared" si="856"/>
        <v>#NAME?</v>
      </c>
      <c r="OS21" s="1368" t="s">
        <v>5022</v>
      </c>
      <c r="OU21" s="1193" t="str">
        <f t="shared" si="857"/>
        <v>#NAME?</v>
      </c>
      <c r="OV21" s="1145" t="s">
        <v>82</v>
      </c>
      <c r="OW21" s="1462" t="str">
        <f t="shared" si="858"/>
        <v>#NAME?</v>
      </c>
      <c r="OX21" s="1463" t="str">
        <f t="shared" si="859"/>
        <v>#NAME?</v>
      </c>
      <c r="OY21" s="1464" t="s">
        <v>5022</v>
      </c>
      <c r="OZ21" s="442"/>
      <c r="PA21" s="1068" t="str">
        <f t="shared" si="1001"/>
        <v>#NAME?</v>
      </c>
      <c r="PB21" s="1076" t="s">
        <v>1200</v>
      </c>
      <c r="PC21" s="1358" t="str">
        <f t="shared" si="1002"/>
        <v>#NAME?</v>
      </c>
      <c r="PD21" s="1359" t="str">
        <f t="shared" si="1003"/>
        <v>#NAME?</v>
      </c>
      <c r="PE21" s="1368" t="s">
        <v>5146</v>
      </c>
      <c r="PF21" s="442"/>
      <c r="PI21" s="349"/>
      <c r="PJ21" s="349"/>
      <c r="PM21" s="1193" t="str">
        <f t="shared" si="863"/>
        <v>#NAME?</v>
      </c>
      <c r="PN21" s="1145" t="s">
        <v>4204</v>
      </c>
      <c r="PO21" s="1462" t="str">
        <f t="shared" si="864"/>
        <v>#NAME?</v>
      </c>
      <c r="PP21" s="1463" t="str">
        <f t="shared" si="865"/>
        <v>#NAME?</v>
      </c>
      <c r="PQ21" s="1464" t="s">
        <v>5352</v>
      </c>
      <c r="PR21" s="442"/>
      <c r="PU21" s="349"/>
      <c r="PV21" s="349"/>
      <c r="PX21" s="442"/>
      <c r="PY21" s="1027" t="str">
        <f t="shared" si="1004"/>
        <v>#NAME?</v>
      </c>
      <c r="PZ21" s="1340" t="s">
        <v>4225</v>
      </c>
      <c r="QA21" s="1360" t="str">
        <f t="shared" si="1005"/>
        <v>#NAME?</v>
      </c>
      <c r="QB21" s="1361" t="str">
        <f t="shared" si="1006"/>
        <v>#NAME?</v>
      </c>
      <c r="QC21" s="1376" t="s">
        <v>5023</v>
      </c>
      <c r="QD21" s="442"/>
      <c r="QE21" s="1159" t="str">
        <f t="shared" si="734"/>
        <v>#NAME?</v>
      </c>
      <c r="QF21" s="1453" t="s">
        <v>3628</v>
      </c>
      <c r="QG21" s="1497" t="str">
        <f t="shared" si="735"/>
        <v>#NAME?</v>
      </c>
      <c r="QH21" s="1498" t="str">
        <f t="shared" si="736"/>
        <v>#NAME?</v>
      </c>
      <c r="QI21" s="1504" t="s">
        <v>5031</v>
      </c>
      <c r="QJ21" s="442"/>
      <c r="QK21" s="1543" t="str">
        <f t="shared" si="737"/>
        <v>#NAME?</v>
      </c>
      <c r="QL21" s="1530" t="s">
        <v>4077</v>
      </c>
      <c r="QM21" s="1529" t="str">
        <f t="shared" si="738"/>
        <v>#NAME?</v>
      </c>
      <c r="QN21" s="1531" t="str">
        <f t="shared" si="739"/>
        <v>#NAME?</v>
      </c>
      <c r="QO21" s="1532" t="s">
        <v>5033</v>
      </c>
      <c r="QP21" s="442"/>
      <c r="QQ21" s="1543" t="str">
        <f t="shared" si="740"/>
        <v>#NAME?</v>
      </c>
      <c r="QR21" s="1530" t="s">
        <v>4160</v>
      </c>
      <c r="QS21" s="1529" t="str">
        <f t="shared" si="741"/>
        <v>#NAME?</v>
      </c>
      <c r="QT21" s="1531" t="str">
        <f t="shared" si="742"/>
        <v>#NAME?</v>
      </c>
      <c r="QU21" s="1532" t="s">
        <v>5112</v>
      </c>
      <c r="QV21" s="442"/>
      <c r="QW21" s="1543" t="str">
        <f t="shared" si="743"/>
        <v>#NAME?</v>
      </c>
      <c r="QX21" s="1530" t="s">
        <v>4183</v>
      </c>
      <c r="QY21" s="1529" t="str">
        <f t="shared" si="744"/>
        <v>#NAME?</v>
      </c>
      <c r="QZ21" s="1531" t="str">
        <f t="shared" si="745"/>
        <v>#NAME?</v>
      </c>
      <c r="RA21" s="1532" t="s">
        <v>5113</v>
      </c>
      <c r="RB21" s="442"/>
      <c r="RC21" s="1543" t="str">
        <f t="shared" si="746"/>
        <v>#NAME?</v>
      </c>
      <c r="RD21" s="1530" t="s">
        <v>4238</v>
      </c>
      <c r="RE21" s="1529" t="str">
        <f t="shared" si="747"/>
        <v>#NAME?</v>
      </c>
      <c r="RF21" s="1531" t="str">
        <f t="shared" si="748"/>
        <v>#NAME?</v>
      </c>
      <c r="RG21" s="1532" t="s">
        <v>5025</v>
      </c>
      <c r="RH21" s="442"/>
      <c r="RI21" s="1543" t="str">
        <f t="shared" si="749"/>
        <v>#NAME?</v>
      </c>
      <c r="RJ21" s="1530" t="s">
        <v>4031</v>
      </c>
      <c r="RK21" s="1529" t="str">
        <f t="shared" si="750"/>
        <v>#NAME?</v>
      </c>
      <c r="RL21" s="1531" t="str">
        <f t="shared" si="751"/>
        <v>#NAME?</v>
      </c>
      <c r="RM21" s="1532" t="s">
        <v>5026</v>
      </c>
      <c r="RN21" s="442"/>
      <c r="RO21" s="961" t="s">
        <v>5445</v>
      </c>
      <c r="RP21" s="12"/>
      <c r="RQ21" s="12"/>
      <c r="RR21" s="12"/>
      <c r="RS21" s="48"/>
      <c r="RT21" s="442"/>
      <c r="RU21" s="1193" t="str">
        <f t="shared" si="866"/>
        <v>#NAME?</v>
      </c>
      <c r="RV21" s="1145" t="s">
        <v>493</v>
      </c>
      <c r="RW21" s="1462" t="str">
        <f t="shared" si="867"/>
        <v>#NAME?</v>
      </c>
      <c r="RX21" s="1463" t="str">
        <f t="shared" si="868"/>
        <v>#NAME?</v>
      </c>
      <c r="RY21" s="1464" t="s">
        <v>5112</v>
      </c>
      <c r="RZ21" s="442"/>
      <c r="SA21" s="983" t="str">
        <f t="shared" ref="SA21:SA23" si="1055">MONICON21(SB21)</f>
        <v>#NAME?</v>
      </c>
      <c r="SB21" s="1301" t="s">
        <v>311</v>
      </c>
      <c r="SC21" s="1311" t="str">
        <f t="shared" ref="SC21:SC23" si="1056">MONTYPEICON1(SB21)</f>
        <v>#NAME?</v>
      </c>
      <c r="SD21" s="1312" t="str">
        <f t="shared" ref="SD21:SD23" si="1057">MONTYPEICON2(SB21)</f>
        <v>#NAME?</v>
      </c>
      <c r="SE21" s="1318" t="s">
        <v>5113</v>
      </c>
      <c r="SG21" s="1096" t="str">
        <f t="shared" si="944"/>
        <v>#NAME?</v>
      </c>
      <c r="SH21" s="1157" t="s">
        <v>417</v>
      </c>
      <c r="SI21" s="1013" t="str">
        <f t="shared" si="945"/>
        <v>#NAME?</v>
      </c>
      <c r="SJ21" s="1015" t="str">
        <f t="shared" si="946"/>
        <v>#NAME?</v>
      </c>
      <c r="SK21" s="1321" t="s">
        <v>5024</v>
      </c>
      <c r="SL21" s="442"/>
      <c r="SO21" s="349"/>
      <c r="SP21" s="349"/>
      <c r="SS21" s="983" t="str">
        <f t="shared" ref="SS21:SS23" si="1058">MONICON21(ST21)</f>
        <v>#NAME?</v>
      </c>
      <c r="ST21" s="1301" t="s">
        <v>3030</v>
      </c>
      <c r="SU21" s="1311" t="str">
        <f t="shared" ref="SU21:SU23" si="1059">MONTYPEICON1(ST21)</f>
        <v>#NAME?</v>
      </c>
      <c r="SV21" s="1312" t="str">
        <f t="shared" ref="SV21:SV23" si="1060">MONTYPEICON2(ST21)</f>
        <v>#NAME?</v>
      </c>
      <c r="SW21" s="1318" t="s">
        <v>5113</v>
      </c>
      <c r="SX21" s="442"/>
      <c r="SY21" s="1266"/>
      <c r="SZ21" s="1259" t="s">
        <v>5446</v>
      </c>
      <c r="TA21" s="12"/>
      <c r="TB21" s="962"/>
      <c r="TC21" s="1004" t="s">
        <v>4608</v>
      </c>
      <c r="TD21" s="65"/>
      <c r="TE21" s="961" t="s">
        <v>5062</v>
      </c>
      <c r="TF21" s="12"/>
      <c r="TG21" s="12"/>
      <c r="TH21" s="48"/>
      <c r="TM21" s="349"/>
      <c r="TN21" s="349"/>
      <c r="TS21" s="349"/>
      <c r="TT21" s="349"/>
      <c r="TW21" s="1013" t="str">
        <f t="shared" si="803"/>
        <v>#NAME?</v>
      </c>
      <c r="TX21" s="1098" t="s">
        <v>615</v>
      </c>
      <c r="TY21" s="1013" t="str">
        <f t="shared" si="804"/>
        <v>#NAME?</v>
      </c>
      <c r="TZ21" s="1015" t="str">
        <f t="shared" si="805"/>
        <v>#NAME?</v>
      </c>
      <c r="UA21" s="1414" t="s">
        <v>5227</v>
      </c>
      <c r="UC21" s="1529" t="str">
        <f t="shared" si="752"/>
        <v>#NAME?</v>
      </c>
      <c r="UD21" s="1530" t="s">
        <v>3485</v>
      </c>
      <c r="UE21" s="1529" t="str">
        <f t="shared" si="753"/>
        <v>#NAME?</v>
      </c>
      <c r="UF21" s="1531" t="str">
        <f t="shared" si="754"/>
        <v>#NAME?</v>
      </c>
      <c r="UG21" s="1532" t="s">
        <v>5198</v>
      </c>
      <c r="UI21" s="1383" t="str">
        <f t="shared" si="1007"/>
        <v>#NAME?</v>
      </c>
      <c r="UJ21" s="1384" t="s">
        <v>3722</v>
      </c>
      <c r="UK21" s="1383" t="str">
        <f t="shared" si="1008"/>
        <v>#NAME?</v>
      </c>
      <c r="UL21" s="1385" t="str">
        <f t="shared" si="1009"/>
        <v>#NAME?</v>
      </c>
      <c r="UM21" s="1386" t="s">
        <v>5029</v>
      </c>
      <c r="UO21" s="1033" t="str">
        <f t="shared" ref="UO21:UO22" si="1061">MONICON21(UP21)</f>
        <v>#NAME?</v>
      </c>
      <c r="UP21" s="1301" t="s">
        <v>4146</v>
      </c>
      <c r="UQ21" s="977" t="str">
        <f t="shared" ref="UQ21:UQ22" si="1062">MONTYPEICON1(UP21)</f>
        <v>#NAME?</v>
      </c>
      <c r="UR21" s="980" t="str">
        <f t="shared" ref="UR21:UR22" si="1063">MONTYPEICON2(UP21)</f>
        <v>#NAME?</v>
      </c>
      <c r="US21" s="1303" t="s">
        <v>5029</v>
      </c>
      <c r="UU21" s="1033" t="str">
        <f t="shared" ref="UU21:UU22" si="1064">MONICON21(UV21)</f>
        <v>#NAME?</v>
      </c>
      <c r="UV21" s="21" t="s">
        <v>3700</v>
      </c>
      <c r="UW21" s="977" t="str">
        <f t="shared" ref="UW21:UW22" si="1065">MONTYPEICON1(UV21)</f>
        <v>#NAME?</v>
      </c>
      <c r="UX21" s="980" t="str">
        <f t="shared" ref="UX21:UX22" si="1066">MONTYPEICON2(UV21)</f>
        <v>#NAME?</v>
      </c>
      <c r="UY21" s="1302" t="s">
        <v>5030</v>
      </c>
      <c r="VA21" s="1293"/>
      <c r="VB21" s="1291" t="s">
        <v>5447</v>
      </c>
      <c r="VC21" s="12"/>
      <c r="VD21" s="962"/>
      <c r="VE21" s="1292" t="s">
        <v>4608</v>
      </c>
      <c r="VG21" s="977" t="str">
        <f t="shared" ref="VG21:VG23" si="1067">MONICON21(VH21)</f>
        <v>#NAME?</v>
      </c>
      <c r="VH21" s="1301" t="s">
        <v>1637</v>
      </c>
      <c r="VI21" s="979" t="str">
        <f t="shared" ref="VI21:VI23" si="1068">MONTYPEICON1(VH21)</f>
        <v>#NAME?</v>
      </c>
      <c r="VJ21" s="1314" t="str">
        <f t="shared" ref="VJ21:VJ23" si="1069">MONTYPEICON2(VH21)</f>
        <v>#NAME?</v>
      </c>
      <c r="VK21" s="1303" t="s">
        <v>5448</v>
      </c>
      <c r="VL21" s="442"/>
      <c r="VM21" s="977" t="str">
        <f t="shared" ref="VM21:VM24" si="1070">MONICON21(VN21)</f>
        <v>#NAME?</v>
      </c>
      <c r="VN21" s="1301" t="s">
        <v>3722</v>
      </c>
      <c r="VO21" s="977" t="str">
        <f t="shared" ref="VO21:VO24" si="1071">MONTYPEICON1(VN21)</f>
        <v>#NAME?</v>
      </c>
      <c r="VP21" s="980" t="str">
        <f t="shared" ref="VP21:VP24" si="1072">MONTYPEICON2(VN21)</f>
        <v>#NAME?</v>
      </c>
      <c r="VQ21" s="1302" t="s">
        <v>5449</v>
      </c>
      <c r="VR21" s="442"/>
      <c r="VS21" s="1387" t="str">
        <f t="shared" si="1010"/>
        <v>#NAME?</v>
      </c>
      <c r="VT21" s="1388" t="s">
        <v>3700</v>
      </c>
      <c r="VU21" s="1387" t="str">
        <f t="shared" si="1011"/>
        <v>#NAME?</v>
      </c>
      <c r="VV21" s="1392" t="str">
        <f t="shared" si="1012"/>
        <v>#NAME?</v>
      </c>
      <c r="VW21" s="1391" t="s">
        <v>5032</v>
      </c>
      <c r="VX21" s="442"/>
      <c r="VY21" s="1294"/>
      <c r="VZ21" s="1291" t="s">
        <v>5450</v>
      </c>
      <c r="WA21" s="12"/>
      <c r="WB21" s="962"/>
      <c r="WC21" s="1292" t="s">
        <v>4608</v>
      </c>
      <c r="WD21" s="442"/>
      <c r="WE21" s="1294"/>
      <c r="WF21" s="1291" t="s">
        <v>5451</v>
      </c>
      <c r="WG21" s="12"/>
      <c r="WH21" s="962"/>
      <c r="WI21" s="1292" t="s">
        <v>4608</v>
      </c>
      <c r="WJ21" s="442"/>
      <c r="WK21" s="1472"/>
      <c r="WL21" s="1291" t="s">
        <v>5452</v>
      </c>
      <c r="WM21" s="12"/>
      <c r="WN21" s="962"/>
      <c r="WO21" s="1292" t="s">
        <v>4608</v>
      </c>
      <c r="WP21" s="442"/>
      <c r="WQ21" s="1051" t="str">
        <f t="shared" si="947"/>
        <v>#NAME?</v>
      </c>
      <c r="WR21" s="1127" t="s">
        <v>2752</v>
      </c>
      <c r="WS21" s="1051" t="str">
        <f t="shared" si="948"/>
        <v>#NAME?</v>
      </c>
      <c r="WT21" s="1131" t="str">
        <f t="shared" si="949"/>
        <v>#NAME?</v>
      </c>
      <c r="WU21" s="1095" t="s">
        <v>5033</v>
      </c>
      <c r="WV21" s="442"/>
      <c r="WW21" s="963" t="s">
        <v>4910</v>
      </c>
      <c r="WX21" s="12"/>
      <c r="WY21" s="12"/>
      <c r="WZ21" s="12"/>
      <c r="XA21" s="48"/>
      <c r="XB21" s="442"/>
      <c r="XC21" s="977" t="str">
        <f t="shared" ref="XC21:XC26" si="1073">MONICON21(XD21)</f>
        <v>#NAME?</v>
      </c>
      <c r="XD21" s="1301" t="s">
        <v>2251</v>
      </c>
      <c r="XE21" s="977" t="str">
        <f t="shared" ref="XE21:XE26" si="1074">MONTYPEICON1(XD21)</f>
        <v>#NAME?</v>
      </c>
      <c r="XF21" s="980" t="str">
        <f t="shared" ref="XF21:XF26" si="1075">MONTYPEICON2(XD21)</f>
        <v>#NAME?</v>
      </c>
      <c r="XG21" s="1321" t="s">
        <v>5017</v>
      </c>
      <c r="XH21" s="442"/>
      <c r="XI21" s="1013" t="str">
        <f t="shared" si="950"/>
        <v>#NAME?</v>
      </c>
      <c r="XJ21" s="1098" t="s">
        <v>474</v>
      </c>
      <c r="XK21" s="1013" t="str">
        <f t="shared" si="951"/>
        <v>#NAME?</v>
      </c>
      <c r="XL21" s="1015" t="str">
        <f t="shared" si="952"/>
        <v>#NAME?</v>
      </c>
      <c r="XM21" s="1434" t="s">
        <v>5410</v>
      </c>
      <c r="XN21" s="442"/>
      <c r="XO21" s="1387" t="str">
        <f t="shared" si="1013"/>
        <v>#NAME?</v>
      </c>
      <c r="XP21" s="1388" t="s">
        <v>2625</v>
      </c>
      <c r="XQ21" s="1387" t="str">
        <f t="shared" si="1014"/>
        <v>#NAME?</v>
      </c>
      <c r="XR21" s="1392" t="str">
        <f t="shared" si="1015"/>
        <v>#NAME?</v>
      </c>
      <c r="XS21" s="1391" t="s">
        <v>5092</v>
      </c>
      <c r="XT21" s="442"/>
      <c r="XU21" s="977" t="str">
        <f t="shared" ref="XU21:XU23" si="1076">MONICON21(XV21)</f>
        <v>#NAME?</v>
      </c>
      <c r="XV21" s="1301" t="s">
        <v>742</v>
      </c>
      <c r="XW21" s="977" t="str">
        <f t="shared" ref="XW21:XW23" si="1077">MONTYPEICON1(XV21)</f>
        <v>#NAME?</v>
      </c>
      <c r="XX21" s="980" t="str">
        <f t="shared" ref="XX21:XX23" si="1078">MONTYPEICON2(XV21)</f>
        <v>#NAME?</v>
      </c>
      <c r="XY21" s="1303" t="s">
        <v>5033</v>
      </c>
      <c r="XZ21" s="442"/>
      <c r="YA21" s="1296"/>
      <c r="YB21" s="1291" t="s">
        <v>5453</v>
      </c>
      <c r="YC21" s="12"/>
      <c r="YD21" s="962"/>
      <c r="YE21" s="1292" t="s">
        <v>4608</v>
      </c>
      <c r="YF21" s="442"/>
      <c r="YG21" s="1296"/>
      <c r="YH21" s="1291" t="s">
        <v>5454</v>
      </c>
      <c r="YI21" s="12"/>
      <c r="YJ21" s="962"/>
      <c r="YK21" s="1292" t="s">
        <v>4608</v>
      </c>
      <c r="YL21" s="442"/>
      <c r="YM21" s="1387" t="str">
        <f t="shared" si="1016"/>
        <v>#NAME?</v>
      </c>
      <c r="YN21" s="1388" t="s">
        <v>857</v>
      </c>
      <c r="YO21" s="1387" t="str">
        <f t="shared" si="1017"/>
        <v>#NAME?</v>
      </c>
      <c r="YP21" s="1392" t="str">
        <f t="shared" si="1018"/>
        <v>#NAME?</v>
      </c>
      <c r="YQ21" s="1391" t="s">
        <v>5431</v>
      </c>
      <c r="YR21" s="442"/>
      <c r="YS21" s="1051" t="str">
        <f t="shared" si="953"/>
        <v>#NAME?</v>
      </c>
      <c r="YT21" s="1127" t="s">
        <v>3415</v>
      </c>
      <c r="YU21" s="1051" t="str">
        <f t="shared" si="954"/>
        <v>#NAME?</v>
      </c>
      <c r="YV21" s="1131" t="str">
        <f t="shared" si="955"/>
        <v>#NAME?</v>
      </c>
      <c r="YW21" s="1095" t="s">
        <v>5032</v>
      </c>
      <c r="YX21" s="442"/>
      <c r="YY21" s="108"/>
      <c r="YZ21" s="442"/>
      <c r="ZA21" s="108"/>
      <c r="ZB21" s="108"/>
      <c r="ZC21" s="442"/>
      <c r="ZD21" s="442"/>
      <c r="ZE21" s="963" t="s">
        <v>4781</v>
      </c>
      <c r="ZF21" s="12"/>
      <c r="ZG21" s="12"/>
      <c r="ZH21" s="12"/>
      <c r="ZI21" s="48"/>
      <c r="ZJ21" s="442"/>
      <c r="ZK21" s="1051" t="str">
        <f t="shared" si="956"/>
        <v>#NAME?</v>
      </c>
      <c r="ZL21" s="1127" t="s">
        <v>2133</v>
      </c>
      <c r="ZM21" s="1051" t="str">
        <f t="shared" si="957"/>
        <v>#NAME?</v>
      </c>
      <c r="ZN21" s="1131" t="str">
        <f t="shared" si="958"/>
        <v>#NAME?</v>
      </c>
      <c r="ZO21" s="1095" t="s">
        <v>5025</v>
      </c>
      <c r="ZP21" s="442"/>
      <c r="ZS21" s="349"/>
      <c r="ZT21" s="349"/>
      <c r="ZV21" s="442"/>
      <c r="ZW21" s="1383" t="str">
        <f t="shared" si="1019"/>
        <v>#NAME?</v>
      </c>
      <c r="ZX21" s="1384" t="s">
        <v>4031</v>
      </c>
      <c r="ZY21" s="1383" t="str">
        <f t="shared" si="1020"/>
        <v>#NAME?</v>
      </c>
      <c r="ZZ21" s="1385" t="str">
        <f t="shared" si="1021"/>
        <v>#NAME?</v>
      </c>
      <c r="AAA21" s="1386" t="s">
        <v>5035</v>
      </c>
      <c r="AAB21" s="442"/>
      <c r="AAC21" s="1579" t="s">
        <v>4553</v>
      </c>
      <c r="AAD21" s="12"/>
      <c r="AAE21" s="12"/>
      <c r="AAF21" s="12"/>
      <c r="AAG21" s="48"/>
      <c r="AAH21" s="442"/>
      <c r="AAI21" s="1033" t="str">
        <f t="shared" si="959"/>
        <v>#NAME?</v>
      </c>
      <c r="AAJ21" s="1098" t="s">
        <v>1452</v>
      </c>
      <c r="AAK21" s="1013" t="str">
        <f t="shared" si="960"/>
        <v>#NAME?</v>
      </c>
      <c r="AAL21" s="1015" t="str">
        <f t="shared" si="961"/>
        <v>#NAME?</v>
      </c>
      <c r="AAM21" s="1423" t="s">
        <v>5227</v>
      </c>
      <c r="AAO21" s="1033" t="str">
        <f t="shared" si="962"/>
        <v>#NAME?</v>
      </c>
      <c r="AAP21" s="1098" t="s">
        <v>474</v>
      </c>
      <c r="AAQ21" s="1013" t="str">
        <f t="shared" si="963"/>
        <v>#NAME?</v>
      </c>
      <c r="AAR21" s="1015" t="str">
        <f t="shared" si="964"/>
        <v>#NAME?</v>
      </c>
      <c r="AAS21" s="1423" t="s">
        <v>5117</v>
      </c>
      <c r="AAU21" s="1033" t="str">
        <f t="shared" si="965"/>
        <v>#NAME?</v>
      </c>
      <c r="AAV21" s="1098" t="s">
        <v>2030</v>
      </c>
      <c r="AAW21" s="1013" t="str">
        <f t="shared" si="966"/>
        <v>#NAME?</v>
      </c>
      <c r="AAX21" s="1015" t="str">
        <f t="shared" si="967"/>
        <v>#NAME?</v>
      </c>
      <c r="AAY21" s="1423" t="s">
        <v>5117</v>
      </c>
      <c r="ABA21" s="1033" t="str">
        <f t="shared" si="968"/>
        <v>#NAME?</v>
      </c>
      <c r="ABB21" s="1098" t="s">
        <v>3978</v>
      </c>
      <c r="ABC21" s="1013" t="str">
        <f t="shared" si="969"/>
        <v>#NAME?</v>
      </c>
      <c r="ABD21" s="1015" t="str">
        <f t="shared" si="970"/>
        <v>#NAME?</v>
      </c>
      <c r="ABE21" s="1423" t="s">
        <v>5036</v>
      </c>
      <c r="ABG21" s="1033" t="str">
        <f t="shared" si="971"/>
        <v>#NAME?</v>
      </c>
      <c r="ABH21" s="1098" t="s">
        <v>1680</v>
      </c>
      <c r="ABI21" s="1013" t="str">
        <f t="shared" si="972"/>
        <v>#NAME?</v>
      </c>
      <c r="ABJ21" s="1015" t="str">
        <f t="shared" si="973"/>
        <v>#NAME?</v>
      </c>
      <c r="ABK21" s="1423" t="s">
        <v>5036</v>
      </c>
      <c r="ABM21" s="1033" t="str">
        <f t="shared" si="974"/>
        <v>#NAME?</v>
      </c>
      <c r="ABN21" s="1098" t="s">
        <v>742</v>
      </c>
      <c r="ABO21" s="1013" t="str">
        <f t="shared" si="975"/>
        <v>#NAME?</v>
      </c>
      <c r="ABP21" s="1015" t="str">
        <f t="shared" si="976"/>
        <v>#NAME?</v>
      </c>
      <c r="ABQ21" s="1423" t="s">
        <v>5036</v>
      </c>
      <c r="ABS21" s="1033" t="str">
        <f t="shared" si="977"/>
        <v>#NAME?</v>
      </c>
      <c r="ABT21" s="1098" t="s">
        <v>2185</v>
      </c>
      <c r="ABU21" s="1013" t="str">
        <f t="shared" si="978"/>
        <v>#NAME?</v>
      </c>
      <c r="ABV21" s="1015" t="str">
        <f t="shared" si="979"/>
        <v>#NAME?</v>
      </c>
      <c r="ABW21" s="1423" t="s">
        <v>5117</v>
      </c>
      <c r="ABY21" s="1484"/>
      <c r="ABZ21" s="1485" t="s">
        <v>5016</v>
      </c>
      <c r="ACA21" s="416"/>
      <c r="ACB21" s="1486"/>
      <c r="ACC21" s="1487" t="s">
        <v>4608</v>
      </c>
      <c r="ACJ21" s="996"/>
    </row>
    <row r="22" ht="15.75" customHeight="1">
      <c r="A22" s="1230"/>
      <c r="B22" s="1403" t="str">
        <f>image("https://archives.bulbagarden.net/media/upload/2/2f/Badge_Case_Byron_IV.png", 3)</f>
        <v/>
      </c>
      <c r="C22" s="1404" t="s">
        <v>5455</v>
      </c>
      <c r="D22" s="1382" t="s">
        <v>4608</v>
      </c>
      <c r="E22" s="1230"/>
      <c r="F22" s="1238"/>
      <c r="G22" s="1517"/>
      <c r="H22" s="1230"/>
      <c r="I22" s="1053" t="str">
        <f>MONICON21(J22)</f>
        <v>#NAME?</v>
      </c>
      <c r="J22" s="996" t="s">
        <v>3587</v>
      </c>
      <c r="K22" s="985" t="str">
        <f>MONTYPEICON1(J22)</f>
        <v>#NAME?</v>
      </c>
      <c r="L22" s="1052" t="str">
        <f>MONTYPEICON2(J22)</f>
        <v>#NAME?</v>
      </c>
      <c r="M22" s="1578" t="s">
        <v>5456</v>
      </c>
      <c r="N22" s="1230"/>
      <c r="O22" s="1033" t="str">
        <f t="shared" ref="O22:O23" si="1079">MONICON21(P22)</f>
        <v>#NAME?</v>
      </c>
      <c r="P22" s="1301" t="s">
        <v>2607</v>
      </c>
      <c r="Q22" s="977" t="str">
        <f t="shared" ref="Q22:Q23" si="1080">MONTYPEICON1(P22)</f>
        <v>#NAME?</v>
      </c>
      <c r="R22" s="1046" t="str">
        <f t="shared" ref="R22:R23" si="1081">MONTYPEICON2(P22)</f>
        <v>#NAME?</v>
      </c>
      <c r="S22" s="1303" t="s">
        <v>5097</v>
      </c>
      <c r="T22" s="1230"/>
      <c r="U22" s="1341" t="str">
        <f t="shared" si="1022"/>
        <v>#NAME?</v>
      </c>
      <c r="V22" s="1340" t="s">
        <v>4037</v>
      </c>
      <c r="W22" s="1341" t="str">
        <f t="shared" si="1023"/>
        <v>#NAME?</v>
      </c>
      <c r="X22" s="1342" t="str">
        <f t="shared" si="1024"/>
        <v>#NAME?</v>
      </c>
      <c r="Y22" s="1343" t="s">
        <v>5130</v>
      </c>
      <c r="Z22" s="1230"/>
      <c r="AA22" s="961" t="s">
        <v>4518</v>
      </c>
      <c r="AB22" s="12"/>
      <c r="AC22" s="12"/>
      <c r="AD22" s="12"/>
      <c r="AE22" s="48"/>
      <c r="AF22" s="1230"/>
      <c r="AG22" s="1033" t="str">
        <f t="shared" ref="AG22:AG27" si="1082">MONICON21(AH22)</f>
        <v>#NAME?</v>
      </c>
      <c r="AH22" s="1301" t="s">
        <v>2770</v>
      </c>
      <c r="AI22" s="977" t="str">
        <f t="shared" ref="AI22:AI27" si="1083">MONTYPEICON1(AH22)</f>
        <v>#NAME?</v>
      </c>
      <c r="AJ22" s="980" t="str">
        <f t="shared" ref="AJ22:AJ27" si="1084">MONTYPEICON2(AH22)</f>
        <v>#NAME?</v>
      </c>
      <c r="AK22" s="1303" t="s">
        <v>5457</v>
      </c>
      <c r="AL22" s="1230"/>
      <c r="AM22" s="1255"/>
      <c r="AN22" s="1256" t="s">
        <v>5458</v>
      </c>
      <c r="AO22" s="1257" t="s">
        <v>4888</v>
      </c>
      <c r="AP22" s="962"/>
      <c r="AQ22" s="1258" t="s">
        <v>4608</v>
      </c>
      <c r="AR22" s="1230"/>
      <c r="AS22" s="1230"/>
      <c r="AT22" s="1230"/>
      <c r="AU22" s="1230"/>
      <c r="AV22" s="1230"/>
      <c r="AW22" s="1230"/>
      <c r="AX22" s="1230"/>
      <c r="AY22" s="349"/>
      <c r="BD22" s="1230"/>
      <c r="BE22" s="108"/>
      <c r="BF22" s="442"/>
      <c r="BG22" s="442"/>
      <c r="BH22" s="442"/>
      <c r="BI22" s="449"/>
      <c r="BJ22" s="1230"/>
      <c r="BK22" s="108"/>
      <c r="BL22" s="65"/>
      <c r="BM22" s="65"/>
      <c r="BN22" s="442"/>
      <c r="BO22" s="108"/>
      <c r="BP22" s="442"/>
      <c r="BQ22" s="1053" t="str">
        <f>MONICON21(BR22)</f>
        <v>#NAME?</v>
      </c>
      <c r="BR22" s="1310" t="s">
        <v>1443</v>
      </c>
      <c r="BS22" s="1092" t="str">
        <f>MONTYPEICON1(BR22)</f>
        <v>#NAME?</v>
      </c>
      <c r="BT22" s="987" t="str">
        <f>MONTYPEICON2(BR22)</f>
        <v>#NAME?</v>
      </c>
      <c r="BU22" s="1588" t="s">
        <v>5459</v>
      </c>
      <c r="BV22" s="442"/>
      <c r="CB22" s="442"/>
      <c r="CH22" s="442"/>
      <c r="CN22" s="442"/>
      <c r="CO22" s="1049" t="str">
        <f>MONICON21(CP22)</f>
        <v>#NAME?</v>
      </c>
      <c r="CP22" s="1308" t="s">
        <v>243</v>
      </c>
      <c r="CQ22" s="1092" t="str">
        <f>MONTYPEICON1(CP22)</f>
        <v>#NAME?</v>
      </c>
      <c r="CR22" s="987" t="str">
        <f>MONTYPEICON2(CP22)</f>
        <v>#NAME?</v>
      </c>
      <c r="CS22" s="1309" t="s">
        <v>5459</v>
      </c>
      <c r="CT22" s="442"/>
      <c r="CU22" s="1535" t="s">
        <v>5460</v>
      </c>
      <c r="CV22" s="976"/>
      <c r="CW22" s="976"/>
      <c r="CX22" s="974"/>
      <c r="CY22" s="1536" t="s">
        <v>4608</v>
      </c>
      <c r="CZ22" s="442"/>
      <c r="DA22" s="1012" t="str">
        <f t="shared" ref="DA22:DA23" si="1085">MONICON21(DB22)</f>
        <v>#NAME?</v>
      </c>
      <c r="DB22" s="1304" t="s">
        <v>1099</v>
      </c>
      <c r="DC22" s="977" t="str">
        <f t="shared" ref="DC22:DC23" si="1086">MONTYPEICON1(DB22)</f>
        <v>#NAME?</v>
      </c>
      <c r="DD22" s="980" t="str">
        <f t="shared" ref="DD22:DD23" si="1087">MONTYPEICON2(DB22)</f>
        <v>#NAME?</v>
      </c>
      <c r="DE22" s="1305" t="s">
        <v>4999</v>
      </c>
      <c r="DF22" s="442"/>
      <c r="DG22" s="1278"/>
      <c r="DH22" s="1269" t="s">
        <v>4945</v>
      </c>
      <c r="DI22" s="12"/>
      <c r="DJ22" s="962"/>
      <c r="DK22" s="1270" t="s">
        <v>4608</v>
      </c>
      <c r="DL22" s="442"/>
      <c r="DM22" s="1266"/>
      <c r="DN22" s="1259" t="s">
        <v>5461</v>
      </c>
      <c r="DO22" s="12"/>
      <c r="DP22" s="962"/>
      <c r="DQ22" s="1258" t="s">
        <v>4608</v>
      </c>
      <c r="DR22" s="442"/>
      <c r="DV22" s="442"/>
      <c r="DW22" s="442"/>
      <c r="DX22" s="442"/>
      <c r="DY22" s="1056" t="str">
        <f t="shared" si="1025"/>
        <v>#NAME?</v>
      </c>
      <c r="DZ22" s="1521" t="s">
        <v>3309</v>
      </c>
      <c r="EA22" s="1502" t="str">
        <f t="shared" si="1026"/>
        <v>#NAME?</v>
      </c>
      <c r="EB22" s="1503" t="str">
        <f t="shared" si="1027"/>
        <v>#NAME?</v>
      </c>
      <c r="EC22" s="1522" t="s">
        <v>5079</v>
      </c>
      <c r="ED22" s="442"/>
      <c r="EE22" s="1272" t="s">
        <v>4910</v>
      </c>
      <c r="EF22" s="12"/>
      <c r="EG22" s="12"/>
      <c r="EH22" s="12"/>
      <c r="EI22" s="48"/>
      <c r="EJ22" s="1230"/>
      <c r="EK22" s="1273"/>
      <c r="EL22" s="1274" t="s">
        <v>4908</v>
      </c>
      <c r="EM22" s="959"/>
      <c r="EN22" s="957"/>
      <c r="EO22" s="1275" t="s">
        <v>4608</v>
      </c>
      <c r="EP22" s="1230"/>
      <c r="EQ22" s="985" t="str">
        <f>MONICON21(ER22)</f>
        <v>#NAME?</v>
      </c>
      <c r="ER22" s="1052" t="s">
        <v>458</v>
      </c>
      <c r="ES22" s="1092" t="str">
        <f>MONTYPEICON1(ER22)</f>
        <v>#NAME?</v>
      </c>
      <c r="ET22" s="987" t="str">
        <f>MONTYPEICON2(ER22)</f>
        <v>#NAME?</v>
      </c>
      <c r="EU22" s="1518" t="s">
        <v>5078</v>
      </c>
      <c r="EV22" s="1230"/>
      <c r="EW22" s="1266"/>
      <c r="EX22" s="1259" t="s">
        <v>5462</v>
      </c>
      <c r="EY22" s="12"/>
      <c r="EZ22" s="962"/>
      <c r="FA22" s="1258" t="s">
        <v>4608</v>
      </c>
      <c r="FB22" s="442"/>
      <c r="FE22" s="349"/>
      <c r="FF22" s="349"/>
      <c r="FH22" s="442"/>
      <c r="FI22" s="997"/>
      <c r="FJ22" s="1026"/>
      <c r="FK22" s="1026"/>
      <c r="FL22" s="1026"/>
      <c r="FM22" s="998"/>
      <c r="FN22" s="442"/>
      <c r="FO22" s="1272" t="s">
        <v>4969</v>
      </c>
      <c r="FP22" s="12"/>
      <c r="FQ22" s="12"/>
      <c r="FR22" s="12"/>
      <c r="FS22" s="48"/>
      <c r="FT22" s="442"/>
      <c r="FU22" s="1266"/>
      <c r="FV22" s="1256" t="s">
        <v>5463</v>
      </c>
      <c r="FW22" s="1257" t="s">
        <v>4888</v>
      </c>
      <c r="FX22" s="962"/>
      <c r="FY22" s="1258" t="s">
        <v>4608</v>
      </c>
      <c r="FZ22" s="442"/>
      <c r="GA22" s="983" t="str">
        <f t="shared" ref="GA22:GA24" si="1088">MONICON21(GB22)</f>
        <v>#NAME?</v>
      </c>
      <c r="GB22" s="1157" t="s">
        <v>1125</v>
      </c>
      <c r="GC22" s="977" t="str">
        <f t="shared" ref="GC22:GC24" si="1089">MONTYPEICON1(GB22)</f>
        <v>#NAME?</v>
      </c>
      <c r="GD22" s="980" t="str">
        <f t="shared" ref="GD22:GD24" si="1090">MONTYPEICON2(GB22)</f>
        <v>#NAME?</v>
      </c>
      <c r="GE22" s="1303" t="s">
        <v>5082</v>
      </c>
      <c r="GF22" s="442"/>
      <c r="GG22" s="1094" t="str">
        <f t="shared" si="986"/>
        <v>#NAME?</v>
      </c>
      <c r="GH22" s="1479" t="s">
        <v>1968</v>
      </c>
      <c r="GI22" s="1051" t="str">
        <f t="shared" si="987"/>
        <v>#NAME?</v>
      </c>
      <c r="GJ22" s="1131" t="str">
        <f t="shared" si="988"/>
        <v>#NAME?</v>
      </c>
      <c r="GK22" s="1411" t="s">
        <v>5003</v>
      </c>
      <c r="GL22" s="1230"/>
      <c r="GM22" s="1246" t="s">
        <v>5464</v>
      </c>
      <c r="GN22" s="12"/>
      <c r="GO22" s="12"/>
      <c r="GP22" s="12"/>
      <c r="GQ22" s="48"/>
      <c r="GR22" s="65"/>
      <c r="GS22" s="985" t="str">
        <f>MONICON21(GT22)</f>
        <v>#NAME?</v>
      </c>
      <c r="GT22" s="1310" t="s">
        <v>2728</v>
      </c>
      <c r="GU22" s="1092" t="str">
        <f>MONTYPEICON1(GT22)</f>
        <v>#NAME?</v>
      </c>
      <c r="GV22" s="987" t="str">
        <f>MONTYPEICON2(GT22)</f>
        <v>#NAME?</v>
      </c>
      <c r="GW22" s="1309" t="s">
        <v>5004</v>
      </c>
      <c r="GX22" s="65"/>
      <c r="GY22" s="983" t="str">
        <f t="shared" ref="GY22:GY24" si="1091">MONICON21(GZ22)</f>
        <v>#NAME?</v>
      </c>
      <c r="GZ22" s="1157" t="s">
        <v>4098</v>
      </c>
      <c r="HA22" s="977" t="str">
        <f t="shared" ref="HA22:HA24" si="1092">MONTYPEICON1(GZ22)</f>
        <v>#NAME?</v>
      </c>
      <c r="HB22" s="980" t="str">
        <f t="shared" ref="HB22:HB24" si="1093">MONTYPEICON2(GZ22)</f>
        <v>#NAME?</v>
      </c>
      <c r="HC22" s="1303" t="s">
        <v>5006</v>
      </c>
      <c r="HD22" s="1230"/>
      <c r="HE22" s="65"/>
      <c r="HF22" s="65"/>
      <c r="HG22" s="108"/>
      <c r="HH22" s="108"/>
      <c r="HI22" s="108"/>
      <c r="HJ22" s="1230"/>
      <c r="HK22" s="1027" t="str">
        <f t="shared" si="1028"/>
        <v>#NAME?</v>
      </c>
      <c r="HL22" s="1461" t="s">
        <v>2065</v>
      </c>
      <c r="HM22" s="1360" t="str">
        <f t="shared" si="1029"/>
        <v>#NAME?</v>
      </c>
      <c r="HN22" s="1361" t="str">
        <f t="shared" si="1030"/>
        <v>#NAME?</v>
      </c>
      <c r="HO22" s="1343" t="s">
        <v>5007</v>
      </c>
      <c r="HP22" s="65"/>
      <c r="HQ22" s="1094" t="str">
        <f t="shared" si="989"/>
        <v>#NAME?</v>
      </c>
      <c r="HR22" s="1479" t="s">
        <v>2163</v>
      </c>
      <c r="HS22" s="1051" t="str">
        <f t="shared" si="990"/>
        <v>#NAME?</v>
      </c>
      <c r="HT22" s="1131" t="str">
        <f t="shared" si="991"/>
        <v>#NAME?</v>
      </c>
      <c r="HU22" s="1095" t="s">
        <v>5006</v>
      </c>
      <c r="HV22" s="65"/>
      <c r="HW22" s="1068" t="str">
        <f t="shared" si="1031"/>
        <v>#NAME?</v>
      </c>
      <c r="HX22" s="1078" t="s">
        <v>3030</v>
      </c>
      <c r="HY22" s="1071" t="str">
        <f t="shared" si="1032"/>
        <v>#NAME?</v>
      </c>
      <c r="HZ22" s="1073" t="str">
        <f t="shared" si="1033"/>
        <v>#NAME?</v>
      </c>
      <c r="IA22" s="1093" t="s">
        <v>5006</v>
      </c>
      <c r="IB22" s="65"/>
      <c r="IC22" s="1094" t="str">
        <f t="shared" si="992"/>
        <v>#NAME?</v>
      </c>
      <c r="ID22" s="499" t="s">
        <v>2065</v>
      </c>
      <c r="IE22" s="1420" t="str">
        <f t="shared" si="993"/>
        <v>#NAME?</v>
      </c>
      <c r="IF22" s="475" t="str">
        <f t="shared" si="994"/>
        <v>#NAME?</v>
      </c>
      <c r="IG22" s="1095" t="s">
        <v>5214</v>
      </c>
      <c r="II22" s="1027" t="str">
        <f t="shared" si="920"/>
        <v>#NAME?</v>
      </c>
      <c r="IJ22" s="1340" t="s">
        <v>3911</v>
      </c>
      <c r="IK22" s="1360" t="str">
        <f t="shared" si="921"/>
        <v>#NAME?</v>
      </c>
      <c r="IL22" s="1361" t="str">
        <f t="shared" si="922"/>
        <v>#NAME?</v>
      </c>
      <c r="IM22" s="1343" t="s">
        <v>5008</v>
      </c>
      <c r="IN22" s="1230"/>
      <c r="IO22" s="1351" t="str">
        <f t="shared" si="1034"/>
        <v>#NAME?</v>
      </c>
      <c r="IP22" s="1372" t="s">
        <v>535</v>
      </c>
      <c r="IQ22" s="1353" t="str">
        <f t="shared" si="1035"/>
        <v>#NAME?</v>
      </c>
      <c r="IR22" s="1354" t="str">
        <f t="shared" si="1036"/>
        <v>#NAME?</v>
      </c>
      <c r="IS22" s="1355" t="s">
        <v>5084</v>
      </c>
      <c r="IT22" s="1230"/>
      <c r="IU22" s="442"/>
      <c r="IV22" s="442"/>
      <c r="IW22" s="108"/>
      <c r="IX22" s="108"/>
      <c r="IY22" s="442"/>
      <c r="IZ22" s="442"/>
      <c r="JA22" s="442"/>
      <c r="JB22" s="442"/>
      <c r="JC22" s="108"/>
      <c r="JD22" s="108"/>
      <c r="JE22" s="108"/>
      <c r="JF22" s="442"/>
      <c r="JG22" s="1068" t="str">
        <f t="shared" si="1037"/>
        <v>#NAME?</v>
      </c>
      <c r="JH22" s="1078" t="s">
        <v>812</v>
      </c>
      <c r="JI22" s="1358" t="str">
        <f t="shared" si="1038"/>
        <v>#NAME?</v>
      </c>
      <c r="JJ22" s="1359" t="str">
        <f t="shared" si="1039"/>
        <v>#NAME?</v>
      </c>
      <c r="JK22" s="1093" t="s">
        <v>5084</v>
      </c>
      <c r="JL22" s="442"/>
      <c r="JM22" s="1266"/>
      <c r="JN22" s="1256" t="s">
        <v>5465</v>
      </c>
      <c r="JO22" s="1257" t="s">
        <v>4888</v>
      </c>
      <c r="JP22" s="962"/>
      <c r="JQ22" s="1258" t="s">
        <v>4608</v>
      </c>
      <c r="JR22" s="442"/>
      <c r="JS22" s="961" t="s">
        <v>4541</v>
      </c>
      <c r="JT22" s="12"/>
      <c r="JU22" s="12"/>
      <c r="JV22" s="12"/>
      <c r="JW22" s="48"/>
      <c r="JX22" s="1230"/>
      <c r="JY22" s="983" t="str">
        <f t="shared" ref="JY22:JY27" si="1094">MONICON21(JZ22)</f>
        <v>#NAME?</v>
      </c>
      <c r="JZ22" s="1407" t="s">
        <v>3333</v>
      </c>
      <c r="KA22" s="977" t="str">
        <f t="shared" ref="KA22:KA27" si="1095">MONTYPEICON1(JZ22)</f>
        <v>#NAME?</v>
      </c>
      <c r="KB22" s="980" t="str">
        <f t="shared" ref="KB22:KB27" si="1096">MONTYPEICON2(JZ22)</f>
        <v>#NAME?</v>
      </c>
      <c r="KC22" s="1408" t="s">
        <v>5014</v>
      </c>
      <c r="KD22" s="1230"/>
      <c r="KE22" s="1068" t="str">
        <f t="shared" si="1040"/>
        <v>#NAME?</v>
      </c>
      <c r="KF22" s="1076" t="s">
        <v>4244</v>
      </c>
      <c r="KG22" s="1358" t="str">
        <f t="shared" si="1041"/>
        <v>#NAME?</v>
      </c>
      <c r="KH22" s="1359" t="str">
        <f t="shared" si="1042"/>
        <v>#NAME?</v>
      </c>
      <c r="KI22" s="1093" t="s">
        <v>5009</v>
      </c>
      <c r="KK22" s="961" t="s">
        <v>4541</v>
      </c>
      <c r="KL22" s="12"/>
      <c r="KM22" s="12"/>
      <c r="KN22" s="12"/>
      <c r="KO22" s="48"/>
      <c r="KQ22" s="1283"/>
      <c r="KR22" s="1264" t="s">
        <v>5466</v>
      </c>
      <c r="KS22" s="12"/>
      <c r="KT22" s="962"/>
      <c r="KU22" s="1265" t="s">
        <v>4608</v>
      </c>
      <c r="KW22" s="961" t="s">
        <v>4513</v>
      </c>
      <c r="KX22" s="12"/>
      <c r="KY22" s="12"/>
      <c r="KZ22" s="12"/>
      <c r="LA22" s="48"/>
      <c r="LB22" s="442"/>
      <c r="LE22" s="349"/>
      <c r="LF22" s="108"/>
      <c r="LI22" s="1260"/>
      <c r="LJ22" s="1261" t="s">
        <v>4892</v>
      </c>
      <c r="LK22" s="959"/>
      <c r="LL22" s="957"/>
      <c r="LM22" s="1262" t="s">
        <v>4608</v>
      </c>
      <c r="LQ22" s="349"/>
      <c r="LR22" s="349"/>
      <c r="LU22" s="985" t="str">
        <f>MONICON21(LV22)</f>
        <v>#NAME?</v>
      </c>
      <c r="LV22" s="1565" t="s">
        <v>4132</v>
      </c>
      <c r="LW22" s="1092" t="str">
        <f>MONTYPEICON1(LV22)</f>
        <v>#NAME?</v>
      </c>
      <c r="LX22" s="987" t="str">
        <f>MONTYPEICON2(LV22)</f>
        <v>#NAME?</v>
      </c>
      <c r="LY22" s="1566" t="s">
        <v>5164</v>
      </c>
      <c r="MA22" s="1351" t="str">
        <f t="shared" si="1043"/>
        <v>#NAME?</v>
      </c>
      <c r="MB22" s="1372" t="s">
        <v>734</v>
      </c>
      <c r="MC22" s="1353" t="str">
        <f t="shared" si="1044"/>
        <v>#NAME?</v>
      </c>
      <c r="MD22" s="1354" t="str">
        <f t="shared" si="1045"/>
        <v>#NAME?</v>
      </c>
      <c r="ME22" s="1367" t="s">
        <v>5106</v>
      </c>
      <c r="MG22" s="1346" t="str">
        <f t="shared" si="1046"/>
        <v>#NAME?</v>
      </c>
      <c r="MH22" s="1370" t="s">
        <v>333</v>
      </c>
      <c r="MI22" s="1348" t="str">
        <f t="shared" si="1047"/>
        <v>#NAME?</v>
      </c>
      <c r="MJ22" s="1349" t="str">
        <f t="shared" si="1048"/>
        <v>#NAME?</v>
      </c>
      <c r="MK22" s="1371" t="s">
        <v>5015</v>
      </c>
      <c r="MM22" s="983" t="str">
        <f t="shared" ref="MM22:MM24" si="1097">MONICON21(MN22)</f>
        <v>#NAME?</v>
      </c>
      <c r="MN22" s="1301" t="s">
        <v>438</v>
      </c>
      <c r="MO22" s="977" t="str">
        <f t="shared" ref="MO22:MO24" si="1098">MONTYPEICON1(MN22)</f>
        <v>#NAME?</v>
      </c>
      <c r="MP22" s="980" t="str">
        <f t="shared" ref="MP22:MP24" si="1099">MONTYPEICON2(MN22)</f>
        <v>#NAME?</v>
      </c>
      <c r="MQ22" s="1318" t="s">
        <v>5015</v>
      </c>
      <c r="MS22" s="1049" t="str">
        <f t="shared" si="995"/>
        <v>#NAME?</v>
      </c>
      <c r="MT22" s="1127" t="s">
        <v>1984</v>
      </c>
      <c r="MU22" s="1051" t="str">
        <f t="shared" si="996"/>
        <v>#NAME?</v>
      </c>
      <c r="MV22" s="1131" t="str">
        <f t="shared" si="997"/>
        <v>#NAME?</v>
      </c>
      <c r="MW22" s="1422" t="s">
        <v>5164</v>
      </c>
      <c r="MX22" s="442"/>
      <c r="MY22" s="442"/>
      <c r="MZ22" s="442"/>
      <c r="NA22" s="108"/>
      <c r="NB22" s="108"/>
      <c r="NC22" s="442"/>
      <c r="ND22" s="442"/>
      <c r="NG22" s="349"/>
      <c r="NH22" s="349"/>
      <c r="NJ22" s="65"/>
      <c r="NM22" s="349"/>
      <c r="NN22" s="349"/>
      <c r="NQ22" s="1105" t="str">
        <f t="shared" si="941"/>
        <v>#NAME?</v>
      </c>
      <c r="NR22" s="1079" t="s">
        <v>3722</v>
      </c>
      <c r="NS22" s="1373" t="str">
        <f t="shared" si="942"/>
        <v>#NAME?</v>
      </c>
      <c r="NT22" s="1374" t="str">
        <f t="shared" si="943"/>
        <v>#NAME?</v>
      </c>
      <c r="NU22" s="1369" t="s">
        <v>5018</v>
      </c>
      <c r="NV22" s="442"/>
      <c r="NW22" s="1193" t="str">
        <f t="shared" si="1049"/>
        <v>#NAME?</v>
      </c>
      <c r="NX22" s="1145" t="s">
        <v>1901</v>
      </c>
      <c r="NY22" s="1462" t="str">
        <f t="shared" si="1050"/>
        <v>#NAME?</v>
      </c>
      <c r="NZ22" s="1463" t="str">
        <f t="shared" si="1051"/>
        <v>#NAME?</v>
      </c>
      <c r="OA22" s="1464" t="s">
        <v>5018</v>
      </c>
      <c r="OB22" s="442"/>
      <c r="OC22" s="1068" t="str">
        <f t="shared" si="1052"/>
        <v>#NAME?</v>
      </c>
      <c r="OD22" s="1076" t="s">
        <v>1352</v>
      </c>
      <c r="OE22" s="1358" t="str">
        <f t="shared" si="1053"/>
        <v>#NAME?</v>
      </c>
      <c r="OF22" s="1359" t="str">
        <f t="shared" si="1054"/>
        <v>#NAME?</v>
      </c>
      <c r="OG22" s="1368" t="s">
        <v>5019</v>
      </c>
      <c r="OH22" s="442"/>
      <c r="OI22" s="1266"/>
      <c r="OJ22" s="1259" t="s">
        <v>5467</v>
      </c>
      <c r="OK22" s="12"/>
      <c r="OL22" s="962"/>
      <c r="OM22" s="1258" t="s">
        <v>4608</v>
      </c>
      <c r="ON22" s="442"/>
      <c r="OO22" s="1094" t="str">
        <f t="shared" si="854"/>
        <v>#NAME?</v>
      </c>
      <c r="OP22" s="1127" t="s">
        <v>4174</v>
      </c>
      <c r="OQ22" s="1420" t="str">
        <f t="shared" si="855"/>
        <v>#NAME?</v>
      </c>
      <c r="OR22" s="475" t="str">
        <f t="shared" si="856"/>
        <v>#NAME?</v>
      </c>
      <c r="OS22" s="1422" t="s">
        <v>5022</v>
      </c>
      <c r="OW22" s="349"/>
      <c r="OX22" s="349"/>
      <c r="OZ22" s="442"/>
      <c r="PA22" s="1094" t="str">
        <f t="shared" si="1001"/>
        <v>#NAME?</v>
      </c>
      <c r="PB22" s="1127" t="s">
        <v>1292</v>
      </c>
      <c r="PC22" s="1420" t="str">
        <f t="shared" si="1002"/>
        <v>#NAME?</v>
      </c>
      <c r="PD22" s="475" t="str">
        <f t="shared" si="1003"/>
        <v>#NAME?</v>
      </c>
      <c r="PE22" s="1422" t="s">
        <v>5146</v>
      </c>
      <c r="PF22" s="442"/>
      <c r="PG22" s="1286"/>
      <c r="PH22" s="1259" t="s">
        <v>5468</v>
      </c>
      <c r="PI22" s="12"/>
      <c r="PJ22" s="962"/>
      <c r="PK22" s="1258" t="s">
        <v>4608</v>
      </c>
      <c r="PO22" s="349"/>
      <c r="PP22" s="349"/>
      <c r="PS22" s="1266"/>
      <c r="PT22" s="1256" t="s">
        <v>5469</v>
      </c>
      <c r="PU22" s="1285" t="s">
        <v>4888</v>
      </c>
      <c r="PV22" s="962"/>
      <c r="PW22" s="1258" t="s">
        <v>4608</v>
      </c>
      <c r="PX22" s="442"/>
      <c r="PY22" s="1012" t="str">
        <f t="shared" si="1004"/>
        <v>#NAME?</v>
      </c>
      <c r="PZ22" s="1098" t="s">
        <v>2030</v>
      </c>
      <c r="QA22" s="1418" t="str">
        <f t="shared" si="1005"/>
        <v>#NAME?</v>
      </c>
      <c r="QB22" s="1419" t="str">
        <f t="shared" si="1006"/>
        <v>#NAME?</v>
      </c>
      <c r="QC22" s="1423" t="s">
        <v>5023</v>
      </c>
      <c r="QD22" s="442"/>
      <c r="QE22" s="1268"/>
      <c r="QF22" s="1269" t="s">
        <v>5192</v>
      </c>
      <c r="QG22" s="12"/>
      <c r="QH22" s="962"/>
      <c r="QI22" s="1270" t="s">
        <v>4608</v>
      </c>
      <c r="QJ22" s="442"/>
      <c r="QK22" s="442"/>
      <c r="QL22" s="442"/>
      <c r="QM22" s="108"/>
      <c r="QN22" s="108"/>
      <c r="QO22" s="442"/>
      <c r="QP22" s="442"/>
      <c r="QQ22" s="442"/>
      <c r="QR22" s="442"/>
      <c r="QS22" s="108"/>
      <c r="QT22" s="108"/>
      <c r="QU22" s="442"/>
      <c r="QW22" s="442"/>
      <c r="QX22" s="442"/>
      <c r="QY22" s="108"/>
      <c r="QZ22" s="108"/>
      <c r="RA22" s="442"/>
      <c r="RB22" s="442"/>
      <c r="RC22" s="442"/>
      <c r="RD22" s="442"/>
      <c r="RE22" s="108"/>
      <c r="RF22" s="108"/>
      <c r="RG22" s="442"/>
      <c r="RH22" s="442"/>
      <c r="RI22" s="442"/>
      <c r="RJ22" s="442"/>
      <c r="RK22" s="108"/>
      <c r="RL22" s="108"/>
      <c r="RM22" s="442"/>
      <c r="RN22" s="442"/>
      <c r="RO22" s="1260"/>
      <c r="RP22" s="1261" t="s">
        <v>4892</v>
      </c>
      <c r="RQ22" s="959"/>
      <c r="RR22" s="957"/>
      <c r="RS22" s="1262" t="s">
        <v>4608</v>
      </c>
      <c r="RT22" s="442"/>
      <c r="RU22" s="442"/>
      <c r="RV22" s="442"/>
      <c r="RW22" s="108"/>
      <c r="RX22" s="108"/>
      <c r="RY22" s="442"/>
      <c r="RZ22" s="442"/>
      <c r="SA22" s="1068" t="str">
        <f t="shared" si="1055"/>
        <v>#NAME?</v>
      </c>
      <c r="SB22" s="1076" t="s">
        <v>1756</v>
      </c>
      <c r="SC22" s="1358" t="str">
        <f t="shared" si="1056"/>
        <v>#NAME?</v>
      </c>
      <c r="SD22" s="1359" t="str">
        <f t="shared" si="1057"/>
        <v>#NAME?</v>
      </c>
      <c r="SE22" s="1368" t="s">
        <v>5113</v>
      </c>
      <c r="SG22" s="1056" t="str">
        <f t="shared" si="944"/>
        <v>#NAME?</v>
      </c>
      <c r="SH22" s="1465" t="s">
        <v>1680</v>
      </c>
      <c r="SI22" s="1021" t="str">
        <f t="shared" si="945"/>
        <v>#NAME?</v>
      </c>
      <c r="SJ22" s="1024" t="str">
        <f t="shared" si="946"/>
        <v>#NAME?</v>
      </c>
      <c r="SK22" s="1378" t="s">
        <v>5024</v>
      </c>
      <c r="SL22" s="442"/>
      <c r="SM22" s="1266"/>
      <c r="SN22" s="1259" t="s">
        <v>5470</v>
      </c>
      <c r="SO22" s="12"/>
      <c r="SP22" s="962"/>
      <c r="SQ22" s="1004" t="s">
        <v>4608</v>
      </c>
      <c r="SS22" s="1068" t="str">
        <f t="shared" si="1058"/>
        <v>#NAME?</v>
      </c>
      <c r="ST22" s="1076" t="s">
        <v>3273</v>
      </c>
      <c r="SU22" s="1358" t="str">
        <f t="shared" si="1059"/>
        <v>#NAME?</v>
      </c>
      <c r="SV22" s="1359" t="str">
        <f t="shared" si="1060"/>
        <v>#NAME?</v>
      </c>
      <c r="SW22" s="1368" t="s">
        <v>5113</v>
      </c>
      <c r="SY22" s="1012" t="str">
        <f t="shared" ref="SY22:SY23" si="1100">MONICON21(SZ22)</f>
        <v>#NAME?</v>
      </c>
      <c r="SZ22" s="1301" t="s">
        <v>2148</v>
      </c>
      <c r="TA22" s="1311" t="str">
        <f t="shared" ref="TA22:TA23" si="1101">MONTYPEICON1(SZ22)</f>
        <v>#NAME?</v>
      </c>
      <c r="TB22" s="1312" t="str">
        <f t="shared" ref="TB22:TB23" si="1102">MONTYPEICON2(SZ22)</f>
        <v>#NAME?</v>
      </c>
      <c r="TC22" s="1318" t="s">
        <v>5112</v>
      </c>
      <c r="TD22" s="65"/>
      <c r="TE22" s="1280"/>
      <c r="TF22" s="1274" t="s">
        <v>4930</v>
      </c>
      <c r="TG22" s="959"/>
      <c r="TH22" s="957"/>
      <c r="TI22" s="1589" t="s">
        <v>4608</v>
      </c>
      <c r="TJ22" s="442"/>
      <c r="TK22" s="1266"/>
      <c r="TL22" s="1259" t="s">
        <v>5471</v>
      </c>
      <c r="TM22" s="12"/>
      <c r="TN22" s="962"/>
      <c r="TO22" s="1004" t="s">
        <v>4608</v>
      </c>
      <c r="TQ22" s="1266"/>
      <c r="TR22" s="1259" t="s">
        <v>5472</v>
      </c>
      <c r="TS22" s="12"/>
      <c r="TT22" s="962"/>
      <c r="TU22" s="1004" t="s">
        <v>4608</v>
      </c>
      <c r="TW22" s="1529" t="str">
        <f t="shared" si="803"/>
        <v>#NAME?</v>
      </c>
      <c r="TX22" s="1530" t="s">
        <v>4160</v>
      </c>
      <c r="TY22" s="1529" t="str">
        <f t="shared" si="804"/>
        <v>#NAME?</v>
      </c>
      <c r="TZ22" s="1531" t="str">
        <f t="shared" si="805"/>
        <v>#NAME?</v>
      </c>
      <c r="UA22" s="1532" t="s">
        <v>5228</v>
      </c>
      <c r="UI22" s="1293"/>
      <c r="UJ22" s="1291" t="s">
        <v>5473</v>
      </c>
      <c r="UK22" s="12"/>
      <c r="UL22" s="962"/>
      <c r="UM22" s="1292" t="s">
        <v>4608</v>
      </c>
      <c r="UO22" s="1383" t="str">
        <f t="shared" si="1061"/>
        <v>#NAME?</v>
      </c>
      <c r="UP22" s="1384" t="s">
        <v>2625</v>
      </c>
      <c r="UQ22" s="1383" t="str">
        <f t="shared" si="1062"/>
        <v>#NAME?</v>
      </c>
      <c r="UR22" s="1385" t="str">
        <f t="shared" si="1063"/>
        <v>#NAME?</v>
      </c>
      <c r="US22" s="1386" t="s">
        <v>5029</v>
      </c>
      <c r="UU22" s="1383" t="str">
        <f t="shared" si="1064"/>
        <v>#NAME?</v>
      </c>
      <c r="UV22" s="1384" t="s">
        <v>1073</v>
      </c>
      <c r="UW22" s="1383" t="str">
        <f t="shared" si="1065"/>
        <v>#NAME?</v>
      </c>
      <c r="UX22" s="1385" t="str">
        <f t="shared" si="1066"/>
        <v>#NAME?</v>
      </c>
      <c r="UY22" s="1386" t="s">
        <v>5030</v>
      </c>
      <c r="VA22" s="1033" t="str">
        <f t="shared" ref="VA22:VA23" si="1103">MONICON21(VB22)</f>
        <v>#NAME?</v>
      </c>
      <c r="VB22" s="1301" t="s">
        <v>1858</v>
      </c>
      <c r="VC22" s="977" t="str">
        <f t="shared" ref="VC22:VC23" si="1104">MONTYPEICON1(VB22)</f>
        <v>#NAME?</v>
      </c>
      <c r="VD22" s="980" t="str">
        <f t="shared" ref="VD22:VD23" si="1105">MONTYPEICON2(VB22)</f>
        <v>#NAME?</v>
      </c>
      <c r="VE22" s="1302" t="s">
        <v>5130</v>
      </c>
      <c r="VG22" s="1387" t="str">
        <f t="shared" si="1067"/>
        <v>#NAME?</v>
      </c>
      <c r="VH22" s="1388" t="s">
        <v>3670</v>
      </c>
      <c r="VI22" s="1389" t="str">
        <f t="shared" si="1068"/>
        <v>#NAME?</v>
      </c>
      <c r="VJ22" s="1390" t="str">
        <f t="shared" si="1069"/>
        <v>#NAME?</v>
      </c>
      <c r="VK22" s="1391" t="s">
        <v>5448</v>
      </c>
      <c r="VL22" s="442"/>
      <c r="VM22" s="1387" t="str">
        <f t="shared" si="1070"/>
        <v>#NAME?</v>
      </c>
      <c r="VN22" s="1388" t="s">
        <v>383</v>
      </c>
      <c r="VO22" s="1387" t="str">
        <f t="shared" si="1071"/>
        <v>#NAME?</v>
      </c>
      <c r="VP22" s="1392" t="str">
        <f t="shared" si="1072"/>
        <v>#NAME?</v>
      </c>
      <c r="VQ22" s="1391" t="s">
        <v>5449</v>
      </c>
      <c r="VR22" s="442"/>
      <c r="VS22" s="1051" t="str">
        <f t="shared" si="1010"/>
        <v>#NAME?</v>
      </c>
      <c r="VT22" s="1127" t="s">
        <v>2046</v>
      </c>
      <c r="VU22" s="1051" t="str">
        <f t="shared" si="1011"/>
        <v>#NAME?</v>
      </c>
      <c r="VV22" s="1131" t="str">
        <f t="shared" si="1012"/>
        <v>#NAME?</v>
      </c>
      <c r="VW22" s="1095" t="s">
        <v>5032</v>
      </c>
      <c r="VX22" s="442"/>
      <c r="VY22" s="1033" t="str">
        <f t="shared" ref="VY22:VY23" si="1106">MONICON21(VZ22)</f>
        <v>#NAME?</v>
      </c>
      <c r="VZ22" s="1301" t="s">
        <v>3642</v>
      </c>
      <c r="WA22" s="977" t="str">
        <f t="shared" ref="WA22:WA23" si="1107">MONTYPEICON1(VZ22)</f>
        <v>#NAME?</v>
      </c>
      <c r="WB22" s="980" t="str">
        <f t="shared" ref="WB22:WB23" si="1108">MONTYPEICON2(VZ22)</f>
        <v>#NAME?</v>
      </c>
      <c r="WC22" s="1302" t="s">
        <v>5135</v>
      </c>
      <c r="WD22" s="442"/>
      <c r="WE22" s="977" t="str">
        <f t="shared" ref="WE22:WE24" si="1109">MONICON21(WF22)</f>
        <v>#NAME?</v>
      </c>
      <c r="WF22" s="1301" t="s">
        <v>1680</v>
      </c>
      <c r="WG22" s="977" t="str">
        <f t="shared" ref="WG22:WG24" si="1110">MONTYPEICON1(WF22)</f>
        <v>#NAME?</v>
      </c>
      <c r="WH22" s="980" t="str">
        <f t="shared" ref="WH22:WH24" si="1111">MONTYPEICON2(WF22)</f>
        <v>#NAME?</v>
      </c>
      <c r="WI22" s="1303" t="s">
        <v>5032</v>
      </c>
      <c r="WJ22" s="442"/>
      <c r="WK22" s="1092" t="str">
        <f>MONICON21(WL22)</f>
        <v>#NAME?</v>
      </c>
      <c r="WL22" s="1590" t="s">
        <v>903</v>
      </c>
      <c r="WM22" s="1092" t="str">
        <f>MONTYPEICON1(WL22)</f>
        <v>#NAME?</v>
      </c>
      <c r="WN22" s="987" t="str">
        <f>MONTYPEICON2(WL22)</f>
        <v>#NAME?</v>
      </c>
      <c r="WO22" s="1309" t="s">
        <v>5390</v>
      </c>
      <c r="WP22" s="442"/>
      <c r="WV22" s="442"/>
      <c r="WW22" s="442"/>
      <c r="WX22" s="442"/>
      <c r="WY22" s="442"/>
      <c r="WZ22" s="442"/>
      <c r="XA22" s="442"/>
      <c r="XB22" s="442"/>
      <c r="XC22" s="1387" t="str">
        <f t="shared" si="1073"/>
        <v>#NAME?</v>
      </c>
      <c r="XD22" s="1388" t="s">
        <v>3324</v>
      </c>
      <c r="XE22" s="1387" t="str">
        <f t="shared" si="1074"/>
        <v>#NAME?</v>
      </c>
      <c r="XF22" s="1392" t="str">
        <f t="shared" si="1075"/>
        <v>#NAME?</v>
      </c>
      <c r="XG22" s="1394" t="s">
        <v>5017</v>
      </c>
      <c r="XH22" s="442"/>
      <c r="XI22" s="1387" t="str">
        <f t="shared" si="950"/>
        <v>#NAME?</v>
      </c>
      <c r="XJ22" s="1388" t="s">
        <v>518</v>
      </c>
      <c r="XK22" s="1387" t="str">
        <f t="shared" si="951"/>
        <v>#NAME?</v>
      </c>
      <c r="XL22" s="1392" t="str">
        <f t="shared" si="952"/>
        <v>#NAME?</v>
      </c>
      <c r="XM22" s="1394" t="s">
        <v>5410</v>
      </c>
      <c r="XN22" s="442"/>
      <c r="XO22" s="1051" t="str">
        <f t="shared" si="1013"/>
        <v>#NAME?</v>
      </c>
      <c r="XP22" s="1127" t="s">
        <v>3736</v>
      </c>
      <c r="XQ22" s="1051" t="str">
        <f t="shared" si="1014"/>
        <v>#NAME?</v>
      </c>
      <c r="XR22" s="1131" t="str">
        <f t="shared" si="1015"/>
        <v>#NAME?</v>
      </c>
      <c r="XS22" s="1095" t="s">
        <v>5092</v>
      </c>
      <c r="XT22" s="442"/>
      <c r="XU22" s="1387" t="str">
        <f t="shared" si="1076"/>
        <v>#NAME?</v>
      </c>
      <c r="XV22" s="1388" t="s">
        <v>3021</v>
      </c>
      <c r="XW22" s="1387" t="str">
        <f t="shared" si="1077"/>
        <v>#NAME?</v>
      </c>
      <c r="XX22" s="1392" t="str">
        <f t="shared" si="1078"/>
        <v>#NAME?</v>
      </c>
      <c r="XY22" s="1391" t="s">
        <v>5033</v>
      </c>
      <c r="XZ22" s="442"/>
      <c r="YA22" s="977" t="str">
        <f t="shared" ref="YA22:YA24" si="1112">MONICON21(YB22)</f>
        <v>#NAME?</v>
      </c>
      <c r="YB22" s="1301" t="s">
        <v>4098</v>
      </c>
      <c r="YC22" s="977" t="str">
        <f t="shared" ref="YC22:YC24" si="1113">MONTYPEICON1(YB22)</f>
        <v>#NAME?</v>
      </c>
      <c r="YD22" s="980" t="str">
        <f t="shared" ref="YD22:YD24" si="1114">MONTYPEICON2(YB22)</f>
        <v>#NAME?</v>
      </c>
      <c r="YE22" s="1303" t="s">
        <v>5018</v>
      </c>
      <c r="YF22" s="442"/>
      <c r="YG22" s="977" t="str">
        <f t="shared" ref="YG22:YG24" si="1115">MONICON21(YH22)</f>
        <v>#NAME?</v>
      </c>
      <c r="YH22" s="1301" t="s">
        <v>3255</v>
      </c>
      <c r="YI22" s="977" t="str">
        <f t="shared" ref="YI22:YI24" si="1116">MONTYPEICON1(YH22)</f>
        <v>#NAME?</v>
      </c>
      <c r="YJ22" s="980" t="str">
        <f t="shared" ref="YJ22:YJ24" si="1117">MONTYPEICON2(YH22)</f>
        <v>#NAME?</v>
      </c>
      <c r="YK22" s="1303" t="s">
        <v>5018</v>
      </c>
      <c r="YL22" s="442"/>
      <c r="YM22" s="1051" t="str">
        <f t="shared" si="1016"/>
        <v>#NAME?</v>
      </c>
      <c r="YN22" s="1127" t="s">
        <v>1600</v>
      </c>
      <c r="YO22" s="1051" t="str">
        <f t="shared" si="1017"/>
        <v>#NAME?</v>
      </c>
      <c r="YP22" s="1131" t="str">
        <f t="shared" si="1018"/>
        <v>#NAME?</v>
      </c>
      <c r="YQ22" s="1095" t="s">
        <v>5431</v>
      </c>
      <c r="YR22" s="442"/>
      <c r="YS22" s="108"/>
      <c r="YT22" s="442"/>
      <c r="YU22" s="108"/>
      <c r="YV22" s="108"/>
      <c r="YW22" s="442"/>
      <c r="YX22" s="442"/>
      <c r="YY22" s="1294"/>
      <c r="YZ22" s="1291" t="s">
        <v>5474</v>
      </c>
      <c r="ZA22" s="12"/>
      <c r="ZB22" s="962"/>
      <c r="ZC22" s="1292" t="s">
        <v>4608</v>
      </c>
      <c r="ZD22" s="442"/>
      <c r="ZE22" s="442"/>
      <c r="ZF22" s="442"/>
      <c r="ZG22" s="108"/>
      <c r="ZH22" s="108"/>
      <c r="ZI22" s="442"/>
      <c r="ZJ22" s="442"/>
      <c r="ZK22" s="108"/>
      <c r="ZL22" s="442"/>
      <c r="ZM22" s="108"/>
      <c r="ZN22" s="108"/>
      <c r="ZO22" s="442"/>
      <c r="ZP22" s="442"/>
      <c r="ZQ22" s="1289" t="s">
        <v>4767</v>
      </c>
      <c r="ZR22" s="12"/>
      <c r="ZS22" s="12"/>
      <c r="ZT22" s="12"/>
      <c r="ZU22" s="48"/>
      <c r="ZV22" s="442"/>
      <c r="ZW22" s="108"/>
      <c r="ZX22" s="442"/>
      <c r="ZY22" s="108"/>
      <c r="ZZ22" s="108"/>
      <c r="AAA22" s="442"/>
      <c r="AAB22" s="442"/>
      <c r="AAC22" s="484"/>
      <c r="AAD22" s="484"/>
      <c r="AAE22" s="484"/>
      <c r="AAF22" s="484"/>
      <c r="AAG22" s="484"/>
      <c r="AAH22" s="442"/>
      <c r="AAI22" s="1387" t="str">
        <f t="shared" si="959"/>
        <v>#NAME?</v>
      </c>
      <c r="AAJ22" s="1388" t="s">
        <v>1808</v>
      </c>
      <c r="AAK22" s="1387" t="str">
        <f t="shared" si="960"/>
        <v>#NAME?</v>
      </c>
      <c r="AAL22" s="1392" t="str">
        <f t="shared" si="961"/>
        <v>#NAME?</v>
      </c>
      <c r="AAM22" s="1397" t="s">
        <v>5227</v>
      </c>
      <c r="AAO22" s="1387" t="str">
        <f t="shared" si="962"/>
        <v>#NAME?</v>
      </c>
      <c r="AAP22" s="1388" t="s">
        <v>3911</v>
      </c>
      <c r="AAQ22" s="1387" t="str">
        <f t="shared" si="963"/>
        <v>#NAME?</v>
      </c>
      <c r="AAR22" s="1392" t="str">
        <f t="shared" si="964"/>
        <v>#NAME?</v>
      </c>
      <c r="AAS22" s="1397" t="s">
        <v>5117</v>
      </c>
      <c r="AAU22" s="1387" t="str">
        <f t="shared" si="965"/>
        <v>#NAME?</v>
      </c>
      <c r="AAV22" s="1388" t="s">
        <v>4153</v>
      </c>
      <c r="AAW22" s="1387" t="str">
        <f t="shared" si="966"/>
        <v>#NAME?</v>
      </c>
      <c r="AAX22" s="1392" t="str">
        <f t="shared" si="967"/>
        <v>#NAME?</v>
      </c>
      <c r="AAY22" s="1397" t="s">
        <v>5117</v>
      </c>
      <c r="ABA22" s="1387" t="str">
        <f t="shared" si="968"/>
        <v>#NAME?</v>
      </c>
      <c r="ABB22" s="1388" t="s">
        <v>4174</v>
      </c>
      <c r="ABC22" s="1387" t="str">
        <f t="shared" si="969"/>
        <v>#NAME?</v>
      </c>
      <c r="ABD22" s="1392" t="str">
        <f t="shared" si="970"/>
        <v>#NAME?</v>
      </c>
      <c r="ABE22" s="1397" t="s">
        <v>5036</v>
      </c>
      <c r="ABG22" s="1387" t="str">
        <f t="shared" si="971"/>
        <v>#NAME?</v>
      </c>
      <c r="ABH22" s="1388" t="s">
        <v>4167</v>
      </c>
      <c r="ABI22" s="1387" t="str">
        <f t="shared" si="972"/>
        <v>#NAME?</v>
      </c>
      <c r="ABJ22" s="1392" t="str">
        <f t="shared" si="973"/>
        <v>#NAME?</v>
      </c>
      <c r="ABK22" s="1397" t="s">
        <v>5036</v>
      </c>
      <c r="ABM22" s="1387" t="str">
        <f t="shared" si="974"/>
        <v>#NAME?</v>
      </c>
      <c r="ABN22" s="1388" t="s">
        <v>4160</v>
      </c>
      <c r="ABO22" s="1387" t="str">
        <f t="shared" si="975"/>
        <v>#NAME?</v>
      </c>
      <c r="ABP22" s="1392" t="str">
        <f t="shared" si="976"/>
        <v>#NAME?</v>
      </c>
      <c r="ABQ22" s="1397" t="s">
        <v>5036</v>
      </c>
      <c r="ABS22" s="1387" t="str">
        <f t="shared" si="977"/>
        <v>#NAME?</v>
      </c>
      <c r="ABT22" s="1388" t="s">
        <v>1343</v>
      </c>
      <c r="ABU22" s="1387" t="str">
        <f t="shared" si="978"/>
        <v>#NAME?</v>
      </c>
      <c r="ABV22" s="1392" t="str">
        <f t="shared" si="979"/>
        <v>#NAME?</v>
      </c>
      <c r="ABW22" s="1397" t="s">
        <v>5117</v>
      </c>
      <c r="ABY22" s="1511" t="s">
        <v>5177</v>
      </c>
      <c r="ACC22" s="1154"/>
      <c r="ACJ22" s="996"/>
    </row>
    <row r="23" ht="15.75" customHeight="1">
      <c r="A23" s="1230"/>
      <c r="B23" s="1444"/>
      <c r="C23" s="1445"/>
      <c r="D23" s="1446"/>
      <c r="E23" s="1230"/>
      <c r="F23" s="1238"/>
      <c r="G23" s="1517"/>
      <c r="H23" s="1230"/>
      <c r="I23" s="1584"/>
      <c r="J23" s="1269" t="s">
        <v>4945</v>
      </c>
      <c r="K23" s="12"/>
      <c r="L23" s="962"/>
      <c r="M23" s="1270" t="s">
        <v>4608</v>
      </c>
      <c r="N23" s="1230"/>
      <c r="O23" s="1146" t="str">
        <f t="shared" si="1079"/>
        <v>#NAME?</v>
      </c>
      <c r="P23" s="1145" t="s">
        <v>1253</v>
      </c>
      <c r="Q23" s="1146" t="str">
        <f t="shared" si="1080"/>
        <v>#NAME?</v>
      </c>
      <c r="R23" s="1148" t="str">
        <f t="shared" si="1081"/>
        <v>#NAME?</v>
      </c>
      <c r="S23" s="1330" t="s">
        <v>5097</v>
      </c>
      <c r="T23" s="1230"/>
      <c r="U23" s="1051" t="str">
        <f t="shared" si="1022"/>
        <v>#NAME?</v>
      </c>
      <c r="V23" s="1221" t="s">
        <v>3613</v>
      </c>
      <c r="W23" s="1051" t="str">
        <f t="shared" si="1023"/>
        <v>#NAME?</v>
      </c>
      <c r="X23" s="1131" t="str">
        <f t="shared" si="1024"/>
        <v>#NAME?</v>
      </c>
      <c r="Y23" s="1591" t="s">
        <v>4989</v>
      </c>
      <c r="Z23" s="1230"/>
      <c r="AF23" s="1230"/>
      <c r="AG23" s="1021" t="str">
        <f t="shared" si="1082"/>
        <v>#NAME?</v>
      </c>
      <c r="AH23" s="1123" t="s">
        <v>3984</v>
      </c>
      <c r="AI23" s="1021" t="str">
        <f t="shared" si="1083"/>
        <v>#NAME?</v>
      </c>
      <c r="AJ23" s="1024" t="str">
        <f t="shared" si="1084"/>
        <v>#NAME?</v>
      </c>
      <c r="AK23" s="1339" t="s">
        <v>5457</v>
      </c>
      <c r="AL23" s="1230"/>
      <c r="AM23" s="1033" t="str">
        <f t="shared" ref="AM23:AM24" si="1118">MONICON21(AN23)</f>
        <v>#NAME?</v>
      </c>
      <c r="AN23" s="1407" t="s">
        <v>2485</v>
      </c>
      <c r="AO23" s="977" t="str">
        <f t="shared" ref="AO23:AO24" si="1119">MONTYPEICON1(AN23)</f>
        <v>#NAME?</v>
      </c>
      <c r="AP23" s="980" t="str">
        <f t="shared" ref="AP23:AP24" si="1120">MONTYPEICON2(AN23)</f>
        <v>#NAME?</v>
      </c>
      <c r="AQ23" s="1408" t="s">
        <v>5155</v>
      </c>
      <c r="AR23" s="1230"/>
      <c r="AS23" s="961" t="s">
        <v>5475</v>
      </c>
      <c r="AT23" s="12"/>
      <c r="AU23" s="12"/>
      <c r="AV23" s="12"/>
      <c r="AW23" s="48"/>
      <c r="AX23" s="1230"/>
      <c r="AY23" s="1255"/>
      <c r="AZ23" s="1256" t="s">
        <v>5476</v>
      </c>
      <c r="BA23" s="1257" t="s">
        <v>4888</v>
      </c>
      <c r="BB23" s="962"/>
      <c r="BC23" s="1258" t="s">
        <v>4608</v>
      </c>
      <c r="BD23" s="1230"/>
      <c r="BE23" s="1255"/>
      <c r="BF23" s="1259" t="s">
        <v>5477</v>
      </c>
      <c r="BG23" s="12"/>
      <c r="BH23" s="962"/>
      <c r="BI23" s="1258" t="s">
        <v>4608</v>
      </c>
      <c r="BJ23" s="1230"/>
      <c r="BK23" s="1255"/>
      <c r="BL23" s="1259" t="s">
        <v>5478</v>
      </c>
      <c r="BM23" s="12"/>
      <c r="BN23" s="962"/>
      <c r="BO23" s="1258" t="s">
        <v>4608</v>
      </c>
      <c r="BP23" s="442"/>
      <c r="BQ23" s="349"/>
      <c r="BV23" s="1230"/>
      <c r="BW23" s="961" t="s">
        <v>4524</v>
      </c>
      <c r="BX23" s="12"/>
      <c r="BY23" s="12"/>
      <c r="BZ23" s="12"/>
      <c r="CA23" s="48"/>
      <c r="CB23" s="442"/>
      <c r="CC23" s="1230"/>
      <c r="CD23" s="1230"/>
      <c r="CE23" s="442"/>
      <c r="CF23" s="442"/>
      <c r="CG23" s="449"/>
      <c r="CH23" s="442"/>
      <c r="CI23" s="961" t="s">
        <v>5479</v>
      </c>
      <c r="CJ23" s="12"/>
      <c r="CK23" s="48"/>
      <c r="CM23" s="442"/>
      <c r="CN23" s="442"/>
      <c r="CO23" s="442"/>
      <c r="CP23" s="442"/>
      <c r="CQ23" s="442"/>
      <c r="CR23" s="442"/>
      <c r="CS23" s="442"/>
      <c r="CT23" s="442"/>
      <c r="CU23" s="997"/>
      <c r="CV23" s="1026"/>
      <c r="CW23" s="1026"/>
      <c r="CX23" s="1192"/>
      <c r="CY23" s="1446"/>
      <c r="CZ23" s="442"/>
      <c r="DA23" s="1193" t="str">
        <f t="shared" si="1085"/>
        <v>#NAME?</v>
      </c>
      <c r="DB23" s="1335" t="s">
        <v>4244</v>
      </c>
      <c r="DC23" s="1146" t="str">
        <f t="shared" si="1086"/>
        <v>#NAME?</v>
      </c>
      <c r="DD23" s="1148" t="str">
        <f t="shared" si="1087"/>
        <v>#NAME?</v>
      </c>
      <c r="DE23" s="1336" t="s">
        <v>4999</v>
      </c>
      <c r="DF23" s="442"/>
      <c r="DG23" s="1012" t="str">
        <f t="shared" ref="DG23:DG26" si="1121">MONICON21(DH23)</f>
        <v>#NAME?</v>
      </c>
      <c r="DH23" s="1301" t="s">
        <v>2125</v>
      </c>
      <c r="DI23" s="977" t="str">
        <f t="shared" ref="DI23:DI26" si="1122">MONTYPEICON1(DH23)</f>
        <v>#NAME?</v>
      </c>
      <c r="DJ23" s="980" t="str">
        <f t="shared" ref="DJ23:DJ26" si="1123">MONTYPEICON2(DH23)</f>
        <v>#NAME?</v>
      </c>
      <c r="DK23" s="1303" t="s">
        <v>5000</v>
      </c>
      <c r="DL23" s="442"/>
      <c r="DM23" s="1049" t="str">
        <f>MONICON21(DN23)</f>
        <v>#NAME?</v>
      </c>
      <c r="DN23" s="1308" t="s">
        <v>759</v>
      </c>
      <c r="DO23" s="1092" t="str">
        <f>MONTYPEICON1(DN23)</f>
        <v>#NAME?</v>
      </c>
      <c r="DP23" s="987" t="str">
        <f>MONTYPEICON2(DN23)</f>
        <v>#NAME?</v>
      </c>
      <c r="DQ23" s="1309" t="s">
        <v>5000</v>
      </c>
      <c r="DR23" s="442"/>
      <c r="DS23" s="961" t="s">
        <v>5062</v>
      </c>
      <c r="DT23" s="12"/>
      <c r="DU23" s="48"/>
      <c r="DW23" s="442"/>
      <c r="DX23" s="442"/>
      <c r="DY23" s="1096" t="str">
        <f t="shared" si="1025"/>
        <v>#NAME?</v>
      </c>
      <c r="DZ23" s="1537" t="s">
        <v>3291</v>
      </c>
      <c r="EA23" s="1418" t="str">
        <f t="shared" si="1026"/>
        <v>#NAME?</v>
      </c>
      <c r="EB23" s="1419" t="str">
        <f t="shared" si="1027"/>
        <v>#NAME?</v>
      </c>
      <c r="EC23" s="1538" t="s">
        <v>5079</v>
      </c>
      <c r="ED23" s="442"/>
      <c r="EE23" s="442"/>
      <c r="EF23" s="442"/>
      <c r="EG23" s="108"/>
      <c r="EH23" s="108"/>
      <c r="EI23" s="108"/>
      <c r="EJ23" s="1230"/>
      <c r="EK23" s="983" t="str">
        <f t="shared" ref="EK23:EK24" si="1124">MONICON21(EL23)</f>
        <v>#NAME?</v>
      </c>
      <c r="EL23" s="38" t="s">
        <v>210</v>
      </c>
      <c r="EM23" s="949" t="str">
        <f t="shared" ref="EM23:EM24" si="1125">MONTYPEICON1(EL23)</f>
        <v>#NAME?</v>
      </c>
      <c r="EN23" s="952" t="str">
        <f t="shared" ref="EN23:EN24" si="1126">MONTYPEICON2(EL23)</f>
        <v>#NAME?</v>
      </c>
      <c r="EO23" s="1043" t="s">
        <v>5000</v>
      </c>
      <c r="EP23" s="1230"/>
      <c r="EQ23" s="1286"/>
      <c r="ER23" s="1259" t="s">
        <v>5480</v>
      </c>
      <c r="ES23" s="12"/>
      <c r="ET23" s="962"/>
      <c r="EU23" s="1258" t="s">
        <v>4608</v>
      </c>
      <c r="EV23" s="1230"/>
      <c r="EW23" s="985" t="str">
        <f>MONICON21(EX23)</f>
        <v>#NAME?</v>
      </c>
      <c r="EX23" s="41" t="s">
        <v>930</v>
      </c>
      <c r="EY23" s="1092" t="str">
        <f>MONTYPEICON1(EX23)</f>
        <v>#NAME?</v>
      </c>
      <c r="EZ23" s="987" t="str">
        <f>MONTYPEICON2(EX23)</f>
        <v>#NAME?</v>
      </c>
      <c r="FA23" s="1091" t="s">
        <v>5078</v>
      </c>
      <c r="FB23" s="442"/>
      <c r="FC23" s="1272" t="s">
        <v>5481</v>
      </c>
      <c r="FD23" s="12"/>
      <c r="FE23" s="12"/>
      <c r="FF23" s="12"/>
      <c r="FG23" s="48"/>
      <c r="FH23" s="442"/>
      <c r="FI23" s="1260"/>
      <c r="FJ23" s="1261" t="s">
        <v>4892</v>
      </c>
      <c r="FK23" s="959"/>
      <c r="FL23" s="957"/>
      <c r="FM23" s="1262" t="s">
        <v>4608</v>
      </c>
      <c r="FN23" s="442"/>
      <c r="FO23" s="442"/>
      <c r="FP23" s="442"/>
      <c r="FQ23" s="108"/>
      <c r="FR23" s="108"/>
      <c r="FS23" s="442"/>
      <c r="FT23" s="442"/>
      <c r="FU23" s="983" t="str">
        <f t="shared" ref="FU23:FU25" si="1127">MONICON21(FV23)</f>
        <v>#NAME?</v>
      </c>
      <c r="FV23" s="1157" t="s">
        <v>1135</v>
      </c>
      <c r="FW23" s="977" t="str">
        <f t="shared" ref="FW23:FW25" si="1128">MONTYPEICON1(FV23)</f>
        <v>#NAME?</v>
      </c>
      <c r="FX23" s="980" t="str">
        <f t="shared" ref="FX23:FX25" si="1129">MONTYPEICON2(FV23)</f>
        <v>#NAME?</v>
      </c>
      <c r="FY23" s="1303" t="s">
        <v>5082</v>
      </c>
      <c r="FZ23" s="442"/>
      <c r="GA23" s="1056" t="str">
        <f t="shared" si="1088"/>
        <v>#NAME?</v>
      </c>
      <c r="GB23" s="1465" t="s">
        <v>1115</v>
      </c>
      <c r="GC23" s="1021" t="str">
        <f t="shared" si="1089"/>
        <v>#NAME?</v>
      </c>
      <c r="GD23" s="1024" t="str">
        <f t="shared" si="1090"/>
        <v>#NAME?</v>
      </c>
      <c r="GE23" s="1339" t="s">
        <v>5082</v>
      </c>
      <c r="GF23" s="442"/>
      <c r="GI23" s="349"/>
      <c r="GJ23" s="349"/>
      <c r="GK23" s="349"/>
      <c r="GL23" s="1230"/>
      <c r="GO23" s="349"/>
      <c r="GP23" s="349"/>
      <c r="GR23" s="65"/>
      <c r="GU23" s="349"/>
      <c r="GV23" s="349"/>
      <c r="GW23" s="349"/>
      <c r="GX23" s="65"/>
      <c r="GY23" s="1068" t="str">
        <f t="shared" si="1091"/>
        <v>#NAME?</v>
      </c>
      <c r="GZ23" s="1078" t="s">
        <v>3273</v>
      </c>
      <c r="HA23" s="1071" t="str">
        <f t="shared" si="1092"/>
        <v>#NAME?</v>
      </c>
      <c r="HB23" s="1073" t="str">
        <f t="shared" si="1093"/>
        <v>#NAME?</v>
      </c>
      <c r="HC23" s="1093" t="s">
        <v>5006</v>
      </c>
      <c r="HD23" s="1230"/>
      <c r="HE23" s="1266"/>
      <c r="HF23" s="1259" t="s">
        <v>5482</v>
      </c>
      <c r="HG23" s="12"/>
      <c r="HH23" s="962"/>
      <c r="HI23" s="1258" t="s">
        <v>4608</v>
      </c>
      <c r="HJ23" s="1230"/>
      <c r="HK23" s="1012" t="str">
        <f t="shared" si="1028"/>
        <v>#NAME?</v>
      </c>
      <c r="HL23" s="89" t="s">
        <v>1452</v>
      </c>
      <c r="HM23" s="1418" t="str">
        <f t="shared" si="1029"/>
        <v>#NAME?</v>
      </c>
      <c r="HN23" s="1419" t="str">
        <f t="shared" si="1030"/>
        <v>#NAME?</v>
      </c>
      <c r="HO23" s="1108" t="s">
        <v>5007</v>
      </c>
      <c r="HP23" s="65"/>
      <c r="HQ23" s="65"/>
      <c r="HR23" s="65"/>
      <c r="HS23" s="108"/>
      <c r="HT23" s="108"/>
      <c r="HU23" s="108"/>
      <c r="HV23" s="65"/>
      <c r="HW23" s="1094" t="str">
        <f t="shared" si="1031"/>
        <v>#NAME?</v>
      </c>
      <c r="HX23" s="499" t="s">
        <v>535</v>
      </c>
      <c r="HY23" s="1051" t="str">
        <f t="shared" si="1032"/>
        <v>#NAME?</v>
      </c>
      <c r="HZ23" s="1131" t="str">
        <f t="shared" si="1033"/>
        <v>#NAME?</v>
      </c>
      <c r="IA23" s="1095" t="s">
        <v>5006</v>
      </c>
      <c r="IB23" s="65"/>
      <c r="IE23" s="349"/>
      <c r="IF23" s="349"/>
      <c r="IG23" s="349"/>
      <c r="II23" s="1096" t="str">
        <f t="shared" si="920"/>
        <v>#NAME?</v>
      </c>
      <c r="IJ23" s="1415" t="s">
        <v>1393</v>
      </c>
      <c r="IK23" s="1418" t="str">
        <f t="shared" si="921"/>
        <v>#NAME?</v>
      </c>
      <c r="IL23" s="1419" t="str">
        <f t="shared" si="922"/>
        <v>#NAME?</v>
      </c>
      <c r="IM23" s="1416" t="s">
        <v>5008</v>
      </c>
      <c r="IO23" s="1049" t="str">
        <f t="shared" si="1034"/>
        <v>#NAME?</v>
      </c>
      <c r="IP23" s="1127" t="s">
        <v>210</v>
      </c>
      <c r="IQ23" s="1051" t="str">
        <f t="shared" si="1035"/>
        <v>#NAME?</v>
      </c>
      <c r="IR23" s="1131" t="str">
        <f t="shared" si="1036"/>
        <v>#NAME?</v>
      </c>
      <c r="IS23" s="1095" t="s">
        <v>5084</v>
      </c>
      <c r="IT23" s="1230"/>
      <c r="IU23" s="1286"/>
      <c r="IV23" s="1259" t="s">
        <v>5483</v>
      </c>
      <c r="IW23" s="12"/>
      <c r="IX23" s="962"/>
      <c r="IY23" s="1258" t="s">
        <v>4608</v>
      </c>
      <c r="IZ23" s="442"/>
      <c r="JA23" s="1266"/>
      <c r="JB23" s="1259" t="s">
        <v>5484</v>
      </c>
      <c r="JC23" s="12"/>
      <c r="JD23" s="962"/>
      <c r="JE23" s="1258" t="s">
        <v>4608</v>
      </c>
      <c r="JF23" s="442"/>
      <c r="JG23" s="1094" t="str">
        <f t="shared" si="1037"/>
        <v>#NAME?</v>
      </c>
      <c r="JH23" s="499" t="s">
        <v>1934</v>
      </c>
      <c r="JI23" s="1420" t="str">
        <f t="shared" si="1038"/>
        <v>#NAME?</v>
      </c>
      <c r="JJ23" s="475" t="str">
        <f t="shared" si="1039"/>
        <v>#NAME?</v>
      </c>
      <c r="JK23" s="1095" t="s">
        <v>5084</v>
      </c>
      <c r="JL23" s="442"/>
      <c r="JM23" s="983" t="str">
        <f t="shared" ref="JM23:JM26" si="1130">MONICON21(JN23)</f>
        <v>#NAME?</v>
      </c>
      <c r="JN23" s="1301" t="s">
        <v>3196</v>
      </c>
      <c r="JO23" s="1311" t="str">
        <f t="shared" ref="JO23:JO26" si="1131">MONTYPEICON1(JN23)</f>
        <v>#NAME?</v>
      </c>
      <c r="JP23" s="1312" t="str">
        <f t="shared" ref="JP23:JP26" si="1132">MONTYPEICON2(JN23)</f>
        <v>#NAME?</v>
      </c>
      <c r="JQ23" s="1303" t="s">
        <v>5158</v>
      </c>
      <c r="JR23" s="442"/>
      <c r="JS23" s="1230"/>
      <c r="JT23" s="1230"/>
      <c r="JU23" s="108"/>
      <c r="JV23" s="108"/>
      <c r="JW23" s="65"/>
      <c r="JX23" s="1230"/>
      <c r="JY23" s="1036" t="str">
        <f t="shared" si="1094"/>
        <v>#NAME?</v>
      </c>
      <c r="JZ23" s="1451" t="s">
        <v>2091</v>
      </c>
      <c r="KA23" s="1038" t="str">
        <f t="shared" si="1095"/>
        <v>#NAME?</v>
      </c>
      <c r="KB23" s="1040" t="str">
        <f t="shared" si="1096"/>
        <v>#NAME?</v>
      </c>
      <c r="KC23" s="1452" t="s">
        <v>5014</v>
      </c>
      <c r="KD23" s="1230"/>
      <c r="KE23" s="1094" t="str">
        <f t="shared" si="1040"/>
        <v>#NAME?</v>
      </c>
      <c r="KF23" s="1127" t="s">
        <v>2012</v>
      </c>
      <c r="KG23" s="1420" t="str">
        <f t="shared" si="1041"/>
        <v>#NAME?</v>
      </c>
      <c r="KH23" s="475" t="str">
        <f t="shared" si="1042"/>
        <v>#NAME?</v>
      </c>
      <c r="KI23" s="1095" t="s">
        <v>5009</v>
      </c>
      <c r="KM23" s="349"/>
      <c r="KN23" s="349"/>
      <c r="KQ23" s="985" t="str">
        <f>MONICON21(KR23)</f>
        <v>#NAME?</v>
      </c>
      <c r="KR23" s="1063" t="s">
        <v>4049</v>
      </c>
      <c r="KS23" s="1092" t="str">
        <f>MONTYPEICON1(KR23)</f>
        <v>#NAME?</v>
      </c>
      <c r="KT23" s="987" t="str">
        <f>MONTYPEICON2(KR23)</f>
        <v>#NAME?</v>
      </c>
      <c r="KU23" s="1055" t="s">
        <v>5162</v>
      </c>
      <c r="KY23" s="349"/>
      <c r="KZ23" s="349"/>
      <c r="LB23" s="442"/>
      <c r="LC23" s="1266"/>
      <c r="LD23" s="1259" t="s">
        <v>5485</v>
      </c>
      <c r="LE23" s="12"/>
      <c r="LF23" s="962"/>
      <c r="LG23" s="1258" t="s">
        <v>4608</v>
      </c>
      <c r="LI23" s="985" t="s">
        <v>4992</v>
      </c>
      <c r="LJ23" s="12"/>
      <c r="LK23" s="12"/>
      <c r="LL23" s="12"/>
      <c r="LM23" s="48"/>
      <c r="LO23" s="1283"/>
      <c r="LP23" s="1264" t="s">
        <v>5486</v>
      </c>
      <c r="LQ23" s="12"/>
      <c r="LR23" s="962"/>
      <c r="LS23" s="1265" t="s">
        <v>4608</v>
      </c>
      <c r="LW23" s="349"/>
      <c r="LX23" s="349"/>
      <c r="MA23" s="1049" t="str">
        <f t="shared" si="1043"/>
        <v>#NAME?</v>
      </c>
      <c r="MB23" s="1127" t="s">
        <v>896</v>
      </c>
      <c r="MC23" s="1051" t="str">
        <f t="shared" si="1044"/>
        <v>#NAME?</v>
      </c>
      <c r="MD23" s="1131" t="str">
        <f t="shared" si="1045"/>
        <v>#NAME?</v>
      </c>
      <c r="ME23" s="1422" t="s">
        <v>5106</v>
      </c>
      <c r="MG23" s="1273"/>
      <c r="MH23" s="1281" t="s">
        <v>4908</v>
      </c>
      <c r="MI23" s="12"/>
      <c r="MJ23" s="962"/>
      <c r="MK23" s="1282" t="s">
        <v>4608</v>
      </c>
      <c r="MM23" s="1351" t="str">
        <f t="shared" si="1097"/>
        <v>#NAME?</v>
      </c>
      <c r="MN23" s="1372" t="s">
        <v>4077</v>
      </c>
      <c r="MO23" s="1353" t="str">
        <f t="shared" si="1098"/>
        <v>#NAME?</v>
      </c>
      <c r="MP23" s="1354" t="str">
        <f t="shared" si="1099"/>
        <v>#NAME?</v>
      </c>
      <c r="MQ23" s="1367" t="s">
        <v>5015</v>
      </c>
      <c r="MS23" s="65"/>
      <c r="MT23" s="65"/>
      <c r="MU23" s="108"/>
      <c r="MV23" s="108"/>
      <c r="MW23" s="442"/>
      <c r="MX23" s="442"/>
      <c r="MY23" s="1280"/>
      <c r="MZ23" s="1281" t="s">
        <v>5394</v>
      </c>
      <c r="NA23" s="12"/>
      <c r="NB23" s="962"/>
      <c r="NC23" s="1282" t="s">
        <v>4608</v>
      </c>
      <c r="ND23" s="442"/>
      <c r="NE23" s="1266"/>
      <c r="NF23" s="1259" t="s">
        <v>5487</v>
      </c>
      <c r="NG23" s="12"/>
      <c r="NH23" s="962"/>
      <c r="NI23" s="1258" t="s">
        <v>4608</v>
      </c>
      <c r="NJ23" s="65"/>
      <c r="NK23" s="961" t="s">
        <v>4717</v>
      </c>
      <c r="NL23" s="12"/>
      <c r="NM23" s="12"/>
      <c r="NN23" s="12"/>
      <c r="NO23" s="48"/>
      <c r="NS23" s="349"/>
      <c r="NT23" s="349"/>
      <c r="NV23" s="442"/>
      <c r="NY23" s="349"/>
      <c r="NZ23" s="349"/>
      <c r="OB23" s="442"/>
      <c r="OC23" s="1094" t="str">
        <f t="shared" si="1052"/>
        <v>#NAME?</v>
      </c>
      <c r="OD23" s="1127" t="s">
        <v>1264</v>
      </c>
      <c r="OE23" s="1420" t="str">
        <f t="shared" si="1053"/>
        <v>#NAME?</v>
      </c>
      <c r="OF23" s="475" t="str">
        <f t="shared" si="1054"/>
        <v>#NAME?</v>
      </c>
      <c r="OG23" s="1422" t="s">
        <v>5019</v>
      </c>
      <c r="OH23" s="442"/>
      <c r="OI23" s="983" t="str">
        <f t="shared" ref="OI23:OI27" si="1133">MONICON21(OJ23)</f>
        <v>#NAME?</v>
      </c>
      <c r="OJ23" s="1301" t="s">
        <v>2293</v>
      </c>
      <c r="OK23" s="1311" t="str">
        <f t="shared" ref="OK23:OK27" si="1134">MONTYPEICON1(OJ23)</f>
        <v>#NAME?</v>
      </c>
      <c r="OL23" s="1312" t="str">
        <f t="shared" ref="OL23:OL27" si="1135">MONTYPEICON2(OJ23)</f>
        <v>#NAME?</v>
      </c>
      <c r="OM23" s="1318" t="s">
        <v>5020</v>
      </c>
      <c r="ON23" s="442"/>
      <c r="OQ23" s="349"/>
      <c r="OR23" s="349"/>
      <c r="OU23" s="961" t="s">
        <v>5109</v>
      </c>
      <c r="OV23" s="12"/>
      <c r="OW23" s="12"/>
      <c r="OX23" s="48"/>
      <c r="OZ23" s="442"/>
      <c r="PA23" s="1266"/>
      <c r="PB23" s="1259" t="s">
        <v>5488</v>
      </c>
      <c r="PC23" s="12"/>
      <c r="PD23" s="962"/>
      <c r="PE23" s="1258" t="s">
        <v>4608</v>
      </c>
      <c r="PF23" s="442"/>
      <c r="PG23" s="983" t="str">
        <f t="shared" ref="PG23:PG25" si="1136">MONICON21(PH23)</f>
        <v>#NAME?</v>
      </c>
      <c r="PH23" s="1301" t="s">
        <v>3324</v>
      </c>
      <c r="PI23" s="1311" t="str">
        <f t="shared" ref="PI23:PI25" si="1137">MONTYPEICON1(PH23)</f>
        <v>#NAME?</v>
      </c>
      <c r="PJ23" s="1312" t="str">
        <f t="shared" ref="PJ23:PJ25" si="1138">MONTYPEICON2(PH23)</f>
        <v>#NAME?</v>
      </c>
      <c r="PK23" s="1318" t="s">
        <v>5022</v>
      </c>
      <c r="PM23" s="1286"/>
      <c r="PN23" s="1259" t="s">
        <v>5489</v>
      </c>
      <c r="PO23" s="12"/>
      <c r="PP23" s="962"/>
      <c r="PQ23" s="1258" t="s">
        <v>4608</v>
      </c>
      <c r="PS23" s="983" t="str">
        <f t="shared" ref="PS23:PS26" si="1139">MONICON21(PT23)</f>
        <v>#NAME?</v>
      </c>
      <c r="PT23" s="1301" t="s">
        <v>3103</v>
      </c>
      <c r="PU23" s="1311" t="str">
        <f t="shared" ref="PU23:PU26" si="1140">MONTYPEICON1(PT23)</f>
        <v>#NAME?</v>
      </c>
      <c r="PV23" s="1312" t="str">
        <f t="shared" ref="PV23:PV26" si="1141">MONTYPEICON2(PT23)</f>
        <v>#NAME?</v>
      </c>
      <c r="PW23" s="1318" t="s">
        <v>5352</v>
      </c>
      <c r="PX23" s="442"/>
      <c r="PY23" s="1027" t="str">
        <f t="shared" si="1004"/>
        <v>#NAME?</v>
      </c>
      <c r="PZ23" s="1340" t="s">
        <v>4153</v>
      </c>
      <c r="QA23" s="1360" t="str">
        <f t="shared" si="1005"/>
        <v>#NAME?</v>
      </c>
      <c r="QB23" s="1361" t="str">
        <f t="shared" si="1006"/>
        <v>#NAME?</v>
      </c>
      <c r="QC23" s="1376" t="s">
        <v>5023</v>
      </c>
      <c r="QD23" s="442"/>
      <c r="QE23" s="1012" t="str">
        <f t="shared" ref="QE23:QE28" si="1142">MONICON21(QF23)</f>
        <v>#NAME?</v>
      </c>
      <c r="QF23" s="1301" t="s">
        <v>3670</v>
      </c>
      <c r="QG23" s="1313" t="str">
        <f t="shared" ref="QG23:QG28" si="1143">MONTYPEICON1(QF23)</f>
        <v>#NAME?</v>
      </c>
      <c r="QH23" s="1314" t="str">
        <f t="shared" ref="QH23:QH28" si="1144">MONTYPEICON2(QF23)</f>
        <v>#NAME?</v>
      </c>
      <c r="QI23" s="1318" t="s">
        <v>5032</v>
      </c>
      <c r="QJ23" s="442"/>
      <c r="QK23" s="1344"/>
      <c r="QL23" s="1323" t="s">
        <v>5490</v>
      </c>
      <c r="QM23" s="12"/>
      <c r="QN23" s="962"/>
      <c r="QO23" s="1345" t="s">
        <v>4608</v>
      </c>
      <c r="QP23" s="442"/>
      <c r="QQ23" s="1344"/>
      <c r="QR23" s="1323" t="s">
        <v>5491</v>
      </c>
      <c r="QS23" s="12"/>
      <c r="QT23" s="962"/>
      <c r="QU23" s="1345" t="s">
        <v>4608</v>
      </c>
      <c r="QV23" s="442"/>
      <c r="QW23" s="1375"/>
      <c r="QX23" s="1323" t="s">
        <v>5492</v>
      </c>
      <c r="QY23" s="12"/>
      <c r="QZ23" s="962"/>
      <c r="RA23" s="1345" t="s">
        <v>4608</v>
      </c>
      <c r="RB23" s="442"/>
      <c r="RC23" s="1375"/>
      <c r="RD23" s="1323" t="s">
        <v>5493</v>
      </c>
      <c r="RE23" s="12"/>
      <c r="RF23" s="962"/>
      <c r="RG23" s="1345" t="s">
        <v>4608</v>
      </c>
      <c r="RH23" s="442"/>
      <c r="RI23" s="1375"/>
      <c r="RJ23" s="1323" t="s">
        <v>5494</v>
      </c>
      <c r="RK23" s="12"/>
      <c r="RL23" s="962"/>
      <c r="RM23" s="1345" t="s">
        <v>4608</v>
      </c>
      <c r="RN23" s="442"/>
      <c r="RO23" s="985" t="s">
        <v>4992</v>
      </c>
      <c r="RP23" s="12"/>
      <c r="RQ23" s="12"/>
      <c r="RR23" s="12"/>
      <c r="RS23" s="48"/>
      <c r="RT23" s="442"/>
      <c r="RU23" s="1266"/>
      <c r="RV23" s="1259" t="s">
        <v>5495</v>
      </c>
      <c r="RW23" s="12"/>
      <c r="RX23" s="962"/>
      <c r="RY23" s="1004" t="s">
        <v>4608</v>
      </c>
      <c r="RZ23" s="442"/>
      <c r="SA23" s="1094" t="str">
        <f t="shared" si="1055"/>
        <v>#NAME?</v>
      </c>
      <c r="SB23" s="1127" t="s">
        <v>2583</v>
      </c>
      <c r="SC23" s="1420" t="str">
        <f t="shared" si="1056"/>
        <v>#NAME?</v>
      </c>
      <c r="SD23" s="475" t="str">
        <f t="shared" si="1057"/>
        <v>#NAME?</v>
      </c>
      <c r="SE23" s="1422" t="s">
        <v>5113</v>
      </c>
      <c r="SG23" s="1096" t="str">
        <f t="shared" si="944"/>
        <v>#NAME?</v>
      </c>
      <c r="SH23" s="1304" t="s">
        <v>4091</v>
      </c>
      <c r="SI23" s="1013" t="str">
        <f t="shared" si="945"/>
        <v>#NAME?</v>
      </c>
      <c r="SJ23" s="1015" t="str">
        <f t="shared" si="946"/>
        <v>#NAME?</v>
      </c>
      <c r="SK23" s="1321" t="s">
        <v>5024</v>
      </c>
      <c r="SL23" s="442"/>
      <c r="SM23" s="985" t="str">
        <f>MONICON21(SN23)</f>
        <v>#NAME?</v>
      </c>
      <c r="SN23" s="1229" t="s">
        <v>3059</v>
      </c>
      <c r="SO23" s="22" t="str">
        <f>MONTYPEICON1(SN23)</f>
        <v>#NAME?</v>
      </c>
      <c r="SP23" s="24" t="str">
        <f>MONTYPEICON2(SN23)</f>
        <v>#NAME?</v>
      </c>
      <c r="SQ23" s="1424" t="s">
        <v>5024</v>
      </c>
      <c r="SS23" s="1094" t="str">
        <f t="shared" si="1058"/>
        <v>#NAME?</v>
      </c>
      <c r="ST23" s="1127" t="s">
        <v>2030</v>
      </c>
      <c r="SU23" s="1420" t="str">
        <f t="shared" si="1059"/>
        <v>#NAME?</v>
      </c>
      <c r="SV23" s="475" t="str">
        <f t="shared" si="1060"/>
        <v>#NAME?</v>
      </c>
      <c r="SW23" s="1422" t="s">
        <v>5113</v>
      </c>
      <c r="SY23" s="1193" t="str">
        <f t="shared" si="1100"/>
        <v>#NAME?</v>
      </c>
      <c r="SZ23" s="1145" t="s">
        <v>1823</v>
      </c>
      <c r="TA23" s="1462" t="str">
        <f t="shared" si="1101"/>
        <v>#NAME?</v>
      </c>
      <c r="TB23" s="1463" t="str">
        <f t="shared" si="1102"/>
        <v>#NAME?</v>
      </c>
      <c r="TC23" s="1464" t="s">
        <v>5112</v>
      </c>
      <c r="TD23" s="65"/>
      <c r="TE23" s="983" t="str">
        <f t="shared" ref="TE23:TE28" si="1145">MONICON21(TF23)</f>
        <v>#NAME?</v>
      </c>
      <c r="TF23" s="1301" t="s">
        <v>1680</v>
      </c>
      <c r="TG23" s="977" t="str">
        <f t="shared" ref="TG23:TG28" si="1146">MONTYPEICON1(TF23)</f>
        <v>#NAME?</v>
      </c>
      <c r="TH23" s="980" t="str">
        <f t="shared" ref="TH23:TH28" si="1147">MONTYPEICON2(TF23)</f>
        <v>#NAME?</v>
      </c>
      <c r="TI23" s="1318" t="s">
        <v>5092</v>
      </c>
      <c r="TJ23" s="442"/>
      <c r="TK23" s="983" t="str">
        <f t="shared" ref="TK23:TK25" si="1148">MONICON21(TL23)</f>
        <v>#NAME?</v>
      </c>
      <c r="TL23" s="1301" t="s">
        <v>3360</v>
      </c>
      <c r="TM23" s="1311" t="str">
        <f t="shared" ref="TM23:TM25" si="1149">MONTYPEICON1(TL23)</f>
        <v>#NAME?</v>
      </c>
      <c r="TN23" s="1312" t="str">
        <f t="shared" ref="TN23:TN25" si="1150">MONTYPEICON2(TL23)</f>
        <v>#NAME?</v>
      </c>
      <c r="TO23" s="1318" t="s">
        <v>5026</v>
      </c>
      <c r="TQ23" s="983" t="str">
        <f t="shared" ref="TQ23:TQ25" si="1151">MONICON21(TR23)</f>
        <v>#NAME?</v>
      </c>
      <c r="TR23" s="1301" t="s">
        <v>2735</v>
      </c>
      <c r="TS23" s="1311" t="str">
        <f t="shared" ref="TS23:TS25" si="1152">MONTYPEICON1(TR23)</f>
        <v>#NAME?</v>
      </c>
      <c r="TT23" s="1312" t="str">
        <f t="shared" ref="TT23:TT25" si="1153">MONTYPEICON2(TR23)</f>
        <v>#NAME?</v>
      </c>
      <c r="TU23" s="1318" t="s">
        <v>5026</v>
      </c>
      <c r="UI23" s="1033" t="str">
        <f t="shared" ref="UI23:UI24" si="1154">MONICON21(UJ23)</f>
        <v>#NAME?</v>
      </c>
      <c r="UJ23" s="1301" t="s">
        <v>3896</v>
      </c>
      <c r="UK23" s="977" t="str">
        <f t="shared" ref="UK23:UK24" si="1155">MONTYPEICON1(UJ23)</f>
        <v>#NAME?</v>
      </c>
      <c r="UL23" s="980" t="str">
        <f t="shared" ref="UL23:UL24" si="1156">MONTYPEICON2(UJ23)</f>
        <v>#NAME?</v>
      </c>
      <c r="UM23" s="1303" t="s">
        <v>5028</v>
      </c>
      <c r="UO23" s="1293"/>
      <c r="UP23" s="1291" t="s">
        <v>5496</v>
      </c>
      <c r="UQ23" s="12"/>
      <c r="UR23" s="962"/>
      <c r="US23" s="1292" t="s">
        <v>4608</v>
      </c>
      <c r="UU23" s="1293"/>
      <c r="UV23" s="1291" t="s">
        <v>5497</v>
      </c>
      <c r="UW23" s="12"/>
      <c r="UX23" s="962"/>
      <c r="UY23" s="1292" t="s">
        <v>4608</v>
      </c>
      <c r="VA23" s="1383" t="str">
        <f t="shared" si="1103"/>
        <v>#NAME?</v>
      </c>
      <c r="VB23" s="1508" t="s">
        <v>724</v>
      </c>
      <c r="VC23" s="1383" t="str">
        <f t="shared" si="1104"/>
        <v>#NAME?</v>
      </c>
      <c r="VD23" s="1385" t="str">
        <f t="shared" si="1105"/>
        <v>#NAME?</v>
      </c>
      <c r="VE23" s="1509" t="s">
        <v>5130</v>
      </c>
      <c r="VG23" s="1051" t="str">
        <f t="shared" si="1067"/>
        <v>#NAME?</v>
      </c>
      <c r="VH23" s="1127" t="s">
        <v>254</v>
      </c>
      <c r="VI23" s="1130" t="str">
        <f t="shared" si="1068"/>
        <v>#NAME?</v>
      </c>
      <c r="VJ23" s="1433" t="str">
        <f t="shared" si="1069"/>
        <v>#NAME?</v>
      </c>
      <c r="VK23" s="1095" t="s">
        <v>5448</v>
      </c>
      <c r="VL23" s="442"/>
      <c r="VM23" s="1013" t="str">
        <f t="shared" si="1070"/>
        <v>#NAME?</v>
      </c>
      <c r="VN23" s="1098" t="s">
        <v>3683</v>
      </c>
      <c r="VO23" s="1013" t="str">
        <f t="shared" si="1071"/>
        <v>#NAME?</v>
      </c>
      <c r="VP23" s="1015" t="str">
        <f t="shared" si="1072"/>
        <v>#NAME?</v>
      </c>
      <c r="VQ23" s="1108" t="s">
        <v>5449</v>
      </c>
      <c r="VR23" s="442"/>
      <c r="VX23" s="442"/>
      <c r="VY23" s="1383" t="str">
        <f t="shared" si="1106"/>
        <v>#NAME?</v>
      </c>
      <c r="VZ23" s="1508" t="s">
        <v>3620</v>
      </c>
      <c r="WA23" s="1383" t="str">
        <f t="shared" si="1107"/>
        <v>#NAME?</v>
      </c>
      <c r="WB23" s="1385" t="str">
        <f t="shared" si="1108"/>
        <v>#NAME?</v>
      </c>
      <c r="WC23" s="1509" t="s">
        <v>5135</v>
      </c>
      <c r="WD23" s="442"/>
      <c r="WE23" s="1387" t="str">
        <f t="shared" si="1109"/>
        <v>#NAME?</v>
      </c>
      <c r="WF23" s="1388" t="s">
        <v>4077</v>
      </c>
      <c r="WG23" s="1387" t="str">
        <f t="shared" si="1110"/>
        <v>#NAME?</v>
      </c>
      <c r="WH23" s="1392" t="str">
        <f t="shared" si="1111"/>
        <v>#NAME?</v>
      </c>
      <c r="WI23" s="1391" t="s">
        <v>5032</v>
      </c>
      <c r="WJ23" s="442"/>
      <c r="WK23" s="1472"/>
      <c r="WL23" s="1291" t="s">
        <v>5498</v>
      </c>
      <c r="WM23" s="12"/>
      <c r="WN23" s="962"/>
      <c r="WO23" s="1292" t="s">
        <v>4608</v>
      </c>
      <c r="WP23" s="442"/>
      <c r="WQ23" s="963" t="s">
        <v>4787</v>
      </c>
      <c r="WR23" s="12"/>
      <c r="WS23" s="12"/>
      <c r="WT23" s="12"/>
      <c r="WU23" s="48"/>
      <c r="WV23" s="442"/>
      <c r="WW23" s="1483"/>
      <c r="WX23" s="1291" t="s">
        <v>5499</v>
      </c>
      <c r="WY23" s="12"/>
      <c r="WZ23" s="962"/>
      <c r="XA23" s="1292" t="s">
        <v>4608</v>
      </c>
      <c r="XB23" s="442"/>
      <c r="XC23" s="1013" t="str">
        <f t="shared" si="1073"/>
        <v>#NAME?</v>
      </c>
      <c r="XD23" s="1098" t="s">
        <v>1816</v>
      </c>
      <c r="XE23" s="1013" t="str">
        <f t="shared" si="1074"/>
        <v>#NAME?</v>
      </c>
      <c r="XF23" s="1015" t="str">
        <f t="shared" si="1075"/>
        <v>#NAME?</v>
      </c>
      <c r="XG23" s="1434" t="s">
        <v>5017</v>
      </c>
      <c r="XH23" s="442"/>
      <c r="XI23" s="1013" t="str">
        <f t="shared" si="950"/>
        <v>#NAME?</v>
      </c>
      <c r="XJ23" s="1098" t="s">
        <v>1292</v>
      </c>
      <c r="XK23" s="1013" t="str">
        <f t="shared" si="951"/>
        <v>#NAME?</v>
      </c>
      <c r="XL23" s="1015" t="str">
        <f t="shared" si="952"/>
        <v>#NAME?</v>
      </c>
      <c r="XM23" s="1434" t="s">
        <v>5410</v>
      </c>
      <c r="XN23" s="442"/>
      <c r="XO23" s="108"/>
      <c r="XP23" s="442"/>
      <c r="XQ23" s="442"/>
      <c r="XR23" s="442"/>
      <c r="XS23" s="442"/>
      <c r="XT23" s="442"/>
      <c r="XU23" s="1051" t="str">
        <f t="shared" si="1076"/>
        <v>#NAME?</v>
      </c>
      <c r="XV23" s="1127" t="s">
        <v>1039</v>
      </c>
      <c r="XW23" s="1051" t="str">
        <f t="shared" si="1077"/>
        <v>#NAME?</v>
      </c>
      <c r="XX23" s="1131" t="str">
        <f t="shared" si="1078"/>
        <v>#NAME?</v>
      </c>
      <c r="XY23" s="1095" t="s">
        <v>5033</v>
      </c>
      <c r="XZ23" s="442"/>
      <c r="YA23" s="1387" t="str">
        <f t="shared" si="1112"/>
        <v>#NAME?</v>
      </c>
      <c r="YB23" s="1388" t="s">
        <v>3273</v>
      </c>
      <c r="YC23" s="1387" t="str">
        <f t="shared" si="1113"/>
        <v>#NAME?</v>
      </c>
      <c r="YD23" s="1392" t="str">
        <f t="shared" si="1114"/>
        <v>#NAME?</v>
      </c>
      <c r="YE23" s="1391" t="s">
        <v>5018</v>
      </c>
      <c r="YF23" s="442"/>
      <c r="YG23" s="1387" t="str">
        <f t="shared" si="1115"/>
        <v>#NAME?</v>
      </c>
      <c r="YH23" s="1388" t="s">
        <v>4204</v>
      </c>
      <c r="YI23" s="1387" t="str">
        <f t="shared" si="1116"/>
        <v>#NAME?</v>
      </c>
      <c r="YJ23" s="1392" t="str">
        <f t="shared" si="1117"/>
        <v>#NAME?</v>
      </c>
      <c r="YK23" s="1391" t="s">
        <v>5018</v>
      </c>
      <c r="YL23" s="442"/>
      <c r="YM23" s="1294"/>
      <c r="YN23" s="1291" t="s">
        <v>5500</v>
      </c>
      <c r="YO23" s="12"/>
      <c r="YP23" s="962"/>
      <c r="YQ23" s="1292" t="s">
        <v>4608</v>
      </c>
      <c r="YR23" s="442"/>
      <c r="YS23" s="1294"/>
      <c r="YT23" s="1291" t="s">
        <v>5501</v>
      </c>
      <c r="YU23" s="12"/>
      <c r="YV23" s="962"/>
      <c r="YW23" s="1292" t="s">
        <v>4608</v>
      </c>
      <c r="YX23" s="442"/>
      <c r="YY23" s="977" t="str">
        <f t="shared" ref="YY23:YY25" si="1157">MONICON21(YZ23)</f>
        <v>#NAME?</v>
      </c>
      <c r="YZ23" s="1301" t="s">
        <v>2567</v>
      </c>
      <c r="ZA23" s="977" t="str">
        <f t="shared" ref="ZA23:ZA25" si="1158">MONTYPEICON1(YZ23)</f>
        <v>#NAME?</v>
      </c>
      <c r="ZB23" s="980" t="str">
        <f t="shared" ref="ZB23:ZB25" si="1159">MONTYPEICON2(YZ23)</f>
        <v>#NAME?</v>
      </c>
      <c r="ZC23" s="1303" t="s">
        <v>5033</v>
      </c>
      <c r="ZD23" s="442"/>
      <c r="ZE23" s="1294"/>
      <c r="ZF23" s="1291" t="s">
        <v>5502</v>
      </c>
      <c r="ZG23" s="12"/>
      <c r="ZH23" s="962"/>
      <c r="ZI23" s="1292" t="s">
        <v>4608</v>
      </c>
      <c r="ZJ23" s="442"/>
      <c r="ZK23" s="1472"/>
      <c r="ZL23" s="1291" t="s">
        <v>5503</v>
      </c>
      <c r="ZM23" s="12"/>
      <c r="ZN23" s="962"/>
      <c r="ZO23" s="1292" t="s">
        <v>4608</v>
      </c>
      <c r="ZP23" s="442"/>
      <c r="ZS23" s="349"/>
      <c r="ZT23" s="349"/>
      <c r="ZV23" s="442"/>
      <c r="ZW23" s="1579" t="s">
        <v>4953</v>
      </c>
      <c r="ZX23" s="12"/>
      <c r="ZY23" s="12"/>
      <c r="ZZ23" s="12"/>
      <c r="AAA23" s="48"/>
      <c r="AAB23" s="442"/>
      <c r="AAC23" s="1246" t="s">
        <v>4766</v>
      </c>
      <c r="AAD23" s="12"/>
      <c r="AAE23" s="12"/>
      <c r="AAF23" s="12"/>
      <c r="AAG23" s="48"/>
      <c r="AAH23" s="442"/>
      <c r="AAI23" s="1013" t="str">
        <f t="shared" si="959"/>
        <v>#NAME?</v>
      </c>
      <c r="AAJ23" s="1098" t="s">
        <v>687</v>
      </c>
      <c r="AAK23" s="1013" t="str">
        <f t="shared" si="960"/>
        <v>#NAME?</v>
      </c>
      <c r="AAL23" s="1015" t="str">
        <f t="shared" si="961"/>
        <v>#NAME?</v>
      </c>
      <c r="AAM23" s="1423" t="s">
        <v>5227</v>
      </c>
      <c r="AAO23" s="1013" t="str">
        <f t="shared" si="962"/>
        <v>#NAME?</v>
      </c>
      <c r="AAP23" s="1098" t="s">
        <v>1376</v>
      </c>
      <c r="AAQ23" s="1013" t="str">
        <f t="shared" si="963"/>
        <v>#NAME?</v>
      </c>
      <c r="AAR23" s="1015" t="str">
        <f t="shared" si="964"/>
        <v>#NAME?</v>
      </c>
      <c r="AAS23" s="1423" t="s">
        <v>5117</v>
      </c>
      <c r="AAU23" s="1013" t="str">
        <f t="shared" si="965"/>
        <v>#NAME?</v>
      </c>
      <c r="AAV23" s="1098" t="s">
        <v>1376</v>
      </c>
      <c r="AAW23" s="1013" t="str">
        <f t="shared" si="966"/>
        <v>#NAME?</v>
      </c>
      <c r="AAX23" s="1015" t="str">
        <f t="shared" si="967"/>
        <v>#NAME?</v>
      </c>
      <c r="AAY23" s="1423" t="s">
        <v>5117</v>
      </c>
      <c r="ABA23" s="1013" t="str">
        <f t="shared" si="968"/>
        <v>#NAME?</v>
      </c>
      <c r="ABB23" s="1098" t="s">
        <v>1200</v>
      </c>
      <c r="ABC23" s="1013" t="str">
        <f t="shared" si="969"/>
        <v>#NAME?</v>
      </c>
      <c r="ABD23" s="1015" t="str">
        <f t="shared" si="970"/>
        <v>#NAME?</v>
      </c>
      <c r="ABE23" s="1423" t="s">
        <v>5036</v>
      </c>
      <c r="ABG23" s="1013" t="str">
        <f t="shared" si="971"/>
        <v>#NAME?</v>
      </c>
      <c r="ABH23" s="1098" t="s">
        <v>3872</v>
      </c>
      <c r="ABI23" s="1013" t="str">
        <f t="shared" si="972"/>
        <v>#NAME?</v>
      </c>
      <c r="ABJ23" s="1015" t="str">
        <f t="shared" si="973"/>
        <v>#NAME?</v>
      </c>
      <c r="ABK23" s="1423" t="s">
        <v>5036</v>
      </c>
      <c r="ABM23" s="1013" t="str">
        <f t="shared" si="974"/>
        <v>#NAME?</v>
      </c>
      <c r="ABN23" s="1098" t="s">
        <v>4183</v>
      </c>
      <c r="ABO23" s="1013" t="str">
        <f t="shared" si="975"/>
        <v>#NAME?</v>
      </c>
      <c r="ABP23" s="1015" t="str">
        <f t="shared" si="976"/>
        <v>#NAME?</v>
      </c>
      <c r="ABQ23" s="1423" t="s">
        <v>5036</v>
      </c>
      <c r="ABS23" s="1013" t="str">
        <f t="shared" si="977"/>
        <v>#NAME?</v>
      </c>
      <c r="ABT23" s="1098" t="s">
        <v>4146</v>
      </c>
      <c r="ABU23" s="1013" t="str">
        <f t="shared" si="978"/>
        <v>#NAME?</v>
      </c>
      <c r="ABV23" s="1015" t="str">
        <f t="shared" si="979"/>
        <v>#NAME?</v>
      </c>
      <c r="ABW23" s="1423" t="s">
        <v>5117</v>
      </c>
      <c r="ABY23" s="1437"/>
      <c r="ABZ23" s="1438" t="s">
        <v>5504</v>
      </c>
      <c r="ACA23" s="1439"/>
      <c r="ACB23" s="1440"/>
      <c r="ACC23" s="1441" t="s">
        <v>4608</v>
      </c>
      <c r="ACJ23" s="996"/>
    </row>
    <row r="24" ht="15.75" customHeight="1">
      <c r="A24" s="1230"/>
      <c r="B24" s="1230"/>
      <c r="C24" s="1230"/>
      <c r="D24" s="1478"/>
      <c r="E24" s="1230"/>
      <c r="F24" s="1238"/>
      <c r="G24" s="1254"/>
      <c r="H24" s="1230"/>
      <c r="I24" s="1053" t="str">
        <f>MONICON21(J24)</f>
        <v>#NAME?</v>
      </c>
      <c r="J24" s="1052" t="s">
        <v>3613</v>
      </c>
      <c r="K24" s="985" t="str">
        <f>MONTYPEICON1(J24)</f>
        <v>#NAME?</v>
      </c>
      <c r="L24" s="1052" t="str">
        <f>MONTYPEICON2(J24)</f>
        <v>#NAME?</v>
      </c>
      <c r="M24" s="1196" t="s">
        <v>5456</v>
      </c>
      <c r="N24" s="1230"/>
      <c r="O24" s="442"/>
      <c r="P24" s="442"/>
      <c r="Q24" s="442"/>
      <c r="R24" s="442"/>
      <c r="S24" s="108"/>
      <c r="T24" s="1230"/>
      <c r="U24" s="1447"/>
      <c r="V24" s="1269" t="s">
        <v>5192</v>
      </c>
      <c r="W24" s="12"/>
      <c r="X24" s="962"/>
      <c r="Y24" s="1270" t="s">
        <v>4608</v>
      </c>
      <c r="Z24" s="1230"/>
      <c r="AA24" s="1523" t="s">
        <v>5505</v>
      </c>
      <c r="AB24" s="12"/>
      <c r="AC24" s="12"/>
      <c r="AD24" s="12"/>
      <c r="AE24" s="48"/>
      <c r="AF24" s="1230"/>
      <c r="AG24" s="1013" t="str">
        <f t="shared" si="1082"/>
        <v>#NAME?</v>
      </c>
      <c r="AH24" s="1098" t="s">
        <v>820</v>
      </c>
      <c r="AI24" s="1013" t="str">
        <f t="shared" si="1083"/>
        <v>#NAME?</v>
      </c>
      <c r="AJ24" s="1015" t="str">
        <f t="shared" si="1084"/>
        <v>#NAME?</v>
      </c>
      <c r="AK24" s="1108" t="s">
        <v>5457</v>
      </c>
      <c r="AL24" s="1230"/>
      <c r="AM24" s="1592" t="str">
        <f t="shared" si="1118"/>
        <v>#NAME?</v>
      </c>
      <c r="AN24" s="1335" t="s">
        <v>3700</v>
      </c>
      <c r="AO24" s="1146" t="str">
        <f t="shared" si="1119"/>
        <v>#NAME?</v>
      </c>
      <c r="AP24" s="1148" t="str">
        <f t="shared" si="1120"/>
        <v>#NAME?</v>
      </c>
      <c r="AQ24" s="1336" t="s">
        <v>5155</v>
      </c>
      <c r="AR24" s="1230"/>
      <c r="AS24" s="442"/>
      <c r="AT24" s="442"/>
      <c r="AU24" s="442"/>
      <c r="AV24" s="1230"/>
      <c r="AW24" s="449"/>
      <c r="AX24" s="1230"/>
      <c r="AY24" s="1033" t="str">
        <f t="shared" ref="AY24:AY26" si="1160">MONICON21(AZ24)</f>
        <v>#NAME?</v>
      </c>
      <c r="AZ24" s="1407" t="s">
        <v>1858</v>
      </c>
      <c r="BA24" s="977" t="str">
        <f t="shared" ref="BA24:BA26" si="1161">MONTYPEICON1(AZ24)</f>
        <v>#NAME?</v>
      </c>
      <c r="BB24" s="980" t="str">
        <f t="shared" ref="BB24:BB26" si="1162">MONTYPEICON2(AZ24)</f>
        <v>#NAME?</v>
      </c>
      <c r="BC24" s="1408" t="s">
        <v>5076</v>
      </c>
      <c r="BD24" s="1230"/>
      <c r="BE24" s="1033" t="str">
        <f t="shared" ref="BE24:BE26" si="1163">MONICON21(BF24)</f>
        <v>#NAME?</v>
      </c>
      <c r="BF24" s="1304" t="s">
        <v>3011</v>
      </c>
      <c r="BG24" s="977" t="str">
        <f t="shared" ref="BG24:BG26" si="1164">MONTYPEICON1(BF24)</f>
        <v>#NAME?</v>
      </c>
      <c r="BH24" s="980" t="str">
        <f t="shared" ref="BH24:BH26" si="1165">MONTYPEICON2(BF24)</f>
        <v>#NAME?</v>
      </c>
      <c r="BI24" s="1305" t="s">
        <v>5314</v>
      </c>
      <c r="BJ24" s="1230"/>
      <c r="BK24" s="1033" t="str">
        <f t="shared" ref="BK24:BK25" si="1166">MONICON21(BL24)</f>
        <v>#NAME?</v>
      </c>
      <c r="BL24" s="1304" t="s">
        <v>1047</v>
      </c>
      <c r="BM24" s="977" t="str">
        <f t="shared" ref="BM24:BM25" si="1167">MONTYPEICON1(BL24)</f>
        <v>#NAME?</v>
      </c>
      <c r="BN24" s="980" t="str">
        <f t="shared" ref="BN24:BN25" si="1168">MONTYPEICON2(BL24)</f>
        <v>#NAME?</v>
      </c>
      <c r="BO24" s="1305" t="s">
        <v>4994</v>
      </c>
      <c r="BP24" s="442"/>
      <c r="BQ24" s="1255"/>
      <c r="BR24" s="1259" t="s">
        <v>5506</v>
      </c>
      <c r="BS24" s="12"/>
      <c r="BT24" s="962"/>
      <c r="BU24" s="1258" t="s">
        <v>4608</v>
      </c>
      <c r="BV24" s="442"/>
      <c r="CB24" s="442"/>
      <c r="CH24" s="442"/>
      <c r="CI24" s="1280"/>
      <c r="CJ24" s="1307" t="s">
        <v>4908</v>
      </c>
      <c r="CK24" s="12"/>
      <c r="CL24" s="962"/>
      <c r="CM24" s="1282" t="s">
        <v>4608</v>
      </c>
      <c r="CN24" s="442"/>
      <c r="CO24" s="1266"/>
      <c r="CP24" s="1259" t="s">
        <v>5507</v>
      </c>
      <c r="CQ24" s="12"/>
      <c r="CR24" s="962"/>
      <c r="CS24" s="1258" t="s">
        <v>4608</v>
      </c>
      <c r="CT24" s="442"/>
      <c r="CZ24" s="442"/>
      <c r="DF24" s="442"/>
      <c r="DG24" s="1027" t="str">
        <f t="shared" si="1121"/>
        <v>#NAME?</v>
      </c>
      <c r="DH24" s="1340" t="s">
        <v>474</v>
      </c>
      <c r="DI24" s="1341" t="str">
        <f t="shared" si="1122"/>
        <v>#NAME?</v>
      </c>
      <c r="DJ24" s="1342" t="str">
        <f t="shared" si="1123"/>
        <v>#NAME?</v>
      </c>
      <c r="DK24" s="1343" t="s">
        <v>5000</v>
      </c>
      <c r="DL24" s="442"/>
      <c r="DM24" s="442"/>
      <c r="DN24" s="442"/>
      <c r="DO24" s="442"/>
      <c r="DP24" s="442"/>
      <c r="DQ24" s="442"/>
      <c r="DR24" s="442"/>
      <c r="DS24" s="1283"/>
      <c r="DT24" s="1264" t="s">
        <v>5508</v>
      </c>
      <c r="DU24" s="12"/>
      <c r="DV24" s="962"/>
      <c r="DW24" s="1265" t="s">
        <v>4608</v>
      </c>
      <c r="DX24" s="1230"/>
      <c r="DY24" s="1056" t="str">
        <f t="shared" si="1025"/>
        <v>#NAME?</v>
      </c>
      <c r="DZ24" s="1521" t="s">
        <v>4010</v>
      </c>
      <c r="EA24" s="1502" t="str">
        <f t="shared" si="1026"/>
        <v>#NAME?</v>
      </c>
      <c r="EB24" s="1503" t="str">
        <f t="shared" si="1027"/>
        <v>#NAME?</v>
      </c>
      <c r="EC24" s="1522" t="s">
        <v>5079</v>
      </c>
      <c r="ED24" s="442"/>
      <c r="EE24" s="1280"/>
      <c r="EF24" s="1274" t="s">
        <v>4908</v>
      </c>
      <c r="EG24" s="959"/>
      <c r="EH24" s="957"/>
      <c r="EI24" s="1275" t="s">
        <v>4608</v>
      </c>
      <c r="EJ24" s="1230"/>
      <c r="EK24" s="1346" t="str">
        <f t="shared" si="1124"/>
        <v>#NAME?</v>
      </c>
      <c r="EL24" s="1347" t="s">
        <v>535</v>
      </c>
      <c r="EM24" s="1348" t="str">
        <f t="shared" si="1125"/>
        <v>#NAME?</v>
      </c>
      <c r="EN24" s="1349" t="str">
        <f t="shared" si="1126"/>
        <v>#NAME?</v>
      </c>
      <c r="EO24" s="1350" t="s">
        <v>5000</v>
      </c>
      <c r="EP24" s="1230"/>
      <c r="EQ24" s="985" t="str">
        <f>MONICON21(ER24)</f>
        <v>#NAME?</v>
      </c>
      <c r="ER24" s="1052" t="s">
        <v>458</v>
      </c>
      <c r="ES24" s="1092" t="str">
        <f>MONTYPEICON1(ER24)</f>
        <v>#NAME?</v>
      </c>
      <c r="ET24" s="987" t="str">
        <f>MONTYPEICON2(ER24)</f>
        <v>#NAME?</v>
      </c>
      <c r="EU24" s="1518" t="s">
        <v>5001</v>
      </c>
      <c r="EV24" s="1230"/>
      <c r="EW24" s="442"/>
      <c r="EX24" s="442"/>
      <c r="EY24" s="108"/>
      <c r="EZ24" s="108"/>
      <c r="FA24" s="108"/>
      <c r="FB24" s="442"/>
      <c r="FC24" s="442"/>
      <c r="FD24" s="442"/>
      <c r="FE24" s="108"/>
      <c r="FF24" s="449"/>
      <c r="FG24" s="442"/>
      <c r="FH24" s="442"/>
      <c r="FI24" s="985" t="s">
        <v>4992</v>
      </c>
      <c r="FJ24" s="12"/>
      <c r="FK24" s="12"/>
      <c r="FL24" s="12"/>
      <c r="FM24" s="48"/>
      <c r="FN24" s="442"/>
      <c r="FO24" s="1266"/>
      <c r="FP24" s="1259" t="s">
        <v>5509</v>
      </c>
      <c r="FQ24" s="12"/>
      <c r="FR24" s="962"/>
      <c r="FS24" s="1258" t="s">
        <v>4608</v>
      </c>
      <c r="FT24" s="442"/>
      <c r="FU24" s="1068" t="str">
        <f t="shared" si="1127"/>
        <v>#NAME?</v>
      </c>
      <c r="FV24" s="1078" t="s">
        <v>2625</v>
      </c>
      <c r="FW24" s="1071" t="str">
        <f t="shared" si="1128"/>
        <v>#NAME?</v>
      </c>
      <c r="FX24" s="1073" t="str">
        <f t="shared" si="1129"/>
        <v>#NAME?</v>
      </c>
      <c r="FY24" s="1093" t="s">
        <v>5082</v>
      </c>
      <c r="FZ24" s="442"/>
      <c r="GA24" s="1094" t="str">
        <f t="shared" si="1088"/>
        <v>#NAME?</v>
      </c>
      <c r="GB24" s="499" t="s">
        <v>2251</v>
      </c>
      <c r="GC24" s="1051" t="str">
        <f t="shared" si="1089"/>
        <v>#NAME?</v>
      </c>
      <c r="GD24" s="1131" t="str">
        <f t="shared" si="1090"/>
        <v>#NAME?</v>
      </c>
      <c r="GE24" s="1095" t="s">
        <v>5082</v>
      </c>
      <c r="GF24" s="442"/>
      <c r="GG24" s="1286"/>
      <c r="GH24" s="1256" t="s">
        <v>5510</v>
      </c>
      <c r="GI24" s="1257" t="s">
        <v>4888</v>
      </c>
      <c r="GJ24" s="962"/>
      <c r="GK24" s="1258" t="s">
        <v>4608</v>
      </c>
      <c r="GL24" s="1230"/>
      <c r="GM24" s="1266"/>
      <c r="GN24" s="1259" t="s">
        <v>5511</v>
      </c>
      <c r="GO24" s="12"/>
      <c r="GP24" s="962"/>
      <c r="GQ24" s="1258" t="s">
        <v>4608</v>
      </c>
      <c r="GR24" s="65"/>
      <c r="GS24" s="1286"/>
      <c r="GT24" s="1259" t="s">
        <v>5512</v>
      </c>
      <c r="GU24" s="12"/>
      <c r="GV24" s="962"/>
      <c r="GW24" s="1258" t="s">
        <v>4608</v>
      </c>
      <c r="GX24" s="65"/>
      <c r="GY24" s="1094" t="str">
        <f t="shared" si="1091"/>
        <v>#NAME?</v>
      </c>
      <c r="GZ24" s="499" t="s">
        <v>1303</v>
      </c>
      <c r="HA24" s="1051" t="str">
        <f t="shared" si="1092"/>
        <v>#NAME?</v>
      </c>
      <c r="HB24" s="1131" t="str">
        <f t="shared" si="1093"/>
        <v>#NAME?</v>
      </c>
      <c r="HC24" s="1095" t="s">
        <v>5006</v>
      </c>
      <c r="HD24" s="1230"/>
      <c r="HE24" s="983" t="str">
        <f t="shared" ref="HE24:HE26" si="1169">MONICON21(HF24)</f>
        <v>#NAME?</v>
      </c>
      <c r="HF24" s="1157" t="s">
        <v>680</v>
      </c>
      <c r="HG24" s="977" t="str">
        <f t="shared" ref="HG24:HG26" si="1170">MONTYPEICON1(HF24)</f>
        <v>#NAME?</v>
      </c>
      <c r="HH24" s="980" t="str">
        <f t="shared" ref="HH24:HH26" si="1171">MONTYPEICON2(HF24)</f>
        <v>#NAME?</v>
      </c>
      <c r="HI24" s="1303" t="s">
        <v>5004</v>
      </c>
      <c r="HJ24" s="1230"/>
      <c r="HK24" s="1027" t="str">
        <f t="shared" si="1028"/>
        <v>#NAME?</v>
      </c>
      <c r="HL24" s="1461" t="s">
        <v>2661</v>
      </c>
      <c r="HM24" s="1360" t="str">
        <f t="shared" si="1029"/>
        <v>#NAME?</v>
      </c>
      <c r="HN24" s="1361" t="str">
        <f t="shared" si="1030"/>
        <v>#NAME?</v>
      </c>
      <c r="HO24" s="1343" t="s">
        <v>5007</v>
      </c>
      <c r="HP24" s="65"/>
      <c r="HQ24" s="1593"/>
      <c r="HR24" s="1264" t="s">
        <v>5368</v>
      </c>
      <c r="HS24" s="12"/>
      <c r="HT24" s="962"/>
      <c r="HU24" s="1265" t="s">
        <v>4608</v>
      </c>
      <c r="HV24" s="65"/>
      <c r="HY24" s="349"/>
      <c r="HZ24" s="349"/>
      <c r="IA24" s="349"/>
      <c r="IB24" s="65"/>
      <c r="IC24" s="1266"/>
      <c r="ID24" s="1259" t="s">
        <v>5513</v>
      </c>
      <c r="IE24" s="12"/>
      <c r="IF24" s="962"/>
      <c r="IG24" s="1258" t="s">
        <v>4608</v>
      </c>
      <c r="II24" s="1159" t="str">
        <f t="shared" si="920"/>
        <v>#NAME?</v>
      </c>
      <c r="IJ24" s="1494" t="s">
        <v>3649</v>
      </c>
      <c r="IK24" s="1497" t="str">
        <f t="shared" si="921"/>
        <v>#NAME?</v>
      </c>
      <c r="IL24" s="1498" t="str">
        <f t="shared" si="922"/>
        <v>#NAME?</v>
      </c>
      <c r="IM24" s="1495" t="s">
        <v>5158</v>
      </c>
      <c r="IN24" s="21"/>
      <c r="IQ24" s="349"/>
      <c r="IR24" s="349"/>
      <c r="IT24" s="1230"/>
      <c r="IU24" s="983" t="str">
        <f t="shared" ref="IU24:IU26" si="1172">MONICON21(IV24)</f>
        <v>#NAME?</v>
      </c>
      <c r="IV24" s="1315" t="s">
        <v>653</v>
      </c>
      <c r="IW24" s="1311" t="str">
        <f t="shared" ref="IW24:IW26" si="1173">MONTYPEICON1(IV24)</f>
        <v>#NAME?</v>
      </c>
      <c r="IX24" s="1312" t="str">
        <f t="shared" ref="IX24:IX26" si="1174">MONTYPEICON2(IV24)</f>
        <v>#NAME?</v>
      </c>
      <c r="IY24" s="1316" t="s">
        <v>5084</v>
      </c>
      <c r="IZ24" s="442"/>
      <c r="JA24" s="983" t="str">
        <f t="shared" ref="JA24:JA26" si="1175">MONICON21(JB24)</f>
        <v>#NAME?</v>
      </c>
      <c r="JB24" s="1301" t="s">
        <v>885</v>
      </c>
      <c r="JC24" s="1311" t="str">
        <f t="shared" ref="JC24:JC26" si="1176">MONTYPEICON1(JB24)</f>
        <v>#NAME?</v>
      </c>
      <c r="JD24" s="1312" t="str">
        <f t="shared" ref="JD24:JD26" si="1177">MONTYPEICON2(JB24)</f>
        <v>#NAME?</v>
      </c>
      <c r="JE24" s="1303" t="s">
        <v>5214</v>
      </c>
      <c r="JF24" s="442"/>
      <c r="JI24" s="349"/>
      <c r="JJ24" s="349"/>
      <c r="JK24" s="349"/>
      <c r="JL24" s="442"/>
      <c r="JM24" s="1068" t="str">
        <f t="shared" si="1130"/>
        <v>#NAME?</v>
      </c>
      <c r="JN24" s="1076" t="s">
        <v>82</v>
      </c>
      <c r="JO24" s="1358" t="str">
        <f t="shared" si="1131"/>
        <v>#NAME?</v>
      </c>
      <c r="JP24" s="1359" t="str">
        <f t="shared" si="1132"/>
        <v>#NAME?</v>
      </c>
      <c r="JQ24" s="1093" t="s">
        <v>5158</v>
      </c>
      <c r="JR24" s="442"/>
      <c r="JS24" s="961" t="s">
        <v>5514</v>
      </c>
      <c r="JT24" s="12"/>
      <c r="JU24" s="12"/>
      <c r="JV24" s="12"/>
      <c r="JW24" s="48"/>
      <c r="JX24" s="1230"/>
      <c r="JY24" s="1012" t="str">
        <f t="shared" si="1094"/>
        <v>#NAME?</v>
      </c>
      <c r="JZ24" s="1415" t="s">
        <v>3485</v>
      </c>
      <c r="KA24" s="1013" t="str">
        <f t="shared" si="1095"/>
        <v>#NAME?</v>
      </c>
      <c r="KB24" s="1015" t="str">
        <f t="shared" si="1096"/>
        <v>#NAME?</v>
      </c>
      <c r="KC24" s="1416" t="s">
        <v>5014</v>
      </c>
      <c r="KD24" s="1230"/>
      <c r="KE24" s="1266"/>
      <c r="KF24" s="1259" t="s">
        <v>5515</v>
      </c>
      <c r="KG24" s="12"/>
      <c r="KH24" s="962"/>
      <c r="KI24" s="1258" t="s">
        <v>4608</v>
      </c>
      <c r="KK24" s="961" t="s">
        <v>5516</v>
      </c>
      <c r="KL24" s="12"/>
      <c r="KM24" s="12"/>
      <c r="KN24" s="12"/>
      <c r="KO24" s="48"/>
      <c r="KS24" s="349"/>
      <c r="KT24" s="108"/>
      <c r="KU24" s="349"/>
      <c r="KW24" s="1273"/>
      <c r="KX24" s="1274" t="s">
        <v>4908</v>
      </c>
      <c r="KY24" s="959"/>
      <c r="KZ24" s="957"/>
      <c r="LA24" s="1282" t="s">
        <v>4608</v>
      </c>
      <c r="LB24" s="442"/>
      <c r="LC24" s="985" t="str">
        <f>MONICON21(LD24)</f>
        <v>#NAME?</v>
      </c>
      <c r="LD24" s="1229" t="s">
        <v>1680</v>
      </c>
      <c r="LE24" s="1092" t="str">
        <f>MONTYPEICON1(LD24)</f>
        <v>#NAME?</v>
      </c>
      <c r="LF24" s="987" t="str">
        <f>MONTYPEICON2(LD24)</f>
        <v>#NAME?</v>
      </c>
      <c r="LG24" s="1424" t="s">
        <v>5162</v>
      </c>
      <c r="LK24" s="349"/>
      <c r="LL24" s="349"/>
      <c r="LO24" s="983" t="str">
        <f t="shared" ref="LO24:LO26" si="1178">MONICON21(LP24)</f>
        <v>#NAME?</v>
      </c>
      <c r="LP24" s="1301" t="s">
        <v>3370</v>
      </c>
      <c r="LQ24" s="977" t="str">
        <f t="shared" ref="LQ24:LQ26" si="1179">MONTYPEICON1(LP24)</f>
        <v>#NAME?</v>
      </c>
      <c r="LR24" s="980" t="str">
        <f t="shared" ref="LR24:LR26" si="1180">MONTYPEICON2(LP24)</f>
        <v>#NAME?</v>
      </c>
      <c r="LS24" s="1318" t="s">
        <v>5162</v>
      </c>
      <c r="LU24" s="1594" t="s">
        <v>5517</v>
      </c>
      <c r="LV24" s="12"/>
      <c r="LW24" s="12"/>
      <c r="LX24" s="12"/>
      <c r="LY24" s="48"/>
      <c r="MC24" s="349"/>
      <c r="MD24" s="349"/>
      <c r="MG24" s="983" t="str">
        <f t="shared" ref="MG24:MG26" si="1181">MONICON21(MH24)</f>
        <v>#NAME?</v>
      </c>
      <c r="MH24" s="1301" t="s">
        <v>1984</v>
      </c>
      <c r="MI24" s="977" t="str">
        <f t="shared" ref="MI24:MI26" si="1182">MONTYPEICON1(MH24)</f>
        <v>#NAME?</v>
      </c>
      <c r="MJ24" s="980" t="str">
        <f t="shared" ref="MJ24:MJ26" si="1183">MONTYPEICON2(MH24)</f>
        <v>#NAME?</v>
      </c>
      <c r="MK24" s="1318" t="s">
        <v>5106</v>
      </c>
      <c r="MM24" s="1049" t="str">
        <f t="shared" si="1097"/>
        <v>#NAME?</v>
      </c>
      <c r="MN24" s="1127" t="s">
        <v>3700</v>
      </c>
      <c r="MO24" s="1051" t="str">
        <f t="shared" si="1098"/>
        <v>#NAME?</v>
      </c>
      <c r="MP24" s="1131" t="str">
        <f t="shared" si="1099"/>
        <v>#NAME?</v>
      </c>
      <c r="MQ24" s="1422" t="s">
        <v>5015</v>
      </c>
      <c r="MS24" s="961" t="s">
        <v>5518</v>
      </c>
      <c r="MT24" s="12"/>
      <c r="MU24" s="48"/>
      <c r="MV24" s="349"/>
      <c r="MW24" s="442"/>
      <c r="MX24" s="442"/>
      <c r="MY24" s="983" t="str">
        <f t="shared" ref="MY24:MY25" si="1184">MONICON21(MZ24)</f>
        <v>#NAME?</v>
      </c>
      <c r="MZ24" s="1301" t="s">
        <v>4325</v>
      </c>
      <c r="NA24" s="1033" t="str">
        <f t="shared" ref="NA24:NA25" si="1185">MONTYPEICON1(MZ24)</f>
        <v>#NAME?</v>
      </c>
      <c r="NB24" s="1035" t="str">
        <f t="shared" ref="NB24:NB25" si="1186">MONTYPEICON2(MZ24)</f>
        <v>#NAME?</v>
      </c>
      <c r="NC24" s="1318" t="s">
        <v>5032</v>
      </c>
      <c r="ND24" s="442"/>
      <c r="NE24" s="983" t="str">
        <f t="shared" ref="NE24:NE26" si="1187">MONICON21(NF24)</f>
        <v>#NAME?</v>
      </c>
      <c r="NF24" s="1301" t="s">
        <v>1242</v>
      </c>
      <c r="NG24" s="1311" t="str">
        <f t="shared" ref="NG24:NG26" si="1188">MONTYPEICON1(NF24)</f>
        <v>#NAME?</v>
      </c>
      <c r="NH24" s="1312" t="str">
        <f t="shared" ref="NH24:NH26" si="1189">MONTYPEICON2(NF24)</f>
        <v>#NAME?</v>
      </c>
      <c r="NI24" s="1318" t="s">
        <v>5017</v>
      </c>
      <c r="NJ24" s="65"/>
      <c r="NM24" s="349"/>
      <c r="NN24" s="349"/>
      <c r="NQ24" s="1277"/>
      <c r="NR24" s="1264" t="s">
        <v>5519</v>
      </c>
      <c r="NS24" s="12"/>
      <c r="NT24" s="962"/>
      <c r="NU24" s="1265" t="s">
        <v>4608</v>
      </c>
      <c r="NV24" s="442"/>
      <c r="NW24" s="1266"/>
      <c r="NX24" s="1259" t="s">
        <v>5520</v>
      </c>
      <c r="NY24" s="12"/>
      <c r="NZ24" s="962"/>
      <c r="OA24" s="1258" t="s">
        <v>4608</v>
      </c>
      <c r="OB24" s="442"/>
      <c r="OE24" s="349"/>
      <c r="OF24" s="349"/>
      <c r="OH24" s="442"/>
      <c r="OI24" s="1068" t="str">
        <f t="shared" si="1133"/>
        <v>#NAME?</v>
      </c>
      <c r="OJ24" s="1076" t="s">
        <v>3388</v>
      </c>
      <c r="OK24" s="1358" t="str">
        <f t="shared" si="1134"/>
        <v>#NAME?</v>
      </c>
      <c r="OL24" s="1359" t="str">
        <f t="shared" si="1135"/>
        <v>#NAME?</v>
      </c>
      <c r="OM24" s="1368" t="s">
        <v>5020</v>
      </c>
      <c r="ON24" s="442"/>
      <c r="OO24" s="961" t="s">
        <v>5109</v>
      </c>
      <c r="OP24" s="12"/>
      <c r="OQ24" s="12"/>
      <c r="OR24" s="48"/>
      <c r="OW24" s="349"/>
      <c r="OX24" s="349"/>
      <c r="OZ24" s="442"/>
      <c r="PA24" s="983" t="str">
        <f t="shared" ref="PA24:PA26" si="1190">MONICON21(PB24)</f>
        <v>#NAME?</v>
      </c>
      <c r="PB24" s="1301" t="s">
        <v>3485</v>
      </c>
      <c r="PC24" s="1311" t="str">
        <f t="shared" ref="PC24:PC26" si="1191">MONTYPEICON1(PB24)</f>
        <v>#NAME?</v>
      </c>
      <c r="PD24" s="1312" t="str">
        <f t="shared" ref="PD24:PD26" si="1192">MONTYPEICON2(PB24)</f>
        <v>#NAME?</v>
      </c>
      <c r="PE24" s="1318" t="s">
        <v>5146</v>
      </c>
      <c r="PF24" s="442"/>
      <c r="PG24" s="1068" t="str">
        <f t="shared" si="1136"/>
        <v>#NAME?</v>
      </c>
      <c r="PH24" s="1076" t="s">
        <v>4257</v>
      </c>
      <c r="PI24" s="1358" t="str">
        <f t="shared" si="1137"/>
        <v>#NAME?</v>
      </c>
      <c r="PJ24" s="1359" t="str">
        <f t="shared" si="1138"/>
        <v>#NAME?</v>
      </c>
      <c r="PK24" s="1368" t="s">
        <v>5022</v>
      </c>
      <c r="PM24" s="983" t="str">
        <f t="shared" ref="PM24:PM27" si="1193">MONICON21(PN24)</f>
        <v>#NAME?</v>
      </c>
      <c r="PN24" s="1301" t="s">
        <v>1039</v>
      </c>
      <c r="PO24" s="1311" t="str">
        <f t="shared" ref="PO24:PO27" si="1194">MONTYPEICON1(PN24)</f>
        <v>#NAME?</v>
      </c>
      <c r="PP24" s="1312" t="str">
        <f t="shared" ref="PP24:PP27" si="1195">MONTYPEICON2(PN24)</f>
        <v>#NAME?</v>
      </c>
      <c r="PQ24" s="1318" t="s">
        <v>5021</v>
      </c>
      <c r="PS24" s="1068" t="str">
        <f t="shared" si="1139"/>
        <v>#NAME?</v>
      </c>
      <c r="PT24" s="1076" t="s">
        <v>3460</v>
      </c>
      <c r="PU24" s="1358" t="str">
        <f t="shared" si="1140"/>
        <v>#NAME?</v>
      </c>
      <c r="PV24" s="1359" t="str">
        <f t="shared" si="1141"/>
        <v>#NAME?</v>
      </c>
      <c r="PW24" s="1368" t="s">
        <v>5352</v>
      </c>
      <c r="PX24" s="442"/>
      <c r="PY24" s="1096" t="str">
        <f t="shared" si="1004"/>
        <v>#NAME?</v>
      </c>
      <c r="PZ24" s="1098" t="s">
        <v>1376</v>
      </c>
      <c r="QA24" s="1418" t="str">
        <f t="shared" si="1005"/>
        <v>#NAME?</v>
      </c>
      <c r="QB24" s="1419" t="str">
        <f t="shared" si="1006"/>
        <v>#NAME?</v>
      </c>
      <c r="QC24" s="1423" t="s">
        <v>5023</v>
      </c>
      <c r="QD24" s="442"/>
      <c r="QE24" s="1027" t="str">
        <f t="shared" si="1142"/>
        <v>#NAME?</v>
      </c>
      <c r="QF24" s="1340" t="s">
        <v>2065</v>
      </c>
      <c r="QG24" s="1360" t="str">
        <f t="shared" si="1143"/>
        <v>#NAME?</v>
      </c>
      <c r="QH24" s="1361" t="str">
        <f t="shared" si="1144"/>
        <v>#NAME?</v>
      </c>
      <c r="QI24" s="1376" t="s">
        <v>5032</v>
      </c>
      <c r="QJ24" s="442"/>
      <c r="QK24" s="983" t="str">
        <f t="shared" ref="QK24:QK29" si="1196">MONICON21(QL24)</f>
        <v>#NAME?</v>
      </c>
      <c r="QL24" s="1301" t="s">
        <v>2642</v>
      </c>
      <c r="QM24" s="977" t="str">
        <f t="shared" ref="QM24:QM29" si="1197">MONTYPEICON1(QL24)</f>
        <v>#NAME?</v>
      </c>
      <c r="QN24" s="980" t="str">
        <f t="shared" ref="QN24:QN29" si="1198">MONTYPEICON2(QL24)</f>
        <v>#NAME?</v>
      </c>
      <c r="QO24" s="1303" t="s">
        <v>5031</v>
      </c>
      <c r="QP24" s="442"/>
      <c r="QQ24" s="983" t="str">
        <f t="shared" ref="QQ24:QQ29" si="1199">MONICON21(QR24)</f>
        <v>#NAME?</v>
      </c>
      <c r="QR24" s="1301" t="s">
        <v>2341</v>
      </c>
      <c r="QS24" s="977" t="str">
        <f t="shared" ref="QS24:QS29" si="1200">MONTYPEICON1(QR24)</f>
        <v>#NAME?</v>
      </c>
      <c r="QT24" s="980" t="str">
        <f t="shared" ref="QT24:QT29" si="1201">MONTYPEICON2(QR24)</f>
        <v>#NAME?</v>
      </c>
      <c r="QU24" s="1303" t="s">
        <v>5033</v>
      </c>
      <c r="QW24" s="983" t="str">
        <f t="shared" ref="QW24:QW29" si="1202">MONICON21(QX24)</f>
        <v>#NAME?</v>
      </c>
      <c r="QX24" s="1301" t="s">
        <v>493</v>
      </c>
      <c r="QY24" s="977" t="str">
        <f t="shared" ref="QY24:QY29" si="1203">MONTYPEICON1(QX24)</f>
        <v>#NAME?</v>
      </c>
      <c r="QZ24" s="980" t="str">
        <f t="shared" ref="QZ24:QZ29" si="1204">MONTYPEICON2(QX24)</f>
        <v>#NAME?</v>
      </c>
      <c r="RA24" s="1303" t="s">
        <v>5112</v>
      </c>
      <c r="RB24" s="442"/>
      <c r="RC24" s="983" t="str">
        <f t="shared" ref="RC24:RC29" si="1205">MONICON21(RD24)</f>
        <v>#NAME?</v>
      </c>
      <c r="RD24" s="1301" t="s">
        <v>1039</v>
      </c>
      <c r="RE24" s="977" t="str">
        <f t="shared" ref="RE24:RE29" si="1206">MONTYPEICON1(RD24)</f>
        <v>#NAME?</v>
      </c>
      <c r="RF24" s="980" t="str">
        <f t="shared" ref="RF24:RF29" si="1207">MONTYPEICON2(RD24)</f>
        <v>#NAME?</v>
      </c>
      <c r="RG24" s="1303" t="s">
        <v>5113</v>
      </c>
      <c r="RH24" s="442"/>
      <c r="RI24" s="983" t="str">
        <f t="shared" ref="RI24:RI29" si="1208">MONICON21(RJ24)</f>
        <v>#NAME?</v>
      </c>
      <c r="RJ24" s="1301" t="s">
        <v>4190</v>
      </c>
      <c r="RK24" s="977" t="str">
        <f t="shared" ref="RK24:RK29" si="1209">MONTYPEICON1(RJ24)</f>
        <v>#NAME?</v>
      </c>
      <c r="RL24" s="980" t="str">
        <f t="shared" ref="RL24:RL29" si="1210">MONTYPEICON2(RJ24)</f>
        <v>#NAME?</v>
      </c>
      <c r="RM24" s="1303" t="s">
        <v>5092</v>
      </c>
      <c r="RN24" s="442"/>
      <c r="RQ24" s="349"/>
      <c r="RR24" s="349"/>
      <c r="RT24" s="442"/>
      <c r="RU24" s="983" t="str">
        <f t="shared" ref="RU24:RU27" si="1211">MONICON21(RV24)</f>
        <v>#NAME?</v>
      </c>
      <c r="RV24" s="1301" t="s">
        <v>1321</v>
      </c>
      <c r="RW24" s="1311" t="str">
        <f t="shared" ref="RW24:RW27" si="1212">MONTYPEICON1(RV24)</f>
        <v>#NAME?</v>
      </c>
      <c r="RX24" s="1312" t="str">
        <f t="shared" ref="RX24:RX27" si="1213">MONTYPEICON2(RV24)</f>
        <v>#NAME?</v>
      </c>
      <c r="RY24" s="1318" t="s">
        <v>5112</v>
      </c>
      <c r="RZ24" s="442"/>
      <c r="SC24" s="349"/>
      <c r="SD24" s="349"/>
      <c r="SF24" s="442"/>
      <c r="SG24" s="1105" t="str">
        <f t="shared" si="944"/>
        <v>#NAME?</v>
      </c>
      <c r="SH24" s="1505" t="s">
        <v>559</v>
      </c>
      <c r="SI24" s="1080" t="str">
        <f t="shared" si="945"/>
        <v>#NAME?</v>
      </c>
      <c r="SJ24" s="1126" t="str">
        <f t="shared" si="946"/>
        <v>#NAME?</v>
      </c>
      <c r="SK24" s="1506" t="s">
        <v>5092</v>
      </c>
      <c r="SL24" s="442"/>
      <c r="SO24" s="349"/>
      <c r="SP24" s="349"/>
      <c r="SU24" s="349"/>
      <c r="SV24" s="349"/>
      <c r="TA24" s="349"/>
      <c r="TB24" s="349"/>
      <c r="TD24" s="65"/>
      <c r="TE24" s="1351" t="str">
        <f t="shared" si="1145"/>
        <v>#NAME?</v>
      </c>
      <c r="TF24" s="1372" t="s">
        <v>4197</v>
      </c>
      <c r="TG24" s="1353" t="str">
        <f t="shared" si="1146"/>
        <v>#NAME?</v>
      </c>
      <c r="TH24" s="1354" t="str">
        <f t="shared" si="1147"/>
        <v>#NAME?</v>
      </c>
      <c r="TI24" s="1367" t="s">
        <v>5092</v>
      </c>
      <c r="TJ24" s="65"/>
      <c r="TK24" s="1068" t="str">
        <f t="shared" si="1148"/>
        <v>#NAME?</v>
      </c>
      <c r="TL24" s="1076" t="s">
        <v>1680</v>
      </c>
      <c r="TM24" s="1358" t="str">
        <f t="shared" si="1149"/>
        <v>#NAME?</v>
      </c>
      <c r="TN24" s="1359" t="str">
        <f t="shared" si="1150"/>
        <v>#NAME?</v>
      </c>
      <c r="TO24" s="1368" t="s">
        <v>5026</v>
      </c>
      <c r="TP24" s="442"/>
      <c r="TQ24" s="1068" t="str">
        <f t="shared" si="1151"/>
        <v>#NAME?</v>
      </c>
      <c r="TR24" s="1076" t="s">
        <v>3750</v>
      </c>
      <c r="TS24" s="1358" t="str">
        <f t="shared" si="1152"/>
        <v>#NAME?</v>
      </c>
      <c r="TT24" s="1359" t="str">
        <f t="shared" si="1153"/>
        <v>#NAME?</v>
      </c>
      <c r="TU24" s="1368" t="s">
        <v>5026</v>
      </c>
      <c r="TW24" s="961" t="s">
        <v>5245</v>
      </c>
      <c r="TX24" s="12"/>
      <c r="TY24" s="12"/>
      <c r="TZ24" s="48"/>
      <c r="UI24" s="1383" t="str">
        <f t="shared" si="1154"/>
        <v>#NAME?</v>
      </c>
      <c r="UJ24" s="1384" t="s">
        <v>3722</v>
      </c>
      <c r="UK24" s="1383" t="str">
        <f t="shared" si="1155"/>
        <v>#NAME?</v>
      </c>
      <c r="UL24" s="1385" t="str">
        <f t="shared" si="1156"/>
        <v>#NAME?</v>
      </c>
      <c r="UM24" s="1386" t="s">
        <v>5028</v>
      </c>
      <c r="UO24" s="1033" t="str">
        <f t="shared" ref="UO24:UO25" si="1214">MONICON21(UP24)</f>
        <v>#NAME?</v>
      </c>
      <c r="UP24" s="1301" t="s">
        <v>4146</v>
      </c>
      <c r="UQ24" s="977" t="str">
        <f t="shared" ref="UQ24:UQ25" si="1215">MONTYPEICON1(UP24)</f>
        <v>#NAME?</v>
      </c>
      <c r="UR24" s="980" t="str">
        <f t="shared" ref="UR24:UR25" si="1216">MONTYPEICON2(UP24)</f>
        <v>#NAME?</v>
      </c>
      <c r="US24" s="1303" t="s">
        <v>5028</v>
      </c>
      <c r="UU24" s="1033" t="str">
        <f t="shared" ref="UU24:UU25" si="1217">MONICON21(UV24)</f>
        <v>#NAME?</v>
      </c>
      <c r="UV24" s="1301" t="s">
        <v>3700</v>
      </c>
      <c r="UW24" s="977" t="str">
        <f t="shared" ref="UW24:UW25" si="1218">MONTYPEICON1(UV24)</f>
        <v>#NAME?</v>
      </c>
      <c r="UX24" s="980" t="str">
        <f t="shared" ref="UX24:UX25" si="1219">MONTYPEICON2(UV24)</f>
        <v>#NAME?</v>
      </c>
      <c r="UY24" s="1303" t="s">
        <v>5029</v>
      </c>
      <c r="VA24" s="1293"/>
      <c r="VB24" s="1291" t="s">
        <v>5521</v>
      </c>
      <c r="VC24" s="12"/>
      <c r="VD24" s="962"/>
      <c r="VE24" s="1292" t="s">
        <v>4608</v>
      </c>
      <c r="VG24" s="442"/>
      <c r="VH24" s="442"/>
      <c r="VI24" s="442"/>
      <c r="VJ24" s="442"/>
      <c r="VK24" s="442"/>
      <c r="VL24" s="442"/>
      <c r="VM24" s="1383" t="str">
        <f t="shared" si="1070"/>
        <v>#NAME?</v>
      </c>
      <c r="VN24" s="1384" t="s">
        <v>839</v>
      </c>
      <c r="VO24" s="1383" t="str">
        <f t="shared" si="1071"/>
        <v>#NAME?</v>
      </c>
      <c r="VP24" s="1385" t="str">
        <f t="shared" si="1072"/>
        <v>#NAME?</v>
      </c>
      <c r="VQ24" s="1386" t="s">
        <v>5449</v>
      </c>
      <c r="VR24" s="442"/>
      <c r="VS24" s="1289" t="s">
        <v>5522</v>
      </c>
      <c r="VT24" s="12"/>
      <c r="VU24" s="12"/>
      <c r="VV24" s="12"/>
      <c r="VW24" s="48"/>
      <c r="VX24" s="442"/>
      <c r="VY24" s="1294"/>
      <c r="VZ24" s="1291" t="s">
        <v>5523</v>
      </c>
      <c r="WA24" s="12"/>
      <c r="WB24" s="962"/>
      <c r="WC24" s="1292" t="s">
        <v>4608</v>
      </c>
      <c r="WD24" s="442"/>
      <c r="WE24" s="1051" t="str">
        <f t="shared" si="1109"/>
        <v>#NAME?</v>
      </c>
      <c r="WF24" s="1127" t="s">
        <v>1680</v>
      </c>
      <c r="WG24" s="1051" t="str">
        <f t="shared" si="1110"/>
        <v>#NAME?</v>
      </c>
      <c r="WH24" s="1131" t="str">
        <f t="shared" si="1111"/>
        <v>#NAME?</v>
      </c>
      <c r="WI24" s="1095" t="s">
        <v>5032</v>
      </c>
      <c r="WJ24" s="442"/>
      <c r="WK24" s="1092" t="str">
        <f>MONICON21(WL24)</f>
        <v>#NAME?</v>
      </c>
      <c r="WL24" s="1590" t="s">
        <v>903</v>
      </c>
      <c r="WM24" s="1092" t="str">
        <f>MONTYPEICON1(WL24)</f>
        <v>#NAME?</v>
      </c>
      <c r="WN24" s="987" t="str">
        <f>MONTYPEICON2(WL24)</f>
        <v>#NAME?</v>
      </c>
      <c r="WO24" s="1309" t="s">
        <v>5431</v>
      </c>
      <c r="WP24" s="442"/>
      <c r="WQ24" s="442"/>
      <c r="WR24" s="442"/>
      <c r="WS24" s="442"/>
      <c r="WT24" s="442"/>
      <c r="WU24" s="442"/>
      <c r="WV24" s="442"/>
      <c r="WW24" s="1092" t="str">
        <f>MONICON21(WX24)</f>
        <v>#NAME?</v>
      </c>
      <c r="WX24" s="1052" t="s">
        <v>2789</v>
      </c>
      <c r="WY24" s="1092" t="str">
        <f>MONTYPEICON1(WX24)</f>
        <v>#NAME?</v>
      </c>
      <c r="WZ24" s="987" t="str">
        <f>MONTYPEICON2(WX24)</f>
        <v>#NAME?</v>
      </c>
      <c r="XA24" s="1327" t="s">
        <v>5174</v>
      </c>
      <c r="XB24" s="442"/>
      <c r="XC24" s="1387" t="str">
        <f t="shared" si="1073"/>
        <v>#NAME?</v>
      </c>
      <c r="XD24" s="1388" t="s">
        <v>1312</v>
      </c>
      <c r="XE24" s="1387" t="str">
        <f t="shared" si="1074"/>
        <v>#NAME?</v>
      </c>
      <c r="XF24" s="1392" t="str">
        <f t="shared" si="1075"/>
        <v>#NAME?</v>
      </c>
      <c r="XG24" s="1394" t="s">
        <v>5017</v>
      </c>
      <c r="XH24" s="442"/>
      <c r="XI24" s="1383" t="str">
        <f t="shared" si="950"/>
        <v>#NAME?</v>
      </c>
      <c r="XJ24" s="1384" t="s">
        <v>3736</v>
      </c>
      <c r="XK24" s="1383" t="str">
        <f t="shared" si="951"/>
        <v>#NAME?</v>
      </c>
      <c r="XL24" s="1385" t="str">
        <f t="shared" si="952"/>
        <v>#NAME?</v>
      </c>
      <c r="XM24" s="1507" t="s">
        <v>5410</v>
      </c>
      <c r="XN24" s="442"/>
      <c r="XO24" s="1294"/>
      <c r="XP24" s="1291" t="s">
        <v>5524</v>
      </c>
      <c r="XQ24" s="12"/>
      <c r="XR24" s="962"/>
      <c r="XS24" s="1292" t="s">
        <v>4608</v>
      </c>
      <c r="XT24" s="442"/>
      <c r="XU24" s="442"/>
      <c r="XV24" s="442"/>
      <c r="XW24" s="442"/>
      <c r="XX24" s="442"/>
      <c r="XY24" s="442"/>
      <c r="XZ24" s="442"/>
      <c r="YA24" s="1051" t="str">
        <f t="shared" si="1112"/>
        <v>#NAME?</v>
      </c>
      <c r="YB24" s="1127" t="s">
        <v>4174</v>
      </c>
      <c r="YC24" s="1051" t="str">
        <f t="shared" si="1113"/>
        <v>#NAME?</v>
      </c>
      <c r="YD24" s="1131" t="str">
        <f t="shared" si="1114"/>
        <v>#NAME?</v>
      </c>
      <c r="YE24" s="1095" t="s">
        <v>5018</v>
      </c>
      <c r="YF24" s="442"/>
      <c r="YG24" s="1051" t="str">
        <f t="shared" si="1115"/>
        <v>#NAME?</v>
      </c>
      <c r="YH24" s="1127" t="s">
        <v>1292</v>
      </c>
      <c r="YI24" s="1051" t="str">
        <f t="shared" si="1116"/>
        <v>#NAME?</v>
      </c>
      <c r="YJ24" s="1131" t="str">
        <f t="shared" si="1117"/>
        <v>#NAME?</v>
      </c>
      <c r="YK24" s="1095" t="s">
        <v>5018</v>
      </c>
      <c r="YL24" s="442"/>
      <c r="YM24" s="977" t="str">
        <f t="shared" ref="YM24:YM26" si="1220">MONICON21(YN24)</f>
        <v>#NAME?</v>
      </c>
      <c r="YN24" s="1301" t="s">
        <v>4167</v>
      </c>
      <c r="YO24" s="977" t="str">
        <f t="shared" ref="YO24:YO26" si="1221">MONTYPEICON1(YN24)</f>
        <v>#NAME?</v>
      </c>
      <c r="YP24" s="980" t="str">
        <f t="shared" ref="YP24:YP26" si="1222">MONTYPEICON2(YN24)</f>
        <v>#NAME?</v>
      </c>
      <c r="YQ24" s="1303" t="s">
        <v>5025</v>
      </c>
      <c r="YR24" s="442"/>
      <c r="YS24" s="1033" t="str">
        <f t="shared" ref="YS24:YS25" si="1223">MONICON21(YT24)</f>
        <v>#NAME?</v>
      </c>
      <c r="YT24" s="1301" t="s">
        <v>3700</v>
      </c>
      <c r="YU24" s="977" t="str">
        <f t="shared" ref="YU24:YU25" si="1224">MONTYPEICON1(YT24)</f>
        <v>#NAME?</v>
      </c>
      <c r="YV24" s="980" t="str">
        <f t="shared" ref="YV24:YV25" si="1225">MONTYPEICON2(YT24)</f>
        <v>#NAME?</v>
      </c>
      <c r="YW24" s="1302" t="s">
        <v>5031</v>
      </c>
      <c r="YX24" s="442"/>
      <c r="YY24" s="1387" t="str">
        <f t="shared" si="1157"/>
        <v>#NAME?</v>
      </c>
      <c r="YZ24" s="1388" t="s">
        <v>3103</v>
      </c>
      <c r="ZA24" s="1387" t="str">
        <f t="shared" si="1158"/>
        <v>#NAME?</v>
      </c>
      <c r="ZB24" s="1392" t="str">
        <f t="shared" si="1159"/>
        <v>#NAME?</v>
      </c>
      <c r="ZC24" s="1391" t="s">
        <v>5033</v>
      </c>
      <c r="ZD24" s="442"/>
      <c r="ZE24" s="977" t="str">
        <f t="shared" ref="ZE24:ZE26" si="1226">MONICON21(ZF24)</f>
        <v>#NAME?</v>
      </c>
      <c r="ZF24" s="1301" t="s">
        <v>3722</v>
      </c>
      <c r="ZG24" s="977" t="str">
        <f t="shared" ref="ZG24:ZG26" si="1227">MONTYPEICON1(ZF24)</f>
        <v>#NAME?</v>
      </c>
      <c r="ZH24" s="980" t="str">
        <f t="shared" ref="ZH24:ZH26" si="1228">MONTYPEICON2(ZF24)</f>
        <v>#NAME?</v>
      </c>
      <c r="ZI24" s="1303" t="s">
        <v>5032</v>
      </c>
      <c r="ZJ24" s="442"/>
      <c r="ZK24" s="977" t="str">
        <f t="shared" ref="ZK24:ZK26" si="1229">MONICON21(ZL24)</f>
        <v>#NAME?</v>
      </c>
      <c r="ZL24" s="1301" t="s">
        <v>3843</v>
      </c>
      <c r="ZM24" s="977" t="str">
        <f t="shared" ref="ZM24:ZM26" si="1230">MONTYPEICON1(ZL24)</f>
        <v>#NAME?</v>
      </c>
      <c r="ZN24" s="980" t="str">
        <f t="shared" ref="ZN24:ZN26" si="1231">MONTYPEICON2(ZL24)</f>
        <v>#NAME?</v>
      </c>
      <c r="ZO24" s="1303" t="s">
        <v>5025</v>
      </c>
      <c r="ZP24" s="442"/>
      <c r="ZQ24" s="1289" t="s">
        <v>5057</v>
      </c>
      <c r="ZR24" s="12"/>
      <c r="ZS24" s="12"/>
      <c r="ZT24" s="12"/>
      <c r="ZU24" s="48"/>
      <c r="ZV24" s="442"/>
      <c r="ZW24" s="484"/>
      <c r="ZX24" s="484"/>
      <c r="ZY24" s="484"/>
      <c r="ZZ24" s="484"/>
      <c r="AAA24" s="484"/>
      <c r="AAB24" s="442"/>
      <c r="AAC24" s="108"/>
      <c r="AAD24" s="442"/>
      <c r="AAE24" s="108"/>
      <c r="AAF24" s="108"/>
      <c r="AAG24" s="442"/>
      <c r="AAH24" s="442"/>
      <c r="AAI24" s="1383" t="str">
        <f t="shared" si="959"/>
        <v>#NAME?</v>
      </c>
      <c r="AAJ24" s="1384" t="s">
        <v>3603</v>
      </c>
      <c r="AAK24" s="1383" t="str">
        <f t="shared" si="960"/>
        <v>#NAME?</v>
      </c>
      <c r="AAL24" s="1385" t="str">
        <f t="shared" si="961"/>
        <v>#NAME?</v>
      </c>
      <c r="AAM24" s="1510" t="s">
        <v>5228</v>
      </c>
      <c r="AAO24" s="1383" t="str">
        <f t="shared" si="962"/>
        <v>#NAME?</v>
      </c>
      <c r="AAP24" s="1384" t="s">
        <v>3603</v>
      </c>
      <c r="AAQ24" s="1383" t="str">
        <f t="shared" si="963"/>
        <v>#NAME?</v>
      </c>
      <c r="AAR24" s="1385" t="str">
        <f t="shared" si="964"/>
        <v>#NAME?</v>
      </c>
      <c r="AAS24" s="1510" t="s">
        <v>5227</v>
      </c>
      <c r="AAU24" s="1383" t="str">
        <f t="shared" si="965"/>
        <v>#NAME?</v>
      </c>
      <c r="AAV24" s="1384" t="s">
        <v>3603</v>
      </c>
      <c r="AAW24" s="1383" t="str">
        <f t="shared" si="966"/>
        <v>#NAME?</v>
      </c>
      <c r="AAX24" s="1385" t="str">
        <f t="shared" si="967"/>
        <v>#NAME?</v>
      </c>
      <c r="AAY24" s="1510" t="s">
        <v>5227</v>
      </c>
      <c r="ABA24" s="1383" t="str">
        <f t="shared" si="968"/>
        <v>#NAME?</v>
      </c>
      <c r="ABB24" s="1384" t="s">
        <v>3941</v>
      </c>
      <c r="ABC24" s="1383" t="str">
        <f t="shared" si="969"/>
        <v>#NAME?</v>
      </c>
      <c r="ABD24" s="1385" t="str">
        <f t="shared" si="970"/>
        <v>#NAME?</v>
      </c>
      <c r="ABE24" s="1510" t="s">
        <v>5176</v>
      </c>
      <c r="ABG24" s="1383" t="str">
        <f t="shared" si="971"/>
        <v>#NAME?</v>
      </c>
      <c r="ABH24" s="1384" t="s">
        <v>3964</v>
      </c>
      <c r="ABI24" s="1383" t="str">
        <f t="shared" si="972"/>
        <v>#NAME?</v>
      </c>
      <c r="ABJ24" s="1385" t="str">
        <f t="shared" si="973"/>
        <v>#NAME?</v>
      </c>
      <c r="ABK24" s="1510" t="s">
        <v>5176</v>
      </c>
      <c r="ABM24" s="1383" t="str">
        <f t="shared" si="974"/>
        <v>#NAME?</v>
      </c>
      <c r="ABN24" s="1384" t="s">
        <v>4091</v>
      </c>
      <c r="ABO24" s="1383" t="str">
        <f t="shared" si="975"/>
        <v>#NAME?</v>
      </c>
      <c r="ABP24" s="1385" t="str">
        <f t="shared" si="976"/>
        <v>#NAME?</v>
      </c>
      <c r="ABQ24" s="1510" t="s">
        <v>5176</v>
      </c>
      <c r="ABS24" s="1383" t="str">
        <f t="shared" si="977"/>
        <v>#NAME?</v>
      </c>
      <c r="ABT24" s="1384" t="s">
        <v>4139</v>
      </c>
      <c r="ABU24" s="1383" t="str">
        <f t="shared" si="978"/>
        <v>#NAME?</v>
      </c>
      <c r="ABV24" s="1385" t="str">
        <f t="shared" si="979"/>
        <v>#NAME?</v>
      </c>
      <c r="ABW24" s="1510" t="s">
        <v>5227</v>
      </c>
      <c r="ABY24" s="1595"/>
      <c r="ABZ24" s="1474" t="s">
        <v>4984</v>
      </c>
      <c r="ACA24" s="1475"/>
      <c r="ACB24" s="1476"/>
      <c r="ACC24" s="1477" t="s">
        <v>4608</v>
      </c>
      <c r="ACJ24" s="996"/>
    </row>
    <row r="25" ht="15.75" customHeight="1">
      <c r="A25" s="1230"/>
      <c r="B25" s="1403" t="str">
        <f>image("https://archives.bulbagarden.net/media/upload/d/d0/Badge_Case_Candice_IV.png", 3)</f>
        <v/>
      </c>
      <c r="C25" s="1404" t="s">
        <v>5525</v>
      </c>
      <c r="D25" s="1382" t="s">
        <v>4608</v>
      </c>
      <c r="E25" s="1230"/>
      <c r="F25" s="1238"/>
      <c r="G25" s="428"/>
      <c r="H25" s="1230"/>
      <c r="I25" s="1584"/>
      <c r="J25" s="1269" t="s">
        <v>5197</v>
      </c>
      <c r="K25" s="12"/>
      <c r="L25" s="962"/>
      <c r="M25" s="1270" t="s">
        <v>4608</v>
      </c>
      <c r="N25" s="1230"/>
      <c r="O25" s="1523" t="s">
        <v>5526</v>
      </c>
      <c r="P25" s="12"/>
      <c r="Q25" s="12"/>
      <c r="R25" s="12"/>
      <c r="S25" s="48"/>
      <c r="T25" s="1230"/>
      <c r="U25" s="1033" t="str">
        <f t="shared" ref="U25:U27" si="1232">MONICON21(V25)</f>
        <v>#NAME?</v>
      </c>
      <c r="V25" s="1301" t="s">
        <v>3657</v>
      </c>
      <c r="W25" s="977" t="str">
        <f t="shared" ref="W25:W27" si="1233">MONTYPEICON1(V25)</f>
        <v>#NAME?</v>
      </c>
      <c r="X25" s="980" t="str">
        <f t="shared" ref="X25:X27" si="1234">MONTYPEICON2(V25)</f>
        <v>#NAME?</v>
      </c>
      <c r="Y25" s="1303" t="s">
        <v>5130</v>
      </c>
      <c r="Z25" s="1230"/>
      <c r="AA25" s="442"/>
      <c r="AB25" s="442"/>
      <c r="AC25" s="442"/>
      <c r="AD25" s="442"/>
      <c r="AE25" s="108"/>
      <c r="AF25" s="1230"/>
      <c r="AG25" s="1021" t="str">
        <f t="shared" si="1082"/>
        <v>#NAME?</v>
      </c>
      <c r="AH25" s="1123" t="s">
        <v>1022</v>
      </c>
      <c r="AI25" s="1021" t="str">
        <f t="shared" si="1083"/>
        <v>#NAME?</v>
      </c>
      <c r="AJ25" s="1024" t="str">
        <f t="shared" si="1084"/>
        <v>#NAME?</v>
      </c>
      <c r="AK25" s="1339" t="s">
        <v>5457</v>
      </c>
      <c r="AL25" s="1230"/>
      <c r="AM25" s="449"/>
      <c r="AN25" s="1230"/>
      <c r="AO25" s="1230"/>
      <c r="AP25" s="1230"/>
      <c r="AQ25" s="1230"/>
      <c r="AR25" s="1230"/>
      <c r="AS25" s="1331"/>
      <c r="AT25" s="1307" t="s">
        <v>4908</v>
      </c>
      <c r="AU25" s="12"/>
      <c r="AV25" s="962"/>
      <c r="AW25" s="1282" t="s">
        <v>4608</v>
      </c>
      <c r="AX25" s="1230"/>
      <c r="AY25" s="1071" t="str">
        <f t="shared" si="1160"/>
        <v>#NAME?</v>
      </c>
      <c r="AZ25" s="1356" t="s">
        <v>2669</v>
      </c>
      <c r="BA25" s="1071" t="str">
        <f t="shared" si="1161"/>
        <v>#NAME?</v>
      </c>
      <c r="BB25" s="1073" t="str">
        <f t="shared" si="1162"/>
        <v>#NAME?</v>
      </c>
      <c r="BC25" s="1338" t="s">
        <v>5076</v>
      </c>
      <c r="BD25" s="1230"/>
      <c r="BE25" s="1071" t="str">
        <f t="shared" si="1163"/>
        <v>#NAME?</v>
      </c>
      <c r="BF25" s="1356" t="s">
        <v>1029</v>
      </c>
      <c r="BG25" s="1071" t="str">
        <f t="shared" si="1164"/>
        <v>#NAME?</v>
      </c>
      <c r="BH25" s="1073" t="str">
        <f t="shared" si="1165"/>
        <v>#NAME?</v>
      </c>
      <c r="BI25" s="1338" t="s">
        <v>5314</v>
      </c>
      <c r="BJ25" s="1230"/>
      <c r="BK25" s="1146" t="str">
        <f t="shared" si="1166"/>
        <v>#NAME?</v>
      </c>
      <c r="BL25" s="1335" t="s">
        <v>4105</v>
      </c>
      <c r="BM25" s="1146" t="str">
        <f t="shared" si="1167"/>
        <v>#NAME?</v>
      </c>
      <c r="BN25" s="1148" t="str">
        <f t="shared" si="1168"/>
        <v>#NAME?</v>
      </c>
      <c r="BO25" s="1336" t="s">
        <v>4994</v>
      </c>
      <c r="BP25" s="442"/>
      <c r="BQ25" s="1053" t="str">
        <f>MONICON21(BR25)</f>
        <v>#NAME?</v>
      </c>
      <c r="BR25" s="1308" t="s">
        <v>2703</v>
      </c>
      <c r="BS25" s="1092" t="str">
        <f>MONTYPEICON1(BR25)</f>
        <v>#NAME?</v>
      </c>
      <c r="BT25" s="987" t="str">
        <f>MONTYPEICON2(BR25)</f>
        <v>#NAME?</v>
      </c>
      <c r="BU25" s="1309" t="s">
        <v>5040</v>
      </c>
      <c r="BV25" s="442"/>
      <c r="BW25" s="961" t="s">
        <v>5527</v>
      </c>
      <c r="BX25" s="12"/>
      <c r="BY25" s="12"/>
      <c r="BZ25" s="12"/>
      <c r="CA25" s="48"/>
      <c r="CB25" s="442"/>
      <c r="CH25" s="442"/>
      <c r="CI25" s="1012" t="str">
        <f t="shared" ref="CI25:CI26" si="1235">MONICON21(CJ25)</f>
        <v>#NAME?</v>
      </c>
      <c r="CJ25" s="1406" t="s">
        <v>4083</v>
      </c>
      <c r="CK25" s="949" t="str">
        <f t="shared" ref="CK25:CK26" si="1236">MONTYPEICON1(CJ25)</f>
        <v>#NAME?</v>
      </c>
      <c r="CL25" s="952" t="str">
        <f t="shared" ref="CL25:CL26" si="1237">MONTYPEICON2(CJ25)</f>
        <v>#NAME?</v>
      </c>
      <c r="CM25" s="1305" t="s">
        <v>5099</v>
      </c>
      <c r="CN25" s="442"/>
      <c r="CO25" s="1012" t="str">
        <f t="shared" ref="CO25:CO26" si="1238">MONICON21(CP25)</f>
        <v>#NAME?</v>
      </c>
      <c r="CP25" s="1304" t="s">
        <v>848</v>
      </c>
      <c r="CQ25" s="977" t="str">
        <f t="shared" ref="CQ25:CQ26" si="1239">MONTYPEICON1(CP25)</f>
        <v>#NAME?</v>
      </c>
      <c r="CR25" s="980" t="str">
        <f t="shared" ref="CR25:CR26" si="1240">MONTYPEICON2(CP25)</f>
        <v>#NAME?</v>
      </c>
      <c r="CS25" s="1305" t="s">
        <v>5040</v>
      </c>
      <c r="CT25" s="442"/>
      <c r="CU25" s="1266"/>
      <c r="CV25" s="1259" t="s">
        <v>5528</v>
      </c>
      <c r="CW25" s="12"/>
      <c r="CX25" s="962"/>
      <c r="CY25" s="1258" t="s">
        <v>4608</v>
      </c>
      <c r="CZ25" s="442"/>
      <c r="DA25" s="961" t="s">
        <v>4812</v>
      </c>
      <c r="DB25" s="12"/>
      <c r="DC25" s="12"/>
      <c r="DD25" s="12"/>
      <c r="DE25" s="48"/>
      <c r="DF25" s="442"/>
      <c r="DG25" s="1096" t="str">
        <f t="shared" si="1121"/>
        <v>#NAME?</v>
      </c>
      <c r="DH25" s="1098" t="s">
        <v>3911</v>
      </c>
      <c r="DI25" s="1013" t="str">
        <f t="shared" si="1122"/>
        <v>#NAME?</v>
      </c>
      <c r="DJ25" s="1015" t="str">
        <f t="shared" si="1123"/>
        <v>#NAME?</v>
      </c>
      <c r="DK25" s="1414" t="s">
        <v>5000</v>
      </c>
      <c r="DL25" s="442"/>
      <c r="DM25" s="1266"/>
      <c r="DN25" s="1259" t="s">
        <v>5529</v>
      </c>
      <c r="DO25" s="12"/>
      <c r="DP25" s="962"/>
      <c r="DQ25" s="1258" t="s">
        <v>4608</v>
      </c>
      <c r="DR25" s="442"/>
      <c r="DS25" s="1012" t="str">
        <f t="shared" ref="DS25:DS27" si="1241">MONICON21(DT25)</f>
        <v>#NAME?</v>
      </c>
      <c r="DT25" s="1301" t="s">
        <v>997</v>
      </c>
      <c r="DU25" s="977" t="str">
        <f t="shared" ref="DU25:DU27" si="1242">MONTYPEICON1(DT25)</f>
        <v>#NAME?</v>
      </c>
      <c r="DV25" s="980" t="str">
        <f t="shared" ref="DV25:DV27" si="1243">MONTYPEICON2(DT25)</f>
        <v>#NAME?</v>
      </c>
      <c r="DW25" s="1303" t="s">
        <v>5135</v>
      </c>
      <c r="DX25" s="442"/>
      <c r="DY25" s="1096" t="str">
        <f t="shared" si="1025"/>
        <v>#NAME?</v>
      </c>
      <c r="DZ25" s="1537" t="s">
        <v>1014</v>
      </c>
      <c r="EA25" s="1418" t="str">
        <f t="shared" si="1026"/>
        <v>#NAME?</v>
      </c>
      <c r="EB25" s="1419" t="str">
        <f t="shared" si="1027"/>
        <v>#NAME?</v>
      </c>
      <c r="EC25" s="1538" t="s">
        <v>5079</v>
      </c>
      <c r="ED25" s="442"/>
      <c r="EE25" s="983" t="str">
        <f t="shared" ref="EE25:EE26" si="1244">MONICON21(EF25)</f>
        <v>#NAME?</v>
      </c>
      <c r="EF25" s="38" t="s">
        <v>2458</v>
      </c>
      <c r="EG25" s="949" t="str">
        <f t="shared" ref="EG25:EG26" si="1245">MONTYPEICON1(EF25)</f>
        <v>#NAME?</v>
      </c>
      <c r="EH25" s="952" t="str">
        <f t="shared" ref="EH25:EH26" si="1246">MONTYPEICON2(EF25)</f>
        <v>#NAME?</v>
      </c>
      <c r="EI25" s="1043" t="s">
        <v>5000</v>
      </c>
      <c r="EJ25" s="1230"/>
      <c r="EK25" s="442"/>
      <c r="EL25" s="442"/>
      <c r="EM25" s="108"/>
      <c r="EN25" s="108"/>
      <c r="EO25" s="108"/>
      <c r="EP25" s="1230"/>
      <c r="EQ25" s="1286"/>
      <c r="ER25" s="1259" t="s">
        <v>5530</v>
      </c>
      <c r="ES25" s="12"/>
      <c r="ET25" s="962"/>
      <c r="EU25" s="1258" t="s">
        <v>4608</v>
      </c>
      <c r="EV25" s="1230"/>
      <c r="EW25" s="1266"/>
      <c r="EX25" s="1259" t="s">
        <v>5531</v>
      </c>
      <c r="EY25" s="12"/>
      <c r="EZ25" s="962"/>
      <c r="FA25" s="1258" t="s">
        <v>4608</v>
      </c>
      <c r="FB25" s="442"/>
      <c r="FC25" s="961" t="s">
        <v>5050</v>
      </c>
      <c r="FD25" s="12"/>
      <c r="FE25" s="48"/>
      <c r="FF25" s="349"/>
      <c r="FG25" s="442"/>
      <c r="FH25" s="442"/>
      <c r="FK25" s="349"/>
      <c r="FL25" s="349"/>
      <c r="FN25" s="442"/>
      <c r="FO25" s="1012" t="str">
        <f t="shared" ref="FO25:FO26" si="1247">MONICON21(FP25)</f>
        <v>#NAME?</v>
      </c>
      <c r="FP25" s="1157" t="s">
        <v>1489</v>
      </c>
      <c r="FQ25" s="977" t="str">
        <f t="shared" ref="FQ25:FQ26" si="1248">MONTYPEICON1(FP25)</f>
        <v>#NAME?</v>
      </c>
      <c r="FR25" s="980" t="str">
        <f t="shared" ref="FR25:FR26" si="1249">MONTYPEICON2(FP25)</f>
        <v>#NAME?</v>
      </c>
      <c r="FS25" s="1303" t="s">
        <v>5078</v>
      </c>
      <c r="FT25" s="442"/>
      <c r="FU25" s="1094" t="str">
        <f t="shared" si="1127"/>
        <v>#NAME?</v>
      </c>
      <c r="FV25" s="499" t="s">
        <v>3736</v>
      </c>
      <c r="FW25" s="1051" t="str">
        <f t="shared" si="1128"/>
        <v>#NAME?</v>
      </c>
      <c r="FX25" s="1131" t="str">
        <f t="shared" si="1129"/>
        <v>#NAME?</v>
      </c>
      <c r="FY25" s="1095" t="s">
        <v>5082</v>
      </c>
      <c r="FZ25" s="442"/>
      <c r="GA25" s="442"/>
      <c r="GB25" s="442"/>
      <c r="GC25" s="108"/>
      <c r="GD25" s="108"/>
      <c r="GE25" s="108"/>
      <c r="GF25" s="442"/>
      <c r="GG25" s="985" t="str">
        <f>MONICON21(GH25)</f>
        <v>#NAME?</v>
      </c>
      <c r="GH25" s="146" t="s">
        <v>615</v>
      </c>
      <c r="GI25" s="1092" t="str">
        <f>MONTYPEICON1(GH25)</f>
        <v>#NAME?</v>
      </c>
      <c r="GJ25" s="987" t="str">
        <f>MONTYPEICON2(GH25)</f>
        <v>#NAME?</v>
      </c>
      <c r="GK25" s="1054" t="s">
        <v>5005</v>
      </c>
      <c r="GL25" s="1230"/>
      <c r="GM25" s="985" t="str">
        <f>MONICON21(GN25)</f>
        <v>#NAME?</v>
      </c>
      <c r="GN25" s="1310" t="s">
        <v>2232</v>
      </c>
      <c r="GO25" s="1092" t="str">
        <f>MONTYPEICON1(GN25)</f>
        <v>#NAME?</v>
      </c>
      <c r="GP25" s="987" t="str">
        <f>MONTYPEICON2(GN25)</f>
        <v>#NAME?</v>
      </c>
      <c r="GQ25" s="1309" t="s">
        <v>5004</v>
      </c>
      <c r="GR25" s="65"/>
      <c r="GS25" s="985" t="str">
        <f>MONICON21(GT25)</f>
        <v>#NAME?</v>
      </c>
      <c r="GT25" s="1310" t="s">
        <v>1173</v>
      </c>
      <c r="GU25" s="1092" t="str">
        <f>MONTYPEICON1(GT25)</f>
        <v>#NAME?</v>
      </c>
      <c r="GV25" s="987" t="str">
        <f>MONTYPEICON2(GT25)</f>
        <v>#NAME?</v>
      </c>
      <c r="GW25" s="1309" t="s">
        <v>5004</v>
      </c>
      <c r="GX25" s="65"/>
      <c r="HA25" s="349"/>
      <c r="HB25" s="349"/>
      <c r="HC25" s="349"/>
      <c r="HD25" s="1230"/>
      <c r="HE25" s="1068" t="str">
        <f t="shared" si="1169"/>
        <v>#NAME?</v>
      </c>
      <c r="HF25" s="1078" t="s">
        <v>759</v>
      </c>
      <c r="HG25" s="1071" t="str">
        <f t="shared" si="1170"/>
        <v>#NAME?</v>
      </c>
      <c r="HH25" s="1073" t="str">
        <f t="shared" si="1171"/>
        <v>#NAME?</v>
      </c>
      <c r="HI25" s="1093" t="s">
        <v>5004</v>
      </c>
      <c r="HJ25" s="1230"/>
      <c r="HK25" s="1096" t="str">
        <f t="shared" si="1028"/>
        <v>#NAME?</v>
      </c>
      <c r="HL25" s="89" t="s">
        <v>687</v>
      </c>
      <c r="HM25" s="1418" t="str">
        <f t="shared" si="1029"/>
        <v>#NAME?</v>
      </c>
      <c r="HN25" s="1419" t="str">
        <f t="shared" si="1030"/>
        <v>#NAME?</v>
      </c>
      <c r="HO25" s="1108" t="s">
        <v>5007</v>
      </c>
      <c r="HP25" s="65"/>
      <c r="HQ25" s="983" t="str">
        <f t="shared" ref="HQ25:HQ30" si="1250">MONICON21(HR25)</f>
        <v>#NAME?</v>
      </c>
      <c r="HR25" s="1304" t="s">
        <v>1901</v>
      </c>
      <c r="HS25" s="1313" t="str">
        <f t="shared" ref="HS25:HS30" si="1251">MONTYPEICON1(HR25)</f>
        <v>#NAME?</v>
      </c>
      <c r="HT25" s="1314" t="str">
        <f t="shared" ref="HT25:HT30" si="1252">MONTYPEICON2(HR25)</f>
        <v>#NAME?</v>
      </c>
      <c r="HU25" s="1303" t="s">
        <v>5084</v>
      </c>
      <c r="HW25" s="1266"/>
      <c r="HX25" s="1259" t="s">
        <v>5532</v>
      </c>
      <c r="HY25" s="12"/>
      <c r="HZ25" s="962"/>
      <c r="IA25" s="1258" t="s">
        <v>4608</v>
      </c>
      <c r="IB25" s="65"/>
      <c r="IC25" s="983" t="str">
        <f t="shared" ref="IC25:IC27" si="1253">MONICON21(ID25)</f>
        <v>#NAME?</v>
      </c>
      <c r="ID25" s="1304" t="s">
        <v>2934</v>
      </c>
      <c r="IE25" s="1311" t="str">
        <f t="shared" ref="IE25:IE27" si="1254">MONTYPEICON1(ID25)</f>
        <v>#NAME?</v>
      </c>
      <c r="IF25" s="1312" t="str">
        <f t="shared" ref="IF25:IF27" si="1255">MONTYPEICON2(ID25)</f>
        <v>#NAME?</v>
      </c>
      <c r="IG25" s="1305" t="s">
        <v>5006</v>
      </c>
      <c r="IK25" s="349"/>
      <c r="IL25" s="349"/>
      <c r="IM25" s="349"/>
      <c r="IN25" s="65"/>
      <c r="IO25" s="1245" t="s">
        <v>5533</v>
      </c>
      <c r="IP25" s="12"/>
      <c r="IQ25" s="12"/>
      <c r="IR25" s="12"/>
      <c r="IS25" s="962"/>
      <c r="IT25" s="1230"/>
      <c r="IU25" s="1068" t="str">
        <f t="shared" si="1172"/>
        <v>#NAME?</v>
      </c>
      <c r="IV25" s="1540" t="s">
        <v>2163</v>
      </c>
      <c r="IW25" s="1358" t="str">
        <f t="shared" si="1173"/>
        <v>#NAME?</v>
      </c>
      <c r="IX25" s="1359" t="str">
        <f t="shared" si="1174"/>
        <v>#NAME?</v>
      </c>
      <c r="IY25" s="1541" t="s">
        <v>5084</v>
      </c>
      <c r="IZ25" s="442"/>
      <c r="JA25" s="1068" t="str">
        <f t="shared" si="1175"/>
        <v>#NAME?</v>
      </c>
      <c r="JB25" s="1076" t="s">
        <v>885</v>
      </c>
      <c r="JC25" s="1358" t="str">
        <f t="shared" si="1176"/>
        <v>#NAME?</v>
      </c>
      <c r="JD25" s="1359" t="str">
        <f t="shared" si="1177"/>
        <v>#NAME?</v>
      </c>
      <c r="JE25" s="1093" t="s">
        <v>5214</v>
      </c>
      <c r="JF25" s="442"/>
      <c r="JG25" s="1266"/>
      <c r="JH25" s="1259" t="s">
        <v>5534</v>
      </c>
      <c r="JI25" s="12"/>
      <c r="JJ25" s="962"/>
      <c r="JK25" s="1258" t="s">
        <v>4608</v>
      </c>
      <c r="JL25" s="442"/>
      <c r="JM25" s="1096" t="str">
        <f t="shared" si="1130"/>
        <v>#NAME?</v>
      </c>
      <c r="JN25" s="1098" t="s">
        <v>1091</v>
      </c>
      <c r="JO25" s="1417" t="str">
        <f t="shared" si="1131"/>
        <v>#NAME?</v>
      </c>
      <c r="JP25" s="62" t="str">
        <f t="shared" si="1132"/>
        <v>#NAME?</v>
      </c>
      <c r="JQ25" s="1108" t="s">
        <v>5158</v>
      </c>
      <c r="JR25" s="442"/>
      <c r="JS25" s="1260"/>
      <c r="JT25" s="1261" t="s">
        <v>4892</v>
      </c>
      <c r="JU25" s="959"/>
      <c r="JV25" s="957"/>
      <c r="JW25" s="1262" t="s">
        <v>4608</v>
      </c>
      <c r="JX25" s="1230"/>
      <c r="JY25" s="1036" t="str">
        <f t="shared" si="1094"/>
        <v>#NAME?</v>
      </c>
      <c r="JZ25" s="1451" t="s">
        <v>3460</v>
      </c>
      <c r="KA25" s="1038" t="str">
        <f t="shared" si="1095"/>
        <v>#NAME?</v>
      </c>
      <c r="KB25" s="1040" t="str">
        <f t="shared" si="1096"/>
        <v>#NAME?</v>
      </c>
      <c r="KC25" s="1452" t="s">
        <v>5014</v>
      </c>
      <c r="KD25" s="1230"/>
      <c r="KE25" s="1012" t="str">
        <f t="shared" ref="KE25:KE26" si="1256">MONICON21(KF25)</f>
        <v>#NAME?</v>
      </c>
      <c r="KF25" s="1301" t="s">
        <v>1173</v>
      </c>
      <c r="KG25" s="977" t="str">
        <f t="shared" ref="KG25:KG26" si="1257">MONTYPEICON1(KF25)</f>
        <v>#NAME?</v>
      </c>
      <c r="KH25" s="980" t="str">
        <f t="shared" ref="KH25:KH26" si="1258">MONTYPEICON2(KF25)</f>
        <v>#NAME?</v>
      </c>
      <c r="KI25" s="1303" t="s">
        <v>5535</v>
      </c>
      <c r="KM25" s="349"/>
      <c r="KN25" s="108"/>
      <c r="KO25" s="65"/>
      <c r="KQ25" s="961" t="s">
        <v>5050</v>
      </c>
      <c r="KR25" s="12"/>
      <c r="KS25" s="48"/>
      <c r="KT25" s="349"/>
      <c r="KU25" s="108"/>
      <c r="KW25" s="983" t="str">
        <f t="shared" ref="KW25:KW26" si="1259">MONICON21(KX25)</f>
        <v>#NAME?</v>
      </c>
      <c r="KX25" s="1301" t="s">
        <v>2503</v>
      </c>
      <c r="KY25" s="977" t="str">
        <f t="shared" ref="KY25:KY26" si="1260">MONTYPEICON1(KX25)</f>
        <v>#NAME?</v>
      </c>
      <c r="KZ25" s="980" t="str">
        <f t="shared" ref="KZ25:KZ26" si="1261">MONTYPEICON2(KX25)</f>
        <v>#NAME?</v>
      </c>
      <c r="LA25" s="1318" t="s">
        <v>5086</v>
      </c>
      <c r="LB25" s="442"/>
      <c r="LE25" s="349"/>
      <c r="LF25" s="108"/>
      <c r="LI25" s="961" t="s">
        <v>5536</v>
      </c>
      <c r="LJ25" s="12"/>
      <c r="LK25" s="12"/>
      <c r="LL25" s="12"/>
      <c r="LM25" s="48"/>
      <c r="LO25" s="1056" t="str">
        <f t="shared" si="1178"/>
        <v>#NAME?</v>
      </c>
      <c r="LP25" s="1123" t="s">
        <v>3379</v>
      </c>
      <c r="LQ25" s="1021" t="str">
        <f t="shared" si="1179"/>
        <v>#NAME?</v>
      </c>
      <c r="LR25" s="1024" t="str">
        <f t="shared" si="1180"/>
        <v>#NAME?</v>
      </c>
      <c r="LS25" s="1501" t="s">
        <v>5106</v>
      </c>
      <c r="LT25" s="442"/>
      <c r="LW25" s="349"/>
      <c r="LX25" s="349"/>
      <c r="MA25" s="961" t="s">
        <v>4912</v>
      </c>
      <c r="MB25" s="12"/>
      <c r="MC25" s="48"/>
      <c r="MD25" s="349"/>
      <c r="MG25" s="1351" t="str">
        <f t="shared" si="1181"/>
        <v>#NAME?</v>
      </c>
      <c r="MH25" s="1372" t="s">
        <v>3121</v>
      </c>
      <c r="MI25" s="1353" t="str">
        <f t="shared" si="1182"/>
        <v>#NAME?</v>
      </c>
      <c r="MJ25" s="1354" t="str">
        <f t="shared" si="1183"/>
        <v>#NAME?</v>
      </c>
      <c r="MK25" s="1367" t="s">
        <v>5106</v>
      </c>
      <c r="MO25" s="349"/>
      <c r="MP25" s="108"/>
      <c r="MS25" s="1273"/>
      <c r="MT25" s="1281" t="s">
        <v>4908</v>
      </c>
      <c r="MU25" s="12"/>
      <c r="MV25" s="962"/>
      <c r="MW25" s="1282" t="s">
        <v>4608</v>
      </c>
      <c r="MX25" s="442"/>
      <c r="MY25" s="1346" t="str">
        <f t="shared" si="1184"/>
        <v>#NAME?</v>
      </c>
      <c r="MZ25" s="1370" t="s">
        <v>4319</v>
      </c>
      <c r="NA25" s="1596" t="str">
        <f t="shared" si="1185"/>
        <v>#NAME?</v>
      </c>
      <c r="NB25" s="1597" t="str">
        <f t="shared" si="1186"/>
        <v>#NAME?</v>
      </c>
      <c r="NC25" s="1371" t="s">
        <v>5032</v>
      </c>
      <c r="ND25" s="442"/>
      <c r="NE25" s="1068" t="str">
        <f t="shared" si="1187"/>
        <v>#NAME?</v>
      </c>
      <c r="NF25" s="1076" t="s">
        <v>2954</v>
      </c>
      <c r="NG25" s="1358" t="str">
        <f t="shared" si="1188"/>
        <v>#NAME?</v>
      </c>
      <c r="NH25" s="1359" t="str">
        <f t="shared" si="1189"/>
        <v>#NAME?</v>
      </c>
      <c r="NI25" s="1368" t="s">
        <v>5017</v>
      </c>
      <c r="NJ25" s="65"/>
      <c r="NK25" s="1241" t="s">
        <v>5537</v>
      </c>
      <c r="NL25" s="12"/>
      <c r="NM25" s="12"/>
      <c r="NN25" s="12"/>
      <c r="NO25" s="48"/>
      <c r="NQ25" s="983" t="str">
        <f t="shared" ref="NQ25:NQ26" si="1262">MONICON21(NR25)</f>
        <v>#NAME?</v>
      </c>
      <c r="NR25" s="1046" t="s">
        <v>1303</v>
      </c>
      <c r="NS25" s="1313" t="str">
        <f t="shared" ref="NS25:NS26" si="1263">MONTYPEICON1(NR25)</f>
        <v>#NAME?</v>
      </c>
      <c r="NT25" s="1314" t="str">
        <f t="shared" ref="NT25:NT26" si="1264">MONTYPEICON2(NR25)</f>
        <v>#NAME?</v>
      </c>
      <c r="NU25" s="1598" t="s">
        <v>5018</v>
      </c>
      <c r="NV25" s="442"/>
      <c r="NW25" s="983" t="str">
        <f t="shared" ref="NW25:NW27" si="1265">MONICON21(NX25)</f>
        <v>#NAME?</v>
      </c>
      <c r="NX25" s="1301" t="s">
        <v>2163</v>
      </c>
      <c r="NY25" s="1311" t="str">
        <f t="shared" ref="NY25:NY27" si="1266">MONTYPEICON1(NX25)</f>
        <v>#NAME?</v>
      </c>
      <c r="NZ25" s="1312" t="str">
        <f t="shared" ref="NZ25:NZ27" si="1267">MONTYPEICON2(NX25)</f>
        <v>#NAME?</v>
      </c>
      <c r="OA25" s="1318" t="s">
        <v>5019</v>
      </c>
      <c r="OB25" s="442"/>
      <c r="OC25" s="1266"/>
      <c r="OD25" s="1259" t="s">
        <v>5538</v>
      </c>
      <c r="OE25" s="12"/>
      <c r="OF25" s="962"/>
      <c r="OG25" s="1258" t="s">
        <v>4608</v>
      </c>
      <c r="OH25" s="442"/>
      <c r="OI25" s="1096" t="str">
        <f t="shared" si="1133"/>
        <v>#NAME?</v>
      </c>
      <c r="OJ25" s="1098" t="s">
        <v>2831</v>
      </c>
      <c r="OK25" s="1417" t="str">
        <f t="shared" si="1134"/>
        <v>#NAME?</v>
      </c>
      <c r="OL25" s="62" t="str">
        <f t="shared" si="1135"/>
        <v>#NAME?</v>
      </c>
      <c r="OM25" s="1423" t="s">
        <v>5020</v>
      </c>
      <c r="ON25" s="442"/>
      <c r="OQ25" s="349"/>
      <c r="OR25" s="349"/>
      <c r="OU25" s="1286"/>
      <c r="OV25" s="1259" t="s">
        <v>5539</v>
      </c>
      <c r="OW25" s="12"/>
      <c r="OX25" s="962"/>
      <c r="OY25" s="1258" t="s">
        <v>4608</v>
      </c>
      <c r="OZ25" s="442"/>
      <c r="PA25" s="1068" t="str">
        <f t="shared" si="1190"/>
        <v>#NAME?</v>
      </c>
      <c r="PB25" s="1076" t="s">
        <v>2544</v>
      </c>
      <c r="PC25" s="1358" t="str">
        <f t="shared" si="1191"/>
        <v>#NAME?</v>
      </c>
      <c r="PD25" s="1359" t="str">
        <f t="shared" si="1192"/>
        <v>#NAME?</v>
      </c>
      <c r="PE25" s="1368" t="s">
        <v>5146</v>
      </c>
      <c r="PF25" s="442"/>
      <c r="PG25" s="1094" t="str">
        <f t="shared" si="1136"/>
        <v>#NAME?</v>
      </c>
      <c r="PH25" s="1127" t="s">
        <v>1960</v>
      </c>
      <c r="PI25" s="1420" t="str">
        <f t="shared" si="1137"/>
        <v>#NAME?</v>
      </c>
      <c r="PJ25" s="475" t="str">
        <f t="shared" si="1138"/>
        <v>#NAME?</v>
      </c>
      <c r="PK25" s="1422" t="s">
        <v>5022</v>
      </c>
      <c r="PM25" s="1068" t="str">
        <f t="shared" si="1193"/>
        <v>#NAME?</v>
      </c>
      <c r="PN25" s="1076" t="s">
        <v>742</v>
      </c>
      <c r="PO25" s="1358" t="str">
        <f t="shared" si="1194"/>
        <v>#NAME?</v>
      </c>
      <c r="PP25" s="1359" t="str">
        <f t="shared" si="1195"/>
        <v>#NAME?</v>
      </c>
      <c r="PQ25" s="1368" t="s">
        <v>5021</v>
      </c>
      <c r="PS25" s="1096" t="str">
        <f t="shared" si="1139"/>
        <v>#NAME?</v>
      </c>
      <c r="PT25" s="1098" t="s">
        <v>2192</v>
      </c>
      <c r="PU25" s="1417" t="str">
        <f t="shared" si="1140"/>
        <v>#NAME?</v>
      </c>
      <c r="PV25" s="62" t="str">
        <f t="shared" si="1141"/>
        <v>#NAME?</v>
      </c>
      <c r="PW25" s="1423" t="s">
        <v>5352</v>
      </c>
      <c r="PX25" s="442"/>
      <c r="PY25" s="1159" t="str">
        <f t="shared" si="1004"/>
        <v>#NAME?</v>
      </c>
      <c r="PZ25" s="1453" t="s">
        <v>3603</v>
      </c>
      <c r="QA25" s="1497" t="str">
        <f t="shared" si="1005"/>
        <v>#NAME?</v>
      </c>
      <c r="QB25" s="1498" t="str">
        <f t="shared" si="1006"/>
        <v>#NAME?</v>
      </c>
      <c r="QC25" s="1504" t="s">
        <v>5032</v>
      </c>
      <c r="QD25" s="442"/>
      <c r="QE25" s="1012" t="str">
        <f t="shared" si="1142"/>
        <v>#NAME?</v>
      </c>
      <c r="QF25" s="1098" t="s">
        <v>1452</v>
      </c>
      <c r="QG25" s="1418" t="str">
        <f t="shared" si="1143"/>
        <v>#NAME?</v>
      </c>
      <c r="QH25" s="1419" t="str">
        <f t="shared" si="1144"/>
        <v>#NAME?</v>
      </c>
      <c r="QI25" s="1423" t="s">
        <v>5032</v>
      </c>
      <c r="QJ25" s="442"/>
      <c r="QK25" s="1457" t="str">
        <f t="shared" si="1196"/>
        <v>#NAME?</v>
      </c>
      <c r="QL25" s="1429" t="s">
        <v>2503</v>
      </c>
      <c r="QM25" s="1428" t="str">
        <f t="shared" si="1197"/>
        <v>#NAME?</v>
      </c>
      <c r="QN25" s="1430" t="str">
        <f t="shared" si="1198"/>
        <v>#NAME?</v>
      </c>
      <c r="QO25" s="1431" t="s">
        <v>5031</v>
      </c>
      <c r="QP25" s="442"/>
      <c r="QQ25" s="1457" t="str">
        <f t="shared" si="1199"/>
        <v>#NAME?</v>
      </c>
      <c r="QR25" s="1429" t="s">
        <v>2442</v>
      </c>
      <c r="QS25" s="1428" t="str">
        <f t="shared" si="1200"/>
        <v>#NAME?</v>
      </c>
      <c r="QT25" s="1430" t="str">
        <f t="shared" si="1201"/>
        <v>#NAME?</v>
      </c>
      <c r="QU25" s="1431" t="s">
        <v>5033</v>
      </c>
      <c r="QV25" s="442"/>
      <c r="QW25" s="1457" t="str">
        <f t="shared" si="1202"/>
        <v>#NAME?</v>
      </c>
      <c r="QX25" s="1429" t="s">
        <v>687</v>
      </c>
      <c r="QY25" s="1428" t="str">
        <f t="shared" si="1203"/>
        <v>#NAME?</v>
      </c>
      <c r="QZ25" s="1430" t="str">
        <f t="shared" si="1204"/>
        <v>#NAME?</v>
      </c>
      <c r="RA25" s="1431" t="s">
        <v>5112</v>
      </c>
      <c r="RB25" s="442"/>
      <c r="RC25" s="1457" t="str">
        <f t="shared" si="1205"/>
        <v>#NAME?</v>
      </c>
      <c r="RD25" s="1429" t="s">
        <v>878</v>
      </c>
      <c r="RE25" s="1428" t="str">
        <f t="shared" si="1206"/>
        <v>#NAME?</v>
      </c>
      <c r="RF25" s="1430" t="str">
        <f t="shared" si="1207"/>
        <v>#NAME?</v>
      </c>
      <c r="RG25" s="1431" t="s">
        <v>5113</v>
      </c>
      <c r="RH25" s="442"/>
      <c r="RI25" s="1457" t="str">
        <f t="shared" si="1208"/>
        <v>#NAME?</v>
      </c>
      <c r="RJ25" s="1429" t="s">
        <v>3255</v>
      </c>
      <c r="RK25" s="1428" t="str">
        <f t="shared" si="1209"/>
        <v>#NAME?</v>
      </c>
      <c r="RL25" s="1430" t="str">
        <f t="shared" si="1210"/>
        <v>#NAME?</v>
      </c>
      <c r="RM25" s="1431" t="s">
        <v>5092</v>
      </c>
      <c r="RN25" s="442"/>
      <c r="RO25" s="961" t="s">
        <v>4552</v>
      </c>
      <c r="RP25" s="12"/>
      <c r="RQ25" s="12"/>
      <c r="RR25" s="12"/>
      <c r="RS25" s="48"/>
      <c r="RT25" s="442"/>
      <c r="RU25" s="1068" t="str">
        <f t="shared" si="1211"/>
        <v>#NAME?</v>
      </c>
      <c r="RV25" s="1076" t="s">
        <v>1697</v>
      </c>
      <c r="RW25" s="1358" t="str">
        <f t="shared" si="1212"/>
        <v>#NAME?</v>
      </c>
      <c r="RX25" s="1359" t="str">
        <f t="shared" si="1213"/>
        <v>#NAME?</v>
      </c>
      <c r="RY25" s="1368" t="s">
        <v>5112</v>
      </c>
      <c r="RZ25" s="442"/>
      <c r="SA25" s="1266"/>
      <c r="SB25" s="1259" t="s">
        <v>5540</v>
      </c>
      <c r="SC25" s="12"/>
      <c r="SD25" s="962"/>
      <c r="SE25" s="1004" t="s">
        <v>4608</v>
      </c>
      <c r="SF25" s="442"/>
      <c r="SI25" s="349"/>
      <c r="SJ25" s="349"/>
      <c r="SL25" s="442"/>
      <c r="SM25" s="1266"/>
      <c r="SN25" s="1259" t="s">
        <v>5541</v>
      </c>
      <c r="SO25" s="12"/>
      <c r="SP25" s="962"/>
      <c r="SQ25" s="1004" t="s">
        <v>4608</v>
      </c>
      <c r="SS25" s="1283"/>
      <c r="ST25" s="1264" t="s">
        <v>5542</v>
      </c>
      <c r="SU25" s="12"/>
      <c r="SV25" s="962"/>
      <c r="SW25" s="1288" t="s">
        <v>4608</v>
      </c>
      <c r="SY25" s="1283"/>
      <c r="SZ25" s="1264" t="s">
        <v>5543</v>
      </c>
      <c r="TA25" s="12"/>
      <c r="TB25" s="962"/>
      <c r="TC25" s="1288" t="s">
        <v>4608</v>
      </c>
      <c r="TD25" s="65"/>
      <c r="TE25" s="1012" t="str">
        <f t="shared" si="1145"/>
        <v>#NAME?</v>
      </c>
      <c r="TF25" s="1301" t="s">
        <v>3978</v>
      </c>
      <c r="TG25" s="1013" t="str">
        <f t="shared" si="1146"/>
        <v>#NAME?</v>
      </c>
      <c r="TH25" s="1015" t="str">
        <f t="shared" si="1147"/>
        <v>#NAME?</v>
      </c>
      <c r="TI25" s="1318" t="s">
        <v>5092</v>
      </c>
      <c r="TK25" s="1094" t="str">
        <f t="shared" si="1148"/>
        <v>#NAME?</v>
      </c>
      <c r="TL25" s="1127" t="s">
        <v>493</v>
      </c>
      <c r="TM25" s="1420" t="str">
        <f t="shared" si="1149"/>
        <v>#NAME?</v>
      </c>
      <c r="TN25" s="475" t="str">
        <f t="shared" si="1150"/>
        <v>#NAME?</v>
      </c>
      <c r="TO25" s="1422" t="s">
        <v>5026</v>
      </c>
      <c r="TP25" s="442"/>
      <c r="TQ25" s="1094" t="str">
        <f t="shared" si="1151"/>
        <v>#NAME?</v>
      </c>
      <c r="TR25" s="1127" t="s">
        <v>2598</v>
      </c>
      <c r="TS25" s="1420" t="str">
        <f t="shared" si="1152"/>
        <v>#NAME?</v>
      </c>
      <c r="TT25" s="475" t="str">
        <f t="shared" si="1153"/>
        <v>#NAME?</v>
      </c>
      <c r="TU25" s="1422" t="s">
        <v>5026</v>
      </c>
      <c r="TW25" s="1567"/>
      <c r="TX25" s="1323" t="s">
        <v>5206</v>
      </c>
      <c r="TY25" s="12"/>
      <c r="TZ25" s="962"/>
      <c r="UA25" s="1324" t="s">
        <v>4608</v>
      </c>
      <c r="UI25" s="1293"/>
      <c r="UJ25" s="1291" t="s">
        <v>5544</v>
      </c>
      <c r="UK25" s="12"/>
      <c r="UL25" s="962"/>
      <c r="UM25" s="1292" t="s">
        <v>4608</v>
      </c>
      <c r="UO25" s="1383" t="str">
        <f t="shared" si="1214"/>
        <v>#NAME?</v>
      </c>
      <c r="UP25" s="1384" t="s">
        <v>2625</v>
      </c>
      <c r="UQ25" s="1383" t="str">
        <f t="shared" si="1215"/>
        <v>#NAME?</v>
      </c>
      <c r="UR25" s="1385" t="str">
        <f t="shared" si="1216"/>
        <v>#NAME?</v>
      </c>
      <c r="US25" s="1386" t="s">
        <v>5028</v>
      </c>
      <c r="UU25" s="1383" t="str">
        <f t="shared" si="1217"/>
        <v>#NAME?</v>
      </c>
      <c r="UV25" s="1384" t="s">
        <v>1073</v>
      </c>
      <c r="UW25" s="1383" t="str">
        <f t="shared" si="1218"/>
        <v>#NAME?</v>
      </c>
      <c r="UX25" s="1385" t="str">
        <f t="shared" si="1219"/>
        <v>#NAME?</v>
      </c>
      <c r="UY25" s="1386" t="s">
        <v>5029</v>
      </c>
      <c r="VA25" s="1033" t="str">
        <f t="shared" ref="VA25:VA26" si="1268">MONICON21(VB25)</f>
        <v>#NAME?</v>
      </c>
      <c r="VB25" s="1301" t="s">
        <v>1858</v>
      </c>
      <c r="VC25" s="977" t="str">
        <f t="shared" ref="VC25:VC26" si="1269">MONTYPEICON1(VB25)</f>
        <v>#NAME?</v>
      </c>
      <c r="VD25" s="980" t="str">
        <f t="shared" ref="VD25:VD26" si="1270">MONTYPEICON2(VB25)</f>
        <v>#NAME?</v>
      </c>
      <c r="VE25" s="1303" t="s">
        <v>5279</v>
      </c>
      <c r="VG25" s="1289" t="s">
        <v>4515</v>
      </c>
      <c r="VH25" s="12"/>
      <c r="VI25" s="12"/>
      <c r="VJ25" s="12"/>
      <c r="VK25" s="48"/>
      <c r="VL25" s="442"/>
      <c r="VR25" s="442"/>
      <c r="VX25" s="442"/>
      <c r="VY25" s="1033" t="str">
        <f t="shared" ref="VY25:VY26" si="1271">MONICON21(VZ25)</f>
        <v>#NAME?</v>
      </c>
      <c r="VZ25" s="1301" t="s">
        <v>3649</v>
      </c>
      <c r="WA25" s="977" t="str">
        <f t="shared" ref="WA25:WA26" si="1272">MONTYPEICON1(VZ25)</f>
        <v>#NAME?</v>
      </c>
      <c r="WB25" s="980" t="str">
        <f t="shared" ref="WB25:WB26" si="1273">MONTYPEICON2(VZ25)</f>
        <v>#NAME?</v>
      </c>
      <c r="WC25" s="1302" t="s">
        <v>5006</v>
      </c>
      <c r="WD25" s="442"/>
      <c r="WJ25" s="442"/>
      <c r="WK25" s="1472"/>
      <c r="WL25" s="1291" t="s">
        <v>5545</v>
      </c>
      <c r="WM25" s="12"/>
      <c r="WN25" s="962"/>
      <c r="WO25" s="1292" t="s">
        <v>4608</v>
      </c>
      <c r="WP25" s="442"/>
      <c r="WQ25" s="1294"/>
      <c r="WR25" s="1291" t="s">
        <v>5546</v>
      </c>
      <c r="WS25" s="12"/>
      <c r="WT25" s="962"/>
      <c r="WU25" s="1292" t="s">
        <v>4608</v>
      </c>
      <c r="WV25" s="442"/>
      <c r="WW25" s="1483"/>
      <c r="WX25" s="1291" t="s">
        <v>5547</v>
      </c>
      <c r="WY25" s="12"/>
      <c r="WZ25" s="962"/>
      <c r="XA25" s="1292" t="s">
        <v>4608</v>
      </c>
      <c r="XB25" s="442"/>
      <c r="XC25" s="1013" t="str">
        <f t="shared" si="1073"/>
        <v>#NAME?</v>
      </c>
      <c r="XD25" s="1098" t="s">
        <v>1303</v>
      </c>
      <c r="XE25" s="1013" t="str">
        <f t="shared" si="1074"/>
        <v>#NAME?</v>
      </c>
      <c r="XF25" s="1015" t="str">
        <f t="shared" si="1075"/>
        <v>#NAME?</v>
      </c>
      <c r="XG25" s="1434" t="s">
        <v>5017</v>
      </c>
      <c r="XH25" s="442"/>
      <c r="XI25" s="442"/>
      <c r="XJ25" s="442"/>
      <c r="XK25" s="442"/>
      <c r="XL25" s="442"/>
      <c r="XM25" s="442"/>
      <c r="XN25" s="442"/>
      <c r="XO25" s="977" t="str">
        <f t="shared" ref="XO25:XO27" si="1274">MONICON21(XP25)</f>
        <v>#NAME?</v>
      </c>
      <c r="XP25" s="1301" t="s">
        <v>4217</v>
      </c>
      <c r="XQ25" s="977" t="str">
        <f t="shared" ref="XQ25:XQ27" si="1275">MONTYPEICON1(XP25)</f>
        <v>#NAME?</v>
      </c>
      <c r="XR25" s="980" t="str">
        <f t="shared" ref="XR25:XR27" si="1276">MONTYPEICON2(XP25)</f>
        <v>#NAME?</v>
      </c>
      <c r="XS25" s="1303" t="s">
        <v>5174</v>
      </c>
      <c r="XT25" s="442"/>
      <c r="XU25" s="1554" t="s">
        <v>4822</v>
      </c>
      <c r="XV25" s="12"/>
      <c r="XW25" s="12"/>
      <c r="XX25" s="12"/>
      <c r="XY25" s="48"/>
      <c r="XZ25" s="442"/>
      <c r="YA25" s="1296"/>
      <c r="YB25" s="1291" t="s">
        <v>5548</v>
      </c>
      <c r="YC25" s="12"/>
      <c r="YD25" s="962"/>
      <c r="YE25" s="1292" t="s">
        <v>4608</v>
      </c>
      <c r="YF25" s="442"/>
      <c r="YG25" s="1296"/>
      <c r="YH25" s="1291" t="s">
        <v>5549</v>
      </c>
      <c r="YI25" s="12"/>
      <c r="YJ25" s="962"/>
      <c r="YK25" s="1292" t="s">
        <v>4608</v>
      </c>
      <c r="YL25" s="442"/>
      <c r="YM25" s="1387" t="str">
        <f t="shared" si="1220"/>
        <v>#NAME?</v>
      </c>
      <c r="YN25" s="1388" t="s">
        <v>857</v>
      </c>
      <c r="YO25" s="1387" t="str">
        <f t="shared" si="1221"/>
        <v>#NAME?</v>
      </c>
      <c r="YP25" s="1392" t="str">
        <f t="shared" si="1222"/>
        <v>#NAME?</v>
      </c>
      <c r="YQ25" s="1391" t="s">
        <v>5025</v>
      </c>
      <c r="YR25" s="442"/>
      <c r="YS25" s="1383" t="str">
        <f t="shared" si="1223"/>
        <v>#NAME?</v>
      </c>
      <c r="YT25" s="1384" t="s">
        <v>2735</v>
      </c>
      <c r="YU25" s="1383" t="str">
        <f t="shared" si="1224"/>
        <v>#NAME?</v>
      </c>
      <c r="YV25" s="1385" t="str">
        <f t="shared" si="1225"/>
        <v>#NAME?</v>
      </c>
      <c r="YW25" s="1386" t="s">
        <v>5031</v>
      </c>
      <c r="YX25" s="442"/>
      <c r="YY25" s="1051" t="str">
        <f t="shared" si="1157"/>
        <v>#NAME?</v>
      </c>
      <c r="YZ25" s="1127" t="s">
        <v>2293</v>
      </c>
      <c r="ZA25" s="1051" t="str">
        <f t="shared" si="1158"/>
        <v>#NAME?</v>
      </c>
      <c r="ZB25" s="1131" t="str">
        <f t="shared" si="1159"/>
        <v>#NAME?</v>
      </c>
      <c r="ZC25" s="1095" t="s">
        <v>5033</v>
      </c>
      <c r="ZD25" s="442"/>
      <c r="ZE25" s="1387" t="str">
        <f t="shared" si="1226"/>
        <v>#NAME?</v>
      </c>
      <c r="ZF25" s="1388" t="s">
        <v>2393</v>
      </c>
      <c r="ZG25" s="1387" t="str">
        <f t="shared" si="1227"/>
        <v>#NAME?</v>
      </c>
      <c r="ZH25" s="1392" t="str">
        <f t="shared" si="1228"/>
        <v>#NAME?</v>
      </c>
      <c r="ZI25" s="1391" t="s">
        <v>5032</v>
      </c>
      <c r="ZJ25" s="442"/>
      <c r="ZK25" s="1387" t="str">
        <f t="shared" si="1229"/>
        <v>#NAME?</v>
      </c>
      <c r="ZL25" s="1388" t="s">
        <v>2954</v>
      </c>
      <c r="ZM25" s="1387" t="str">
        <f t="shared" si="1230"/>
        <v>#NAME?</v>
      </c>
      <c r="ZN25" s="1392" t="str">
        <f t="shared" si="1231"/>
        <v>#NAME?</v>
      </c>
      <c r="ZO25" s="1391" t="s">
        <v>5025</v>
      </c>
      <c r="ZP25" s="442"/>
      <c r="ZQ25" s="442"/>
      <c r="ZR25" s="442"/>
      <c r="ZS25" s="108"/>
      <c r="ZT25" s="108"/>
      <c r="ZU25" s="442"/>
      <c r="ZV25" s="442"/>
      <c r="ZW25" s="1579" t="s">
        <v>4648</v>
      </c>
      <c r="ZX25" s="12"/>
      <c r="ZY25" s="12"/>
      <c r="ZZ25" s="12"/>
      <c r="AAA25" s="48"/>
      <c r="AAB25" s="442"/>
      <c r="AAC25" s="1472"/>
      <c r="AAD25" s="1291" t="s">
        <v>5550</v>
      </c>
      <c r="AAE25" s="12"/>
      <c r="AAF25" s="962"/>
      <c r="AAG25" s="1292" t="s">
        <v>4608</v>
      </c>
      <c r="AAH25" s="442"/>
      <c r="AAI25" s="1294"/>
      <c r="AAJ25" s="1291" t="s">
        <v>4926</v>
      </c>
      <c r="AAK25" s="12"/>
      <c r="AAL25" s="962"/>
      <c r="AAM25" s="1298" t="s">
        <v>4608</v>
      </c>
      <c r="AAO25" s="1294"/>
      <c r="AAP25" s="1291" t="s">
        <v>4945</v>
      </c>
      <c r="AAQ25" s="12"/>
      <c r="AAR25" s="962"/>
      <c r="AAS25" s="1298" t="s">
        <v>4608</v>
      </c>
      <c r="AAU25" s="1294"/>
      <c r="AAV25" s="1291" t="s">
        <v>4904</v>
      </c>
      <c r="AAW25" s="12"/>
      <c r="AAX25" s="962"/>
      <c r="AAY25" s="1298" t="s">
        <v>4608</v>
      </c>
      <c r="ABA25" s="1294"/>
      <c r="ABB25" s="1291" t="s">
        <v>5095</v>
      </c>
      <c r="ABC25" s="12"/>
      <c r="ABD25" s="962"/>
      <c r="ABE25" s="1298" t="s">
        <v>4608</v>
      </c>
      <c r="ABG25" s="1294"/>
      <c r="ABH25" s="1291" t="s">
        <v>5134</v>
      </c>
      <c r="ABI25" s="12"/>
      <c r="ABJ25" s="962"/>
      <c r="ABK25" s="1298" t="s">
        <v>4608</v>
      </c>
      <c r="ABM25" s="1294"/>
      <c r="ABN25" s="1291" t="s">
        <v>5230</v>
      </c>
      <c r="ABO25" s="12"/>
      <c r="ABP25" s="962"/>
      <c r="ABQ25" s="1298" t="s">
        <v>4608</v>
      </c>
      <c r="ABS25" s="1294"/>
      <c r="ABT25" s="1291" t="s">
        <v>5310</v>
      </c>
      <c r="ABU25" s="12"/>
      <c r="ABV25" s="962"/>
      <c r="ABW25" s="1298" t="s">
        <v>4608</v>
      </c>
      <c r="ABY25" s="1484"/>
      <c r="ABZ25" s="1485" t="s">
        <v>5167</v>
      </c>
      <c r="ACA25" s="416"/>
      <c r="ACB25" s="1486"/>
      <c r="ACC25" s="1487" t="s">
        <v>4608</v>
      </c>
      <c r="ACJ25" s="996"/>
    </row>
    <row r="26" ht="15.75" customHeight="1">
      <c r="A26" s="1230"/>
      <c r="B26" s="1444"/>
      <c r="C26" s="1445"/>
      <c r="D26" s="1446"/>
      <c r="E26" s="1230"/>
      <c r="F26" s="1238"/>
      <c r="G26" s="1405" t="s">
        <v>5551</v>
      </c>
      <c r="H26" s="1230"/>
      <c r="I26" s="1053" t="str">
        <f>MONICON21(J26)</f>
        <v>#NAME?</v>
      </c>
      <c r="J26" s="1229" t="s">
        <v>3635</v>
      </c>
      <c r="K26" s="985" t="str">
        <f>MONTYPEICON1(J26)</f>
        <v>#NAME?</v>
      </c>
      <c r="L26" s="1052" t="str">
        <f>MONTYPEICON2(J26)</f>
        <v>#NAME?</v>
      </c>
      <c r="M26" s="1196" t="s">
        <v>5456</v>
      </c>
      <c r="N26" s="1230"/>
      <c r="O26" s="442"/>
      <c r="P26" s="442"/>
      <c r="Q26" s="442"/>
      <c r="R26" s="442"/>
      <c r="S26" s="108"/>
      <c r="T26" s="1230"/>
      <c r="U26" s="1341" t="str">
        <f t="shared" si="1232"/>
        <v>#NAME?</v>
      </c>
      <c r="V26" s="1340" t="s">
        <v>4037</v>
      </c>
      <c r="W26" s="1341" t="str">
        <f t="shared" si="1233"/>
        <v>#NAME?</v>
      </c>
      <c r="X26" s="1342" t="str">
        <f t="shared" si="1234"/>
        <v>#NAME?</v>
      </c>
      <c r="Y26" s="1343" t="s">
        <v>5130</v>
      </c>
      <c r="Z26" s="1230"/>
      <c r="AA26" s="1255"/>
      <c r="AB26" s="1259" t="s">
        <v>5552</v>
      </c>
      <c r="AC26" s="12"/>
      <c r="AD26" s="962"/>
      <c r="AE26" s="1258" t="s">
        <v>4608</v>
      </c>
      <c r="AF26" s="1230"/>
      <c r="AG26" s="1013" t="str">
        <f t="shared" si="1082"/>
        <v>#NAME?</v>
      </c>
      <c r="AH26" s="1098" t="s">
        <v>2326</v>
      </c>
      <c r="AI26" s="1013" t="str">
        <f t="shared" si="1083"/>
        <v>#NAME?</v>
      </c>
      <c r="AJ26" s="1015" t="str">
        <f t="shared" si="1084"/>
        <v>#NAME?</v>
      </c>
      <c r="AK26" s="1108" t="s">
        <v>5457</v>
      </c>
      <c r="AL26" s="1230"/>
      <c r="AM26" s="1255"/>
      <c r="AN26" s="1259" t="s">
        <v>5553</v>
      </c>
      <c r="AO26" s="12"/>
      <c r="AP26" s="962"/>
      <c r="AQ26" s="1258" t="s">
        <v>4608</v>
      </c>
      <c r="AR26" s="1230"/>
      <c r="AS26" s="1033" t="str">
        <f t="shared" ref="AS26:AS27" si="1277">MONICON21(AT26)</f>
        <v>#NAME?</v>
      </c>
      <c r="AT26" s="1304" t="s">
        <v>960</v>
      </c>
      <c r="AU26" s="949" t="str">
        <f t="shared" ref="AU26:AU27" si="1278">MONTYPEICON1(AT26)</f>
        <v>#NAME?</v>
      </c>
      <c r="AV26" s="952" t="str">
        <f t="shared" ref="AV26:AV27" si="1279">MONTYPEICON2(AT26)</f>
        <v>#NAME?</v>
      </c>
      <c r="AW26" s="1305" t="s">
        <v>5076</v>
      </c>
      <c r="AX26" s="1230"/>
      <c r="AY26" s="1051" t="str">
        <f t="shared" si="1160"/>
        <v>#NAME?</v>
      </c>
      <c r="AZ26" s="1479" t="s">
        <v>2575</v>
      </c>
      <c r="BA26" s="1051" t="str">
        <f t="shared" si="1161"/>
        <v>#NAME?</v>
      </c>
      <c r="BB26" s="1131" t="str">
        <f t="shared" si="1162"/>
        <v>#NAME?</v>
      </c>
      <c r="BC26" s="1411" t="s">
        <v>5076</v>
      </c>
      <c r="BD26" s="1230"/>
      <c r="BE26" s="1051" t="str">
        <f t="shared" si="1163"/>
        <v>#NAME?</v>
      </c>
      <c r="BF26" s="1479" t="s">
        <v>3185</v>
      </c>
      <c r="BG26" s="1051" t="str">
        <f t="shared" si="1164"/>
        <v>#NAME?</v>
      </c>
      <c r="BH26" s="1131" t="str">
        <f t="shared" si="1165"/>
        <v>#NAME?</v>
      </c>
      <c r="BI26" s="1411" t="s">
        <v>5314</v>
      </c>
      <c r="BJ26" s="1230"/>
      <c r="BP26" s="442"/>
      <c r="BQ26" s="449"/>
      <c r="BR26" s="1230"/>
      <c r="BS26" s="442"/>
      <c r="BT26" s="442"/>
      <c r="BU26" s="108"/>
      <c r="BV26" s="442"/>
      <c r="BW26" s="1230"/>
      <c r="BX26" s="1230"/>
      <c r="BY26" s="442"/>
      <c r="BZ26" s="442"/>
      <c r="CA26" s="108"/>
      <c r="CB26" s="442"/>
      <c r="CH26" s="442"/>
      <c r="CI26" s="1480" t="str">
        <f t="shared" si="1235"/>
        <v>#NAME?</v>
      </c>
      <c r="CJ26" s="1449" t="s">
        <v>535</v>
      </c>
      <c r="CK26" s="1348" t="str">
        <f t="shared" si="1236"/>
        <v>#NAME?</v>
      </c>
      <c r="CL26" s="1349" t="str">
        <f t="shared" si="1237"/>
        <v>#NAME?</v>
      </c>
      <c r="CM26" s="1450" t="s">
        <v>5099</v>
      </c>
      <c r="CN26" s="442"/>
      <c r="CO26" s="1193" t="str">
        <f t="shared" si="1238"/>
        <v>#NAME?</v>
      </c>
      <c r="CP26" s="1335" t="s">
        <v>1770</v>
      </c>
      <c r="CQ26" s="1146" t="str">
        <f t="shared" si="1239"/>
        <v>#NAME?</v>
      </c>
      <c r="CR26" s="1148" t="str">
        <f t="shared" si="1240"/>
        <v>#NAME?</v>
      </c>
      <c r="CS26" s="1336" t="s">
        <v>5040</v>
      </c>
      <c r="CT26" s="442"/>
      <c r="CU26" s="1012" t="str">
        <f t="shared" ref="CU26:CU27" si="1280">MONICON21(CV26)</f>
        <v>#NAME?</v>
      </c>
      <c r="CV26" s="1304" t="s">
        <v>1858</v>
      </c>
      <c r="CW26" s="977" t="str">
        <f t="shared" ref="CW26:CW27" si="1281">MONTYPEICON1(CV26)</f>
        <v>#NAME?</v>
      </c>
      <c r="CX26" s="980" t="str">
        <f t="shared" ref="CX26:CX27" si="1282">MONTYPEICON2(CV26)</f>
        <v>#NAME?</v>
      </c>
      <c r="CY26" s="1305" t="s">
        <v>4999</v>
      </c>
      <c r="CZ26" s="442"/>
      <c r="DA26" s="442"/>
      <c r="DB26" s="442"/>
      <c r="DC26" s="442"/>
      <c r="DD26" s="442"/>
      <c r="DE26" s="442"/>
      <c r="DF26" s="442"/>
      <c r="DG26" s="1027" t="str">
        <f t="shared" si="1121"/>
        <v>#NAME?</v>
      </c>
      <c r="DH26" s="1453" t="s">
        <v>3620</v>
      </c>
      <c r="DI26" s="1454" t="str">
        <f t="shared" si="1122"/>
        <v>#NAME?</v>
      </c>
      <c r="DJ26" s="1455" t="str">
        <f t="shared" si="1123"/>
        <v>#NAME?</v>
      </c>
      <c r="DK26" s="1456" t="s">
        <v>5045</v>
      </c>
      <c r="DL26" s="442"/>
      <c r="DM26" s="1049" t="str">
        <f>MONICON21(DN26)</f>
        <v>#NAME?</v>
      </c>
      <c r="DN26" s="1308" t="s">
        <v>1107</v>
      </c>
      <c r="DO26" s="1092" t="str">
        <f>MONTYPEICON1(DN26)</f>
        <v>#NAME?</v>
      </c>
      <c r="DP26" s="987" t="str">
        <f>MONTYPEICON2(DN26)</f>
        <v>#NAME?</v>
      </c>
      <c r="DQ26" s="1309" t="s">
        <v>5201</v>
      </c>
      <c r="DR26" s="442"/>
      <c r="DS26" s="1056" t="str">
        <f t="shared" si="1241"/>
        <v>#NAME?</v>
      </c>
      <c r="DT26" s="1123" t="s">
        <v>997</v>
      </c>
      <c r="DU26" s="1021" t="str">
        <f t="shared" si="1242"/>
        <v>#NAME?</v>
      </c>
      <c r="DV26" s="1024" t="str">
        <f t="shared" si="1243"/>
        <v>#NAME?</v>
      </c>
      <c r="DW26" s="1339" t="s">
        <v>5135</v>
      </c>
      <c r="DX26" s="442"/>
      <c r="DY26" s="1105" t="str">
        <f t="shared" si="1025"/>
        <v>#NAME?</v>
      </c>
      <c r="DZ26" s="1558" t="s">
        <v>3919</v>
      </c>
      <c r="EA26" s="1373" t="str">
        <f t="shared" si="1026"/>
        <v>#NAME?</v>
      </c>
      <c r="EB26" s="1374" t="str">
        <f t="shared" si="1027"/>
        <v>#NAME?</v>
      </c>
      <c r="EC26" s="1559" t="s">
        <v>5001</v>
      </c>
      <c r="ED26" s="442"/>
      <c r="EE26" s="1346" t="str">
        <f t="shared" si="1244"/>
        <v>#NAME?</v>
      </c>
      <c r="EF26" s="1347" t="s">
        <v>333</v>
      </c>
      <c r="EG26" s="1348" t="str">
        <f t="shared" si="1245"/>
        <v>#NAME?</v>
      </c>
      <c r="EH26" s="1349" t="str">
        <f t="shared" si="1246"/>
        <v>#NAME?</v>
      </c>
      <c r="EI26" s="1350" t="s">
        <v>5000</v>
      </c>
      <c r="EJ26" s="1230"/>
      <c r="EK26" s="1280"/>
      <c r="EL26" s="1274" t="s">
        <v>4908</v>
      </c>
      <c r="EM26" s="959"/>
      <c r="EN26" s="957"/>
      <c r="EO26" s="1275" t="s">
        <v>4608</v>
      </c>
      <c r="EP26" s="1230"/>
      <c r="EQ26" s="985" t="str">
        <f>MONICON21(ER26)</f>
        <v>#NAME?</v>
      </c>
      <c r="ER26" s="1052" t="s">
        <v>2293</v>
      </c>
      <c r="ES26" s="1092" t="str">
        <f>MONTYPEICON1(ER26)</f>
        <v>#NAME?</v>
      </c>
      <c r="ET26" s="987" t="str">
        <f>MONTYPEICON2(ER26)</f>
        <v>#NAME?</v>
      </c>
      <c r="EU26" s="1055" t="s">
        <v>5082</v>
      </c>
      <c r="EV26" s="1230"/>
      <c r="EW26" s="1012" t="str">
        <f t="shared" ref="EW26:EW27" si="1283">MONICON21(EX26)</f>
        <v>#NAME?</v>
      </c>
      <c r="EX26" s="1407" t="s">
        <v>1376</v>
      </c>
      <c r="EY26" s="977" t="str">
        <f t="shared" ref="EY26:EY27" si="1284">MONTYPEICON1(EX26)</f>
        <v>#NAME?</v>
      </c>
      <c r="EZ26" s="980" t="str">
        <f t="shared" ref="EZ26:EZ27" si="1285">MONTYPEICON2(EX26)</f>
        <v>#NAME?</v>
      </c>
      <c r="FA26" s="1408" t="s">
        <v>5045</v>
      </c>
      <c r="FB26" s="442"/>
      <c r="FC26" s="1266"/>
      <c r="FD26" s="1259" t="s">
        <v>5554</v>
      </c>
      <c r="FE26" s="12"/>
      <c r="FF26" s="962"/>
      <c r="FG26" s="1258" t="s">
        <v>4608</v>
      </c>
      <c r="FH26" s="442"/>
      <c r="FI26" s="1272" t="s">
        <v>4530</v>
      </c>
      <c r="FJ26" s="12"/>
      <c r="FK26" s="12"/>
      <c r="FL26" s="12"/>
      <c r="FM26" s="48"/>
      <c r="FN26" s="442"/>
      <c r="FO26" s="1193" t="str">
        <f t="shared" si="1247"/>
        <v>#NAME?</v>
      </c>
      <c r="FP26" s="1357" t="s">
        <v>1499</v>
      </c>
      <c r="FQ26" s="1146" t="str">
        <f t="shared" si="1248"/>
        <v>#NAME?</v>
      </c>
      <c r="FR26" s="1148" t="str">
        <f t="shared" si="1249"/>
        <v>#NAME?</v>
      </c>
      <c r="FS26" s="1330" t="s">
        <v>5001</v>
      </c>
      <c r="FT26" s="442"/>
      <c r="FU26" s="1266"/>
      <c r="FV26" s="1256" t="s">
        <v>5555</v>
      </c>
      <c r="FW26" s="1257" t="s">
        <v>4888</v>
      </c>
      <c r="FX26" s="962"/>
      <c r="FY26" s="1258" t="s">
        <v>4608</v>
      </c>
      <c r="FZ26" s="442"/>
      <c r="GA26" s="1283"/>
      <c r="GB26" s="1264" t="s">
        <v>5556</v>
      </c>
      <c r="GC26" s="12"/>
      <c r="GD26" s="962"/>
      <c r="GE26" s="1265" t="s">
        <v>4608</v>
      </c>
      <c r="GF26" s="1230"/>
      <c r="GI26" s="349"/>
      <c r="GJ26" s="349"/>
      <c r="GK26" s="349"/>
      <c r="GL26" s="1230"/>
      <c r="GM26" s="1286"/>
      <c r="GN26" s="1259" t="s">
        <v>5557</v>
      </c>
      <c r="GO26" s="12"/>
      <c r="GP26" s="962"/>
      <c r="GQ26" s="1258" t="s">
        <v>4608</v>
      </c>
      <c r="GR26" s="65"/>
      <c r="GS26" s="1286"/>
      <c r="GT26" s="1259" t="s">
        <v>5558</v>
      </c>
      <c r="GU26" s="12"/>
      <c r="GV26" s="962"/>
      <c r="GW26" s="1258" t="s">
        <v>4608</v>
      </c>
      <c r="GX26" s="65"/>
      <c r="GY26" s="1286"/>
      <c r="GZ26" s="1256" t="s">
        <v>5559</v>
      </c>
      <c r="HA26" s="1257" t="s">
        <v>4888</v>
      </c>
      <c r="HB26" s="962"/>
      <c r="HC26" s="1258" t="s">
        <v>4608</v>
      </c>
      <c r="HD26" s="1230"/>
      <c r="HE26" s="1094" t="str">
        <f t="shared" si="1169"/>
        <v>#NAME?</v>
      </c>
      <c r="HF26" s="499" t="s">
        <v>1637</v>
      </c>
      <c r="HG26" s="1051" t="str">
        <f t="shared" si="1170"/>
        <v>#NAME?</v>
      </c>
      <c r="HH26" s="1131" t="str">
        <f t="shared" si="1171"/>
        <v>#NAME?</v>
      </c>
      <c r="HI26" s="1095" t="s">
        <v>5004</v>
      </c>
      <c r="HJ26" s="1230"/>
      <c r="HK26" s="1159" t="str">
        <f t="shared" si="1028"/>
        <v>#NAME?</v>
      </c>
      <c r="HL26" s="1539" t="s">
        <v>3649</v>
      </c>
      <c r="HM26" s="1497" t="str">
        <f t="shared" si="1029"/>
        <v>#NAME?</v>
      </c>
      <c r="HN26" s="1498" t="str">
        <f t="shared" si="1030"/>
        <v>#NAME?</v>
      </c>
      <c r="HO26" s="1456" t="s">
        <v>5214</v>
      </c>
      <c r="HP26" s="65"/>
      <c r="HQ26" s="1056" t="str">
        <f t="shared" si="1250"/>
        <v>#NAME?</v>
      </c>
      <c r="HR26" s="1377" t="s">
        <v>1343</v>
      </c>
      <c r="HS26" s="1502" t="str">
        <f t="shared" si="1251"/>
        <v>#NAME?</v>
      </c>
      <c r="HT26" s="1503" t="str">
        <f t="shared" si="1252"/>
        <v>#NAME?</v>
      </c>
      <c r="HU26" s="1339" t="s">
        <v>5084</v>
      </c>
      <c r="HW26" s="983" t="str">
        <f t="shared" ref="HW26:HW28" si="1286">MONICON21(HX26)</f>
        <v>#NAME?</v>
      </c>
      <c r="HX26" s="1157" t="s">
        <v>3879</v>
      </c>
      <c r="HY26" s="1311" t="str">
        <f t="shared" ref="HY26:HY28" si="1287">MONTYPEICON1(HX26)</f>
        <v>#NAME?</v>
      </c>
      <c r="HZ26" s="1312" t="str">
        <f t="shared" ref="HZ26:HZ28" si="1288">MONTYPEICON2(HX26)</f>
        <v>#NAME?</v>
      </c>
      <c r="IA26" s="1303" t="s">
        <v>5214</v>
      </c>
      <c r="IB26" s="65"/>
      <c r="IC26" s="1068" t="str">
        <f t="shared" si="1253"/>
        <v>#NAME?</v>
      </c>
      <c r="ID26" s="1356" t="s">
        <v>2519</v>
      </c>
      <c r="IE26" s="1358" t="str">
        <f t="shared" si="1254"/>
        <v>#NAME?</v>
      </c>
      <c r="IF26" s="1359" t="str">
        <f t="shared" si="1255"/>
        <v>#NAME?</v>
      </c>
      <c r="IG26" s="1338" t="s">
        <v>5006</v>
      </c>
      <c r="II26" s="1268"/>
      <c r="IJ26" s="1269" t="s">
        <v>5393</v>
      </c>
      <c r="IK26" s="12"/>
      <c r="IL26" s="962"/>
      <c r="IM26" s="1270" t="s">
        <v>4608</v>
      </c>
      <c r="IQ26" s="349"/>
      <c r="IR26" s="349"/>
      <c r="IT26" s="1230"/>
      <c r="IU26" s="1094" t="str">
        <f t="shared" si="1172"/>
        <v>#NAME?</v>
      </c>
      <c r="IV26" s="1552" t="s">
        <v>2133</v>
      </c>
      <c r="IW26" s="1420" t="str">
        <f t="shared" si="1173"/>
        <v>#NAME?</v>
      </c>
      <c r="IX26" s="475" t="str">
        <f t="shared" si="1174"/>
        <v>#NAME?</v>
      </c>
      <c r="IY26" s="1553" t="s">
        <v>5084</v>
      </c>
      <c r="IZ26" s="442"/>
      <c r="JA26" s="1094" t="str">
        <f t="shared" si="1175"/>
        <v>#NAME?</v>
      </c>
      <c r="JB26" s="1479" t="s">
        <v>2012</v>
      </c>
      <c r="JC26" s="1420" t="str">
        <f t="shared" si="1176"/>
        <v>#NAME?</v>
      </c>
      <c r="JD26" s="475" t="str">
        <f t="shared" si="1177"/>
        <v>#NAME?</v>
      </c>
      <c r="JE26" s="1411" t="s">
        <v>5158</v>
      </c>
      <c r="JF26" s="442"/>
      <c r="JG26" s="985" t="str">
        <f>MONICON21(JH26)</f>
        <v>#NAME?</v>
      </c>
      <c r="JH26" s="146" t="s">
        <v>2970</v>
      </c>
      <c r="JI26" s="22" t="str">
        <f>MONTYPEICON1(JH26)</f>
        <v>#NAME?</v>
      </c>
      <c r="JJ26" s="24" t="str">
        <f>MONTYPEICON2(JH26)</f>
        <v>#NAME?</v>
      </c>
      <c r="JK26" s="1196" t="s">
        <v>5560</v>
      </c>
      <c r="JL26" s="442"/>
      <c r="JM26" s="1193" t="str">
        <f t="shared" si="1130"/>
        <v>#NAME?</v>
      </c>
      <c r="JN26" s="1145" t="s">
        <v>3333</v>
      </c>
      <c r="JO26" s="1462" t="str">
        <f t="shared" si="1131"/>
        <v>#NAME?</v>
      </c>
      <c r="JP26" s="1463" t="str">
        <f t="shared" si="1132"/>
        <v>#NAME?</v>
      </c>
      <c r="JQ26" s="1330" t="s">
        <v>5158</v>
      </c>
      <c r="JR26" s="442"/>
      <c r="JS26" s="985" t="s">
        <v>4992</v>
      </c>
      <c r="JT26" s="12"/>
      <c r="JU26" s="12"/>
      <c r="JV26" s="12"/>
      <c r="JW26" s="48"/>
      <c r="JY26" s="1096" t="str">
        <f t="shared" si="1094"/>
        <v>#NAME?</v>
      </c>
      <c r="JZ26" s="1415" t="s">
        <v>2686</v>
      </c>
      <c r="KA26" s="1013" t="str">
        <f t="shared" si="1095"/>
        <v>#NAME?</v>
      </c>
      <c r="KB26" s="1015" t="str">
        <f t="shared" si="1096"/>
        <v>#NAME?</v>
      </c>
      <c r="KC26" s="1416" t="s">
        <v>5014</v>
      </c>
      <c r="KE26" s="1193" t="str">
        <f t="shared" si="1256"/>
        <v>#NAME?</v>
      </c>
      <c r="KF26" s="1145" t="s">
        <v>839</v>
      </c>
      <c r="KG26" s="1146" t="str">
        <f t="shared" si="1257"/>
        <v>#NAME?</v>
      </c>
      <c r="KH26" s="1148" t="str">
        <f t="shared" si="1258"/>
        <v>#NAME?</v>
      </c>
      <c r="KI26" s="1330" t="s">
        <v>5535</v>
      </c>
      <c r="KK26" s="961" t="s">
        <v>4929</v>
      </c>
      <c r="KL26" s="12"/>
      <c r="KM26" s="48"/>
      <c r="KN26" s="349"/>
      <c r="KQ26" s="1283"/>
      <c r="KR26" s="1264" t="s">
        <v>5561</v>
      </c>
      <c r="KS26" s="12"/>
      <c r="KT26" s="962"/>
      <c r="KU26" s="1265" t="s">
        <v>4608</v>
      </c>
      <c r="KW26" s="1346" t="str">
        <f t="shared" si="1259"/>
        <v>#NAME?</v>
      </c>
      <c r="KX26" s="1370" t="s">
        <v>171</v>
      </c>
      <c r="KY26" s="1596" t="str">
        <f t="shared" si="1260"/>
        <v>#NAME?</v>
      </c>
      <c r="KZ26" s="1354" t="str">
        <f t="shared" si="1261"/>
        <v>#NAME?</v>
      </c>
      <c r="LA26" s="1371" t="s">
        <v>5086</v>
      </c>
      <c r="LB26" s="442"/>
      <c r="LC26" s="1266"/>
      <c r="LD26" s="1256" t="s">
        <v>5562</v>
      </c>
      <c r="LE26" s="1257" t="s">
        <v>4888</v>
      </c>
      <c r="LF26" s="962"/>
      <c r="LG26" s="1258" t="s">
        <v>4608</v>
      </c>
      <c r="LK26" s="349"/>
      <c r="LL26" s="349"/>
      <c r="LO26" s="1094" t="str">
        <f t="shared" si="1178"/>
        <v>#NAME?</v>
      </c>
      <c r="LP26" s="1127" t="s">
        <v>3388</v>
      </c>
      <c r="LQ26" s="1051" t="str">
        <f t="shared" si="1179"/>
        <v>#NAME?</v>
      </c>
      <c r="LR26" s="1131" t="str">
        <f t="shared" si="1180"/>
        <v>#NAME?</v>
      </c>
      <c r="LS26" s="1422" t="s">
        <v>5164</v>
      </c>
      <c r="LU26" s="973" t="s">
        <v>5563</v>
      </c>
      <c r="LV26" s="976"/>
      <c r="LW26" s="976"/>
      <c r="LX26" s="976"/>
      <c r="LY26" s="954"/>
      <c r="MA26" s="1280"/>
      <c r="MB26" s="1281" t="s">
        <v>4908</v>
      </c>
      <c r="MC26" s="12"/>
      <c r="MD26" s="962"/>
      <c r="ME26" s="1282" t="s">
        <v>4608</v>
      </c>
      <c r="MG26" s="1049" t="str">
        <f t="shared" si="1181"/>
        <v>#NAME?</v>
      </c>
      <c r="MH26" s="1127" t="s">
        <v>4197</v>
      </c>
      <c r="MI26" s="1051" t="str">
        <f t="shared" si="1182"/>
        <v>#NAME?</v>
      </c>
      <c r="MJ26" s="1131" t="str">
        <f t="shared" si="1183"/>
        <v>#NAME?</v>
      </c>
      <c r="MK26" s="1422" t="s">
        <v>5106</v>
      </c>
      <c r="MM26" s="961" t="s">
        <v>5564</v>
      </c>
      <c r="MN26" s="12"/>
      <c r="MO26" s="48"/>
      <c r="MP26" s="349"/>
      <c r="MQ26" s="442"/>
      <c r="MS26" s="983" t="str">
        <f t="shared" ref="MS26:MS29" si="1289">MONICON21(MT26)</f>
        <v>#NAME?</v>
      </c>
      <c r="MT26" s="1301" t="s">
        <v>1924</v>
      </c>
      <c r="MU26" s="977" t="str">
        <f t="shared" ref="MU26:MU29" si="1290">MONTYPEICON1(MT26)</f>
        <v>#NAME?</v>
      </c>
      <c r="MV26" s="980" t="str">
        <f t="shared" ref="MV26:MV29" si="1291">MONTYPEICON2(MT26)</f>
        <v>#NAME?</v>
      </c>
      <c r="MW26" s="1318" t="s">
        <v>5164</v>
      </c>
      <c r="MX26" s="442"/>
      <c r="MY26" s="1280"/>
      <c r="MZ26" s="1281" t="s">
        <v>5394</v>
      </c>
      <c r="NA26" s="12"/>
      <c r="NB26" s="962"/>
      <c r="NC26" s="1282" t="s">
        <v>4608</v>
      </c>
      <c r="ND26" s="442"/>
      <c r="NE26" s="1094" t="str">
        <f t="shared" si="1187"/>
        <v>#NAME?</v>
      </c>
      <c r="NF26" s="1127" t="s">
        <v>2192</v>
      </c>
      <c r="NG26" s="1420" t="str">
        <f t="shared" si="1188"/>
        <v>#NAME?</v>
      </c>
      <c r="NH26" s="475" t="str">
        <f t="shared" si="1189"/>
        <v>#NAME?</v>
      </c>
      <c r="NI26" s="1422" t="s">
        <v>5017</v>
      </c>
      <c r="NJ26" s="65"/>
      <c r="NK26" s="1260"/>
      <c r="NL26" s="1261" t="s">
        <v>4892</v>
      </c>
      <c r="NM26" s="959"/>
      <c r="NN26" s="957"/>
      <c r="NO26" s="1262" t="s">
        <v>4608</v>
      </c>
      <c r="NP26" s="65"/>
      <c r="NQ26" s="1105" t="str">
        <f t="shared" si="1262"/>
        <v>#NAME?</v>
      </c>
      <c r="NR26" s="1079" t="s">
        <v>4146</v>
      </c>
      <c r="NS26" s="1373" t="str">
        <f t="shared" si="1263"/>
        <v>#NAME?</v>
      </c>
      <c r="NT26" s="1374" t="str">
        <f t="shared" si="1264"/>
        <v>#NAME?</v>
      </c>
      <c r="NU26" s="1369" t="s">
        <v>5018</v>
      </c>
      <c r="NV26" s="442"/>
      <c r="NW26" s="1068" t="str">
        <f t="shared" si="1265"/>
        <v>#NAME?</v>
      </c>
      <c r="NX26" s="1076" t="s">
        <v>125</v>
      </c>
      <c r="NY26" s="1358" t="str">
        <f t="shared" si="1266"/>
        <v>#NAME?</v>
      </c>
      <c r="NZ26" s="1359" t="str">
        <f t="shared" si="1267"/>
        <v>#NAME?</v>
      </c>
      <c r="OA26" s="1368" t="s">
        <v>5019</v>
      </c>
      <c r="OB26" s="442"/>
      <c r="OC26" s="985" t="str">
        <f>MONICON21(OD26)</f>
        <v>#NAME?</v>
      </c>
      <c r="OD26" s="1229" t="s">
        <v>1376</v>
      </c>
      <c r="OE26" s="1586" t="str">
        <f>MONTYPEICON1(OD26)</f>
        <v>#NAME?</v>
      </c>
      <c r="OF26" s="475" t="str">
        <f>MONTYPEICON2(OD26)</f>
        <v>#NAME?</v>
      </c>
      <c r="OG26" s="1424" t="s">
        <v>5431</v>
      </c>
      <c r="OH26" s="442"/>
      <c r="OI26" s="1068" t="str">
        <f t="shared" si="1133"/>
        <v>#NAME?</v>
      </c>
      <c r="OJ26" s="1076" t="s">
        <v>1849</v>
      </c>
      <c r="OK26" s="1358" t="str">
        <f t="shared" si="1134"/>
        <v>#NAME?</v>
      </c>
      <c r="OL26" s="1359" t="str">
        <f t="shared" si="1135"/>
        <v>#NAME?</v>
      </c>
      <c r="OM26" s="1368" t="s">
        <v>5020</v>
      </c>
      <c r="ON26" s="442"/>
      <c r="OO26" s="1266"/>
      <c r="OP26" s="1259" t="s">
        <v>5565</v>
      </c>
      <c r="OQ26" s="12"/>
      <c r="OR26" s="962"/>
      <c r="OS26" s="1258" t="s">
        <v>4608</v>
      </c>
      <c r="OU26" s="983" t="str">
        <f t="shared" ref="OU26:OU30" si="1292">MONICON21(OV26)</f>
        <v>#NAME?</v>
      </c>
      <c r="OV26" s="1301" t="s">
        <v>4233</v>
      </c>
      <c r="OW26" s="1311" t="str">
        <f t="shared" ref="OW26:OW30" si="1293">MONTYPEICON1(OV26)</f>
        <v>#NAME?</v>
      </c>
      <c r="OX26" s="1312" t="str">
        <f t="shared" ref="OX26:OX30" si="1294">MONTYPEICON2(OV26)</f>
        <v>#NAME?</v>
      </c>
      <c r="OY26" s="1318" t="s">
        <v>5022</v>
      </c>
      <c r="PA26" s="1094" t="str">
        <f t="shared" si="1190"/>
        <v>#NAME?</v>
      </c>
      <c r="PB26" s="1127" t="s">
        <v>2418</v>
      </c>
      <c r="PC26" s="1420" t="str">
        <f t="shared" si="1191"/>
        <v>#NAME?</v>
      </c>
      <c r="PD26" s="475" t="str">
        <f t="shared" si="1192"/>
        <v>#NAME?</v>
      </c>
      <c r="PE26" s="1422" t="s">
        <v>5146</v>
      </c>
      <c r="PF26" s="442"/>
      <c r="PG26" s="1266"/>
      <c r="PH26" s="1259" t="s">
        <v>5566</v>
      </c>
      <c r="PI26" s="12"/>
      <c r="PJ26" s="962"/>
      <c r="PK26" s="1258" t="s">
        <v>4608</v>
      </c>
      <c r="PM26" s="1096" t="str">
        <f t="shared" si="1193"/>
        <v>#NAME?</v>
      </c>
      <c r="PN26" s="1098" t="s">
        <v>2849</v>
      </c>
      <c r="PO26" s="1417" t="str">
        <f t="shared" si="1194"/>
        <v>#NAME?</v>
      </c>
      <c r="PP26" s="62" t="str">
        <f t="shared" si="1195"/>
        <v>#NAME?</v>
      </c>
      <c r="PQ26" s="1423" t="s">
        <v>5021</v>
      </c>
      <c r="PR26" s="442"/>
      <c r="PS26" s="1193" t="str">
        <f t="shared" si="1139"/>
        <v>#NAME?</v>
      </c>
      <c r="PT26" s="1145" t="s">
        <v>1508</v>
      </c>
      <c r="PU26" s="1462" t="str">
        <f t="shared" si="1140"/>
        <v>#NAME?</v>
      </c>
      <c r="PV26" s="1463" t="str">
        <f t="shared" si="1141"/>
        <v>#NAME?</v>
      </c>
      <c r="PW26" s="1464" t="s">
        <v>5352</v>
      </c>
      <c r="PX26" s="442"/>
      <c r="PY26" s="1268"/>
      <c r="PZ26" s="1269" t="s">
        <v>4904</v>
      </c>
      <c r="QA26" s="12"/>
      <c r="QB26" s="962"/>
      <c r="QC26" s="1270" t="s">
        <v>4608</v>
      </c>
      <c r="QD26" s="442"/>
      <c r="QE26" s="1027" t="str">
        <f t="shared" si="1142"/>
        <v>#NAME?</v>
      </c>
      <c r="QF26" s="1340" t="s">
        <v>2661</v>
      </c>
      <c r="QG26" s="1360" t="str">
        <f t="shared" si="1143"/>
        <v>#NAME?</v>
      </c>
      <c r="QH26" s="1361" t="str">
        <f t="shared" si="1144"/>
        <v>#NAME?</v>
      </c>
      <c r="QI26" s="1376" t="s">
        <v>5032</v>
      </c>
      <c r="QJ26" s="442"/>
      <c r="QK26" s="1012" t="str">
        <f t="shared" si="1196"/>
        <v>#NAME?</v>
      </c>
      <c r="QL26" s="1098" t="s">
        <v>2065</v>
      </c>
      <c r="QM26" s="1013" t="str">
        <f t="shared" si="1197"/>
        <v>#NAME?</v>
      </c>
      <c r="QN26" s="1015" t="str">
        <f t="shared" si="1198"/>
        <v>#NAME?</v>
      </c>
      <c r="QO26" s="1414" t="s">
        <v>5031</v>
      </c>
      <c r="QP26" s="442"/>
      <c r="QQ26" s="1012" t="str">
        <f t="shared" si="1199"/>
        <v>#NAME?</v>
      </c>
      <c r="QR26" s="1098" t="s">
        <v>615</v>
      </c>
      <c r="QS26" s="1013" t="str">
        <f t="shared" si="1200"/>
        <v>#NAME?</v>
      </c>
      <c r="QT26" s="1015" t="str">
        <f t="shared" si="1201"/>
        <v>#NAME?</v>
      </c>
      <c r="QU26" s="1414" t="s">
        <v>5033</v>
      </c>
      <c r="QW26" s="1012" t="str">
        <f t="shared" si="1202"/>
        <v>#NAME?</v>
      </c>
      <c r="QX26" s="1098" t="s">
        <v>2106</v>
      </c>
      <c r="QY26" s="1013" t="str">
        <f t="shared" si="1203"/>
        <v>#NAME?</v>
      </c>
      <c r="QZ26" s="1015" t="str">
        <f t="shared" si="1204"/>
        <v>#NAME?</v>
      </c>
      <c r="RA26" s="1414" t="s">
        <v>5112</v>
      </c>
      <c r="RB26" s="442"/>
      <c r="RC26" s="1012" t="str">
        <f t="shared" si="1205"/>
        <v>#NAME?</v>
      </c>
      <c r="RD26" s="1098" t="s">
        <v>2625</v>
      </c>
      <c r="RE26" s="1013" t="str">
        <f t="shared" si="1206"/>
        <v>#NAME?</v>
      </c>
      <c r="RF26" s="1015" t="str">
        <f t="shared" si="1207"/>
        <v>#NAME?</v>
      </c>
      <c r="RG26" s="1414" t="s">
        <v>5113</v>
      </c>
      <c r="RH26" s="442"/>
      <c r="RI26" s="1012" t="str">
        <f t="shared" si="1208"/>
        <v>#NAME?</v>
      </c>
      <c r="RJ26" s="1098" t="s">
        <v>4010</v>
      </c>
      <c r="RK26" s="1013" t="str">
        <f t="shared" si="1209"/>
        <v>#NAME?</v>
      </c>
      <c r="RL26" s="1015" t="str">
        <f t="shared" si="1210"/>
        <v>#NAME?</v>
      </c>
      <c r="RM26" s="1414" t="s">
        <v>5092</v>
      </c>
      <c r="RN26" s="442"/>
      <c r="RQ26" s="349"/>
      <c r="RR26" s="108"/>
      <c r="RS26" s="442"/>
      <c r="RT26" s="442"/>
      <c r="RU26" s="1096" t="str">
        <f t="shared" si="1211"/>
        <v>#NAME?</v>
      </c>
      <c r="RV26" s="1098" t="s">
        <v>839</v>
      </c>
      <c r="RW26" s="1417" t="str">
        <f t="shared" si="1212"/>
        <v>#NAME?</v>
      </c>
      <c r="RX26" s="62" t="str">
        <f t="shared" si="1213"/>
        <v>#NAME?</v>
      </c>
      <c r="RY26" s="1423" t="s">
        <v>5112</v>
      </c>
      <c r="RZ26" s="442"/>
      <c r="SA26" s="983" t="str">
        <f t="shared" ref="SA26:SA28" si="1295">MONICON21(SB26)</f>
        <v>#NAME?</v>
      </c>
      <c r="SB26" s="1301" t="s">
        <v>1808</v>
      </c>
      <c r="SC26" s="1311" t="str">
        <f t="shared" ref="SC26:SC28" si="1296">MONTYPEICON1(SB26)</f>
        <v>#NAME?</v>
      </c>
      <c r="SD26" s="1312" t="str">
        <f t="shared" ref="SD26:SD28" si="1297">MONTYPEICON2(SB26)</f>
        <v>#NAME?</v>
      </c>
      <c r="SE26" s="1318" t="s">
        <v>5112</v>
      </c>
      <c r="SF26" s="442"/>
      <c r="SG26" s="1266"/>
      <c r="SH26" s="1259" t="s">
        <v>5567</v>
      </c>
      <c r="SI26" s="12"/>
      <c r="SJ26" s="962"/>
      <c r="SK26" s="1004" t="s">
        <v>4608</v>
      </c>
      <c r="SL26" s="442"/>
      <c r="SM26" s="1012" t="str">
        <f t="shared" ref="SM26:SM27" si="1298">MONICON21(SN26)</f>
        <v>#NAME?</v>
      </c>
      <c r="SN26" s="1301" t="s">
        <v>2789</v>
      </c>
      <c r="SO26" s="1311" t="str">
        <f t="shared" ref="SO26:SO27" si="1299">MONTYPEICON1(SN26)</f>
        <v>#NAME?</v>
      </c>
      <c r="SP26" s="1312" t="str">
        <f t="shared" ref="SP26:SP27" si="1300">MONTYPEICON2(SN26)</f>
        <v>#NAME?</v>
      </c>
      <c r="SQ26" s="1318" t="s">
        <v>5092</v>
      </c>
      <c r="SS26" s="983" t="str">
        <f t="shared" ref="SS26:SS31" si="1301">MONICON21(ST26)</f>
        <v>#NAME?</v>
      </c>
      <c r="ST26" s="1304" t="s">
        <v>2224</v>
      </c>
      <c r="SU26" s="977" t="str">
        <f t="shared" ref="SU26:SU31" si="1302">MONTYPEICON1(ST26)</f>
        <v>#NAME?</v>
      </c>
      <c r="SV26" s="980" t="str">
        <f t="shared" ref="SV26:SV31" si="1303">MONTYPEICON2(ST26)</f>
        <v>#NAME?</v>
      </c>
      <c r="SW26" s="1321" t="s">
        <v>5024</v>
      </c>
      <c r="SY26" s="983" t="str">
        <f t="shared" ref="SY26:SY31" si="1304">MONICON21(SZ26)</f>
        <v>#NAME?</v>
      </c>
      <c r="SZ26" s="1304" t="s">
        <v>518</v>
      </c>
      <c r="TA26" s="977" t="str">
        <f t="shared" ref="TA26:TA31" si="1305">MONTYPEICON1(SZ26)</f>
        <v>#NAME?</v>
      </c>
      <c r="TB26" s="980" t="str">
        <f t="shared" ref="TB26:TB31" si="1306">MONTYPEICON2(SZ26)</f>
        <v>#NAME?</v>
      </c>
      <c r="TC26" s="1321" t="s">
        <v>5024</v>
      </c>
      <c r="TD26" s="65"/>
      <c r="TE26" s="1351" t="str">
        <f t="shared" si="1145"/>
        <v>#NAME?</v>
      </c>
      <c r="TF26" s="1372" t="s">
        <v>4174</v>
      </c>
      <c r="TG26" s="1353" t="str">
        <f t="shared" si="1146"/>
        <v>#NAME?</v>
      </c>
      <c r="TH26" s="1354" t="str">
        <f t="shared" si="1147"/>
        <v>#NAME?</v>
      </c>
      <c r="TI26" s="1367" t="s">
        <v>5092</v>
      </c>
      <c r="TK26" s="1266"/>
      <c r="TL26" s="1259" t="s">
        <v>5568</v>
      </c>
      <c r="TM26" s="12"/>
      <c r="TN26" s="962"/>
      <c r="TO26" s="1004" t="s">
        <v>4608</v>
      </c>
      <c r="TP26" s="442"/>
      <c r="TQ26" s="1266"/>
      <c r="TR26" s="1259" t="s">
        <v>5569</v>
      </c>
      <c r="TS26" s="12"/>
      <c r="TT26" s="962"/>
      <c r="TU26" s="1004" t="s">
        <v>4608</v>
      </c>
      <c r="TW26" s="977" t="str">
        <f t="shared" ref="TW26:TW31" si="1307">MONICON21(TX26)</f>
        <v>#NAME?</v>
      </c>
      <c r="TX26" s="1301" t="s">
        <v>493</v>
      </c>
      <c r="TY26" s="977" t="str">
        <f t="shared" ref="TY26:TY31" si="1308">MONTYPEICON1(TX26)</f>
        <v>#NAME?</v>
      </c>
      <c r="TZ26" s="980" t="str">
        <f t="shared" ref="TZ26:TZ31" si="1309">MONTYPEICON2(TX26)</f>
        <v>#NAME?</v>
      </c>
      <c r="UA26" s="1303" t="s">
        <v>5228</v>
      </c>
      <c r="UI26" s="1033" t="str">
        <f t="shared" ref="UI26:UI27" si="1310">MONICON21(UJ26)</f>
        <v>#NAME?</v>
      </c>
      <c r="UJ26" s="1301" t="s">
        <v>3896</v>
      </c>
      <c r="UK26" s="977" t="str">
        <f t="shared" ref="UK26:UK27" si="1311">MONTYPEICON1(UJ26)</f>
        <v>#NAME?</v>
      </c>
      <c r="UL26" s="980" t="str">
        <f t="shared" ref="UL26:UL27" si="1312">MONTYPEICON2(UJ26)</f>
        <v>#NAME?</v>
      </c>
      <c r="UM26" s="1303" t="s">
        <v>5118</v>
      </c>
      <c r="UO26" s="1293"/>
      <c r="UP26" s="1291" t="s">
        <v>5570</v>
      </c>
      <c r="UQ26" s="12"/>
      <c r="UR26" s="962"/>
      <c r="US26" s="1292" t="s">
        <v>4608</v>
      </c>
      <c r="UU26" s="1293"/>
      <c r="UV26" s="1291" t="s">
        <v>5571</v>
      </c>
      <c r="UW26" s="12"/>
      <c r="UX26" s="962"/>
      <c r="UY26" s="1292" t="s">
        <v>4608</v>
      </c>
      <c r="VA26" s="1383" t="str">
        <f t="shared" si="1268"/>
        <v>#NAME?</v>
      </c>
      <c r="VB26" s="1384" t="s">
        <v>734</v>
      </c>
      <c r="VC26" s="1383" t="str">
        <f t="shared" si="1269"/>
        <v>#NAME?</v>
      </c>
      <c r="VD26" s="1385" t="str">
        <f t="shared" si="1270"/>
        <v>#NAME?</v>
      </c>
      <c r="VE26" s="1386" t="s">
        <v>5279</v>
      </c>
      <c r="VL26" s="442"/>
      <c r="VM26" s="1294"/>
      <c r="VN26" s="1291" t="s">
        <v>5572</v>
      </c>
      <c r="VO26" s="12"/>
      <c r="VP26" s="962"/>
      <c r="VQ26" s="1292" t="s">
        <v>4608</v>
      </c>
      <c r="VR26" s="442"/>
      <c r="VS26" s="1289" t="s">
        <v>5075</v>
      </c>
      <c r="VT26" s="12"/>
      <c r="VU26" s="12"/>
      <c r="VV26" s="12"/>
      <c r="VW26" s="48"/>
      <c r="VX26" s="442"/>
      <c r="VY26" s="1383" t="str">
        <f t="shared" si="1271"/>
        <v>#NAME?</v>
      </c>
      <c r="VZ26" s="1508" t="s">
        <v>3628</v>
      </c>
      <c r="WA26" s="1383" t="str">
        <f t="shared" si="1272"/>
        <v>#NAME?</v>
      </c>
      <c r="WB26" s="1385" t="str">
        <f t="shared" si="1273"/>
        <v>#NAME?</v>
      </c>
      <c r="WC26" s="1509" t="s">
        <v>5006</v>
      </c>
      <c r="WD26" s="442"/>
      <c r="WE26" s="1289" t="s">
        <v>5260</v>
      </c>
      <c r="WF26" s="12"/>
      <c r="WG26" s="12"/>
      <c r="WH26" s="12"/>
      <c r="WI26" s="48"/>
      <c r="WJ26" s="442"/>
      <c r="WK26" s="1092" t="str">
        <f>MONICON21(WL26)</f>
        <v>#NAME?</v>
      </c>
      <c r="WL26" s="1590" t="s">
        <v>903</v>
      </c>
      <c r="WM26" s="1092" t="str">
        <f>MONTYPEICON1(WL26)</f>
        <v>#NAME?</v>
      </c>
      <c r="WN26" s="987" t="str">
        <f>MONTYPEICON2(WL26)</f>
        <v>#NAME?</v>
      </c>
      <c r="WO26" s="1309" t="s">
        <v>5033</v>
      </c>
      <c r="WP26" s="442"/>
      <c r="WQ26" s="977" t="str">
        <f t="shared" ref="WQ26:WQ28" si="1313">MONICON21(WR26)</f>
        <v>#NAME?</v>
      </c>
      <c r="WR26" s="1301" t="s">
        <v>2232</v>
      </c>
      <c r="WS26" s="977" t="str">
        <f t="shared" ref="WS26:WS28" si="1314">MONTYPEICON1(WR26)</f>
        <v>#NAME?</v>
      </c>
      <c r="WT26" s="980" t="str">
        <f t="shared" ref="WT26:WT28" si="1315">MONTYPEICON2(WR26)</f>
        <v>#NAME?</v>
      </c>
      <c r="WU26" s="1303" t="s">
        <v>5034</v>
      </c>
      <c r="WV26" s="442"/>
      <c r="WW26" s="1092" t="str">
        <f>MONICON21(WX26)</f>
        <v>#NAME?</v>
      </c>
      <c r="WX26" s="1052" t="s">
        <v>2789</v>
      </c>
      <c r="WY26" s="1092" t="str">
        <f>MONTYPEICON1(WX26)</f>
        <v>#NAME?</v>
      </c>
      <c r="WZ26" s="987" t="str">
        <f>MONTYPEICON2(WX26)</f>
        <v>#NAME?</v>
      </c>
      <c r="XA26" s="1327" t="s">
        <v>5112</v>
      </c>
      <c r="XB26" s="442"/>
      <c r="XC26" s="1383" t="str">
        <f t="shared" si="1073"/>
        <v>#NAME?</v>
      </c>
      <c r="XD26" s="1384" t="s">
        <v>1272</v>
      </c>
      <c r="XE26" s="1383" t="str">
        <f t="shared" si="1074"/>
        <v>#NAME?</v>
      </c>
      <c r="XF26" s="1385" t="str">
        <f t="shared" si="1075"/>
        <v>#NAME?</v>
      </c>
      <c r="XG26" s="1507" t="s">
        <v>5017</v>
      </c>
      <c r="XH26" s="442"/>
      <c r="XI26" s="1295" t="s">
        <v>5398</v>
      </c>
      <c r="XJ26" s="12"/>
      <c r="XK26" s="12"/>
      <c r="XL26" s="12"/>
      <c r="XM26" s="48"/>
      <c r="XN26" s="442"/>
      <c r="XO26" s="1387" t="str">
        <f t="shared" si="1274"/>
        <v>#NAME?</v>
      </c>
      <c r="XP26" s="1388" t="s">
        <v>1343</v>
      </c>
      <c r="XQ26" s="1387" t="str">
        <f t="shared" si="1275"/>
        <v>#NAME?</v>
      </c>
      <c r="XR26" s="1392" t="str">
        <f t="shared" si="1276"/>
        <v>#NAME?</v>
      </c>
      <c r="XS26" s="1391" t="s">
        <v>5174</v>
      </c>
      <c r="XT26" s="442"/>
      <c r="XU26" s="442"/>
      <c r="XV26" s="442"/>
      <c r="XW26" s="442"/>
      <c r="XX26" s="442"/>
      <c r="XY26" s="442"/>
      <c r="XZ26" s="442"/>
      <c r="YA26" s="977" t="str">
        <f t="shared" ref="YA26:YA28" si="1316">MONICON21(YB26)</f>
        <v>#NAME?</v>
      </c>
      <c r="YB26" s="1301" t="s">
        <v>4098</v>
      </c>
      <c r="YC26" s="977" t="str">
        <f t="shared" ref="YC26:YC28" si="1317">MONTYPEICON1(YB26)</f>
        <v>#NAME?</v>
      </c>
      <c r="YD26" s="980" t="str">
        <f t="shared" ref="YD26:YD28" si="1318">MONTYPEICON2(YB26)</f>
        <v>#NAME?</v>
      </c>
      <c r="YE26" s="1303" t="s">
        <v>5031</v>
      </c>
      <c r="YF26" s="442"/>
      <c r="YG26" s="977" t="str">
        <f t="shared" ref="YG26:YG28" si="1319">MONICON21(YH26)</f>
        <v>#NAME?</v>
      </c>
      <c r="YH26" s="1301" t="s">
        <v>3255</v>
      </c>
      <c r="YI26" s="977" t="str">
        <f t="shared" ref="YI26:YI28" si="1320">MONTYPEICON1(YH26)</f>
        <v>#NAME?</v>
      </c>
      <c r="YJ26" s="980" t="str">
        <f t="shared" ref="YJ26:YJ28" si="1321">MONTYPEICON2(YH26)</f>
        <v>#NAME?</v>
      </c>
      <c r="YK26" s="1303" t="s">
        <v>5031</v>
      </c>
      <c r="YL26" s="442"/>
      <c r="YM26" s="1051" t="str">
        <f t="shared" si="1220"/>
        <v>#NAME?</v>
      </c>
      <c r="YN26" s="1127" t="s">
        <v>1600</v>
      </c>
      <c r="YO26" s="1051" t="str">
        <f t="shared" si="1221"/>
        <v>#NAME?</v>
      </c>
      <c r="YP26" s="1131" t="str">
        <f t="shared" si="1222"/>
        <v>#NAME?</v>
      </c>
      <c r="YQ26" s="1095" t="s">
        <v>5025</v>
      </c>
      <c r="YR26" s="442"/>
      <c r="YU26" s="349"/>
      <c r="YV26" s="349"/>
      <c r="YX26" s="442"/>
      <c r="YY26" s="442"/>
      <c r="YZ26" s="442"/>
      <c r="ZA26" s="108"/>
      <c r="ZB26" s="108"/>
      <c r="ZC26" s="442"/>
      <c r="ZD26" s="442"/>
      <c r="ZE26" s="1051" t="str">
        <f t="shared" si="1226"/>
        <v>#NAME?</v>
      </c>
      <c r="ZF26" s="1127" t="s">
        <v>2477</v>
      </c>
      <c r="ZG26" s="1051" t="str">
        <f t="shared" si="1227"/>
        <v>#NAME?</v>
      </c>
      <c r="ZH26" s="1131" t="str">
        <f t="shared" si="1228"/>
        <v>#NAME?</v>
      </c>
      <c r="ZI26" s="1095" t="s">
        <v>5032</v>
      </c>
      <c r="ZJ26" s="442"/>
      <c r="ZK26" s="1051" t="str">
        <f t="shared" si="1229"/>
        <v>#NAME?</v>
      </c>
      <c r="ZL26" s="1127" t="s">
        <v>2039</v>
      </c>
      <c r="ZM26" s="1051" t="str">
        <f t="shared" si="1230"/>
        <v>#NAME?</v>
      </c>
      <c r="ZN26" s="1131" t="str">
        <f t="shared" si="1231"/>
        <v>#NAME?</v>
      </c>
      <c r="ZO26" s="1095" t="s">
        <v>5025</v>
      </c>
      <c r="ZP26" s="442"/>
      <c r="ZQ26" s="1289" t="s">
        <v>5114</v>
      </c>
      <c r="ZR26" s="12"/>
      <c r="ZS26" s="12"/>
      <c r="ZT26" s="12"/>
      <c r="ZU26" s="48"/>
      <c r="ZV26" s="442"/>
      <c r="ZW26" s="484"/>
      <c r="ZX26" s="484"/>
      <c r="ZY26" s="484"/>
      <c r="ZZ26" s="484"/>
      <c r="AAA26" s="484"/>
      <c r="AAB26" s="442"/>
      <c r="AAC26" s="1033" t="str">
        <f t="shared" ref="AAC26:AAC27" si="1322">MONICON21(AAD26)</f>
        <v>#NAME?</v>
      </c>
      <c r="AAD26" s="1301" t="s">
        <v>2148</v>
      </c>
      <c r="AAE26" s="977" t="str">
        <f t="shared" ref="AAE26:AAE27" si="1323">MONTYPEICON1(AAD26)</f>
        <v>#NAME?</v>
      </c>
      <c r="AAF26" s="980" t="str">
        <f t="shared" ref="AAF26:AAF27" si="1324">MONTYPEICON2(AAD26)</f>
        <v>#NAME?</v>
      </c>
      <c r="AAG26" s="1302" t="s">
        <v>5024</v>
      </c>
      <c r="AAH26" s="442"/>
      <c r="AAI26" s="1033" t="str">
        <f t="shared" ref="AAI26:AAI31" si="1325">MONICON21(AAJ26)</f>
        <v>#NAME?</v>
      </c>
      <c r="AAJ26" s="1301" t="s">
        <v>3670</v>
      </c>
      <c r="AAK26" s="977" t="str">
        <f t="shared" ref="AAK26:AAK31" si="1326">MONTYPEICON1(AAJ26)</f>
        <v>#NAME?</v>
      </c>
      <c r="AAL26" s="980" t="str">
        <f t="shared" ref="AAL26:AAL31" si="1327">MONTYPEICON2(AAJ26)</f>
        <v>#NAME?</v>
      </c>
      <c r="AAM26" s="1318" t="s">
        <v>5227</v>
      </c>
      <c r="AAO26" s="1033" t="str">
        <f t="shared" ref="AAO26:AAO31" si="1328">MONICON21(AAP26)</f>
        <v>#NAME?</v>
      </c>
      <c r="AAP26" s="1301" t="s">
        <v>742</v>
      </c>
      <c r="AAQ26" s="977" t="str">
        <f t="shared" ref="AAQ26:AAQ31" si="1329">MONTYPEICON1(AAP26)</f>
        <v>#NAME?</v>
      </c>
      <c r="AAR26" s="980" t="str">
        <f t="shared" ref="AAR26:AAR31" si="1330">MONTYPEICON2(AAP26)</f>
        <v>#NAME?</v>
      </c>
      <c r="AAS26" s="1318" t="s">
        <v>5117</v>
      </c>
      <c r="AAU26" s="1033" t="str">
        <f t="shared" ref="AAU26:AAU31" si="1331">MONICON21(AAV26)</f>
        <v>#NAME?</v>
      </c>
      <c r="AAV26" s="1301" t="s">
        <v>742</v>
      </c>
      <c r="AAW26" s="977" t="str">
        <f t="shared" ref="AAW26:AAW31" si="1332">MONTYPEICON1(AAV26)</f>
        <v>#NAME?</v>
      </c>
      <c r="AAX26" s="980" t="str">
        <f t="shared" ref="AAX26:AAX31" si="1333">MONTYPEICON2(AAV26)</f>
        <v>#NAME?</v>
      </c>
      <c r="AAY26" s="1318" t="s">
        <v>5117</v>
      </c>
      <c r="ABA26" s="1033" t="str">
        <f t="shared" ref="ABA26:ABA31" si="1334">MONICON21(ABB26)</f>
        <v>#NAME?</v>
      </c>
      <c r="ABB26" s="1301" t="s">
        <v>839</v>
      </c>
      <c r="ABC26" s="977" t="str">
        <f t="shared" ref="ABC26:ABC31" si="1335">MONTYPEICON1(ABB26)</f>
        <v>#NAME?</v>
      </c>
      <c r="ABD26" s="980" t="str">
        <f t="shared" ref="ABD26:ABD31" si="1336">MONTYPEICON2(ABB26)</f>
        <v>#NAME?</v>
      </c>
      <c r="ABE26" s="1318" t="s">
        <v>5036</v>
      </c>
      <c r="ABG26" s="1033" t="str">
        <f t="shared" ref="ABG26:ABG31" si="1337">MONICON21(ABH26)</f>
        <v>#NAME?</v>
      </c>
      <c r="ABH26" s="1301" t="s">
        <v>3856</v>
      </c>
      <c r="ABI26" s="977" t="str">
        <f t="shared" ref="ABI26:ABI31" si="1338">MONTYPEICON1(ABH26)</f>
        <v>#NAME?</v>
      </c>
      <c r="ABJ26" s="980" t="str">
        <f t="shared" ref="ABJ26:ABJ31" si="1339">MONTYPEICON2(ABH26)</f>
        <v>#NAME?</v>
      </c>
      <c r="ABK26" s="1318" t="s">
        <v>5036</v>
      </c>
      <c r="ABM26" s="1033" t="str">
        <f t="shared" ref="ABM26:ABM31" si="1340">MONICON21(ABN26)</f>
        <v>#NAME?</v>
      </c>
      <c r="ABN26" s="1301" t="s">
        <v>3896</v>
      </c>
      <c r="ABO26" s="977" t="str">
        <f t="shared" ref="ABO26:ABO31" si="1341">MONTYPEICON1(ABN26)</f>
        <v>#NAME?</v>
      </c>
      <c r="ABP26" s="980" t="str">
        <f t="shared" ref="ABP26:ABP31" si="1342">MONTYPEICON2(ABN26)</f>
        <v>#NAME?</v>
      </c>
      <c r="ABQ26" s="1318" t="s">
        <v>5036</v>
      </c>
      <c r="ABS26" s="1033" t="str">
        <f t="shared" ref="ABS26:ABS31" si="1343">MONICON21(ABT26)</f>
        <v>#NAME?</v>
      </c>
      <c r="ABT26" s="1301" t="s">
        <v>2849</v>
      </c>
      <c r="ABU26" s="977" t="str">
        <f t="shared" ref="ABU26:ABU31" si="1344">MONTYPEICON1(ABT26)</f>
        <v>#NAME?</v>
      </c>
      <c r="ABV26" s="980" t="str">
        <f t="shared" ref="ABV26:ABV31" si="1345">MONTYPEICON2(ABT26)</f>
        <v>#NAME?</v>
      </c>
      <c r="ABW26" s="1318" t="s">
        <v>5176</v>
      </c>
      <c r="ABY26" s="1511" t="s">
        <v>5177</v>
      </c>
      <c r="ACC26" s="1154"/>
      <c r="ACJ26" s="996"/>
    </row>
    <row r="27" ht="15.75" customHeight="1">
      <c r="A27" s="1230"/>
      <c r="B27" s="1230"/>
      <c r="C27" s="1230"/>
      <c r="D27" s="1478"/>
      <c r="E27" s="1230"/>
      <c r="F27" s="1238"/>
      <c r="G27" s="1517"/>
      <c r="H27" s="1230"/>
      <c r="I27" s="108"/>
      <c r="J27" s="442"/>
      <c r="K27" s="442"/>
      <c r="L27" s="442"/>
      <c r="M27" s="108"/>
      <c r="N27" s="1230"/>
      <c r="O27" s="1255"/>
      <c r="P27" s="1259" t="s">
        <v>5573</v>
      </c>
      <c r="Q27" s="12"/>
      <c r="R27" s="962"/>
      <c r="S27" s="1258" t="s">
        <v>4608</v>
      </c>
      <c r="T27" s="1230"/>
      <c r="U27" s="1051" t="str">
        <f t="shared" si="1232"/>
        <v>#NAME?</v>
      </c>
      <c r="V27" s="1127" t="s">
        <v>3635</v>
      </c>
      <c r="W27" s="1051" t="str">
        <f t="shared" si="1233"/>
        <v>#NAME?</v>
      </c>
      <c r="X27" s="1131" t="str">
        <f t="shared" si="1234"/>
        <v>#NAME?</v>
      </c>
      <c r="Y27" s="1519" t="s">
        <v>4989</v>
      </c>
      <c r="Z27" s="1230"/>
      <c r="AA27" s="1033" t="str">
        <f t="shared" ref="AA27:AA29" si="1346">MONICON21(AB27)</f>
        <v>#NAME?</v>
      </c>
      <c r="AB27" s="1301" t="s">
        <v>2374</v>
      </c>
      <c r="AC27" s="977" t="str">
        <f t="shared" ref="AC27:AC29" si="1347">MONTYPEICON1(AB27)</f>
        <v>#NAME?</v>
      </c>
      <c r="AD27" s="980" t="str">
        <f t="shared" ref="AD27:AD29" si="1348">MONTYPEICON2(AB27)</f>
        <v>#NAME?</v>
      </c>
      <c r="AE27" s="1303" t="s">
        <v>5130</v>
      </c>
      <c r="AF27" s="1230"/>
      <c r="AG27" s="1080" t="str">
        <f t="shared" si="1082"/>
        <v>#NAME?</v>
      </c>
      <c r="AH27" s="1079" t="s">
        <v>3744</v>
      </c>
      <c r="AI27" s="1080" t="str">
        <f t="shared" si="1083"/>
        <v>#NAME?</v>
      </c>
      <c r="AJ27" s="1126" t="str">
        <f t="shared" si="1084"/>
        <v>#NAME?</v>
      </c>
      <c r="AK27" s="1599" t="s">
        <v>5574</v>
      </c>
      <c r="AL27" s="1230"/>
      <c r="AM27" s="1033" t="str">
        <f t="shared" ref="AM27:AM28" si="1349">MONICON21(AN27)</f>
        <v>#NAME?</v>
      </c>
      <c r="AN27" s="1046" t="s">
        <v>2876</v>
      </c>
      <c r="AO27" s="977" t="str">
        <f t="shared" ref="AO27:AO28" si="1350">MONTYPEICON1(AN27)</f>
        <v>#NAME?</v>
      </c>
      <c r="AP27" s="980" t="str">
        <f t="shared" ref="AP27:AP28" si="1351">MONTYPEICON2(AN27)</f>
        <v>#NAME?</v>
      </c>
      <c r="AQ27" s="1600" t="s">
        <v>5457</v>
      </c>
      <c r="AR27" s="1230"/>
      <c r="AS27" s="1520" t="str">
        <f t="shared" si="1277"/>
        <v>#NAME?</v>
      </c>
      <c r="AT27" s="1449" t="s">
        <v>1143</v>
      </c>
      <c r="AU27" s="1348" t="str">
        <f t="shared" si="1278"/>
        <v>#NAME?</v>
      </c>
      <c r="AV27" s="1349" t="str">
        <f t="shared" si="1279"/>
        <v>#NAME?</v>
      </c>
      <c r="AW27" s="1450" t="s">
        <v>5076</v>
      </c>
      <c r="AX27" s="1230"/>
      <c r="AY27" s="349"/>
      <c r="BD27" s="1230"/>
      <c r="BE27" s="1409"/>
      <c r="BF27" s="1259" t="s">
        <v>5575</v>
      </c>
      <c r="BG27" s="12"/>
      <c r="BH27" s="962"/>
      <c r="BI27" s="1258" t="s">
        <v>4608</v>
      </c>
      <c r="BJ27" s="1230"/>
      <c r="BK27" s="961" t="s">
        <v>4524</v>
      </c>
      <c r="BL27" s="12"/>
      <c r="BM27" s="12"/>
      <c r="BN27" s="12"/>
      <c r="BO27" s="48"/>
      <c r="BP27" s="442"/>
      <c r="BQ27" s="1255"/>
      <c r="BR27" s="1259" t="s">
        <v>5576</v>
      </c>
      <c r="BS27" s="12"/>
      <c r="BT27" s="962"/>
      <c r="BU27" s="1258" t="s">
        <v>4608</v>
      </c>
      <c r="BV27" s="442"/>
      <c r="BW27" s="1263"/>
      <c r="BX27" s="1264" t="s">
        <v>5577</v>
      </c>
      <c r="BY27" s="12"/>
      <c r="BZ27" s="962"/>
      <c r="CA27" s="1265" t="s">
        <v>4608</v>
      </c>
      <c r="CB27" s="442"/>
      <c r="CH27" s="442"/>
      <c r="CI27" s="442"/>
      <c r="CJ27" s="442"/>
      <c r="CK27" s="442"/>
      <c r="CL27" s="442"/>
      <c r="CM27" s="442"/>
      <c r="CN27" s="442"/>
      <c r="CO27" s="442"/>
      <c r="CP27" s="442"/>
      <c r="CQ27" s="442"/>
      <c r="CR27" s="442"/>
      <c r="CS27" s="442"/>
      <c r="CT27" s="442"/>
      <c r="CU27" s="1193" t="str">
        <f t="shared" si="1280"/>
        <v>#NAME?</v>
      </c>
      <c r="CV27" s="1335" t="s">
        <v>438</v>
      </c>
      <c r="CW27" s="1146" t="str">
        <f t="shared" si="1281"/>
        <v>#NAME?</v>
      </c>
      <c r="CX27" s="1148" t="str">
        <f t="shared" si="1282"/>
        <v>#NAME?</v>
      </c>
      <c r="CY27" s="1336" t="s">
        <v>4999</v>
      </c>
      <c r="CZ27" s="442"/>
      <c r="DA27" s="1266"/>
      <c r="DB27" s="1259" t="s">
        <v>5578</v>
      </c>
      <c r="DC27" s="12"/>
      <c r="DD27" s="962"/>
      <c r="DE27" s="1258" t="s">
        <v>4608</v>
      </c>
      <c r="DG27" s="1278"/>
      <c r="DH27" s="1269" t="s">
        <v>5197</v>
      </c>
      <c r="DI27" s="12"/>
      <c r="DJ27" s="962"/>
      <c r="DK27" s="1270" t="s">
        <v>4608</v>
      </c>
      <c r="DL27" s="442"/>
      <c r="DM27" s="442"/>
      <c r="DN27" s="442"/>
      <c r="DO27" s="442"/>
      <c r="DP27" s="442"/>
      <c r="DQ27" s="442"/>
      <c r="DR27" s="442"/>
      <c r="DS27" s="1094" t="str">
        <f t="shared" si="1241"/>
        <v>#NAME?</v>
      </c>
      <c r="DT27" s="1127" t="s">
        <v>997</v>
      </c>
      <c r="DU27" s="1051" t="str">
        <f t="shared" si="1242"/>
        <v>#NAME?</v>
      </c>
      <c r="DV27" s="1131" t="str">
        <f t="shared" si="1243"/>
        <v>#NAME?</v>
      </c>
      <c r="DW27" s="1095" t="s">
        <v>5135</v>
      </c>
      <c r="DX27" s="442"/>
      <c r="ED27" s="442"/>
      <c r="EG27" s="349"/>
      <c r="EH27" s="349"/>
      <c r="EJ27" s="1230"/>
      <c r="EK27" s="985" t="str">
        <f>MONICON21(EL27)</f>
        <v>#NAME?</v>
      </c>
      <c r="EL27" s="41" t="s">
        <v>2694</v>
      </c>
      <c r="EM27" s="1092" t="str">
        <f>MONTYPEICON1(EL27)</f>
        <v>#NAME?</v>
      </c>
      <c r="EN27" s="987" t="str">
        <f>MONTYPEICON2(EL27)</f>
        <v>#NAME?</v>
      </c>
      <c r="EO27" s="1091" t="s">
        <v>5045</v>
      </c>
      <c r="EP27" s="1230"/>
      <c r="ES27" s="349"/>
      <c r="ET27" s="349"/>
      <c r="EV27" s="1230"/>
      <c r="EW27" s="1193" t="str">
        <f t="shared" si="1283"/>
        <v>#NAME?</v>
      </c>
      <c r="EX27" s="1335" t="s">
        <v>1393</v>
      </c>
      <c r="EY27" s="1146" t="str">
        <f t="shared" si="1284"/>
        <v>#NAME?</v>
      </c>
      <c r="EZ27" s="1148" t="str">
        <f t="shared" si="1285"/>
        <v>#NAME?</v>
      </c>
      <c r="FA27" s="1336" t="s">
        <v>5045</v>
      </c>
      <c r="FB27" s="442"/>
      <c r="FC27" s="983" t="str">
        <f t="shared" ref="FC27:FC29" si="1352">MONICON21(FD27)</f>
        <v>#NAME?</v>
      </c>
      <c r="FD27" s="1301" t="s">
        <v>3865</v>
      </c>
      <c r="FE27" s="977" t="str">
        <f t="shared" ref="FE27:FE29" si="1353">MONTYPEICON1(FD27)</f>
        <v>#NAME?</v>
      </c>
      <c r="FF27" s="980" t="str">
        <f t="shared" ref="FF27:FF29" si="1354">MONTYPEICON2(FD27)</f>
        <v>#NAME?</v>
      </c>
      <c r="FG27" s="1303" t="s">
        <v>5078</v>
      </c>
      <c r="FH27" s="442"/>
      <c r="FI27" s="442"/>
      <c r="FJ27" s="442"/>
      <c r="FK27" s="108"/>
      <c r="FL27" s="108"/>
      <c r="FM27" s="442"/>
      <c r="FN27" s="442"/>
      <c r="FQ27" s="349"/>
      <c r="FR27" s="349"/>
      <c r="FS27" s="349"/>
      <c r="FT27" s="442"/>
      <c r="FU27" s="983" t="str">
        <f t="shared" ref="FU27:FU29" si="1355">MONICON21(FV27)</f>
        <v>#NAME?</v>
      </c>
      <c r="FV27" s="1301" t="s">
        <v>2000</v>
      </c>
      <c r="FW27" s="977" t="str">
        <f t="shared" ref="FW27:FW29" si="1356">MONTYPEICON1(FV27)</f>
        <v>#NAME?</v>
      </c>
      <c r="FX27" s="980" t="str">
        <f t="shared" ref="FX27:FX29" si="1357">MONTYPEICON2(FV27)</f>
        <v>#NAME?</v>
      </c>
      <c r="FY27" s="1303" t="s">
        <v>5082</v>
      </c>
      <c r="FZ27" s="65"/>
      <c r="GA27" s="983" t="str">
        <f t="shared" ref="GA27:GA28" si="1358">MONICON21(GB27)</f>
        <v>#NAME?</v>
      </c>
      <c r="GB27" s="1304" t="s">
        <v>2065</v>
      </c>
      <c r="GC27" s="1601" t="str">
        <f t="shared" ref="GC27:GC28" si="1359">MONTYPEICON1(GB27)</f>
        <v>#NAME?</v>
      </c>
      <c r="GD27" s="1602" t="str">
        <f t="shared" ref="GD27:GD28" si="1360">MONTYPEICON2(GB27)</f>
        <v>#NAME?</v>
      </c>
      <c r="GE27" s="1305" t="s">
        <v>5005</v>
      </c>
      <c r="GF27" s="442"/>
      <c r="GG27" s="1266"/>
      <c r="GH27" s="1259" t="s">
        <v>5579</v>
      </c>
      <c r="GI27" s="12"/>
      <c r="GJ27" s="962"/>
      <c r="GK27" s="1258" t="s">
        <v>4608</v>
      </c>
      <c r="GL27" s="1230"/>
      <c r="GM27" s="985" t="str">
        <f>MONICON21(GN27)</f>
        <v>#NAME?</v>
      </c>
      <c r="GN27" s="1310" t="s">
        <v>653</v>
      </c>
      <c r="GO27" s="1092" t="str">
        <f>MONTYPEICON1(GN27)</f>
        <v>#NAME?</v>
      </c>
      <c r="GP27" s="987" t="str">
        <f>MONTYPEICON2(GN27)</f>
        <v>#NAME?</v>
      </c>
      <c r="GQ27" s="1309" t="s">
        <v>5004</v>
      </c>
      <c r="GR27" s="65"/>
      <c r="GS27" s="985" t="str">
        <f>MONICON21(GT27)</f>
        <v>#NAME?</v>
      </c>
      <c r="GT27" s="1310" t="s">
        <v>4111</v>
      </c>
      <c r="GU27" s="1092" t="str">
        <f>MONTYPEICON1(GT27)</f>
        <v>#NAME?</v>
      </c>
      <c r="GV27" s="987" t="str">
        <f>MONTYPEICON2(GT27)</f>
        <v>#NAME?</v>
      </c>
      <c r="GW27" s="1309" t="s">
        <v>5004</v>
      </c>
      <c r="GX27" s="65"/>
      <c r="GY27" s="1012" t="str">
        <f t="shared" ref="GY27:GY28" si="1361">MONICON21(GZ27)</f>
        <v>#NAME?</v>
      </c>
      <c r="GZ27" s="1157" t="s">
        <v>1219</v>
      </c>
      <c r="HA27" s="977" t="str">
        <f t="shared" ref="HA27:HA28" si="1362">MONTYPEICON1(GZ27)</f>
        <v>#NAME?</v>
      </c>
      <c r="HB27" s="980" t="str">
        <f t="shared" ref="HB27:HB28" si="1363">MONTYPEICON2(GZ27)</f>
        <v>#NAME?</v>
      </c>
      <c r="HC27" s="1303" t="s">
        <v>5034</v>
      </c>
      <c r="HD27" s="1230"/>
      <c r="HG27" s="349"/>
      <c r="HH27" s="349"/>
      <c r="HI27" s="349"/>
      <c r="HJ27" s="1230"/>
      <c r="HK27" s="65"/>
      <c r="HL27" s="65"/>
      <c r="HM27" s="108"/>
      <c r="HN27" s="108"/>
      <c r="HO27" s="65"/>
      <c r="HP27" s="65"/>
      <c r="HQ27" s="1096" t="str">
        <f t="shared" si="1250"/>
        <v>#NAME?</v>
      </c>
      <c r="HR27" s="1304" t="s">
        <v>713</v>
      </c>
      <c r="HS27" s="1418" t="str">
        <f t="shared" si="1251"/>
        <v>#NAME?</v>
      </c>
      <c r="HT27" s="1419" t="str">
        <f t="shared" si="1252"/>
        <v>#NAME?</v>
      </c>
      <c r="HU27" s="1303" t="s">
        <v>5084</v>
      </c>
      <c r="HW27" s="1068" t="str">
        <f t="shared" si="1286"/>
        <v>#NAME?</v>
      </c>
      <c r="HX27" s="1078" t="s">
        <v>1264</v>
      </c>
      <c r="HY27" s="1358" t="str">
        <f t="shared" si="1287"/>
        <v>#NAME?</v>
      </c>
      <c r="HZ27" s="1359" t="str">
        <f t="shared" si="1288"/>
        <v>#NAME?</v>
      </c>
      <c r="IA27" s="1093" t="s">
        <v>5214</v>
      </c>
      <c r="IB27" s="65"/>
      <c r="IC27" s="1094" t="str">
        <f t="shared" si="1253"/>
        <v>#NAME?</v>
      </c>
      <c r="ID27" s="1479" t="s">
        <v>3810</v>
      </c>
      <c r="IE27" s="1420" t="str">
        <f t="shared" si="1254"/>
        <v>#NAME?</v>
      </c>
      <c r="IF27" s="475" t="str">
        <f t="shared" si="1255"/>
        <v>#NAME?</v>
      </c>
      <c r="IG27" s="1411" t="s">
        <v>5006</v>
      </c>
      <c r="II27" s="1012" t="str">
        <f t="shared" ref="II27:II32" si="1364">MONICON21(IJ27)</f>
        <v>#NAME?</v>
      </c>
      <c r="IJ27" s="1304" t="s">
        <v>742</v>
      </c>
      <c r="IK27" s="1313" t="str">
        <f t="shared" ref="IK27:IK32" si="1365">MONTYPEICON1(IJ27)</f>
        <v>#NAME?</v>
      </c>
      <c r="IL27" s="1314" t="str">
        <f t="shared" ref="IL27:IL32" si="1366">MONTYPEICON2(IJ27)</f>
        <v>#NAME?</v>
      </c>
      <c r="IM27" s="1305" t="s">
        <v>5008</v>
      </c>
      <c r="IO27" s="1280"/>
      <c r="IP27" s="1307" t="s">
        <v>5394</v>
      </c>
      <c r="IQ27" s="12"/>
      <c r="IR27" s="962"/>
      <c r="IS27" s="1282" t="s">
        <v>4608</v>
      </c>
      <c r="IT27" s="1230"/>
      <c r="IW27" s="349"/>
      <c r="IX27" s="349"/>
      <c r="IZ27" s="442"/>
      <c r="JC27" s="349"/>
      <c r="JD27" s="349"/>
      <c r="JF27" s="442"/>
      <c r="JI27" s="349"/>
      <c r="JJ27" s="349"/>
      <c r="JK27" s="349"/>
      <c r="JL27" s="442"/>
      <c r="JO27" s="349"/>
      <c r="JP27" s="349"/>
      <c r="JR27" s="442"/>
      <c r="JU27" s="349"/>
      <c r="JV27" s="349"/>
      <c r="JY27" s="1132" t="str">
        <f t="shared" si="1094"/>
        <v>#NAME?</v>
      </c>
      <c r="JZ27" s="1490" t="s">
        <v>4049</v>
      </c>
      <c r="KA27" s="1112" t="str">
        <f t="shared" si="1095"/>
        <v>#NAME?</v>
      </c>
      <c r="KB27" s="1114" t="str">
        <f t="shared" si="1096"/>
        <v>#NAME?</v>
      </c>
      <c r="KC27" s="1491" t="s">
        <v>5086</v>
      </c>
      <c r="KE27" s="442"/>
      <c r="KF27" s="442"/>
      <c r="KG27" s="108"/>
      <c r="KH27" s="108"/>
      <c r="KI27" s="108"/>
      <c r="KK27" s="1283"/>
      <c r="KL27" s="1264" t="s">
        <v>5580</v>
      </c>
      <c r="KM27" s="12"/>
      <c r="KN27" s="962"/>
      <c r="KO27" s="1265" t="s">
        <v>4608</v>
      </c>
      <c r="KQ27" s="983" t="str">
        <f t="shared" ref="KQ27:KQ29" si="1367">MONICON21(KR27)</f>
        <v>#NAME?</v>
      </c>
      <c r="KR27" s="1031" t="s">
        <v>2170</v>
      </c>
      <c r="KS27" s="977" t="str">
        <f t="shared" ref="KS27:KS29" si="1368">MONTYPEICON1(KR27)</f>
        <v>#NAME?</v>
      </c>
      <c r="KT27" s="980" t="str">
        <f t="shared" ref="KT27:KT29" si="1369">MONTYPEICON2(KR27)</f>
        <v>#NAME?</v>
      </c>
      <c r="KU27" s="1035" t="s">
        <v>5086</v>
      </c>
      <c r="KW27" s="1280"/>
      <c r="KX27" s="1274" t="s">
        <v>4908</v>
      </c>
      <c r="KY27" s="959"/>
      <c r="KZ27" s="957"/>
      <c r="LA27" s="1282" t="s">
        <v>4608</v>
      </c>
      <c r="LB27" s="442"/>
      <c r="LC27" s="983" t="str">
        <f t="shared" ref="LC27:LC29" si="1370">MONICON21(LD27)</f>
        <v>#NAME?</v>
      </c>
      <c r="LD27" s="1301" t="s">
        <v>2258</v>
      </c>
      <c r="LE27" s="1311" t="str">
        <f t="shared" ref="LE27:LE29" si="1371">MONTYPEICON1(LD27)</f>
        <v>#NAME?</v>
      </c>
      <c r="LF27" s="1312" t="str">
        <f t="shared" ref="LF27:LF29" si="1372">MONTYPEICON2(LD27)</f>
        <v>#NAME?</v>
      </c>
      <c r="LG27" s="1318" t="s">
        <v>5014</v>
      </c>
      <c r="LI27" s="1266"/>
      <c r="LJ27" s="1259" t="s">
        <v>5581</v>
      </c>
      <c r="LK27" s="12"/>
      <c r="LL27" s="962"/>
      <c r="LM27" s="1258" t="s">
        <v>4608</v>
      </c>
      <c r="LQ27" s="349"/>
      <c r="LR27" s="349"/>
      <c r="LU27" s="997"/>
      <c r="LV27" s="1026"/>
      <c r="LW27" s="1026"/>
      <c r="LX27" s="1026"/>
      <c r="LY27" s="998"/>
      <c r="LZ27" s="442"/>
      <c r="MA27" s="983" t="str">
        <f t="shared" ref="MA27:MA28" si="1373">MONICON21(MB27)</f>
        <v>#NAME?</v>
      </c>
      <c r="MB27" s="996" t="s">
        <v>1284</v>
      </c>
      <c r="MC27" s="977" t="str">
        <f t="shared" ref="MC27:MC28" si="1374">MONTYPEICON1(MB27)</f>
        <v>#NAME?</v>
      </c>
      <c r="MD27" s="980" t="str">
        <f t="shared" ref="MD27:MD28" si="1375">MONTYPEICON2(MB27)</f>
        <v>#NAME?</v>
      </c>
      <c r="ME27" s="1603" t="s">
        <v>5015</v>
      </c>
      <c r="MF27" s="442"/>
      <c r="MI27" s="349"/>
      <c r="MJ27" s="349"/>
      <c r="ML27" s="442"/>
      <c r="MM27" s="1280"/>
      <c r="MN27" s="1281" t="s">
        <v>4908</v>
      </c>
      <c r="MO27" s="12"/>
      <c r="MP27" s="962"/>
      <c r="MQ27" s="1282" t="s">
        <v>4608</v>
      </c>
      <c r="MS27" s="1351" t="str">
        <f t="shared" si="1289"/>
        <v>#NAME?</v>
      </c>
      <c r="MT27" s="1372" t="s">
        <v>535</v>
      </c>
      <c r="MU27" s="1353" t="str">
        <f t="shared" si="1290"/>
        <v>#NAME?</v>
      </c>
      <c r="MV27" s="1354" t="str">
        <f t="shared" si="1291"/>
        <v>#NAME?</v>
      </c>
      <c r="MW27" s="1367" t="s">
        <v>5164</v>
      </c>
      <c r="MX27" s="442"/>
      <c r="MY27" s="983" t="str">
        <f t="shared" ref="MY27:MY32" si="1376">MONICON21(MZ27)</f>
        <v>#NAME?</v>
      </c>
      <c r="MZ27" s="1301" t="s">
        <v>1680</v>
      </c>
      <c r="NA27" s="1033" t="str">
        <f t="shared" ref="NA27:NA32" si="1377">MONTYPEICON1(MZ27)</f>
        <v>#NAME?</v>
      </c>
      <c r="NB27" s="1035" t="str">
        <f t="shared" ref="NB27:NB32" si="1378">MONTYPEICON2(MZ27)</f>
        <v>#NAME?</v>
      </c>
      <c r="NC27" s="1318" t="s">
        <v>5019</v>
      </c>
      <c r="ND27" s="442"/>
      <c r="NG27" s="349"/>
      <c r="NH27" s="349"/>
      <c r="NJ27" s="65"/>
      <c r="NK27" s="985" t="s">
        <v>4992</v>
      </c>
      <c r="NL27" s="12"/>
      <c r="NM27" s="12"/>
      <c r="NN27" s="12"/>
      <c r="NO27" s="48"/>
      <c r="NQ27" s="442"/>
      <c r="NR27" s="442"/>
      <c r="NS27" s="108"/>
      <c r="NT27" s="108"/>
      <c r="NU27" s="442"/>
      <c r="NV27" s="442"/>
      <c r="NW27" s="1094" t="str">
        <f t="shared" si="1265"/>
        <v>#NAME?</v>
      </c>
      <c r="NX27" s="1127" t="s">
        <v>3158</v>
      </c>
      <c r="NY27" s="1420" t="str">
        <f t="shared" si="1266"/>
        <v>#NAME?</v>
      </c>
      <c r="NZ27" s="475" t="str">
        <f t="shared" si="1267"/>
        <v>#NAME?</v>
      </c>
      <c r="OA27" s="1422" t="s">
        <v>5019</v>
      </c>
      <c r="OB27" s="442"/>
      <c r="OE27" s="349"/>
      <c r="OF27" s="349"/>
      <c r="OH27" s="442"/>
      <c r="OI27" s="1094" t="str">
        <f t="shared" si="1133"/>
        <v>#NAME?</v>
      </c>
      <c r="OJ27" s="1127" t="s">
        <v>3919</v>
      </c>
      <c r="OK27" s="1420" t="str">
        <f t="shared" si="1134"/>
        <v>#NAME?</v>
      </c>
      <c r="OL27" s="475" t="str">
        <f t="shared" si="1135"/>
        <v>#NAME?</v>
      </c>
      <c r="OM27" s="1422" t="s">
        <v>5020</v>
      </c>
      <c r="ON27" s="442"/>
      <c r="OO27" s="983" t="str">
        <f t="shared" ref="OO27:OO30" si="1379">MONICON21(OP27)</f>
        <v>#NAME?</v>
      </c>
      <c r="OP27" s="1301" t="s">
        <v>767</v>
      </c>
      <c r="OQ27" s="1311" t="str">
        <f t="shared" ref="OQ27:OQ30" si="1380">MONTYPEICON1(OP27)</f>
        <v>#NAME?</v>
      </c>
      <c r="OR27" s="1312" t="str">
        <f t="shared" ref="OR27:OR30" si="1381">MONTYPEICON2(OP27)</f>
        <v>#NAME?</v>
      </c>
      <c r="OS27" s="1318" t="s">
        <v>5020</v>
      </c>
      <c r="OU27" s="1068" t="str">
        <f t="shared" si="1292"/>
        <v>#NAME?</v>
      </c>
      <c r="OV27" s="1076" t="s">
        <v>4167</v>
      </c>
      <c r="OW27" s="1358" t="str">
        <f t="shared" si="1293"/>
        <v>#NAME?</v>
      </c>
      <c r="OX27" s="1359" t="str">
        <f t="shared" si="1294"/>
        <v>#NAME?</v>
      </c>
      <c r="OY27" s="1368" t="s">
        <v>5022</v>
      </c>
      <c r="PC27" s="349"/>
      <c r="PD27" s="349"/>
      <c r="PF27" s="442"/>
      <c r="PG27" s="983" t="str">
        <f t="shared" ref="PG27:PG29" si="1382">MONICON21(PH27)</f>
        <v>#NAME?</v>
      </c>
      <c r="PH27" s="1301" t="s">
        <v>3309</v>
      </c>
      <c r="PI27" s="1311" t="str">
        <f t="shared" ref="PI27:PI29" si="1383">MONTYPEICON1(PH27)</f>
        <v>#NAME?</v>
      </c>
      <c r="PJ27" s="1312" t="str">
        <f t="shared" ref="PJ27:PJ29" si="1384">MONTYPEICON2(PH27)</f>
        <v>#NAME?</v>
      </c>
      <c r="PK27" s="1318" t="s">
        <v>5022</v>
      </c>
      <c r="PM27" s="1193" t="str">
        <f t="shared" si="1193"/>
        <v>#NAME?</v>
      </c>
      <c r="PN27" s="1145" t="s">
        <v>3130</v>
      </c>
      <c r="PO27" s="1462" t="str">
        <f t="shared" si="1194"/>
        <v>#NAME?</v>
      </c>
      <c r="PP27" s="1463" t="str">
        <f t="shared" si="1195"/>
        <v>#NAME?</v>
      </c>
      <c r="PQ27" s="1464" t="s">
        <v>5021</v>
      </c>
      <c r="PR27" s="442"/>
      <c r="PU27" s="349"/>
      <c r="PV27" s="349"/>
      <c r="PX27" s="442"/>
      <c r="PY27" s="1012" t="str">
        <f t="shared" ref="PY27:PY32" si="1385">MONICON21(PZ27)</f>
        <v>#NAME?</v>
      </c>
      <c r="PZ27" s="1301" t="s">
        <v>742</v>
      </c>
      <c r="QA27" s="1313" t="str">
        <f t="shared" ref="QA27:QA32" si="1386">MONTYPEICON1(PZ27)</f>
        <v>#NAME?</v>
      </c>
      <c r="QB27" s="1314" t="str">
        <f t="shared" ref="QB27:QB32" si="1387">MONTYPEICON2(PZ27)</f>
        <v>#NAME?</v>
      </c>
      <c r="QC27" s="1318" t="s">
        <v>5023</v>
      </c>
      <c r="QD27" s="442"/>
      <c r="QE27" s="1096" t="str">
        <f t="shared" si="1142"/>
        <v>#NAME?</v>
      </c>
      <c r="QF27" s="1098" t="s">
        <v>687</v>
      </c>
      <c r="QG27" s="1418" t="str">
        <f t="shared" si="1143"/>
        <v>#NAME?</v>
      </c>
      <c r="QH27" s="1419" t="str">
        <f t="shared" si="1144"/>
        <v>#NAME?</v>
      </c>
      <c r="QI27" s="1423" t="s">
        <v>5032</v>
      </c>
      <c r="QJ27" s="442"/>
      <c r="QK27" s="1457" t="str">
        <f t="shared" si="1196"/>
        <v>#NAME?</v>
      </c>
      <c r="QL27" s="1429" t="s">
        <v>2046</v>
      </c>
      <c r="QM27" s="1428" t="str">
        <f t="shared" si="1197"/>
        <v>#NAME?</v>
      </c>
      <c r="QN27" s="1430" t="str">
        <f t="shared" si="1198"/>
        <v>#NAME?</v>
      </c>
      <c r="QO27" s="1431" t="s">
        <v>5031</v>
      </c>
      <c r="QP27" s="442"/>
      <c r="QQ27" s="1457" t="str">
        <f t="shared" si="1199"/>
        <v>#NAME?</v>
      </c>
      <c r="QR27" s="1429" t="s">
        <v>4225</v>
      </c>
      <c r="QS27" s="1428" t="str">
        <f t="shared" si="1200"/>
        <v>#NAME?</v>
      </c>
      <c r="QT27" s="1430" t="str">
        <f t="shared" si="1201"/>
        <v>#NAME?</v>
      </c>
      <c r="QU27" s="1431" t="s">
        <v>5033</v>
      </c>
      <c r="QV27" s="442"/>
      <c r="QW27" s="1457" t="str">
        <f t="shared" si="1202"/>
        <v>#NAME?</v>
      </c>
      <c r="QX27" s="1429" t="s">
        <v>3911</v>
      </c>
      <c r="QY27" s="1428" t="str">
        <f t="shared" si="1203"/>
        <v>#NAME?</v>
      </c>
      <c r="QZ27" s="1430" t="str">
        <f t="shared" si="1204"/>
        <v>#NAME?</v>
      </c>
      <c r="RA27" s="1431" t="s">
        <v>5112</v>
      </c>
      <c r="RB27" s="442"/>
      <c r="RC27" s="1457" t="str">
        <f t="shared" si="1205"/>
        <v>#NAME?</v>
      </c>
      <c r="RD27" s="1429" t="s">
        <v>1292</v>
      </c>
      <c r="RE27" s="1428" t="str">
        <f t="shared" si="1206"/>
        <v>#NAME?</v>
      </c>
      <c r="RF27" s="1430" t="str">
        <f t="shared" si="1207"/>
        <v>#NAME?</v>
      </c>
      <c r="RG27" s="1431" t="s">
        <v>5113</v>
      </c>
      <c r="RH27" s="442"/>
      <c r="RI27" s="1457" t="str">
        <f t="shared" si="1208"/>
        <v>#NAME?</v>
      </c>
      <c r="RJ27" s="1429" t="s">
        <v>4049</v>
      </c>
      <c r="RK27" s="1428" t="str">
        <f t="shared" si="1209"/>
        <v>#NAME?</v>
      </c>
      <c r="RL27" s="1430" t="str">
        <f t="shared" si="1210"/>
        <v>#NAME?</v>
      </c>
      <c r="RM27" s="1431" t="s">
        <v>5092</v>
      </c>
      <c r="RN27" s="442"/>
      <c r="RO27" s="1266"/>
      <c r="RP27" s="1256" t="s">
        <v>5582</v>
      </c>
      <c r="RQ27" s="1285" t="s">
        <v>4888</v>
      </c>
      <c r="RR27" s="962"/>
      <c r="RS27" s="1004" t="s">
        <v>4608</v>
      </c>
      <c r="RT27" s="442"/>
      <c r="RU27" s="1193" t="str">
        <f t="shared" si="1211"/>
        <v>#NAME?</v>
      </c>
      <c r="RV27" s="1145" t="s">
        <v>2735</v>
      </c>
      <c r="RW27" s="1462" t="str">
        <f t="shared" si="1212"/>
        <v>#NAME?</v>
      </c>
      <c r="RX27" s="1463" t="str">
        <f t="shared" si="1213"/>
        <v>#NAME?</v>
      </c>
      <c r="RY27" s="1464" t="s">
        <v>5112</v>
      </c>
      <c r="RZ27" s="442"/>
      <c r="SA27" s="1068" t="str">
        <f t="shared" si="1295"/>
        <v>#NAME?</v>
      </c>
      <c r="SB27" s="1076" t="s">
        <v>951</v>
      </c>
      <c r="SC27" s="1358" t="str">
        <f t="shared" si="1296"/>
        <v>#NAME?</v>
      </c>
      <c r="SD27" s="1359" t="str">
        <f t="shared" si="1297"/>
        <v>#NAME?</v>
      </c>
      <c r="SE27" s="1368" t="s">
        <v>5112</v>
      </c>
      <c r="SF27" s="442"/>
      <c r="SG27" s="983" t="str">
        <f t="shared" ref="SG27:SG29" si="1388">MONICON21(SH27)</f>
        <v>#NAME?</v>
      </c>
      <c r="SH27" s="1301" t="s">
        <v>3121</v>
      </c>
      <c r="SI27" s="1311" t="str">
        <f t="shared" ref="SI27:SI29" si="1389">MONTYPEICON1(SH27)</f>
        <v>#NAME?</v>
      </c>
      <c r="SJ27" s="1312" t="str">
        <f t="shared" ref="SJ27:SJ29" si="1390">MONTYPEICON2(SH27)</f>
        <v>#NAME?</v>
      </c>
      <c r="SK27" s="1318" t="s">
        <v>5024</v>
      </c>
      <c r="SL27" s="442"/>
      <c r="SM27" s="1193" t="str">
        <f t="shared" si="1298"/>
        <v>#NAME?</v>
      </c>
      <c r="SN27" s="1145" t="s">
        <v>4132</v>
      </c>
      <c r="SO27" s="1462" t="str">
        <f t="shared" si="1299"/>
        <v>#NAME?</v>
      </c>
      <c r="SP27" s="1463" t="str">
        <f t="shared" si="1300"/>
        <v>#NAME?</v>
      </c>
      <c r="SQ27" s="1464" t="s">
        <v>5092</v>
      </c>
      <c r="SS27" s="1056" t="str">
        <f t="shared" si="1301"/>
        <v>#NAME?</v>
      </c>
      <c r="ST27" s="1377" t="s">
        <v>930</v>
      </c>
      <c r="SU27" s="1021" t="str">
        <f t="shared" si="1302"/>
        <v>#NAME?</v>
      </c>
      <c r="SV27" s="1024" t="str">
        <f t="shared" si="1303"/>
        <v>#NAME?</v>
      </c>
      <c r="SW27" s="1378" t="s">
        <v>5024</v>
      </c>
      <c r="SY27" s="1056" t="str">
        <f t="shared" si="1304"/>
        <v>#NAME?</v>
      </c>
      <c r="SZ27" s="1377" t="s">
        <v>474</v>
      </c>
      <c r="TA27" s="1021" t="str">
        <f t="shared" si="1305"/>
        <v>#NAME?</v>
      </c>
      <c r="TB27" s="1024" t="str">
        <f t="shared" si="1306"/>
        <v>#NAME?</v>
      </c>
      <c r="TC27" s="1378" t="s">
        <v>5024</v>
      </c>
      <c r="TD27" s="65"/>
      <c r="TE27" s="1096" t="str">
        <f t="shared" si="1145"/>
        <v>#NAME?</v>
      </c>
      <c r="TF27" s="1301" t="s">
        <v>1200</v>
      </c>
      <c r="TG27" s="1013" t="str">
        <f t="shared" si="1146"/>
        <v>#NAME?</v>
      </c>
      <c r="TH27" s="1015" t="str">
        <f t="shared" si="1147"/>
        <v>#NAME?</v>
      </c>
      <c r="TI27" s="1318" t="s">
        <v>5092</v>
      </c>
      <c r="TK27" s="983" t="str">
        <f t="shared" ref="TK27:TK29" si="1391">MONICON21(TL27)</f>
        <v>#NAME?</v>
      </c>
      <c r="TL27" s="1301" t="s">
        <v>3722</v>
      </c>
      <c r="TM27" s="1311" t="str">
        <f t="shared" ref="TM27:TM29" si="1392">MONTYPEICON1(TL27)</f>
        <v>#NAME?</v>
      </c>
      <c r="TN27" s="1312" t="str">
        <f t="shared" ref="TN27:TN29" si="1393">MONTYPEICON2(TL27)</f>
        <v>#NAME?</v>
      </c>
      <c r="TO27" s="1318" t="s">
        <v>5026</v>
      </c>
      <c r="TP27" s="442"/>
      <c r="TQ27" s="983" t="str">
        <f t="shared" ref="TQ27:TQ29" si="1394">MONICON21(TR27)</f>
        <v>#NAME?</v>
      </c>
      <c r="TR27" s="1301" t="s">
        <v>518</v>
      </c>
      <c r="TS27" s="1311" t="str">
        <f t="shared" ref="TS27:TS29" si="1395">MONTYPEICON1(TR27)</f>
        <v>#NAME?</v>
      </c>
      <c r="TT27" s="1312" t="str">
        <f t="shared" ref="TT27:TT29" si="1396">MONTYPEICON2(TR27)</f>
        <v>#NAME?</v>
      </c>
      <c r="TU27" s="1318" t="s">
        <v>5026</v>
      </c>
      <c r="TW27" s="1428" t="str">
        <f t="shared" si="1307"/>
        <v>#NAME?</v>
      </c>
      <c r="TX27" s="1429" t="s">
        <v>2185</v>
      </c>
      <c r="TY27" s="1428" t="str">
        <f t="shared" si="1308"/>
        <v>#NAME?</v>
      </c>
      <c r="TZ27" s="1430" t="str">
        <f t="shared" si="1309"/>
        <v>#NAME?</v>
      </c>
      <c r="UA27" s="1431" t="s">
        <v>5228</v>
      </c>
      <c r="UI27" s="1383" t="str">
        <f t="shared" si="1310"/>
        <v>#NAME?</v>
      </c>
      <c r="UJ27" s="1384" t="s">
        <v>3722</v>
      </c>
      <c r="UK27" s="1383" t="str">
        <f t="shared" si="1311"/>
        <v>#NAME?</v>
      </c>
      <c r="UL27" s="1385" t="str">
        <f t="shared" si="1312"/>
        <v>#NAME?</v>
      </c>
      <c r="UM27" s="1386" t="s">
        <v>5118</v>
      </c>
      <c r="UO27" s="1033" t="str">
        <f t="shared" ref="UO27:UO28" si="1397">MONICON21(UP27)</f>
        <v>#NAME?</v>
      </c>
      <c r="UP27" s="1301" t="s">
        <v>4146</v>
      </c>
      <c r="UQ27" s="977" t="str">
        <f t="shared" ref="UQ27:UQ28" si="1398">MONTYPEICON1(UP27)</f>
        <v>#NAME?</v>
      </c>
      <c r="UR27" s="980" t="str">
        <f t="shared" ref="UR27:UR28" si="1399">MONTYPEICON2(UP27)</f>
        <v>#NAME?</v>
      </c>
      <c r="US27" s="1303" t="s">
        <v>5118</v>
      </c>
      <c r="UU27" s="1033" t="str">
        <f t="shared" ref="UU27:UU28" si="1400">MONICON21(UV27)</f>
        <v>#NAME?</v>
      </c>
      <c r="UV27" s="1301" t="s">
        <v>3700</v>
      </c>
      <c r="UW27" s="977" t="str">
        <f t="shared" ref="UW27:UW28" si="1401">MONTYPEICON1(UV27)</f>
        <v>#NAME?</v>
      </c>
      <c r="UX27" s="980" t="str">
        <f t="shared" ref="UX27:UX28" si="1402">MONTYPEICON2(UV27)</f>
        <v>#NAME?</v>
      </c>
      <c r="UY27" s="1303" t="s">
        <v>5028</v>
      </c>
      <c r="VA27" s="1293"/>
      <c r="VB27" s="1291" t="s">
        <v>5583</v>
      </c>
      <c r="VC27" s="12"/>
      <c r="VD27" s="962"/>
      <c r="VE27" s="1292" t="s">
        <v>4608</v>
      </c>
      <c r="VG27" s="1295" t="s">
        <v>5290</v>
      </c>
      <c r="VH27" s="12"/>
      <c r="VI27" s="12"/>
      <c r="VJ27" s="12"/>
      <c r="VK27" s="48"/>
      <c r="VL27" s="442"/>
      <c r="VM27" s="977" t="str">
        <f t="shared" ref="VM27:VM29" si="1403">MONICON21(VN27)</f>
        <v>#NAME?</v>
      </c>
      <c r="VN27" s="1301" t="s">
        <v>643</v>
      </c>
      <c r="VO27" s="977" t="str">
        <f t="shared" ref="VO27:VO29" si="1404">MONTYPEICON1(VN27)</f>
        <v>#NAME?</v>
      </c>
      <c r="VP27" s="980" t="str">
        <f t="shared" ref="VP27:VP29" si="1405">MONTYPEICON2(VN27)</f>
        <v>#NAME?</v>
      </c>
      <c r="VQ27" s="1302" t="s">
        <v>1043</v>
      </c>
      <c r="VR27" s="442"/>
      <c r="VX27" s="442"/>
      <c r="VY27" s="1294"/>
      <c r="VZ27" s="1291" t="s">
        <v>5584</v>
      </c>
      <c r="WA27" s="12"/>
      <c r="WB27" s="962"/>
      <c r="WC27" s="1292" t="s">
        <v>4608</v>
      </c>
      <c r="WD27" s="442"/>
      <c r="WJ27" s="442"/>
      <c r="WP27" s="442"/>
      <c r="WQ27" s="1387" t="str">
        <f t="shared" si="1313"/>
        <v>#NAME?</v>
      </c>
      <c r="WR27" s="1388" t="s">
        <v>2232</v>
      </c>
      <c r="WS27" s="1387" t="str">
        <f t="shared" si="1314"/>
        <v>#NAME?</v>
      </c>
      <c r="WT27" s="1392" t="str">
        <f t="shared" si="1315"/>
        <v>#NAME?</v>
      </c>
      <c r="WU27" s="1391" t="s">
        <v>5034</v>
      </c>
      <c r="WV27" s="442"/>
      <c r="WW27" s="349"/>
      <c r="XB27" s="442"/>
      <c r="XC27" s="1294"/>
      <c r="XD27" s="1291" t="s">
        <v>5585</v>
      </c>
      <c r="XE27" s="12"/>
      <c r="XF27" s="962"/>
      <c r="XG27" s="1292" t="s">
        <v>4608</v>
      </c>
      <c r="XH27" s="442"/>
      <c r="XN27" s="442"/>
      <c r="XO27" s="1051" t="str">
        <f t="shared" si="1274"/>
        <v>#NAME?</v>
      </c>
      <c r="XP27" s="1127" t="s">
        <v>3896</v>
      </c>
      <c r="XQ27" s="1051" t="str">
        <f t="shared" si="1275"/>
        <v>#NAME?</v>
      </c>
      <c r="XR27" s="1131" t="str">
        <f t="shared" si="1276"/>
        <v>#NAME?</v>
      </c>
      <c r="XS27" s="1095" t="s">
        <v>5174</v>
      </c>
      <c r="XT27" s="442"/>
      <c r="XU27" s="1554" t="s">
        <v>5464</v>
      </c>
      <c r="XV27" s="12"/>
      <c r="XW27" s="12"/>
      <c r="XX27" s="12"/>
      <c r="XY27" s="48"/>
      <c r="XZ27" s="442"/>
      <c r="YA27" s="1387" t="str">
        <f t="shared" si="1316"/>
        <v>#NAME?</v>
      </c>
      <c r="YB27" s="1388" t="s">
        <v>3273</v>
      </c>
      <c r="YC27" s="1387" t="str">
        <f t="shared" si="1317"/>
        <v>#NAME?</v>
      </c>
      <c r="YD27" s="1392" t="str">
        <f t="shared" si="1318"/>
        <v>#NAME?</v>
      </c>
      <c r="YE27" s="1391" t="s">
        <v>5031</v>
      </c>
      <c r="YF27" s="442"/>
      <c r="YG27" s="1387" t="str">
        <f t="shared" si="1319"/>
        <v>#NAME?</v>
      </c>
      <c r="YH27" s="1388" t="s">
        <v>4204</v>
      </c>
      <c r="YI27" s="1387" t="str">
        <f t="shared" si="1320"/>
        <v>#NAME?</v>
      </c>
      <c r="YJ27" s="1392" t="str">
        <f t="shared" si="1321"/>
        <v>#NAME?</v>
      </c>
      <c r="YK27" s="1391" t="s">
        <v>5031</v>
      </c>
      <c r="YL27" s="442"/>
      <c r="YO27" s="349"/>
      <c r="YP27" s="349"/>
      <c r="YR27" s="442"/>
      <c r="YS27" s="1289" t="s">
        <v>4541</v>
      </c>
      <c r="YT27" s="12"/>
      <c r="YU27" s="12"/>
      <c r="YV27" s="12"/>
      <c r="YW27" s="48"/>
      <c r="YX27" s="442"/>
      <c r="YY27" s="1289" t="s">
        <v>5057</v>
      </c>
      <c r="YZ27" s="12"/>
      <c r="ZA27" s="12"/>
      <c r="ZB27" s="12"/>
      <c r="ZC27" s="48"/>
      <c r="ZD27" s="442"/>
      <c r="ZE27" s="1294"/>
      <c r="ZF27" s="1291" t="s">
        <v>5586</v>
      </c>
      <c r="ZG27" s="12"/>
      <c r="ZH27" s="962"/>
      <c r="ZI27" s="1292" t="s">
        <v>4608</v>
      </c>
      <c r="ZJ27" s="442"/>
      <c r="ZK27" s="349"/>
      <c r="ZM27" s="349"/>
      <c r="ZN27" s="349"/>
      <c r="ZP27" s="442"/>
      <c r="ZS27" s="349"/>
      <c r="ZT27" s="349"/>
      <c r="ZV27" s="442"/>
      <c r="ZW27" s="1246" t="s">
        <v>4790</v>
      </c>
      <c r="ZX27" s="12"/>
      <c r="ZY27" s="12"/>
      <c r="ZZ27" s="12"/>
      <c r="AAA27" s="48"/>
      <c r="AAB27" s="442"/>
      <c r="AAC27" s="1383" t="str">
        <f t="shared" si="1322"/>
        <v>#NAME?</v>
      </c>
      <c r="AAD27" s="1384" t="s">
        <v>1823</v>
      </c>
      <c r="AAE27" s="1383" t="str">
        <f t="shared" si="1323"/>
        <v>#NAME?</v>
      </c>
      <c r="AAF27" s="1385" t="str">
        <f t="shared" si="1324"/>
        <v>#NAME?</v>
      </c>
      <c r="AAG27" s="1386" t="s">
        <v>5024</v>
      </c>
      <c r="AAH27" s="442"/>
      <c r="AAI27" s="1387" t="str">
        <f t="shared" si="1325"/>
        <v>#NAME?</v>
      </c>
      <c r="AAJ27" s="1388" t="s">
        <v>2065</v>
      </c>
      <c r="AAK27" s="1387" t="str">
        <f t="shared" si="1326"/>
        <v>#NAME?</v>
      </c>
      <c r="AAL27" s="1392" t="str">
        <f t="shared" si="1327"/>
        <v>#NAME?</v>
      </c>
      <c r="AAM27" s="1397" t="s">
        <v>5227</v>
      </c>
      <c r="AAO27" s="1387" t="str">
        <f t="shared" si="1328"/>
        <v>#NAME?</v>
      </c>
      <c r="AAP27" s="1388" t="s">
        <v>4225</v>
      </c>
      <c r="AAQ27" s="1387" t="str">
        <f t="shared" si="1329"/>
        <v>#NAME?</v>
      </c>
      <c r="AAR27" s="1392" t="str">
        <f t="shared" si="1330"/>
        <v>#NAME?</v>
      </c>
      <c r="AAS27" s="1397" t="s">
        <v>5117</v>
      </c>
      <c r="AAU27" s="1387" t="str">
        <f t="shared" si="1331"/>
        <v>#NAME?</v>
      </c>
      <c r="AAV27" s="1388" t="s">
        <v>4225</v>
      </c>
      <c r="AAW27" s="1387" t="str">
        <f t="shared" si="1332"/>
        <v>#NAME?</v>
      </c>
      <c r="AAX27" s="1392" t="str">
        <f t="shared" si="1333"/>
        <v>#NAME?</v>
      </c>
      <c r="AAY27" s="1397" t="s">
        <v>5117</v>
      </c>
      <c r="ABA27" s="1387" t="str">
        <f t="shared" si="1334"/>
        <v>#NAME?</v>
      </c>
      <c r="ABB27" s="1388" t="s">
        <v>4244</v>
      </c>
      <c r="ABC27" s="1387" t="str">
        <f t="shared" si="1335"/>
        <v>#NAME?</v>
      </c>
      <c r="ABD27" s="1392" t="str">
        <f t="shared" si="1336"/>
        <v>#NAME?</v>
      </c>
      <c r="ABE27" s="1397" t="s">
        <v>5036</v>
      </c>
      <c r="ABG27" s="1387" t="str">
        <f t="shared" si="1337"/>
        <v>#NAME?</v>
      </c>
      <c r="ABH27" s="1388" t="s">
        <v>4167</v>
      </c>
      <c r="ABI27" s="1387" t="str">
        <f t="shared" si="1338"/>
        <v>#NAME?</v>
      </c>
      <c r="ABJ27" s="1392" t="str">
        <f t="shared" si="1339"/>
        <v>#NAME?</v>
      </c>
      <c r="ABK27" s="1397" t="s">
        <v>5036</v>
      </c>
      <c r="ABM27" s="1387" t="str">
        <f t="shared" si="1340"/>
        <v>#NAME?</v>
      </c>
      <c r="ABN27" s="1388" t="s">
        <v>4250</v>
      </c>
      <c r="ABO27" s="1387" t="str">
        <f t="shared" si="1341"/>
        <v>#NAME?</v>
      </c>
      <c r="ABP27" s="1392" t="str">
        <f t="shared" si="1342"/>
        <v>#NAME?</v>
      </c>
      <c r="ABQ27" s="1397" t="s">
        <v>5036</v>
      </c>
      <c r="ABS27" s="1387" t="str">
        <f t="shared" si="1343"/>
        <v>#NAME?</v>
      </c>
      <c r="ABT27" s="1388" t="s">
        <v>767</v>
      </c>
      <c r="ABU27" s="1387" t="str">
        <f t="shared" si="1344"/>
        <v>#NAME?</v>
      </c>
      <c r="ABV27" s="1392" t="str">
        <f t="shared" si="1345"/>
        <v>#NAME?</v>
      </c>
      <c r="ABW27" s="1397" t="s">
        <v>5176</v>
      </c>
      <c r="ABY27" s="1604"/>
      <c r="ABZ27" s="1438" t="s">
        <v>4985</v>
      </c>
      <c r="ACA27" s="1439"/>
      <c r="ACB27" s="1440"/>
      <c r="ACC27" s="1441" t="s">
        <v>4608</v>
      </c>
      <c r="ACJ27" s="996"/>
    </row>
    <row r="28" ht="15.75" customHeight="1">
      <c r="A28" s="1230"/>
      <c r="B28" s="1403" t="str">
        <f>image("https://archives.bulbagarden.net/media/upload/9/9e/Badge_Case_Volkner_IV.png", 3)</f>
        <v/>
      </c>
      <c r="C28" s="1404" t="s">
        <v>5587</v>
      </c>
      <c r="D28" s="1382" t="s">
        <v>4608</v>
      </c>
      <c r="E28" s="1230"/>
      <c r="F28" s="1238"/>
      <c r="G28" s="1517"/>
      <c r="H28" s="1230"/>
      <c r="I28" s="1447"/>
      <c r="J28" s="1269" t="s">
        <v>5393</v>
      </c>
      <c r="K28" s="12"/>
      <c r="L28" s="962"/>
      <c r="M28" s="1270" t="s">
        <v>4608</v>
      </c>
      <c r="N28" s="1230"/>
      <c r="O28" s="1033" t="str">
        <f t="shared" ref="O28:O30" si="1406">MONICON21(P28)</f>
        <v>#NAME?</v>
      </c>
      <c r="P28" s="1301" t="s">
        <v>1</v>
      </c>
      <c r="Q28" s="977" t="str">
        <f t="shared" ref="Q28:Q30" si="1407">MONTYPEICON1(P28)</f>
        <v>#NAME?</v>
      </c>
      <c r="R28" s="980" t="str">
        <f t="shared" ref="R28:R30" si="1408">MONTYPEICON2(P28)</f>
        <v>#NAME?</v>
      </c>
      <c r="S28" s="1303" t="s">
        <v>5588</v>
      </c>
      <c r="T28" s="1230"/>
      <c r="U28" s="108"/>
      <c r="V28" s="442"/>
      <c r="W28" s="442"/>
      <c r="X28" s="442"/>
      <c r="Y28" s="108"/>
      <c r="Z28" s="1230"/>
      <c r="AA28" s="1071" t="str">
        <f t="shared" si="1346"/>
        <v>#NAME?</v>
      </c>
      <c r="AB28" s="1076" t="s">
        <v>2402</v>
      </c>
      <c r="AC28" s="1071" t="str">
        <f t="shared" si="1347"/>
        <v>#NAME?</v>
      </c>
      <c r="AD28" s="1073" t="str">
        <f t="shared" si="1348"/>
        <v>#NAME?</v>
      </c>
      <c r="AE28" s="1093" t="s">
        <v>5130</v>
      </c>
      <c r="AF28" s="1230"/>
      <c r="AL28" s="1230"/>
      <c r="AM28" s="1592" t="str">
        <f t="shared" si="1349"/>
        <v>#NAME?</v>
      </c>
      <c r="AN28" s="1145" t="s">
        <v>2884</v>
      </c>
      <c r="AO28" s="1146" t="str">
        <f t="shared" si="1350"/>
        <v>#NAME?</v>
      </c>
      <c r="AP28" s="1148" t="str">
        <f t="shared" si="1351"/>
        <v>#NAME?</v>
      </c>
      <c r="AQ28" s="1605" t="s">
        <v>5457</v>
      </c>
      <c r="AR28" s="1230"/>
      <c r="AS28" s="349"/>
      <c r="AX28" s="1230"/>
      <c r="AY28" s="1255"/>
      <c r="AZ28" s="1259" t="s">
        <v>5589</v>
      </c>
      <c r="BA28" s="12"/>
      <c r="BB28" s="962"/>
      <c r="BC28" s="1258" t="s">
        <v>4608</v>
      </c>
      <c r="BD28" s="1230"/>
      <c r="BE28" s="1033" t="str">
        <f t="shared" ref="BE28:BE30" si="1409">MONICON21(BF28)</f>
        <v>#NAME?</v>
      </c>
      <c r="BF28" s="1304" t="s">
        <v>866</v>
      </c>
      <c r="BG28" s="977" t="str">
        <f t="shared" ref="BG28:BG30" si="1410">MONTYPEICON1(BF28)</f>
        <v>#NAME?</v>
      </c>
      <c r="BH28" s="980" t="str">
        <f t="shared" ref="BH28:BH30" si="1411">MONTYPEICON2(BF28)</f>
        <v>#NAME?</v>
      </c>
      <c r="BI28" s="1305" t="s">
        <v>5314</v>
      </c>
      <c r="BJ28" s="1230"/>
      <c r="BP28" s="442"/>
      <c r="BQ28" s="1053" t="str">
        <f>MONICON21(BR28)</f>
        <v>#NAME?</v>
      </c>
      <c r="BR28" s="1308" t="s">
        <v>2065</v>
      </c>
      <c r="BS28" s="1092" t="str">
        <f>MONTYPEICON1(BR28)</f>
        <v>#NAME?</v>
      </c>
      <c r="BT28" s="987" t="str">
        <f>MONTYPEICON2(BR28)</f>
        <v>#NAME?</v>
      </c>
      <c r="BU28" s="1309" t="s">
        <v>4995</v>
      </c>
      <c r="BV28" s="442"/>
      <c r="BW28" s="1033" t="str">
        <f t="shared" ref="BW28:BW31" si="1412">MONICON21(BX28)</f>
        <v>#NAME?</v>
      </c>
      <c r="BX28" s="1407" t="s">
        <v>2528</v>
      </c>
      <c r="BY28" s="977" t="str">
        <f t="shared" ref="BY28:BY31" si="1413">MONTYPEICON1(BX28)</f>
        <v>#NAME?</v>
      </c>
      <c r="BZ28" s="980" t="str">
        <f t="shared" ref="BZ28:BZ31" si="1414">MONTYPEICON2(BX28)</f>
        <v>#NAME?</v>
      </c>
      <c r="CA28" s="1408" t="s">
        <v>4995</v>
      </c>
      <c r="CB28" s="442"/>
      <c r="CC28" s="1230"/>
      <c r="CD28" s="1230"/>
      <c r="CE28" s="1230"/>
      <c r="CF28" s="442"/>
      <c r="CG28" s="108"/>
      <c r="CH28" s="442"/>
      <c r="CI28" s="1273"/>
      <c r="CJ28" s="1307" t="s">
        <v>4908</v>
      </c>
      <c r="CK28" s="12"/>
      <c r="CL28" s="962"/>
      <c r="CM28" s="1282" t="s">
        <v>4608</v>
      </c>
      <c r="CN28" s="442"/>
      <c r="CO28" s="1266"/>
      <c r="CP28" s="1259" t="s">
        <v>5590</v>
      </c>
      <c r="CQ28" s="12"/>
      <c r="CR28" s="962"/>
      <c r="CS28" s="1267" t="s">
        <v>4608</v>
      </c>
      <c r="CT28" s="442"/>
      <c r="CU28" s="1266"/>
      <c r="CV28" s="1259" t="s">
        <v>5591</v>
      </c>
      <c r="CW28" s="12"/>
      <c r="CX28" s="962"/>
      <c r="CY28" s="1258" t="s">
        <v>4608</v>
      </c>
      <c r="CZ28" s="442"/>
      <c r="DA28" s="1012" t="str">
        <f t="shared" ref="DA28:DA29" si="1415">MONICON21(DB28)</f>
        <v>#NAME?</v>
      </c>
      <c r="DB28" s="1304" t="s">
        <v>831</v>
      </c>
      <c r="DC28" s="977" t="str">
        <f t="shared" ref="DC28:DC29" si="1416">MONTYPEICON1(DB28)</f>
        <v>#NAME?</v>
      </c>
      <c r="DD28" s="980" t="str">
        <f t="shared" ref="DD28:DD29" si="1417">MONTYPEICON2(DB28)</f>
        <v>#NAME?</v>
      </c>
      <c r="DE28" s="1305" t="s">
        <v>4999</v>
      </c>
      <c r="DG28" s="1012" t="str">
        <f t="shared" ref="DG28:DG31" si="1418">MONICON21(DH28)</f>
        <v>#NAME?</v>
      </c>
      <c r="DH28" s="1301" t="s">
        <v>2125</v>
      </c>
      <c r="DI28" s="977" t="str">
        <f t="shared" ref="DI28:DI31" si="1419">MONTYPEICON1(DH28)</f>
        <v>#NAME?</v>
      </c>
      <c r="DJ28" s="980" t="str">
        <f t="shared" ref="DJ28:DJ31" si="1420">MONTYPEICON2(DH28)</f>
        <v>#NAME?</v>
      </c>
      <c r="DK28" s="1303" t="s">
        <v>5000</v>
      </c>
      <c r="DL28" s="442"/>
      <c r="DM28" s="1266"/>
      <c r="DN28" s="1259" t="s">
        <v>5592</v>
      </c>
      <c r="DO28" s="12"/>
      <c r="DP28" s="962"/>
      <c r="DQ28" s="1258" t="s">
        <v>4608</v>
      </c>
      <c r="DR28" s="442"/>
      <c r="DS28" s="442"/>
      <c r="DT28" s="442"/>
      <c r="DU28" s="1230"/>
      <c r="DV28" s="442"/>
      <c r="DW28" s="442"/>
      <c r="DX28" s="442"/>
      <c r="ED28" s="442"/>
      <c r="EE28" s="1273"/>
      <c r="EF28" s="1274" t="s">
        <v>4908</v>
      </c>
      <c r="EG28" s="959"/>
      <c r="EH28" s="957"/>
      <c r="EI28" s="1275" t="s">
        <v>4608</v>
      </c>
      <c r="EJ28" s="1230"/>
      <c r="EK28" s="1280"/>
      <c r="EL28" s="1274" t="s">
        <v>4908</v>
      </c>
      <c r="EM28" s="959"/>
      <c r="EN28" s="957"/>
      <c r="EO28" s="1275" t="s">
        <v>4608</v>
      </c>
      <c r="EP28" s="1230"/>
      <c r="EQ28" s="1272" t="s">
        <v>5068</v>
      </c>
      <c r="ER28" s="12"/>
      <c r="ES28" s="12"/>
      <c r="ET28" s="12"/>
      <c r="EU28" s="48"/>
      <c r="EV28" s="1230"/>
      <c r="EY28" s="349"/>
      <c r="EZ28" s="349"/>
      <c r="FA28" s="349"/>
      <c r="FB28" s="442"/>
      <c r="FC28" s="1068" t="str">
        <f t="shared" si="1352"/>
        <v>#NAME?</v>
      </c>
      <c r="FD28" s="1076" t="s">
        <v>3148</v>
      </c>
      <c r="FE28" s="1071" t="str">
        <f t="shared" si="1353"/>
        <v>#NAME?</v>
      </c>
      <c r="FF28" s="1073" t="str">
        <f t="shared" si="1354"/>
        <v>#NAME?</v>
      </c>
      <c r="FG28" s="1093" t="s">
        <v>5078</v>
      </c>
      <c r="FH28" s="442"/>
      <c r="FI28" s="1266"/>
      <c r="FJ28" s="1259" t="s">
        <v>5593</v>
      </c>
      <c r="FK28" s="12"/>
      <c r="FL28" s="962"/>
      <c r="FM28" s="1258" t="s">
        <v>4608</v>
      </c>
      <c r="FN28" s="442"/>
      <c r="FO28" s="1266"/>
      <c r="FP28" s="1259" t="s">
        <v>5594</v>
      </c>
      <c r="FQ28" s="12"/>
      <c r="FR28" s="962"/>
      <c r="FS28" s="1258" t="s">
        <v>4608</v>
      </c>
      <c r="FT28" s="442"/>
      <c r="FU28" s="1068" t="str">
        <f t="shared" si="1355"/>
        <v>#NAME?</v>
      </c>
      <c r="FV28" s="1076" t="s">
        <v>1343</v>
      </c>
      <c r="FW28" s="1071" t="str">
        <f t="shared" si="1356"/>
        <v>#NAME?</v>
      </c>
      <c r="FX28" s="1073" t="str">
        <f t="shared" si="1357"/>
        <v>#NAME?</v>
      </c>
      <c r="FY28" s="1093" t="s">
        <v>5082</v>
      </c>
      <c r="FZ28" s="442"/>
      <c r="GA28" s="1105" t="str">
        <f t="shared" si="1358"/>
        <v>#NAME?</v>
      </c>
      <c r="GB28" s="1505" t="s">
        <v>713</v>
      </c>
      <c r="GC28" s="1373" t="str">
        <f t="shared" si="1359"/>
        <v>#NAME?</v>
      </c>
      <c r="GD28" s="1374" t="str">
        <f t="shared" si="1360"/>
        <v>#NAME?</v>
      </c>
      <c r="GE28" s="1606" t="s">
        <v>5005</v>
      </c>
      <c r="GF28" s="442"/>
      <c r="GG28" s="983" t="str">
        <f t="shared" ref="GG28:GG30" si="1421">MONICON21(GH28)</f>
        <v>#NAME?</v>
      </c>
      <c r="GH28" s="1157" t="s">
        <v>1200</v>
      </c>
      <c r="GI28" s="977" t="str">
        <f t="shared" ref="GI28:GI30" si="1422">MONTYPEICON1(GH28)</f>
        <v>#NAME?</v>
      </c>
      <c r="GJ28" s="980" t="str">
        <f t="shared" ref="GJ28:GJ30" si="1423">MONTYPEICON2(GH28)</f>
        <v>#NAME?</v>
      </c>
      <c r="GK28" s="1303" t="s">
        <v>5001</v>
      </c>
      <c r="GL28" s="1230"/>
      <c r="GM28" s="442"/>
      <c r="GN28" s="442"/>
      <c r="GO28" s="108"/>
      <c r="GP28" s="108"/>
      <c r="GQ28" s="108"/>
      <c r="GR28" s="65"/>
      <c r="GS28" s="442"/>
      <c r="GT28" s="442"/>
      <c r="GU28" s="108"/>
      <c r="GV28" s="108"/>
      <c r="GW28" s="108"/>
      <c r="GX28" s="65"/>
      <c r="GY28" s="1193" t="str">
        <f t="shared" si="1361"/>
        <v>#NAME?</v>
      </c>
      <c r="GZ28" s="1357" t="s">
        <v>653</v>
      </c>
      <c r="HA28" s="1146" t="str">
        <f t="shared" si="1362"/>
        <v>#NAME?</v>
      </c>
      <c r="HB28" s="1148" t="str">
        <f t="shared" si="1363"/>
        <v>#NAME?</v>
      </c>
      <c r="HC28" s="1330" t="s">
        <v>5034</v>
      </c>
      <c r="HD28" s="1230"/>
      <c r="HE28" s="1607"/>
      <c r="HF28" s="1259" t="s">
        <v>5595</v>
      </c>
      <c r="HG28" s="12"/>
      <c r="HH28" s="962"/>
      <c r="HI28" s="1258" t="s">
        <v>4608</v>
      </c>
      <c r="HJ28" s="1230"/>
      <c r="HK28" s="1245" t="s">
        <v>5596</v>
      </c>
      <c r="HL28" s="12"/>
      <c r="HM28" s="12"/>
      <c r="HN28" s="12"/>
      <c r="HO28" s="962"/>
      <c r="HP28" s="65"/>
      <c r="HQ28" s="1056" t="str">
        <f t="shared" si="1250"/>
        <v>#NAME?</v>
      </c>
      <c r="HR28" s="1377" t="s">
        <v>2544</v>
      </c>
      <c r="HS28" s="1502" t="str">
        <f t="shared" si="1251"/>
        <v>#NAME?</v>
      </c>
      <c r="HT28" s="1503" t="str">
        <f t="shared" si="1252"/>
        <v>#NAME?</v>
      </c>
      <c r="HU28" s="1339" t="s">
        <v>5084</v>
      </c>
      <c r="HW28" s="1094" t="str">
        <f t="shared" si="1286"/>
        <v>#NAME?</v>
      </c>
      <c r="HX28" s="499" t="s">
        <v>3603</v>
      </c>
      <c r="HY28" s="1420" t="str">
        <f t="shared" si="1287"/>
        <v>#NAME?</v>
      </c>
      <c r="HZ28" s="475" t="str">
        <f t="shared" si="1288"/>
        <v>#NAME?</v>
      </c>
      <c r="IA28" s="1095" t="s">
        <v>5214</v>
      </c>
      <c r="IB28" s="65"/>
      <c r="IE28" s="349"/>
      <c r="IF28" s="349"/>
      <c r="IG28" s="349"/>
      <c r="II28" s="1027" t="str">
        <f t="shared" si="1364"/>
        <v>#NAME?</v>
      </c>
      <c r="IJ28" s="1458" t="s">
        <v>4225</v>
      </c>
      <c r="IK28" s="1360" t="str">
        <f t="shared" si="1365"/>
        <v>#NAME?</v>
      </c>
      <c r="IL28" s="1361" t="str">
        <f t="shared" si="1366"/>
        <v>#NAME?</v>
      </c>
      <c r="IM28" s="1362" t="s">
        <v>5008</v>
      </c>
      <c r="IO28" s="983" t="str">
        <f t="shared" ref="IO28:IO31" si="1424">MONICON21(IP28)</f>
        <v>#NAME?</v>
      </c>
      <c r="IP28" s="1304" t="s">
        <v>1680</v>
      </c>
      <c r="IQ28" s="977" t="str">
        <f t="shared" ref="IQ28:IQ31" si="1425">MONTYPEICON1(IP28)</f>
        <v>#NAME?</v>
      </c>
      <c r="IR28" s="980" t="str">
        <f t="shared" ref="IR28:IR31" si="1426">MONTYPEICON2(IP28)</f>
        <v>#NAME?</v>
      </c>
      <c r="IS28" s="1305" t="s">
        <v>5158</v>
      </c>
      <c r="IT28" s="1230"/>
      <c r="IU28" s="1608"/>
      <c r="IV28" s="1259" t="s">
        <v>5597</v>
      </c>
      <c r="IW28" s="12"/>
      <c r="IX28" s="962"/>
      <c r="IY28" s="1258" t="s">
        <v>4608</v>
      </c>
      <c r="IZ28" s="442"/>
      <c r="JA28" s="1594" t="s">
        <v>5517</v>
      </c>
      <c r="JB28" s="12"/>
      <c r="JC28" s="12"/>
      <c r="JD28" s="12"/>
      <c r="JE28" s="48"/>
      <c r="JF28" s="442"/>
      <c r="JG28" s="1266"/>
      <c r="JH28" s="1259" t="s">
        <v>5598</v>
      </c>
      <c r="JI28" s="12"/>
      <c r="JJ28" s="962"/>
      <c r="JK28" s="1258" t="s">
        <v>4608</v>
      </c>
      <c r="JL28" s="442"/>
      <c r="JM28" s="961" t="s">
        <v>5286</v>
      </c>
      <c r="JN28" s="12"/>
      <c r="JO28" s="12"/>
      <c r="JP28" s="12"/>
      <c r="JQ28" s="48"/>
      <c r="JR28" s="442"/>
      <c r="JS28" s="961" t="s">
        <v>4541</v>
      </c>
      <c r="JT28" s="12"/>
      <c r="JU28" s="12"/>
      <c r="JV28" s="12"/>
      <c r="JW28" s="48"/>
      <c r="KA28" s="349"/>
      <c r="KB28" s="108"/>
      <c r="KE28" s="1266"/>
      <c r="KF28" s="1259" t="s">
        <v>5599</v>
      </c>
      <c r="KG28" s="12"/>
      <c r="KH28" s="962"/>
      <c r="KI28" s="1258" t="s">
        <v>4608</v>
      </c>
      <c r="KJ28" s="65"/>
      <c r="KK28" s="985" t="str">
        <f>MONICON21(KL28)</f>
        <v>#NAME?</v>
      </c>
      <c r="KL28" s="1063" t="s">
        <v>2012</v>
      </c>
      <c r="KM28" s="1092" t="str">
        <f>MONTYPEICON1(KL28)</f>
        <v>#NAME?</v>
      </c>
      <c r="KN28" s="987" t="str">
        <f>MONTYPEICON2(KL28)</f>
        <v>#NAME?</v>
      </c>
      <c r="KO28" s="1055" t="s">
        <v>5162</v>
      </c>
      <c r="KP28" s="65"/>
      <c r="KQ28" s="1056" t="str">
        <f t="shared" si="1367"/>
        <v>#NAME?</v>
      </c>
      <c r="KR28" s="1089" t="s">
        <v>2806</v>
      </c>
      <c r="KS28" s="1021" t="str">
        <f t="shared" si="1368"/>
        <v>#NAME?</v>
      </c>
      <c r="KT28" s="1024" t="str">
        <f t="shared" si="1369"/>
        <v>#NAME?</v>
      </c>
      <c r="KU28" s="1024" t="s">
        <v>5086</v>
      </c>
      <c r="KV28" s="65"/>
      <c r="KW28" s="983" t="str">
        <f t="shared" ref="KW28:KW29" si="1427">MONICON21(KX28)</f>
        <v>#NAME?</v>
      </c>
      <c r="KX28" s="1301" t="s">
        <v>2519</v>
      </c>
      <c r="KY28" s="977" t="str">
        <f t="shared" ref="KY28:KY29" si="1428">MONTYPEICON1(KX28)</f>
        <v>#NAME?</v>
      </c>
      <c r="KZ28" s="980" t="str">
        <f t="shared" ref="KZ28:KZ29" si="1429">MONTYPEICON2(KX28)</f>
        <v>#NAME?</v>
      </c>
      <c r="LA28" s="1318" t="s">
        <v>5086</v>
      </c>
      <c r="LB28" s="442"/>
      <c r="LC28" s="1068" t="str">
        <f t="shared" si="1370"/>
        <v>#NAME?</v>
      </c>
      <c r="LD28" s="1076" t="s">
        <v>3350</v>
      </c>
      <c r="LE28" s="1358" t="str">
        <f t="shared" si="1371"/>
        <v>#NAME?</v>
      </c>
      <c r="LF28" s="1359" t="str">
        <f t="shared" si="1372"/>
        <v>#NAME?</v>
      </c>
      <c r="LG28" s="1368" t="s">
        <v>5014</v>
      </c>
      <c r="LI28" s="983" t="str">
        <f t="shared" ref="LI28:LI30" si="1430">MONICON21(LJ28)</f>
        <v>#NAME?</v>
      </c>
      <c r="LJ28" s="1301" t="s">
        <v>2065</v>
      </c>
      <c r="LK28" s="1311" t="str">
        <f t="shared" ref="LK28:LK30" si="1431">MONTYPEICON1(LJ28)</f>
        <v>#NAME?</v>
      </c>
      <c r="LL28" s="1312" t="str">
        <f t="shared" ref="LL28:LL30" si="1432">MONTYPEICON2(LJ28)</f>
        <v>#NAME?</v>
      </c>
      <c r="LM28" s="1318" t="s">
        <v>5015</v>
      </c>
      <c r="LO28" s="1283"/>
      <c r="LP28" s="1264" t="s">
        <v>5600</v>
      </c>
      <c r="LQ28" s="12"/>
      <c r="LR28" s="962"/>
      <c r="LS28" s="1265" t="s">
        <v>4608</v>
      </c>
      <c r="LW28" s="349"/>
      <c r="LX28" s="349"/>
      <c r="LZ28" s="442"/>
      <c r="MA28" s="1346" t="str">
        <f t="shared" si="1373"/>
        <v>#NAME?</v>
      </c>
      <c r="MB28" s="1609" t="s">
        <v>3964</v>
      </c>
      <c r="MC28" s="1348" t="str">
        <f t="shared" si="1374"/>
        <v>#NAME?</v>
      </c>
      <c r="MD28" s="1349" t="str">
        <f t="shared" si="1375"/>
        <v>#NAME?</v>
      </c>
      <c r="ME28" s="1610" t="s">
        <v>5015</v>
      </c>
      <c r="MF28" s="442"/>
      <c r="MG28" s="961" t="s">
        <v>4912</v>
      </c>
      <c r="MH28" s="12"/>
      <c r="MI28" s="48"/>
      <c r="MJ28" s="349"/>
      <c r="ML28" s="442"/>
      <c r="MM28" s="983" t="str">
        <f t="shared" ref="MM28:MM30" si="1433">MONICON21(MN28)</f>
        <v>#NAME?</v>
      </c>
      <c r="MN28" s="1301" t="s">
        <v>2185</v>
      </c>
      <c r="MO28" s="977" t="str">
        <f t="shared" ref="MO28:MO30" si="1434">MONTYPEICON1(MN28)</f>
        <v>#NAME?</v>
      </c>
      <c r="MP28" s="980" t="str">
        <f t="shared" ref="MP28:MP30" si="1435">MONTYPEICON2(MN28)</f>
        <v>#NAME?</v>
      </c>
      <c r="MQ28" s="1318" t="s">
        <v>5015</v>
      </c>
      <c r="MS28" s="1012" t="str">
        <f t="shared" si="1289"/>
        <v>#NAME?</v>
      </c>
      <c r="MT28" s="1098" t="s">
        <v>4091</v>
      </c>
      <c r="MU28" s="1013" t="str">
        <f t="shared" si="1290"/>
        <v>#NAME?</v>
      </c>
      <c r="MV28" s="1015" t="str">
        <f t="shared" si="1291"/>
        <v>#NAME?</v>
      </c>
      <c r="MW28" s="1423" t="s">
        <v>5164</v>
      </c>
      <c r="MX28" s="442"/>
      <c r="MY28" s="1351" t="str">
        <f t="shared" si="1376"/>
        <v>#NAME?</v>
      </c>
      <c r="MZ28" s="1372" t="s">
        <v>3926</v>
      </c>
      <c r="NA28" s="1353" t="str">
        <f t="shared" si="1377"/>
        <v>#NAME?</v>
      </c>
      <c r="NB28" s="1354" t="str">
        <f t="shared" si="1378"/>
        <v>#NAME?</v>
      </c>
      <c r="NC28" s="1367" t="s">
        <v>5019</v>
      </c>
      <c r="ND28" s="442"/>
      <c r="NE28" s="1286"/>
      <c r="NF28" s="1259" t="s">
        <v>5601</v>
      </c>
      <c r="NG28" s="12"/>
      <c r="NH28" s="962"/>
      <c r="NI28" s="1258" t="s">
        <v>4608</v>
      </c>
      <c r="NJ28" s="65"/>
      <c r="NM28" s="349"/>
      <c r="NN28" s="349"/>
      <c r="NQ28" s="1283"/>
      <c r="NR28" s="1264" t="s">
        <v>5602</v>
      </c>
      <c r="NS28" s="12"/>
      <c r="NT28" s="962"/>
      <c r="NU28" s="1265" t="s">
        <v>4608</v>
      </c>
      <c r="NV28" s="442"/>
      <c r="NY28" s="349"/>
      <c r="NZ28" s="349"/>
      <c r="OB28" s="442"/>
      <c r="OC28" s="1266"/>
      <c r="OD28" s="1256" t="s">
        <v>5603</v>
      </c>
      <c r="OE28" s="1285" t="s">
        <v>4888</v>
      </c>
      <c r="OF28" s="962"/>
      <c r="OG28" s="1258" t="s">
        <v>4608</v>
      </c>
      <c r="OH28" s="442"/>
      <c r="OK28" s="349"/>
      <c r="OL28" s="349"/>
      <c r="ON28" s="442"/>
      <c r="OO28" s="1068" t="str">
        <f t="shared" si="1379"/>
        <v>#NAME?</v>
      </c>
      <c r="OP28" s="1076" t="s">
        <v>713</v>
      </c>
      <c r="OQ28" s="1358" t="str">
        <f t="shared" si="1380"/>
        <v>#NAME?</v>
      </c>
      <c r="OR28" s="1359" t="str">
        <f t="shared" si="1381"/>
        <v>#NAME?</v>
      </c>
      <c r="OS28" s="1368" t="s">
        <v>5020</v>
      </c>
      <c r="OU28" s="1096" t="str">
        <f t="shared" si="1292"/>
        <v>#NAME?</v>
      </c>
      <c r="OV28" s="1098" t="s">
        <v>3649</v>
      </c>
      <c r="OW28" s="1417" t="str">
        <f t="shared" si="1293"/>
        <v>#NAME?</v>
      </c>
      <c r="OX28" s="62" t="str">
        <f t="shared" si="1294"/>
        <v>#NAME?</v>
      </c>
      <c r="OY28" s="1423" t="s">
        <v>5022</v>
      </c>
      <c r="PA28" s="1266"/>
      <c r="PB28" s="1259" t="s">
        <v>5604</v>
      </c>
      <c r="PC28" s="12"/>
      <c r="PD28" s="962"/>
      <c r="PE28" s="1258" t="s">
        <v>4608</v>
      </c>
      <c r="PF28" s="442"/>
      <c r="PG28" s="1068" t="str">
        <f t="shared" si="1382"/>
        <v>#NAME?</v>
      </c>
      <c r="PH28" s="1076" t="s">
        <v>2798</v>
      </c>
      <c r="PI28" s="1358" t="str">
        <f t="shared" si="1383"/>
        <v>#NAME?</v>
      </c>
      <c r="PJ28" s="1359" t="str">
        <f t="shared" si="1384"/>
        <v>#NAME?</v>
      </c>
      <c r="PK28" s="1368" t="s">
        <v>5022</v>
      </c>
      <c r="PO28" s="349"/>
      <c r="PP28" s="349"/>
      <c r="PR28" s="442"/>
      <c r="PS28" s="961" t="s">
        <v>5605</v>
      </c>
      <c r="PT28" s="12"/>
      <c r="PU28" s="12"/>
      <c r="PV28" s="48"/>
      <c r="PX28" s="442"/>
      <c r="PY28" s="1027" t="str">
        <f t="shared" si="1385"/>
        <v>#NAME?</v>
      </c>
      <c r="PZ28" s="1340" t="s">
        <v>4225</v>
      </c>
      <c r="QA28" s="1360" t="str">
        <f t="shared" si="1386"/>
        <v>#NAME?</v>
      </c>
      <c r="QB28" s="1361" t="str">
        <f t="shared" si="1387"/>
        <v>#NAME?</v>
      </c>
      <c r="QC28" s="1376" t="s">
        <v>5023</v>
      </c>
      <c r="QD28" s="442"/>
      <c r="QE28" s="1159" t="str">
        <f t="shared" si="1142"/>
        <v>#NAME?</v>
      </c>
      <c r="QF28" s="1453" t="s">
        <v>3649</v>
      </c>
      <c r="QG28" s="1497" t="str">
        <f t="shared" si="1143"/>
        <v>#NAME?</v>
      </c>
      <c r="QH28" s="1498" t="str">
        <f t="shared" si="1144"/>
        <v>#NAME?</v>
      </c>
      <c r="QI28" s="1504" t="s">
        <v>5031</v>
      </c>
      <c r="QJ28" s="442"/>
      <c r="QK28" s="1096" t="str">
        <f t="shared" si="1196"/>
        <v>#NAME?</v>
      </c>
      <c r="QL28" s="1098" t="s">
        <v>2519</v>
      </c>
      <c r="QM28" s="1013" t="str">
        <f t="shared" si="1197"/>
        <v>#NAME?</v>
      </c>
      <c r="QN28" s="1015" t="str">
        <f t="shared" si="1198"/>
        <v>#NAME?</v>
      </c>
      <c r="QO28" s="1414" t="s">
        <v>5031</v>
      </c>
      <c r="QP28" s="442"/>
      <c r="QQ28" s="1096" t="str">
        <f t="shared" si="1199"/>
        <v>#NAME?</v>
      </c>
      <c r="QR28" s="1098" t="s">
        <v>3196</v>
      </c>
      <c r="QS28" s="1013" t="str">
        <f t="shared" si="1200"/>
        <v>#NAME?</v>
      </c>
      <c r="QT28" s="1015" t="str">
        <f t="shared" si="1201"/>
        <v>#NAME?</v>
      </c>
      <c r="QU28" s="1414" t="s">
        <v>5033</v>
      </c>
      <c r="QW28" s="1096" t="str">
        <f t="shared" si="1202"/>
        <v>#NAME?</v>
      </c>
      <c r="QX28" s="1098" t="s">
        <v>82</v>
      </c>
      <c r="QY28" s="1013" t="str">
        <f t="shared" si="1203"/>
        <v>#NAME?</v>
      </c>
      <c r="QZ28" s="1015" t="str">
        <f t="shared" si="1204"/>
        <v>#NAME?</v>
      </c>
      <c r="RA28" s="1414" t="s">
        <v>5112</v>
      </c>
      <c r="RB28" s="442"/>
      <c r="RC28" s="1096" t="str">
        <f t="shared" si="1205"/>
        <v>#NAME?</v>
      </c>
      <c r="RD28" s="1098" t="s">
        <v>3978</v>
      </c>
      <c r="RE28" s="1013" t="str">
        <f t="shared" si="1206"/>
        <v>#NAME?</v>
      </c>
      <c r="RF28" s="1015" t="str">
        <f t="shared" si="1207"/>
        <v>#NAME?</v>
      </c>
      <c r="RG28" s="1414" t="s">
        <v>5113</v>
      </c>
      <c r="RH28" s="442"/>
      <c r="RI28" s="1096" t="str">
        <f t="shared" si="1208"/>
        <v>#NAME?</v>
      </c>
      <c r="RJ28" s="1098" t="s">
        <v>4210</v>
      </c>
      <c r="RK28" s="1013" t="str">
        <f t="shared" si="1209"/>
        <v>#NAME?</v>
      </c>
      <c r="RL28" s="1015" t="str">
        <f t="shared" si="1210"/>
        <v>#NAME?</v>
      </c>
      <c r="RM28" s="1414" t="s">
        <v>5092</v>
      </c>
      <c r="RO28" s="983" t="str">
        <f t="shared" ref="RO28:RO30" si="1436">MONICON21(RP28)</f>
        <v>#NAME?</v>
      </c>
      <c r="RP28" s="1301" t="s">
        <v>903</v>
      </c>
      <c r="RQ28" s="1311" t="str">
        <f t="shared" ref="RQ28:RQ30" si="1437">MONTYPEICON1(RP28)</f>
        <v>#NAME?</v>
      </c>
      <c r="RR28" s="1312" t="str">
        <f t="shared" ref="RR28:RR30" si="1438">MONTYPEICON2(RP28)</f>
        <v>#NAME?</v>
      </c>
      <c r="RS28" s="1318" t="s">
        <v>5112</v>
      </c>
      <c r="RT28" s="442"/>
      <c r="RW28" s="349"/>
      <c r="RX28" s="349"/>
      <c r="RZ28" s="442"/>
      <c r="SA28" s="1094" t="str">
        <f t="shared" si="1295"/>
        <v>#NAME?</v>
      </c>
      <c r="SB28" s="1127" t="s">
        <v>2970</v>
      </c>
      <c r="SC28" s="1420" t="str">
        <f t="shared" si="1296"/>
        <v>#NAME?</v>
      </c>
      <c r="SD28" s="475" t="str">
        <f t="shared" si="1297"/>
        <v>#NAME?</v>
      </c>
      <c r="SE28" s="1422" t="s">
        <v>5112</v>
      </c>
      <c r="SF28" s="442"/>
      <c r="SG28" s="1068" t="str">
        <f t="shared" si="1388"/>
        <v>#NAME?</v>
      </c>
      <c r="SH28" s="1076" t="s">
        <v>635</v>
      </c>
      <c r="SI28" s="1358" t="str">
        <f t="shared" si="1389"/>
        <v>#NAME?</v>
      </c>
      <c r="SJ28" s="1359" t="str">
        <f t="shared" si="1390"/>
        <v>#NAME?</v>
      </c>
      <c r="SK28" s="1368" t="s">
        <v>5024</v>
      </c>
      <c r="SL28" s="442"/>
      <c r="SO28" s="349"/>
      <c r="SP28" s="349"/>
      <c r="SS28" s="1096" t="str">
        <f t="shared" si="1301"/>
        <v>#NAME?</v>
      </c>
      <c r="ST28" s="1157" t="s">
        <v>1968</v>
      </c>
      <c r="SU28" s="1013" t="str">
        <f t="shared" si="1302"/>
        <v>#NAME?</v>
      </c>
      <c r="SV28" s="1015" t="str">
        <f t="shared" si="1303"/>
        <v>#NAME?</v>
      </c>
      <c r="SW28" s="1321" t="s">
        <v>5024</v>
      </c>
      <c r="SY28" s="1096" t="str">
        <f t="shared" si="1304"/>
        <v>#NAME?</v>
      </c>
      <c r="SZ28" s="1157" t="s">
        <v>1808</v>
      </c>
      <c r="TA28" s="1013" t="str">
        <f t="shared" si="1305"/>
        <v>#NAME?</v>
      </c>
      <c r="TB28" s="1015" t="str">
        <f t="shared" si="1306"/>
        <v>#NAME?</v>
      </c>
      <c r="TC28" s="1321" t="s">
        <v>5024</v>
      </c>
      <c r="TD28" s="65"/>
      <c r="TE28" s="1346" t="str">
        <f t="shared" si="1145"/>
        <v>#NAME?</v>
      </c>
      <c r="TF28" s="1370" t="s">
        <v>3941</v>
      </c>
      <c r="TG28" s="1348" t="str">
        <f t="shared" si="1146"/>
        <v>#NAME?</v>
      </c>
      <c r="TH28" s="1349" t="str">
        <f t="shared" si="1147"/>
        <v>#NAME?</v>
      </c>
      <c r="TI28" s="1371" t="s">
        <v>5026</v>
      </c>
      <c r="TK28" s="1068" t="str">
        <f t="shared" si="1391"/>
        <v>#NAME?</v>
      </c>
      <c r="TL28" s="1076" t="s">
        <v>2091</v>
      </c>
      <c r="TM28" s="1358" t="str">
        <f t="shared" si="1392"/>
        <v>#NAME?</v>
      </c>
      <c r="TN28" s="1359" t="str">
        <f t="shared" si="1393"/>
        <v>#NAME?</v>
      </c>
      <c r="TO28" s="1368" t="s">
        <v>5026</v>
      </c>
      <c r="TP28" s="442"/>
      <c r="TQ28" s="1068" t="str">
        <f t="shared" si="1394"/>
        <v>#NAME?</v>
      </c>
      <c r="TR28" s="1076" t="s">
        <v>742</v>
      </c>
      <c r="TS28" s="1358" t="str">
        <f t="shared" si="1395"/>
        <v>#NAME?</v>
      </c>
      <c r="TT28" s="1359" t="str">
        <f t="shared" si="1396"/>
        <v>#NAME?</v>
      </c>
      <c r="TU28" s="1368" t="s">
        <v>5026</v>
      </c>
      <c r="TW28" s="1033" t="str">
        <f t="shared" si="1307"/>
        <v>#NAME?</v>
      </c>
      <c r="TX28" s="1098" t="s">
        <v>4183</v>
      </c>
      <c r="TY28" s="1013" t="str">
        <f t="shared" si="1308"/>
        <v>#NAME?</v>
      </c>
      <c r="TZ28" s="1015" t="str">
        <f t="shared" si="1309"/>
        <v>#NAME?</v>
      </c>
      <c r="UA28" s="1414" t="s">
        <v>5228</v>
      </c>
      <c r="UO28" s="1383" t="str">
        <f t="shared" si="1397"/>
        <v>#NAME?</v>
      </c>
      <c r="UP28" s="1384" t="s">
        <v>2625</v>
      </c>
      <c r="UQ28" s="1383" t="str">
        <f t="shared" si="1398"/>
        <v>#NAME?</v>
      </c>
      <c r="UR28" s="1385" t="str">
        <f t="shared" si="1399"/>
        <v>#NAME?</v>
      </c>
      <c r="US28" s="1386" t="s">
        <v>5118</v>
      </c>
      <c r="UU28" s="1383" t="str">
        <f t="shared" si="1400"/>
        <v>#NAME?</v>
      </c>
      <c r="UV28" s="1384" t="s">
        <v>1073</v>
      </c>
      <c r="UW28" s="1383" t="str">
        <f t="shared" si="1401"/>
        <v>#NAME?</v>
      </c>
      <c r="UX28" s="1385" t="str">
        <f t="shared" si="1402"/>
        <v>#NAME?</v>
      </c>
      <c r="UY28" s="1386" t="s">
        <v>5028</v>
      </c>
      <c r="VA28" s="1033" t="str">
        <f t="shared" ref="VA28:VA29" si="1439">MONICON21(VB28)</f>
        <v>#NAME?</v>
      </c>
      <c r="VB28" s="21" t="s">
        <v>3879</v>
      </c>
      <c r="VC28" s="977" t="str">
        <f t="shared" ref="VC28:VC29" si="1440">MONTYPEICON1(VB28)</f>
        <v>#NAME?</v>
      </c>
      <c r="VD28" s="980" t="str">
        <f t="shared" ref="VD28:VD29" si="1441">MONTYPEICON2(VB28)</f>
        <v>#NAME?</v>
      </c>
      <c r="VE28" s="1302" t="s">
        <v>5030</v>
      </c>
      <c r="VL28" s="442"/>
      <c r="VM28" s="1387" t="str">
        <f t="shared" si="1403"/>
        <v>#NAME?</v>
      </c>
      <c r="VN28" s="1388" t="s">
        <v>1865</v>
      </c>
      <c r="VO28" s="1387" t="str">
        <f t="shared" si="1404"/>
        <v>#NAME?</v>
      </c>
      <c r="VP28" s="1392" t="str">
        <f t="shared" si="1405"/>
        <v>#NAME?</v>
      </c>
      <c r="VQ28" s="1391" t="s">
        <v>1043</v>
      </c>
      <c r="VR28" s="442"/>
      <c r="VS28" s="1289" t="s">
        <v>4819</v>
      </c>
      <c r="VT28" s="12"/>
      <c r="VU28" s="12"/>
      <c r="VV28" s="12"/>
      <c r="VW28" s="48"/>
      <c r="VX28" s="442"/>
      <c r="VY28" s="1033" t="str">
        <f t="shared" ref="VY28:VY29" si="1442">MONICON21(VZ28)</f>
        <v>#NAME?</v>
      </c>
      <c r="VZ28" s="1301" t="s">
        <v>3649</v>
      </c>
      <c r="WA28" s="977" t="str">
        <f t="shared" ref="WA28:WA29" si="1443">MONTYPEICON1(VZ28)</f>
        <v>#NAME?</v>
      </c>
      <c r="WB28" s="980" t="str">
        <f t="shared" ref="WB28:WB29" si="1444">MONTYPEICON2(VZ28)</f>
        <v>#NAME?</v>
      </c>
      <c r="WC28" s="1302" t="s">
        <v>5031</v>
      </c>
      <c r="WD28" s="442"/>
      <c r="WE28" s="963" t="s">
        <v>5315</v>
      </c>
      <c r="WF28" s="12"/>
      <c r="WG28" s="12"/>
      <c r="WH28" s="962"/>
      <c r="WI28" s="1611"/>
      <c r="WJ28" s="442"/>
      <c r="WK28" s="1472"/>
      <c r="WL28" s="1291" t="s">
        <v>5606</v>
      </c>
      <c r="WM28" s="12"/>
      <c r="WN28" s="962"/>
      <c r="WO28" s="1292" t="s">
        <v>4608</v>
      </c>
      <c r="WP28" s="442"/>
      <c r="WQ28" s="1051" t="str">
        <f t="shared" si="1313"/>
        <v>#NAME?</v>
      </c>
      <c r="WR28" s="1127" t="s">
        <v>2232</v>
      </c>
      <c r="WS28" s="1051" t="str">
        <f t="shared" si="1314"/>
        <v>#NAME?</v>
      </c>
      <c r="WT28" s="1131" t="str">
        <f t="shared" si="1315"/>
        <v>#NAME?</v>
      </c>
      <c r="WU28" s="1095" t="s">
        <v>5034</v>
      </c>
      <c r="WV28" s="442"/>
      <c r="WW28" s="1483"/>
      <c r="WX28" s="1291" t="s">
        <v>5607</v>
      </c>
      <c r="WY28" s="12"/>
      <c r="WZ28" s="962"/>
      <c r="XA28" s="1292" t="s">
        <v>4608</v>
      </c>
      <c r="XB28" s="442"/>
      <c r="XC28" s="977" t="str">
        <f t="shared" ref="XC28:XC33" si="1445">MONICON21(XD28)</f>
        <v>#NAME?</v>
      </c>
      <c r="XD28" s="1301" t="s">
        <v>2251</v>
      </c>
      <c r="XE28" s="977" t="str">
        <f t="shared" ref="XE28:XE33" si="1446">MONTYPEICON1(XD28)</f>
        <v>#NAME?</v>
      </c>
      <c r="XF28" s="980" t="str">
        <f t="shared" ref="XF28:XF33" si="1447">MONTYPEICON2(XD28)</f>
        <v>#NAME?</v>
      </c>
      <c r="XG28" s="1321" t="s">
        <v>5410</v>
      </c>
      <c r="XH28" s="442"/>
      <c r="XI28" s="1295" t="s">
        <v>4530</v>
      </c>
      <c r="XJ28" s="12"/>
      <c r="XK28" s="12"/>
      <c r="XL28" s="12"/>
      <c r="XM28" s="48"/>
      <c r="XN28" s="442"/>
      <c r="XO28" s="1294"/>
      <c r="XP28" s="1291" t="s">
        <v>5608</v>
      </c>
      <c r="XQ28" s="12"/>
      <c r="XR28" s="962"/>
      <c r="XS28" s="1292" t="s">
        <v>4608</v>
      </c>
      <c r="XT28" s="442"/>
      <c r="XU28" s="442"/>
      <c r="XV28" s="442"/>
      <c r="XW28" s="442"/>
      <c r="XX28" s="442"/>
      <c r="XY28" s="442"/>
      <c r="XZ28" s="442"/>
      <c r="YA28" s="1051" t="str">
        <f t="shared" si="1316"/>
        <v>#NAME?</v>
      </c>
      <c r="YB28" s="1127" t="s">
        <v>4174</v>
      </c>
      <c r="YC28" s="1051" t="str">
        <f t="shared" si="1317"/>
        <v>#NAME?</v>
      </c>
      <c r="YD28" s="1131" t="str">
        <f t="shared" si="1318"/>
        <v>#NAME?</v>
      </c>
      <c r="YE28" s="1095" t="s">
        <v>5031</v>
      </c>
      <c r="YF28" s="442"/>
      <c r="YG28" s="1051" t="str">
        <f t="shared" si="1319"/>
        <v>#NAME?</v>
      </c>
      <c r="YH28" s="1127" t="s">
        <v>1292</v>
      </c>
      <c r="YI28" s="1051" t="str">
        <f t="shared" si="1320"/>
        <v>#NAME?</v>
      </c>
      <c r="YJ28" s="1131" t="str">
        <f t="shared" si="1321"/>
        <v>#NAME?</v>
      </c>
      <c r="YK28" s="1095" t="s">
        <v>5031</v>
      </c>
      <c r="YL28" s="442"/>
      <c r="YM28" s="1612" t="s">
        <v>4841</v>
      </c>
      <c r="YN28" s="12"/>
      <c r="YO28" s="12"/>
      <c r="YP28" s="12"/>
      <c r="YQ28" s="962"/>
      <c r="YR28" s="442"/>
      <c r="YU28" s="349"/>
      <c r="YV28" s="349"/>
      <c r="YX28" s="442"/>
      <c r="ZA28" s="349"/>
      <c r="ZB28" s="349"/>
      <c r="ZD28" s="442"/>
      <c r="ZE28" s="977" t="str">
        <f t="shared" ref="ZE28:ZE30" si="1448">MONICON21(ZF28)</f>
        <v>#NAME?</v>
      </c>
      <c r="ZF28" s="1301" t="s">
        <v>3722</v>
      </c>
      <c r="ZG28" s="977" t="str">
        <f t="shared" ref="ZG28:ZG30" si="1449">MONTYPEICON1(ZF28)</f>
        <v>#NAME?</v>
      </c>
      <c r="ZH28" s="980" t="str">
        <f t="shared" ref="ZH28:ZH30" si="1450">MONTYPEICON2(ZF28)</f>
        <v>#NAME?</v>
      </c>
      <c r="ZI28" s="1303" t="s">
        <v>5025</v>
      </c>
      <c r="ZJ28" s="442"/>
      <c r="ZK28" s="1294"/>
      <c r="ZL28" s="1291" t="s">
        <v>5609</v>
      </c>
      <c r="ZM28" s="12"/>
      <c r="ZN28" s="962"/>
      <c r="ZO28" s="1292" t="s">
        <v>4608</v>
      </c>
      <c r="ZP28" s="442"/>
      <c r="ZQ28" s="963" t="s">
        <v>4552</v>
      </c>
      <c r="ZR28" s="12"/>
      <c r="ZS28" s="12"/>
      <c r="ZT28" s="12"/>
      <c r="ZU28" s="48"/>
      <c r="ZV28" s="442"/>
      <c r="ZW28" s="108"/>
      <c r="ZX28" s="442"/>
      <c r="ZY28" s="108"/>
      <c r="ZZ28" s="108"/>
      <c r="AAA28" s="442"/>
      <c r="AAB28" s="442"/>
      <c r="AAC28" s="349"/>
      <c r="AAE28" s="349"/>
      <c r="AAF28" s="349"/>
      <c r="AAH28" s="442"/>
      <c r="AAI28" s="1033" t="str">
        <f t="shared" si="1325"/>
        <v>#NAME?</v>
      </c>
      <c r="AAJ28" s="1098" t="s">
        <v>1452</v>
      </c>
      <c r="AAK28" s="1013" t="str">
        <f t="shared" si="1326"/>
        <v>#NAME?</v>
      </c>
      <c r="AAL28" s="1015" t="str">
        <f t="shared" si="1327"/>
        <v>#NAME?</v>
      </c>
      <c r="AAM28" s="1423" t="s">
        <v>5227</v>
      </c>
      <c r="AAO28" s="1033" t="str">
        <f t="shared" si="1328"/>
        <v>#NAME?</v>
      </c>
      <c r="AAP28" s="1098" t="s">
        <v>474</v>
      </c>
      <c r="AAQ28" s="1013" t="str">
        <f t="shared" si="1329"/>
        <v>#NAME?</v>
      </c>
      <c r="AAR28" s="1015" t="str">
        <f t="shared" si="1330"/>
        <v>#NAME?</v>
      </c>
      <c r="AAS28" s="1423" t="s">
        <v>5117</v>
      </c>
      <c r="AAU28" s="1033" t="str">
        <f t="shared" si="1331"/>
        <v>#NAME?</v>
      </c>
      <c r="AAV28" s="1098" t="s">
        <v>2030</v>
      </c>
      <c r="AAW28" s="1013" t="str">
        <f t="shared" si="1332"/>
        <v>#NAME?</v>
      </c>
      <c r="AAX28" s="1015" t="str">
        <f t="shared" si="1333"/>
        <v>#NAME?</v>
      </c>
      <c r="AAY28" s="1423" t="s">
        <v>5117</v>
      </c>
      <c r="ABA28" s="1033" t="str">
        <f t="shared" si="1334"/>
        <v>#NAME?</v>
      </c>
      <c r="ABB28" s="1098" t="s">
        <v>1816</v>
      </c>
      <c r="ABC28" s="1013" t="str">
        <f t="shared" si="1335"/>
        <v>#NAME?</v>
      </c>
      <c r="ABD28" s="1015" t="str">
        <f t="shared" si="1336"/>
        <v>#NAME?</v>
      </c>
      <c r="ABE28" s="1423" t="s">
        <v>5036</v>
      </c>
      <c r="ABG28" s="1033" t="str">
        <f t="shared" si="1337"/>
        <v>#NAME?</v>
      </c>
      <c r="ABH28" s="1098" t="s">
        <v>1788</v>
      </c>
      <c r="ABI28" s="1013" t="str">
        <f t="shared" si="1338"/>
        <v>#NAME?</v>
      </c>
      <c r="ABJ28" s="1015" t="str">
        <f t="shared" si="1339"/>
        <v>#NAME?</v>
      </c>
      <c r="ABK28" s="1423" t="s">
        <v>5036</v>
      </c>
      <c r="ABM28" s="1033" t="str">
        <f t="shared" si="1340"/>
        <v>#NAME?</v>
      </c>
      <c r="ABN28" s="1098" t="s">
        <v>3291</v>
      </c>
      <c r="ABO28" s="1013" t="str">
        <f t="shared" si="1341"/>
        <v>#NAME?</v>
      </c>
      <c r="ABP28" s="1015" t="str">
        <f t="shared" si="1342"/>
        <v>#NAME?</v>
      </c>
      <c r="ABQ28" s="1423" t="s">
        <v>5036</v>
      </c>
      <c r="ABS28" s="1033" t="str">
        <f t="shared" si="1343"/>
        <v>#NAME?</v>
      </c>
      <c r="ABT28" s="1098" t="s">
        <v>3628</v>
      </c>
      <c r="ABU28" s="1013" t="str">
        <f t="shared" si="1344"/>
        <v>#NAME?</v>
      </c>
      <c r="ABV28" s="1015" t="str">
        <f t="shared" si="1345"/>
        <v>#NAME?</v>
      </c>
      <c r="ABW28" s="1423" t="s">
        <v>5176</v>
      </c>
      <c r="ABY28" s="1613"/>
      <c r="ABZ28" s="1474" t="s">
        <v>5610</v>
      </c>
      <c r="ACA28" s="1475"/>
      <c r="ACB28" s="1476"/>
      <c r="ACC28" s="1477" t="s">
        <v>4608</v>
      </c>
      <c r="ACJ28" s="996"/>
    </row>
    <row r="29" ht="15.75" customHeight="1">
      <c r="A29" s="1230"/>
      <c r="B29" s="1444"/>
      <c r="C29" s="1445"/>
      <c r="D29" s="1446"/>
      <c r="E29" s="1230"/>
      <c r="F29" s="1238"/>
      <c r="G29" s="1254"/>
      <c r="H29" s="1230"/>
      <c r="I29" s="1053" t="str">
        <f>MONICON21(J29)</f>
        <v>#NAME?</v>
      </c>
      <c r="J29" s="996" t="s">
        <v>3587</v>
      </c>
      <c r="K29" s="985" t="str">
        <f>MONTYPEICON1(J29)</f>
        <v>#NAME?</v>
      </c>
      <c r="L29" s="1052" t="str">
        <f>MONTYPEICON2(J29)</f>
        <v>#NAME?</v>
      </c>
      <c r="M29" s="1578" t="s">
        <v>5456</v>
      </c>
      <c r="N29" s="1230"/>
      <c r="O29" s="1071" t="str">
        <f t="shared" si="1406"/>
        <v>#NAME?</v>
      </c>
      <c r="P29" s="1076" t="s">
        <v>53</v>
      </c>
      <c r="Q29" s="1071" t="str">
        <f t="shared" si="1407"/>
        <v>#NAME?</v>
      </c>
      <c r="R29" s="1073" t="str">
        <f t="shared" si="1408"/>
        <v>#NAME?</v>
      </c>
      <c r="S29" s="1093" t="s">
        <v>5588</v>
      </c>
      <c r="T29" s="1230"/>
      <c r="U29" s="1255"/>
      <c r="V29" s="1259" t="s">
        <v>5611</v>
      </c>
      <c r="W29" s="12"/>
      <c r="X29" s="962"/>
      <c r="Y29" s="1258" t="s">
        <v>4608</v>
      </c>
      <c r="Z29" s="1230"/>
      <c r="AA29" s="1051" t="str">
        <f t="shared" si="1346"/>
        <v>#NAME?</v>
      </c>
      <c r="AB29" s="1127" t="s">
        <v>2426</v>
      </c>
      <c r="AC29" s="1051" t="str">
        <f t="shared" si="1347"/>
        <v>#NAME?</v>
      </c>
      <c r="AD29" s="1131" t="str">
        <f t="shared" si="1348"/>
        <v>#NAME?</v>
      </c>
      <c r="AE29" s="1095" t="s">
        <v>5130</v>
      </c>
      <c r="AF29" s="1230"/>
      <c r="AL29" s="1230"/>
      <c r="AM29" s="442"/>
      <c r="AN29" s="442"/>
      <c r="AO29" s="442"/>
      <c r="AP29" s="442"/>
      <c r="AQ29" s="108"/>
      <c r="AR29" s="1230"/>
      <c r="AS29" s="1331"/>
      <c r="AT29" s="1307" t="s">
        <v>4908</v>
      </c>
      <c r="AU29" s="12"/>
      <c r="AV29" s="962"/>
      <c r="AW29" s="1282" t="s">
        <v>4608</v>
      </c>
      <c r="AX29" s="1230"/>
      <c r="AY29" s="1033" t="str">
        <f t="shared" ref="AY29:AY30" si="1451">MONICON21(AZ29)</f>
        <v>#NAME?</v>
      </c>
      <c r="AZ29" s="1407" t="s">
        <v>3865</v>
      </c>
      <c r="BA29" s="977" t="str">
        <f t="shared" ref="BA29:BA30" si="1452">MONTYPEICON1(AZ29)</f>
        <v>#NAME?</v>
      </c>
      <c r="BB29" s="980" t="str">
        <f t="shared" ref="BB29:BB30" si="1453">MONTYPEICON2(AZ29)</f>
        <v>#NAME?</v>
      </c>
      <c r="BC29" s="1408" t="s">
        <v>5337</v>
      </c>
      <c r="BD29" s="1230"/>
      <c r="BE29" s="1071" t="str">
        <f t="shared" si="1409"/>
        <v>#NAME?</v>
      </c>
      <c r="BF29" s="1356" t="s">
        <v>1082</v>
      </c>
      <c r="BG29" s="1071" t="str">
        <f t="shared" si="1410"/>
        <v>#NAME?</v>
      </c>
      <c r="BH29" s="1073" t="str">
        <f t="shared" si="1411"/>
        <v>#NAME?</v>
      </c>
      <c r="BI29" s="1338" t="s">
        <v>5314</v>
      </c>
      <c r="BJ29" s="1230"/>
      <c r="BK29" s="961" t="s">
        <v>5612</v>
      </c>
      <c r="BL29" s="12"/>
      <c r="BM29" s="12"/>
      <c r="BN29" s="12"/>
      <c r="BO29" s="48"/>
      <c r="BP29" s="442"/>
      <c r="BV29" s="442"/>
      <c r="BW29" s="1021" t="str">
        <f t="shared" si="1412"/>
        <v>#NAME?</v>
      </c>
      <c r="BX29" s="1377" t="s">
        <v>3072</v>
      </c>
      <c r="BY29" s="1021" t="str">
        <f t="shared" si="1413"/>
        <v>#NAME?</v>
      </c>
      <c r="BZ29" s="1024" t="str">
        <f t="shared" si="1414"/>
        <v>#NAME?</v>
      </c>
      <c r="CA29" s="1575" t="s">
        <v>4995</v>
      </c>
      <c r="CB29" s="442"/>
      <c r="CH29" s="442"/>
      <c r="CI29" s="1049" t="str">
        <f>MONICON21(CJ29)</f>
        <v>#NAME?</v>
      </c>
      <c r="CJ29" s="1590" t="s">
        <v>1714</v>
      </c>
      <c r="CK29" s="1092" t="str">
        <f>MONTYPEICON1(CJ29)</f>
        <v>#NAME?</v>
      </c>
      <c r="CL29" s="987" t="str">
        <f>MONTYPEICON2(CJ29)</f>
        <v>#NAME?</v>
      </c>
      <c r="CM29" s="1309" t="s">
        <v>4996</v>
      </c>
      <c r="CN29" s="442"/>
      <c r="CO29" s="1012" t="str">
        <f t="shared" ref="CO29:CO31" si="1454">MONICON21(CP29)</f>
        <v>#NAME?</v>
      </c>
      <c r="CP29" s="1304" t="s">
        <v>2575</v>
      </c>
      <c r="CQ29" s="977" t="str">
        <f t="shared" ref="CQ29:CQ31" si="1455">MONTYPEICON1(CP29)</f>
        <v>#NAME?</v>
      </c>
      <c r="CR29" s="980" t="str">
        <f t="shared" ref="CR29:CR31" si="1456">MONTYPEICON2(CP29)</f>
        <v>#NAME?</v>
      </c>
      <c r="CS29" s="1305" t="s">
        <v>4994</v>
      </c>
      <c r="CT29" s="442"/>
      <c r="CU29" s="1012" t="str">
        <f t="shared" ref="CU29:CU30" si="1457">MONICON21(CV29)</f>
        <v>#NAME?</v>
      </c>
      <c r="CV29" s="1304" t="s">
        <v>643</v>
      </c>
      <c r="CW29" s="977" t="str">
        <f t="shared" ref="CW29:CW30" si="1458">MONTYPEICON1(CV29)</f>
        <v>#NAME?</v>
      </c>
      <c r="CX29" s="980" t="str">
        <f t="shared" ref="CX29:CX30" si="1459">MONTYPEICON2(CV29)</f>
        <v>#NAME?</v>
      </c>
      <c r="CY29" s="1305" t="s">
        <v>4999</v>
      </c>
      <c r="CZ29" s="442"/>
      <c r="DA29" s="1193" t="str">
        <f t="shared" si="1415"/>
        <v>#NAME?</v>
      </c>
      <c r="DB29" s="1335" t="s">
        <v>383</v>
      </c>
      <c r="DC29" s="1146" t="str">
        <f t="shared" si="1416"/>
        <v>#NAME?</v>
      </c>
      <c r="DD29" s="1148" t="str">
        <f t="shared" si="1417"/>
        <v>#NAME?</v>
      </c>
      <c r="DE29" s="1336" t="s">
        <v>4999</v>
      </c>
      <c r="DG29" s="1027" t="str">
        <f t="shared" si="1418"/>
        <v>#NAME?</v>
      </c>
      <c r="DH29" s="1340" t="s">
        <v>474</v>
      </c>
      <c r="DI29" s="1341" t="str">
        <f t="shared" si="1419"/>
        <v>#NAME?</v>
      </c>
      <c r="DJ29" s="1342" t="str">
        <f t="shared" si="1420"/>
        <v>#NAME?</v>
      </c>
      <c r="DK29" s="1343" t="s">
        <v>5000</v>
      </c>
      <c r="DL29" s="442"/>
      <c r="DM29" s="1049" t="str">
        <f>MONICON21(DN29)</f>
        <v>#NAME?</v>
      </c>
      <c r="DN29" s="1308" t="s">
        <v>831</v>
      </c>
      <c r="DO29" s="1092" t="str">
        <f>MONTYPEICON1(DN29)</f>
        <v>#NAME?</v>
      </c>
      <c r="DP29" s="987" t="str">
        <f>MONTYPEICON2(DN29)</f>
        <v>#NAME?</v>
      </c>
      <c r="DQ29" s="1309" t="s">
        <v>5201</v>
      </c>
      <c r="DR29" s="442"/>
      <c r="DS29" s="1283"/>
      <c r="DT29" s="1264" t="s">
        <v>5613</v>
      </c>
      <c r="DU29" s="12"/>
      <c r="DV29" s="962"/>
      <c r="DW29" s="1265" t="s">
        <v>4608</v>
      </c>
      <c r="DX29" s="1230"/>
      <c r="ED29" s="442"/>
      <c r="EE29" s="985" t="str">
        <f>MONICON21(EF29)</f>
        <v>#NAME?</v>
      </c>
      <c r="EF29" s="41" t="s">
        <v>3700</v>
      </c>
      <c r="EG29" s="1092" t="str">
        <f>MONTYPEICON1(EF29)</f>
        <v>#NAME?</v>
      </c>
      <c r="EH29" s="987" t="str">
        <f>MONTYPEICON2(EF29)</f>
        <v>#NAME?</v>
      </c>
      <c r="EI29" s="1091" t="s">
        <v>5045</v>
      </c>
      <c r="EJ29" s="1230"/>
      <c r="EK29" s="985" t="str">
        <f>MONICON21(EL29)</f>
        <v>#NAME?</v>
      </c>
      <c r="EL29" s="41" t="s">
        <v>2703</v>
      </c>
      <c r="EM29" s="1092" t="str">
        <f>MONTYPEICON1(EL29)</f>
        <v>#NAME?</v>
      </c>
      <c r="EN29" s="987" t="str">
        <f>MONTYPEICON2(EL29)</f>
        <v>#NAME?</v>
      </c>
      <c r="EO29" s="1091" t="s">
        <v>5045</v>
      </c>
      <c r="EP29" s="1230"/>
      <c r="EQ29" s="442"/>
      <c r="ER29" s="442"/>
      <c r="ES29" s="108"/>
      <c r="ET29" s="108"/>
      <c r="EU29" s="108"/>
      <c r="EV29" s="1230"/>
      <c r="EW29" s="1266"/>
      <c r="EX29" s="1256" t="s">
        <v>5614</v>
      </c>
      <c r="EY29" s="1257" t="s">
        <v>4888</v>
      </c>
      <c r="EZ29" s="962"/>
      <c r="FA29" s="1258" t="s">
        <v>4608</v>
      </c>
      <c r="FB29" s="442"/>
      <c r="FC29" s="1094" t="str">
        <f t="shared" si="1352"/>
        <v>#NAME?</v>
      </c>
      <c r="FD29" s="1127" t="s">
        <v>3810</v>
      </c>
      <c r="FE29" s="1051" t="str">
        <f t="shared" si="1353"/>
        <v>#NAME?</v>
      </c>
      <c r="FF29" s="1131" t="str">
        <f t="shared" si="1354"/>
        <v>#NAME?</v>
      </c>
      <c r="FG29" s="1095" t="s">
        <v>5078</v>
      </c>
      <c r="FH29" s="442"/>
      <c r="FI29" s="983" t="str">
        <f t="shared" ref="FI29:FI31" si="1460">MONICON21(FJ29)</f>
        <v>#NAME?</v>
      </c>
      <c r="FJ29" s="1304" t="s">
        <v>3970</v>
      </c>
      <c r="FK29" s="977" t="str">
        <f t="shared" ref="FK29:FK31" si="1461">MONTYPEICON1(FJ29)</f>
        <v>#NAME?</v>
      </c>
      <c r="FL29" s="980" t="str">
        <f t="shared" ref="FL29:FL31" si="1462">MONTYPEICON2(FJ29)</f>
        <v>#NAME?</v>
      </c>
      <c r="FM29" s="1305" t="s">
        <v>5078</v>
      </c>
      <c r="FN29" s="442"/>
      <c r="FO29" s="1012" t="str">
        <f t="shared" ref="FO29:FO30" si="1463">MONICON21(FP29)</f>
        <v>#NAME?</v>
      </c>
      <c r="FP29" s="1157" t="s">
        <v>3443</v>
      </c>
      <c r="FQ29" s="977" t="str">
        <f t="shared" ref="FQ29:FQ30" si="1464">MONTYPEICON1(FP29)</f>
        <v>#NAME?</v>
      </c>
      <c r="FR29" s="980" t="str">
        <f t="shared" ref="FR29:FR30" si="1465">MONTYPEICON2(FP29)</f>
        <v>#NAME?</v>
      </c>
      <c r="FS29" s="1303" t="s">
        <v>5078</v>
      </c>
      <c r="FT29" s="442"/>
      <c r="FU29" s="1094" t="str">
        <f t="shared" si="1355"/>
        <v>#NAME?</v>
      </c>
      <c r="FV29" s="1127" t="s">
        <v>3896</v>
      </c>
      <c r="FW29" s="1051" t="str">
        <f t="shared" si="1356"/>
        <v>#NAME?</v>
      </c>
      <c r="FX29" s="1131" t="str">
        <f t="shared" si="1357"/>
        <v>#NAME?</v>
      </c>
      <c r="FY29" s="1095" t="s">
        <v>5082</v>
      </c>
      <c r="FZ29" s="442"/>
      <c r="GC29" s="349"/>
      <c r="GD29" s="349"/>
      <c r="GF29" s="442"/>
      <c r="GG29" s="1068" t="str">
        <f t="shared" si="1421"/>
        <v>#NAME?</v>
      </c>
      <c r="GH29" s="1078" t="s">
        <v>3317</v>
      </c>
      <c r="GI29" s="1071" t="str">
        <f t="shared" si="1422"/>
        <v>#NAME?</v>
      </c>
      <c r="GJ29" s="1073" t="str">
        <f t="shared" si="1423"/>
        <v>#NAME?</v>
      </c>
      <c r="GK29" s="1093" t="s">
        <v>5001</v>
      </c>
      <c r="GL29" s="1230"/>
      <c r="GM29" s="1286"/>
      <c r="GN29" s="1259" t="s">
        <v>5615</v>
      </c>
      <c r="GO29" s="12"/>
      <c r="GP29" s="962"/>
      <c r="GQ29" s="1258" t="s">
        <v>4608</v>
      </c>
      <c r="GR29" s="65"/>
      <c r="GS29" s="1607"/>
      <c r="GT29" s="1259" t="s">
        <v>5616</v>
      </c>
      <c r="GU29" s="12"/>
      <c r="GV29" s="962"/>
      <c r="GW29" s="1258" t="s">
        <v>4608</v>
      </c>
      <c r="GX29" s="65"/>
      <c r="HA29" s="349"/>
      <c r="HB29" s="349"/>
      <c r="HC29" s="349"/>
      <c r="HD29" s="1230"/>
      <c r="HE29" s="1012" t="str">
        <f t="shared" ref="HE29:HE30" si="1466">MONICON21(HF29)</f>
        <v>#NAME?</v>
      </c>
      <c r="HF29" s="1157" t="s">
        <v>969</v>
      </c>
      <c r="HG29" s="977" t="str">
        <f t="shared" ref="HG29:HG30" si="1467">MONTYPEICON1(HF29)</f>
        <v>#NAME?</v>
      </c>
      <c r="HH29" s="980" t="str">
        <f t="shared" ref="HH29:HH30" si="1468">MONTYPEICON2(HF29)</f>
        <v>#NAME?</v>
      </c>
      <c r="HI29" s="1303" t="s">
        <v>5034</v>
      </c>
      <c r="HJ29" s="1230"/>
      <c r="HM29" s="349"/>
      <c r="HN29" s="349"/>
      <c r="HP29" s="65"/>
      <c r="HQ29" s="1096" t="str">
        <f t="shared" si="1250"/>
        <v>#NAME?</v>
      </c>
      <c r="HR29" s="1304" t="s">
        <v>2954</v>
      </c>
      <c r="HS29" s="1418" t="str">
        <f t="shared" si="1251"/>
        <v>#NAME?</v>
      </c>
      <c r="HT29" s="1419" t="str">
        <f t="shared" si="1252"/>
        <v>#NAME?</v>
      </c>
      <c r="HU29" s="1303" t="s">
        <v>5084</v>
      </c>
      <c r="HY29" s="108"/>
      <c r="HZ29" s="349"/>
      <c r="IA29" s="349"/>
      <c r="IB29" s="65"/>
      <c r="IC29" s="1266"/>
      <c r="ID29" s="1256" t="s">
        <v>5617</v>
      </c>
      <c r="IE29" s="1257" t="s">
        <v>4888</v>
      </c>
      <c r="IF29" s="962"/>
      <c r="IG29" s="1258" t="s">
        <v>4608</v>
      </c>
      <c r="IH29" s="65"/>
      <c r="II29" s="1012" t="str">
        <f t="shared" si="1364"/>
        <v>#NAME?</v>
      </c>
      <c r="IJ29" s="1415" t="s">
        <v>2030</v>
      </c>
      <c r="IK29" s="1418" t="str">
        <f t="shared" si="1365"/>
        <v>#NAME?</v>
      </c>
      <c r="IL29" s="1419" t="str">
        <f t="shared" si="1366"/>
        <v>#NAME?</v>
      </c>
      <c r="IM29" s="1416" t="s">
        <v>5008</v>
      </c>
      <c r="IO29" s="1351" t="str">
        <f t="shared" si="1424"/>
        <v>#NAME?</v>
      </c>
      <c r="IP29" s="1366" t="s">
        <v>3926</v>
      </c>
      <c r="IQ29" s="1353" t="str">
        <f t="shared" si="1425"/>
        <v>#NAME?</v>
      </c>
      <c r="IR29" s="1354" t="str">
        <f t="shared" si="1426"/>
        <v>#NAME?</v>
      </c>
      <c r="IS29" s="1413" t="s">
        <v>5158</v>
      </c>
      <c r="IT29" s="1230"/>
      <c r="IU29" s="983" t="str">
        <f t="shared" ref="IU29:IU31" si="1469">MONICON21(IV29)</f>
        <v>#NAME?</v>
      </c>
      <c r="IV29" s="1315" t="s">
        <v>1343</v>
      </c>
      <c r="IW29" s="1311" t="str">
        <f t="shared" ref="IW29:IW31" si="1470">MONTYPEICON1(IV29)</f>
        <v>#NAME?</v>
      </c>
      <c r="IX29" s="1312" t="str">
        <f t="shared" ref="IX29:IX31" si="1471">MONTYPEICON2(IV29)</f>
        <v>#NAME?</v>
      </c>
      <c r="IY29" s="1316" t="s">
        <v>5084</v>
      </c>
      <c r="IZ29" s="442"/>
      <c r="JC29" s="349"/>
      <c r="JD29" s="349"/>
      <c r="JF29" s="442"/>
      <c r="JG29" s="1012" t="str">
        <f t="shared" ref="JG29:JG30" si="1472">MONICON21(JH29)</f>
        <v>#NAME?</v>
      </c>
      <c r="JH29" s="1157" t="s">
        <v>1264</v>
      </c>
      <c r="JI29" s="977" t="str">
        <f t="shared" ref="JI29:JI30" si="1473">MONTYPEICON1(JH29)</f>
        <v>#NAME?</v>
      </c>
      <c r="JJ29" s="980" t="str">
        <f t="shared" ref="JJ29:JJ30" si="1474">MONTYPEICON2(JH29)</f>
        <v>#NAME?</v>
      </c>
      <c r="JK29" s="1303" t="s">
        <v>5008</v>
      </c>
      <c r="JL29" s="442"/>
      <c r="JO29" s="349"/>
      <c r="JP29" s="349"/>
      <c r="JR29" s="442"/>
      <c r="JU29" s="349"/>
      <c r="JV29" s="349"/>
      <c r="JY29" s="961" t="s">
        <v>5618</v>
      </c>
      <c r="JZ29" s="12"/>
      <c r="KA29" s="12"/>
      <c r="KB29" s="12"/>
      <c r="KC29" s="48"/>
      <c r="KE29" s="1012" t="str">
        <f t="shared" ref="KE29:KE30" si="1475">MONICON21(KF29)</f>
        <v>#NAME?</v>
      </c>
      <c r="KF29" s="1301" t="s">
        <v>2251</v>
      </c>
      <c r="KG29" s="977" t="str">
        <f t="shared" ref="KG29:KG30" si="1476">MONTYPEICON1(KF29)</f>
        <v>#NAME?</v>
      </c>
      <c r="KH29" s="980" t="str">
        <f t="shared" ref="KH29:KH30" si="1477">MONTYPEICON2(KF29)</f>
        <v>#NAME?</v>
      </c>
      <c r="KI29" s="1303" t="s">
        <v>5010</v>
      </c>
      <c r="KJ29" s="65"/>
      <c r="KK29" s="65"/>
      <c r="KL29" s="65"/>
      <c r="KM29" s="108"/>
      <c r="KN29" s="349"/>
      <c r="KO29" s="349"/>
      <c r="KP29" s="65"/>
      <c r="KQ29" s="1094" t="str">
        <f t="shared" si="1367"/>
        <v>#NAME?</v>
      </c>
      <c r="KR29" s="1050" t="s">
        <v>3805</v>
      </c>
      <c r="KS29" s="1051" t="str">
        <f t="shared" si="1368"/>
        <v>#NAME?</v>
      </c>
      <c r="KT29" s="1131" t="str">
        <f t="shared" si="1369"/>
        <v>#NAME?</v>
      </c>
      <c r="KU29" s="1131" t="s">
        <v>5086</v>
      </c>
      <c r="KV29" s="65"/>
      <c r="KW29" s="1346" t="str">
        <f t="shared" si="1427"/>
        <v>#NAME?</v>
      </c>
      <c r="KX29" s="1370" t="s">
        <v>210</v>
      </c>
      <c r="KY29" s="1348" t="str">
        <f t="shared" si="1428"/>
        <v>#NAME?</v>
      </c>
      <c r="KZ29" s="1349" t="str">
        <f t="shared" si="1429"/>
        <v>#NAME?</v>
      </c>
      <c r="LA29" s="1371" t="s">
        <v>5086</v>
      </c>
      <c r="LB29" s="442"/>
      <c r="LC29" s="1094" t="str">
        <f t="shared" si="1370"/>
        <v>#NAME?</v>
      </c>
      <c r="LD29" s="1127" t="s">
        <v>1292</v>
      </c>
      <c r="LE29" s="1420" t="str">
        <f t="shared" si="1371"/>
        <v>#NAME?</v>
      </c>
      <c r="LF29" s="475" t="str">
        <f t="shared" si="1372"/>
        <v>#NAME?</v>
      </c>
      <c r="LG29" s="1422" t="s">
        <v>5013</v>
      </c>
      <c r="LI29" s="1068" t="str">
        <f t="shared" si="1430"/>
        <v>#NAME?</v>
      </c>
      <c r="LJ29" s="1076" t="s">
        <v>1572</v>
      </c>
      <c r="LK29" s="1358" t="str">
        <f t="shared" si="1431"/>
        <v>#NAME?</v>
      </c>
      <c r="LL29" s="1359" t="str">
        <f t="shared" si="1432"/>
        <v>#NAME?</v>
      </c>
      <c r="LM29" s="1368" t="s">
        <v>5015</v>
      </c>
      <c r="LO29" s="983" t="str">
        <f t="shared" ref="LO29:LO31" si="1478">MONICON21(LP29)</f>
        <v>#NAME?</v>
      </c>
      <c r="LP29" s="1301" t="s">
        <v>3350</v>
      </c>
      <c r="LQ29" s="977" t="str">
        <f t="shared" ref="LQ29:LQ31" si="1479">MONTYPEICON1(LP29)</f>
        <v>#NAME?</v>
      </c>
      <c r="LR29" s="980" t="str">
        <f t="shared" ref="LR29:LR31" si="1480">MONTYPEICON2(LP29)</f>
        <v>#NAME?</v>
      </c>
      <c r="LS29" s="1318" t="s">
        <v>5162</v>
      </c>
      <c r="LU29" s="961" t="s">
        <v>4762</v>
      </c>
      <c r="LV29" s="12"/>
      <c r="LW29" s="12"/>
      <c r="LX29" s="12"/>
      <c r="LY29" s="48"/>
      <c r="LZ29" s="442"/>
      <c r="MC29" s="349"/>
      <c r="MD29" s="349"/>
      <c r="MF29" s="442"/>
      <c r="MG29" s="1280"/>
      <c r="MH29" s="1281" t="s">
        <v>5394</v>
      </c>
      <c r="MI29" s="12"/>
      <c r="MJ29" s="962"/>
      <c r="MK29" s="1282" t="s">
        <v>4608</v>
      </c>
      <c r="ML29" s="442"/>
      <c r="MM29" s="1351" t="str">
        <f t="shared" si="1433"/>
        <v>#NAME?</v>
      </c>
      <c r="MN29" s="1372" t="s">
        <v>535</v>
      </c>
      <c r="MO29" s="1353" t="str">
        <f t="shared" si="1434"/>
        <v>#NAME?</v>
      </c>
      <c r="MP29" s="1354" t="str">
        <f t="shared" si="1435"/>
        <v>#NAME?</v>
      </c>
      <c r="MQ29" s="1367" t="s">
        <v>5015</v>
      </c>
      <c r="MS29" s="1346" t="str">
        <f t="shared" si="1289"/>
        <v>#NAME?</v>
      </c>
      <c r="MT29" s="1370" t="s">
        <v>1321</v>
      </c>
      <c r="MU29" s="1348" t="str">
        <f t="shared" si="1290"/>
        <v>#NAME?</v>
      </c>
      <c r="MV29" s="1349" t="str">
        <f t="shared" si="1291"/>
        <v>#NAME?</v>
      </c>
      <c r="MW29" s="1371" t="s">
        <v>5164</v>
      </c>
      <c r="MX29" s="442"/>
      <c r="MY29" s="1012" t="str">
        <f t="shared" si="1376"/>
        <v>#NAME?</v>
      </c>
      <c r="MZ29" s="1301" t="s">
        <v>2185</v>
      </c>
      <c r="NA29" s="1013" t="str">
        <f t="shared" si="1377"/>
        <v>#NAME?</v>
      </c>
      <c r="NB29" s="1015" t="str">
        <f t="shared" si="1378"/>
        <v>#NAME?</v>
      </c>
      <c r="NC29" s="1318" t="s">
        <v>5019</v>
      </c>
      <c r="ND29" s="442"/>
      <c r="NE29" s="985" t="str">
        <f>MONICON21(NF29)</f>
        <v>#NAME?</v>
      </c>
      <c r="NF29" s="1229" t="s">
        <v>1808</v>
      </c>
      <c r="NG29" s="1586" t="str">
        <f>MONTYPEICON1(NF29)</f>
        <v>#NAME?</v>
      </c>
      <c r="NH29" s="1587" t="str">
        <f>MONTYPEICON2(NF29)</f>
        <v>#NAME?</v>
      </c>
      <c r="NI29" s="1424" t="s">
        <v>5069</v>
      </c>
      <c r="NJ29" s="65"/>
      <c r="NK29" s="961" t="s">
        <v>5619</v>
      </c>
      <c r="NL29" s="12"/>
      <c r="NM29" s="12"/>
      <c r="NN29" s="12"/>
      <c r="NO29" s="48"/>
      <c r="NQ29" s="983" t="str">
        <f t="shared" ref="NQ29:NQ32" si="1481">MONICON21(NR29)</f>
        <v>#NAME?</v>
      </c>
      <c r="NR29" s="1301" t="s">
        <v>1778</v>
      </c>
      <c r="NS29" s="1313" t="str">
        <f t="shared" ref="NS29:NS32" si="1482">MONTYPEICON1(NR29)</f>
        <v>#NAME?</v>
      </c>
      <c r="NT29" s="1314" t="str">
        <f t="shared" ref="NT29:NT32" si="1483">MONTYPEICON2(NR29)</f>
        <v>#NAME?</v>
      </c>
      <c r="NU29" s="1318" t="s">
        <v>5018</v>
      </c>
      <c r="NV29" s="442"/>
      <c r="NW29" s="1266"/>
      <c r="NX29" s="1259" t="s">
        <v>5620</v>
      </c>
      <c r="NY29" s="12"/>
      <c r="NZ29" s="962"/>
      <c r="OA29" s="1258" t="s">
        <v>4608</v>
      </c>
      <c r="OB29" s="442"/>
      <c r="OC29" s="983" t="str">
        <f t="shared" ref="OC29:OC31" si="1484">MONICON21(OD29)</f>
        <v>#NAME?</v>
      </c>
      <c r="OD29" s="1301" t="s">
        <v>2544</v>
      </c>
      <c r="OE29" s="1311" t="str">
        <f t="shared" ref="OE29:OE31" si="1485">MONTYPEICON1(OD29)</f>
        <v>#NAME?</v>
      </c>
      <c r="OF29" s="1312" t="str">
        <f t="shared" ref="OF29:OF31" si="1486">MONTYPEICON2(OD29)</f>
        <v>#NAME?</v>
      </c>
      <c r="OG29" s="1318" t="s">
        <v>5019</v>
      </c>
      <c r="OH29" s="442"/>
      <c r="OI29" s="961" t="s">
        <v>5621</v>
      </c>
      <c r="OJ29" s="12"/>
      <c r="OK29" s="12"/>
      <c r="OL29" s="48"/>
      <c r="ON29" s="442"/>
      <c r="OO29" s="1096" t="str">
        <f t="shared" si="1379"/>
        <v>#NAME?</v>
      </c>
      <c r="OP29" s="1098" t="s">
        <v>1125</v>
      </c>
      <c r="OQ29" s="1417" t="str">
        <f t="shared" si="1380"/>
        <v>#NAME?</v>
      </c>
      <c r="OR29" s="62" t="str">
        <f t="shared" si="1381"/>
        <v>#NAME?</v>
      </c>
      <c r="OS29" s="1423" t="s">
        <v>5020</v>
      </c>
      <c r="OU29" s="1068" t="str">
        <f t="shared" si="1292"/>
        <v>#NAME?</v>
      </c>
      <c r="OV29" s="1076" t="s">
        <v>839</v>
      </c>
      <c r="OW29" s="1358" t="str">
        <f t="shared" si="1293"/>
        <v>#NAME?</v>
      </c>
      <c r="OX29" s="1359" t="str">
        <f t="shared" si="1294"/>
        <v>#NAME?</v>
      </c>
      <c r="OY29" s="1368" t="s">
        <v>5022</v>
      </c>
      <c r="PA29" s="983" t="str">
        <f t="shared" ref="PA29:PA31" si="1487">MONICON21(PB29)</f>
        <v>#NAME?</v>
      </c>
      <c r="PB29" s="1301" t="s">
        <v>3291</v>
      </c>
      <c r="PC29" s="1311" t="str">
        <f t="shared" ref="PC29:PC31" si="1488">MONTYPEICON1(PB29)</f>
        <v>#NAME?</v>
      </c>
      <c r="PD29" s="1312" t="str">
        <f t="shared" ref="PD29:PD31" si="1489">MONTYPEICON2(PB29)</f>
        <v>#NAME?</v>
      </c>
      <c r="PE29" s="1318" t="s">
        <v>5022</v>
      </c>
      <c r="PF29" s="442"/>
      <c r="PG29" s="1094" t="str">
        <f t="shared" si="1382"/>
        <v>#NAME?</v>
      </c>
      <c r="PH29" s="1127" t="s">
        <v>4250</v>
      </c>
      <c r="PI29" s="1420" t="str">
        <f t="shared" si="1383"/>
        <v>#NAME?</v>
      </c>
      <c r="PJ29" s="475" t="str">
        <f t="shared" si="1384"/>
        <v>#NAME?</v>
      </c>
      <c r="PK29" s="1422" t="s">
        <v>5022</v>
      </c>
      <c r="PM29" s="1266"/>
      <c r="PN29" s="1259" t="s">
        <v>5622</v>
      </c>
      <c r="PO29" s="12"/>
      <c r="PP29" s="962"/>
      <c r="PQ29" s="1258" t="s">
        <v>4608</v>
      </c>
      <c r="PR29" s="442"/>
      <c r="PU29" s="349"/>
      <c r="PV29" s="349"/>
      <c r="PX29" s="442"/>
      <c r="PY29" s="1012" t="str">
        <f t="shared" si="1385"/>
        <v>#NAME?</v>
      </c>
      <c r="PZ29" s="1098" t="s">
        <v>2030</v>
      </c>
      <c r="QA29" s="1418" t="str">
        <f t="shared" si="1386"/>
        <v>#NAME?</v>
      </c>
      <c r="QB29" s="1419" t="str">
        <f t="shared" si="1387"/>
        <v>#NAME?</v>
      </c>
      <c r="QC29" s="1423" t="s">
        <v>5023</v>
      </c>
      <c r="QD29" s="442"/>
      <c r="QG29" s="349"/>
      <c r="QH29" s="349"/>
      <c r="QJ29" s="442"/>
      <c r="QK29" s="1543" t="str">
        <f t="shared" si="1196"/>
        <v>#NAME?</v>
      </c>
      <c r="QL29" s="1530" t="s">
        <v>4077</v>
      </c>
      <c r="QM29" s="1529" t="str">
        <f t="shared" si="1197"/>
        <v>#NAME?</v>
      </c>
      <c r="QN29" s="1531" t="str">
        <f t="shared" si="1198"/>
        <v>#NAME?</v>
      </c>
      <c r="QO29" s="1532" t="s">
        <v>5033</v>
      </c>
      <c r="QP29" s="442"/>
      <c r="QQ29" s="1543" t="str">
        <f t="shared" si="1199"/>
        <v>#NAME?</v>
      </c>
      <c r="QR29" s="1530" t="s">
        <v>4160</v>
      </c>
      <c r="QS29" s="1529" t="str">
        <f t="shared" si="1200"/>
        <v>#NAME?</v>
      </c>
      <c r="QT29" s="1531" t="str">
        <f t="shared" si="1201"/>
        <v>#NAME?</v>
      </c>
      <c r="QU29" s="1532" t="s">
        <v>5112</v>
      </c>
      <c r="QV29" s="442"/>
      <c r="QW29" s="1543" t="str">
        <f t="shared" si="1202"/>
        <v>#NAME?</v>
      </c>
      <c r="QX29" s="1530" t="s">
        <v>4183</v>
      </c>
      <c r="QY29" s="1529" t="str">
        <f t="shared" si="1203"/>
        <v>#NAME?</v>
      </c>
      <c r="QZ29" s="1531" t="str">
        <f t="shared" si="1204"/>
        <v>#NAME?</v>
      </c>
      <c r="RA29" s="1532" t="s">
        <v>5113</v>
      </c>
      <c r="RB29" s="442"/>
      <c r="RC29" s="1543" t="str">
        <f t="shared" si="1205"/>
        <v>#NAME?</v>
      </c>
      <c r="RD29" s="1530" t="s">
        <v>4238</v>
      </c>
      <c r="RE29" s="1529" t="str">
        <f t="shared" si="1206"/>
        <v>#NAME?</v>
      </c>
      <c r="RF29" s="1531" t="str">
        <f t="shared" si="1207"/>
        <v>#NAME?</v>
      </c>
      <c r="RG29" s="1532" t="s">
        <v>5025</v>
      </c>
      <c r="RH29" s="442"/>
      <c r="RI29" s="1543" t="str">
        <f t="shared" si="1208"/>
        <v>#NAME?</v>
      </c>
      <c r="RJ29" s="1530" t="s">
        <v>4031</v>
      </c>
      <c r="RK29" s="1529" t="str">
        <f t="shared" si="1209"/>
        <v>#NAME?</v>
      </c>
      <c r="RL29" s="1531" t="str">
        <f t="shared" si="1210"/>
        <v>#NAME?</v>
      </c>
      <c r="RM29" s="1532" t="s">
        <v>5026</v>
      </c>
      <c r="RO29" s="1068" t="str">
        <f t="shared" si="1436"/>
        <v>#NAME?</v>
      </c>
      <c r="RP29" s="1076" t="s">
        <v>2583</v>
      </c>
      <c r="RQ29" s="1358" t="str">
        <f t="shared" si="1437"/>
        <v>#NAME?</v>
      </c>
      <c r="RR29" s="1359" t="str">
        <f t="shared" si="1438"/>
        <v>#NAME?</v>
      </c>
      <c r="RS29" s="1368" t="s">
        <v>5112</v>
      </c>
      <c r="RT29" s="442"/>
      <c r="RU29" s="1266"/>
      <c r="RV29" s="1256" t="s">
        <v>5623</v>
      </c>
      <c r="RW29" s="1285" t="s">
        <v>4888</v>
      </c>
      <c r="RX29" s="962"/>
      <c r="RY29" s="1004" t="s">
        <v>4608</v>
      </c>
      <c r="RZ29" s="442"/>
      <c r="SC29" s="349"/>
      <c r="SD29" s="349"/>
      <c r="SF29" s="442"/>
      <c r="SG29" s="1094" t="str">
        <f t="shared" si="1388"/>
        <v>#NAME?</v>
      </c>
      <c r="SH29" s="1127" t="s">
        <v>3333</v>
      </c>
      <c r="SI29" s="1420" t="str">
        <f t="shared" si="1389"/>
        <v>#NAME?</v>
      </c>
      <c r="SJ29" s="475" t="str">
        <f t="shared" si="1390"/>
        <v>#NAME?</v>
      </c>
      <c r="SK29" s="1422" t="s">
        <v>5024</v>
      </c>
      <c r="SL29" s="442"/>
      <c r="SM29" s="1266"/>
      <c r="SN29" s="1256" t="s">
        <v>5624</v>
      </c>
      <c r="SO29" s="1285" t="s">
        <v>4888</v>
      </c>
      <c r="SP29" s="962"/>
      <c r="SQ29" s="1004" t="s">
        <v>4608</v>
      </c>
      <c r="SS29" s="1056" t="str">
        <f t="shared" si="1301"/>
        <v>#NAME?</v>
      </c>
      <c r="ST29" s="1465" t="s">
        <v>3683</v>
      </c>
      <c r="SU29" s="1021" t="str">
        <f t="shared" si="1302"/>
        <v>#NAME?</v>
      </c>
      <c r="SV29" s="1024" t="str">
        <f t="shared" si="1303"/>
        <v>#NAME?</v>
      </c>
      <c r="SW29" s="1378" t="s">
        <v>5024</v>
      </c>
      <c r="SY29" s="1056" t="str">
        <f t="shared" si="1304"/>
        <v>#NAME?</v>
      </c>
      <c r="SZ29" s="1465" t="s">
        <v>2030</v>
      </c>
      <c r="TA29" s="1021" t="str">
        <f t="shared" si="1305"/>
        <v>#NAME?</v>
      </c>
      <c r="TB29" s="1024" t="str">
        <f t="shared" si="1306"/>
        <v>#NAME?</v>
      </c>
      <c r="TC29" s="1378" t="s">
        <v>5024</v>
      </c>
      <c r="TD29" s="65"/>
      <c r="TE29" s="1306"/>
      <c r="TF29" s="1274" t="s">
        <v>4997</v>
      </c>
      <c r="TG29" s="959"/>
      <c r="TH29" s="957"/>
      <c r="TI29" s="1589" t="s">
        <v>4608</v>
      </c>
      <c r="TK29" s="1094" t="str">
        <f t="shared" si="1391"/>
        <v>#NAME?</v>
      </c>
      <c r="TL29" s="1127" t="s">
        <v>4217</v>
      </c>
      <c r="TM29" s="1420" t="str">
        <f t="shared" si="1392"/>
        <v>#NAME?</v>
      </c>
      <c r="TN29" s="475" t="str">
        <f t="shared" si="1393"/>
        <v>#NAME?</v>
      </c>
      <c r="TO29" s="1422" t="s">
        <v>5026</v>
      </c>
      <c r="TP29" s="442"/>
      <c r="TQ29" s="1094" t="str">
        <f t="shared" si="1394"/>
        <v>#NAME?</v>
      </c>
      <c r="TR29" s="1127" t="s">
        <v>2849</v>
      </c>
      <c r="TS29" s="1420" t="str">
        <f t="shared" si="1395"/>
        <v>#NAME?</v>
      </c>
      <c r="TT29" s="475" t="str">
        <f t="shared" si="1396"/>
        <v>#NAME?</v>
      </c>
      <c r="TU29" s="1422" t="s">
        <v>5026</v>
      </c>
      <c r="TW29" s="1428" t="str">
        <f t="shared" si="1307"/>
        <v>#NAME?</v>
      </c>
      <c r="TX29" s="1429" t="s">
        <v>3628</v>
      </c>
      <c r="TY29" s="1428" t="str">
        <f t="shared" si="1308"/>
        <v>#NAME?</v>
      </c>
      <c r="TZ29" s="1430" t="str">
        <f t="shared" si="1309"/>
        <v>#NAME?</v>
      </c>
      <c r="UA29" s="1431" t="s">
        <v>5228</v>
      </c>
      <c r="UI29" s="1290"/>
      <c r="UJ29" s="1291" t="s">
        <v>5625</v>
      </c>
      <c r="UK29" s="12"/>
      <c r="UL29" s="962"/>
      <c r="UM29" s="1292" t="s">
        <v>4608</v>
      </c>
      <c r="UU29" s="1293"/>
      <c r="UV29" s="1291" t="s">
        <v>5626</v>
      </c>
      <c r="UW29" s="12"/>
      <c r="UX29" s="962"/>
      <c r="UY29" s="1292" t="s">
        <v>4608</v>
      </c>
      <c r="VA29" s="1383" t="str">
        <f t="shared" si="1439"/>
        <v>#NAME?</v>
      </c>
      <c r="VB29" s="1384" t="s">
        <v>742</v>
      </c>
      <c r="VC29" s="1383" t="str">
        <f t="shared" si="1440"/>
        <v>#NAME?</v>
      </c>
      <c r="VD29" s="1385" t="str">
        <f t="shared" si="1441"/>
        <v>#NAME?</v>
      </c>
      <c r="VE29" s="1386" t="s">
        <v>5030</v>
      </c>
      <c r="VG29" s="963" t="s">
        <v>5627</v>
      </c>
      <c r="VH29" s="12"/>
      <c r="VI29" s="12"/>
      <c r="VJ29" s="12"/>
      <c r="VK29" s="48"/>
      <c r="VL29" s="442"/>
      <c r="VM29" s="1051" t="str">
        <f t="shared" si="1403"/>
        <v>#NAME?</v>
      </c>
      <c r="VN29" s="1127" t="s">
        <v>3902</v>
      </c>
      <c r="VO29" s="1051" t="str">
        <f t="shared" si="1404"/>
        <v>#NAME?</v>
      </c>
      <c r="VP29" s="1131" t="str">
        <f t="shared" si="1405"/>
        <v>#NAME?</v>
      </c>
      <c r="VQ29" s="1095" t="s">
        <v>1043</v>
      </c>
      <c r="VR29" s="442"/>
      <c r="VS29" s="442"/>
      <c r="VT29" s="442"/>
      <c r="VU29" s="442"/>
      <c r="VV29" s="442"/>
      <c r="VW29" s="442"/>
      <c r="VX29" s="442"/>
      <c r="VY29" s="1383" t="str">
        <f t="shared" si="1442"/>
        <v>#NAME?</v>
      </c>
      <c r="VZ29" s="1384" t="s">
        <v>3628</v>
      </c>
      <c r="WA29" s="1383" t="str">
        <f t="shared" si="1443"/>
        <v>#NAME?</v>
      </c>
      <c r="WB29" s="1385" t="str">
        <f t="shared" si="1444"/>
        <v>#NAME?</v>
      </c>
      <c r="WC29" s="1386" t="s">
        <v>5031</v>
      </c>
      <c r="WD29" s="442"/>
      <c r="WE29" s="442"/>
      <c r="WF29" s="442"/>
      <c r="WG29" s="442"/>
      <c r="WH29" s="442"/>
      <c r="WI29" s="442"/>
      <c r="WJ29" s="442"/>
      <c r="WK29" s="977" t="str">
        <f t="shared" ref="WK29:WK31" si="1490">MONICON21(WL29)</f>
        <v>#NAME?</v>
      </c>
      <c r="WL29" s="1301" t="s">
        <v>1073</v>
      </c>
      <c r="WM29" s="977" t="str">
        <f t="shared" ref="WM29:WM31" si="1491">MONTYPEICON1(WL29)</f>
        <v>#NAME?</v>
      </c>
      <c r="WN29" s="980" t="str">
        <f t="shared" ref="WN29:WN31" si="1492">MONTYPEICON2(WL29)</f>
        <v>#NAME?</v>
      </c>
      <c r="WO29" s="1303" t="s">
        <v>5034</v>
      </c>
      <c r="WP29" s="442"/>
      <c r="WQ29" s="1294"/>
      <c r="WR29" s="1291" t="s">
        <v>5628</v>
      </c>
      <c r="WS29" s="12"/>
      <c r="WT29" s="962"/>
      <c r="WU29" s="1292" t="s">
        <v>4608</v>
      </c>
      <c r="WV29" s="442"/>
      <c r="WW29" s="1092" t="str">
        <f>MONICON21(WX29)</f>
        <v>#NAME?</v>
      </c>
      <c r="WX29" s="1052" t="s">
        <v>4004</v>
      </c>
      <c r="WY29" s="1092" t="str">
        <f>MONTYPEICON1(WX29)</f>
        <v>#NAME?</v>
      </c>
      <c r="WZ29" s="987" t="str">
        <f>MONTYPEICON2(WX29)</f>
        <v>#NAME?</v>
      </c>
      <c r="XA29" s="1327" t="s">
        <v>5007</v>
      </c>
      <c r="XB29" s="442"/>
      <c r="XC29" s="1387" t="str">
        <f t="shared" si="1445"/>
        <v>#NAME?</v>
      </c>
      <c r="XD29" s="1388" t="s">
        <v>3324</v>
      </c>
      <c r="XE29" s="1387" t="str">
        <f t="shared" si="1446"/>
        <v>#NAME?</v>
      </c>
      <c r="XF29" s="1392" t="str">
        <f t="shared" si="1447"/>
        <v>#NAME?</v>
      </c>
      <c r="XG29" s="1394" t="s">
        <v>5410</v>
      </c>
      <c r="XH29" s="442"/>
      <c r="XN29" s="442"/>
      <c r="XO29" s="977" t="str">
        <f t="shared" ref="XO29:XO31" si="1493">MONICON21(XP29)</f>
        <v>#NAME?</v>
      </c>
      <c r="XP29" s="1301" t="s">
        <v>4217</v>
      </c>
      <c r="XQ29" s="977" t="str">
        <f t="shared" ref="XQ29:XQ31" si="1494">MONTYPEICON1(XP29)</f>
        <v>#NAME?</v>
      </c>
      <c r="XR29" s="980" t="str">
        <f t="shared" ref="XR29:XR31" si="1495">MONTYPEICON2(XP29)</f>
        <v>#NAME?</v>
      </c>
      <c r="XS29" s="1303" t="s">
        <v>5092</v>
      </c>
      <c r="XT29" s="442"/>
      <c r="XU29" s="963" t="s">
        <v>4533</v>
      </c>
      <c r="XV29" s="12"/>
      <c r="XW29" s="12"/>
      <c r="XX29" s="12"/>
      <c r="XY29" s="48"/>
      <c r="XZ29" s="442"/>
      <c r="YA29" s="349"/>
      <c r="YF29" s="442"/>
      <c r="YI29" s="349"/>
      <c r="YJ29" s="349"/>
      <c r="YL29" s="442"/>
      <c r="YO29" s="349"/>
      <c r="YP29" s="349"/>
      <c r="YR29" s="442"/>
      <c r="YS29" s="1289" t="s">
        <v>5629</v>
      </c>
      <c r="YT29" s="12"/>
      <c r="YU29" s="12"/>
      <c r="YV29" s="12"/>
      <c r="YW29" s="48"/>
      <c r="YX29" s="442"/>
      <c r="YY29" s="1289" t="s">
        <v>5630</v>
      </c>
      <c r="YZ29" s="12"/>
      <c r="ZA29" s="12"/>
      <c r="ZB29" s="12"/>
      <c r="ZC29" s="48"/>
      <c r="ZD29" s="442"/>
      <c r="ZE29" s="1387" t="str">
        <f t="shared" si="1448"/>
        <v>#NAME?</v>
      </c>
      <c r="ZF29" s="1388" t="s">
        <v>2393</v>
      </c>
      <c r="ZG29" s="1387" t="str">
        <f t="shared" si="1449"/>
        <v>#NAME?</v>
      </c>
      <c r="ZH29" s="1392" t="str">
        <f t="shared" si="1450"/>
        <v>#NAME?</v>
      </c>
      <c r="ZI29" s="1391" t="s">
        <v>5025</v>
      </c>
      <c r="ZJ29" s="442"/>
      <c r="ZK29" s="977" t="str">
        <f t="shared" ref="ZK29:ZK32" si="1496">MONICON21(ZL29)</f>
        <v>#NAME?</v>
      </c>
      <c r="ZL29" s="1325" t="s">
        <v>1057</v>
      </c>
      <c r="ZM29" s="977" t="str">
        <f t="shared" ref="ZM29:ZM32" si="1497">MONTYPEICON1(ZL29)</f>
        <v>#NAME?</v>
      </c>
      <c r="ZN29" s="980" t="str">
        <f t="shared" ref="ZN29:ZN32" si="1498">MONTYPEICON2(ZL29)</f>
        <v>#NAME?</v>
      </c>
      <c r="ZO29" s="1326" t="s">
        <v>5113</v>
      </c>
      <c r="ZP29" s="442"/>
      <c r="ZQ29" s="442"/>
      <c r="ZR29" s="442"/>
      <c r="ZS29" s="108"/>
      <c r="ZT29" s="108"/>
      <c r="ZU29" s="442"/>
      <c r="ZV29" s="442"/>
      <c r="ZW29" s="1472"/>
      <c r="ZX29" s="1291" t="s">
        <v>5631</v>
      </c>
      <c r="ZY29" s="12"/>
      <c r="ZZ29" s="962"/>
      <c r="AAA29" s="1292" t="s">
        <v>4608</v>
      </c>
      <c r="AAB29" s="442"/>
      <c r="AAC29" s="1472"/>
      <c r="AAD29" s="1291" t="s">
        <v>5632</v>
      </c>
      <c r="AAE29" s="12"/>
      <c r="AAF29" s="962"/>
      <c r="AAG29" s="1292" t="s">
        <v>4608</v>
      </c>
      <c r="AAH29" s="442"/>
      <c r="AAI29" s="1387" t="str">
        <f t="shared" si="1325"/>
        <v>#NAME?</v>
      </c>
      <c r="AAJ29" s="1388" t="s">
        <v>1808</v>
      </c>
      <c r="AAK29" s="1387" t="str">
        <f t="shared" si="1326"/>
        <v>#NAME?</v>
      </c>
      <c r="AAL29" s="1392" t="str">
        <f t="shared" si="1327"/>
        <v>#NAME?</v>
      </c>
      <c r="AAM29" s="1397" t="s">
        <v>5227</v>
      </c>
      <c r="AAO29" s="1387" t="str">
        <f t="shared" si="1328"/>
        <v>#NAME?</v>
      </c>
      <c r="AAP29" s="1388" t="s">
        <v>3911</v>
      </c>
      <c r="AAQ29" s="1387" t="str">
        <f t="shared" si="1329"/>
        <v>#NAME?</v>
      </c>
      <c r="AAR29" s="1392" t="str">
        <f t="shared" si="1330"/>
        <v>#NAME?</v>
      </c>
      <c r="AAS29" s="1397" t="s">
        <v>5117</v>
      </c>
      <c r="AAU29" s="1387" t="str">
        <f t="shared" si="1331"/>
        <v>#NAME?</v>
      </c>
      <c r="AAV29" s="1388" t="s">
        <v>4153</v>
      </c>
      <c r="AAW29" s="1387" t="str">
        <f t="shared" si="1332"/>
        <v>#NAME?</v>
      </c>
      <c r="AAX29" s="1392" t="str">
        <f t="shared" si="1333"/>
        <v>#NAME?</v>
      </c>
      <c r="AAY29" s="1397" t="s">
        <v>5117</v>
      </c>
      <c r="ABA29" s="1387" t="str">
        <f t="shared" si="1334"/>
        <v>#NAME?</v>
      </c>
      <c r="ABB29" s="1388" t="s">
        <v>1443</v>
      </c>
      <c r="ABC29" s="1387" t="str">
        <f t="shared" si="1335"/>
        <v>#NAME?</v>
      </c>
      <c r="ABD29" s="1392" t="str">
        <f t="shared" si="1336"/>
        <v>#NAME?</v>
      </c>
      <c r="ABE29" s="1397" t="s">
        <v>5036</v>
      </c>
      <c r="ABG29" s="1387" t="str">
        <f t="shared" si="1337"/>
        <v>#NAME?</v>
      </c>
      <c r="ABH29" s="1388" t="s">
        <v>3603</v>
      </c>
      <c r="ABI29" s="1387" t="str">
        <f t="shared" si="1338"/>
        <v>#NAME?</v>
      </c>
      <c r="ABJ29" s="1392" t="str">
        <f t="shared" si="1339"/>
        <v>#NAME?</v>
      </c>
      <c r="ABK29" s="1397" t="s">
        <v>5036</v>
      </c>
      <c r="ABM29" s="1387" t="str">
        <f t="shared" si="1340"/>
        <v>#NAME?</v>
      </c>
      <c r="ABN29" s="1388" t="s">
        <v>4010</v>
      </c>
      <c r="ABO29" s="1387" t="str">
        <f t="shared" si="1341"/>
        <v>#NAME?</v>
      </c>
      <c r="ABP29" s="1392" t="str">
        <f t="shared" si="1342"/>
        <v>#NAME?</v>
      </c>
      <c r="ABQ29" s="1397" t="s">
        <v>5036</v>
      </c>
      <c r="ABS29" s="1387" t="str">
        <f t="shared" si="1343"/>
        <v>#NAME?</v>
      </c>
      <c r="ABT29" s="1388" t="s">
        <v>4091</v>
      </c>
      <c r="ABU29" s="1387" t="str">
        <f t="shared" si="1344"/>
        <v>#NAME?</v>
      </c>
      <c r="ABV29" s="1392" t="str">
        <f t="shared" si="1345"/>
        <v>#NAME?</v>
      </c>
      <c r="ABW29" s="1397" t="s">
        <v>5176</v>
      </c>
      <c r="ABY29" s="1614"/>
      <c r="ABZ29" s="1485" t="s">
        <v>5394</v>
      </c>
      <c r="ACA29" s="416"/>
      <c r="ACB29" s="1486"/>
      <c r="ACC29" s="1487" t="s">
        <v>4608</v>
      </c>
      <c r="ACE29" s="973" t="s">
        <v>5633</v>
      </c>
      <c r="ACF29" s="976"/>
      <c r="ACG29" s="976"/>
      <c r="ACH29" s="976"/>
      <c r="ACI29" s="954"/>
      <c r="ACJ29" s="996"/>
    </row>
    <row r="30" ht="15.75" customHeight="1">
      <c r="A30" s="1230"/>
      <c r="B30" s="1230"/>
      <c r="C30" s="1230"/>
      <c r="D30" s="1478"/>
      <c r="E30" s="1230"/>
      <c r="F30" s="1238"/>
      <c r="G30" s="428"/>
      <c r="H30" s="1230"/>
      <c r="I30" s="1447"/>
      <c r="J30" s="1269" t="s">
        <v>4904</v>
      </c>
      <c r="K30" s="12"/>
      <c r="L30" s="962"/>
      <c r="M30" s="1270" t="s">
        <v>4608</v>
      </c>
      <c r="N30" s="1230"/>
      <c r="O30" s="1051" t="str">
        <f t="shared" si="1406"/>
        <v>#NAME?</v>
      </c>
      <c r="P30" s="1127" t="s">
        <v>98</v>
      </c>
      <c r="Q30" s="1051" t="str">
        <f t="shared" si="1407"/>
        <v>#NAME?</v>
      </c>
      <c r="R30" s="1131" t="str">
        <f t="shared" si="1408"/>
        <v>#NAME?</v>
      </c>
      <c r="S30" s="1519" t="s">
        <v>5588</v>
      </c>
      <c r="T30" s="1230"/>
      <c r="U30" s="1033" t="str">
        <f t="shared" ref="U30:U32" si="1499">MONICON21(V30)</f>
        <v>#NAME?</v>
      </c>
      <c r="V30" s="1301" t="s">
        <v>3691</v>
      </c>
      <c r="W30" s="977" t="str">
        <f t="shared" ref="W30:W32" si="1500">MONTYPEICON1(V30)</f>
        <v>#NAME?</v>
      </c>
      <c r="X30" s="980" t="str">
        <f t="shared" ref="X30:X32" si="1501">MONTYPEICON2(V30)</f>
        <v>#NAME?</v>
      </c>
      <c r="Y30" s="1303" t="s">
        <v>4990</v>
      </c>
      <c r="Z30" s="1230"/>
      <c r="AA30" s="442"/>
      <c r="AB30" s="442"/>
      <c r="AC30" s="442"/>
      <c r="AD30" s="442"/>
      <c r="AE30" s="108"/>
      <c r="AF30" s="1230"/>
      <c r="AL30" s="1230"/>
      <c r="AM30" s="961" t="s">
        <v>5522</v>
      </c>
      <c r="AN30" s="12"/>
      <c r="AO30" s="12"/>
      <c r="AP30" s="12"/>
      <c r="AQ30" s="48"/>
      <c r="AR30" s="1230"/>
      <c r="AS30" s="1033" t="str">
        <f t="shared" ref="AS30:AS32" si="1502">MONICON21(AT30)</f>
        <v>#NAME?</v>
      </c>
      <c r="AT30" s="1304" t="s">
        <v>200</v>
      </c>
      <c r="AU30" s="977" t="str">
        <f t="shared" ref="AU30:AU32" si="1503">MONTYPEICON1(AT30)</f>
        <v>#NAME?</v>
      </c>
      <c r="AV30" s="980" t="str">
        <f t="shared" ref="AV30:AV32" si="1504">MONTYPEICON2(AT30)</f>
        <v>#NAME?</v>
      </c>
      <c r="AW30" s="1305" t="s">
        <v>5155</v>
      </c>
      <c r="AX30" s="1230"/>
      <c r="AY30" s="1146" t="str">
        <f t="shared" si="1451"/>
        <v>#NAME?</v>
      </c>
      <c r="AZ30" s="1335" t="s">
        <v>1022</v>
      </c>
      <c r="BA30" s="1146" t="str">
        <f t="shared" si="1452"/>
        <v>#NAME?</v>
      </c>
      <c r="BB30" s="1148" t="str">
        <f t="shared" si="1453"/>
        <v>#NAME?</v>
      </c>
      <c r="BC30" s="1336" t="s">
        <v>5337</v>
      </c>
      <c r="BD30" s="442"/>
      <c r="BE30" s="1051" t="str">
        <f t="shared" si="1409"/>
        <v>#NAME?</v>
      </c>
      <c r="BF30" s="1479" t="s">
        <v>1748</v>
      </c>
      <c r="BG30" s="1051" t="str">
        <f t="shared" si="1410"/>
        <v>#NAME?</v>
      </c>
      <c r="BH30" s="1131" t="str">
        <f t="shared" si="1411"/>
        <v>#NAME?</v>
      </c>
      <c r="BI30" s="1411" t="s">
        <v>5314</v>
      </c>
      <c r="BJ30" s="442"/>
      <c r="BP30" s="442"/>
      <c r="BQ30" s="961" t="s">
        <v>5260</v>
      </c>
      <c r="BR30" s="12"/>
      <c r="BS30" s="12"/>
      <c r="BT30" s="12"/>
      <c r="BU30" s="48"/>
      <c r="BV30" s="442"/>
      <c r="BW30" s="1013" t="str">
        <f t="shared" si="1412"/>
        <v>#NAME?</v>
      </c>
      <c r="BX30" s="1415" t="s">
        <v>1082</v>
      </c>
      <c r="BY30" s="1013" t="str">
        <f t="shared" si="1413"/>
        <v>#NAME?</v>
      </c>
      <c r="BZ30" s="1015" t="str">
        <f t="shared" si="1414"/>
        <v>#NAME?</v>
      </c>
      <c r="CA30" s="1416" t="s">
        <v>4995</v>
      </c>
      <c r="CB30" s="442"/>
      <c r="CH30" s="442"/>
      <c r="CN30" s="442"/>
      <c r="CO30" s="1068" t="str">
        <f t="shared" si="1454"/>
        <v>#NAME?</v>
      </c>
      <c r="CP30" s="1337" t="s">
        <v>921</v>
      </c>
      <c r="CQ30" s="1071" t="str">
        <f t="shared" si="1455"/>
        <v>#NAME?</v>
      </c>
      <c r="CR30" s="1073" t="str">
        <f t="shared" si="1456"/>
        <v>#NAME?</v>
      </c>
      <c r="CS30" s="1338" t="s">
        <v>4994</v>
      </c>
      <c r="CT30" s="442"/>
      <c r="CU30" s="1193" t="str">
        <f t="shared" si="1457"/>
        <v>#NAME?</v>
      </c>
      <c r="CV30" s="1335" t="s">
        <v>406</v>
      </c>
      <c r="CW30" s="1146" t="str">
        <f t="shared" si="1458"/>
        <v>#NAME?</v>
      </c>
      <c r="CX30" s="1148" t="str">
        <f t="shared" si="1459"/>
        <v>#NAME?</v>
      </c>
      <c r="CY30" s="1336" t="s">
        <v>4999</v>
      </c>
      <c r="CZ30" s="442"/>
      <c r="DG30" s="1096" t="str">
        <f t="shared" si="1418"/>
        <v>#NAME?</v>
      </c>
      <c r="DH30" s="1098" t="s">
        <v>3911</v>
      </c>
      <c r="DI30" s="1013" t="str">
        <f t="shared" si="1419"/>
        <v>#NAME?</v>
      </c>
      <c r="DJ30" s="1015" t="str">
        <f t="shared" si="1420"/>
        <v>#NAME?</v>
      </c>
      <c r="DK30" s="1414" t="s">
        <v>5000</v>
      </c>
      <c r="DL30" s="442"/>
      <c r="DR30" s="442"/>
      <c r="DS30" s="1049" t="str">
        <f>MONICON21(DT30)</f>
        <v>#NAME?</v>
      </c>
      <c r="DT30" s="1229" t="s">
        <v>1941</v>
      </c>
      <c r="DU30" s="1092" t="str">
        <f>MONTYPEICON1(DT30)</f>
        <v>#NAME?</v>
      </c>
      <c r="DV30" s="987" t="str">
        <f>MONTYPEICON2(DT30)</f>
        <v>#NAME?</v>
      </c>
      <c r="DW30" s="1196" t="s">
        <v>5000</v>
      </c>
      <c r="DX30" s="442"/>
      <c r="ED30" s="442"/>
      <c r="EE30" s="442"/>
      <c r="EF30" s="442"/>
      <c r="EG30" s="108"/>
      <c r="EH30" s="108"/>
      <c r="EI30" s="108"/>
      <c r="EJ30" s="1230"/>
      <c r="EK30" s="1280"/>
      <c r="EL30" s="1274" t="s">
        <v>4908</v>
      </c>
      <c r="EM30" s="959"/>
      <c r="EN30" s="957"/>
      <c r="EO30" s="1275" t="s">
        <v>4608</v>
      </c>
      <c r="EP30" s="1230"/>
      <c r="EQ30" s="1266"/>
      <c r="ER30" s="1256" t="s">
        <v>5634</v>
      </c>
      <c r="ES30" s="1257" t="s">
        <v>4888</v>
      </c>
      <c r="ET30" s="962"/>
      <c r="EU30" s="1258" t="s">
        <v>4608</v>
      </c>
      <c r="EV30" s="1230"/>
      <c r="EW30" s="983" t="str">
        <f t="shared" ref="EW30:EW32" si="1505">MONICON21(EX30)</f>
        <v>#NAME?</v>
      </c>
      <c r="EX30" s="38" t="s">
        <v>1705</v>
      </c>
      <c r="EY30" s="977" t="str">
        <f t="shared" ref="EY30:EY32" si="1506">MONTYPEICON1(EX30)</f>
        <v>#NAME?</v>
      </c>
      <c r="EZ30" s="980" t="str">
        <f t="shared" ref="EZ30:EZ32" si="1507">MONTYPEICON2(EX30)</f>
        <v>#NAME?</v>
      </c>
      <c r="FA30" s="1043" t="s">
        <v>5201</v>
      </c>
      <c r="FB30" s="442"/>
      <c r="FE30" s="349"/>
      <c r="FF30" s="349"/>
      <c r="FH30" s="442"/>
      <c r="FI30" s="1068" t="str">
        <f t="shared" si="1460"/>
        <v>#NAME?</v>
      </c>
      <c r="FJ30" s="1356" t="s">
        <v>831</v>
      </c>
      <c r="FK30" s="1071" t="str">
        <f t="shared" si="1461"/>
        <v>#NAME?</v>
      </c>
      <c r="FL30" s="1073" t="str">
        <f t="shared" si="1462"/>
        <v>#NAME?</v>
      </c>
      <c r="FM30" s="1338" t="s">
        <v>5078</v>
      </c>
      <c r="FN30" s="442"/>
      <c r="FO30" s="1193" t="str">
        <f t="shared" si="1463"/>
        <v>#NAME?</v>
      </c>
      <c r="FP30" s="1357" t="s">
        <v>3453</v>
      </c>
      <c r="FQ30" s="1146" t="str">
        <f t="shared" si="1464"/>
        <v>#NAME?</v>
      </c>
      <c r="FR30" s="1148" t="str">
        <f t="shared" si="1465"/>
        <v>#NAME?</v>
      </c>
      <c r="FS30" s="1330" t="s">
        <v>5001</v>
      </c>
      <c r="FT30" s="442"/>
      <c r="FW30" s="349"/>
      <c r="FX30" s="349"/>
      <c r="FZ30" s="65"/>
      <c r="GA30" s="1283"/>
      <c r="GB30" s="1264" t="s">
        <v>5310</v>
      </c>
      <c r="GC30" s="12"/>
      <c r="GD30" s="962"/>
      <c r="GE30" s="1265" t="s">
        <v>4608</v>
      </c>
      <c r="GF30" s="442"/>
      <c r="GG30" s="1094" t="str">
        <f t="shared" si="1421"/>
        <v>#NAME?</v>
      </c>
      <c r="GH30" s="499" t="s">
        <v>2934</v>
      </c>
      <c r="GI30" s="1051" t="str">
        <f t="shared" si="1422"/>
        <v>#NAME?</v>
      </c>
      <c r="GJ30" s="1131" t="str">
        <f t="shared" si="1423"/>
        <v>#NAME?</v>
      </c>
      <c r="GK30" s="1095" t="s">
        <v>5001</v>
      </c>
      <c r="GL30" s="1230"/>
      <c r="GM30" s="985" t="str">
        <f>MONICON21(GN30)</f>
        <v>#NAME?</v>
      </c>
      <c r="GN30" s="1310" t="s">
        <v>687</v>
      </c>
      <c r="GO30" s="1092" t="str">
        <f>MONTYPEICON1(GN30)</f>
        <v>#NAME?</v>
      </c>
      <c r="GP30" s="987" t="str">
        <f>MONTYPEICON2(GN30)</f>
        <v>#NAME?</v>
      </c>
      <c r="GQ30" s="1309" t="s">
        <v>5004</v>
      </c>
      <c r="GR30" s="65"/>
      <c r="GS30" s="985" t="str">
        <f>MONICON21(GT30)</f>
        <v>#NAME?</v>
      </c>
      <c r="GT30" s="1310" t="s">
        <v>742</v>
      </c>
      <c r="GU30" s="1092" t="str">
        <f>MONTYPEICON1(GT30)</f>
        <v>#NAME?</v>
      </c>
      <c r="GV30" s="987" t="str">
        <f>MONTYPEICON2(GT30)</f>
        <v>#NAME?</v>
      </c>
      <c r="GW30" s="1309" t="s">
        <v>5004</v>
      </c>
      <c r="GX30" s="65"/>
      <c r="GY30" s="1607"/>
      <c r="GZ30" s="1256" t="s">
        <v>5635</v>
      </c>
      <c r="HA30" s="1257" t="s">
        <v>4888</v>
      </c>
      <c r="HB30" s="962"/>
      <c r="HC30" s="1258" t="s">
        <v>4608</v>
      </c>
      <c r="HD30" s="1230"/>
      <c r="HE30" s="1193" t="str">
        <f t="shared" si="1466"/>
        <v>#NAME?</v>
      </c>
      <c r="HF30" s="1357" t="s">
        <v>1152</v>
      </c>
      <c r="HG30" s="1146" t="str">
        <f t="shared" si="1467"/>
        <v>#NAME?</v>
      </c>
      <c r="HH30" s="1148" t="str">
        <f t="shared" si="1468"/>
        <v>#NAME?</v>
      </c>
      <c r="HI30" s="1330" t="s">
        <v>5034</v>
      </c>
      <c r="HJ30" s="1230"/>
      <c r="HK30" s="1283"/>
      <c r="HL30" s="1264" t="s">
        <v>5636</v>
      </c>
      <c r="HM30" s="12"/>
      <c r="HN30" s="962"/>
      <c r="HO30" s="1265" t="s">
        <v>4608</v>
      </c>
      <c r="HP30" s="65"/>
      <c r="HQ30" s="1105" t="str">
        <f t="shared" si="1250"/>
        <v>#NAME?</v>
      </c>
      <c r="HR30" s="1505" t="s">
        <v>3843</v>
      </c>
      <c r="HS30" s="1373" t="str">
        <f t="shared" si="1251"/>
        <v>#NAME?</v>
      </c>
      <c r="HT30" s="1374" t="str">
        <f t="shared" si="1252"/>
        <v>#NAME?</v>
      </c>
      <c r="HU30" s="1599" t="s">
        <v>5008</v>
      </c>
      <c r="HW30" s="1266"/>
      <c r="HX30" s="1259" t="s">
        <v>5637</v>
      </c>
      <c r="HY30" s="12"/>
      <c r="HZ30" s="962"/>
      <c r="IA30" s="1258" t="s">
        <v>4608</v>
      </c>
      <c r="IB30" s="65"/>
      <c r="IC30" s="983" t="str">
        <f t="shared" ref="IC30:IC32" si="1508">MONICON21(ID30)</f>
        <v>#NAME?</v>
      </c>
      <c r="ID30" s="1304" t="s">
        <v>930</v>
      </c>
      <c r="IE30" s="1311" t="str">
        <f t="shared" ref="IE30:IE32" si="1509">MONTYPEICON1(ID30)</f>
        <v>#NAME?</v>
      </c>
      <c r="IF30" s="1312" t="str">
        <f t="shared" ref="IF30:IF32" si="1510">MONTYPEICON2(ID30)</f>
        <v>#NAME?</v>
      </c>
      <c r="IG30" s="1305" t="s">
        <v>5214</v>
      </c>
      <c r="IH30" s="65"/>
      <c r="II30" s="1027" t="str">
        <f t="shared" si="1364"/>
        <v>#NAME?</v>
      </c>
      <c r="IJ30" s="1458" t="s">
        <v>4153</v>
      </c>
      <c r="IK30" s="1360" t="str">
        <f t="shared" si="1365"/>
        <v>#NAME?</v>
      </c>
      <c r="IL30" s="1361" t="str">
        <f t="shared" si="1366"/>
        <v>#NAME?</v>
      </c>
      <c r="IM30" s="1362" t="s">
        <v>5008</v>
      </c>
      <c r="IO30" s="1012" t="str">
        <f t="shared" si="1424"/>
        <v>#NAME?</v>
      </c>
      <c r="IP30" s="1415" t="s">
        <v>4146</v>
      </c>
      <c r="IQ30" s="1013" t="str">
        <f t="shared" si="1425"/>
        <v>#NAME?</v>
      </c>
      <c r="IR30" s="1015" t="str">
        <f t="shared" si="1426"/>
        <v>#NAME?</v>
      </c>
      <c r="IS30" s="1416" t="s">
        <v>5158</v>
      </c>
      <c r="IT30" s="1230"/>
      <c r="IU30" s="1068" t="str">
        <f t="shared" si="1469"/>
        <v>#NAME?</v>
      </c>
      <c r="IV30" s="1540" t="s">
        <v>1343</v>
      </c>
      <c r="IW30" s="1358" t="str">
        <f t="shared" si="1470"/>
        <v>#NAME?</v>
      </c>
      <c r="IX30" s="1359" t="str">
        <f t="shared" si="1471"/>
        <v>#NAME?</v>
      </c>
      <c r="IY30" s="1541" t="s">
        <v>5084</v>
      </c>
      <c r="IZ30" s="442"/>
      <c r="JA30" s="963" t="s">
        <v>4537</v>
      </c>
      <c r="JB30" s="12"/>
      <c r="JC30" s="12"/>
      <c r="JD30" s="12"/>
      <c r="JE30" s="48"/>
      <c r="JF30" s="442"/>
      <c r="JG30" s="1193" t="str">
        <f t="shared" si="1472"/>
        <v>#NAME?</v>
      </c>
      <c r="JH30" s="1357" t="s">
        <v>125</v>
      </c>
      <c r="JI30" s="1146" t="str">
        <f t="shared" si="1473"/>
        <v>#NAME?</v>
      </c>
      <c r="JJ30" s="1148" t="str">
        <f t="shared" si="1474"/>
        <v>#NAME?</v>
      </c>
      <c r="JK30" s="1330" t="s">
        <v>5008</v>
      </c>
      <c r="JL30" s="442"/>
      <c r="JM30" s="1344"/>
      <c r="JN30" s="1323" t="s">
        <v>5638</v>
      </c>
      <c r="JO30" s="12"/>
      <c r="JP30" s="962"/>
      <c r="JQ30" s="1345" t="s">
        <v>4608</v>
      </c>
      <c r="JR30" s="442"/>
      <c r="JS30" s="1268"/>
      <c r="JT30" s="1269" t="s">
        <v>5043</v>
      </c>
      <c r="JU30" s="12"/>
      <c r="JV30" s="962"/>
      <c r="JW30" s="1270" t="s">
        <v>4608</v>
      </c>
      <c r="KA30" s="349"/>
      <c r="KB30" s="349"/>
      <c r="KE30" s="1193" t="str">
        <f t="shared" si="1475"/>
        <v>#NAME?</v>
      </c>
      <c r="KF30" s="1145" t="s">
        <v>673</v>
      </c>
      <c r="KG30" s="1146" t="str">
        <f t="shared" si="1476"/>
        <v>#NAME?</v>
      </c>
      <c r="KH30" s="1148" t="str">
        <f t="shared" si="1477"/>
        <v>#NAME?</v>
      </c>
      <c r="KI30" s="1330" t="s">
        <v>5010</v>
      </c>
      <c r="KJ30" s="65"/>
      <c r="KK30" s="961" t="s">
        <v>5050</v>
      </c>
      <c r="KL30" s="12"/>
      <c r="KM30" s="48"/>
      <c r="KN30" s="349"/>
      <c r="KO30" s="349"/>
      <c r="KP30" s="65"/>
      <c r="KS30" s="349"/>
      <c r="KT30" s="108"/>
      <c r="KU30" s="108"/>
      <c r="KV30" s="65"/>
      <c r="KY30" s="349"/>
      <c r="KZ30" s="349"/>
      <c r="LB30" s="442"/>
      <c r="LE30" s="349"/>
      <c r="LF30" s="349"/>
      <c r="LI30" s="1094" t="str">
        <f t="shared" si="1430"/>
        <v>#NAME?</v>
      </c>
      <c r="LJ30" s="1127" t="s">
        <v>2341</v>
      </c>
      <c r="LK30" s="1420" t="str">
        <f t="shared" si="1431"/>
        <v>#NAME?</v>
      </c>
      <c r="LL30" s="475" t="str">
        <f t="shared" si="1432"/>
        <v>#NAME?</v>
      </c>
      <c r="LM30" s="1422" t="s">
        <v>5015</v>
      </c>
      <c r="LO30" s="1056" t="str">
        <f t="shared" si="1478"/>
        <v>#NAME?</v>
      </c>
      <c r="LP30" s="1123" t="s">
        <v>3360</v>
      </c>
      <c r="LQ30" s="1021" t="str">
        <f t="shared" si="1479"/>
        <v>#NAME?</v>
      </c>
      <c r="LR30" s="1024" t="str">
        <f t="shared" si="1480"/>
        <v>#NAME?</v>
      </c>
      <c r="LS30" s="1501" t="s">
        <v>5015</v>
      </c>
      <c r="LW30" s="349"/>
      <c r="LX30" s="349"/>
      <c r="LZ30" s="442"/>
      <c r="MA30" s="1280"/>
      <c r="MB30" s="1281" t="s">
        <v>4908</v>
      </c>
      <c r="MC30" s="12"/>
      <c r="MD30" s="962"/>
      <c r="ME30" s="1282" t="s">
        <v>4608</v>
      </c>
      <c r="MF30" s="442"/>
      <c r="MG30" s="983" t="str">
        <f t="shared" ref="MG30:MG34" si="1511">MONICON21(MH30)</f>
        <v>#NAME?</v>
      </c>
      <c r="MH30" s="1301" t="s">
        <v>1680</v>
      </c>
      <c r="MI30" s="977" t="str">
        <f t="shared" ref="MI30:MI34" si="1512">MONTYPEICON1(MH30)</f>
        <v>#NAME?</v>
      </c>
      <c r="MJ30" s="980" t="str">
        <f t="shared" ref="MJ30:MJ34" si="1513">MONTYPEICON2(MH30)</f>
        <v>#NAME?</v>
      </c>
      <c r="MK30" s="1318" t="s">
        <v>5017</v>
      </c>
      <c r="ML30" s="442"/>
      <c r="MM30" s="1049" t="str">
        <f t="shared" si="1433"/>
        <v>#NAME?</v>
      </c>
      <c r="MN30" s="1127" t="s">
        <v>210</v>
      </c>
      <c r="MO30" s="1051" t="str">
        <f t="shared" si="1434"/>
        <v>#NAME?</v>
      </c>
      <c r="MP30" s="1131" t="str">
        <f t="shared" si="1435"/>
        <v>#NAME?</v>
      </c>
      <c r="MQ30" s="1422" t="s">
        <v>5015</v>
      </c>
      <c r="MU30" s="349"/>
      <c r="MV30" s="349"/>
      <c r="MX30" s="442"/>
      <c r="MY30" s="1351" t="str">
        <f t="shared" si="1376"/>
        <v>#NAME?</v>
      </c>
      <c r="MZ30" s="1372" t="s">
        <v>1343</v>
      </c>
      <c r="NA30" s="1353" t="str">
        <f t="shared" si="1377"/>
        <v>#NAME?</v>
      </c>
      <c r="NB30" s="1354" t="str">
        <f t="shared" si="1378"/>
        <v>#NAME?</v>
      </c>
      <c r="NC30" s="1367" t="s">
        <v>5019</v>
      </c>
      <c r="ND30" s="442"/>
      <c r="NG30" s="349"/>
      <c r="NH30" s="349"/>
      <c r="NJ30" s="65"/>
      <c r="NK30" s="961" t="s">
        <v>5062</v>
      </c>
      <c r="NL30" s="12"/>
      <c r="NM30" s="48"/>
      <c r="NN30" s="349"/>
      <c r="NQ30" s="1056" t="str">
        <f t="shared" si="1481"/>
        <v>#NAME?</v>
      </c>
      <c r="NR30" s="1123" t="s">
        <v>4146</v>
      </c>
      <c r="NS30" s="1502" t="str">
        <f t="shared" si="1482"/>
        <v>#NAME?</v>
      </c>
      <c r="NT30" s="1503" t="str">
        <f t="shared" si="1483"/>
        <v>#NAME?</v>
      </c>
      <c r="NU30" s="1501" t="s">
        <v>5018</v>
      </c>
      <c r="NV30" s="442"/>
      <c r="NW30" s="983" t="str">
        <f t="shared" ref="NW30:NW32" si="1514">MONICON21(NX30)</f>
        <v>#NAME?</v>
      </c>
      <c r="NX30" s="1301" t="s">
        <v>1808</v>
      </c>
      <c r="NY30" s="1311" t="str">
        <f t="shared" ref="NY30:NY32" si="1515">MONTYPEICON1(NX30)</f>
        <v>#NAME?</v>
      </c>
      <c r="NZ30" s="1312" t="str">
        <f t="shared" ref="NZ30:NZ32" si="1516">MONTYPEICON2(NX30)</f>
        <v>#NAME?</v>
      </c>
      <c r="OA30" s="1318" t="s">
        <v>5019</v>
      </c>
      <c r="OB30" s="442"/>
      <c r="OC30" s="1068" t="str">
        <f t="shared" si="1484"/>
        <v>#NAME?</v>
      </c>
      <c r="OD30" s="1076" t="s">
        <v>3424</v>
      </c>
      <c r="OE30" s="1358" t="str">
        <f t="shared" si="1485"/>
        <v>#NAME?</v>
      </c>
      <c r="OF30" s="1359" t="str">
        <f t="shared" si="1486"/>
        <v>#NAME?</v>
      </c>
      <c r="OG30" s="1368" t="s">
        <v>5019</v>
      </c>
      <c r="OH30" s="442"/>
      <c r="OK30" s="349"/>
      <c r="OL30" s="349"/>
      <c r="ON30" s="442"/>
      <c r="OO30" s="1193" t="str">
        <f t="shared" si="1379"/>
        <v>#NAME?</v>
      </c>
      <c r="OP30" s="1145" t="s">
        <v>1115</v>
      </c>
      <c r="OQ30" s="1462" t="str">
        <f t="shared" si="1380"/>
        <v>#NAME?</v>
      </c>
      <c r="OR30" s="1463" t="str">
        <f t="shared" si="1381"/>
        <v>#NAME?</v>
      </c>
      <c r="OS30" s="1464" t="s">
        <v>5020</v>
      </c>
      <c r="OU30" s="1094" t="str">
        <f t="shared" si="1292"/>
        <v>#NAME?</v>
      </c>
      <c r="OV30" s="1127" t="s">
        <v>1572</v>
      </c>
      <c r="OW30" s="1420" t="str">
        <f t="shared" si="1293"/>
        <v>#NAME?</v>
      </c>
      <c r="OX30" s="475" t="str">
        <f t="shared" si="1294"/>
        <v>#NAME?</v>
      </c>
      <c r="OY30" s="1422" t="s">
        <v>5022</v>
      </c>
      <c r="PA30" s="1068" t="str">
        <f t="shared" si="1487"/>
        <v>#NAME?</v>
      </c>
      <c r="PB30" s="1076" t="s">
        <v>742</v>
      </c>
      <c r="PC30" s="1358" t="str">
        <f t="shared" si="1488"/>
        <v>#NAME?</v>
      </c>
      <c r="PD30" s="1359" t="str">
        <f t="shared" si="1489"/>
        <v>#NAME?</v>
      </c>
      <c r="PE30" s="1368" t="s">
        <v>5022</v>
      </c>
      <c r="PF30" s="442"/>
      <c r="PI30" s="349"/>
      <c r="PJ30" s="349"/>
      <c r="PM30" s="983" t="str">
        <f t="shared" ref="PM30:PM33" si="1517">MONICON21(PN30)</f>
        <v>#NAME?</v>
      </c>
      <c r="PN30" s="1301" t="s">
        <v>3919</v>
      </c>
      <c r="PO30" s="1311" t="str">
        <f t="shared" ref="PO30:PO33" si="1518">MONTYPEICON1(PN30)</f>
        <v>#NAME?</v>
      </c>
      <c r="PP30" s="1312" t="str">
        <f t="shared" ref="PP30:PP33" si="1519">MONTYPEICON2(PN30)</f>
        <v>#NAME?</v>
      </c>
      <c r="PQ30" s="1318" t="s">
        <v>5021</v>
      </c>
      <c r="PR30" s="442"/>
      <c r="PS30" s="1278"/>
      <c r="PT30" s="1269" t="s">
        <v>4921</v>
      </c>
      <c r="PU30" s="12"/>
      <c r="PV30" s="962"/>
      <c r="PW30" s="1270" t="s">
        <v>4608</v>
      </c>
      <c r="PX30" s="442"/>
      <c r="PY30" s="1027" t="str">
        <f t="shared" si="1385"/>
        <v>#NAME?</v>
      </c>
      <c r="PZ30" s="1340" t="s">
        <v>4153</v>
      </c>
      <c r="QA30" s="1360" t="str">
        <f t="shared" si="1386"/>
        <v>#NAME?</v>
      </c>
      <c r="QB30" s="1361" t="str">
        <f t="shared" si="1387"/>
        <v>#NAME?</v>
      </c>
      <c r="QC30" s="1376" t="s">
        <v>5023</v>
      </c>
      <c r="QD30" s="442"/>
      <c r="QG30" s="349"/>
      <c r="QH30" s="349"/>
      <c r="QJ30" s="442"/>
      <c r="QK30" s="442"/>
      <c r="QL30" s="442"/>
      <c r="QM30" s="108"/>
      <c r="QN30" s="108"/>
      <c r="QO30" s="442"/>
      <c r="QP30" s="442"/>
      <c r="QQ30" s="442"/>
      <c r="QR30" s="442"/>
      <c r="QS30" s="108"/>
      <c r="QT30" s="108"/>
      <c r="QU30" s="442"/>
      <c r="QW30" s="442"/>
      <c r="QX30" s="442"/>
      <c r="QY30" s="108"/>
      <c r="QZ30" s="108"/>
      <c r="RA30" s="442"/>
      <c r="RB30" s="442"/>
      <c r="RC30" s="442"/>
      <c r="RD30" s="442"/>
      <c r="RE30" s="108"/>
      <c r="RF30" s="108"/>
      <c r="RG30" s="442"/>
      <c r="RH30" s="442"/>
      <c r="RI30" s="442"/>
      <c r="RJ30" s="442"/>
      <c r="RK30" s="108"/>
      <c r="RL30" s="108"/>
      <c r="RM30" s="442"/>
      <c r="RO30" s="1094" t="str">
        <f t="shared" si="1436"/>
        <v>#NAME?</v>
      </c>
      <c r="RP30" s="1127" t="s">
        <v>254</v>
      </c>
      <c r="RQ30" s="1420" t="str">
        <f t="shared" si="1437"/>
        <v>#NAME?</v>
      </c>
      <c r="RR30" s="475" t="str">
        <f t="shared" si="1438"/>
        <v>#NAME?</v>
      </c>
      <c r="RS30" s="1422" t="s">
        <v>5112</v>
      </c>
      <c r="RT30" s="442"/>
      <c r="RU30" s="983" t="str">
        <f t="shared" ref="RU30:RU33" si="1520">MONICON21(RV30)</f>
        <v>#NAME?</v>
      </c>
      <c r="RV30" s="1301" t="s">
        <v>1778</v>
      </c>
      <c r="RW30" s="1311" t="str">
        <f t="shared" ref="RW30:RW33" si="1521">MONTYPEICON1(RV30)</f>
        <v>#NAME?</v>
      </c>
      <c r="RX30" s="1312" t="str">
        <f t="shared" ref="RX30:RX33" si="1522">MONTYPEICON2(RV30)</f>
        <v>#NAME?</v>
      </c>
      <c r="RY30" s="1318" t="s">
        <v>5112</v>
      </c>
      <c r="RZ30" s="442"/>
      <c r="SA30" s="1283"/>
      <c r="SB30" s="1264" t="s">
        <v>5639</v>
      </c>
      <c r="SC30" s="12"/>
      <c r="SD30" s="962"/>
      <c r="SE30" s="1288" t="s">
        <v>4608</v>
      </c>
      <c r="SF30" s="442"/>
      <c r="SI30" s="349"/>
      <c r="SJ30" s="349"/>
      <c r="SL30" s="442"/>
      <c r="SM30" s="1012" t="str">
        <f t="shared" ref="SM30:SM31" si="1523">MONICON21(SN30)</f>
        <v>#NAME?</v>
      </c>
      <c r="SN30" s="1301" t="s">
        <v>1039</v>
      </c>
      <c r="SO30" s="1311" t="str">
        <f t="shared" ref="SO30:SO31" si="1524">MONTYPEICON1(SN30)</f>
        <v>#NAME?</v>
      </c>
      <c r="SP30" s="1312" t="str">
        <f t="shared" ref="SP30:SP31" si="1525">MONTYPEICON2(SN30)</f>
        <v>#NAME?</v>
      </c>
      <c r="SQ30" s="1318" t="s">
        <v>5024</v>
      </c>
      <c r="SS30" s="1096" t="str">
        <f t="shared" si="1301"/>
        <v>#NAME?</v>
      </c>
      <c r="ST30" s="1304" t="s">
        <v>4233</v>
      </c>
      <c r="SU30" s="1013" t="str">
        <f t="shared" si="1302"/>
        <v>#NAME?</v>
      </c>
      <c r="SV30" s="1015" t="str">
        <f t="shared" si="1303"/>
        <v>#NAME?</v>
      </c>
      <c r="SW30" s="1321" t="s">
        <v>5024</v>
      </c>
      <c r="SY30" s="1096" t="str">
        <f t="shared" si="1304"/>
        <v>#NAME?</v>
      </c>
      <c r="SZ30" s="1304" t="s">
        <v>2806</v>
      </c>
      <c r="TA30" s="1013" t="str">
        <f t="shared" si="1305"/>
        <v>#NAME?</v>
      </c>
      <c r="TB30" s="1015" t="str">
        <f t="shared" si="1306"/>
        <v>#NAME?</v>
      </c>
      <c r="TC30" s="1321" t="s">
        <v>5024</v>
      </c>
      <c r="TD30" s="65"/>
      <c r="TE30" s="983" t="str">
        <f t="shared" ref="TE30:TE35" si="1526">MONICON21(TF30)</f>
        <v>#NAME?</v>
      </c>
      <c r="TF30" s="1301" t="s">
        <v>3978</v>
      </c>
      <c r="TG30" s="977" t="str">
        <f t="shared" ref="TG30:TG35" si="1527">MONTYPEICON1(TF30)</f>
        <v>#NAME?</v>
      </c>
      <c r="TH30" s="980" t="str">
        <f t="shared" ref="TH30:TH35" si="1528">MONTYPEICON2(TF30)</f>
        <v>#NAME?</v>
      </c>
      <c r="TI30" s="1318" t="s">
        <v>5092</v>
      </c>
      <c r="TM30" s="349"/>
      <c r="TN30" s="349"/>
      <c r="TP30" s="442"/>
      <c r="TS30" s="349"/>
      <c r="TT30" s="349"/>
      <c r="TV30" s="442"/>
      <c r="TW30" s="1013" t="str">
        <f t="shared" si="1307"/>
        <v>#NAME?</v>
      </c>
      <c r="TX30" s="1098" t="s">
        <v>857</v>
      </c>
      <c r="TY30" s="1013" t="str">
        <f t="shared" si="1308"/>
        <v>#NAME?</v>
      </c>
      <c r="TZ30" s="1015" t="str">
        <f t="shared" si="1309"/>
        <v>#NAME?</v>
      </c>
      <c r="UA30" s="1414" t="s">
        <v>5228</v>
      </c>
      <c r="UI30" s="1033" t="str">
        <f t="shared" ref="UI30:UI31" si="1529">MONICON21(UJ30)</f>
        <v>#NAME?</v>
      </c>
      <c r="UJ30" s="1301" t="s">
        <v>3990</v>
      </c>
      <c r="UK30" s="977" t="str">
        <f t="shared" ref="UK30:UK31" si="1530">MONTYPEICON1(UJ30)</f>
        <v>#NAME?</v>
      </c>
      <c r="UL30" s="980" t="str">
        <f t="shared" ref="UL30:UL31" si="1531">MONTYPEICON2(UJ30)</f>
        <v>#NAME?</v>
      </c>
      <c r="UM30" s="1302" t="s">
        <v>5130</v>
      </c>
      <c r="UO30" s="1293"/>
      <c r="UP30" s="1291" t="s">
        <v>5640</v>
      </c>
      <c r="UQ30" s="12"/>
      <c r="UR30" s="962"/>
      <c r="US30" s="1292" t="s">
        <v>4608</v>
      </c>
      <c r="UU30" s="1033" t="str">
        <f t="shared" ref="UU30:UU31" si="1532">MONICON21(UV30)</f>
        <v>#NAME?</v>
      </c>
      <c r="UV30" s="1301" t="s">
        <v>3700</v>
      </c>
      <c r="UW30" s="977" t="str">
        <f t="shared" ref="UW30:UW31" si="1533">MONTYPEICON1(UV30)</f>
        <v>#NAME?</v>
      </c>
      <c r="UX30" s="980" t="str">
        <f t="shared" ref="UX30:UX31" si="1534">MONTYPEICON2(UV30)</f>
        <v>#NAME?</v>
      </c>
      <c r="UY30" s="1303" t="s">
        <v>5118</v>
      </c>
      <c r="VA30" s="1293"/>
      <c r="VB30" s="1291" t="s">
        <v>5641</v>
      </c>
      <c r="VC30" s="12"/>
      <c r="VD30" s="962"/>
      <c r="VE30" s="1292" t="s">
        <v>4608</v>
      </c>
      <c r="VG30" s="442"/>
      <c r="VH30" s="442"/>
      <c r="VI30" s="442"/>
      <c r="VJ30" s="442"/>
      <c r="VK30" s="442"/>
      <c r="VL30" s="442"/>
      <c r="VM30" s="1294"/>
      <c r="VN30" s="1291" t="s">
        <v>5642</v>
      </c>
      <c r="VO30" s="12"/>
      <c r="VP30" s="962"/>
      <c r="VQ30" s="1292" t="s">
        <v>4608</v>
      </c>
      <c r="VR30" s="442"/>
      <c r="VS30" s="1289" t="s">
        <v>5475</v>
      </c>
      <c r="VT30" s="12"/>
      <c r="VU30" s="12"/>
      <c r="VV30" s="12"/>
      <c r="VW30" s="48"/>
      <c r="VX30" s="442"/>
      <c r="VY30" s="442"/>
      <c r="VZ30" s="442"/>
      <c r="WA30" s="442"/>
      <c r="WB30" s="442"/>
      <c r="WC30" s="442"/>
      <c r="WD30" s="442"/>
      <c r="WE30" s="1294"/>
      <c r="WF30" s="1291" t="s">
        <v>5643</v>
      </c>
      <c r="WG30" s="12"/>
      <c r="WH30" s="962"/>
      <c r="WI30" s="1292" t="s">
        <v>4608</v>
      </c>
      <c r="WJ30" s="442"/>
      <c r="WK30" s="1387" t="str">
        <f t="shared" si="1490"/>
        <v>#NAME?</v>
      </c>
      <c r="WL30" s="1388" t="s">
        <v>896</v>
      </c>
      <c r="WM30" s="1387" t="str">
        <f t="shared" si="1491"/>
        <v>#NAME?</v>
      </c>
      <c r="WN30" s="1392" t="str">
        <f t="shared" si="1492"/>
        <v>#NAME?</v>
      </c>
      <c r="WO30" s="1391" t="s">
        <v>5034</v>
      </c>
      <c r="WP30" s="442"/>
      <c r="WQ30" s="977" t="str">
        <f t="shared" ref="WQ30:WQ32" si="1535">MONICON21(WR30)</f>
        <v>#NAME?</v>
      </c>
      <c r="WR30" s="1301" t="s">
        <v>2232</v>
      </c>
      <c r="WS30" s="977" t="str">
        <f t="shared" ref="WS30:WS32" si="1536">MONTYPEICON1(WR30)</f>
        <v>#NAME?</v>
      </c>
      <c r="WT30" s="980" t="str">
        <f t="shared" ref="WT30:WT32" si="1537">MONTYPEICON2(WR30)</f>
        <v>#NAME?</v>
      </c>
      <c r="WU30" s="1303" t="s">
        <v>5106</v>
      </c>
      <c r="WV30" s="442"/>
      <c r="WW30" s="1483"/>
      <c r="WX30" s="1291" t="s">
        <v>5644</v>
      </c>
      <c r="WY30" s="12"/>
      <c r="WZ30" s="962"/>
      <c r="XA30" s="1292" t="s">
        <v>4608</v>
      </c>
      <c r="XB30" s="442"/>
      <c r="XC30" s="1013" t="str">
        <f t="shared" si="1445"/>
        <v>#NAME?</v>
      </c>
      <c r="XD30" s="1098" t="s">
        <v>1816</v>
      </c>
      <c r="XE30" s="1013" t="str">
        <f t="shared" si="1446"/>
        <v>#NAME?</v>
      </c>
      <c r="XF30" s="1015" t="str">
        <f t="shared" si="1447"/>
        <v>#NAME?</v>
      </c>
      <c r="XG30" s="1434" t="s">
        <v>5410</v>
      </c>
      <c r="XH30" s="442"/>
      <c r="XI30" s="963" t="s">
        <v>5645</v>
      </c>
      <c r="XJ30" s="12"/>
      <c r="XK30" s="12"/>
      <c r="XL30" s="12"/>
      <c r="XM30" s="48"/>
      <c r="XN30" s="442"/>
      <c r="XO30" s="1387" t="str">
        <f t="shared" si="1493"/>
        <v>#NAME?</v>
      </c>
      <c r="XP30" s="1388" t="s">
        <v>1343</v>
      </c>
      <c r="XQ30" s="1387" t="str">
        <f t="shared" si="1494"/>
        <v>#NAME?</v>
      </c>
      <c r="XR30" s="1392" t="str">
        <f t="shared" si="1495"/>
        <v>#NAME?</v>
      </c>
      <c r="XS30" s="1391" t="s">
        <v>5092</v>
      </c>
      <c r="XT30" s="442"/>
      <c r="XU30" s="442"/>
      <c r="XV30" s="442"/>
      <c r="XW30" s="442"/>
      <c r="XX30" s="442"/>
      <c r="XY30" s="442"/>
      <c r="XZ30" s="442"/>
      <c r="YA30" s="1294"/>
      <c r="YB30" s="1291" t="s">
        <v>5646</v>
      </c>
      <c r="YC30" s="12"/>
      <c r="YD30" s="962"/>
      <c r="YE30" s="1292" t="s">
        <v>4608</v>
      </c>
      <c r="YF30" s="442"/>
      <c r="YG30" s="1612" t="s">
        <v>4534</v>
      </c>
      <c r="YH30" s="12"/>
      <c r="YI30" s="12"/>
      <c r="YJ30" s="12"/>
      <c r="YK30" s="962"/>
      <c r="YL30" s="442"/>
      <c r="YM30" s="1554" t="s">
        <v>4537</v>
      </c>
      <c r="YN30" s="12"/>
      <c r="YO30" s="12"/>
      <c r="YP30" s="12"/>
      <c r="YQ30" s="48"/>
      <c r="YR30" s="442"/>
      <c r="YU30" s="349"/>
      <c r="YV30" s="349"/>
      <c r="YX30" s="442"/>
      <c r="ZA30" s="349"/>
      <c r="ZB30" s="349"/>
      <c r="ZD30" s="442"/>
      <c r="ZE30" s="1051" t="str">
        <f t="shared" si="1448"/>
        <v>#NAME?</v>
      </c>
      <c r="ZF30" s="1127" t="s">
        <v>2477</v>
      </c>
      <c r="ZG30" s="1051" t="str">
        <f t="shared" si="1449"/>
        <v>#NAME?</v>
      </c>
      <c r="ZH30" s="1131" t="str">
        <f t="shared" si="1450"/>
        <v>#NAME?</v>
      </c>
      <c r="ZI30" s="1095" t="s">
        <v>5025</v>
      </c>
      <c r="ZJ30" s="442"/>
      <c r="ZK30" s="1387" t="str">
        <f t="shared" si="1496"/>
        <v>#NAME?</v>
      </c>
      <c r="ZL30" s="1395" t="s">
        <v>767</v>
      </c>
      <c r="ZM30" s="1387" t="str">
        <f t="shared" si="1497"/>
        <v>#NAME?</v>
      </c>
      <c r="ZN30" s="1392" t="str">
        <f t="shared" si="1498"/>
        <v>#NAME?</v>
      </c>
      <c r="ZO30" s="1396" t="s">
        <v>5113</v>
      </c>
      <c r="ZP30" s="442"/>
      <c r="ZQ30" s="1472"/>
      <c r="ZR30" s="1291" t="s">
        <v>5647</v>
      </c>
      <c r="ZS30" s="12"/>
      <c r="ZT30" s="962"/>
      <c r="ZU30" s="1292" t="s">
        <v>4608</v>
      </c>
      <c r="ZV30" s="442"/>
      <c r="ZW30" s="1092" t="str">
        <f>MONICON21(ZX30)</f>
        <v>#NAME?</v>
      </c>
      <c r="ZX30" s="1229" t="s">
        <v>1328</v>
      </c>
      <c r="ZY30" s="1092" t="str">
        <f>MONTYPEICON1(ZX30)</f>
        <v>#NAME?</v>
      </c>
      <c r="ZZ30" s="987" t="str">
        <f>MONTYPEICON2(ZX30)</f>
        <v>#NAME?</v>
      </c>
      <c r="AAA30" s="1421" t="s">
        <v>5648</v>
      </c>
      <c r="AAB30" s="442"/>
      <c r="AAC30" s="977" t="str">
        <f t="shared" ref="AAC30:AAC32" si="1538">MONICON21(AAD30)</f>
        <v>#NAME?</v>
      </c>
      <c r="AAD30" s="1301" t="s">
        <v>3433</v>
      </c>
      <c r="AAE30" s="977" t="str">
        <f t="shared" ref="AAE30:AAE32" si="1539">MONTYPEICON1(AAD30)</f>
        <v>#NAME?</v>
      </c>
      <c r="AAF30" s="980" t="str">
        <f t="shared" ref="AAF30:AAF32" si="1540">MONTYPEICON2(AAD30)</f>
        <v>#NAME?</v>
      </c>
      <c r="AAG30" s="1303" t="s">
        <v>5025</v>
      </c>
      <c r="AAH30" s="442"/>
      <c r="AAI30" s="1013" t="str">
        <f t="shared" si="1325"/>
        <v>#NAME?</v>
      </c>
      <c r="AAJ30" s="1098" t="s">
        <v>2661</v>
      </c>
      <c r="AAK30" s="1013" t="str">
        <f t="shared" si="1326"/>
        <v>#NAME?</v>
      </c>
      <c r="AAL30" s="1015" t="str">
        <f t="shared" si="1327"/>
        <v>#NAME?</v>
      </c>
      <c r="AAM30" s="1423" t="s">
        <v>5227</v>
      </c>
      <c r="AAO30" s="1013" t="str">
        <f t="shared" si="1328"/>
        <v>#NAME?</v>
      </c>
      <c r="AAP30" s="1098" t="s">
        <v>1384</v>
      </c>
      <c r="AAQ30" s="1013" t="str">
        <f t="shared" si="1329"/>
        <v>#NAME?</v>
      </c>
      <c r="AAR30" s="1015" t="str">
        <f t="shared" si="1330"/>
        <v>#NAME?</v>
      </c>
      <c r="AAS30" s="1423" t="s">
        <v>5117</v>
      </c>
      <c r="AAU30" s="1013" t="str">
        <f t="shared" si="1331"/>
        <v>#NAME?</v>
      </c>
      <c r="AAV30" s="1098" t="s">
        <v>1384</v>
      </c>
      <c r="AAW30" s="1013" t="str">
        <f t="shared" si="1332"/>
        <v>#NAME?</v>
      </c>
      <c r="AAX30" s="1015" t="str">
        <f t="shared" si="1333"/>
        <v>#NAME?</v>
      </c>
      <c r="AAY30" s="1423" t="s">
        <v>5117</v>
      </c>
      <c r="ABA30" s="1013" t="str">
        <f t="shared" si="1334"/>
        <v>#NAME?</v>
      </c>
      <c r="ABB30" s="1098" t="s">
        <v>2341</v>
      </c>
      <c r="ABC30" s="1013" t="str">
        <f t="shared" si="1335"/>
        <v>#NAME?</v>
      </c>
      <c r="ABD30" s="1015" t="str">
        <f t="shared" si="1336"/>
        <v>#NAME?</v>
      </c>
      <c r="ABE30" s="1423" t="s">
        <v>5036</v>
      </c>
      <c r="ABG30" s="1013" t="str">
        <f t="shared" si="1337"/>
        <v>#NAME?</v>
      </c>
      <c r="ABH30" s="1098" t="s">
        <v>2661</v>
      </c>
      <c r="ABI30" s="1013" t="str">
        <f t="shared" si="1338"/>
        <v>#NAME?</v>
      </c>
      <c r="ABJ30" s="1015" t="str">
        <f t="shared" si="1339"/>
        <v>#NAME?</v>
      </c>
      <c r="ABK30" s="1423" t="s">
        <v>5036</v>
      </c>
      <c r="ABM30" s="1013" t="str">
        <f t="shared" si="1340"/>
        <v>#NAME?</v>
      </c>
      <c r="ABN30" s="1098" t="s">
        <v>1014</v>
      </c>
      <c r="ABO30" s="1013" t="str">
        <f t="shared" si="1341"/>
        <v>#NAME?</v>
      </c>
      <c r="ABP30" s="1015" t="str">
        <f t="shared" si="1342"/>
        <v>#NAME?</v>
      </c>
      <c r="ABQ30" s="1423" t="s">
        <v>5036</v>
      </c>
      <c r="ABS30" s="1013" t="str">
        <f t="shared" si="1343"/>
        <v>#NAME?</v>
      </c>
      <c r="ABT30" s="1098" t="s">
        <v>4238</v>
      </c>
      <c r="ABU30" s="1013" t="str">
        <f t="shared" si="1344"/>
        <v>#NAME?</v>
      </c>
      <c r="ABV30" s="1015" t="str">
        <f t="shared" si="1345"/>
        <v>#NAME?</v>
      </c>
      <c r="ABW30" s="1423" t="s">
        <v>5176</v>
      </c>
      <c r="ABY30" s="1511" t="s">
        <v>5177</v>
      </c>
      <c r="ACC30" s="1154"/>
      <c r="ACE30" s="1155"/>
      <c r="ACI30" s="1154"/>
      <c r="ACJ30" s="996"/>
    </row>
    <row r="31" ht="15.75" customHeight="1">
      <c r="A31" s="1230"/>
      <c r="B31" s="1403" t="str">
        <f>image("https://www.serebii.net/games/ribbons/sinnohchampribbon.png", 3)</f>
        <v/>
      </c>
      <c r="C31" s="1404" t="s">
        <v>5649</v>
      </c>
      <c r="D31" s="1382" t="s">
        <v>4608</v>
      </c>
      <c r="E31" s="1230"/>
      <c r="F31" s="1238"/>
      <c r="G31" s="1615" t="s">
        <v>5650</v>
      </c>
      <c r="H31" s="1230"/>
      <c r="I31" s="1053" t="str">
        <f>MONICON21(J31)</f>
        <v>#NAME?</v>
      </c>
      <c r="J31" s="1052" t="s">
        <v>3613</v>
      </c>
      <c r="K31" s="985" t="str">
        <f>MONTYPEICON1(J31)</f>
        <v>#NAME?</v>
      </c>
      <c r="L31" s="1052" t="str">
        <f>MONTYPEICON2(J31)</f>
        <v>#NAME?</v>
      </c>
      <c r="M31" s="1196" t="s">
        <v>5456</v>
      </c>
      <c r="N31" s="1230"/>
      <c r="O31" s="442"/>
      <c r="P31" s="442"/>
      <c r="Q31" s="442"/>
      <c r="R31" s="442"/>
      <c r="S31" s="108"/>
      <c r="T31" s="1230"/>
      <c r="U31" s="1071" t="str">
        <f t="shared" si="1499"/>
        <v>#NAME?</v>
      </c>
      <c r="V31" s="1076" t="s">
        <v>526</v>
      </c>
      <c r="W31" s="1071" t="str">
        <f t="shared" si="1500"/>
        <v>#NAME?</v>
      </c>
      <c r="X31" s="1073" t="str">
        <f t="shared" si="1501"/>
        <v>#NAME?</v>
      </c>
      <c r="Y31" s="1093" t="s">
        <v>4990</v>
      </c>
      <c r="Z31" s="1230"/>
      <c r="AA31" s="1260"/>
      <c r="AB31" s="1261" t="s">
        <v>4892</v>
      </c>
      <c r="AC31" s="959"/>
      <c r="AD31" s="957"/>
      <c r="AE31" s="1262" t="s">
        <v>4608</v>
      </c>
      <c r="AF31" s="1230"/>
      <c r="AL31" s="1230"/>
      <c r="AR31" s="1230"/>
      <c r="AS31" s="1448" t="str">
        <f t="shared" si="1502"/>
        <v>#NAME?</v>
      </c>
      <c r="AT31" s="1366" t="s">
        <v>1976</v>
      </c>
      <c r="AU31" s="1353" t="str">
        <f t="shared" si="1503"/>
        <v>#NAME?</v>
      </c>
      <c r="AV31" s="1354" t="str">
        <f t="shared" si="1504"/>
        <v>#NAME?</v>
      </c>
      <c r="AW31" s="1413" t="s">
        <v>5155</v>
      </c>
      <c r="AX31" s="1230"/>
      <c r="AY31" s="349"/>
      <c r="BD31" s="442"/>
      <c r="BE31" s="349"/>
      <c r="BJ31" s="442"/>
      <c r="BK31" s="1260"/>
      <c r="BL31" s="1261" t="s">
        <v>4892</v>
      </c>
      <c r="BM31" s="959"/>
      <c r="BN31" s="957"/>
      <c r="BO31" s="1262" t="s">
        <v>4608</v>
      </c>
      <c r="BP31" s="442"/>
      <c r="BV31" s="442"/>
      <c r="BW31" s="1080" t="str">
        <f t="shared" si="1412"/>
        <v>#NAME?</v>
      </c>
      <c r="BX31" s="1505" t="s">
        <v>2651</v>
      </c>
      <c r="BY31" s="1080" t="str">
        <f t="shared" si="1413"/>
        <v>#NAME?</v>
      </c>
      <c r="BZ31" s="1126" t="str">
        <f t="shared" si="1414"/>
        <v>#NAME?</v>
      </c>
      <c r="CA31" s="1606" t="s">
        <v>4995</v>
      </c>
      <c r="CB31" s="442"/>
      <c r="CH31" s="442"/>
      <c r="CI31" s="961" t="s">
        <v>5651</v>
      </c>
      <c r="CJ31" s="12"/>
      <c r="CK31" s="48"/>
      <c r="CM31" s="442"/>
      <c r="CN31" s="442"/>
      <c r="CO31" s="1094" t="str">
        <f t="shared" si="1454"/>
        <v>#NAME?</v>
      </c>
      <c r="CP31" s="1410" t="s">
        <v>2591</v>
      </c>
      <c r="CQ31" s="1051" t="str">
        <f t="shared" si="1455"/>
        <v>#NAME?</v>
      </c>
      <c r="CR31" s="1131" t="str">
        <f t="shared" si="1456"/>
        <v>#NAME?</v>
      </c>
      <c r="CS31" s="1411" t="s">
        <v>4994</v>
      </c>
      <c r="CT31" s="442"/>
      <c r="CZ31" s="442"/>
      <c r="DA31" s="1266"/>
      <c r="DB31" s="1259" t="s">
        <v>5652</v>
      </c>
      <c r="DC31" s="12"/>
      <c r="DD31" s="962"/>
      <c r="DE31" s="1267" t="s">
        <v>4608</v>
      </c>
      <c r="DG31" s="1159" t="str">
        <f t="shared" si="1418"/>
        <v>#NAME?</v>
      </c>
      <c r="DH31" s="1453" t="s">
        <v>3642</v>
      </c>
      <c r="DI31" s="1454" t="str">
        <f t="shared" si="1419"/>
        <v>#NAME?</v>
      </c>
      <c r="DJ31" s="1455" t="str">
        <f t="shared" si="1420"/>
        <v>#NAME?</v>
      </c>
      <c r="DK31" s="1456" t="s">
        <v>5045</v>
      </c>
      <c r="DL31" s="442"/>
      <c r="DM31" s="1266"/>
      <c r="DN31" s="1259" t="s">
        <v>5653</v>
      </c>
      <c r="DO31" s="12"/>
      <c r="DP31" s="962"/>
      <c r="DQ31" s="1258" t="s">
        <v>4608</v>
      </c>
      <c r="DR31" s="442"/>
      <c r="DX31" s="442"/>
      <c r="ED31" s="442"/>
      <c r="EE31" s="1273"/>
      <c r="EF31" s="1274" t="s">
        <v>4908</v>
      </c>
      <c r="EG31" s="959"/>
      <c r="EH31" s="957"/>
      <c r="EI31" s="1275" t="s">
        <v>4608</v>
      </c>
      <c r="EJ31" s="1230"/>
      <c r="EK31" s="985" t="str">
        <f>MONICON21(EL31)</f>
        <v>#NAME?</v>
      </c>
      <c r="EL31" s="41" t="s">
        <v>2710</v>
      </c>
      <c r="EM31" s="1092" t="str">
        <f>MONTYPEICON1(EL31)</f>
        <v>#NAME?</v>
      </c>
      <c r="EN31" s="987" t="str">
        <f>MONTYPEICON2(EL31)</f>
        <v>#NAME?</v>
      </c>
      <c r="EO31" s="1091" t="s">
        <v>5045</v>
      </c>
      <c r="EP31" s="1230"/>
      <c r="EQ31" s="1012" t="str">
        <f t="shared" ref="EQ31:EQ32" si="1541">MONICON21(ER31)</f>
        <v>#NAME?</v>
      </c>
      <c r="ER31" s="1407" t="s">
        <v>3856</v>
      </c>
      <c r="ES31" s="977" t="str">
        <f t="shared" ref="ES31:ES32" si="1542">MONTYPEICON1(ER31)</f>
        <v>#NAME?</v>
      </c>
      <c r="ET31" s="980" t="str">
        <f t="shared" ref="ET31:ET32" si="1543">MONTYPEICON2(ER31)</f>
        <v>#NAME?</v>
      </c>
      <c r="EU31" s="1408" t="s">
        <v>5045</v>
      </c>
      <c r="EV31" s="1230"/>
      <c r="EW31" s="1068" t="str">
        <f t="shared" si="1505"/>
        <v>#NAME?</v>
      </c>
      <c r="EX31" s="1078" t="s">
        <v>347</v>
      </c>
      <c r="EY31" s="1071" t="str">
        <f t="shared" si="1506"/>
        <v>#NAME?</v>
      </c>
      <c r="EZ31" s="1073" t="str">
        <f t="shared" si="1507"/>
        <v>#NAME?</v>
      </c>
      <c r="FA31" s="1093" t="s">
        <v>5000</v>
      </c>
      <c r="FB31" s="442"/>
      <c r="FC31" s="961" t="s">
        <v>5272</v>
      </c>
      <c r="FD31" s="12"/>
      <c r="FE31" s="48"/>
      <c r="FF31" s="349"/>
      <c r="FG31" s="108"/>
      <c r="FH31" s="442"/>
      <c r="FI31" s="1094" t="str">
        <f t="shared" si="1460"/>
        <v>#NAME?</v>
      </c>
      <c r="FJ31" s="1479" t="s">
        <v>383</v>
      </c>
      <c r="FK31" s="1051" t="str">
        <f t="shared" si="1461"/>
        <v>#NAME?</v>
      </c>
      <c r="FL31" s="1131" t="str">
        <f t="shared" si="1462"/>
        <v>#NAME?</v>
      </c>
      <c r="FM31" s="1411" t="s">
        <v>5078</v>
      </c>
      <c r="FN31" s="442"/>
      <c r="FQ31" s="349"/>
      <c r="FR31" s="349"/>
      <c r="FT31" s="442"/>
      <c r="FU31" s="1272" t="s">
        <v>4762</v>
      </c>
      <c r="FV31" s="12"/>
      <c r="FW31" s="12"/>
      <c r="FX31" s="12"/>
      <c r="FY31" s="48"/>
      <c r="FZ31" s="442"/>
      <c r="GA31" s="983" t="str">
        <f t="shared" ref="GA31:GA36" si="1544">MONICON21(GB31)</f>
        <v>#NAME?</v>
      </c>
      <c r="GB31" s="1157" t="s">
        <v>2849</v>
      </c>
      <c r="GC31" s="1313" t="str">
        <f t="shared" ref="GC31:GC36" si="1545">MONTYPEICON1(GB31)</f>
        <v>#NAME?</v>
      </c>
      <c r="GD31" s="1314" t="str">
        <f t="shared" ref="GD31:GD36" si="1546">MONTYPEICON2(GB31)</f>
        <v>#NAME?</v>
      </c>
      <c r="GE31" s="1303" t="s">
        <v>5034</v>
      </c>
      <c r="GF31" s="442"/>
      <c r="GI31" s="349"/>
      <c r="GJ31" s="349"/>
      <c r="GK31" s="349"/>
      <c r="GL31" s="1230"/>
      <c r="GM31" s="1286"/>
      <c r="GN31" s="1259" t="s">
        <v>5654</v>
      </c>
      <c r="GO31" s="12"/>
      <c r="GP31" s="962"/>
      <c r="GQ31" s="1258" t="s">
        <v>4608</v>
      </c>
      <c r="GR31" s="65"/>
      <c r="GS31" s="1266"/>
      <c r="GT31" s="1259" t="s">
        <v>5655</v>
      </c>
      <c r="GU31" s="12"/>
      <c r="GV31" s="962"/>
      <c r="GW31" s="1258" t="s">
        <v>4608</v>
      </c>
      <c r="GX31" s="65"/>
      <c r="GY31" s="983" t="str">
        <f t="shared" ref="GY31:GY33" si="1547">MONICON21(GZ31)</f>
        <v>#NAME?</v>
      </c>
      <c r="GZ31" s="1157" t="s">
        <v>896</v>
      </c>
      <c r="HA31" s="977" t="str">
        <f t="shared" ref="HA31:HA33" si="1548">MONTYPEICON1(GZ31)</f>
        <v>#NAME?</v>
      </c>
      <c r="HB31" s="980" t="str">
        <f t="shared" ref="HB31:HB33" si="1549">MONTYPEICON2(GZ31)</f>
        <v>#NAME?</v>
      </c>
      <c r="HC31" s="1303" t="s">
        <v>5004</v>
      </c>
      <c r="HD31" s="1230"/>
      <c r="HE31" s="65"/>
      <c r="HF31" s="65"/>
      <c r="HG31" s="108"/>
      <c r="HH31" s="108"/>
      <c r="HI31" s="108"/>
      <c r="HJ31" s="1230"/>
      <c r="HK31" s="983" t="str">
        <f t="shared" ref="HK31:HK33" si="1550">MONICON21(HL31)</f>
        <v>#NAME?</v>
      </c>
      <c r="HL31" s="1301" t="s">
        <v>3158</v>
      </c>
      <c r="HM31" s="977" t="str">
        <f t="shared" ref="HM31:HM33" si="1551">MONTYPEICON1(HL31)</f>
        <v>#NAME?</v>
      </c>
      <c r="HN31" s="980" t="str">
        <f t="shared" ref="HN31:HN33" si="1552">MONTYPEICON2(HL31)</f>
        <v>#NAME?</v>
      </c>
      <c r="HO31" s="1303" t="s">
        <v>5006</v>
      </c>
      <c r="HP31" s="65"/>
      <c r="HS31" s="349"/>
      <c r="HT31" s="349"/>
      <c r="HW31" s="983" t="str">
        <f t="shared" ref="HW31:HW36" si="1553">MONICON21(HX31)</f>
        <v>#NAME?</v>
      </c>
      <c r="HX31" s="1157" t="s">
        <v>1343</v>
      </c>
      <c r="HY31" s="1311" t="str">
        <f t="shared" ref="HY31:HY36" si="1554">MONTYPEICON1(HX31)</f>
        <v>#NAME?</v>
      </c>
      <c r="HZ31" s="1312" t="str">
        <f t="shared" ref="HZ31:HZ36" si="1555">MONTYPEICON2(HX31)</f>
        <v>#NAME?</v>
      </c>
      <c r="IA31" s="1303" t="s">
        <v>5214</v>
      </c>
      <c r="IB31" s="65"/>
      <c r="IC31" s="1068" t="str">
        <f t="shared" si="1508"/>
        <v>#NAME?</v>
      </c>
      <c r="ID31" s="1356" t="s">
        <v>254</v>
      </c>
      <c r="IE31" s="1358" t="str">
        <f t="shared" si="1509"/>
        <v>#NAME?</v>
      </c>
      <c r="IF31" s="1359" t="str">
        <f t="shared" si="1510"/>
        <v>#NAME?</v>
      </c>
      <c r="IG31" s="1338" t="s">
        <v>5214</v>
      </c>
      <c r="IH31" s="65"/>
      <c r="II31" s="1096" t="str">
        <f t="shared" si="1364"/>
        <v>#NAME?</v>
      </c>
      <c r="IJ31" s="1415" t="s">
        <v>1376</v>
      </c>
      <c r="IK31" s="1418" t="str">
        <f t="shared" si="1365"/>
        <v>#NAME?</v>
      </c>
      <c r="IL31" s="1419" t="str">
        <f t="shared" si="1366"/>
        <v>#NAME?</v>
      </c>
      <c r="IM31" s="1416" t="s">
        <v>5008</v>
      </c>
      <c r="IO31" s="1346" t="str">
        <f t="shared" si="1424"/>
        <v>#NAME?</v>
      </c>
      <c r="IP31" s="1449" t="s">
        <v>4139</v>
      </c>
      <c r="IQ31" s="1348" t="str">
        <f t="shared" si="1425"/>
        <v>#NAME?</v>
      </c>
      <c r="IR31" s="1349" t="str">
        <f t="shared" si="1426"/>
        <v>#NAME?</v>
      </c>
      <c r="IS31" s="1450" t="s">
        <v>5009</v>
      </c>
      <c r="IT31" s="1230"/>
      <c r="IU31" s="1094" t="str">
        <f t="shared" si="1469"/>
        <v>#NAME?</v>
      </c>
      <c r="IV31" s="1552" t="s">
        <v>1343</v>
      </c>
      <c r="IW31" s="1420" t="str">
        <f t="shared" si="1470"/>
        <v>#NAME?</v>
      </c>
      <c r="IX31" s="475" t="str">
        <f t="shared" si="1471"/>
        <v>#NAME?</v>
      </c>
      <c r="IY31" s="1553" t="s">
        <v>5084</v>
      </c>
      <c r="IZ31" s="442"/>
      <c r="JA31" s="442"/>
      <c r="JB31" s="442"/>
      <c r="JC31" s="108"/>
      <c r="JD31" s="108"/>
      <c r="JE31" s="442"/>
      <c r="JF31" s="442"/>
      <c r="JG31" s="1266"/>
      <c r="JH31" s="1259" t="s">
        <v>5656</v>
      </c>
      <c r="JI31" s="12"/>
      <c r="JJ31" s="962"/>
      <c r="JK31" s="1258" t="s">
        <v>4608</v>
      </c>
      <c r="JL31" s="442"/>
      <c r="JM31" s="983" t="str">
        <f t="shared" ref="JM31:JM36" si="1556">MONICON21(JN31)</f>
        <v>#NAME?</v>
      </c>
      <c r="JN31" s="1301" t="s">
        <v>4238</v>
      </c>
      <c r="JO31" s="977" t="str">
        <f t="shared" ref="JO31:JO36" si="1557">MONTYPEICON1(JN31)</f>
        <v>#NAME?</v>
      </c>
      <c r="JP31" s="980" t="str">
        <f t="shared" ref="JP31:JP36" si="1558">MONTYPEICON2(JN31)</f>
        <v>#NAME?</v>
      </c>
      <c r="JQ31" s="1303" t="s">
        <v>5010</v>
      </c>
      <c r="JR31" s="442"/>
      <c r="JS31" s="1012" t="str">
        <f t="shared" ref="JS31:JS36" si="1559">MONICON21(JT31)</f>
        <v>#NAME?</v>
      </c>
      <c r="JT31" s="1317" t="s">
        <v>3670</v>
      </c>
      <c r="JU31" s="1313" t="str">
        <f t="shared" ref="JU31:JU36" si="1560">MONTYPEICON1(JT31)</f>
        <v>#NAME?</v>
      </c>
      <c r="JV31" s="1314" t="str">
        <f t="shared" ref="JV31:JV36" si="1561">MONTYPEICON2(JT31)</f>
        <v>#NAME?</v>
      </c>
      <c r="JW31" s="1303" t="s">
        <v>5010</v>
      </c>
      <c r="JY31" s="961" t="s">
        <v>5657</v>
      </c>
      <c r="JZ31" s="12"/>
      <c r="KA31" s="48"/>
      <c r="KB31" s="349"/>
      <c r="KC31" s="349"/>
      <c r="KE31" s="1266"/>
      <c r="KF31" s="1259" t="s">
        <v>5658</v>
      </c>
      <c r="KG31" s="12"/>
      <c r="KH31" s="962"/>
      <c r="KI31" s="1258" t="s">
        <v>4608</v>
      </c>
      <c r="KJ31" s="65"/>
      <c r="KK31" s="1283"/>
      <c r="KL31" s="1264" t="s">
        <v>5659</v>
      </c>
      <c r="KM31" s="12"/>
      <c r="KN31" s="962"/>
      <c r="KO31" s="1265" t="s">
        <v>4608</v>
      </c>
      <c r="KP31" s="65"/>
      <c r="KQ31" s="961" t="s">
        <v>5564</v>
      </c>
      <c r="KR31" s="12"/>
      <c r="KS31" s="48"/>
      <c r="KT31" s="349"/>
      <c r="KU31" s="349"/>
      <c r="KV31" s="65"/>
      <c r="KW31" s="1280"/>
      <c r="KX31" s="1274" t="s">
        <v>4908</v>
      </c>
      <c r="KY31" s="959"/>
      <c r="KZ31" s="957"/>
      <c r="LA31" s="1282" t="s">
        <v>4608</v>
      </c>
      <c r="LC31" s="1266"/>
      <c r="LD31" s="1259" t="s">
        <v>5660</v>
      </c>
      <c r="LE31" s="12"/>
      <c r="LF31" s="962"/>
      <c r="LG31" s="1258" t="s">
        <v>4608</v>
      </c>
      <c r="LI31" s="1266"/>
      <c r="LJ31" s="1259" t="s">
        <v>5661</v>
      </c>
      <c r="LK31" s="12"/>
      <c r="LL31" s="962"/>
      <c r="LM31" s="1258" t="s">
        <v>4608</v>
      </c>
      <c r="LO31" s="1094" t="str">
        <f t="shared" si="1478"/>
        <v>#NAME?</v>
      </c>
      <c r="LP31" s="1127" t="s">
        <v>3360</v>
      </c>
      <c r="LQ31" s="1051" t="str">
        <f t="shared" si="1479"/>
        <v>#NAME?</v>
      </c>
      <c r="LR31" s="1131" t="str">
        <f t="shared" si="1480"/>
        <v>#NAME?</v>
      </c>
      <c r="LS31" s="1422" t="s">
        <v>5015</v>
      </c>
      <c r="LU31" s="973" t="s">
        <v>5662</v>
      </c>
      <c r="LV31" s="976"/>
      <c r="LW31" s="976"/>
      <c r="LX31" s="976"/>
      <c r="LY31" s="954"/>
      <c r="LZ31" s="442"/>
      <c r="MA31" s="983" t="str">
        <f t="shared" ref="MA31:MA32" si="1562">MONICON21(MB31)</f>
        <v>#NAME?</v>
      </c>
      <c r="MB31" s="1301" t="s">
        <v>1321</v>
      </c>
      <c r="MC31" s="977" t="str">
        <f t="shared" ref="MC31:MC32" si="1563">MONTYPEICON1(MB31)</f>
        <v>#NAME?</v>
      </c>
      <c r="MD31" s="980" t="str">
        <f t="shared" ref="MD31:MD32" si="1564">MONTYPEICON2(MB31)</f>
        <v>#NAME?</v>
      </c>
      <c r="ME31" s="1318" t="s">
        <v>5015</v>
      </c>
      <c r="MF31" s="442"/>
      <c r="MG31" s="1351" t="str">
        <f t="shared" si="1511"/>
        <v>#NAME?</v>
      </c>
      <c r="MH31" s="1372" t="s">
        <v>3926</v>
      </c>
      <c r="MI31" s="1353" t="str">
        <f t="shared" si="1512"/>
        <v>#NAME?</v>
      </c>
      <c r="MJ31" s="1354" t="str">
        <f t="shared" si="1513"/>
        <v>#NAME?</v>
      </c>
      <c r="MK31" s="1367" t="s">
        <v>5017</v>
      </c>
      <c r="ML31" s="442"/>
      <c r="MO31" s="349"/>
      <c r="MP31" s="349"/>
      <c r="MS31" s="961" t="s">
        <v>5309</v>
      </c>
      <c r="MT31" s="12"/>
      <c r="MU31" s="48"/>
      <c r="MV31" s="108"/>
      <c r="MW31" s="442"/>
      <c r="MX31" s="442"/>
      <c r="MY31" s="1096" t="str">
        <f t="shared" si="1376"/>
        <v>#NAME?</v>
      </c>
      <c r="MZ31" s="1301" t="s">
        <v>4146</v>
      </c>
      <c r="NA31" s="1013" t="str">
        <f t="shared" si="1377"/>
        <v>#NAME?</v>
      </c>
      <c r="NB31" s="1015" t="str">
        <f t="shared" si="1378"/>
        <v>#NAME?</v>
      </c>
      <c r="NC31" s="1318" t="s">
        <v>5019</v>
      </c>
      <c r="ND31" s="442"/>
      <c r="NE31" s="1286"/>
      <c r="NF31" s="1259" t="s">
        <v>5663</v>
      </c>
      <c r="NG31" s="12"/>
      <c r="NH31" s="962"/>
      <c r="NI31" s="1258" t="s">
        <v>4608</v>
      </c>
      <c r="NJ31" s="65"/>
      <c r="NK31" s="1271"/>
      <c r="NL31" s="1264" t="s">
        <v>5664</v>
      </c>
      <c r="NM31" s="12"/>
      <c r="NN31" s="962"/>
      <c r="NO31" s="1265" t="s">
        <v>4608</v>
      </c>
      <c r="NQ31" s="1096" t="str">
        <f t="shared" si="1481"/>
        <v>#NAME?</v>
      </c>
      <c r="NR31" s="1098" t="s">
        <v>2867</v>
      </c>
      <c r="NS31" s="1418" t="str">
        <f t="shared" si="1482"/>
        <v>#NAME?</v>
      </c>
      <c r="NT31" s="1419" t="str">
        <f t="shared" si="1483"/>
        <v>#NAME?</v>
      </c>
      <c r="NU31" s="1423" t="s">
        <v>5018</v>
      </c>
      <c r="NV31" s="442"/>
      <c r="NW31" s="1068" t="str">
        <f t="shared" si="1514"/>
        <v>#NAME?</v>
      </c>
      <c r="NX31" s="1076" t="s">
        <v>878</v>
      </c>
      <c r="NY31" s="1358" t="str">
        <f t="shared" si="1515"/>
        <v>#NAME?</v>
      </c>
      <c r="NZ31" s="1359" t="str">
        <f t="shared" si="1516"/>
        <v>#NAME?</v>
      </c>
      <c r="OA31" s="1368" t="s">
        <v>5019</v>
      </c>
      <c r="OB31" s="442"/>
      <c r="OC31" s="1094" t="str">
        <f t="shared" si="1484"/>
        <v>#NAME?</v>
      </c>
      <c r="OD31" s="1127" t="s">
        <v>713</v>
      </c>
      <c r="OE31" s="1420" t="str">
        <f t="shared" si="1485"/>
        <v>#NAME?</v>
      </c>
      <c r="OF31" s="475" t="str">
        <f t="shared" si="1486"/>
        <v>#NAME?</v>
      </c>
      <c r="OG31" s="1422" t="s">
        <v>5019</v>
      </c>
      <c r="OH31" s="442"/>
      <c r="OI31" s="1266"/>
      <c r="OJ31" s="1259" t="s">
        <v>5665</v>
      </c>
      <c r="OK31" s="12"/>
      <c r="OL31" s="962"/>
      <c r="OM31" s="1258" t="s">
        <v>4608</v>
      </c>
      <c r="ON31" s="442"/>
      <c r="OQ31" s="349"/>
      <c r="OR31" s="349"/>
      <c r="OT31" s="65"/>
      <c r="OW31" s="349"/>
      <c r="OX31" s="349"/>
      <c r="OZ31" s="442"/>
      <c r="PA31" s="1094" t="str">
        <f t="shared" si="1487"/>
        <v>#NAME?</v>
      </c>
      <c r="PB31" s="1127" t="s">
        <v>1968</v>
      </c>
      <c r="PC31" s="1420" t="str">
        <f t="shared" si="1488"/>
        <v>#NAME?</v>
      </c>
      <c r="PD31" s="475" t="str">
        <f t="shared" si="1489"/>
        <v>#NAME?</v>
      </c>
      <c r="PE31" s="1422" t="s">
        <v>5022</v>
      </c>
      <c r="PF31" s="442"/>
      <c r="PG31" s="1286"/>
      <c r="PH31" s="1259" t="s">
        <v>5666</v>
      </c>
      <c r="PI31" s="12"/>
      <c r="PJ31" s="962"/>
      <c r="PK31" s="1258" t="s">
        <v>4608</v>
      </c>
      <c r="PM31" s="1068" t="str">
        <f t="shared" si="1517"/>
        <v>#NAME?</v>
      </c>
      <c r="PN31" s="1076" t="s">
        <v>1014</v>
      </c>
      <c r="PO31" s="1358" t="str">
        <f t="shared" si="1518"/>
        <v>#NAME?</v>
      </c>
      <c r="PP31" s="1359" t="str">
        <f t="shared" si="1519"/>
        <v>#NAME?</v>
      </c>
      <c r="PQ31" s="1368" t="s">
        <v>5021</v>
      </c>
      <c r="PS31" s="1012" t="str">
        <f t="shared" ref="PS31:PS36" si="1565">MONICON21(PT31)</f>
        <v>#NAME?</v>
      </c>
      <c r="PT31" s="1301" t="s">
        <v>742</v>
      </c>
      <c r="PU31" s="1313" t="str">
        <f t="shared" ref="PU31:PU36" si="1566">MONTYPEICON1(PT31)</f>
        <v>#NAME?</v>
      </c>
      <c r="PV31" s="1314" t="str">
        <f t="shared" ref="PV31:PV36" si="1567">MONTYPEICON2(PT31)</f>
        <v>#NAME?</v>
      </c>
      <c r="PW31" s="1318" t="s">
        <v>5023</v>
      </c>
      <c r="PX31" s="442"/>
      <c r="PY31" s="1096" t="str">
        <f t="shared" si="1385"/>
        <v>#NAME?</v>
      </c>
      <c r="PZ31" s="1098" t="s">
        <v>1384</v>
      </c>
      <c r="QA31" s="1418" t="str">
        <f t="shared" si="1386"/>
        <v>#NAME?</v>
      </c>
      <c r="QB31" s="1419" t="str">
        <f t="shared" si="1387"/>
        <v>#NAME?</v>
      </c>
      <c r="QC31" s="1423" t="s">
        <v>5023</v>
      </c>
      <c r="QD31" s="442"/>
      <c r="QG31" s="349"/>
      <c r="QH31" s="349"/>
      <c r="QJ31" s="442"/>
      <c r="QK31" s="1344"/>
      <c r="QL31" s="1323" t="s">
        <v>5667</v>
      </c>
      <c r="QM31" s="12"/>
      <c r="QN31" s="962"/>
      <c r="QO31" s="1345" t="s">
        <v>4608</v>
      </c>
      <c r="QP31" s="442"/>
      <c r="QQ31" s="1344"/>
      <c r="QR31" s="1323" t="s">
        <v>5668</v>
      </c>
      <c r="QS31" s="12"/>
      <c r="QT31" s="962"/>
      <c r="QU31" s="1345" t="s">
        <v>4608</v>
      </c>
      <c r="QV31" s="442"/>
      <c r="QW31" s="1375"/>
      <c r="QX31" s="1323" t="s">
        <v>5669</v>
      </c>
      <c r="QY31" s="12"/>
      <c r="QZ31" s="962"/>
      <c r="RA31" s="1345" t="s">
        <v>4608</v>
      </c>
      <c r="RB31" s="442"/>
      <c r="RC31" s="1375"/>
      <c r="RD31" s="1323" t="s">
        <v>5670</v>
      </c>
      <c r="RE31" s="12"/>
      <c r="RF31" s="962"/>
      <c r="RG31" s="1345" t="s">
        <v>4608</v>
      </c>
      <c r="RH31" s="442"/>
      <c r="RI31" s="1375"/>
      <c r="RJ31" s="1323" t="s">
        <v>5671</v>
      </c>
      <c r="RK31" s="12"/>
      <c r="RL31" s="962"/>
      <c r="RM31" s="1345" t="s">
        <v>4608</v>
      </c>
      <c r="RN31" s="442"/>
      <c r="RQ31" s="349"/>
      <c r="RR31" s="349"/>
      <c r="RT31" s="442"/>
      <c r="RU31" s="1068" t="str">
        <f t="shared" si="1520"/>
        <v>#NAME?</v>
      </c>
      <c r="RV31" s="1076" t="s">
        <v>3317</v>
      </c>
      <c r="RW31" s="1358" t="str">
        <f t="shared" si="1521"/>
        <v>#NAME?</v>
      </c>
      <c r="RX31" s="1359" t="str">
        <f t="shared" si="1522"/>
        <v>#NAME?</v>
      </c>
      <c r="RY31" s="1368" t="s">
        <v>5112</v>
      </c>
      <c r="RZ31" s="442"/>
      <c r="SA31" s="983" t="str">
        <f t="shared" ref="SA31:SA36" si="1568">MONICON21(SB31)</f>
        <v>#NAME?</v>
      </c>
      <c r="SB31" s="1304" t="s">
        <v>2192</v>
      </c>
      <c r="SC31" s="977" t="str">
        <f t="shared" ref="SC31:SC36" si="1569">MONTYPEICON1(SB31)</f>
        <v>#NAME?</v>
      </c>
      <c r="SD31" s="980" t="str">
        <f t="shared" ref="SD31:SD36" si="1570">MONTYPEICON2(SB31)</f>
        <v>#NAME?</v>
      </c>
      <c r="SE31" s="1321" t="s">
        <v>5024</v>
      </c>
      <c r="SF31" s="442"/>
      <c r="SG31" s="961" t="s">
        <v>4554</v>
      </c>
      <c r="SH31" s="12"/>
      <c r="SI31" s="12"/>
      <c r="SJ31" s="12"/>
      <c r="SK31" s="48"/>
      <c r="SL31" s="442"/>
      <c r="SM31" s="1193" t="str">
        <f t="shared" si="1523"/>
        <v>#NAME?</v>
      </c>
      <c r="SN31" s="1145" t="s">
        <v>4238</v>
      </c>
      <c r="SO31" s="1462" t="str">
        <f t="shared" si="1524"/>
        <v>#NAME?</v>
      </c>
      <c r="SP31" s="1463" t="str">
        <f t="shared" si="1525"/>
        <v>#NAME?</v>
      </c>
      <c r="SQ31" s="1464" t="s">
        <v>5024</v>
      </c>
      <c r="SS31" s="1105" t="str">
        <f t="shared" si="1301"/>
        <v>#NAME?</v>
      </c>
      <c r="ST31" s="1505" t="s">
        <v>1452</v>
      </c>
      <c r="SU31" s="1080" t="str">
        <f t="shared" si="1302"/>
        <v>#NAME?</v>
      </c>
      <c r="SV31" s="1126" t="str">
        <f t="shared" si="1303"/>
        <v>#NAME?</v>
      </c>
      <c r="SW31" s="1506" t="s">
        <v>5092</v>
      </c>
      <c r="SY31" s="1105" t="str">
        <f t="shared" si="1304"/>
        <v>#NAME?</v>
      </c>
      <c r="SZ31" s="1505" t="s">
        <v>2625</v>
      </c>
      <c r="TA31" s="1080" t="str">
        <f t="shared" si="1305"/>
        <v>#NAME?</v>
      </c>
      <c r="TB31" s="1126" t="str">
        <f t="shared" si="1306"/>
        <v>#NAME?</v>
      </c>
      <c r="TC31" s="1506" t="s">
        <v>5092</v>
      </c>
      <c r="TD31" s="65"/>
      <c r="TE31" s="1351" t="str">
        <f t="shared" si="1526"/>
        <v>#NAME?</v>
      </c>
      <c r="TF31" s="1372" t="s">
        <v>2798</v>
      </c>
      <c r="TG31" s="1353" t="str">
        <f t="shared" si="1527"/>
        <v>#NAME?</v>
      </c>
      <c r="TH31" s="1354" t="str">
        <f t="shared" si="1528"/>
        <v>#NAME?</v>
      </c>
      <c r="TI31" s="1367" t="s">
        <v>5092</v>
      </c>
      <c r="TK31" s="1286"/>
      <c r="TL31" s="1259" t="s">
        <v>5672</v>
      </c>
      <c r="TM31" s="12"/>
      <c r="TN31" s="962"/>
      <c r="TO31" s="1004" t="s">
        <v>4608</v>
      </c>
      <c r="TP31" s="442"/>
      <c r="TQ31" s="1266"/>
      <c r="TR31" s="1259" t="s">
        <v>5673</v>
      </c>
      <c r="TS31" s="12"/>
      <c r="TT31" s="962"/>
      <c r="TU31" s="1004" t="s">
        <v>4608</v>
      </c>
      <c r="TV31" s="442"/>
      <c r="TW31" s="1529" t="str">
        <f t="shared" si="1307"/>
        <v>#NAME?</v>
      </c>
      <c r="TX31" s="1530" t="s">
        <v>1482</v>
      </c>
      <c r="TY31" s="1529" t="str">
        <f t="shared" si="1308"/>
        <v>#NAME?</v>
      </c>
      <c r="TZ31" s="1531" t="str">
        <f t="shared" si="1309"/>
        <v>#NAME?</v>
      </c>
      <c r="UA31" s="1532" t="s">
        <v>5229</v>
      </c>
      <c r="UI31" s="1383" t="str">
        <f t="shared" si="1529"/>
        <v>#NAME?</v>
      </c>
      <c r="UJ31" s="1508" t="s">
        <v>750</v>
      </c>
      <c r="UK31" s="1383" t="str">
        <f t="shared" si="1530"/>
        <v>#NAME?</v>
      </c>
      <c r="UL31" s="1385" t="str">
        <f t="shared" si="1531"/>
        <v>#NAME?</v>
      </c>
      <c r="UM31" s="1509" t="s">
        <v>5130</v>
      </c>
      <c r="UO31" s="1033" t="str">
        <f t="shared" ref="UO31:UO32" si="1571">MONICON21(UP31)</f>
        <v>#NAME?</v>
      </c>
      <c r="UP31" s="1301" t="s">
        <v>1722</v>
      </c>
      <c r="UQ31" s="977" t="str">
        <f t="shared" ref="UQ31:UQ32" si="1572">MONTYPEICON1(UP31)</f>
        <v>#NAME?</v>
      </c>
      <c r="UR31" s="980" t="str">
        <f t="shared" ref="UR31:UR32" si="1573">MONTYPEICON2(UP31)</f>
        <v>#NAME?</v>
      </c>
      <c r="US31" s="1302" t="s">
        <v>5130</v>
      </c>
      <c r="UU31" s="1383" t="str">
        <f t="shared" si="1532"/>
        <v>#NAME?</v>
      </c>
      <c r="UV31" s="1384" t="s">
        <v>1073</v>
      </c>
      <c r="UW31" s="1383" t="str">
        <f t="shared" si="1533"/>
        <v>#NAME?</v>
      </c>
      <c r="UX31" s="1385" t="str">
        <f t="shared" si="1534"/>
        <v>#NAME?</v>
      </c>
      <c r="UY31" s="1386" t="s">
        <v>5118</v>
      </c>
      <c r="VA31" s="1033" t="str">
        <f t="shared" ref="VA31:VA32" si="1574">MONICON21(VB31)</f>
        <v>#NAME?</v>
      </c>
      <c r="VB31" s="1301" t="s">
        <v>3879</v>
      </c>
      <c r="VC31" s="977" t="str">
        <f t="shared" ref="VC31:VC32" si="1575">MONTYPEICON1(VB31)</f>
        <v>#NAME?</v>
      </c>
      <c r="VD31" s="980" t="str">
        <f t="shared" ref="VD31:VD32" si="1576">MONTYPEICON2(VB31)</f>
        <v>#NAME?</v>
      </c>
      <c r="VE31" s="1303" t="s">
        <v>5029</v>
      </c>
      <c r="VG31" s="1294"/>
      <c r="VH31" s="1291" t="s">
        <v>5674</v>
      </c>
      <c r="VI31" s="12"/>
      <c r="VJ31" s="962"/>
      <c r="VK31" s="1292" t="s">
        <v>4608</v>
      </c>
      <c r="VL31" s="442"/>
      <c r="VM31" s="977" t="str">
        <f t="shared" ref="VM31:VM33" si="1577">MONICON21(VN31)</f>
        <v>#NAME?</v>
      </c>
      <c r="VN31" s="1301" t="s">
        <v>653</v>
      </c>
      <c r="VO31" s="977" t="str">
        <f t="shared" ref="VO31:VO33" si="1578">MONTYPEICON1(VN31)</f>
        <v>#NAME?</v>
      </c>
      <c r="VP31" s="980" t="str">
        <f t="shared" ref="VP31:VP33" si="1579">MONTYPEICON2(VN31)</f>
        <v>#NAME?</v>
      </c>
      <c r="VQ31" s="1303" t="s">
        <v>5361</v>
      </c>
      <c r="VR31" s="442"/>
      <c r="VX31" s="442"/>
      <c r="VY31" s="1289" t="s">
        <v>4894</v>
      </c>
      <c r="VZ31" s="12"/>
      <c r="WA31" s="12"/>
      <c r="WB31" s="12"/>
      <c r="WC31" s="48"/>
      <c r="WD31" s="442"/>
      <c r="WE31" s="1092" t="str">
        <f>MONICON21(WF31)</f>
        <v>#NAME?</v>
      </c>
      <c r="WF31" s="1616" t="s">
        <v>1443</v>
      </c>
      <c r="WG31" s="1092" t="str">
        <f>MONTYPEICON1(WF31)</f>
        <v>#NAME?</v>
      </c>
      <c r="WH31" s="987" t="str">
        <f>MONTYPEICON2(WF31)</f>
        <v>#NAME?</v>
      </c>
      <c r="WI31" s="1617" t="s">
        <v>5431</v>
      </c>
      <c r="WJ31" s="442"/>
      <c r="WK31" s="1051" t="str">
        <f t="shared" si="1490"/>
        <v>#NAME?</v>
      </c>
      <c r="WL31" s="1127" t="s">
        <v>2867</v>
      </c>
      <c r="WM31" s="1051" t="str">
        <f t="shared" si="1491"/>
        <v>#NAME?</v>
      </c>
      <c r="WN31" s="1131" t="str">
        <f t="shared" si="1492"/>
        <v>#NAME?</v>
      </c>
      <c r="WO31" s="1095" t="s">
        <v>5034</v>
      </c>
      <c r="WP31" s="442"/>
      <c r="WQ31" s="1387" t="str">
        <f t="shared" si="1535"/>
        <v>#NAME?</v>
      </c>
      <c r="WR31" s="1388" t="s">
        <v>2232</v>
      </c>
      <c r="WS31" s="1387" t="str">
        <f t="shared" si="1536"/>
        <v>#NAME?</v>
      </c>
      <c r="WT31" s="1392" t="str">
        <f t="shared" si="1537"/>
        <v>#NAME?</v>
      </c>
      <c r="WU31" s="1391" t="s">
        <v>5106</v>
      </c>
      <c r="WV31" s="442"/>
      <c r="WW31" s="1092" t="str">
        <f>MONICON21(WX31)</f>
        <v>#NAME?</v>
      </c>
      <c r="WX31" s="1052" t="s">
        <v>4004</v>
      </c>
      <c r="WY31" s="1092" t="str">
        <f>MONTYPEICON1(WX31)</f>
        <v>#NAME?</v>
      </c>
      <c r="WZ31" s="987" t="str">
        <f>MONTYPEICON2(WX31)</f>
        <v>#NAME?</v>
      </c>
      <c r="XA31" s="1327" t="s">
        <v>5174</v>
      </c>
      <c r="XB31" s="442"/>
      <c r="XC31" s="1387" t="str">
        <f t="shared" si="1445"/>
        <v>#NAME?</v>
      </c>
      <c r="XD31" s="1388" t="s">
        <v>1312</v>
      </c>
      <c r="XE31" s="1387" t="str">
        <f t="shared" si="1446"/>
        <v>#NAME?</v>
      </c>
      <c r="XF31" s="1392" t="str">
        <f t="shared" si="1447"/>
        <v>#NAME?</v>
      </c>
      <c r="XG31" s="1394" t="s">
        <v>5410</v>
      </c>
      <c r="XH31" s="442"/>
      <c r="XI31" s="442"/>
      <c r="XJ31" s="442"/>
      <c r="XK31" s="442"/>
      <c r="XL31" s="442"/>
      <c r="XM31" s="442"/>
      <c r="XN31" s="442"/>
      <c r="XO31" s="1051" t="str">
        <f t="shared" si="1493"/>
        <v>#NAME?</v>
      </c>
      <c r="XP31" s="1127" t="s">
        <v>3896</v>
      </c>
      <c r="XQ31" s="1051" t="str">
        <f t="shared" si="1494"/>
        <v>#NAME?</v>
      </c>
      <c r="XR31" s="1131" t="str">
        <f t="shared" si="1495"/>
        <v>#NAME?</v>
      </c>
      <c r="XS31" s="1095" t="s">
        <v>5092</v>
      </c>
      <c r="XT31" s="442"/>
      <c r="XU31" s="1483"/>
      <c r="XV31" s="1291" t="s">
        <v>5675</v>
      </c>
      <c r="XW31" s="12"/>
      <c r="XX31" s="962"/>
      <c r="XY31" s="1292" t="s">
        <v>4608</v>
      </c>
      <c r="XZ31" s="442"/>
      <c r="YA31" s="1033" t="str">
        <f t="shared" ref="YA31:YA32" si="1580">MONICON21(YB31)</f>
        <v>#NAME?</v>
      </c>
      <c r="YB31" s="1301" t="s">
        <v>1219</v>
      </c>
      <c r="YC31" s="977" t="str">
        <f t="shared" ref="YC31:YC32" si="1581">MONTYPEICON1(YB31)</f>
        <v>#NAME?</v>
      </c>
      <c r="YD31" s="980" t="str">
        <f t="shared" ref="YD31:YD32" si="1582">MONTYPEICON2(YB31)</f>
        <v>#NAME?</v>
      </c>
      <c r="YE31" s="1302" t="s">
        <v>5006</v>
      </c>
      <c r="YF31" s="442"/>
      <c r="YI31" s="349"/>
      <c r="YJ31" s="349"/>
      <c r="YL31" s="442"/>
      <c r="YO31" s="349"/>
      <c r="YP31" s="349"/>
      <c r="YR31" s="442"/>
      <c r="YS31" s="1289" t="s">
        <v>4541</v>
      </c>
      <c r="YT31" s="12"/>
      <c r="YU31" s="12"/>
      <c r="YV31" s="12"/>
      <c r="YW31" s="48"/>
      <c r="YX31" s="442"/>
      <c r="YY31" s="963" t="s">
        <v>4837</v>
      </c>
      <c r="YZ31" s="12"/>
      <c r="ZA31" s="12"/>
      <c r="ZB31" s="12"/>
      <c r="ZC31" s="48"/>
      <c r="ZD31" s="442"/>
      <c r="ZE31" s="349"/>
      <c r="ZG31" s="349"/>
      <c r="ZH31" s="349"/>
      <c r="ZJ31" s="442"/>
      <c r="ZK31" s="1013" t="str">
        <f t="shared" si="1496"/>
        <v>#NAME?</v>
      </c>
      <c r="ZL31" s="1435" t="s">
        <v>3872</v>
      </c>
      <c r="ZM31" s="1013" t="str">
        <f t="shared" si="1497"/>
        <v>#NAME?</v>
      </c>
      <c r="ZN31" s="1015" t="str">
        <f t="shared" si="1498"/>
        <v>#NAME?</v>
      </c>
      <c r="ZO31" s="1436" t="s">
        <v>5113</v>
      </c>
      <c r="ZP31" s="442"/>
      <c r="ZQ31" s="977" t="str">
        <f t="shared" ref="ZQ31:ZQ34" si="1583">MONICON21(ZR31)</f>
        <v>#NAME?</v>
      </c>
      <c r="ZR31" s="1325" t="s">
        <v>1264</v>
      </c>
      <c r="ZS31" s="977" t="str">
        <f t="shared" ref="ZS31:ZS34" si="1584">MONTYPEICON1(ZR31)</f>
        <v>#NAME?</v>
      </c>
      <c r="ZT31" s="980" t="str">
        <f t="shared" ref="ZT31:ZT34" si="1585">MONTYPEICON2(ZR31)</f>
        <v>#NAME?</v>
      </c>
      <c r="ZU31" s="1326" t="s">
        <v>5035</v>
      </c>
      <c r="ZV31" s="442"/>
      <c r="ZW31" s="349"/>
      <c r="ZY31" s="349"/>
      <c r="ZZ31" s="349"/>
      <c r="AAB31" s="442"/>
      <c r="AAC31" s="1387" t="str">
        <f t="shared" si="1538"/>
        <v>#NAME?</v>
      </c>
      <c r="AAD31" s="1388" t="s">
        <v>2133</v>
      </c>
      <c r="AAE31" s="1387" t="str">
        <f t="shared" si="1539"/>
        <v>#NAME?</v>
      </c>
      <c r="AAF31" s="1392" t="str">
        <f t="shared" si="1540"/>
        <v>#NAME?</v>
      </c>
      <c r="AAG31" s="1391" t="s">
        <v>5025</v>
      </c>
      <c r="AAH31" s="442"/>
      <c r="AAI31" s="1383" t="str">
        <f t="shared" si="1325"/>
        <v>#NAME?</v>
      </c>
      <c r="AAJ31" s="1384" t="s">
        <v>3628</v>
      </c>
      <c r="AAK31" s="1383" t="str">
        <f t="shared" si="1326"/>
        <v>#NAME?</v>
      </c>
      <c r="AAL31" s="1385" t="str">
        <f t="shared" si="1327"/>
        <v>#NAME?</v>
      </c>
      <c r="AAM31" s="1510" t="s">
        <v>5228</v>
      </c>
      <c r="AAO31" s="1383" t="str">
        <f t="shared" si="1328"/>
        <v>#NAME?</v>
      </c>
      <c r="AAP31" s="1384" t="s">
        <v>3628</v>
      </c>
      <c r="AAQ31" s="1383" t="str">
        <f t="shared" si="1329"/>
        <v>#NAME?</v>
      </c>
      <c r="AAR31" s="1385" t="str">
        <f t="shared" si="1330"/>
        <v>#NAME?</v>
      </c>
      <c r="AAS31" s="1510" t="s">
        <v>5227</v>
      </c>
      <c r="AAU31" s="1383" t="str">
        <f t="shared" si="1331"/>
        <v>#NAME?</v>
      </c>
      <c r="AAV31" s="1384" t="s">
        <v>3628</v>
      </c>
      <c r="AAW31" s="1383" t="str">
        <f t="shared" si="1332"/>
        <v>#NAME?</v>
      </c>
      <c r="AAX31" s="1385" t="str">
        <f t="shared" si="1333"/>
        <v>#NAME?</v>
      </c>
      <c r="AAY31" s="1510" t="s">
        <v>5227</v>
      </c>
      <c r="ABA31" s="1383" t="str">
        <f t="shared" si="1334"/>
        <v>#NAME?</v>
      </c>
      <c r="ABB31" s="1384" t="s">
        <v>3750</v>
      </c>
      <c r="ABC31" s="1383" t="str">
        <f t="shared" si="1335"/>
        <v>#NAME?</v>
      </c>
      <c r="ABD31" s="1385" t="str">
        <f t="shared" si="1336"/>
        <v>#NAME?</v>
      </c>
      <c r="ABE31" s="1510" t="s">
        <v>5176</v>
      </c>
      <c r="ABG31" s="1383" t="str">
        <f t="shared" si="1337"/>
        <v>#NAME?</v>
      </c>
      <c r="ABH31" s="1384" t="s">
        <v>3736</v>
      </c>
      <c r="ABI31" s="1383" t="str">
        <f t="shared" si="1338"/>
        <v>#NAME?</v>
      </c>
      <c r="ABJ31" s="1385" t="str">
        <f t="shared" si="1339"/>
        <v>#NAME?</v>
      </c>
      <c r="ABK31" s="1510" t="s">
        <v>5176</v>
      </c>
      <c r="ABM31" s="1383" t="str">
        <f t="shared" si="1340"/>
        <v>#NAME?</v>
      </c>
      <c r="ABN31" s="1384" t="s">
        <v>3919</v>
      </c>
      <c r="ABO31" s="1383" t="str">
        <f t="shared" si="1341"/>
        <v>#NAME?</v>
      </c>
      <c r="ABP31" s="1385" t="str">
        <f t="shared" si="1342"/>
        <v>#NAME?</v>
      </c>
      <c r="ABQ31" s="1510" t="s">
        <v>5176</v>
      </c>
      <c r="ABS31" s="1383" t="str">
        <f t="shared" si="1343"/>
        <v>#NAME?</v>
      </c>
      <c r="ABT31" s="1384" t="s">
        <v>4049</v>
      </c>
      <c r="ABU31" s="1383" t="str">
        <f t="shared" si="1344"/>
        <v>#NAME?</v>
      </c>
      <c r="ABV31" s="1385" t="str">
        <f t="shared" si="1345"/>
        <v>#NAME?</v>
      </c>
      <c r="ABW31" s="1510" t="s">
        <v>5117</v>
      </c>
      <c r="ABY31" s="1437"/>
      <c r="ABZ31" s="1438" t="s">
        <v>5676</v>
      </c>
      <c r="ACA31" s="1439"/>
      <c r="ACB31" s="1440"/>
      <c r="ACC31" s="1441" t="s">
        <v>4608</v>
      </c>
      <c r="ACE31" s="1016"/>
      <c r="ACF31" s="1019"/>
      <c r="ACG31" s="1019"/>
      <c r="ACH31" s="1019"/>
      <c r="ACI31" s="1020"/>
      <c r="ACJ31" s="996"/>
    </row>
    <row r="32" ht="15.75" customHeight="1">
      <c r="A32" s="1230"/>
      <c r="B32" s="1444"/>
      <c r="C32" s="1445"/>
      <c r="D32" s="1446"/>
      <c r="E32" s="1230"/>
      <c r="F32" s="1238"/>
      <c r="G32" s="1618" t="s">
        <v>5677</v>
      </c>
      <c r="H32" s="1230"/>
      <c r="I32" s="1447"/>
      <c r="J32" s="1269" t="s">
        <v>4922</v>
      </c>
      <c r="K32" s="12"/>
      <c r="L32" s="962"/>
      <c r="M32" s="1270" t="s">
        <v>4608</v>
      </c>
      <c r="N32" s="1230"/>
      <c r="O32" s="1260"/>
      <c r="P32" s="1261" t="s">
        <v>4892</v>
      </c>
      <c r="Q32" s="959"/>
      <c r="R32" s="957"/>
      <c r="S32" s="1262" t="s">
        <v>4608</v>
      </c>
      <c r="T32" s="1230"/>
      <c r="U32" s="1051" t="str">
        <f t="shared" si="1499"/>
        <v>#NAME?</v>
      </c>
      <c r="V32" s="1127" t="s">
        <v>270</v>
      </c>
      <c r="W32" s="1051" t="str">
        <f t="shared" si="1500"/>
        <v>#NAME?</v>
      </c>
      <c r="X32" s="1131" t="str">
        <f t="shared" si="1501"/>
        <v>#NAME?</v>
      </c>
      <c r="Y32" s="1095" t="s">
        <v>4990</v>
      </c>
      <c r="Z32" s="1230"/>
      <c r="AA32" s="985" t="s">
        <v>4992</v>
      </c>
      <c r="AB32" s="12"/>
      <c r="AC32" s="12"/>
      <c r="AD32" s="12"/>
      <c r="AE32" s="48"/>
      <c r="AF32" s="1230"/>
      <c r="AL32" s="1230"/>
      <c r="AM32" s="973" t="s">
        <v>5678</v>
      </c>
      <c r="AN32" s="976"/>
      <c r="AO32" s="976"/>
      <c r="AP32" s="976"/>
      <c r="AQ32" s="954"/>
      <c r="AR32" s="1230"/>
      <c r="AS32" s="1053" t="str">
        <f t="shared" si="1502"/>
        <v>#NAME?</v>
      </c>
      <c r="AT32" s="1479" t="s">
        <v>159</v>
      </c>
      <c r="AU32" s="1051" t="str">
        <f t="shared" si="1503"/>
        <v>#NAME?</v>
      </c>
      <c r="AV32" s="1131" t="str">
        <f t="shared" si="1504"/>
        <v>#NAME?</v>
      </c>
      <c r="AW32" s="1411" t="s">
        <v>5155</v>
      </c>
      <c r="AX32" s="1230"/>
      <c r="AY32" s="1255"/>
      <c r="AZ32" s="1259" t="s">
        <v>5679</v>
      </c>
      <c r="BA32" s="12"/>
      <c r="BB32" s="962"/>
      <c r="BC32" s="1258" t="s">
        <v>4608</v>
      </c>
      <c r="BD32" s="442"/>
      <c r="BE32" s="1255"/>
      <c r="BF32" s="1259" t="s">
        <v>5680</v>
      </c>
      <c r="BG32" s="12"/>
      <c r="BH32" s="962"/>
      <c r="BI32" s="1258" t="s">
        <v>4608</v>
      </c>
      <c r="BJ32" s="442"/>
      <c r="BK32" s="985" t="s">
        <v>4992</v>
      </c>
      <c r="BL32" s="12"/>
      <c r="BM32" s="12"/>
      <c r="BN32" s="12"/>
      <c r="BO32" s="48"/>
      <c r="BP32" s="442"/>
      <c r="BQ32" s="961" t="s">
        <v>5681</v>
      </c>
      <c r="BR32" s="12"/>
      <c r="BS32" s="12"/>
      <c r="BT32" s="12"/>
      <c r="BU32" s="48"/>
      <c r="BV32" s="442"/>
      <c r="BW32" s="349"/>
      <c r="CB32" s="442"/>
      <c r="CH32" s="442"/>
      <c r="CI32" s="1273"/>
      <c r="CJ32" s="1307" t="s">
        <v>4908</v>
      </c>
      <c r="CK32" s="12"/>
      <c r="CL32" s="962"/>
      <c r="CM32" s="1282" t="s">
        <v>4608</v>
      </c>
      <c r="CN32" s="1230"/>
      <c r="CO32" s="442"/>
      <c r="CP32" s="442"/>
      <c r="CQ32" s="442"/>
      <c r="CR32" s="442"/>
      <c r="CS32" s="442"/>
      <c r="CT32" s="442"/>
      <c r="CU32" s="1266"/>
      <c r="CV32" s="1259" t="s">
        <v>5682</v>
      </c>
      <c r="CW32" s="12"/>
      <c r="CX32" s="962"/>
      <c r="CY32" s="1267" t="s">
        <v>4608</v>
      </c>
      <c r="CZ32" s="442"/>
      <c r="DA32" s="1012" t="str">
        <f t="shared" ref="DA32:DA34" si="1586">MONICON21(DB32)</f>
        <v>#NAME?</v>
      </c>
      <c r="DB32" s="1304" t="s">
        <v>2258</v>
      </c>
      <c r="DC32" s="977" t="str">
        <f t="shared" ref="DC32:DC34" si="1587">MONTYPEICON1(DB32)</f>
        <v>#NAME?</v>
      </c>
      <c r="DD32" s="980" t="str">
        <f t="shared" ref="DD32:DD34" si="1588">MONTYPEICON2(DB32)</f>
        <v>#NAME?</v>
      </c>
      <c r="DE32" s="1305" t="s">
        <v>5099</v>
      </c>
      <c r="DF32" s="442"/>
      <c r="DL32" s="442"/>
      <c r="DM32" s="1012" t="str">
        <f t="shared" ref="DM32:DM33" si="1589">MONICON21(DN32)</f>
        <v>#NAME?</v>
      </c>
      <c r="DN32" s="1304" t="s">
        <v>2914</v>
      </c>
      <c r="DO32" s="977" t="str">
        <f t="shared" ref="DO32:DO33" si="1590">MONTYPEICON1(DN32)</f>
        <v>#NAME?</v>
      </c>
      <c r="DP32" s="980" t="str">
        <f t="shared" ref="DP32:DP33" si="1591">MONTYPEICON2(DN32)</f>
        <v>#NAME?</v>
      </c>
      <c r="DQ32" s="1305" t="s">
        <v>5135</v>
      </c>
      <c r="DR32" s="442"/>
      <c r="DS32" s="961" t="s">
        <v>5304</v>
      </c>
      <c r="DT32" s="12"/>
      <c r="DU32" s="48"/>
      <c r="DW32" s="442"/>
      <c r="DX32" s="442"/>
      <c r="ED32" s="442"/>
      <c r="EE32" s="983" t="str">
        <f t="shared" ref="EE32:EE34" si="1592">MONICON21(EF32)</f>
        <v>#NAME?</v>
      </c>
      <c r="EF32" s="38" t="s">
        <v>3934</v>
      </c>
      <c r="EG32" s="977" t="str">
        <f t="shared" ref="EG32:EG34" si="1593">MONTYPEICON1(EF32)</f>
        <v>#NAME?</v>
      </c>
      <c r="EH32" s="980" t="str">
        <f t="shared" ref="EH32:EH34" si="1594">MONTYPEICON2(EF32)</f>
        <v>#NAME?</v>
      </c>
      <c r="EI32" s="1043" t="s">
        <v>5201</v>
      </c>
      <c r="EJ32" s="1230"/>
      <c r="EM32" s="349"/>
      <c r="EN32" s="349"/>
      <c r="EP32" s="1230"/>
      <c r="EQ32" s="1193" t="str">
        <f t="shared" si="1541"/>
        <v>#NAME?</v>
      </c>
      <c r="ER32" s="1335" t="s">
        <v>1849</v>
      </c>
      <c r="ES32" s="1146" t="str">
        <f t="shared" si="1542"/>
        <v>#NAME?</v>
      </c>
      <c r="ET32" s="1148" t="str">
        <f t="shared" si="1543"/>
        <v>#NAME?</v>
      </c>
      <c r="EU32" s="1336" t="s">
        <v>5045</v>
      </c>
      <c r="EV32" s="1230"/>
      <c r="EW32" s="1094" t="str">
        <f t="shared" si="1505"/>
        <v>#NAME?</v>
      </c>
      <c r="EX32" s="499" t="s">
        <v>364</v>
      </c>
      <c r="EY32" s="1051" t="str">
        <f t="shared" si="1506"/>
        <v>#NAME?</v>
      </c>
      <c r="EZ32" s="1131" t="str">
        <f t="shared" si="1507"/>
        <v>#NAME?</v>
      </c>
      <c r="FA32" s="1095" t="s">
        <v>5045</v>
      </c>
      <c r="FB32" s="442"/>
      <c r="FC32" s="1266"/>
      <c r="FD32" s="1259" t="s">
        <v>5683</v>
      </c>
      <c r="FE32" s="12"/>
      <c r="FF32" s="962"/>
      <c r="FG32" s="1258" t="s">
        <v>4608</v>
      </c>
      <c r="FH32" s="442"/>
      <c r="FK32" s="349"/>
      <c r="FL32" s="349"/>
      <c r="FN32" s="442"/>
      <c r="FO32" s="1266"/>
      <c r="FP32" s="1259" t="s">
        <v>5684</v>
      </c>
      <c r="FQ32" s="12"/>
      <c r="FR32" s="962"/>
      <c r="FS32" s="1258" t="s">
        <v>4608</v>
      </c>
      <c r="FT32" s="442"/>
      <c r="FW32" s="349"/>
      <c r="FX32" s="349"/>
      <c r="FZ32" s="442"/>
      <c r="GA32" s="1056" t="str">
        <f t="shared" si="1544"/>
        <v>#NAME?</v>
      </c>
      <c r="GB32" s="1465" t="s">
        <v>767</v>
      </c>
      <c r="GC32" s="1502" t="str">
        <f t="shared" si="1545"/>
        <v>#NAME?</v>
      </c>
      <c r="GD32" s="1503" t="str">
        <f t="shared" si="1546"/>
        <v>#NAME?</v>
      </c>
      <c r="GE32" s="1339" t="s">
        <v>5034</v>
      </c>
      <c r="GF32" s="1230"/>
      <c r="GG32" s="1286"/>
      <c r="GH32" s="1259" t="s">
        <v>5685</v>
      </c>
      <c r="GI32" s="12"/>
      <c r="GJ32" s="962"/>
      <c r="GK32" s="1258" t="s">
        <v>4608</v>
      </c>
      <c r="GL32" s="1230"/>
      <c r="GM32" s="985" t="str">
        <f>MONICON21(GN32)</f>
        <v>#NAME?</v>
      </c>
      <c r="GN32" s="1310" t="s">
        <v>559</v>
      </c>
      <c r="GO32" s="1092" t="str">
        <f>MONTYPEICON1(GN32)</f>
        <v>#NAME?</v>
      </c>
      <c r="GP32" s="987" t="str">
        <f>MONTYPEICON2(GN32)</f>
        <v>#NAME?</v>
      </c>
      <c r="GQ32" s="1309" t="s">
        <v>5004</v>
      </c>
      <c r="GR32" s="65"/>
      <c r="GS32" s="985" t="str">
        <f>MONICON21(GT32)</f>
        <v>#NAME?</v>
      </c>
      <c r="GT32" s="1310" t="s">
        <v>1808</v>
      </c>
      <c r="GU32" s="1092" t="str">
        <f>MONTYPEICON1(GT32)</f>
        <v>#NAME?</v>
      </c>
      <c r="GV32" s="987" t="str">
        <f>MONTYPEICON2(GT32)</f>
        <v>#NAME?</v>
      </c>
      <c r="GW32" s="1309" t="s">
        <v>5004</v>
      </c>
      <c r="GX32" s="65"/>
      <c r="GY32" s="1068" t="str">
        <f t="shared" si="1547"/>
        <v>#NAME?</v>
      </c>
      <c r="GZ32" s="1078" t="s">
        <v>1073</v>
      </c>
      <c r="HA32" s="1071" t="str">
        <f t="shared" si="1548"/>
        <v>#NAME?</v>
      </c>
      <c r="HB32" s="1073" t="str">
        <f t="shared" si="1549"/>
        <v>#NAME?</v>
      </c>
      <c r="HC32" s="1093" t="s">
        <v>5004</v>
      </c>
      <c r="HD32" s="1230"/>
      <c r="HE32" s="1286"/>
      <c r="HF32" s="1259" t="s">
        <v>5686</v>
      </c>
      <c r="HG32" s="12"/>
      <c r="HH32" s="962"/>
      <c r="HI32" s="1258" t="s">
        <v>4608</v>
      </c>
      <c r="HJ32" s="1230"/>
      <c r="HK32" s="1056" t="str">
        <f t="shared" si="1550"/>
        <v>#NAME?</v>
      </c>
      <c r="HL32" s="1123" t="s">
        <v>1697</v>
      </c>
      <c r="HM32" s="1021" t="str">
        <f t="shared" si="1551"/>
        <v>#NAME?</v>
      </c>
      <c r="HN32" s="1024" t="str">
        <f t="shared" si="1552"/>
        <v>#NAME?</v>
      </c>
      <c r="HO32" s="1339" t="s">
        <v>5006</v>
      </c>
      <c r="HP32" s="65"/>
      <c r="HS32" s="349"/>
      <c r="HT32" s="349"/>
      <c r="HW32" s="1068" t="str">
        <f t="shared" si="1553"/>
        <v>#NAME?</v>
      </c>
      <c r="HX32" s="1078" t="s">
        <v>4217</v>
      </c>
      <c r="HY32" s="1358" t="str">
        <f t="shared" si="1554"/>
        <v>#NAME?</v>
      </c>
      <c r="HZ32" s="1359" t="str">
        <f t="shared" si="1555"/>
        <v>#NAME?</v>
      </c>
      <c r="IA32" s="1093" t="s">
        <v>5214</v>
      </c>
      <c r="IB32" s="65"/>
      <c r="IC32" s="1094" t="str">
        <f t="shared" si="1508"/>
        <v>#NAME?</v>
      </c>
      <c r="ID32" s="1479" t="s">
        <v>2170</v>
      </c>
      <c r="IE32" s="1420" t="str">
        <f t="shared" si="1509"/>
        <v>#NAME?</v>
      </c>
      <c r="IF32" s="475" t="str">
        <f t="shared" si="1510"/>
        <v>#NAME?</v>
      </c>
      <c r="IG32" s="1411" t="s">
        <v>5214</v>
      </c>
      <c r="IH32" s="65"/>
      <c r="II32" s="1159" t="str">
        <f t="shared" si="1364"/>
        <v>#NAME?</v>
      </c>
      <c r="IJ32" s="1494" t="s">
        <v>3603</v>
      </c>
      <c r="IK32" s="1497" t="str">
        <f t="shared" si="1365"/>
        <v>#NAME?</v>
      </c>
      <c r="IL32" s="1498" t="str">
        <f t="shared" si="1366"/>
        <v>#NAME?</v>
      </c>
      <c r="IM32" s="1495" t="s">
        <v>5158</v>
      </c>
      <c r="IQ32" s="349"/>
      <c r="IR32" s="349"/>
      <c r="IT32" s="1230"/>
      <c r="IW32" s="349"/>
      <c r="IX32" s="349"/>
      <c r="IZ32" s="442"/>
      <c r="JA32" s="1286"/>
      <c r="JB32" s="1259" t="s">
        <v>5687</v>
      </c>
      <c r="JC32" s="12"/>
      <c r="JD32" s="962"/>
      <c r="JE32" s="1258" t="s">
        <v>4608</v>
      </c>
      <c r="JF32" s="442"/>
      <c r="JG32" s="1012" t="str">
        <f t="shared" ref="JG32:JG33" si="1595">MONICON21(JH32)</f>
        <v>#NAME?</v>
      </c>
      <c r="JH32" s="1157" t="s">
        <v>1823</v>
      </c>
      <c r="JI32" s="977" t="str">
        <f t="shared" ref="JI32:JI33" si="1596">MONTYPEICON1(JH32)</f>
        <v>#NAME?</v>
      </c>
      <c r="JJ32" s="980" t="str">
        <f t="shared" ref="JJ32:JJ33" si="1597">MONTYPEICON2(JH32)</f>
        <v>#NAME?</v>
      </c>
      <c r="JK32" s="1303" t="s">
        <v>5008</v>
      </c>
      <c r="JL32" s="442"/>
      <c r="JM32" s="1457" t="str">
        <f t="shared" si="1556"/>
        <v>#NAME?</v>
      </c>
      <c r="JN32" s="1429" t="s">
        <v>3649</v>
      </c>
      <c r="JO32" s="1428" t="str">
        <f t="shared" si="1557"/>
        <v>#NAME?</v>
      </c>
      <c r="JP32" s="1430" t="str">
        <f t="shared" si="1558"/>
        <v>#NAME?</v>
      </c>
      <c r="JQ32" s="1431" t="s">
        <v>5010</v>
      </c>
      <c r="JR32" s="442"/>
      <c r="JS32" s="1027" t="str">
        <f t="shared" si="1559"/>
        <v>#NAME?</v>
      </c>
      <c r="JT32" s="1365" t="s">
        <v>2065</v>
      </c>
      <c r="JU32" s="1360" t="str">
        <f t="shared" si="1560"/>
        <v>#NAME?</v>
      </c>
      <c r="JV32" s="1361" t="str">
        <f t="shared" si="1561"/>
        <v>#NAME?</v>
      </c>
      <c r="JW32" s="1343" t="s">
        <v>5010</v>
      </c>
      <c r="JY32" s="1266"/>
      <c r="JZ32" s="1259" t="s">
        <v>5688</v>
      </c>
      <c r="KA32" s="12"/>
      <c r="KB32" s="962"/>
      <c r="KC32" s="1258" t="s">
        <v>4608</v>
      </c>
      <c r="KE32" s="1012" t="str">
        <f t="shared" ref="KE32:KE33" si="1598">MONICON21(KF32)</f>
        <v>#NAME?</v>
      </c>
      <c r="KF32" s="1301" t="s">
        <v>713</v>
      </c>
      <c r="KG32" s="977" t="str">
        <f t="shared" ref="KG32:KG33" si="1599">MONTYPEICON1(KF32)</f>
        <v>#NAME?</v>
      </c>
      <c r="KH32" s="980" t="str">
        <f t="shared" ref="KH32:KH33" si="1600">MONTYPEICON2(KF32)</f>
        <v>#NAME?</v>
      </c>
      <c r="KI32" s="1303" t="s">
        <v>5010</v>
      </c>
      <c r="KJ32" s="65"/>
      <c r="KK32" s="983" t="str">
        <f t="shared" ref="KK32:KK34" si="1601">MONICON21(KL32)</f>
        <v>#NAME?</v>
      </c>
      <c r="KL32" s="1031" t="s">
        <v>896</v>
      </c>
      <c r="KM32" s="977" t="str">
        <f t="shared" ref="KM32:KM34" si="1602">MONTYPEICON1(KL32)</f>
        <v>#NAME?</v>
      </c>
      <c r="KN32" s="980" t="str">
        <f t="shared" ref="KN32:KN34" si="1603">MONTYPEICON2(KL32)</f>
        <v>#NAME?</v>
      </c>
      <c r="KO32" s="1035" t="s">
        <v>5010</v>
      </c>
      <c r="KP32" s="65"/>
      <c r="KQ32" s="1283"/>
      <c r="KR32" s="1264" t="s">
        <v>5432</v>
      </c>
      <c r="KS32" s="12"/>
      <c r="KT32" s="962"/>
      <c r="KU32" s="1265" t="s">
        <v>4608</v>
      </c>
      <c r="KV32" s="65"/>
      <c r="KW32" s="983" t="str">
        <f t="shared" ref="KW32:KW34" si="1604">MONICON21(KX32)</f>
        <v>#NAME?</v>
      </c>
      <c r="KX32" s="1301" t="s">
        <v>438</v>
      </c>
      <c r="KY32" s="977" t="str">
        <f t="shared" ref="KY32:KY34" si="1605">MONTYPEICON1(KX32)</f>
        <v>#NAME?</v>
      </c>
      <c r="KZ32" s="980" t="str">
        <f t="shared" ref="KZ32:KZ34" si="1606">MONTYPEICON2(KX32)</f>
        <v>#NAME?</v>
      </c>
      <c r="LA32" s="1318" t="s">
        <v>5014</v>
      </c>
      <c r="LC32" s="985" t="str">
        <f>MONICON21(LD32)</f>
        <v>#NAME?</v>
      </c>
      <c r="LD32" s="1229" t="s">
        <v>4077</v>
      </c>
      <c r="LE32" s="1092" t="str">
        <f>MONTYPEICON1(LD32)</f>
        <v>#NAME?</v>
      </c>
      <c r="LF32" s="987" t="str">
        <f>MONTYPEICON2(LD32)</f>
        <v>#NAME?</v>
      </c>
      <c r="LG32" s="1424" t="s">
        <v>5162</v>
      </c>
      <c r="LI32" s="983" t="str">
        <f t="shared" ref="LI32:LI34" si="1607">MONICON21(LJ32)</f>
        <v>#NAME?</v>
      </c>
      <c r="LJ32" s="1301" t="s">
        <v>2293</v>
      </c>
      <c r="LK32" s="1311" t="str">
        <f t="shared" ref="LK32:LK34" si="1608">MONTYPEICON1(LJ32)</f>
        <v>#NAME?</v>
      </c>
      <c r="LL32" s="1312" t="str">
        <f t="shared" ref="LL32:LL34" si="1609">MONTYPEICON2(LJ32)</f>
        <v>#NAME?</v>
      </c>
      <c r="LM32" s="1318" t="s">
        <v>5015</v>
      </c>
      <c r="LO32" s="442"/>
      <c r="LP32" s="442"/>
      <c r="LQ32" s="349"/>
      <c r="LR32" s="349"/>
      <c r="LS32" s="442"/>
      <c r="LU32" s="997"/>
      <c r="LV32" s="1026"/>
      <c r="LW32" s="1026"/>
      <c r="LX32" s="1026"/>
      <c r="LY32" s="998"/>
      <c r="LZ32" s="442"/>
      <c r="MA32" s="1346" t="str">
        <f t="shared" si="1562"/>
        <v>#NAME?</v>
      </c>
      <c r="MB32" s="1370" t="s">
        <v>4091</v>
      </c>
      <c r="MC32" s="1348" t="str">
        <f t="shared" si="1563"/>
        <v>#NAME?</v>
      </c>
      <c r="MD32" s="1349" t="str">
        <f t="shared" si="1564"/>
        <v>#NAME?</v>
      </c>
      <c r="ME32" s="1371" t="s">
        <v>5015</v>
      </c>
      <c r="MF32" s="442"/>
      <c r="MG32" s="1012" t="str">
        <f t="shared" si="1511"/>
        <v>#NAME?</v>
      </c>
      <c r="MH32" s="1301" t="s">
        <v>2185</v>
      </c>
      <c r="MI32" s="1013" t="str">
        <f t="shared" si="1512"/>
        <v>#NAME?</v>
      </c>
      <c r="MJ32" s="1015" t="str">
        <f t="shared" si="1513"/>
        <v>#NAME?</v>
      </c>
      <c r="MK32" s="1318" t="s">
        <v>5017</v>
      </c>
      <c r="ML32" s="442"/>
      <c r="MM32" s="1280"/>
      <c r="MN32" s="1281" t="s">
        <v>4908</v>
      </c>
      <c r="MO32" s="12"/>
      <c r="MP32" s="962"/>
      <c r="MQ32" s="1282" t="s">
        <v>4608</v>
      </c>
      <c r="MS32" s="1280"/>
      <c r="MT32" s="1281" t="s">
        <v>4908</v>
      </c>
      <c r="MU32" s="12"/>
      <c r="MV32" s="962"/>
      <c r="MW32" s="1282" t="s">
        <v>4608</v>
      </c>
      <c r="MX32" s="442"/>
      <c r="MY32" s="1346" t="str">
        <f t="shared" si="1376"/>
        <v>#NAME?</v>
      </c>
      <c r="MZ32" s="1370" t="s">
        <v>4139</v>
      </c>
      <c r="NA32" s="1348" t="str">
        <f t="shared" si="1377"/>
        <v>#NAME?</v>
      </c>
      <c r="NB32" s="1349" t="str">
        <f t="shared" si="1378"/>
        <v>#NAME?</v>
      </c>
      <c r="NC32" s="1371" t="s">
        <v>5018</v>
      </c>
      <c r="ND32" s="442"/>
      <c r="NE32" s="983" t="str">
        <f t="shared" ref="NE32:NE34" si="1610">MONICON21(NF32)</f>
        <v>#NAME?</v>
      </c>
      <c r="NF32" s="1301" t="s">
        <v>3911</v>
      </c>
      <c r="NG32" s="1311" t="str">
        <f t="shared" ref="NG32:NG34" si="1611">MONTYPEICON1(NF32)</f>
        <v>#NAME?</v>
      </c>
      <c r="NH32" s="1312" t="str">
        <f t="shared" ref="NH32:NH34" si="1612">MONTYPEICON2(NF32)</f>
        <v>#NAME?</v>
      </c>
      <c r="NI32" s="1318" t="s">
        <v>5017</v>
      </c>
      <c r="NJ32" s="65"/>
      <c r="NK32" s="983" t="str">
        <f t="shared" ref="NK32:NK34" si="1613">MONICON21(NL32)</f>
        <v>#NAME?</v>
      </c>
      <c r="NL32" s="1301" t="s">
        <v>2876</v>
      </c>
      <c r="NM32" s="1313" t="str">
        <f t="shared" ref="NM32:NM34" si="1614">MONTYPEICON1(NL32)</f>
        <v>#NAME?</v>
      </c>
      <c r="NN32" s="1314" t="str">
        <f t="shared" ref="NN32:NN34" si="1615">MONTYPEICON2(NL32)</f>
        <v>#NAME?</v>
      </c>
      <c r="NO32" s="1318" t="s">
        <v>5051</v>
      </c>
      <c r="NQ32" s="1105" t="str">
        <f t="shared" si="1481"/>
        <v>#NAME?</v>
      </c>
      <c r="NR32" s="1079" t="s">
        <v>1073</v>
      </c>
      <c r="NS32" s="1373" t="str">
        <f t="shared" si="1482"/>
        <v>#NAME?</v>
      </c>
      <c r="NT32" s="1374" t="str">
        <f t="shared" si="1483"/>
        <v>#NAME?</v>
      </c>
      <c r="NU32" s="1369" t="s">
        <v>5018</v>
      </c>
      <c r="NV32" s="442"/>
      <c r="NW32" s="1094" t="str">
        <f t="shared" si="1514"/>
        <v>#NAME?</v>
      </c>
      <c r="NX32" s="1127" t="s">
        <v>3415</v>
      </c>
      <c r="NY32" s="1420" t="str">
        <f t="shared" si="1515"/>
        <v>#NAME?</v>
      </c>
      <c r="NZ32" s="475" t="str">
        <f t="shared" si="1516"/>
        <v>#NAME?</v>
      </c>
      <c r="OA32" s="1422" t="s">
        <v>5019</v>
      </c>
      <c r="OB32" s="442"/>
      <c r="OC32" s="65"/>
      <c r="OD32" s="65"/>
      <c r="OE32" s="108"/>
      <c r="OF32" s="108"/>
      <c r="OG32" s="65"/>
      <c r="OH32" s="442"/>
      <c r="OI32" s="983" t="str">
        <f t="shared" ref="OI32:OI36" si="1616">MONICON21(OJ32)</f>
        <v>#NAME?</v>
      </c>
      <c r="OJ32" s="1301" t="s">
        <v>857</v>
      </c>
      <c r="OK32" s="1311" t="str">
        <f t="shared" ref="OK32:OK36" si="1617">MONTYPEICON1(OJ32)</f>
        <v>#NAME?</v>
      </c>
      <c r="OL32" s="1312" t="str">
        <f t="shared" ref="OL32:OL36" si="1618">MONTYPEICON2(OJ32)</f>
        <v>#NAME?</v>
      </c>
      <c r="OM32" s="1318" t="s">
        <v>5020</v>
      </c>
      <c r="ON32" s="442"/>
      <c r="OO32" s="961" t="s">
        <v>5689</v>
      </c>
      <c r="OP32" s="12"/>
      <c r="OQ32" s="12"/>
      <c r="OR32" s="48"/>
      <c r="OU32" s="1266"/>
      <c r="OV32" s="1259" t="s">
        <v>5690</v>
      </c>
      <c r="OW32" s="12"/>
      <c r="OX32" s="962"/>
      <c r="OY32" s="1258" t="s">
        <v>4608</v>
      </c>
      <c r="PA32" s="1286"/>
      <c r="PB32" s="1259" t="s">
        <v>5691</v>
      </c>
      <c r="PC32" s="12"/>
      <c r="PD32" s="962"/>
      <c r="PE32" s="1258" t="s">
        <v>4608</v>
      </c>
      <c r="PF32" s="442"/>
      <c r="PG32" s="983" t="str">
        <f t="shared" ref="PG32:PG34" si="1619">MONICON21(PH32)</f>
        <v>#NAME?</v>
      </c>
      <c r="PH32" s="1301" t="s">
        <v>1984</v>
      </c>
      <c r="PI32" s="1311" t="str">
        <f t="shared" ref="PI32:PI34" si="1620">MONTYPEICON1(PH32)</f>
        <v>#NAME?</v>
      </c>
      <c r="PJ32" s="1312" t="str">
        <f t="shared" ref="PJ32:PJ34" si="1621">MONTYPEICON2(PH32)</f>
        <v>#NAME?</v>
      </c>
      <c r="PK32" s="1318" t="s">
        <v>5021</v>
      </c>
      <c r="PM32" s="1096" t="str">
        <f t="shared" si="1517"/>
        <v>#NAME?</v>
      </c>
      <c r="PN32" s="1098" t="s">
        <v>878</v>
      </c>
      <c r="PO32" s="1417" t="str">
        <f t="shared" si="1518"/>
        <v>#NAME?</v>
      </c>
      <c r="PP32" s="62" t="str">
        <f t="shared" si="1519"/>
        <v>#NAME?</v>
      </c>
      <c r="PQ32" s="1423" t="s">
        <v>5021</v>
      </c>
      <c r="PS32" s="1027" t="str">
        <f t="shared" si="1565"/>
        <v>#NAME?</v>
      </c>
      <c r="PT32" s="1340" t="s">
        <v>4225</v>
      </c>
      <c r="PU32" s="1360" t="str">
        <f t="shared" si="1566"/>
        <v>#NAME?</v>
      </c>
      <c r="PV32" s="1361" t="str">
        <f t="shared" si="1567"/>
        <v>#NAME?</v>
      </c>
      <c r="PW32" s="1376" t="s">
        <v>5023</v>
      </c>
      <c r="PX32" s="442"/>
      <c r="PY32" s="1159" t="str">
        <f t="shared" si="1385"/>
        <v>#NAME?</v>
      </c>
      <c r="PZ32" s="1453" t="s">
        <v>3628</v>
      </c>
      <c r="QA32" s="1497" t="str">
        <f t="shared" si="1386"/>
        <v>#NAME?</v>
      </c>
      <c r="QB32" s="1498" t="str">
        <f t="shared" si="1387"/>
        <v>#NAME?</v>
      </c>
      <c r="QC32" s="1504" t="s">
        <v>5032</v>
      </c>
      <c r="QD32" s="442"/>
      <c r="QG32" s="349"/>
      <c r="QH32" s="349"/>
      <c r="QJ32" s="442"/>
      <c r="QK32" s="983" t="str">
        <f t="shared" ref="QK32:QK37" si="1622">MONICON21(QL32)</f>
        <v>#NAME?</v>
      </c>
      <c r="QL32" s="1301" t="s">
        <v>1284</v>
      </c>
      <c r="QM32" s="977" t="str">
        <f t="shared" ref="QM32:QM37" si="1623">MONTYPEICON1(QL32)</f>
        <v>#NAME?</v>
      </c>
      <c r="QN32" s="980" t="str">
        <f t="shared" ref="QN32:QN37" si="1624">MONTYPEICON2(QL32)</f>
        <v>#NAME?</v>
      </c>
      <c r="QO32" s="1303" t="s">
        <v>5031</v>
      </c>
      <c r="QP32" s="442"/>
      <c r="QQ32" s="983" t="str">
        <f t="shared" ref="QQ32:QQ37" si="1625">MONICON21(QR32)</f>
        <v>#NAME?</v>
      </c>
      <c r="QR32" s="1301" t="s">
        <v>2341</v>
      </c>
      <c r="QS32" s="977" t="str">
        <f t="shared" ref="QS32:QS37" si="1626">MONTYPEICON1(QR32)</f>
        <v>#NAME?</v>
      </c>
      <c r="QT32" s="980" t="str">
        <f t="shared" ref="QT32:QT37" si="1627">MONTYPEICON2(QR32)</f>
        <v>#NAME?</v>
      </c>
      <c r="QU32" s="1303" t="s">
        <v>5033</v>
      </c>
      <c r="QW32" s="983" t="str">
        <f t="shared" ref="QW32:QW37" si="1628">MONICON21(QX32)</f>
        <v>#NAME?</v>
      </c>
      <c r="QX32" s="1301" t="s">
        <v>3000</v>
      </c>
      <c r="QY32" s="977" t="str">
        <f t="shared" ref="QY32:QY37" si="1629">MONTYPEICON1(QX32)</f>
        <v>#NAME?</v>
      </c>
      <c r="QZ32" s="980" t="str">
        <f t="shared" ref="QZ32:QZ37" si="1630">MONTYPEICON2(QX32)</f>
        <v>#NAME?</v>
      </c>
      <c r="RA32" s="1303" t="s">
        <v>5112</v>
      </c>
      <c r="RB32" s="442"/>
      <c r="RC32" s="983" t="str">
        <f t="shared" ref="RC32:RC37" si="1631">MONICON21(RD32)</f>
        <v>#NAME?</v>
      </c>
      <c r="RD32" s="1301" t="s">
        <v>742</v>
      </c>
      <c r="RE32" s="977" t="str">
        <f t="shared" ref="RE32:RE37" si="1632">MONTYPEICON1(RD32)</f>
        <v>#NAME?</v>
      </c>
      <c r="RF32" s="980" t="str">
        <f t="shared" ref="RF32:RF37" si="1633">MONTYPEICON2(RD32)</f>
        <v>#NAME?</v>
      </c>
      <c r="RG32" s="1303" t="s">
        <v>5113</v>
      </c>
      <c r="RH32" s="442"/>
      <c r="RI32" s="983" t="str">
        <f t="shared" ref="RI32:RI37" si="1634">MONICON21(RJ32)</f>
        <v>#NAME?</v>
      </c>
      <c r="RJ32" s="1301" t="s">
        <v>474</v>
      </c>
      <c r="RK32" s="977" t="str">
        <f t="shared" ref="RK32:RK37" si="1635">MONTYPEICON1(RJ32)</f>
        <v>#NAME?</v>
      </c>
      <c r="RL32" s="980" t="str">
        <f t="shared" ref="RL32:RL37" si="1636">MONTYPEICON2(RJ32)</f>
        <v>#NAME?</v>
      </c>
      <c r="RM32" s="1303" t="s">
        <v>5092</v>
      </c>
      <c r="RN32" s="442"/>
      <c r="RO32" s="1286"/>
      <c r="RP32" s="1256" t="s">
        <v>5692</v>
      </c>
      <c r="RQ32" s="1285" t="s">
        <v>4888</v>
      </c>
      <c r="RR32" s="962"/>
      <c r="RS32" s="1004" t="s">
        <v>4608</v>
      </c>
      <c r="RT32" s="442"/>
      <c r="RU32" s="1096" t="str">
        <f t="shared" si="1520"/>
        <v>#NAME?</v>
      </c>
      <c r="RV32" s="1098" t="s">
        <v>1352</v>
      </c>
      <c r="RW32" s="1417" t="str">
        <f t="shared" si="1521"/>
        <v>#NAME?</v>
      </c>
      <c r="RX32" s="62" t="str">
        <f t="shared" si="1522"/>
        <v>#NAME?</v>
      </c>
      <c r="RY32" s="1423" t="s">
        <v>5112</v>
      </c>
      <c r="RZ32" s="442"/>
      <c r="SA32" s="1056" t="str">
        <f t="shared" si="1568"/>
        <v>#NAME?</v>
      </c>
      <c r="SB32" s="1377" t="s">
        <v>3059</v>
      </c>
      <c r="SC32" s="1021" t="str">
        <f t="shared" si="1569"/>
        <v>#NAME?</v>
      </c>
      <c r="SD32" s="1024" t="str">
        <f t="shared" si="1570"/>
        <v>#NAME?</v>
      </c>
      <c r="SE32" s="1378" t="s">
        <v>5024</v>
      </c>
      <c r="SF32" s="442"/>
      <c r="SI32" s="349"/>
      <c r="SJ32" s="349"/>
      <c r="SL32" s="442"/>
      <c r="SO32" s="349"/>
      <c r="SP32" s="349"/>
      <c r="SR32" s="442"/>
      <c r="SU32" s="349"/>
      <c r="SV32" s="349"/>
      <c r="TA32" s="349"/>
      <c r="TB32" s="349"/>
      <c r="TD32" s="65"/>
      <c r="TE32" s="1012" t="str">
        <f t="shared" si="1526"/>
        <v>#NAME?</v>
      </c>
      <c r="TF32" s="1301" t="s">
        <v>1680</v>
      </c>
      <c r="TG32" s="1013" t="str">
        <f t="shared" si="1527"/>
        <v>#NAME?</v>
      </c>
      <c r="TH32" s="1015" t="str">
        <f t="shared" si="1528"/>
        <v>#NAME?</v>
      </c>
      <c r="TI32" s="1318" t="s">
        <v>5092</v>
      </c>
      <c r="TK32" s="983" t="str">
        <f t="shared" ref="TK32:TK34" si="1637">MONICON21(TL32)</f>
        <v>#NAME?</v>
      </c>
      <c r="TL32" s="1301" t="s">
        <v>284</v>
      </c>
      <c r="TM32" s="1311" t="str">
        <f t="shared" ref="TM32:TM34" si="1638">MONTYPEICON1(TL32)</f>
        <v>#NAME?</v>
      </c>
      <c r="TN32" s="1312" t="str">
        <f t="shared" ref="TN32:TN34" si="1639">MONTYPEICON2(TL32)</f>
        <v>#NAME?</v>
      </c>
      <c r="TO32" s="1318" t="s">
        <v>5026</v>
      </c>
      <c r="TP32" s="442"/>
      <c r="TQ32" s="983" t="str">
        <f t="shared" ref="TQ32:TQ34" si="1640">MONICON21(TR32)</f>
        <v>#NAME?</v>
      </c>
      <c r="TR32" s="1301" t="s">
        <v>767</v>
      </c>
      <c r="TS32" s="1311" t="str">
        <f t="shared" ref="TS32:TS34" si="1641">MONTYPEICON1(TR32)</f>
        <v>#NAME?</v>
      </c>
      <c r="TT32" s="1312" t="str">
        <f t="shared" ref="TT32:TT34" si="1642">MONTYPEICON2(TR32)</f>
        <v>#NAME?</v>
      </c>
      <c r="TU32" s="1318" t="s">
        <v>5026</v>
      </c>
      <c r="TV32" s="442"/>
      <c r="TW32" s="442"/>
      <c r="TX32" s="442"/>
      <c r="TY32" s="442"/>
      <c r="TZ32" s="442"/>
      <c r="UA32" s="442"/>
      <c r="UB32" s="442"/>
      <c r="UH32" s="442"/>
      <c r="UI32" s="1290"/>
      <c r="UJ32" s="1291" t="s">
        <v>5693</v>
      </c>
      <c r="UK32" s="12"/>
      <c r="UL32" s="962"/>
      <c r="UM32" s="1292" t="s">
        <v>4608</v>
      </c>
      <c r="UO32" s="1383" t="str">
        <f t="shared" si="1571"/>
        <v>#NAME?</v>
      </c>
      <c r="UP32" s="1508" t="s">
        <v>1714</v>
      </c>
      <c r="UQ32" s="1383" t="str">
        <f t="shared" si="1572"/>
        <v>#NAME?</v>
      </c>
      <c r="UR32" s="1385" t="str">
        <f t="shared" si="1573"/>
        <v>#NAME?</v>
      </c>
      <c r="US32" s="1509" t="s">
        <v>5130</v>
      </c>
      <c r="VA32" s="1383" t="str">
        <f t="shared" si="1574"/>
        <v>#NAME?</v>
      </c>
      <c r="VB32" s="1384" t="s">
        <v>742</v>
      </c>
      <c r="VC32" s="1383" t="str">
        <f t="shared" si="1575"/>
        <v>#NAME?</v>
      </c>
      <c r="VD32" s="1385" t="str">
        <f t="shared" si="1576"/>
        <v>#NAME?</v>
      </c>
      <c r="VE32" s="1386" t="s">
        <v>5029</v>
      </c>
      <c r="VG32" s="977" t="str">
        <f t="shared" ref="VG32:VG34" si="1643">MONICON21(VH32)</f>
        <v>#NAME?</v>
      </c>
      <c r="VH32" s="1301" t="s">
        <v>3715</v>
      </c>
      <c r="VI32" s="977" t="str">
        <f t="shared" ref="VI32:VI34" si="1644">MONTYPEICON1(VH32)</f>
        <v>#NAME?</v>
      </c>
      <c r="VJ32" s="980" t="str">
        <f t="shared" ref="VJ32:VJ34" si="1645">MONTYPEICON2(VH32)</f>
        <v>#NAME?</v>
      </c>
      <c r="VK32" s="1303" t="s">
        <v>1043</v>
      </c>
      <c r="VL32" s="442"/>
      <c r="VM32" s="1387" t="str">
        <f t="shared" si="1577"/>
        <v>#NAME?</v>
      </c>
      <c r="VN32" s="1388" t="s">
        <v>1872</v>
      </c>
      <c r="VO32" s="1387" t="str">
        <f t="shared" si="1578"/>
        <v>#NAME?</v>
      </c>
      <c r="VP32" s="1392" t="str">
        <f t="shared" si="1579"/>
        <v>#NAME?</v>
      </c>
      <c r="VQ32" s="1391" t="s">
        <v>5361</v>
      </c>
      <c r="VR32" s="442"/>
      <c r="VS32" s="963" t="s">
        <v>4893</v>
      </c>
      <c r="VT32" s="12"/>
      <c r="VU32" s="12"/>
      <c r="VV32" s="12"/>
      <c r="VW32" s="48"/>
      <c r="VX32" s="442"/>
      <c r="WD32" s="442"/>
      <c r="WE32" s="1294"/>
      <c r="WF32" s="1291" t="s">
        <v>5694</v>
      </c>
      <c r="WG32" s="12"/>
      <c r="WH32" s="962"/>
      <c r="WI32" s="1292" t="s">
        <v>4608</v>
      </c>
      <c r="WJ32" s="442"/>
      <c r="WK32" s="1472"/>
      <c r="WL32" s="1291" t="s">
        <v>5695</v>
      </c>
      <c r="WM32" s="12"/>
      <c r="WN32" s="962"/>
      <c r="WO32" s="1292" t="s">
        <v>4608</v>
      </c>
      <c r="WP32" s="442"/>
      <c r="WQ32" s="1051" t="str">
        <f t="shared" si="1535"/>
        <v>#NAME?</v>
      </c>
      <c r="WR32" s="1127" t="s">
        <v>2232</v>
      </c>
      <c r="WS32" s="1051" t="str">
        <f t="shared" si="1536"/>
        <v>#NAME?</v>
      </c>
      <c r="WT32" s="1131" t="str">
        <f t="shared" si="1537"/>
        <v>#NAME?</v>
      </c>
      <c r="WU32" s="1095" t="s">
        <v>5106</v>
      </c>
      <c r="WV32" s="442"/>
      <c r="WW32" s="1483"/>
      <c r="WX32" s="1291" t="s">
        <v>5696</v>
      </c>
      <c r="WY32" s="12"/>
      <c r="WZ32" s="962"/>
      <c r="XA32" s="1292" t="s">
        <v>4608</v>
      </c>
      <c r="XB32" s="442"/>
      <c r="XC32" s="1013" t="str">
        <f t="shared" si="1445"/>
        <v>#NAME?</v>
      </c>
      <c r="XD32" s="1098" t="s">
        <v>1303</v>
      </c>
      <c r="XE32" s="1013" t="str">
        <f t="shared" si="1446"/>
        <v>#NAME?</v>
      </c>
      <c r="XF32" s="1015" t="str">
        <f t="shared" si="1447"/>
        <v>#NAME?</v>
      </c>
      <c r="XG32" s="1434" t="s">
        <v>5410</v>
      </c>
      <c r="XH32" s="442"/>
      <c r="XI32" s="1472"/>
      <c r="XJ32" s="1291" t="s">
        <v>5697</v>
      </c>
      <c r="XK32" s="12"/>
      <c r="XL32" s="962"/>
      <c r="XM32" s="1292" t="s">
        <v>4608</v>
      </c>
      <c r="XN32" s="442"/>
      <c r="XT32" s="442"/>
      <c r="XU32" s="1092" t="str">
        <f>MONICON21(XV32)</f>
        <v>#NAME?</v>
      </c>
      <c r="XV32" s="1406" t="s">
        <v>1808</v>
      </c>
      <c r="XW32" s="1092" t="str">
        <f>MONTYPEICON1(XV32)</f>
        <v>#NAME?</v>
      </c>
      <c r="XX32" s="987" t="str">
        <f>MONTYPEICON2(XV32)</f>
        <v>#NAME?</v>
      </c>
      <c r="XY32" s="1619" t="s">
        <v>5019</v>
      </c>
      <c r="XZ32" s="442"/>
      <c r="YA32" s="1383" t="str">
        <f t="shared" si="1580"/>
        <v>#NAME?</v>
      </c>
      <c r="YB32" s="1508" t="s">
        <v>653</v>
      </c>
      <c r="YC32" s="1383" t="str">
        <f t="shared" si="1581"/>
        <v>#NAME?</v>
      </c>
      <c r="YD32" s="1385" t="str">
        <f t="shared" si="1582"/>
        <v>#NAME?</v>
      </c>
      <c r="YE32" s="1509" t="s">
        <v>5006</v>
      </c>
      <c r="YF32" s="442"/>
      <c r="YG32" s="1612" t="s">
        <v>4822</v>
      </c>
      <c r="YH32" s="12"/>
      <c r="YI32" s="12"/>
      <c r="YJ32" s="12"/>
      <c r="YK32" s="962"/>
      <c r="YL32" s="442"/>
      <c r="YM32" s="1554" t="s">
        <v>4742</v>
      </c>
      <c r="YN32" s="12"/>
      <c r="YO32" s="12"/>
      <c r="YP32" s="12"/>
      <c r="YQ32" s="48"/>
      <c r="YR32" s="442"/>
      <c r="YU32" s="349"/>
      <c r="YV32" s="349"/>
      <c r="YX32" s="442"/>
      <c r="YY32" s="442"/>
      <c r="YZ32" s="442"/>
      <c r="ZA32" s="108"/>
      <c r="ZB32" s="108"/>
      <c r="ZC32" s="442"/>
      <c r="ZD32" s="442"/>
      <c r="ZE32" s="1294"/>
      <c r="ZF32" s="1291" t="s">
        <v>5698</v>
      </c>
      <c r="ZG32" s="12"/>
      <c r="ZH32" s="962"/>
      <c r="ZI32" s="1292" t="s">
        <v>4608</v>
      </c>
      <c r="ZJ32" s="442"/>
      <c r="ZK32" s="1383" t="str">
        <f t="shared" si="1496"/>
        <v>#NAME?</v>
      </c>
      <c r="ZL32" s="1470" t="s">
        <v>1934</v>
      </c>
      <c r="ZM32" s="1383" t="str">
        <f t="shared" si="1497"/>
        <v>#NAME?</v>
      </c>
      <c r="ZN32" s="1385" t="str">
        <f t="shared" si="1498"/>
        <v>#NAME?</v>
      </c>
      <c r="ZO32" s="1471" t="s">
        <v>5113</v>
      </c>
      <c r="ZP32" s="442"/>
      <c r="ZQ32" s="1387" t="str">
        <f t="shared" si="1583"/>
        <v>#NAME?</v>
      </c>
      <c r="ZR32" s="1395" t="s">
        <v>2046</v>
      </c>
      <c r="ZS32" s="1387" t="str">
        <f t="shared" si="1584"/>
        <v>#NAME?</v>
      </c>
      <c r="ZT32" s="1392" t="str">
        <f t="shared" si="1585"/>
        <v>#NAME?</v>
      </c>
      <c r="ZU32" s="1396" t="s">
        <v>5035</v>
      </c>
      <c r="ZV32" s="442"/>
      <c r="ZW32" s="1246" t="s">
        <v>4554</v>
      </c>
      <c r="ZX32" s="12"/>
      <c r="ZY32" s="12"/>
      <c r="ZZ32" s="12"/>
      <c r="AAA32" s="48"/>
      <c r="AAB32" s="442"/>
      <c r="AAC32" s="1051" t="str">
        <f t="shared" si="1538"/>
        <v>#NAME?</v>
      </c>
      <c r="AAD32" s="1127" t="s">
        <v>1376</v>
      </c>
      <c r="AAE32" s="1051" t="str">
        <f t="shared" si="1539"/>
        <v>#NAME?</v>
      </c>
      <c r="AAF32" s="1131" t="str">
        <f t="shared" si="1540"/>
        <v>#NAME?</v>
      </c>
      <c r="AAG32" s="1095" t="s">
        <v>5025</v>
      </c>
      <c r="AAH32" s="442"/>
      <c r="AAI32" s="1294"/>
      <c r="AAJ32" s="1291" t="s">
        <v>5192</v>
      </c>
      <c r="AAK32" s="12"/>
      <c r="AAL32" s="962"/>
      <c r="AAM32" s="1298" t="s">
        <v>4608</v>
      </c>
      <c r="AAO32" s="1294"/>
      <c r="AAP32" s="1291" t="s">
        <v>5197</v>
      </c>
      <c r="AAQ32" s="12"/>
      <c r="AAR32" s="962"/>
      <c r="AAS32" s="1298" t="s">
        <v>4608</v>
      </c>
      <c r="AAU32" s="1294"/>
      <c r="AAV32" s="1291" t="s">
        <v>4922</v>
      </c>
      <c r="AAW32" s="12"/>
      <c r="AAX32" s="962"/>
      <c r="AAY32" s="1298" t="s">
        <v>4608</v>
      </c>
      <c r="ABA32" s="1294"/>
      <c r="ABB32" s="1291" t="s">
        <v>5368</v>
      </c>
      <c r="ABC32" s="12"/>
      <c r="ABD32" s="962"/>
      <c r="ABE32" s="1298" t="s">
        <v>4608</v>
      </c>
      <c r="ABG32" s="1294"/>
      <c r="ABH32" s="1291" t="s">
        <v>5432</v>
      </c>
      <c r="ABI32" s="12"/>
      <c r="ABJ32" s="962"/>
      <c r="ABK32" s="1298" t="s">
        <v>4608</v>
      </c>
      <c r="ABM32" s="1294"/>
      <c r="ABN32" s="1291" t="s">
        <v>5504</v>
      </c>
      <c r="ABO32" s="12"/>
      <c r="ABP32" s="962"/>
      <c r="ABQ32" s="1298" t="s">
        <v>4608</v>
      </c>
      <c r="ABS32" s="1294"/>
      <c r="ABT32" s="1291" t="s">
        <v>5167</v>
      </c>
      <c r="ABU32" s="12"/>
      <c r="ABV32" s="962"/>
      <c r="ABW32" s="1298" t="s">
        <v>4608</v>
      </c>
      <c r="ABY32" s="1473"/>
      <c r="ABZ32" s="1474" t="s">
        <v>5042</v>
      </c>
      <c r="ACA32" s="1475"/>
      <c r="ACB32" s="1476"/>
      <c r="ACC32" s="1477" t="s">
        <v>4608</v>
      </c>
      <c r="ACE32" s="442"/>
      <c r="ACF32" s="442"/>
      <c r="ACG32" s="442"/>
      <c r="ACH32" s="442"/>
      <c r="ACI32" s="442"/>
      <c r="ACJ32" s="996"/>
    </row>
    <row r="33" ht="15.75" customHeight="1">
      <c r="A33" s="1230"/>
      <c r="B33" s="1230"/>
      <c r="C33" s="1230"/>
      <c r="D33" s="1478"/>
      <c r="E33" s="1230"/>
      <c r="F33" s="1238"/>
      <c r="G33" s="1218" t="s">
        <v>5699</v>
      </c>
      <c r="H33" s="1230"/>
      <c r="I33" s="1053" t="str">
        <f>MONICON21(J33)</f>
        <v>#NAME?</v>
      </c>
      <c r="J33" s="1229" t="s">
        <v>3635</v>
      </c>
      <c r="K33" s="985" t="str">
        <f>MONTYPEICON1(J33)</f>
        <v>#NAME?</v>
      </c>
      <c r="L33" s="1052" t="str">
        <f>MONTYPEICON2(J33)</f>
        <v>#NAME?</v>
      </c>
      <c r="M33" s="1196" t="s">
        <v>5456</v>
      </c>
      <c r="N33" s="1230"/>
      <c r="O33" s="985" t="s">
        <v>4992</v>
      </c>
      <c r="P33" s="12"/>
      <c r="Q33" s="12"/>
      <c r="R33" s="12"/>
      <c r="S33" s="48"/>
      <c r="T33" s="1230"/>
      <c r="U33" s="1255"/>
      <c r="V33" s="1256" t="s">
        <v>5700</v>
      </c>
      <c r="W33" s="1257" t="s">
        <v>4888</v>
      </c>
      <c r="X33" s="962"/>
      <c r="Y33" s="1258" t="s">
        <v>4608</v>
      </c>
      <c r="Z33" s="1230"/>
      <c r="AF33" s="1230"/>
      <c r="AL33" s="1230"/>
      <c r="AM33" s="997"/>
      <c r="AN33" s="1026"/>
      <c r="AO33" s="1026"/>
      <c r="AP33" s="1026"/>
      <c r="AQ33" s="998"/>
      <c r="AR33" s="1230"/>
      <c r="AS33" s="449"/>
      <c r="AT33" s="1230"/>
      <c r="AU33" s="1230"/>
      <c r="AV33" s="1230"/>
      <c r="AW33" s="449"/>
      <c r="AX33" s="1230"/>
      <c r="AY33" s="1033" t="str">
        <f t="shared" ref="AY33:AY35" si="1646">MONICON21(AZ33)</f>
        <v>#NAME?</v>
      </c>
      <c r="AZ33" s="1304" t="s">
        <v>750</v>
      </c>
      <c r="BA33" s="977" t="str">
        <f t="shared" ref="BA33:BA35" si="1647">MONTYPEICON1(AZ33)</f>
        <v>#NAME?</v>
      </c>
      <c r="BB33" s="980" t="str">
        <f t="shared" ref="BB33:BB35" si="1648">MONTYPEICON2(AZ33)</f>
        <v>#NAME?</v>
      </c>
      <c r="BC33" s="1305" t="s">
        <v>5337</v>
      </c>
      <c r="BD33" s="442"/>
      <c r="BE33" s="1033" t="str">
        <f t="shared" ref="BE33:BE34" si="1649">MONICON21(BF33)</f>
        <v>#NAME?</v>
      </c>
      <c r="BF33" s="1304" t="s">
        <v>2694</v>
      </c>
      <c r="BG33" s="977" t="str">
        <f t="shared" ref="BG33:BG34" si="1650">MONTYPEICON1(BF33)</f>
        <v>#NAME?</v>
      </c>
      <c r="BH33" s="980" t="str">
        <f t="shared" ref="BH33:BH34" si="1651">MONTYPEICON2(BF33)</f>
        <v>#NAME?</v>
      </c>
      <c r="BI33" s="1305" t="s">
        <v>5314</v>
      </c>
      <c r="BJ33" s="442"/>
      <c r="BP33" s="442"/>
      <c r="BV33" s="442"/>
      <c r="BW33" s="1263"/>
      <c r="BX33" s="1264" t="s">
        <v>5701</v>
      </c>
      <c r="BY33" s="12"/>
      <c r="BZ33" s="962"/>
      <c r="CA33" s="1265" t="s">
        <v>4608</v>
      </c>
      <c r="CB33" s="442"/>
      <c r="CH33" s="442"/>
      <c r="CI33" s="1012" t="str">
        <f t="shared" ref="CI33:CI35" si="1652">MONICON21(CJ33)</f>
        <v>#NAME?</v>
      </c>
      <c r="CJ33" s="1304" t="s">
        <v>2178</v>
      </c>
      <c r="CK33" s="977" t="str">
        <f t="shared" ref="CK33:CK35" si="1653">MONTYPEICON1(CJ33)</f>
        <v>#NAME?</v>
      </c>
      <c r="CL33" s="980" t="str">
        <f t="shared" ref="CL33:CL35" si="1654">MONTYPEICON2(CJ33)</f>
        <v>#NAME?</v>
      </c>
      <c r="CM33" s="1305" t="s">
        <v>4996</v>
      </c>
      <c r="CN33" s="1230"/>
      <c r="CO33" s="1266"/>
      <c r="CP33" s="1256" t="s">
        <v>5702</v>
      </c>
      <c r="CQ33" s="1257" t="s">
        <v>4888</v>
      </c>
      <c r="CR33" s="962"/>
      <c r="CS33" s="1258" t="s">
        <v>4608</v>
      </c>
      <c r="CT33" s="442"/>
      <c r="CU33" s="1012" t="str">
        <f t="shared" ref="CU33:CU35" si="1655">MONICON21(CV33)</f>
        <v>#NAME?</v>
      </c>
      <c r="CV33" s="1304" t="s">
        <v>2779</v>
      </c>
      <c r="CW33" s="977" t="str">
        <f t="shared" ref="CW33:CW35" si="1656">MONTYPEICON1(CV33)</f>
        <v>#NAME?</v>
      </c>
      <c r="CX33" s="980" t="str">
        <f t="shared" ref="CX33:CX35" si="1657">MONTYPEICON2(CV33)</f>
        <v>#NAME?</v>
      </c>
      <c r="CY33" s="1305" t="s">
        <v>5099</v>
      </c>
      <c r="CZ33" s="442"/>
      <c r="DA33" s="1068" t="str">
        <f t="shared" si="1586"/>
        <v>#NAME?</v>
      </c>
      <c r="DB33" s="1337" t="s">
        <v>2023</v>
      </c>
      <c r="DC33" s="1071" t="str">
        <f t="shared" si="1587"/>
        <v>#NAME?</v>
      </c>
      <c r="DD33" s="1073" t="str">
        <f t="shared" si="1588"/>
        <v>#NAME?</v>
      </c>
      <c r="DE33" s="1338" t="s">
        <v>5099</v>
      </c>
      <c r="DF33" s="442"/>
      <c r="DG33" s="1268"/>
      <c r="DH33" s="1269" t="s">
        <v>5393</v>
      </c>
      <c r="DI33" s="12"/>
      <c r="DJ33" s="962"/>
      <c r="DK33" s="1270" t="s">
        <v>4608</v>
      </c>
      <c r="DL33" s="442"/>
      <c r="DM33" s="1193" t="str">
        <f t="shared" si="1589"/>
        <v>#NAME?</v>
      </c>
      <c r="DN33" s="1335" t="s">
        <v>1872</v>
      </c>
      <c r="DO33" s="1146" t="str">
        <f t="shared" si="1590"/>
        <v>#NAME?</v>
      </c>
      <c r="DP33" s="1148" t="str">
        <f t="shared" si="1591"/>
        <v>#NAME?</v>
      </c>
      <c r="DQ33" s="1336" t="s">
        <v>5135</v>
      </c>
      <c r="DR33" s="442"/>
      <c r="DS33" s="1283"/>
      <c r="DT33" s="1264" t="s">
        <v>5703</v>
      </c>
      <c r="DU33" s="12"/>
      <c r="DV33" s="962"/>
      <c r="DW33" s="1265" t="s">
        <v>4608</v>
      </c>
      <c r="DX33" s="1230"/>
      <c r="ED33" s="442"/>
      <c r="EE33" s="1351" t="str">
        <f t="shared" si="1592"/>
        <v>#NAME?</v>
      </c>
      <c r="EF33" s="1352" t="s">
        <v>1143</v>
      </c>
      <c r="EG33" s="1353" t="str">
        <f t="shared" si="1593"/>
        <v>#NAME?</v>
      </c>
      <c r="EH33" s="1354" t="str">
        <f t="shared" si="1594"/>
        <v>#NAME?</v>
      </c>
      <c r="EI33" s="1355" t="s">
        <v>5201</v>
      </c>
      <c r="EJ33" s="1230"/>
      <c r="EK33" s="1280"/>
      <c r="EL33" s="1274" t="s">
        <v>4908</v>
      </c>
      <c r="EM33" s="959"/>
      <c r="EN33" s="957"/>
      <c r="EO33" s="1275" t="s">
        <v>4608</v>
      </c>
      <c r="EP33" s="1230"/>
      <c r="EQ33" s="1266"/>
      <c r="ER33" s="1259" t="s">
        <v>5704</v>
      </c>
      <c r="ES33" s="12"/>
      <c r="ET33" s="962"/>
      <c r="EU33" s="1258" t="s">
        <v>4608</v>
      </c>
      <c r="EV33" s="1230"/>
      <c r="EY33" s="349"/>
      <c r="EZ33" s="349"/>
      <c r="FB33" s="442"/>
      <c r="FC33" s="985" t="str">
        <f>MONICON21(FD33)</f>
        <v>#NAME?</v>
      </c>
      <c r="FD33" s="1308" t="s">
        <v>1714</v>
      </c>
      <c r="FE33" s="1092" t="str">
        <f>MONTYPEICON1(FD33)</f>
        <v>#NAME?</v>
      </c>
      <c r="FF33" s="987" t="str">
        <f>MONTYPEICON2(FD33)</f>
        <v>#NAME?</v>
      </c>
      <c r="FG33" s="1309" t="s">
        <v>5001</v>
      </c>
      <c r="FH33" s="442"/>
      <c r="FI33" s="1272" t="s">
        <v>5645</v>
      </c>
      <c r="FJ33" s="12"/>
      <c r="FK33" s="12"/>
      <c r="FL33" s="12"/>
      <c r="FM33" s="48"/>
      <c r="FN33" s="442"/>
      <c r="FO33" s="985" t="str">
        <f>MONICON21(FP33)</f>
        <v>#NAME?</v>
      </c>
      <c r="FP33" s="146" t="s">
        <v>474</v>
      </c>
      <c r="FQ33" s="1092" t="str">
        <f>MONTYPEICON1(FP33)</f>
        <v>#NAME?</v>
      </c>
      <c r="FR33" s="987" t="str">
        <f>MONTYPEICON2(FP33)</f>
        <v>#NAME?</v>
      </c>
      <c r="FS33" s="1196" t="s">
        <v>5001</v>
      </c>
      <c r="FT33" s="442"/>
      <c r="FU33" s="1272" t="s">
        <v>5705</v>
      </c>
      <c r="FV33" s="12"/>
      <c r="FW33" s="12"/>
      <c r="FX33" s="12"/>
      <c r="FY33" s="48"/>
      <c r="FZ33" s="65"/>
      <c r="GA33" s="1096" t="str">
        <f t="shared" si="1544"/>
        <v>#NAME?</v>
      </c>
      <c r="GB33" s="89" t="s">
        <v>3628</v>
      </c>
      <c r="GC33" s="1418" t="str">
        <f t="shared" si="1545"/>
        <v>#NAME?</v>
      </c>
      <c r="GD33" s="1419" t="str">
        <f t="shared" si="1546"/>
        <v>#NAME?</v>
      </c>
      <c r="GE33" s="1108" t="s">
        <v>5034</v>
      </c>
      <c r="GF33" s="442"/>
      <c r="GG33" s="983" t="str">
        <f t="shared" ref="GG33:GG35" si="1658">MONICON21(GH33)</f>
        <v>#NAME?</v>
      </c>
      <c r="GH33" s="1157" t="s">
        <v>3787</v>
      </c>
      <c r="GI33" s="977" t="str">
        <f t="shared" ref="GI33:GI35" si="1659">MONTYPEICON1(GH33)</f>
        <v>#NAME?</v>
      </c>
      <c r="GJ33" s="980" t="str">
        <f t="shared" ref="GJ33:GJ35" si="1660">MONTYPEICON2(GH33)</f>
        <v>#NAME?</v>
      </c>
      <c r="GK33" s="1303" t="s">
        <v>5001</v>
      </c>
      <c r="GL33" s="1230"/>
      <c r="GO33" s="349"/>
      <c r="GP33" s="349"/>
      <c r="GQ33" s="349"/>
      <c r="GR33" s="65"/>
      <c r="GS33" s="442"/>
      <c r="GT33" s="442"/>
      <c r="GU33" s="108"/>
      <c r="GV33" s="108"/>
      <c r="GW33" s="442"/>
      <c r="GX33" s="65"/>
      <c r="GY33" s="1094" t="str">
        <f t="shared" si="1547"/>
        <v>#NAME?</v>
      </c>
      <c r="GZ33" s="499" t="s">
        <v>2217</v>
      </c>
      <c r="HA33" s="1051" t="str">
        <f t="shared" si="1548"/>
        <v>#NAME?</v>
      </c>
      <c r="HB33" s="1131" t="str">
        <f t="shared" si="1549"/>
        <v>#NAME?</v>
      </c>
      <c r="HC33" s="1095" t="s">
        <v>5004</v>
      </c>
      <c r="HD33" s="1230"/>
      <c r="HE33" s="983" t="str">
        <f t="shared" ref="HE33:HE35" si="1661">MONICON21(HF33)</f>
        <v>#NAME?</v>
      </c>
      <c r="HF33" s="1157" t="s">
        <v>1312</v>
      </c>
      <c r="HG33" s="977" t="str">
        <f t="shared" ref="HG33:HG35" si="1662">MONTYPEICON1(HF33)</f>
        <v>#NAME?</v>
      </c>
      <c r="HH33" s="980" t="str">
        <f t="shared" ref="HH33:HH35" si="1663">MONTYPEICON2(HF33)</f>
        <v>#NAME?</v>
      </c>
      <c r="HI33" s="1303" t="s">
        <v>5006</v>
      </c>
      <c r="HJ33" s="1230"/>
      <c r="HK33" s="1094" t="str">
        <f t="shared" si="1550"/>
        <v>#NAME?</v>
      </c>
      <c r="HL33" s="1127" t="s">
        <v>1242</v>
      </c>
      <c r="HM33" s="1051" t="str">
        <f t="shared" si="1551"/>
        <v>#NAME?</v>
      </c>
      <c r="HN33" s="1131" t="str">
        <f t="shared" si="1552"/>
        <v>#NAME?</v>
      </c>
      <c r="HO33" s="1095" t="s">
        <v>5006</v>
      </c>
      <c r="HP33" s="65"/>
      <c r="HS33" s="349"/>
      <c r="HT33" s="349"/>
      <c r="HW33" s="1096" t="str">
        <f t="shared" si="1553"/>
        <v>#NAME?</v>
      </c>
      <c r="HX33" s="89" t="s">
        <v>793</v>
      </c>
      <c r="HY33" s="1417" t="str">
        <f t="shared" si="1554"/>
        <v>#NAME?</v>
      </c>
      <c r="HZ33" s="62" t="str">
        <f t="shared" si="1555"/>
        <v>#NAME?</v>
      </c>
      <c r="IA33" s="1108" t="s">
        <v>5214</v>
      </c>
      <c r="IB33" s="65"/>
      <c r="IE33" s="349"/>
      <c r="IF33" s="349"/>
      <c r="IG33" s="349"/>
      <c r="IH33" s="65"/>
      <c r="II33" s="1268"/>
      <c r="IJ33" s="1269" t="s">
        <v>4904</v>
      </c>
      <c r="IK33" s="12"/>
      <c r="IL33" s="962"/>
      <c r="IM33" s="1270" t="s">
        <v>4608</v>
      </c>
      <c r="IN33" s="65"/>
      <c r="IQ33" s="349"/>
      <c r="IR33" s="349"/>
      <c r="IT33" s="1230"/>
      <c r="IU33" s="1266"/>
      <c r="IV33" s="1259" t="s">
        <v>5706</v>
      </c>
      <c r="IW33" s="12"/>
      <c r="IX33" s="962"/>
      <c r="IY33" s="1258" t="s">
        <v>4608</v>
      </c>
      <c r="IZ33" s="442"/>
      <c r="JA33" s="1012" t="str">
        <f t="shared" ref="JA33:JA34" si="1664">MONICON21(JB33)</f>
        <v>#NAME?</v>
      </c>
      <c r="JB33" s="1304" t="s">
        <v>1808</v>
      </c>
      <c r="JC33" s="977" t="str">
        <f t="shared" ref="JC33:JC34" si="1665">MONTYPEICON1(JB33)</f>
        <v>#NAME?</v>
      </c>
      <c r="JD33" s="980" t="str">
        <f t="shared" ref="JD33:JD34" si="1666">MONTYPEICON2(JB33)</f>
        <v>#NAME?</v>
      </c>
      <c r="JE33" s="1305" t="s">
        <v>5084</v>
      </c>
      <c r="JF33" s="442"/>
      <c r="JG33" s="1193" t="str">
        <f t="shared" si="1595"/>
        <v>#NAME?</v>
      </c>
      <c r="JH33" s="1357" t="s">
        <v>1697</v>
      </c>
      <c r="JI33" s="1146" t="str">
        <f t="shared" si="1596"/>
        <v>#NAME?</v>
      </c>
      <c r="JJ33" s="1148" t="str">
        <f t="shared" si="1597"/>
        <v>#NAME?</v>
      </c>
      <c r="JK33" s="1330" t="s">
        <v>5008</v>
      </c>
      <c r="JL33" s="442"/>
      <c r="JM33" s="1012" t="str">
        <f t="shared" si="1556"/>
        <v>#NAME?</v>
      </c>
      <c r="JN33" s="1098" t="s">
        <v>742</v>
      </c>
      <c r="JO33" s="1013" t="str">
        <f t="shared" si="1557"/>
        <v>#NAME?</v>
      </c>
      <c r="JP33" s="1015" t="str">
        <f t="shared" si="1558"/>
        <v>#NAME?</v>
      </c>
      <c r="JQ33" s="1414" t="s">
        <v>5010</v>
      </c>
      <c r="JR33" s="442"/>
      <c r="JS33" s="1012" t="str">
        <f t="shared" si="1559"/>
        <v>#NAME?</v>
      </c>
      <c r="JT33" s="1149" t="s">
        <v>1452</v>
      </c>
      <c r="JU33" s="1418" t="str">
        <f t="shared" si="1560"/>
        <v>#NAME?</v>
      </c>
      <c r="JV33" s="1419" t="str">
        <f t="shared" si="1561"/>
        <v>#NAME?</v>
      </c>
      <c r="JW33" s="1108" t="s">
        <v>5010</v>
      </c>
      <c r="JY33" s="983" t="str">
        <f t="shared" ref="JY33:JY35" si="1667">MONICON21(JZ33)</f>
        <v>#NAME?</v>
      </c>
      <c r="JZ33" s="1301" t="s">
        <v>69</v>
      </c>
      <c r="KA33" s="1311" t="str">
        <f t="shared" ref="KA33:KA35" si="1668">MONTYPEICON1(JZ33)</f>
        <v>#NAME?</v>
      </c>
      <c r="KB33" s="1312" t="str">
        <f t="shared" ref="KB33:KB35" si="1669">MONTYPEICON2(JZ33)</f>
        <v>#NAME?</v>
      </c>
      <c r="KC33" s="1303" t="s">
        <v>5009</v>
      </c>
      <c r="KE33" s="1193" t="str">
        <f t="shared" si="1598"/>
        <v>#NAME?</v>
      </c>
      <c r="KF33" s="1145" t="s">
        <v>2752</v>
      </c>
      <c r="KG33" s="1146" t="str">
        <f t="shared" si="1599"/>
        <v>#NAME?</v>
      </c>
      <c r="KH33" s="1148" t="str">
        <f t="shared" si="1600"/>
        <v>#NAME?</v>
      </c>
      <c r="KI33" s="1330" t="s">
        <v>5010</v>
      </c>
      <c r="KJ33" s="65"/>
      <c r="KK33" s="1056" t="str">
        <f t="shared" si="1601"/>
        <v>#NAME?</v>
      </c>
      <c r="KL33" s="1089" t="s">
        <v>2824</v>
      </c>
      <c r="KM33" s="1021" t="str">
        <f t="shared" si="1602"/>
        <v>#NAME?</v>
      </c>
      <c r="KN33" s="1024" t="str">
        <f t="shared" si="1603"/>
        <v>#NAME?</v>
      </c>
      <c r="KO33" s="1024" t="s">
        <v>5010</v>
      </c>
      <c r="KP33" s="65"/>
      <c r="KQ33" s="983" t="str">
        <f t="shared" ref="KQ33:KQ38" si="1670">MONICON21(KR33)</f>
        <v>#NAME?</v>
      </c>
      <c r="KR33" s="1304" t="s">
        <v>3978</v>
      </c>
      <c r="KS33" s="1313" t="str">
        <f t="shared" ref="KS33:KS38" si="1671">MONTYPEICON1(KR33)</f>
        <v>#NAME?</v>
      </c>
      <c r="KT33" s="1314" t="str">
        <f t="shared" ref="KT33:KT38" si="1672">MONTYPEICON2(KR33)</f>
        <v>#NAME?</v>
      </c>
      <c r="KU33" s="1303" t="s">
        <v>5013</v>
      </c>
      <c r="KV33" s="65"/>
      <c r="KW33" s="1351" t="str">
        <f t="shared" si="1604"/>
        <v>#NAME?</v>
      </c>
      <c r="KX33" s="1372" t="s">
        <v>535</v>
      </c>
      <c r="KY33" s="1353" t="str">
        <f t="shared" si="1605"/>
        <v>#NAME?</v>
      </c>
      <c r="KZ33" s="1354" t="str">
        <f t="shared" si="1606"/>
        <v>#NAME?</v>
      </c>
      <c r="LA33" s="1367" t="s">
        <v>5014</v>
      </c>
      <c r="LB33" s="442"/>
      <c r="LE33" s="349"/>
      <c r="LF33" s="349"/>
      <c r="LI33" s="1068" t="str">
        <f t="shared" si="1607"/>
        <v>#NAME?</v>
      </c>
      <c r="LJ33" s="1076" t="s">
        <v>1546</v>
      </c>
      <c r="LK33" s="1358" t="str">
        <f t="shared" si="1608"/>
        <v>#NAME?</v>
      </c>
      <c r="LL33" s="1359" t="str">
        <f t="shared" si="1609"/>
        <v>#NAME?</v>
      </c>
      <c r="LM33" s="1368" t="s">
        <v>5015</v>
      </c>
      <c r="LO33" s="1277"/>
      <c r="LP33" s="1264" t="s">
        <v>5504</v>
      </c>
      <c r="LQ33" s="12"/>
      <c r="LR33" s="962"/>
      <c r="LS33" s="1265" t="s">
        <v>4608</v>
      </c>
      <c r="LT33" s="442"/>
      <c r="LW33" s="349"/>
      <c r="LX33" s="349"/>
      <c r="LZ33" s="442"/>
      <c r="MC33" s="349"/>
      <c r="MD33" s="349"/>
      <c r="MF33" s="442"/>
      <c r="MG33" s="1351" t="str">
        <f t="shared" si="1511"/>
        <v>#NAME?</v>
      </c>
      <c r="MH33" s="1372" t="s">
        <v>4146</v>
      </c>
      <c r="MI33" s="1353" t="str">
        <f t="shared" si="1512"/>
        <v>#NAME?</v>
      </c>
      <c r="MJ33" s="1354" t="str">
        <f t="shared" si="1513"/>
        <v>#NAME?</v>
      </c>
      <c r="MK33" s="1367" t="s">
        <v>5017</v>
      </c>
      <c r="ML33" s="442"/>
      <c r="MM33" s="983" t="str">
        <f t="shared" ref="MM33:MM34" si="1673">MONICON21(MN33)</f>
        <v>#NAME?</v>
      </c>
      <c r="MN33" s="1301" t="s">
        <v>1657</v>
      </c>
      <c r="MO33" s="977" t="str">
        <f t="shared" ref="MO33:MO34" si="1674">MONTYPEICON1(MN33)</f>
        <v>#NAME?</v>
      </c>
      <c r="MP33" s="980" t="str">
        <f t="shared" ref="MP33:MP34" si="1675">MONTYPEICON2(MN33)</f>
        <v>#NAME?</v>
      </c>
      <c r="MQ33" s="1318" t="s">
        <v>5164</v>
      </c>
      <c r="MS33" s="983" t="str">
        <f t="shared" ref="MS33:MS35" si="1676">MONICON21(MT33)</f>
        <v>#NAME?</v>
      </c>
      <c r="MT33" s="1301" t="s">
        <v>4091</v>
      </c>
      <c r="MU33" s="977" t="str">
        <f t="shared" ref="MU33:MU35" si="1677">MONTYPEICON1(MT33)</f>
        <v>#NAME?</v>
      </c>
      <c r="MV33" s="980" t="str">
        <f t="shared" ref="MV33:MV35" si="1678">MONTYPEICON2(MT33)</f>
        <v>#NAME?</v>
      </c>
      <c r="MW33" s="1318" t="s">
        <v>5051</v>
      </c>
      <c r="MX33" s="442"/>
      <c r="MY33" s="442"/>
      <c r="MZ33" s="442"/>
      <c r="NA33" s="108"/>
      <c r="NB33" s="108"/>
      <c r="NC33" s="442"/>
      <c r="ND33" s="442"/>
      <c r="NE33" s="1068" t="str">
        <f t="shared" si="1610"/>
        <v>#NAME?</v>
      </c>
      <c r="NF33" s="1076" t="s">
        <v>1393</v>
      </c>
      <c r="NG33" s="1358" t="str">
        <f t="shared" si="1611"/>
        <v>#NAME?</v>
      </c>
      <c r="NH33" s="1359" t="str">
        <f t="shared" si="1612"/>
        <v>#NAME?</v>
      </c>
      <c r="NI33" s="1368" t="s">
        <v>5017</v>
      </c>
      <c r="NJ33" s="65"/>
      <c r="NK33" s="1056" t="str">
        <f t="shared" si="1613"/>
        <v>#NAME?</v>
      </c>
      <c r="NL33" s="1123" t="s">
        <v>2884</v>
      </c>
      <c r="NM33" s="1502" t="str">
        <f t="shared" si="1614"/>
        <v>#NAME?</v>
      </c>
      <c r="NN33" s="1503" t="str">
        <f t="shared" si="1615"/>
        <v>#NAME?</v>
      </c>
      <c r="NO33" s="1501" t="s">
        <v>5051</v>
      </c>
      <c r="NQ33" s="442"/>
      <c r="NR33" s="442"/>
      <c r="NS33" s="108"/>
      <c r="NT33" s="108"/>
      <c r="NU33" s="442"/>
      <c r="NV33" s="442"/>
      <c r="NW33" s="1266"/>
      <c r="NX33" s="1259" t="s">
        <v>5707</v>
      </c>
      <c r="NY33" s="12"/>
      <c r="NZ33" s="962"/>
      <c r="OA33" s="1258" t="s">
        <v>4608</v>
      </c>
      <c r="OB33" s="442"/>
      <c r="OC33" s="1266"/>
      <c r="OD33" s="1259" t="s">
        <v>5708</v>
      </c>
      <c r="OE33" s="12"/>
      <c r="OF33" s="962"/>
      <c r="OG33" s="1258" t="s">
        <v>4608</v>
      </c>
      <c r="OH33" s="442"/>
      <c r="OI33" s="1068" t="str">
        <f t="shared" si="1616"/>
        <v>#NAME?</v>
      </c>
      <c r="OJ33" s="1076" t="s">
        <v>3317</v>
      </c>
      <c r="OK33" s="1358" t="str">
        <f t="shared" si="1617"/>
        <v>#NAME?</v>
      </c>
      <c r="OL33" s="1359" t="str">
        <f t="shared" si="1618"/>
        <v>#NAME?</v>
      </c>
      <c r="OM33" s="1368" t="s">
        <v>5020</v>
      </c>
      <c r="ON33" s="442"/>
      <c r="OQ33" s="349"/>
      <c r="OR33" s="349"/>
      <c r="OU33" s="983" t="str">
        <f t="shared" ref="OU33:OU36" si="1679">MONICON21(OV33)</f>
        <v>#NAME?</v>
      </c>
      <c r="OV33" s="1301" t="s">
        <v>3059</v>
      </c>
      <c r="OW33" s="1311" t="str">
        <f t="shared" ref="OW33:OW36" si="1680">MONTYPEICON1(OV33)</f>
        <v>#NAME?</v>
      </c>
      <c r="OX33" s="1312" t="str">
        <f t="shared" ref="OX33:OX36" si="1681">MONTYPEICON2(OV33)</f>
        <v>#NAME?</v>
      </c>
      <c r="OY33" s="1318" t="s">
        <v>5022</v>
      </c>
      <c r="PA33" s="983" t="str">
        <f t="shared" ref="PA33:PA35" si="1682">MONICON21(PB33)</f>
        <v>#NAME?</v>
      </c>
      <c r="PB33" s="1301" t="s">
        <v>1272</v>
      </c>
      <c r="PC33" s="1311" t="str">
        <f t="shared" ref="PC33:PC35" si="1683">MONTYPEICON1(PB33)</f>
        <v>#NAME?</v>
      </c>
      <c r="PD33" s="1312" t="str">
        <f t="shared" ref="PD33:PD35" si="1684">MONTYPEICON2(PB33)</f>
        <v>#NAME?</v>
      </c>
      <c r="PE33" s="1318" t="s">
        <v>5022</v>
      </c>
      <c r="PF33" s="442"/>
      <c r="PG33" s="1068" t="str">
        <f t="shared" si="1619"/>
        <v>#NAME?</v>
      </c>
      <c r="PH33" s="1076" t="s">
        <v>1436</v>
      </c>
      <c r="PI33" s="1358" t="str">
        <f t="shared" si="1620"/>
        <v>#NAME?</v>
      </c>
      <c r="PJ33" s="1359" t="str">
        <f t="shared" si="1621"/>
        <v>#NAME?</v>
      </c>
      <c r="PK33" s="1368" t="s">
        <v>5021</v>
      </c>
      <c r="PL33" s="65"/>
      <c r="PM33" s="1193" t="str">
        <f t="shared" si="1517"/>
        <v>#NAME?</v>
      </c>
      <c r="PN33" s="1145" t="s">
        <v>3139</v>
      </c>
      <c r="PO33" s="1462" t="str">
        <f t="shared" si="1518"/>
        <v>#NAME?</v>
      </c>
      <c r="PP33" s="1463" t="str">
        <f t="shared" si="1519"/>
        <v>#NAME?</v>
      </c>
      <c r="PQ33" s="1464" t="s">
        <v>5021</v>
      </c>
      <c r="PS33" s="1012" t="str">
        <f t="shared" si="1565"/>
        <v>#NAME?</v>
      </c>
      <c r="PT33" s="1098" t="s">
        <v>474</v>
      </c>
      <c r="PU33" s="1418" t="str">
        <f t="shared" si="1566"/>
        <v>#NAME?</v>
      </c>
      <c r="PV33" s="1419" t="str">
        <f t="shared" si="1567"/>
        <v>#NAME?</v>
      </c>
      <c r="PW33" s="1423" t="s">
        <v>5023</v>
      </c>
      <c r="PX33" s="442"/>
      <c r="PY33" s="1268"/>
      <c r="PZ33" s="1269" t="s">
        <v>4922</v>
      </c>
      <c r="QA33" s="12"/>
      <c r="QB33" s="962"/>
      <c r="QC33" s="1270" t="s">
        <v>4608</v>
      </c>
      <c r="QD33" s="442"/>
      <c r="QG33" s="349"/>
      <c r="QH33" s="349"/>
      <c r="QJ33" s="442"/>
      <c r="QK33" s="1457" t="str">
        <f t="shared" si="1622"/>
        <v>#NAME?</v>
      </c>
      <c r="QL33" s="1429" t="s">
        <v>4197</v>
      </c>
      <c r="QM33" s="1428" t="str">
        <f t="shared" si="1623"/>
        <v>#NAME?</v>
      </c>
      <c r="QN33" s="1430" t="str">
        <f t="shared" si="1624"/>
        <v>#NAME?</v>
      </c>
      <c r="QO33" s="1431" t="s">
        <v>5031</v>
      </c>
      <c r="QP33" s="442"/>
      <c r="QQ33" s="1457" t="str">
        <f t="shared" si="1625"/>
        <v>#NAME?</v>
      </c>
      <c r="QR33" s="1429" t="s">
        <v>1901</v>
      </c>
      <c r="QS33" s="1428" t="str">
        <f t="shared" si="1626"/>
        <v>#NAME?</v>
      </c>
      <c r="QT33" s="1430" t="str">
        <f t="shared" si="1627"/>
        <v>#NAME?</v>
      </c>
      <c r="QU33" s="1431" t="s">
        <v>5033</v>
      </c>
      <c r="QV33" s="442"/>
      <c r="QW33" s="1457" t="str">
        <f t="shared" si="1628"/>
        <v>#NAME?</v>
      </c>
      <c r="QX33" s="1429" t="s">
        <v>2185</v>
      </c>
      <c r="QY33" s="1428" t="str">
        <f t="shared" si="1629"/>
        <v>#NAME?</v>
      </c>
      <c r="QZ33" s="1430" t="str">
        <f t="shared" si="1630"/>
        <v>#NAME?</v>
      </c>
      <c r="RA33" s="1431" t="s">
        <v>5112</v>
      </c>
      <c r="RB33" s="442"/>
      <c r="RC33" s="1457" t="str">
        <f t="shared" si="1631"/>
        <v>#NAME?</v>
      </c>
      <c r="RD33" s="1429" t="s">
        <v>2625</v>
      </c>
      <c r="RE33" s="1428" t="str">
        <f t="shared" si="1632"/>
        <v>#NAME?</v>
      </c>
      <c r="RF33" s="1430" t="str">
        <f t="shared" si="1633"/>
        <v>#NAME?</v>
      </c>
      <c r="RG33" s="1431" t="s">
        <v>5113</v>
      </c>
      <c r="RH33" s="442"/>
      <c r="RI33" s="1457" t="str">
        <f t="shared" si="1634"/>
        <v>#NAME?</v>
      </c>
      <c r="RJ33" s="1429" t="s">
        <v>3736</v>
      </c>
      <c r="RK33" s="1428" t="str">
        <f t="shared" si="1635"/>
        <v>#NAME?</v>
      </c>
      <c r="RL33" s="1430" t="str">
        <f t="shared" si="1636"/>
        <v>#NAME?</v>
      </c>
      <c r="RM33" s="1431" t="s">
        <v>5092</v>
      </c>
      <c r="RN33" s="442"/>
      <c r="RO33" s="983" t="str">
        <f t="shared" ref="RO33:RO35" si="1685">MONICON21(RP33)</f>
        <v>#NAME?</v>
      </c>
      <c r="RP33" s="1301" t="s">
        <v>2477</v>
      </c>
      <c r="RQ33" s="1311" t="str">
        <f t="shared" ref="RQ33:RQ35" si="1686">MONTYPEICON1(RP33)</f>
        <v>#NAME?</v>
      </c>
      <c r="RR33" s="1312" t="str">
        <f t="shared" ref="RR33:RR35" si="1687">MONTYPEICON2(RP33)</f>
        <v>#NAME?</v>
      </c>
      <c r="RS33" s="1318" t="s">
        <v>5112</v>
      </c>
      <c r="RT33" s="442"/>
      <c r="RU33" s="1193" t="str">
        <f t="shared" si="1520"/>
        <v>#NAME?</v>
      </c>
      <c r="RV33" s="1145" t="s">
        <v>2285</v>
      </c>
      <c r="RW33" s="1462" t="str">
        <f t="shared" si="1521"/>
        <v>#NAME?</v>
      </c>
      <c r="RX33" s="1463" t="str">
        <f t="shared" si="1522"/>
        <v>#NAME?</v>
      </c>
      <c r="RY33" s="1464" t="s">
        <v>5112</v>
      </c>
      <c r="RZ33" s="442"/>
      <c r="SA33" s="1096" t="str">
        <f t="shared" si="1568"/>
        <v>#NAME?</v>
      </c>
      <c r="SB33" s="1157" t="s">
        <v>3103</v>
      </c>
      <c r="SC33" s="1013" t="str">
        <f t="shared" si="1569"/>
        <v>#NAME?</v>
      </c>
      <c r="SD33" s="1015" t="str">
        <f t="shared" si="1570"/>
        <v>#NAME?</v>
      </c>
      <c r="SE33" s="1321" t="s">
        <v>5024</v>
      </c>
      <c r="SG33" s="1266"/>
      <c r="SH33" s="1259" t="s">
        <v>5709</v>
      </c>
      <c r="SI33" s="12"/>
      <c r="SJ33" s="962"/>
      <c r="SK33" s="1004" t="s">
        <v>4608</v>
      </c>
      <c r="SM33" s="1283"/>
      <c r="SN33" s="1264" t="s">
        <v>5710</v>
      </c>
      <c r="SO33" s="12"/>
      <c r="SP33" s="962"/>
      <c r="SQ33" s="1288" t="s">
        <v>4608</v>
      </c>
      <c r="SR33" s="442"/>
      <c r="SS33" s="961" t="s">
        <v>4553</v>
      </c>
      <c r="ST33" s="12"/>
      <c r="SU33" s="12"/>
      <c r="SV33" s="12"/>
      <c r="SW33" s="48"/>
      <c r="SX33" s="442"/>
      <c r="SY33" s="1266"/>
      <c r="SZ33" s="1259" t="s">
        <v>5711</v>
      </c>
      <c r="TA33" s="12"/>
      <c r="TB33" s="962"/>
      <c r="TC33" s="1004" t="s">
        <v>4608</v>
      </c>
      <c r="TD33" s="65"/>
      <c r="TE33" s="1351" t="str">
        <f t="shared" si="1526"/>
        <v>#NAME?</v>
      </c>
      <c r="TF33" s="1372" t="s">
        <v>4167</v>
      </c>
      <c r="TG33" s="1353" t="str">
        <f t="shared" si="1527"/>
        <v>#NAME?</v>
      </c>
      <c r="TH33" s="1354" t="str">
        <f t="shared" si="1528"/>
        <v>#NAME?</v>
      </c>
      <c r="TI33" s="1367" t="s">
        <v>5092</v>
      </c>
      <c r="TK33" s="1068" t="str">
        <f t="shared" si="1637"/>
        <v>#NAME?</v>
      </c>
      <c r="TL33" s="1076" t="s">
        <v>3896</v>
      </c>
      <c r="TM33" s="1358" t="str">
        <f t="shared" si="1638"/>
        <v>#NAME?</v>
      </c>
      <c r="TN33" s="1359" t="str">
        <f t="shared" si="1639"/>
        <v>#NAME?</v>
      </c>
      <c r="TO33" s="1368" t="s">
        <v>5026</v>
      </c>
      <c r="TP33" s="442"/>
      <c r="TQ33" s="1068" t="str">
        <f t="shared" si="1640"/>
        <v>#NAME?</v>
      </c>
      <c r="TR33" s="1076" t="s">
        <v>2418</v>
      </c>
      <c r="TS33" s="1358" t="str">
        <f t="shared" si="1641"/>
        <v>#NAME?</v>
      </c>
      <c r="TT33" s="1359" t="str">
        <f t="shared" si="1642"/>
        <v>#NAME?</v>
      </c>
      <c r="TU33" s="1368" t="s">
        <v>5026</v>
      </c>
      <c r="TW33" s="961" t="s">
        <v>5712</v>
      </c>
      <c r="TX33" s="12"/>
      <c r="TY33" s="12"/>
      <c r="TZ33" s="48"/>
      <c r="UB33" s="442"/>
      <c r="UH33" s="442"/>
      <c r="UI33" s="1033" t="str">
        <f t="shared" ref="UI33:UI34" si="1688">MONICON21(UJ33)</f>
        <v>#NAME?</v>
      </c>
      <c r="UJ33" s="1301" t="s">
        <v>3990</v>
      </c>
      <c r="UK33" s="977" t="str">
        <f t="shared" ref="UK33:UK34" si="1689">MONTYPEICON1(UJ33)</f>
        <v>#NAME?</v>
      </c>
      <c r="UL33" s="980" t="str">
        <f t="shared" ref="UL33:UL34" si="1690">MONTYPEICON2(UJ33)</f>
        <v>#NAME?</v>
      </c>
      <c r="UM33" s="1303" t="s">
        <v>5279</v>
      </c>
      <c r="UO33" s="1293"/>
      <c r="UP33" s="1291" t="s">
        <v>5713</v>
      </c>
      <c r="UQ33" s="12"/>
      <c r="UR33" s="962"/>
      <c r="US33" s="1292" t="s">
        <v>4608</v>
      </c>
      <c r="UU33" s="1293"/>
      <c r="UV33" s="1291" t="s">
        <v>5714</v>
      </c>
      <c r="UW33" s="12"/>
      <c r="UX33" s="962"/>
      <c r="UY33" s="1292" t="s">
        <v>4608</v>
      </c>
      <c r="VA33" s="1293"/>
      <c r="VB33" s="1291" t="s">
        <v>5715</v>
      </c>
      <c r="VC33" s="12"/>
      <c r="VD33" s="962"/>
      <c r="VE33" s="1292" t="s">
        <v>4608</v>
      </c>
      <c r="VG33" s="1387" t="str">
        <f t="shared" si="1643"/>
        <v>#NAME?</v>
      </c>
      <c r="VH33" s="1388" t="s">
        <v>2914</v>
      </c>
      <c r="VI33" s="1387" t="str">
        <f t="shared" si="1644"/>
        <v>#NAME?</v>
      </c>
      <c r="VJ33" s="1392" t="str">
        <f t="shared" si="1645"/>
        <v>#NAME?</v>
      </c>
      <c r="VK33" s="1391" t="s">
        <v>1043</v>
      </c>
      <c r="VL33" s="442"/>
      <c r="VM33" s="1051" t="str">
        <f t="shared" si="1577"/>
        <v>#NAME?</v>
      </c>
      <c r="VN33" s="1127" t="s">
        <v>3911</v>
      </c>
      <c r="VO33" s="1051" t="str">
        <f t="shared" si="1578"/>
        <v>#NAME?</v>
      </c>
      <c r="VP33" s="1131" t="str">
        <f t="shared" si="1579"/>
        <v>#NAME?</v>
      </c>
      <c r="VQ33" s="1095" t="s">
        <v>5361</v>
      </c>
      <c r="VR33" s="442"/>
      <c r="VS33" s="442"/>
      <c r="VT33" s="442"/>
      <c r="VU33" s="442"/>
      <c r="VV33" s="442"/>
      <c r="VW33" s="442"/>
      <c r="VX33" s="442"/>
      <c r="VY33" s="963" t="s">
        <v>5181</v>
      </c>
      <c r="VZ33" s="12"/>
      <c r="WA33" s="12"/>
      <c r="WB33" s="12"/>
      <c r="WC33" s="48"/>
      <c r="WD33" s="442"/>
      <c r="WE33" s="1092" t="str">
        <f>MONICON21(WF33)</f>
        <v>#NAME?</v>
      </c>
      <c r="WF33" s="1616" t="s">
        <v>1443</v>
      </c>
      <c r="WG33" s="1092" t="str">
        <f>MONTYPEICON1(WF33)</f>
        <v>#NAME?</v>
      </c>
      <c r="WH33" s="987" t="str">
        <f>MONTYPEICON2(WF33)</f>
        <v>#NAME?</v>
      </c>
      <c r="WI33" s="1617" t="s">
        <v>5033</v>
      </c>
      <c r="WJ33" s="442"/>
      <c r="WK33" s="977" t="str">
        <f t="shared" ref="WK33:WK35" si="1691">MONICON21(WL33)</f>
        <v>#NAME?</v>
      </c>
      <c r="WL33" s="1301" t="s">
        <v>1073</v>
      </c>
      <c r="WM33" s="977" t="str">
        <f t="shared" ref="WM33:WM35" si="1692">MONTYPEICON1(WL33)</f>
        <v>#NAME?</v>
      </c>
      <c r="WN33" s="980" t="str">
        <f t="shared" ref="WN33:WN35" si="1693">MONTYPEICON2(WL33)</f>
        <v>#NAME?</v>
      </c>
      <c r="WO33" s="1303" t="s">
        <v>5019</v>
      </c>
      <c r="WP33" s="442"/>
      <c r="WQ33" s="1294"/>
      <c r="WR33" s="1291" t="s">
        <v>5716</v>
      </c>
      <c r="WS33" s="12"/>
      <c r="WT33" s="962"/>
      <c r="WU33" s="1292" t="s">
        <v>4608</v>
      </c>
      <c r="WV33" s="442"/>
      <c r="WW33" s="1092" t="str">
        <f>MONICON21(WX33)</f>
        <v>#NAME?</v>
      </c>
      <c r="WX33" s="1052" t="s">
        <v>4004</v>
      </c>
      <c r="WY33" s="1092" t="str">
        <f>MONTYPEICON1(WX33)</f>
        <v>#NAME?</v>
      </c>
      <c r="WZ33" s="987" t="str">
        <f>MONTYPEICON2(WX33)</f>
        <v>#NAME?</v>
      </c>
      <c r="XA33" s="1327" t="s">
        <v>5112</v>
      </c>
      <c r="XB33" s="442"/>
      <c r="XC33" s="1383" t="str">
        <f t="shared" si="1445"/>
        <v>#NAME?</v>
      </c>
      <c r="XD33" s="1384" t="s">
        <v>1272</v>
      </c>
      <c r="XE33" s="1383" t="str">
        <f t="shared" si="1446"/>
        <v>#NAME?</v>
      </c>
      <c r="XF33" s="1385" t="str">
        <f t="shared" si="1447"/>
        <v>#NAME?</v>
      </c>
      <c r="XG33" s="1507" t="s">
        <v>5410</v>
      </c>
      <c r="XH33" s="442"/>
      <c r="XI33" s="977" t="str">
        <f t="shared" ref="XI33:XI35" si="1694">MONICON21(XJ33)</f>
        <v>#NAME?</v>
      </c>
      <c r="XJ33" s="1301" t="s">
        <v>857</v>
      </c>
      <c r="XK33" s="977" t="str">
        <f t="shared" ref="XK33:XK35" si="1695">MONTYPEICON1(XJ33)</f>
        <v>#NAME?</v>
      </c>
      <c r="XL33" s="980" t="str">
        <f t="shared" ref="XL33:XL35" si="1696">MONTYPEICON2(XJ33)</f>
        <v>#NAME?</v>
      </c>
      <c r="XM33" s="1303" t="s">
        <v>5019</v>
      </c>
      <c r="XN33" s="442"/>
      <c r="XO33" s="1295" t="s">
        <v>4762</v>
      </c>
      <c r="XP33" s="12"/>
      <c r="XQ33" s="12"/>
      <c r="XR33" s="12"/>
      <c r="XS33" s="48"/>
      <c r="XT33" s="442"/>
      <c r="XU33" s="1483"/>
      <c r="XV33" s="1291" t="s">
        <v>5717</v>
      </c>
      <c r="XW33" s="12"/>
      <c r="XX33" s="962"/>
      <c r="XY33" s="1292" t="s">
        <v>4608</v>
      </c>
      <c r="XZ33" s="442"/>
      <c r="YA33" s="1294"/>
      <c r="YB33" s="1291" t="s">
        <v>5718</v>
      </c>
      <c r="YC33" s="12"/>
      <c r="YD33" s="962"/>
      <c r="YE33" s="1292" t="s">
        <v>4608</v>
      </c>
      <c r="YF33" s="442"/>
      <c r="YI33" s="349"/>
      <c r="YJ33" s="349"/>
      <c r="YL33" s="442"/>
      <c r="YO33" s="349"/>
      <c r="YP33" s="349"/>
      <c r="YR33" s="442"/>
      <c r="YS33" s="1289" t="s">
        <v>5719</v>
      </c>
      <c r="YT33" s="12"/>
      <c r="YU33" s="12"/>
      <c r="YV33" s="12"/>
      <c r="YW33" s="48"/>
      <c r="YX33" s="442"/>
      <c r="YY33" s="1294"/>
      <c r="YZ33" s="1291" t="s">
        <v>5720</v>
      </c>
      <c r="ZA33" s="12"/>
      <c r="ZB33" s="962"/>
      <c r="ZC33" s="1292" t="s">
        <v>4608</v>
      </c>
      <c r="ZD33" s="442"/>
      <c r="ZE33" s="977" t="str">
        <f t="shared" ref="ZE33:ZE35" si="1697">MONICON21(ZF33)</f>
        <v>#NAME?</v>
      </c>
      <c r="ZF33" s="1301" t="s">
        <v>1343</v>
      </c>
      <c r="ZG33" s="977" t="str">
        <f t="shared" ref="ZG33:ZG35" si="1698">MONTYPEICON1(ZF33)</f>
        <v>#NAME?</v>
      </c>
      <c r="ZH33" s="980" t="str">
        <f t="shared" ref="ZH33:ZH35" si="1699">MONTYPEICON2(ZF33)</f>
        <v>#NAME?</v>
      </c>
      <c r="ZI33" s="1303" t="s">
        <v>5032</v>
      </c>
      <c r="ZJ33" s="442"/>
      <c r="ZK33" s="349"/>
      <c r="ZM33" s="349"/>
      <c r="ZN33" s="349"/>
      <c r="ZP33" s="442"/>
      <c r="ZQ33" s="1013" t="str">
        <f t="shared" si="1583"/>
        <v>#NAME?</v>
      </c>
      <c r="ZR33" s="1435" t="s">
        <v>2393</v>
      </c>
      <c r="ZS33" s="1013" t="str">
        <f t="shared" si="1584"/>
        <v>#NAME?</v>
      </c>
      <c r="ZT33" s="1015" t="str">
        <f t="shared" si="1585"/>
        <v>#NAME?</v>
      </c>
      <c r="ZU33" s="1436" t="s">
        <v>5035</v>
      </c>
      <c r="ZV33" s="442"/>
      <c r="ZW33" s="108"/>
      <c r="ZX33" s="442"/>
      <c r="ZY33" s="108"/>
      <c r="ZZ33" s="108"/>
      <c r="AAA33" s="442"/>
      <c r="AAB33" s="442"/>
      <c r="AAC33" s="349"/>
      <c r="AAE33" s="349"/>
      <c r="AAF33" s="349"/>
      <c r="AAH33" s="442"/>
      <c r="AAI33" s="1033" t="str">
        <f t="shared" ref="AAI33:AAI38" si="1700">MONICON21(AAJ33)</f>
        <v>#NAME?</v>
      </c>
      <c r="AAJ33" s="1301" t="s">
        <v>3670</v>
      </c>
      <c r="AAK33" s="977" t="str">
        <f t="shared" ref="AAK33:AAK38" si="1701">MONTYPEICON1(AAJ33)</f>
        <v>#NAME?</v>
      </c>
      <c r="AAL33" s="980" t="str">
        <f t="shared" ref="AAL33:AAL38" si="1702">MONTYPEICON2(AAJ33)</f>
        <v>#NAME?</v>
      </c>
      <c r="AAM33" s="1318" t="s">
        <v>5227</v>
      </c>
      <c r="AAO33" s="1033" t="str">
        <f t="shared" ref="AAO33:AAO38" si="1703">MONICON21(AAP33)</f>
        <v>#NAME?</v>
      </c>
      <c r="AAP33" s="1301" t="s">
        <v>742</v>
      </c>
      <c r="AAQ33" s="977" t="str">
        <f t="shared" ref="AAQ33:AAQ38" si="1704">MONTYPEICON1(AAP33)</f>
        <v>#NAME?</v>
      </c>
      <c r="AAR33" s="980" t="str">
        <f t="shared" ref="AAR33:AAR38" si="1705">MONTYPEICON2(AAP33)</f>
        <v>#NAME?</v>
      </c>
      <c r="AAS33" s="1318" t="s">
        <v>5117</v>
      </c>
      <c r="AAU33" s="1033" t="str">
        <f t="shared" ref="AAU33:AAU38" si="1706">MONICON21(AAV33)</f>
        <v>#NAME?</v>
      </c>
      <c r="AAV33" s="1301" t="s">
        <v>742</v>
      </c>
      <c r="AAW33" s="977" t="str">
        <f t="shared" ref="AAW33:AAW38" si="1707">MONTYPEICON1(AAV33)</f>
        <v>#NAME?</v>
      </c>
      <c r="AAX33" s="980" t="str">
        <f t="shared" ref="AAX33:AAX38" si="1708">MONTYPEICON2(AAV33)</f>
        <v>#NAME?</v>
      </c>
      <c r="AAY33" s="1318" t="s">
        <v>5117</v>
      </c>
      <c r="ABA33" s="1033" t="str">
        <f t="shared" ref="ABA33:ABA38" si="1709">MONICON21(ABB33)</f>
        <v>#NAME?</v>
      </c>
      <c r="ABB33" s="1301" t="s">
        <v>1901</v>
      </c>
      <c r="ABC33" s="977" t="str">
        <f t="shared" ref="ABC33:ABC38" si="1710">MONTYPEICON1(ABB33)</f>
        <v>#NAME?</v>
      </c>
      <c r="ABD33" s="980" t="str">
        <f t="shared" ref="ABD33:ABD38" si="1711">MONTYPEICON2(ABB33)</f>
        <v>#NAME?</v>
      </c>
      <c r="ABE33" s="1318" t="s">
        <v>5036</v>
      </c>
      <c r="ABG33" s="1033" t="str">
        <f t="shared" ref="ABG33:ABG38" si="1712">MONICON21(ABH33)</f>
        <v>#NAME?</v>
      </c>
      <c r="ABH33" s="1301" t="s">
        <v>3978</v>
      </c>
      <c r="ABI33" s="977" t="str">
        <f t="shared" ref="ABI33:ABI38" si="1713">MONTYPEICON1(ABH33)</f>
        <v>#NAME?</v>
      </c>
      <c r="ABJ33" s="980" t="str">
        <f t="shared" ref="ABJ33:ABJ38" si="1714">MONTYPEICON2(ABH33)</f>
        <v>#NAME?</v>
      </c>
      <c r="ABK33" s="1318" t="s">
        <v>5036</v>
      </c>
      <c r="ABM33" s="1033" t="str">
        <f t="shared" ref="ABM33:ABM38" si="1715">MONICON21(ABN33)</f>
        <v>#NAME?</v>
      </c>
      <c r="ABN33" s="1301" t="s">
        <v>4132</v>
      </c>
      <c r="ABO33" s="977" t="str">
        <f t="shared" ref="ABO33:ABO38" si="1716">MONTYPEICON1(ABN33)</f>
        <v>#NAME?</v>
      </c>
      <c r="ABP33" s="980" t="str">
        <f t="shared" ref="ABP33:ABP38" si="1717">MONTYPEICON2(ABN33)</f>
        <v>#NAME?</v>
      </c>
      <c r="ABQ33" s="1318" t="s">
        <v>5036</v>
      </c>
      <c r="ABS33" s="1033" t="str">
        <f t="shared" ref="ABS33:ABS38" si="1718">MONICON21(ABT33)</f>
        <v>#NAME?</v>
      </c>
      <c r="ABT33" s="1301" t="s">
        <v>1384</v>
      </c>
      <c r="ABU33" s="977" t="str">
        <f t="shared" ref="ABU33:ABU38" si="1719">MONTYPEICON1(ABT33)</f>
        <v>#NAME?</v>
      </c>
      <c r="ABV33" s="980" t="str">
        <f t="shared" ref="ABV33:ABV38" si="1720">MONTYPEICON2(ABT33)</f>
        <v>#NAME?</v>
      </c>
      <c r="ABW33" s="1318" t="s">
        <v>5036</v>
      </c>
      <c r="ABY33" s="1484"/>
      <c r="ABZ33" s="1485" t="s">
        <v>5205</v>
      </c>
      <c r="ACA33" s="416"/>
      <c r="ACB33" s="1486"/>
      <c r="ACC33" s="1487" t="s">
        <v>4608</v>
      </c>
      <c r="ACE33" s="1620" t="s">
        <v>5721</v>
      </c>
      <c r="ACF33" s="959"/>
      <c r="ACG33" s="959"/>
      <c r="ACH33" s="959"/>
      <c r="ACI33" s="960"/>
      <c r="ACJ33" s="996"/>
    </row>
    <row r="34" ht="15.75" customHeight="1">
      <c r="A34" s="1230"/>
      <c r="B34" s="1403" t="str">
        <f>image("https://www.pokebip.com/pages/icones/objets/passe-bateau.png",1)</f>
        <v/>
      </c>
      <c r="C34" s="1404" t="s">
        <v>5722</v>
      </c>
      <c r="D34" s="1382" t="s">
        <v>4608</v>
      </c>
      <c r="E34" s="1230"/>
      <c r="F34" s="1238"/>
      <c r="G34" s="1621" t="s">
        <v>5723</v>
      </c>
      <c r="H34" s="1230"/>
      <c r="I34" s="108"/>
      <c r="J34" s="442"/>
      <c r="K34" s="442"/>
      <c r="L34" s="442"/>
      <c r="M34" s="108"/>
      <c r="N34" s="1230"/>
      <c r="T34" s="1230"/>
      <c r="U34" s="1033" t="str">
        <f t="shared" ref="U34:U35" si="1721">MONICON21(V34)</f>
        <v>#NAME?</v>
      </c>
      <c r="V34" s="1301" t="s">
        <v>3707</v>
      </c>
      <c r="W34" s="977" t="str">
        <f t="shared" ref="W34:W35" si="1722">MONTYPEICON1(V34)</f>
        <v>#NAME?</v>
      </c>
      <c r="X34" s="980" t="str">
        <f t="shared" ref="X34:X35" si="1723">MONTYPEICON2(V34)</f>
        <v>#NAME?</v>
      </c>
      <c r="Y34" s="1303" t="s">
        <v>5130</v>
      </c>
      <c r="Z34" s="1230"/>
      <c r="AA34" s="961" t="s">
        <v>5065</v>
      </c>
      <c r="AB34" s="12"/>
      <c r="AC34" s="12"/>
      <c r="AD34" s="12"/>
      <c r="AE34" s="48"/>
      <c r="AF34" s="1230"/>
      <c r="AL34" s="1230"/>
      <c r="AM34" s="442"/>
      <c r="AN34" s="442"/>
      <c r="AO34" s="442"/>
      <c r="AP34" s="442"/>
      <c r="AQ34" s="108"/>
      <c r="AR34" s="1230"/>
      <c r="AS34" s="1331"/>
      <c r="AT34" s="1307" t="s">
        <v>4930</v>
      </c>
      <c r="AU34" s="12"/>
      <c r="AV34" s="962"/>
      <c r="AW34" s="1282" t="s">
        <v>4608</v>
      </c>
      <c r="AX34" s="1230"/>
      <c r="AY34" s="1071" t="str">
        <f t="shared" si="1646"/>
        <v>#NAME?</v>
      </c>
      <c r="AZ34" s="1356" t="s">
        <v>663</v>
      </c>
      <c r="BA34" s="1071" t="str">
        <f t="shared" si="1647"/>
        <v>#NAME?</v>
      </c>
      <c r="BB34" s="1073" t="str">
        <f t="shared" si="1648"/>
        <v>#NAME?</v>
      </c>
      <c r="BC34" s="1338" t="s">
        <v>5337</v>
      </c>
      <c r="BD34" s="442"/>
      <c r="BE34" s="1146" t="str">
        <f t="shared" si="1649"/>
        <v>#NAME?</v>
      </c>
      <c r="BF34" s="1335" t="s">
        <v>2519</v>
      </c>
      <c r="BG34" s="1146" t="str">
        <f t="shared" si="1650"/>
        <v>#NAME?</v>
      </c>
      <c r="BH34" s="1148" t="str">
        <f t="shared" si="1651"/>
        <v>#NAME?</v>
      </c>
      <c r="BI34" s="1336" t="s">
        <v>4994</v>
      </c>
      <c r="BJ34" s="442"/>
      <c r="BK34" s="961" t="s">
        <v>5200</v>
      </c>
      <c r="BL34" s="12"/>
      <c r="BM34" s="12"/>
      <c r="BN34" s="12"/>
      <c r="BO34" s="48"/>
      <c r="BP34" s="442"/>
      <c r="BQ34" s="961" t="s">
        <v>5724</v>
      </c>
      <c r="BR34" s="12"/>
      <c r="BS34" s="12"/>
      <c r="BT34" s="12"/>
      <c r="BU34" s="48"/>
      <c r="BV34" s="442"/>
      <c r="BW34" s="1033" t="str">
        <f t="shared" ref="BW34:BW36" si="1724">MONICON21(BX34)</f>
        <v>#NAME?</v>
      </c>
      <c r="BX34" s="1301" t="s">
        <v>785</v>
      </c>
      <c r="BY34" s="977" t="str">
        <f t="shared" ref="BY34:BY36" si="1725">MONTYPEICON1(BX34)</f>
        <v>#NAME?</v>
      </c>
      <c r="BZ34" s="980" t="str">
        <f t="shared" ref="BZ34:BZ36" si="1726">MONTYPEICON2(BX34)</f>
        <v>#NAME?</v>
      </c>
      <c r="CA34" s="1303" t="s">
        <v>4996</v>
      </c>
      <c r="CB34" s="442"/>
      <c r="CH34" s="442"/>
      <c r="CI34" s="1568" t="str">
        <f t="shared" si="1652"/>
        <v>#NAME?</v>
      </c>
      <c r="CJ34" s="1366" t="s">
        <v>4069</v>
      </c>
      <c r="CK34" s="1353" t="str">
        <f t="shared" si="1653"/>
        <v>#NAME?</v>
      </c>
      <c r="CL34" s="1354" t="str">
        <f t="shared" si="1654"/>
        <v>#NAME?</v>
      </c>
      <c r="CM34" s="1413" t="s">
        <v>4996</v>
      </c>
      <c r="CN34" s="442"/>
      <c r="CO34" s="1049" t="str">
        <f>MONICON21(CP34)</f>
        <v>#NAME?</v>
      </c>
      <c r="CP34" s="1308" t="s">
        <v>903</v>
      </c>
      <c r="CQ34" s="1092" t="str">
        <f>MONTYPEICON1(CP34)</f>
        <v>#NAME?</v>
      </c>
      <c r="CR34" s="987" t="str">
        <f>MONTYPEICON2(CP34)</f>
        <v>#NAME?</v>
      </c>
      <c r="CS34" s="1309" t="s">
        <v>5459</v>
      </c>
      <c r="CT34" s="442"/>
      <c r="CU34" s="1068" t="str">
        <f t="shared" si="1655"/>
        <v>#NAME?</v>
      </c>
      <c r="CV34" s="1337" t="s">
        <v>623</v>
      </c>
      <c r="CW34" s="1071" t="str">
        <f t="shared" si="1656"/>
        <v>#NAME?</v>
      </c>
      <c r="CX34" s="1073" t="str">
        <f t="shared" si="1657"/>
        <v>#NAME?</v>
      </c>
      <c r="CY34" s="1338" t="s">
        <v>5099</v>
      </c>
      <c r="CZ34" s="442"/>
      <c r="DA34" s="1094" t="str">
        <f t="shared" si="1586"/>
        <v>#NAME?</v>
      </c>
      <c r="DB34" s="1410" t="s">
        <v>2374</v>
      </c>
      <c r="DC34" s="1051" t="str">
        <f t="shared" si="1587"/>
        <v>#NAME?</v>
      </c>
      <c r="DD34" s="1131" t="str">
        <f t="shared" si="1588"/>
        <v>#NAME?</v>
      </c>
      <c r="DE34" s="1411" t="s">
        <v>5099</v>
      </c>
      <c r="DF34" s="442"/>
      <c r="DG34" s="1012" t="str">
        <f t="shared" ref="DG34:DG37" si="1727">MONICON21(DH34)</f>
        <v>#NAME?</v>
      </c>
      <c r="DH34" s="1301" t="s">
        <v>2125</v>
      </c>
      <c r="DI34" s="977" t="str">
        <f t="shared" ref="DI34:DI37" si="1728">MONTYPEICON1(DH34)</f>
        <v>#NAME?</v>
      </c>
      <c r="DJ34" s="980" t="str">
        <f t="shared" ref="DJ34:DJ37" si="1729">MONTYPEICON2(DH34)</f>
        <v>#NAME?</v>
      </c>
      <c r="DK34" s="1303" t="s">
        <v>5000</v>
      </c>
      <c r="DL34" s="442"/>
      <c r="DR34" s="442"/>
      <c r="DS34" s="1012" t="str">
        <f t="shared" ref="DS34:DS36" si="1730">MONICON21(DT34)</f>
        <v>#NAME?</v>
      </c>
      <c r="DT34" s="1301" t="s">
        <v>3299</v>
      </c>
      <c r="DU34" s="977" t="str">
        <f t="shared" ref="DU34:DU36" si="1731">MONTYPEICON1(DT34)</f>
        <v>#NAME?</v>
      </c>
      <c r="DV34" s="980" t="str">
        <f t="shared" ref="DV34:DV36" si="1732">MONTYPEICON2(DT34)</f>
        <v>#NAME?</v>
      </c>
      <c r="DW34" s="1303" t="s">
        <v>4998</v>
      </c>
      <c r="DX34" s="442"/>
      <c r="ED34" s="442"/>
      <c r="EE34" s="1049" t="str">
        <f t="shared" si="1592"/>
        <v>#NAME?</v>
      </c>
      <c r="EF34" s="499" t="s">
        <v>2519</v>
      </c>
      <c r="EG34" s="1051" t="str">
        <f t="shared" si="1593"/>
        <v>#NAME?</v>
      </c>
      <c r="EH34" s="1131" t="str">
        <f t="shared" si="1594"/>
        <v>#NAME?</v>
      </c>
      <c r="EI34" s="1095" t="s">
        <v>5201</v>
      </c>
      <c r="EJ34" s="1230"/>
      <c r="EK34" s="983" t="str">
        <f t="shared" ref="EK34:EK36" si="1733">MONICON21(EL34)</f>
        <v>#NAME?</v>
      </c>
      <c r="EL34" s="38" t="s">
        <v>3955</v>
      </c>
      <c r="EM34" s="977" t="str">
        <f t="shared" ref="EM34:EM36" si="1734">MONTYPEICON1(EL34)</f>
        <v>#NAME?</v>
      </c>
      <c r="EN34" s="980" t="str">
        <f t="shared" ref="EN34:EN36" si="1735">MONTYPEICON2(EL34)</f>
        <v>#NAME?</v>
      </c>
      <c r="EO34" s="1043" t="s">
        <v>5201</v>
      </c>
      <c r="EP34" s="1230"/>
      <c r="EQ34" s="1012" t="str">
        <f t="shared" ref="EQ34:EQ35" si="1736">MONICON21(ER34)</f>
        <v>#NAME?</v>
      </c>
      <c r="ER34" s="1046" t="s">
        <v>3642</v>
      </c>
      <c r="ES34" s="977" t="str">
        <f t="shared" ref="ES34:ES35" si="1737">MONTYPEICON1(ER34)</f>
        <v>#NAME?</v>
      </c>
      <c r="ET34" s="980" t="str">
        <f t="shared" ref="ET34:ET35" si="1738">MONTYPEICON2(ER34)</f>
        <v>#NAME?</v>
      </c>
      <c r="EU34" s="1043" t="s">
        <v>5045</v>
      </c>
      <c r="EV34" s="1230"/>
      <c r="EW34" s="1266"/>
      <c r="EX34" s="1256" t="s">
        <v>5725</v>
      </c>
      <c r="EY34" s="1257" t="s">
        <v>4888</v>
      </c>
      <c r="EZ34" s="962"/>
      <c r="FA34" s="1258" t="s">
        <v>4608</v>
      </c>
      <c r="FB34" s="442"/>
      <c r="FE34" s="349"/>
      <c r="FF34" s="349"/>
      <c r="FG34" s="349"/>
      <c r="FH34" s="442"/>
      <c r="FI34" s="442"/>
      <c r="FJ34" s="442"/>
      <c r="FK34" s="108"/>
      <c r="FL34" s="108"/>
      <c r="FM34" s="442"/>
      <c r="FN34" s="442"/>
      <c r="FQ34" s="349"/>
      <c r="FR34" s="349"/>
      <c r="FT34" s="442"/>
      <c r="FU34" s="65"/>
      <c r="FV34" s="65"/>
      <c r="FW34" s="108"/>
      <c r="FX34" s="449"/>
      <c r="FY34" s="1230"/>
      <c r="FZ34" s="65"/>
      <c r="GA34" s="1056" t="str">
        <f t="shared" si="1544"/>
        <v>#NAME?</v>
      </c>
      <c r="GB34" s="1465" t="s">
        <v>4091</v>
      </c>
      <c r="GC34" s="1502" t="str">
        <f t="shared" si="1545"/>
        <v>#NAME?</v>
      </c>
      <c r="GD34" s="1503" t="str">
        <f t="shared" si="1546"/>
        <v>#NAME?</v>
      </c>
      <c r="GE34" s="1339" t="s">
        <v>5034</v>
      </c>
      <c r="GF34" s="442"/>
      <c r="GG34" s="1068" t="str">
        <f t="shared" si="1658"/>
        <v>#NAME?</v>
      </c>
      <c r="GH34" s="1078" t="s">
        <v>3797</v>
      </c>
      <c r="GI34" s="1071" t="str">
        <f t="shared" si="1659"/>
        <v>#NAME?</v>
      </c>
      <c r="GJ34" s="1073" t="str">
        <f t="shared" si="1660"/>
        <v>#NAME?</v>
      </c>
      <c r="GK34" s="1093" t="s">
        <v>5001</v>
      </c>
      <c r="GL34" s="1230"/>
      <c r="GM34" s="1460"/>
      <c r="GN34" s="1259" t="s">
        <v>5726</v>
      </c>
      <c r="GO34" s="12"/>
      <c r="GP34" s="962"/>
      <c r="GQ34" s="1258" t="s">
        <v>4608</v>
      </c>
      <c r="GR34" s="65"/>
      <c r="GS34" s="1246" t="s">
        <v>4533</v>
      </c>
      <c r="GT34" s="12"/>
      <c r="GU34" s="12"/>
      <c r="GV34" s="12"/>
      <c r="GW34" s="48"/>
      <c r="GX34" s="65"/>
      <c r="HA34" s="349"/>
      <c r="HB34" s="349"/>
      <c r="HC34" s="349"/>
      <c r="HD34" s="1230"/>
      <c r="HE34" s="1068" t="str">
        <f t="shared" si="1661"/>
        <v>#NAME?</v>
      </c>
      <c r="HF34" s="1078" t="s">
        <v>2867</v>
      </c>
      <c r="HG34" s="1071" t="str">
        <f t="shared" si="1662"/>
        <v>#NAME?</v>
      </c>
      <c r="HH34" s="1073" t="str">
        <f t="shared" si="1663"/>
        <v>#NAME?</v>
      </c>
      <c r="HI34" s="1093" t="s">
        <v>5006</v>
      </c>
      <c r="HJ34" s="1230"/>
      <c r="HK34" s="65"/>
      <c r="HL34" s="65"/>
      <c r="HM34" s="108"/>
      <c r="HN34" s="108"/>
      <c r="HO34" s="108"/>
      <c r="HP34" s="65"/>
      <c r="HS34" s="349"/>
      <c r="HT34" s="349"/>
      <c r="HW34" s="1068" t="str">
        <f t="shared" si="1553"/>
        <v>#NAME?</v>
      </c>
      <c r="HX34" s="1078" t="s">
        <v>1572</v>
      </c>
      <c r="HY34" s="1358" t="str">
        <f t="shared" si="1554"/>
        <v>#NAME?</v>
      </c>
      <c r="HZ34" s="1359" t="str">
        <f t="shared" si="1555"/>
        <v>#NAME?</v>
      </c>
      <c r="IA34" s="1093" t="s">
        <v>5214</v>
      </c>
      <c r="IB34" s="65"/>
      <c r="IC34" s="1286"/>
      <c r="ID34" s="1256" t="s">
        <v>5727</v>
      </c>
      <c r="IE34" s="1257" t="s">
        <v>4888</v>
      </c>
      <c r="IF34" s="962"/>
      <c r="IG34" s="1258" t="s">
        <v>4608</v>
      </c>
      <c r="IH34" s="65"/>
      <c r="II34" s="1012" t="str">
        <f t="shared" ref="II34:II39" si="1739">MONICON21(IJ34)</f>
        <v>#NAME?</v>
      </c>
      <c r="IJ34" s="1301" t="s">
        <v>742</v>
      </c>
      <c r="IK34" s="1313" t="str">
        <f t="shared" ref="IK34:IK39" si="1740">MONTYPEICON1(IJ34)</f>
        <v>#NAME?</v>
      </c>
      <c r="IL34" s="1314" t="str">
        <f t="shared" ref="IL34:IL39" si="1741">MONTYPEICON2(IJ34)</f>
        <v>#NAME?</v>
      </c>
      <c r="IM34" s="1305" t="s">
        <v>5008</v>
      </c>
      <c r="IQ34" s="349"/>
      <c r="IR34" s="349"/>
      <c r="IT34" s="1230"/>
      <c r="IU34" s="985" t="str">
        <f>MONICON21(IV34)</f>
        <v>#NAME?</v>
      </c>
      <c r="IV34" s="1622" t="s">
        <v>1823</v>
      </c>
      <c r="IW34" s="22" t="str">
        <f>MONTYPEICON1(IV34)</f>
        <v>#NAME?</v>
      </c>
      <c r="IX34" s="24" t="str">
        <f>MONTYPEICON2(IV34)</f>
        <v>#NAME?</v>
      </c>
      <c r="IY34" s="1623" t="s">
        <v>5158</v>
      </c>
      <c r="IZ34" s="442"/>
      <c r="JA34" s="1193" t="str">
        <f t="shared" si="1664"/>
        <v>#NAME?</v>
      </c>
      <c r="JB34" s="1335" t="s">
        <v>1376</v>
      </c>
      <c r="JC34" s="1146" t="str">
        <f t="shared" si="1665"/>
        <v>#NAME?</v>
      </c>
      <c r="JD34" s="1148" t="str">
        <f t="shared" si="1666"/>
        <v>#NAME?</v>
      </c>
      <c r="JE34" s="1336" t="s">
        <v>5084</v>
      </c>
      <c r="JF34" s="442"/>
      <c r="JI34" s="349"/>
      <c r="JJ34" s="349"/>
      <c r="JL34" s="442"/>
      <c r="JM34" s="1457" t="str">
        <f t="shared" si="1556"/>
        <v>#NAME?</v>
      </c>
      <c r="JN34" s="1429" t="s">
        <v>3485</v>
      </c>
      <c r="JO34" s="1428" t="str">
        <f t="shared" si="1557"/>
        <v>#NAME?</v>
      </c>
      <c r="JP34" s="1430" t="str">
        <f t="shared" si="1558"/>
        <v>#NAME?</v>
      </c>
      <c r="JQ34" s="1431" t="s">
        <v>5010</v>
      </c>
      <c r="JR34" s="442"/>
      <c r="JS34" s="1027" t="str">
        <f t="shared" si="1559"/>
        <v>#NAME?</v>
      </c>
      <c r="JT34" s="1365" t="s">
        <v>1808</v>
      </c>
      <c r="JU34" s="1360" t="str">
        <f t="shared" si="1560"/>
        <v>#NAME?</v>
      </c>
      <c r="JV34" s="1361" t="str">
        <f t="shared" si="1561"/>
        <v>#NAME?</v>
      </c>
      <c r="JW34" s="1343" t="s">
        <v>5010</v>
      </c>
      <c r="JY34" s="1068" t="str">
        <f t="shared" si="1667"/>
        <v>#NAME?</v>
      </c>
      <c r="JZ34" s="1076" t="s">
        <v>3879</v>
      </c>
      <c r="KA34" s="1358" t="str">
        <f t="shared" si="1668"/>
        <v>#NAME?</v>
      </c>
      <c r="KB34" s="1359" t="str">
        <f t="shared" si="1669"/>
        <v>#NAME?</v>
      </c>
      <c r="KC34" s="1093" t="s">
        <v>5009</v>
      </c>
      <c r="KG34" s="349"/>
      <c r="KH34" s="349"/>
      <c r="KI34" s="349"/>
      <c r="KJ34" s="65"/>
      <c r="KK34" s="1094" t="str">
        <f t="shared" si="1601"/>
        <v>#NAME?</v>
      </c>
      <c r="KL34" s="1050" t="s">
        <v>3477</v>
      </c>
      <c r="KM34" s="1051" t="str">
        <f t="shared" si="1602"/>
        <v>#NAME?</v>
      </c>
      <c r="KN34" s="1131" t="str">
        <f t="shared" si="1603"/>
        <v>#NAME?</v>
      </c>
      <c r="KO34" s="1131" t="s">
        <v>5010</v>
      </c>
      <c r="KP34" s="65"/>
      <c r="KQ34" s="1056" t="str">
        <f t="shared" si="1670"/>
        <v>#NAME?</v>
      </c>
      <c r="KR34" s="1377" t="s">
        <v>4146</v>
      </c>
      <c r="KS34" s="1502" t="str">
        <f t="shared" si="1671"/>
        <v>#NAME?</v>
      </c>
      <c r="KT34" s="1503" t="str">
        <f t="shared" si="1672"/>
        <v>#NAME?</v>
      </c>
      <c r="KU34" s="1339" t="s">
        <v>5013</v>
      </c>
      <c r="KV34" s="65"/>
      <c r="KW34" s="1049" t="str">
        <f t="shared" si="1604"/>
        <v>#NAME?</v>
      </c>
      <c r="KX34" s="1127" t="s">
        <v>3787</v>
      </c>
      <c r="KY34" s="1082" t="str">
        <f t="shared" si="1605"/>
        <v>#NAME?</v>
      </c>
      <c r="KZ34" s="1015" t="str">
        <f t="shared" si="1606"/>
        <v>#NAME?</v>
      </c>
      <c r="LA34" s="1422" t="s">
        <v>5014</v>
      </c>
      <c r="LB34" s="442"/>
      <c r="LC34" s="1266"/>
      <c r="LD34" s="1259" t="s">
        <v>5728</v>
      </c>
      <c r="LE34" s="12"/>
      <c r="LF34" s="962"/>
      <c r="LG34" s="1258" t="s">
        <v>4608</v>
      </c>
      <c r="LI34" s="1094" t="str">
        <f t="shared" si="1607"/>
        <v>#NAME?</v>
      </c>
      <c r="LJ34" s="1127" t="s">
        <v>1600</v>
      </c>
      <c r="LK34" s="1420" t="str">
        <f t="shared" si="1608"/>
        <v>#NAME?</v>
      </c>
      <c r="LL34" s="475" t="str">
        <f t="shared" si="1609"/>
        <v>#NAME?</v>
      </c>
      <c r="LM34" s="1422" t="s">
        <v>5015</v>
      </c>
      <c r="LO34" s="983" t="str">
        <f t="shared" ref="LO34:LO39" si="1742">MONICON21(LP34)</f>
        <v>#NAME?</v>
      </c>
      <c r="LP34" s="1304" t="s">
        <v>4132</v>
      </c>
      <c r="LQ34" s="1313" t="str">
        <f t="shared" ref="LQ34:LQ39" si="1743">MONTYPEICON1(LP34)</f>
        <v>#NAME?</v>
      </c>
      <c r="LR34" s="1314" t="str">
        <f t="shared" ref="LR34:LR39" si="1744">MONTYPEICON2(LP34)</f>
        <v>#NAME?</v>
      </c>
      <c r="LS34" s="1321" t="s">
        <v>5164</v>
      </c>
      <c r="LU34" s="961" t="s">
        <v>5150</v>
      </c>
      <c r="LV34" s="12"/>
      <c r="LW34" s="12"/>
      <c r="LX34" s="12"/>
      <c r="LY34" s="48"/>
      <c r="LZ34" s="442"/>
      <c r="MC34" s="349"/>
      <c r="MD34" s="349"/>
      <c r="MF34" s="442"/>
      <c r="MG34" s="1094" t="str">
        <f t="shared" si="1511"/>
        <v>#NAME?</v>
      </c>
      <c r="MH34" s="1127" t="s">
        <v>4139</v>
      </c>
      <c r="MI34" s="1051" t="str">
        <f t="shared" si="1512"/>
        <v>#NAME?</v>
      </c>
      <c r="MJ34" s="1131" t="str">
        <f t="shared" si="1513"/>
        <v>#NAME?</v>
      </c>
      <c r="MK34" s="1422" t="s">
        <v>5069</v>
      </c>
      <c r="ML34" s="442"/>
      <c r="MM34" s="1346" t="str">
        <f t="shared" si="1673"/>
        <v>#NAME?</v>
      </c>
      <c r="MN34" s="1370" t="s">
        <v>1152</v>
      </c>
      <c r="MO34" s="1348" t="str">
        <f t="shared" si="1674"/>
        <v>#NAME?</v>
      </c>
      <c r="MP34" s="1349" t="str">
        <f t="shared" si="1675"/>
        <v>#NAME?</v>
      </c>
      <c r="MQ34" s="1371" t="s">
        <v>5164</v>
      </c>
      <c r="MS34" s="1351" t="str">
        <f t="shared" si="1676"/>
        <v>#NAME?</v>
      </c>
      <c r="MT34" s="1372" t="s">
        <v>596</v>
      </c>
      <c r="MU34" s="1353" t="str">
        <f t="shared" si="1677"/>
        <v>#NAME?</v>
      </c>
      <c r="MV34" s="1354" t="str">
        <f t="shared" si="1678"/>
        <v>#NAME?</v>
      </c>
      <c r="MW34" s="1367" t="s">
        <v>5051</v>
      </c>
      <c r="MX34" s="442"/>
      <c r="MY34" s="961" t="s">
        <v>5729</v>
      </c>
      <c r="MZ34" s="12"/>
      <c r="NA34" s="12"/>
      <c r="NB34" s="12"/>
      <c r="NC34" s="962"/>
      <c r="ND34" s="442"/>
      <c r="NE34" s="1094" t="str">
        <f t="shared" si="1610"/>
        <v>#NAME?</v>
      </c>
      <c r="NF34" s="1127" t="s">
        <v>1546</v>
      </c>
      <c r="NG34" s="1420" t="str">
        <f t="shared" si="1611"/>
        <v>#NAME?</v>
      </c>
      <c r="NH34" s="475" t="str">
        <f t="shared" si="1612"/>
        <v>#NAME?</v>
      </c>
      <c r="NI34" s="1422" t="s">
        <v>5017</v>
      </c>
      <c r="NJ34" s="65"/>
      <c r="NK34" s="1094" t="str">
        <f t="shared" si="1613"/>
        <v>#NAME?</v>
      </c>
      <c r="NL34" s="1127" t="s">
        <v>3832</v>
      </c>
      <c r="NM34" s="1528" t="str">
        <f t="shared" si="1614"/>
        <v>#NAME?</v>
      </c>
      <c r="NN34" s="1433" t="str">
        <f t="shared" si="1615"/>
        <v>#NAME?</v>
      </c>
      <c r="NO34" s="1422" t="s">
        <v>5019</v>
      </c>
      <c r="NQ34" s="1283"/>
      <c r="NR34" s="1264" t="s">
        <v>5167</v>
      </c>
      <c r="NS34" s="12"/>
      <c r="NT34" s="962"/>
      <c r="NU34" s="1265" t="s">
        <v>4608</v>
      </c>
      <c r="NV34" s="442"/>
      <c r="NW34" s="983" t="str">
        <f t="shared" ref="NW34:NW36" si="1745">MONICON21(NX34)</f>
        <v>#NAME?</v>
      </c>
      <c r="NX34" s="1301" t="s">
        <v>2598</v>
      </c>
      <c r="NY34" s="1311" t="str">
        <f t="shared" ref="NY34:NY36" si="1746">MONTYPEICON1(NX34)</f>
        <v>#NAME?</v>
      </c>
      <c r="NZ34" s="1312" t="str">
        <f t="shared" ref="NZ34:NZ36" si="1747">MONTYPEICON2(NX34)</f>
        <v>#NAME?</v>
      </c>
      <c r="OA34" s="1318" t="s">
        <v>5019</v>
      </c>
      <c r="OB34" s="442"/>
      <c r="OC34" s="985" t="str">
        <f>MONICON21(OD34)</f>
        <v>#NAME?</v>
      </c>
      <c r="OD34" s="1229" t="s">
        <v>1343</v>
      </c>
      <c r="OE34" s="1586" t="str">
        <f>MONTYPEICON1(OD34)</f>
        <v>#NAME?</v>
      </c>
      <c r="OF34" s="475" t="str">
        <f>MONTYPEICON2(OD34)</f>
        <v>#NAME?</v>
      </c>
      <c r="OG34" s="1424" t="s">
        <v>5431</v>
      </c>
      <c r="OH34" s="442"/>
      <c r="OI34" s="1096" t="str">
        <f t="shared" si="1616"/>
        <v>#NAME?</v>
      </c>
      <c r="OJ34" s="1098" t="s">
        <v>3750</v>
      </c>
      <c r="OK34" s="1417" t="str">
        <f t="shared" si="1617"/>
        <v>#NAME?</v>
      </c>
      <c r="OL34" s="62" t="str">
        <f t="shared" si="1618"/>
        <v>#NAME?</v>
      </c>
      <c r="OM34" s="1423" t="s">
        <v>5020</v>
      </c>
      <c r="ON34" s="442"/>
      <c r="OO34" s="1286"/>
      <c r="OP34" s="1259" t="s">
        <v>5730</v>
      </c>
      <c r="OQ34" s="12"/>
      <c r="OR34" s="962"/>
      <c r="OS34" s="1258" t="s">
        <v>4608</v>
      </c>
      <c r="OU34" s="1068" t="str">
        <f t="shared" si="1679"/>
        <v>#NAME?</v>
      </c>
      <c r="OV34" s="1076" t="s">
        <v>1343</v>
      </c>
      <c r="OW34" s="1358" t="str">
        <f t="shared" si="1680"/>
        <v>#NAME?</v>
      </c>
      <c r="OX34" s="1359" t="str">
        <f t="shared" si="1681"/>
        <v>#NAME?</v>
      </c>
      <c r="OY34" s="1368" t="s">
        <v>5022</v>
      </c>
      <c r="PA34" s="1068" t="str">
        <f t="shared" si="1682"/>
        <v>#NAME?</v>
      </c>
      <c r="PB34" s="1076" t="s">
        <v>3896</v>
      </c>
      <c r="PC34" s="1358" t="str">
        <f t="shared" si="1683"/>
        <v>#NAME?</v>
      </c>
      <c r="PD34" s="1359" t="str">
        <f t="shared" si="1684"/>
        <v>#NAME?</v>
      </c>
      <c r="PE34" s="1368" t="s">
        <v>5022</v>
      </c>
      <c r="PF34" s="442"/>
      <c r="PG34" s="1094" t="str">
        <f t="shared" si="1619"/>
        <v>#NAME?</v>
      </c>
      <c r="PH34" s="1127" t="s">
        <v>2210</v>
      </c>
      <c r="PI34" s="1420" t="str">
        <f t="shared" si="1620"/>
        <v>#NAME?</v>
      </c>
      <c r="PJ34" s="475" t="str">
        <f t="shared" si="1621"/>
        <v>#NAME?</v>
      </c>
      <c r="PK34" s="1422" t="s">
        <v>5021</v>
      </c>
      <c r="PL34" s="65"/>
      <c r="PO34" s="349"/>
      <c r="PP34" s="349"/>
      <c r="PS34" s="1027" t="str">
        <f t="shared" si="1565"/>
        <v>#NAME?</v>
      </c>
      <c r="PT34" s="1340" t="s">
        <v>3911</v>
      </c>
      <c r="PU34" s="1360" t="str">
        <f t="shared" si="1566"/>
        <v>#NAME?</v>
      </c>
      <c r="PV34" s="1361" t="str">
        <f t="shared" si="1567"/>
        <v>#NAME?</v>
      </c>
      <c r="PW34" s="1376" t="s">
        <v>5023</v>
      </c>
      <c r="PX34" s="442"/>
      <c r="PY34" s="1012" t="str">
        <f t="shared" ref="PY34:PY39" si="1748">MONICON21(PZ34)</f>
        <v>#NAME?</v>
      </c>
      <c r="PZ34" s="1301" t="s">
        <v>742</v>
      </c>
      <c r="QA34" s="1313" t="str">
        <f t="shared" ref="QA34:QA39" si="1749">MONTYPEICON1(PZ34)</f>
        <v>#NAME?</v>
      </c>
      <c r="QB34" s="1314" t="str">
        <f t="shared" ref="QB34:QB39" si="1750">MONTYPEICON2(PZ34)</f>
        <v>#NAME?</v>
      </c>
      <c r="QC34" s="1318" t="s">
        <v>5023</v>
      </c>
      <c r="QD34" s="442"/>
      <c r="QG34" s="349"/>
      <c r="QH34" s="349"/>
      <c r="QJ34" s="442"/>
      <c r="QK34" s="1012" t="str">
        <f t="shared" si="1622"/>
        <v>#NAME?</v>
      </c>
      <c r="QL34" s="1098" t="s">
        <v>1321</v>
      </c>
      <c r="QM34" s="1013" t="str">
        <f t="shared" si="1623"/>
        <v>#NAME?</v>
      </c>
      <c r="QN34" s="1015" t="str">
        <f t="shared" si="1624"/>
        <v>#NAME?</v>
      </c>
      <c r="QO34" s="1414" t="s">
        <v>5031</v>
      </c>
      <c r="QP34" s="442"/>
      <c r="QQ34" s="1012" t="str">
        <f t="shared" si="1625"/>
        <v>#NAME?</v>
      </c>
      <c r="QR34" s="1098" t="s">
        <v>4225</v>
      </c>
      <c r="QS34" s="1013" t="str">
        <f t="shared" si="1626"/>
        <v>#NAME?</v>
      </c>
      <c r="QT34" s="1015" t="str">
        <f t="shared" si="1627"/>
        <v>#NAME?</v>
      </c>
      <c r="QU34" s="1414" t="s">
        <v>5033</v>
      </c>
      <c r="QW34" s="1012" t="str">
        <f t="shared" si="1628"/>
        <v>#NAME?</v>
      </c>
      <c r="QX34" s="1098" t="s">
        <v>687</v>
      </c>
      <c r="QY34" s="1013" t="str">
        <f t="shared" si="1629"/>
        <v>#NAME?</v>
      </c>
      <c r="QZ34" s="1015" t="str">
        <f t="shared" si="1630"/>
        <v>#NAME?</v>
      </c>
      <c r="RA34" s="1414" t="s">
        <v>5112</v>
      </c>
      <c r="RB34" s="442"/>
      <c r="RC34" s="1012" t="str">
        <f t="shared" si="1631"/>
        <v>#NAME?</v>
      </c>
      <c r="RD34" s="1098" t="s">
        <v>1091</v>
      </c>
      <c r="RE34" s="1013" t="str">
        <f t="shared" si="1632"/>
        <v>#NAME?</v>
      </c>
      <c r="RF34" s="1015" t="str">
        <f t="shared" si="1633"/>
        <v>#NAME?</v>
      </c>
      <c r="RG34" s="1414" t="s">
        <v>5113</v>
      </c>
      <c r="RH34" s="442"/>
      <c r="RI34" s="1012" t="str">
        <f t="shared" si="1634"/>
        <v>#NAME?</v>
      </c>
      <c r="RJ34" s="1098" t="s">
        <v>3919</v>
      </c>
      <c r="RK34" s="1013" t="str">
        <f t="shared" si="1635"/>
        <v>#NAME?</v>
      </c>
      <c r="RL34" s="1015" t="str">
        <f t="shared" si="1636"/>
        <v>#NAME?</v>
      </c>
      <c r="RM34" s="1414" t="s">
        <v>5092</v>
      </c>
      <c r="RN34" s="442"/>
      <c r="RO34" s="1068" t="str">
        <f t="shared" si="1685"/>
        <v>#NAME?</v>
      </c>
      <c r="RP34" s="1076" t="s">
        <v>333</v>
      </c>
      <c r="RQ34" s="1358" t="str">
        <f t="shared" si="1686"/>
        <v>#NAME?</v>
      </c>
      <c r="RR34" s="1359" t="str">
        <f t="shared" si="1687"/>
        <v>#NAME?</v>
      </c>
      <c r="RS34" s="1368" t="s">
        <v>5112</v>
      </c>
      <c r="RT34" s="442"/>
      <c r="RW34" s="349"/>
      <c r="RX34" s="349"/>
      <c r="RZ34" s="442"/>
      <c r="SA34" s="1056" t="str">
        <f t="shared" si="1568"/>
        <v>#NAME?</v>
      </c>
      <c r="SB34" s="1465" t="s">
        <v>1508</v>
      </c>
      <c r="SC34" s="1021" t="str">
        <f t="shared" si="1569"/>
        <v>#NAME?</v>
      </c>
      <c r="SD34" s="1024" t="str">
        <f t="shared" si="1570"/>
        <v>#NAME?</v>
      </c>
      <c r="SE34" s="1378" t="s">
        <v>5024</v>
      </c>
      <c r="SG34" s="983" t="str">
        <f t="shared" ref="SG34:SG36" si="1751">MONICON21(SH34)</f>
        <v>#NAME?</v>
      </c>
      <c r="SH34" s="1301" t="s">
        <v>3843</v>
      </c>
      <c r="SI34" s="1311" t="str">
        <f t="shared" ref="SI34:SI36" si="1752">MONTYPEICON1(SH34)</f>
        <v>#NAME?</v>
      </c>
      <c r="SJ34" s="1312" t="str">
        <f t="shared" ref="SJ34:SJ36" si="1753">MONTYPEICON2(SH34)</f>
        <v>#NAME?</v>
      </c>
      <c r="SK34" s="1318" t="s">
        <v>5024</v>
      </c>
      <c r="SM34" s="983" t="str">
        <f t="shared" ref="SM34:SM39" si="1754">MONICON21(SN34)</f>
        <v>#NAME?</v>
      </c>
      <c r="SN34" s="1304" t="s">
        <v>2185</v>
      </c>
      <c r="SO34" s="977" t="str">
        <f t="shared" ref="SO34:SO39" si="1755">MONTYPEICON1(SN34)</f>
        <v>#NAME?</v>
      </c>
      <c r="SP34" s="980" t="str">
        <f t="shared" ref="SP34:SP39" si="1756">MONTYPEICON2(SN34)</f>
        <v>#NAME?</v>
      </c>
      <c r="SQ34" s="1321" t="s">
        <v>5024</v>
      </c>
      <c r="SR34" s="442"/>
      <c r="SS34" s="442"/>
      <c r="ST34" s="442"/>
      <c r="SU34" s="108"/>
      <c r="SV34" s="108"/>
      <c r="SX34" s="442"/>
      <c r="SY34" s="983" t="str">
        <f t="shared" ref="SY34:SY36" si="1757">MONICON21(SZ34)</f>
        <v>#NAME?</v>
      </c>
      <c r="SZ34" s="1301" t="s">
        <v>3388</v>
      </c>
      <c r="TA34" s="1311" t="str">
        <f t="shared" ref="TA34:TA36" si="1758">MONTYPEICON1(SZ34)</f>
        <v>#NAME?</v>
      </c>
      <c r="TB34" s="1312" t="str">
        <f t="shared" ref="TB34:TB36" si="1759">MONTYPEICON2(SZ34)</f>
        <v>#NAME?</v>
      </c>
      <c r="TC34" s="1318" t="s">
        <v>5033</v>
      </c>
      <c r="TD34" s="65"/>
      <c r="TE34" s="1096" t="str">
        <f t="shared" si="1526"/>
        <v>#NAME?</v>
      </c>
      <c r="TF34" s="1301" t="s">
        <v>3872</v>
      </c>
      <c r="TG34" s="1013" t="str">
        <f t="shared" si="1527"/>
        <v>#NAME?</v>
      </c>
      <c r="TH34" s="1015" t="str">
        <f t="shared" si="1528"/>
        <v>#NAME?</v>
      </c>
      <c r="TI34" s="1318" t="s">
        <v>5092</v>
      </c>
      <c r="TK34" s="1094" t="str">
        <f t="shared" si="1637"/>
        <v>#NAME?</v>
      </c>
      <c r="TL34" s="1127" t="s">
        <v>2567</v>
      </c>
      <c r="TM34" s="1420" t="str">
        <f t="shared" si="1638"/>
        <v>#NAME?</v>
      </c>
      <c r="TN34" s="475" t="str">
        <f t="shared" si="1639"/>
        <v>#NAME?</v>
      </c>
      <c r="TO34" s="1422" t="s">
        <v>5026</v>
      </c>
      <c r="TP34" s="442"/>
      <c r="TQ34" s="1094" t="str">
        <f t="shared" si="1640"/>
        <v>#NAME?</v>
      </c>
      <c r="TR34" s="1127" t="s">
        <v>713</v>
      </c>
      <c r="TS34" s="1420" t="str">
        <f t="shared" si="1641"/>
        <v>#NAME?</v>
      </c>
      <c r="TT34" s="475" t="str">
        <f t="shared" si="1642"/>
        <v>#NAME?</v>
      </c>
      <c r="TU34" s="1422" t="s">
        <v>5026</v>
      </c>
      <c r="TW34" s="1567"/>
      <c r="TX34" s="1323" t="s">
        <v>5207</v>
      </c>
      <c r="TY34" s="12"/>
      <c r="TZ34" s="962"/>
      <c r="UA34" s="1324" t="s">
        <v>4608</v>
      </c>
      <c r="UI34" s="1383" t="str">
        <f t="shared" si="1688"/>
        <v>#NAME?</v>
      </c>
      <c r="UJ34" s="1384" t="s">
        <v>759</v>
      </c>
      <c r="UK34" s="1383" t="str">
        <f t="shared" si="1689"/>
        <v>#NAME?</v>
      </c>
      <c r="UL34" s="1385" t="str">
        <f t="shared" si="1690"/>
        <v>#NAME?</v>
      </c>
      <c r="UM34" s="1386" t="s">
        <v>5279</v>
      </c>
      <c r="UO34" s="1033" t="str">
        <f t="shared" ref="UO34:UO35" si="1760">MONICON21(UP34)</f>
        <v>#NAME?</v>
      </c>
      <c r="UP34" s="1301" t="s">
        <v>504</v>
      </c>
      <c r="UQ34" s="977" t="str">
        <f t="shared" ref="UQ34:UQ35" si="1761">MONTYPEICON1(UP34)</f>
        <v>#NAME?</v>
      </c>
      <c r="UR34" s="980" t="str">
        <f t="shared" ref="UR34:UR35" si="1762">MONTYPEICON2(UP34)</f>
        <v>#NAME?</v>
      </c>
      <c r="US34" s="1303" t="s">
        <v>5279</v>
      </c>
      <c r="UU34" s="977" t="str">
        <f t="shared" ref="UU34:UU36" si="1763">MONICON21(UV34)</f>
        <v>#NAME?</v>
      </c>
      <c r="UV34" s="1301" t="s">
        <v>1705</v>
      </c>
      <c r="UW34" s="979" t="str">
        <f t="shared" ref="UW34:UW36" si="1764">MONTYPEICON1(UV34)</f>
        <v>#NAME?</v>
      </c>
      <c r="UX34" s="1314" t="str">
        <f t="shared" ref="UX34:UX36" si="1765">MONTYPEICON2(UV34)</f>
        <v>#NAME?</v>
      </c>
      <c r="UY34" s="1303" t="s">
        <v>5130</v>
      </c>
      <c r="VA34" s="1033" t="str">
        <f t="shared" ref="VA34:VA35" si="1766">MONICON21(VB34)</f>
        <v>#NAME?</v>
      </c>
      <c r="VB34" s="1301" t="s">
        <v>3879</v>
      </c>
      <c r="VC34" s="977" t="str">
        <f t="shared" ref="VC34:VC35" si="1767">MONTYPEICON1(VB34)</f>
        <v>#NAME?</v>
      </c>
      <c r="VD34" s="980" t="str">
        <f t="shared" ref="VD34:VD35" si="1768">MONTYPEICON2(VB34)</f>
        <v>#NAME?</v>
      </c>
      <c r="VE34" s="1303" t="s">
        <v>5028</v>
      </c>
      <c r="VG34" s="1051" t="str">
        <f t="shared" si="1643"/>
        <v>#NAME?</v>
      </c>
      <c r="VH34" s="1127" t="s">
        <v>785</v>
      </c>
      <c r="VI34" s="1051" t="str">
        <f t="shared" si="1644"/>
        <v>#NAME?</v>
      </c>
      <c r="VJ34" s="1131" t="str">
        <f t="shared" si="1645"/>
        <v>#NAME?</v>
      </c>
      <c r="VK34" s="1095" t="s">
        <v>1043</v>
      </c>
      <c r="VL34" s="442"/>
      <c r="VM34" s="1294"/>
      <c r="VN34" s="1291" t="s">
        <v>5731</v>
      </c>
      <c r="VO34" s="12"/>
      <c r="VP34" s="962"/>
      <c r="VQ34" s="1292" t="s">
        <v>4608</v>
      </c>
      <c r="VR34" s="442"/>
      <c r="VS34" s="1294"/>
      <c r="VT34" s="1291" t="s">
        <v>5732</v>
      </c>
      <c r="VU34" s="12"/>
      <c r="VV34" s="962"/>
      <c r="VW34" s="1292" t="s">
        <v>4608</v>
      </c>
      <c r="VX34" s="442"/>
      <c r="VY34" s="442"/>
      <c r="VZ34" s="442"/>
      <c r="WA34" s="442"/>
      <c r="WB34" s="442"/>
      <c r="WC34" s="442"/>
      <c r="WD34" s="442"/>
      <c r="WJ34" s="442"/>
      <c r="WK34" s="1387" t="str">
        <f t="shared" si="1691"/>
        <v>#NAME?</v>
      </c>
      <c r="WL34" s="1388" t="s">
        <v>896</v>
      </c>
      <c r="WM34" s="1387" t="str">
        <f t="shared" si="1692"/>
        <v>#NAME?</v>
      </c>
      <c r="WN34" s="1392" t="str">
        <f t="shared" si="1693"/>
        <v>#NAME?</v>
      </c>
      <c r="WO34" s="1391" t="s">
        <v>5019</v>
      </c>
      <c r="WP34" s="442"/>
      <c r="WQ34" s="977" t="str">
        <f t="shared" ref="WQ34:WQ36" si="1769">MONICON21(WR34)</f>
        <v>#NAME?</v>
      </c>
      <c r="WR34" s="1301" t="s">
        <v>2232</v>
      </c>
      <c r="WS34" s="977" t="str">
        <f t="shared" ref="WS34:WS36" si="1770">MONTYPEICON1(WR34)</f>
        <v>#NAME?</v>
      </c>
      <c r="WT34" s="980" t="str">
        <f t="shared" ref="WT34:WT36" si="1771">MONTYPEICON2(WR34)</f>
        <v>#NAME?</v>
      </c>
      <c r="WU34" s="1303" t="s">
        <v>5032</v>
      </c>
      <c r="WV34" s="442"/>
      <c r="XB34" s="442"/>
      <c r="XH34" s="442"/>
      <c r="XI34" s="1387" t="str">
        <f t="shared" si="1694"/>
        <v>#NAME?</v>
      </c>
      <c r="XJ34" s="1388" t="s">
        <v>1328</v>
      </c>
      <c r="XK34" s="1387" t="str">
        <f t="shared" si="1695"/>
        <v>#NAME?</v>
      </c>
      <c r="XL34" s="1392" t="str">
        <f t="shared" si="1696"/>
        <v>#NAME?</v>
      </c>
      <c r="XM34" s="1391" t="s">
        <v>5019</v>
      </c>
      <c r="XN34" s="442"/>
      <c r="XT34" s="442"/>
      <c r="XU34" s="1092" t="str">
        <f>MONICON21(XV34)</f>
        <v>#NAME?</v>
      </c>
      <c r="XV34" s="1590" t="s">
        <v>1808</v>
      </c>
      <c r="XW34" s="1092" t="str">
        <f>MONTYPEICON1(XV34)</f>
        <v>#NAME?</v>
      </c>
      <c r="XX34" s="987" t="str">
        <f>MONTYPEICON2(XV34)</f>
        <v>#NAME?</v>
      </c>
      <c r="XY34" s="1619" t="s">
        <v>5023</v>
      </c>
      <c r="XZ34" s="442"/>
      <c r="YA34" s="1033" t="str">
        <f t="shared" ref="YA34:YA35" si="1772">MONICON21(YB34)</f>
        <v>#NAME?</v>
      </c>
      <c r="YB34" s="1301" t="s">
        <v>2192</v>
      </c>
      <c r="YC34" s="977" t="str">
        <f t="shared" ref="YC34:YC35" si="1773">MONTYPEICON1(YB34)</f>
        <v>#NAME?</v>
      </c>
      <c r="YD34" s="980" t="str">
        <f t="shared" ref="YD34:YD35" si="1774">MONTYPEICON2(YB34)</f>
        <v>#NAME?</v>
      </c>
      <c r="YE34" s="1302" t="s">
        <v>5018</v>
      </c>
      <c r="YF34" s="442"/>
      <c r="YG34" s="963" t="s">
        <v>5143</v>
      </c>
      <c r="YH34" s="12"/>
      <c r="YI34" s="12"/>
      <c r="YJ34" s="12"/>
      <c r="YK34" s="48"/>
      <c r="YL34" s="442"/>
      <c r="YM34" s="963" t="s">
        <v>4538</v>
      </c>
      <c r="YN34" s="12"/>
      <c r="YO34" s="12"/>
      <c r="YP34" s="12"/>
      <c r="YQ34" s="48"/>
      <c r="YR34" s="442"/>
      <c r="YS34" s="442"/>
      <c r="YT34" s="442"/>
      <c r="YU34" s="108"/>
      <c r="YV34" s="108"/>
      <c r="YW34" s="442"/>
      <c r="YX34" s="442"/>
      <c r="YY34" s="977" t="str">
        <f t="shared" ref="YY34:YY36" si="1775">MONICON21(YZ34)</f>
        <v>#NAME?</v>
      </c>
      <c r="YZ34" s="1301" t="s">
        <v>2752</v>
      </c>
      <c r="ZA34" s="977" t="str">
        <f t="shared" ref="ZA34:ZA36" si="1776">MONTYPEICON1(YZ34)</f>
        <v>#NAME?</v>
      </c>
      <c r="ZB34" s="980" t="str">
        <f t="shared" ref="ZB34:ZB36" si="1777">MONTYPEICON2(YZ34)</f>
        <v>#NAME?</v>
      </c>
      <c r="ZC34" s="1303" t="s">
        <v>5032</v>
      </c>
      <c r="ZD34" s="442"/>
      <c r="ZE34" s="1387" t="str">
        <f t="shared" si="1697"/>
        <v>#NAME?</v>
      </c>
      <c r="ZF34" s="1388" t="s">
        <v>1343</v>
      </c>
      <c r="ZG34" s="1387" t="str">
        <f t="shared" si="1698"/>
        <v>#NAME?</v>
      </c>
      <c r="ZH34" s="1392" t="str">
        <f t="shared" si="1699"/>
        <v>#NAME?</v>
      </c>
      <c r="ZI34" s="1391" t="s">
        <v>5032</v>
      </c>
      <c r="ZJ34" s="442"/>
      <c r="ZK34" s="1472"/>
      <c r="ZL34" s="1291" t="s">
        <v>5733</v>
      </c>
      <c r="ZM34" s="12"/>
      <c r="ZN34" s="962"/>
      <c r="ZO34" s="1292" t="s">
        <v>4608</v>
      </c>
      <c r="ZP34" s="442"/>
      <c r="ZQ34" s="1383" t="str">
        <f t="shared" si="1583"/>
        <v>#NAME?</v>
      </c>
      <c r="ZR34" s="1470" t="s">
        <v>493</v>
      </c>
      <c r="ZS34" s="1383" t="str">
        <f t="shared" si="1584"/>
        <v>#NAME?</v>
      </c>
      <c r="ZT34" s="1385" t="str">
        <f t="shared" si="1585"/>
        <v>#NAME?</v>
      </c>
      <c r="ZU34" s="1471" t="s">
        <v>5035</v>
      </c>
      <c r="ZV34" s="442"/>
      <c r="ZW34" s="1472"/>
      <c r="ZX34" s="1291" t="s">
        <v>5734</v>
      </c>
      <c r="ZY34" s="12"/>
      <c r="ZZ34" s="962"/>
      <c r="AAA34" s="1292" t="s">
        <v>4608</v>
      </c>
      <c r="AAB34" s="442"/>
      <c r="AAC34" s="1579" t="s">
        <v>5735</v>
      </c>
      <c r="AAD34" s="12"/>
      <c r="AAE34" s="12"/>
      <c r="AAF34" s="12"/>
      <c r="AAG34" s="48"/>
      <c r="AAH34" s="442"/>
      <c r="AAI34" s="1387" t="str">
        <f t="shared" si="1700"/>
        <v>#NAME?</v>
      </c>
      <c r="AAJ34" s="1388" t="s">
        <v>2065</v>
      </c>
      <c r="AAK34" s="1387" t="str">
        <f t="shared" si="1701"/>
        <v>#NAME?</v>
      </c>
      <c r="AAL34" s="1392" t="str">
        <f t="shared" si="1702"/>
        <v>#NAME?</v>
      </c>
      <c r="AAM34" s="1397" t="s">
        <v>5227</v>
      </c>
      <c r="AAO34" s="1387" t="str">
        <f t="shared" si="1703"/>
        <v>#NAME?</v>
      </c>
      <c r="AAP34" s="1388" t="s">
        <v>4225</v>
      </c>
      <c r="AAQ34" s="1387" t="str">
        <f t="shared" si="1704"/>
        <v>#NAME?</v>
      </c>
      <c r="AAR34" s="1392" t="str">
        <f t="shared" si="1705"/>
        <v>#NAME?</v>
      </c>
      <c r="AAS34" s="1397" t="s">
        <v>5117</v>
      </c>
      <c r="AAU34" s="1387" t="str">
        <f t="shared" si="1706"/>
        <v>#NAME?</v>
      </c>
      <c r="AAV34" s="1388" t="s">
        <v>4225</v>
      </c>
      <c r="AAW34" s="1387" t="str">
        <f t="shared" si="1707"/>
        <v>#NAME?</v>
      </c>
      <c r="AAX34" s="1392" t="str">
        <f t="shared" si="1708"/>
        <v>#NAME?</v>
      </c>
      <c r="AAY34" s="1397" t="s">
        <v>5117</v>
      </c>
      <c r="ABA34" s="1387" t="str">
        <f t="shared" si="1709"/>
        <v>#NAME?</v>
      </c>
      <c r="ABB34" s="1388" t="s">
        <v>1343</v>
      </c>
      <c r="ABC34" s="1387" t="str">
        <f t="shared" si="1710"/>
        <v>#NAME?</v>
      </c>
      <c r="ABD34" s="1392" t="str">
        <f t="shared" si="1711"/>
        <v>#NAME?</v>
      </c>
      <c r="ABE34" s="1397" t="s">
        <v>5036</v>
      </c>
      <c r="ABG34" s="1387" t="str">
        <f t="shared" si="1712"/>
        <v>#NAME?</v>
      </c>
      <c r="ABH34" s="1388" t="s">
        <v>4146</v>
      </c>
      <c r="ABI34" s="1387" t="str">
        <f t="shared" si="1713"/>
        <v>#NAME?</v>
      </c>
      <c r="ABJ34" s="1392" t="str">
        <f t="shared" si="1714"/>
        <v>#NAME?</v>
      </c>
      <c r="ABK34" s="1397" t="s">
        <v>5036</v>
      </c>
      <c r="ABM34" s="1387" t="str">
        <f t="shared" si="1715"/>
        <v>#NAME?</v>
      </c>
      <c r="ABN34" s="1388" t="s">
        <v>4139</v>
      </c>
      <c r="ABO34" s="1387" t="str">
        <f t="shared" si="1716"/>
        <v>#NAME?</v>
      </c>
      <c r="ABP34" s="1392" t="str">
        <f t="shared" si="1717"/>
        <v>#NAME?</v>
      </c>
      <c r="ABQ34" s="1397" t="s">
        <v>5036</v>
      </c>
      <c r="ABS34" s="1387" t="str">
        <f t="shared" si="1718"/>
        <v>#NAME?</v>
      </c>
      <c r="ABT34" s="1388" t="s">
        <v>364</v>
      </c>
      <c r="ABU34" s="1387" t="str">
        <f t="shared" si="1719"/>
        <v>#NAME?</v>
      </c>
      <c r="ABV34" s="1392" t="str">
        <f t="shared" si="1720"/>
        <v>#NAME?</v>
      </c>
      <c r="ABW34" s="1397" t="s">
        <v>5036</v>
      </c>
      <c r="ABY34" s="1511" t="s">
        <v>5177</v>
      </c>
      <c r="ACC34" s="1154"/>
      <c r="ACE34" s="442"/>
      <c r="ACF34" s="442"/>
      <c r="ACG34" s="442"/>
      <c r="ACH34" s="442"/>
      <c r="ACI34" s="442"/>
      <c r="ACJ34" s="996"/>
    </row>
    <row r="35" ht="15.75" customHeight="1">
      <c r="A35" s="1230"/>
      <c r="B35" s="1444"/>
      <c r="C35" s="1445"/>
      <c r="D35" s="1446"/>
      <c r="E35" s="1230"/>
      <c r="F35" s="1238"/>
      <c r="G35" s="1222" t="s">
        <v>5736</v>
      </c>
      <c r="H35" s="1230"/>
      <c r="I35" s="1255"/>
      <c r="J35" s="1259" t="s">
        <v>5737</v>
      </c>
      <c r="K35" s="12"/>
      <c r="L35" s="962"/>
      <c r="M35" s="1258" t="s">
        <v>4608</v>
      </c>
      <c r="N35" s="1230"/>
      <c r="O35" s="961" t="s">
        <v>5627</v>
      </c>
      <c r="P35" s="12"/>
      <c r="Q35" s="12"/>
      <c r="R35" s="12"/>
      <c r="S35" s="48"/>
      <c r="T35" s="1230"/>
      <c r="U35" s="1146" t="str">
        <f t="shared" si="1721"/>
        <v>#NAME?</v>
      </c>
      <c r="V35" s="1145" t="s">
        <v>373</v>
      </c>
      <c r="W35" s="1146" t="str">
        <f t="shared" si="1722"/>
        <v>#NAME?</v>
      </c>
      <c r="X35" s="1148" t="str">
        <f t="shared" si="1723"/>
        <v>#NAME?</v>
      </c>
      <c r="Y35" s="1330" t="s">
        <v>5130</v>
      </c>
      <c r="Z35" s="1230"/>
      <c r="AA35" s="442"/>
      <c r="AB35" s="442"/>
      <c r="AC35" s="442"/>
      <c r="AD35" s="442"/>
      <c r="AE35" s="108"/>
      <c r="AF35" s="1230"/>
      <c r="AL35" s="1230"/>
      <c r="AM35" s="1255"/>
      <c r="AN35" s="1259" t="s">
        <v>5738</v>
      </c>
      <c r="AO35" s="12"/>
      <c r="AP35" s="962"/>
      <c r="AQ35" s="1258" t="s">
        <v>4608</v>
      </c>
      <c r="AR35" s="1230"/>
      <c r="AS35" s="1033" t="str">
        <f t="shared" ref="AS35:AS38" si="1778">MONICON21(AT35)</f>
        <v>#NAME?</v>
      </c>
      <c r="AT35" s="1304" t="s">
        <v>526</v>
      </c>
      <c r="AU35" s="977" t="str">
        <f t="shared" ref="AU35:AU38" si="1779">MONTYPEICON1(AT35)</f>
        <v>#NAME?</v>
      </c>
      <c r="AV35" s="980" t="str">
        <f t="shared" ref="AV35:AV38" si="1780">MONTYPEICON2(AT35)</f>
        <v>#NAME?</v>
      </c>
      <c r="AW35" s="1305" t="s">
        <v>4993</v>
      </c>
      <c r="AX35" s="1230"/>
      <c r="AY35" s="1051" t="str">
        <f t="shared" si="1646"/>
        <v>#NAME?</v>
      </c>
      <c r="AZ35" s="1479" t="s">
        <v>2839</v>
      </c>
      <c r="BA35" s="1051" t="str">
        <f t="shared" si="1647"/>
        <v>#NAME?</v>
      </c>
      <c r="BB35" s="1131" t="str">
        <f t="shared" si="1648"/>
        <v>#NAME?</v>
      </c>
      <c r="BC35" s="1411" t="s">
        <v>5337</v>
      </c>
      <c r="BD35" s="442"/>
      <c r="BE35" s="1255"/>
      <c r="BF35" s="1259" t="s">
        <v>5739</v>
      </c>
      <c r="BG35" s="12"/>
      <c r="BH35" s="962"/>
      <c r="BI35" s="1258" t="s">
        <v>4608</v>
      </c>
      <c r="BJ35" s="442"/>
      <c r="BK35" s="442"/>
      <c r="BL35" s="442"/>
      <c r="BM35" s="442"/>
      <c r="BN35" s="1230"/>
      <c r="BO35" s="108"/>
      <c r="BP35" s="442"/>
      <c r="BV35" s="442"/>
      <c r="BW35" s="1021" t="str">
        <f t="shared" si="1724"/>
        <v>#NAME?</v>
      </c>
      <c r="BX35" s="1123" t="s">
        <v>24</v>
      </c>
      <c r="BY35" s="1021" t="str">
        <f t="shared" si="1725"/>
        <v>#NAME?</v>
      </c>
      <c r="BZ35" s="1024" t="str">
        <f t="shared" si="1726"/>
        <v>#NAME?</v>
      </c>
      <c r="CA35" s="1339" t="s">
        <v>4996</v>
      </c>
      <c r="CB35" s="442"/>
      <c r="CH35" s="442"/>
      <c r="CI35" s="1049" t="str">
        <f t="shared" si="1652"/>
        <v>#NAME?</v>
      </c>
      <c r="CJ35" s="1479" t="s">
        <v>2503</v>
      </c>
      <c r="CK35" s="1051" t="str">
        <f t="shared" si="1653"/>
        <v>#NAME?</v>
      </c>
      <c r="CL35" s="1131" t="str">
        <f t="shared" si="1654"/>
        <v>#NAME?</v>
      </c>
      <c r="CM35" s="1411" t="s">
        <v>4996</v>
      </c>
      <c r="CN35" s="442"/>
      <c r="CT35" s="442"/>
      <c r="CU35" s="1094" t="str">
        <f t="shared" si="1655"/>
        <v>#NAME?</v>
      </c>
      <c r="CV35" s="1410" t="s">
        <v>1368</v>
      </c>
      <c r="CW35" s="1051" t="str">
        <f t="shared" si="1656"/>
        <v>#NAME?</v>
      </c>
      <c r="CX35" s="1131" t="str">
        <f t="shared" si="1657"/>
        <v>#NAME?</v>
      </c>
      <c r="CY35" s="1411" t="s">
        <v>5099</v>
      </c>
      <c r="CZ35" s="442"/>
      <c r="DA35" s="1266"/>
      <c r="DB35" s="1259" t="s">
        <v>5740</v>
      </c>
      <c r="DC35" s="12"/>
      <c r="DD35" s="962"/>
      <c r="DE35" s="1267" t="s">
        <v>4608</v>
      </c>
      <c r="DF35" s="442"/>
      <c r="DG35" s="1027" t="str">
        <f t="shared" si="1727"/>
        <v>#NAME?</v>
      </c>
      <c r="DH35" s="1340" t="s">
        <v>2030</v>
      </c>
      <c r="DI35" s="1341" t="str">
        <f t="shared" si="1728"/>
        <v>#NAME?</v>
      </c>
      <c r="DJ35" s="1342" t="str">
        <f t="shared" si="1729"/>
        <v>#NAME?</v>
      </c>
      <c r="DK35" s="1343" t="s">
        <v>5000</v>
      </c>
      <c r="DL35" s="442"/>
      <c r="DM35" s="1266"/>
      <c r="DN35" s="1256" t="s">
        <v>5741</v>
      </c>
      <c r="DO35" s="1257" t="s">
        <v>4888</v>
      </c>
      <c r="DP35" s="962"/>
      <c r="DQ35" s="1267" t="s">
        <v>4608</v>
      </c>
      <c r="DR35" s="442"/>
      <c r="DS35" s="1056" t="str">
        <f t="shared" si="1730"/>
        <v>#NAME?</v>
      </c>
      <c r="DT35" s="1123" t="s">
        <v>3282</v>
      </c>
      <c r="DU35" s="1021" t="str">
        <f t="shared" si="1731"/>
        <v>#NAME?</v>
      </c>
      <c r="DV35" s="1024" t="str">
        <f t="shared" si="1732"/>
        <v>#NAME?</v>
      </c>
      <c r="DW35" s="1339" t="s">
        <v>4998</v>
      </c>
      <c r="DX35" s="442"/>
      <c r="ED35" s="442"/>
      <c r="EE35" s="442"/>
      <c r="EF35" s="442"/>
      <c r="EG35" s="108"/>
      <c r="EH35" s="108"/>
      <c r="EI35" s="108"/>
      <c r="EJ35" s="1230"/>
      <c r="EK35" s="1351" t="str">
        <f t="shared" si="1733"/>
        <v>#NAME?</v>
      </c>
      <c r="EL35" s="1352" t="s">
        <v>589</v>
      </c>
      <c r="EM35" s="1353" t="str">
        <f t="shared" si="1734"/>
        <v>#NAME?</v>
      </c>
      <c r="EN35" s="1354" t="str">
        <f t="shared" si="1735"/>
        <v>#NAME?</v>
      </c>
      <c r="EO35" s="1355" t="s">
        <v>5201</v>
      </c>
      <c r="EP35" s="1230"/>
      <c r="EQ35" s="1193" t="str">
        <f t="shared" si="1736"/>
        <v>#NAME?</v>
      </c>
      <c r="ER35" s="1145" t="s">
        <v>1808</v>
      </c>
      <c r="ES35" s="1146" t="str">
        <f t="shared" si="1737"/>
        <v>#NAME?</v>
      </c>
      <c r="ET35" s="1148" t="str">
        <f t="shared" si="1738"/>
        <v>#NAME?</v>
      </c>
      <c r="EU35" s="1330" t="s">
        <v>5045</v>
      </c>
      <c r="EV35" s="1230"/>
      <c r="EW35" s="983" t="str">
        <f t="shared" ref="EW35:EW40" si="1781">MONICON21(EX35)</f>
        <v>#NAME?</v>
      </c>
      <c r="EX35" s="1157" t="s">
        <v>2239</v>
      </c>
      <c r="EY35" s="977" t="str">
        <f t="shared" ref="EY35:EY40" si="1782">MONTYPEICON1(EX35)</f>
        <v>#NAME?</v>
      </c>
      <c r="EZ35" s="980" t="str">
        <f t="shared" ref="EZ35:EZ40" si="1783">MONTYPEICON2(EX35)</f>
        <v>#NAME?</v>
      </c>
      <c r="FA35" s="1303" t="s">
        <v>4998</v>
      </c>
      <c r="FB35" s="442"/>
      <c r="FC35" s="1266"/>
      <c r="FD35" s="1259" t="s">
        <v>5742</v>
      </c>
      <c r="FE35" s="12"/>
      <c r="FF35" s="962"/>
      <c r="FG35" s="1258" t="s">
        <v>4608</v>
      </c>
      <c r="FH35" s="442"/>
      <c r="FI35" s="1266"/>
      <c r="FJ35" s="1256" t="s">
        <v>5743</v>
      </c>
      <c r="FK35" s="1257" t="s">
        <v>4888</v>
      </c>
      <c r="FL35" s="962"/>
      <c r="FM35" s="1258" t="s">
        <v>4608</v>
      </c>
      <c r="FN35" s="442"/>
      <c r="FO35" s="1272" t="s">
        <v>4531</v>
      </c>
      <c r="FP35" s="12"/>
      <c r="FQ35" s="12"/>
      <c r="FR35" s="12"/>
      <c r="FS35" s="48"/>
      <c r="FT35" s="442"/>
      <c r="FU35" s="1266"/>
      <c r="FV35" s="1259" t="s">
        <v>5744</v>
      </c>
      <c r="FW35" s="12"/>
      <c r="FX35" s="962"/>
      <c r="FY35" s="1258" t="s">
        <v>4608</v>
      </c>
      <c r="FZ35" s="65"/>
      <c r="GA35" s="1096" t="str">
        <f t="shared" si="1544"/>
        <v>#NAME?</v>
      </c>
      <c r="GB35" s="89" t="s">
        <v>4238</v>
      </c>
      <c r="GC35" s="1418" t="str">
        <f t="shared" si="1545"/>
        <v>#NAME?</v>
      </c>
      <c r="GD35" s="1419" t="str">
        <f t="shared" si="1546"/>
        <v>#NAME?</v>
      </c>
      <c r="GE35" s="1108" t="s">
        <v>5034</v>
      </c>
      <c r="GF35" s="442"/>
      <c r="GG35" s="1094" t="str">
        <f t="shared" si="1658"/>
        <v>#NAME?</v>
      </c>
      <c r="GH35" s="499" t="s">
        <v>3805</v>
      </c>
      <c r="GI35" s="1051" t="str">
        <f t="shared" si="1659"/>
        <v>#NAME?</v>
      </c>
      <c r="GJ35" s="1131" t="str">
        <f t="shared" si="1660"/>
        <v>#NAME?</v>
      </c>
      <c r="GK35" s="1095" t="s">
        <v>5001</v>
      </c>
      <c r="GL35" s="1230"/>
      <c r="GM35" s="985" t="str">
        <f>MONICON21(GN35)</f>
        <v>#NAME?</v>
      </c>
      <c r="GN35" s="1310" t="s">
        <v>4004</v>
      </c>
      <c r="GO35" s="1092" t="str">
        <f>MONTYPEICON1(GN35)</f>
        <v>#NAME?</v>
      </c>
      <c r="GP35" s="987" t="str">
        <f>MONTYPEICON2(GN35)</f>
        <v>#NAME?</v>
      </c>
      <c r="GQ35" s="1309" t="s">
        <v>5004</v>
      </c>
      <c r="GR35" s="65"/>
      <c r="GS35" s="65"/>
      <c r="GT35" s="65"/>
      <c r="GU35" s="108"/>
      <c r="GV35" s="108"/>
      <c r="GW35" s="65"/>
      <c r="GX35" s="65"/>
      <c r="GY35" s="1286"/>
      <c r="GZ35" s="1259" t="s">
        <v>5745</v>
      </c>
      <c r="HA35" s="12"/>
      <c r="HB35" s="962"/>
      <c r="HC35" s="1258" t="s">
        <v>4608</v>
      </c>
      <c r="HD35" s="1230"/>
      <c r="HE35" s="1094" t="str">
        <f t="shared" si="1661"/>
        <v>#NAME?</v>
      </c>
      <c r="HF35" s="499" t="s">
        <v>447</v>
      </c>
      <c r="HG35" s="1051" t="str">
        <f t="shared" si="1662"/>
        <v>#NAME?</v>
      </c>
      <c r="HH35" s="1131" t="str">
        <f t="shared" si="1663"/>
        <v>#NAME?</v>
      </c>
      <c r="HI35" s="1095" t="s">
        <v>5006</v>
      </c>
      <c r="HJ35" s="1230"/>
      <c r="HK35" s="1283"/>
      <c r="HL35" s="1264" t="s">
        <v>5746</v>
      </c>
      <c r="HM35" s="12"/>
      <c r="HN35" s="962"/>
      <c r="HO35" s="1265" t="s">
        <v>4608</v>
      </c>
      <c r="HP35" s="65"/>
      <c r="HS35" s="349"/>
      <c r="HT35" s="349"/>
      <c r="HW35" s="1096" t="str">
        <f t="shared" si="1553"/>
        <v>#NAME?</v>
      </c>
      <c r="HX35" s="89" t="s">
        <v>2091</v>
      </c>
      <c r="HY35" s="1417" t="str">
        <f t="shared" si="1554"/>
        <v>#NAME?</v>
      </c>
      <c r="HZ35" s="62" t="str">
        <f t="shared" si="1555"/>
        <v>#NAME?</v>
      </c>
      <c r="IA35" s="1108" t="s">
        <v>5214</v>
      </c>
      <c r="IB35" s="65"/>
      <c r="IC35" s="983" t="str">
        <f t="shared" ref="IC35:IC37" si="1784">MONICON21(ID35)</f>
        <v>#NAME?</v>
      </c>
      <c r="ID35" s="1301" t="s">
        <v>4167</v>
      </c>
      <c r="IE35" s="1311" t="str">
        <f t="shared" ref="IE35:IE37" si="1785">MONTYPEICON1(ID35)</f>
        <v>#NAME?</v>
      </c>
      <c r="IF35" s="1312" t="str">
        <f t="shared" ref="IF35:IF37" si="1786">MONTYPEICON2(ID35)</f>
        <v>#NAME?</v>
      </c>
      <c r="IG35" s="1303" t="s">
        <v>5084</v>
      </c>
      <c r="IH35" s="65"/>
      <c r="II35" s="1027" t="str">
        <f t="shared" si="1739"/>
        <v>#NAME?</v>
      </c>
      <c r="IJ35" s="1340" t="s">
        <v>4225</v>
      </c>
      <c r="IK35" s="1360" t="str">
        <f t="shared" si="1740"/>
        <v>#NAME?</v>
      </c>
      <c r="IL35" s="1361" t="str">
        <f t="shared" si="1741"/>
        <v>#NAME?</v>
      </c>
      <c r="IM35" s="1362" t="s">
        <v>5008</v>
      </c>
      <c r="IQ35" s="349"/>
      <c r="IR35" s="349"/>
      <c r="IT35" s="1230"/>
      <c r="IW35" s="349"/>
      <c r="IX35" s="349"/>
      <c r="IZ35" s="442"/>
      <c r="JA35" s="1286"/>
      <c r="JB35" s="1259" t="s">
        <v>5747</v>
      </c>
      <c r="JC35" s="12"/>
      <c r="JD35" s="962"/>
      <c r="JE35" s="1258" t="s">
        <v>4608</v>
      </c>
      <c r="JF35" s="442"/>
      <c r="JG35" s="963" t="s">
        <v>4538</v>
      </c>
      <c r="JH35" s="12"/>
      <c r="JI35" s="12"/>
      <c r="JJ35" s="12"/>
      <c r="JK35" s="48"/>
      <c r="JL35" s="442"/>
      <c r="JM35" s="1096" t="str">
        <f t="shared" si="1556"/>
        <v>#NAME?</v>
      </c>
      <c r="JN35" s="1098" t="s">
        <v>3670</v>
      </c>
      <c r="JO35" s="1013" t="str">
        <f t="shared" si="1557"/>
        <v>#NAME?</v>
      </c>
      <c r="JP35" s="1015" t="str">
        <f t="shared" si="1558"/>
        <v>#NAME?</v>
      </c>
      <c r="JQ35" s="1414" t="s">
        <v>5010</v>
      </c>
      <c r="JR35" s="442"/>
      <c r="JS35" s="1096" t="str">
        <f t="shared" si="1559"/>
        <v>#NAME?</v>
      </c>
      <c r="JT35" s="1149" t="s">
        <v>687</v>
      </c>
      <c r="JU35" s="1418" t="str">
        <f t="shared" si="1560"/>
        <v>#NAME?</v>
      </c>
      <c r="JV35" s="1419" t="str">
        <f t="shared" si="1561"/>
        <v>#NAME?</v>
      </c>
      <c r="JW35" s="1108" t="s">
        <v>5010</v>
      </c>
      <c r="JY35" s="1094" t="str">
        <f t="shared" si="1667"/>
        <v>#NAME?</v>
      </c>
      <c r="JZ35" s="1127" t="s">
        <v>3843</v>
      </c>
      <c r="KA35" s="1420" t="str">
        <f t="shared" si="1668"/>
        <v>#NAME?</v>
      </c>
      <c r="KB35" s="475" t="str">
        <f t="shared" si="1669"/>
        <v>#NAME?</v>
      </c>
      <c r="KC35" s="1095" t="s">
        <v>5009</v>
      </c>
      <c r="KE35" s="1266"/>
      <c r="KF35" s="1259" t="s">
        <v>5748</v>
      </c>
      <c r="KG35" s="12"/>
      <c r="KH35" s="962"/>
      <c r="KI35" s="1258" t="s">
        <v>4608</v>
      </c>
      <c r="KJ35" s="65"/>
      <c r="KM35" s="349"/>
      <c r="KN35" s="349"/>
      <c r="KP35" s="65"/>
      <c r="KQ35" s="1096" t="str">
        <f t="shared" si="1670"/>
        <v>#NAME?</v>
      </c>
      <c r="KR35" s="1304" t="s">
        <v>2012</v>
      </c>
      <c r="KS35" s="1418" t="str">
        <f t="shared" si="1671"/>
        <v>#NAME?</v>
      </c>
      <c r="KT35" s="1419" t="str">
        <f t="shared" si="1672"/>
        <v>#NAME?</v>
      </c>
      <c r="KU35" s="1303" t="s">
        <v>5013</v>
      </c>
      <c r="KV35" s="65"/>
      <c r="KW35" s="1273"/>
      <c r="KX35" s="1274" t="s">
        <v>4908</v>
      </c>
      <c r="KY35" s="959"/>
      <c r="KZ35" s="957"/>
      <c r="LA35" s="1282" t="s">
        <v>4608</v>
      </c>
      <c r="LB35" s="442"/>
      <c r="LC35" s="1012" t="str">
        <f t="shared" ref="LC35:LC36" si="1787">MONICON21(LD35)</f>
        <v>#NAME?</v>
      </c>
      <c r="LD35" s="1301" t="s">
        <v>951</v>
      </c>
      <c r="LE35" s="1311" t="str">
        <f t="shared" ref="LE35:LE36" si="1788">MONTYPEICON1(LD35)</f>
        <v>#NAME?</v>
      </c>
      <c r="LF35" s="1312" t="str">
        <f t="shared" ref="LF35:LF36" si="1789">MONTYPEICON2(LD35)</f>
        <v>#NAME?</v>
      </c>
      <c r="LG35" s="1318" t="s">
        <v>5162</v>
      </c>
      <c r="LK35" s="349"/>
      <c r="LL35" s="349"/>
      <c r="LO35" s="1056" t="str">
        <f t="shared" si="1742"/>
        <v>#NAME?</v>
      </c>
      <c r="LP35" s="1377" t="s">
        <v>4139</v>
      </c>
      <c r="LQ35" s="1502" t="str">
        <f t="shared" si="1743"/>
        <v>#NAME?</v>
      </c>
      <c r="LR35" s="1503" t="str">
        <f t="shared" si="1744"/>
        <v>#NAME?</v>
      </c>
      <c r="LS35" s="1378" t="s">
        <v>5164</v>
      </c>
      <c r="LW35" s="349"/>
      <c r="LX35" s="349"/>
      <c r="LZ35" s="442"/>
      <c r="MC35" s="349"/>
      <c r="MD35" s="349"/>
      <c r="MF35" s="442"/>
      <c r="MI35" s="349"/>
      <c r="MJ35" s="349"/>
      <c r="ML35" s="442"/>
      <c r="MO35" s="349"/>
      <c r="MP35" s="349"/>
      <c r="MS35" s="1049" t="str">
        <f t="shared" si="1676"/>
        <v>#NAME?</v>
      </c>
      <c r="MT35" s="1127" t="s">
        <v>535</v>
      </c>
      <c r="MU35" s="1051" t="str">
        <f t="shared" si="1677"/>
        <v>#NAME?</v>
      </c>
      <c r="MV35" s="1131" t="str">
        <f t="shared" si="1678"/>
        <v>#NAME?</v>
      </c>
      <c r="MW35" s="1422" t="s">
        <v>5051</v>
      </c>
      <c r="MX35" s="442"/>
      <c r="NA35" s="349"/>
      <c r="NB35" s="349"/>
      <c r="ND35" s="442"/>
      <c r="NG35" s="349"/>
      <c r="NH35" s="349"/>
      <c r="NJ35" s="65"/>
      <c r="NM35" s="349"/>
      <c r="NN35" s="349"/>
      <c r="NQ35" s="983" t="str">
        <f t="shared" ref="NQ35:NQ40" si="1790">MONICON21(NR35)</f>
        <v>#NAME?</v>
      </c>
      <c r="NR35" s="1304" t="s">
        <v>1384</v>
      </c>
      <c r="NS35" s="1313" t="str">
        <f t="shared" ref="NS35:NS40" si="1791">MONTYPEICON1(NR35)</f>
        <v>#NAME?</v>
      </c>
      <c r="NT35" s="1314" t="str">
        <f t="shared" ref="NT35:NT40" si="1792">MONTYPEICON2(NR35)</f>
        <v>#NAME?</v>
      </c>
      <c r="NU35" s="1321" t="s">
        <v>5431</v>
      </c>
      <c r="NV35" s="442"/>
      <c r="NW35" s="1068" t="str">
        <f t="shared" si="1745"/>
        <v>#NAME?</v>
      </c>
      <c r="NX35" s="1076" t="s">
        <v>2148</v>
      </c>
      <c r="NY35" s="1358" t="str">
        <f t="shared" si="1746"/>
        <v>#NAME?</v>
      </c>
      <c r="NZ35" s="1359" t="str">
        <f t="shared" si="1747"/>
        <v>#NAME?</v>
      </c>
      <c r="OA35" s="1368" t="s">
        <v>5019</v>
      </c>
      <c r="OB35" s="442"/>
      <c r="OE35" s="349"/>
      <c r="OF35" s="349"/>
      <c r="OH35" s="442"/>
      <c r="OI35" s="1068" t="str">
        <f t="shared" si="1616"/>
        <v>#NAME?</v>
      </c>
      <c r="OJ35" s="1076" t="s">
        <v>2065</v>
      </c>
      <c r="OK35" s="1358" t="str">
        <f t="shared" si="1617"/>
        <v>#NAME?</v>
      </c>
      <c r="OL35" s="1359" t="str">
        <f t="shared" si="1618"/>
        <v>#NAME?</v>
      </c>
      <c r="OM35" s="1368" t="s">
        <v>5020</v>
      </c>
      <c r="ON35" s="442"/>
      <c r="OO35" s="983" t="str">
        <f t="shared" ref="OO35:OO38" si="1793">MONICON21(OP35)</f>
        <v>#NAME?</v>
      </c>
      <c r="OP35" s="1301" t="s">
        <v>3324</v>
      </c>
      <c r="OQ35" s="1311" t="str">
        <f t="shared" ref="OQ35:OQ38" si="1794">MONTYPEICON1(OP35)</f>
        <v>#NAME?</v>
      </c>
      <c r="OR35" s="1312" t="str">
        <f t="shared" ref="OR35:OR38" si="1795">MONTYPEICON2(OP35)</f>
        <v>#NAME?</v>
      </c>
      <c r="OS35" s="1318" t="s">
        <v>5020</v>
      </c>
      <c r="OU35" s="1096" t="str">
        <f t="shared" si="1679"/>
        <v>#NAME?</v>
      </c>
      <c r="OV35" s="1098" t="s">
        <v>1508</v>
      </c>
      <c r="OW35" s="1417" t="str">
        <f t="shared" si="1680"/>
        <v>#NAME?</v>
      </c>
      <c r="OX35" s="62" t="str">
        <f t="shared" si="1681"/>
        <v>#NAME?</v>
      </c>
      <c r="OY35" s="1423" t="s">
        <v>5022</v>
      </c>
      <c r="PA35" s="1094" t="str">
        <f t="shared" si="1682"/>
        <v>#NAME?</v>
      </c>
      <c r="PB35" s="1127" t="s">
        <v>1039</v>
      </c>
      <c r="PC35" s="1420" t="str">
        <f t="shared" si="1683"/>
        <v>#NAME?</v>
      </c>
      <c r="PD35" s="475" t="str">
        <f t="shared" si="1684"/>
        <v>#NAME?</v>
      </c>
      <c r="PE35" s="1422" t="s">
        <v>5022</v>
      </c>
      <c r="PF35" s="442"/>
      <c r="PG35" s="1266"/>
      <c r="PH35" s="1259" t="s">
        <v>5749</v>
      </c>
      <c r="PI35" s="12"/>
      <c r="PJ35" s="962"/>
      <c r="PK35" s="1258" t="s">
        <v>4608</v>
      </c>
      <c r="PL35" s="65"/>
      <c r="PM35" s="1286"/>
      <c r="PN35" s="1256" t="s">
        <v>5750</v>
      </c>
      <c r="PO35" s="1285" t="s">
        <v>4888</v>
      </c>
      <c r="PP35" s="962"/>
      <c r="PQ35" s="1258" t="s">
        <v>4608</v>
      </c>
      <c r="PS35" s="1096" t="str">
        <f t="shared" si="1565"/>
        <v>#NAME?</v>
      </c>
      <c r="PT35" s="1098" t="s">
        <v>1376</v>
      </c>
      <c r="PU35" s="1418" t="str">
        <f t="shared" si="1566"/>
        <v>#NAME?</v>
      </c>
      <c r="PV35" s="1419" t="str">
        <f t="shared" si="1567"/>
        <v>#NAME?</v>
      </c>
      <c r="PW35" s="1423" t="s">
        <v>5023</v>
      </c>
      <c r="PX35" s="442"/>
      <c r="PY35" s="1027" t="str">
        <f t="shared" si="1748"/>
        <v>#NAME?</v>
      </c>
      <c r="PZ35" s="1340" t="s">
        <v>4225</v>
      </c>
      <c r="QA35" s="1360" t="str">
        <f t="shared" si="1749"/>
        <v>#NAME?</v>
      </c>
      <c r="QB35" s="1361" t="str">
        <f t="shared" si="1750"/>
        <v>#NAME?</v>
      </c>
      <c r="QC35" s="1376" t="s">
        <v>5023</v>
      </c>
      <c r="QD35" s="442"/>
      <c r="QG35" s="349"/>
      <c r="QH35" s="349"/>
      <c r="QJ35" s="442"/>
      <c r="QK35" s="1457" t="str">
        <f t="shared" si="1622"/>
        <v>#NAME?</v>
      </c>
      <c r="QL35" s="1429" t="s">
        <v>2046</v>
      </c>
      <c r="QM35" s="1428" t="str">
        <f t="shared" si="1623"/>
        <v>#NAME?</v>
      </c>
      <c r="QN35" s="1430" t="str">
        <f t="shared" si="1624"/>
        <v>#NAME?</v>
      </c>
      <c r="QO35" s="1431" t="s">
        <v>5031</v>
      </c>
      <c r="QP35" s="442"/>
      <c r="QQ35" s="1457" t="str">
        <f t="shared" si="1625"/>
        <v>#NAME?</v>
      </c>
      <c r="QR35" s="1429" t="s">
        <v>615</v>
      </c>
      <c r="QS35" s="1428" t="str">
        <f t="shared" si="1626"/>
        <v>#NAME?</v>
      </c>
      <c r="QT35" s="1430" t="str">
        <f t="shared" si="1627"/>
        <v>#NAME?</v>
      </c>
      <c r="QU35" s="1431" t="s">
        <v>5033</v>
      </c>
      <c r="QV35" s="442"/>
      <c r="QW35" s="1457" t="str">
        <f t="shared" si="1628"/>
        <v>#NAME?</v>
      </c>
      <c r="QX35" s="1429" t="s">
        <v>3896</v>
      </c>
      <c r="QY35" s="1428" t="str">
        <f t="shared" si="1629"/>
        <v>#NAME?</v>
      </c>
      <c r="QZ35" s="1430" t="str">
        <f t="shared" si="1630"/>
        <v>#NAME?</v>
      </c>
      <c r="RA35" s="1431" t="s">
        <v>5112</v>
      </c>
      <c r="RB35" s="442"/>
      <c r="RC35" s="1457" t="str">
        <f t="shared" si="1631"/>
        <v>#NAME?</v>
      </c>
      <c r="RD35" s="1429" t="s">
        <v>1264</v>
      </c>
      <c r="RE35" s="1428" t="str">
        <f t="shared" si="1632"/>
        <v>#NAME?</v>
      </c>
      <c r="RF35" s="1430" t="str">
        <f t="shared" si="1633"/>
        <v>#NAME?</v>
      </c>
      <c r="RG35" s="1431" t="s">
        <v>5113</v>
      </c>
      <c r="RH35" s="442"/>
      <c r="RI35" s="1457" t="str">
        <f t="shared" si="1634"/>
        <v>#NAME?</v>
      </c>
      <c r="RJ35" s="1429" t="s">
        <v>3911</v>
      </c>
      <c r="RK35" s="1428" t="str">
        <f t="shared" si="1635"/>
        <v>#NAME?</v>
      </c>
      <c r="RL35" s="1430" t="str">
        <f t="shared" si="1636"/>
        <v>#NAME?</v>
      </c>
      <c r="RM35" s="1431" t="s">
        <v>5092</v>
      </c>
      <c r="RN35" s="442"/>
      <c r="RO35" s="1094" t="str">
        <f t="shared" si="1685"/>
        <v>#NAME?</v>
      </c>
      <c r="RP35" s="1127" t="s">
        <v>171</v>
      </c>
      <c r="RQ35" s="1420" t="str">
        <f t="shared" si="1686"/>
        <v>#NAME?</v>
      </c>
      <c r="RR35" s="475" t="str">
        <f t="shared" si="1687"/>
        <v>#NAME?</v>
      </c>
      <c r="RS35" s="1422" t="s">
        <v>5112</v>
      </c>
      <c r="RT35" s="442"/>
      <c r="RU35" s="1266"/>
      <c r="RV35" s="1256" t="s">
        <v>5751</v>
      </c>
      <c r="RW35" s="1285" t="s">
        <v>4888</v>
      </c>
      <c r="RX35" s="962"/>
      <c r="RY35" s="1004" t="s">
        <v>4608</v>
      </c>
      <c r="RZ35" s="442"/>
      <c r="SA35" s="1096" t="str">
        <f t="shared" si="1568"/>
        <v>#NAME?</v>
      </c>
      <c r="SB35" s="1304" t="s">
        <v>4031</v>
      </c>
      <c r="SC35" s="1013" t="str">
        <f t="shared" si="1569"/>
        <v>#NAME?</v>
      </c>
      <c r="SD35" s="1015" t="str">
        <f t="shared" si="1570"/>
        <v>#NAME?</v>
      </c>
      <c r="SE35" s="1321" t="s">
        <v>5024</v>
      </c>
      <c r="SG35" s="1068" t="str">
        <f t="shared" si="1751"/>
        <v>#NAME?</v>
      </c>
      <c r="SH35" s="1076" t="s">
        <v>383</v>
      </c>
      <c r="SI35" s="1358" t="str">
        <f t="shared" si="1752"/>
        <v>#NAME?</v>
      </c>
      <c r="SJ35" s="1359" t="str">
        <f t="shared" si="1753"/>
        <v>#NAME?</v>
      </c>
      <c r="SK35" s="1368" t="s">
        <v>5024</v>
      </c>
      <c r="SM35" s="1056" t="str">
        <f t="shared" si="1754"/>
        <v>#NAME?</v>
      </c>
      <c r="SN35" s="1377" t="s">
        <v>4139</v>
      </c>
      <c r="SO35" s="1021" t="str">
        <f t="shared" si="1755"/>
        <v>#NAME?</v>
      </c>
      <c r="SP35" s="1024" t="str">
        <f t="shared" si="1756"/>
        <v>#NAME?</v>
      </c>
      <c r="SQ35" s="1378" t="s">
        <v>5024</v>
      </c>
      <c r="SR35" s="442"/>
      <c r="SS35" s="961" t="s">
        <v>5752</v>
      </c>
      <c r="ST35" s="12"/>
      <c r="SU35" s="12"/>
      <c r="SV35" s="12"/>
      <c r="SW35" s="48"/>
      <c r="SX35" s="442"/>
      <c r="SY35" s="1068" t="str">
        <f t="shared" si="1757"/>
        <v>#NAME?</v>
      </c>
      <c r="SZ35" s="1076" t="s">
        <v>3872</v>
      </c>
      <c r="TA35" s="1358" t="str">
        <f t="shared" si="1758"/>
        <v>#NAME?</v>
      </c>
      <c r="TB35" s="1359" t="str">
        <f t="shared" si="1759"/>
        <v>#NAME?</v>
      </c>
      <c r="TC35" s="1368" t="s">
        <v>5033</v>
      </c>
      <c r="TD35" s="65"/>
      <c r="TE35" s="1346" t="str">
        <f t="shared" si="1526"/>
        <v>#NAME?</v>
      </c>
      <c r="TF35" s="1370" t="s">
        <v>3964</v>
      </c>
      <c r="TG35" s="1348" t="str">
        <f t="shared" si="1527"/>
        <v>#NAME?</v>
      </c>
      <c r="TH35" s="1349" t="str">
        <f t="shared" si="1528"/>
        <v>#NAME?</v>
      </c>
      <c r="TI35" s="1371" t="s">
        <v>5026</v>
      </c>
      <c r="TJ35" s="442"/>
      <c r="TK35" s="1266"/>
      <c r="TL35" s="1259" t="s">
        <v>5753</v>
      </c>
      <c r="TM35" s="12"/>
      <c r="TN35" s="962"/>
      <c r="TO35" s="1004" t="s">
        <v>4608</v>
      </c>
      <c r="TP35" s="442"/>
      <c r="TQ35" s="1266"/>
      <c r="TR35" s="1259" t="s">
        <v>5754</v>
      </c>
      <c r="TS35" s="12"/>
      <c r="TT35" s="962"/>
      <c r="TU35" s="1004" t="s">
        <v>4608</v>
      </c>
      <c r="TV35" s="65"/>
      <c r="TW35" s="977" t="str">
        <f t="shared" ref="TW35:TW40" si="1796">MONICON21(TX35)</f>
        <v>#NAME?</v>
      </c>
      <c r="TX35" s="1301" t="s">
        <v>1272</v>
      </c>
      <c r="TY35" s="977" t="str">
        <f t="shared" ref="TY35:TY40" si="1797">MONTYPEICON1(TX35)</f>
        <v>#NAME?</v>
      </c>
      <c r="TZ35" s="980" t="str">
        <f t="shared" ref="TZ35:TZ40" si="1798">MONTYPEICON2(TX35)</f>
        <v>#NAME?</v>
      </c>
      <c r="UA35" s="1303" t="s">
        <v>5229</v>
      </c>
      <c r="UI35" s="1290"/>
      <c r="UJ35" s="1291" t="s">
        <v>5755</v>
      </c>
      <c r="UK35" s="12"/>
      <c r="UL35" s="962"/>
      <c r="UM35" s="1292" t="s">
        <v>4608</v>
      </c>
      <c r="UO35" s="1383" t="str">
        <f t="shared" si="1760"/>
        <v>#NAME?</v>
      </c>
      <c r="UP35" s="1384" t="s">
        <v>458</v>
      </c>
      <c r="UQ35" s="1383" t="str">
        <f t="shared" si="1761"/>
        <v>#NAME?</v>
      </c>
      <c r="UR35" s="1385" t="str">
        <f t="shared" si="1762"/>
        <v>#NAME?</v>
      </c>
      <c r="US35" s="1386" t="s">
        <v>5279</v>
      </c>
      <c r="UU35" s="1387" t="str">
        <f t="shared" si="1763"/>
        <v>#NAME?</v>
      </c>
      <c r="UV35" s="1388" t="s">
        <v>1705</v>
      </c>
      <c r="UW35" s="1389" t="str">
        <f t="shared" si="1764"/>
        <v>#NAME?</v>
      </c>
      <c r="UX35" s="1390" t="str">
        <f t="shared" si="1765"/>
        <v>#NAME?</v>
      </c>
      <c r="UY35" s="1391" t="s">
        <v>5130</v>
      </c>
      <c r="VA35" s="1383" t="str">
        <f t="shared" si="1766"/>
        <v>#NAME?</v>
      </c>
      <c r="VB35" s="1384" t="s">
        <v>742</v>
      </c>
      <c r="VC35" s="1383" t="str">
        <f t="shared" si="1767"/>
        <v>#NAME?</v>
      </c>
      <c r="VD35" s="1385" t="str">
        <f t="shared" si="1768"/>
        <v>#NAME?</v>
      </c>
      <c r="VE35" s="1386" t="s">
        <v>5028</v>
      </c>
      <c r="VG35" s="1294"/>
      <c r="VH35" s="1291" t="s">
        <v>5756</v>
      </c>
      <c r="VI35" s="12"/>
      <c r="VJ35" s="962"/>
      <c r="VK35" s="1292" t="s">
        <v>4608</v>
      </c>
      <c r="VL35" s="442"/>
      <c r="VM35" s="977" t="str">
        <f t="shared" ref="VM35:VM37" si="1799">MONICON21(VN35)</f>
        <v>#NAME?</v>
      </c>
      <c r="VN35" s="1301" t="s">
        <v>653</v>
      </c>
      <c r="VO35" s="977" t="str">
        <f t="shared" ref="VO35:VO37" si="1800">MONTYPEICON1(VN35)</f>
        <v>#NAME?</v>
      </c>
      <c r="VP35" s="980" t="str">
        <f t="shared" ref="VP35:VP37" si="1801">MONTYPEICON2(VN35)</f>
        <v>#NAME?</v>
      </c>
      <c r="VQ35" s="1303" t="s">
        <v>5448</v>
      </c>
      <c r="VR35" s="442"/>
      <c r="VS35" s="1033" t="str">
        <f t="shared" ref="VS35:VS36" si="1802">MONICON21(VT35)</f>
        <v>#NAME?</v>
      </c>
      <c r="VT35" s="1301" t="s">
        <v>1538</v>
      </c>
      <c r="VU35" s="977" t="str">
        <f t="shared" ref="VU35:VU36" si="1803">MONTYPEICON1(VT35)</f>
        <v>#NAME?</v>
      </c>
      <c r="VV35" s="980" t="str">
        <f t="shared" ref="VV35:VV36" si="1804">MONTYPEICON2(VT35)</f>
        <v>#NAME?</v>
      </c>
      <c r="VW35" s="1302" t="s">
        <v>5135</v>
      </c>
      <c r="VX35" s="442"/>
      <c r="VY35" s="1294"/>
      <c r="VZ35" s="1291" t="s">
        <v>5757</v>
      </c>
      <c r="WA35" s="12"/>
      <c r="WB35" s="962"/>
      <c r="WC35" s="1292" t="s">
        <v>4608</v>
      </c>
      <c r="WD35" s="442"/>
      <c r="WE35" s="1289" t="s">
        <v>5260</v>
      </c>
      <c r="WF35" s="12"/>
      <c r="WG35" s="12"/>
      <c r="WH35" s="12"/>
      <c r="WI35" s="48"/>
      <c r="WJ35" s="442"/>
      <c r="WK35" s="1051" t="str">
        <f t="shared" si="1691"/>
        <v>#NAME?</v>
      </c>
      <c r="WL35" s="1127" t="s">
        <v>2867</v>
      </c>
      <c r="WM35" s="1051" t="str">
        <f t="shared" si="1692"/>
        <v>#NAME?</v>
      </c>
      <c r="WN35" s="1131" t="str">
        <f t="shared" si="1693"/>
        <v>#NAME?</v>
      </c>
      <c r="WO35" s="1095" t="s">
        <v>5019</v>
      </c>
      <c r="WP35" s="442"/>
      <c r="WQ35" s="1387" t="str">
        <f t="shared" si="1769"/>
        <v>#NAME?</v>
      </c>
      <c r="WR35" s="1388" t="s">
        <v>2232</v>
      </c>
      <c r="WS35" s="1387" t="str">
        <f t="shared" si="1770"/>
        <v>#NAME?</v>
      </c>
      <c r="WT35" s="1392" t="str">
        <f t="shared" si="1771"/>
        <v>#NAME?</v>
      </c>
      <c r="WU35" s="1391" t="s">
        <v>5032</v>
      </c>
      <c r="WV35" s="442"/>
      <c r="WW35" s="963" t="s">
        <v>4748</v>
      </c>
      <c r="WX35" s="12"/>
      <c r="WY35" s="12"/>
      <c r="WZ35" s="962"/>
      <c r="XA35" s="1611"/>
      <c r="XB35" s="442"/>
      <c r="XH35" s="442"/>
      <c r="XI35" s="1051" t="str">
        <f t="shared" si="1694"/>
        <v>#NAME?</v>
      </c>
      <c r="XJ35" s="1127" t="s">
        <v>2285</v>
      </c>
      <c r="XK35" s="1051" t="str">
        <f t="shared" si="1695"/>
        <v>#NAME?</v>
      </c>
      <c r="XL35" s="1131" t="str">
        <f t="shared" si="1696"/>
        <v>#NAME?</v>
      </c>
      <c r="XM35" s="1095" t="s">
        <v>5019</v>
      </c>
      <c r="XN35" s="442"/>
      <c r="XO35" s="963" t="s">
        <v>4532</v>
      </c>
      <c r="XP35" s="12"/>
      <c r="XQ35" s="12"/>
      <c r="XR35" s="12"/>
      <c r="XS35" s="48"/>
      <c r="XT35" s="442"/>
      <c r="XU35" s="108"/>
      <c r="XV35" s="442"/>
      <c r="XW35" s="442"/>
      <c r="XX35" s="442"/>
      <c r="XY35" s="442"/>
      <c r="XZ35" s="442"/>
      <c r="YA35" s="1383" t="str">
        <f t="shared" si="1772"/>
        <v>#NAME?</v>
      </c>
      <c r="YB35" s="1508" t="s">
        <v>653</v>
      </c>
      <c r="YC35" s="1383" t="str">
        <f t="shared" si="1773"/>
        <v>#NAME?</v>
      </c>
      <c r="YD35" s="1385" t="str">
        <f t="shared" si="1774"/>
        <v>#NAME?</v>
      </c>
      <c r="YE35" s="1509" t="s">
        <v>5018</v>
      </c>
      <c r="YF35" s="442"/>
      <c r="YG35" s="442"/>
      <c r="YH35" s="442"/>
      <c r="YI35" s="108"/>
      <c r="YJ35" s="108"/>
      <c r="YK35" s="442"/>
      <c r="YL35" s="442"/>
      <c r="YM35" s="442"/>
      <c r="YN35" s="442"/>
      <c r="YO35" s="108"/>
      <c r="YP35" s="108"/>
      <c r="YQ35" s="442"/>
      <c r="YR35" s="442"/>
      <c r="YS35" s="963" t="s">
        <v>4743</v>
      </c>
      <c r="YT35" s="12"/>
      <c r="YU35" s="12"/>
      <c r="YV35" s="12"/>
      <c r="YW35" s="48"/>
      <c r="YX35" s="442"/>
      <c r="YY35" s="1387" t="str">
        <f t="shared" si="1775"/>
        <v>#NAME?</v>
      </c>
      <c r="YZ35" s="1388" t="s">
        <v>767</v>
      </c>
      <c r="ZA35" s="1387" t="str">
        <f t="shared" si="1776"/>
        <v>#NAME?</v>
      </c>
      <c r="ZB35" s="1392" t="str">
        <f t="shared" si="1777"/>
        <v>#NAME?</v>
      </c>
      <c r="ZC35" s="1391" t="s">
        <v>5032</v>
      </c>
      <c r="ZD35" s="442"/>
      <c r="ZE35" s="1051" t="str">
        <f t="shared" si="1697"/>
        <v>#NAME?</v>
      </c>
      <c r="ZF35" s="1127" t="s">
        <v>1343</v>
      </c>
      <c r="ZG35" s="1051" t="str">
        <f t="shared" si="1698"/>
        <v>#NAME?</v>
      </c>
      <c r="ZH35" s="1131" t="str">
        <f t="shared" si="1699"/>
        <v>#NAME?</v>
      </c>
      <c r="ZI35" s="1095" t="s">
        <v>5032</v>
      </c>
      <c r="ZJ35" s="442"/>
      <c r="ZK35" s="977" t="str">
        <f t="shared" ref="ZK35:ZK37" si="1805">MONICON21(ZL35)</f>
        <v>#NAME?</v>
      </c>
      <c r="ZL35" s="1301" t="s">
        <v>2544</v>
      </c>
      <c r="ZM35" s="977" t="str">
        <f t="shared" ref="ZM35:ZM37" si="1806">MONTYPEICON1(ZL35)</f>
        <v>#NAME?</v>
      </c>
      <c r="ZN35" s="980" t="str">
        <f t="shared" ref="ZN35:ZN37" si="1807">MONTYPEICON2(ZL35)</f>
        <v>#NAME?</v>
      </c>
      <c r="ZO35" s="1303" t="s">
        <v>5025</v>
      </c>
      <c r="ZP35" s="442"/>
      <c r="ZQ35" s="108"/>
      <c r="ZR35" s="442"/>
      <c r="ZS35" s="108"/>
      <c r="ZT35" s="108"/>
      <c r="ZU35" s="442"/>
      <c r="ZV35" s="442"/>
      <c r="ZW35" s="977" t="str">
        <f t="shared" ref="ZW35:ZW37" si="1808">MONICON21(ZX35)</f>
        <v>#NAME?</v>
      </c>
      <c r="ZX35" s="1301" t="s">
        <v>3083</v>
      </c>
      <c r="ZY35" s="977" t="str">
        <f t="shared" ref="ZY35:ZY37" si="1809">MONTYPEICON1(ZX35)</f>
        <v>#NAME?</v>
      </c>
      <c r="ZZ35" s="980" t="str">
        <f t="shared" ref="ZZ35:ZZ37" si="1810">MONTYPEICON2(ZX35)</f>
        <v>#NAME?</v>
      </c>
      <c r="AAA35" s="1303" t="s">
        <v>5035</v>
      </c>
      <c r="AAB35" s="442"/>
      <c r="AAC35" s="484"/>
      <c r="AAD35" s="484"/>
      <c r="AAE35" s="484"/>
      <c r="AAF35" s="484"/>
      <c r="AAG35" s="484"/>
      <c r="AAH35" s="442"/>
      <c r="AAI35" s="1033" t="str">
        <f t="shared" si="1700"/>
        <v>#NAME?</v>
      </c>
      <c r="AAJ35" s="1098" t="s">
        <v>1452</v>
      </c>
      <c r="AAK35" s="1013" t="str">
        <f t="shared" si="1701"/>
        <v>#NAME?</v>
      </c>
      <c r="AAL35" s="1015" t="str">
        <f t="shared" si="1702"/>
        <v>#NAME?</v>
      </c>
      <c r="AAM35" s="1423" t="s">
        <v>5227</v>
      </c>
      <c r="AAO35" s="1033" t="str">
        <f t="shared" si="1703"/>
        <v>#NAME?</v>
      </c>
      <c r="AAP35" s="1098" t="s">
        <v>474</v>
      </c>
      <c r="AAQ35" s="1013" t="str">
        <f t="shared" si="1704"/>
        <v>#NAME?</v>
      </c>
      <c r="AAR35" s="1015" t="str">
        <f t="shared" si="1705"/>
        <v>#NAME?</v>
      </c>
      <c r="AAS35" s="1423" t="s">
        <v>5117</v>
      </c>
      <c r="AAU35" s="1033" t="str">
        <f t="shared" si="1706"/>
        <v>#NAME?</v>
      </c>
      <c r="AAV35" s="1098" t="s">
        <v>2030</v>
      </c>
      <c r="AAW35" s="1013" t="str">
        <f t="shared" si="1707"/>
        <v>#NAME?</v>
      </c>
      <c r="AAX35" s="1015" t="str">
        <f t="shared" si="1708"/>
        <v>#NAME?</v>
      </c>
      <c r="AAY35" s="1423" t="s">
        <v>5117</v>
      </c>
      <c r="ABA35" s="1033" t="str">
        <f t="shared" si="1709"/>
        <v>#NAME?</v>
      </c>
      <c r="ABB35" s="1098" t="s">
        <v>713</v>
      </c>
      <c r="ABC35" s="1013" t="str">
        <f t="shared" si="1710"/>
        <v>#NAME?</v>
      </c>
      <c r="ABD35" s="1015" t="str">
        <f t="shared" si="1711"/>
        <v>#NAME?</v>
      </c>
      <c r="ABE35" s="1423" t="s">
        <v>5036</v>
      </c>
      <c r="ABG35" s="1033" t="str">
        <f t="shared" si="1712"/>
        <v>#NAME?</v>
      </c>
      <c r="ABH35" s="1098" t="s">
        <v>2012</v>
      </c>
      <c r="ABI35" s="1013" t="str">
        <f t="shared" si="1713"/>
        <v>#NAME?</v>
      </c>
      <c r="ABJ35" s="1015" t="str">
        <f t="shared" si="1714"/>
        <v>#NAME?</v>
      </c>
      <c r="ABK35" s="1423" t="s">
        <v>5036</v>
      </c>
      <c r="ABM35" s="1033" t="str">
        <f t="shared" si="1715"/>
        <v>#NAME?</v>
      </c>
      <c r="ABN35" s="1098" t="s">
        <v>4210</v>
      </c>
      <c r="ABO35" s="1013" t="str">
        <f t="shared" si="1716"/>
        <v>#NAME?</v>
      </c>
      <c r="ABP35" s="1015" t="str">
        <f t="shared" si="1717"/>
        <v>#NAME?</v>
      </c>
      <c r="ABQ35" s="1423" t="s">
        <v>5036</v>
      </c>
      <c r="ABS35" s="1033" t="str">
        <f t="shared" si="1718"/>
        <v>#NAME?</v>
      </c>
      <c r="ABT35" s="1098" t="s">
        <v>4282</v>
      </c>
      <c r="ABU35" s="1013" t="str">
        <f t="shared" si="1719"/>
        <v>#NAME?</v>
      </c>
      <c r="ABV35" s="1015" t="str">
        <f t="shared" si="1720"/>
        <v>#NAME?</v>
      </c>
      <c r="ABW35" s="1423" t="s">
        <v>5036</v>
      </c>
      <c r="ABY35" s="1437"/>
      <c r="ABZ35" s="1438" t="s">
        <v>5206</v>
      </c>
      <c r="ACA35" s="1439"/>
      <c r="ACB35" s="1440"/>
      <c r="ACC35" s="1441" t="s">
        <v>4608</v>
      </c>
      <c r="ACE35" s="961" t="s">
        <v>5758</v>
      </c>
      <c r="ACF35" s="12"/>
      <c r="ACG35" s="12"/>
      <c r="ACH35" s="12"/>
      <c r="ACI35" s="48"/>
      <c r="ACJ35" s="996"/>
    </row>
    <row r="36" ht="15.75" customHeight="1">
      <c r="A36" s="1230"/>
      <c r="B36" s="1230"/>
      <c r="C36" s="1230"/>
      <c r="D36" s="1478"/>
      <c r="E36" s="1230"/>
      <c r="F36" s="1238"/>
      <c r="G36" s="1624" t="s">
        <v>5759</v>
      </c>
      <c r="H36" s="1230"/>
      <c r="I36" s="1033" t="str">
        <f t="shared" ref="I36:I37" si="1811">MONICON21(J36)</f>
        <v>#NAME?</v>
      </c>
      <c r="J36" s="1301" t="s">
        <v>1609</v>
      </c>
      <c r="K36" s="983" t="str">
        <f t="shared" ref="K36:K37" si="1812">MONTYPEICON1(J36)</f>
        <v>#NAME?</v>
      </c>
      <c r="L36" s="1046" t="str">
        <f t="shared" ref="L36:L37" si="1813">MONTYPEICON2(J36)</f>
        <v>#NAME?</v>
      </c>
      <c r="M36" s="1302" t="s">
        <v>4988</v>
      </c>
      <c r="N36" s="1230"/>
      <c r="O36" s="442"/>
      <c r="P36" s="442"/>
      <c r="Q36" s="442"/>
      <c r="R36" s="442"/>
      <c r="S36" s="108"/>
      <c r="T36" s="1230"/>
      <c r="U36" s="349"/>
      <c r="Z36" s="1230"/>
      <c r="AA36" s="1255"/>
      <c r="AB36" s="1259" t="s">
        <v>5760</v>
      </c>
      <c r="AC36" s="12"/>
      <c r="AD36" s="962"/>
      <c r="AE36" s="1258" t="s">
        <v>4608</v>
      </c>
      <c r="AF36" s="1230"/>
      <c r="AL36" s="1230"/>
      <c r="AM36" s="1033" t="str">
        <f t="shared" ref="AM36:AM38" si="1814">MONICON21(AN36)</f>
        <v>#NAME?</v>
      </c>
      <c r="AN36" s="1407" t="s">
        <v>1530</v>
      </c>
      <c r="AO36" s="977" t="str">
        <f t="shared" ref="AO36:AO38" si="1815">MONTYPEICON1(AN36)</f>
        <v>#NAME?</v>
      </c>
      <c r="AP36" s="980" t="str">
        <f t="shared" ref="AP36:AP38" si="1816">MONTYPEICON2(AN36)</f>
        <v>#NAME?</v>
      </c>
      <c r="AQ36" s="1408" t="s">
        <v>5076</v>
      </c>
      <c r="AR36" s="1230"/>
      <c r="AS36" s="1448" t="str">
        <f t="shared" si="1778"/>
        <v>#NAME?</v>
      </c>
      <c r="AT36" s="1366" t="s">
        <v>3970</v>
      </c>
      <c r="AU36" s="1353" t="str">
        <f t="shared" si="1779"/>
        <v>#NAME?</v>
      </c>
      <c r="AV36" s="1354" t="str">
        <f t="shared" si="1780"/>
        <v>#NAME?</v>
      </c>
      <c r="AW36" s="1413" t="s">
        <v>4993</v>
      </c>
      <c r="AX36" s="1230"/>
      <c r="AY36" s="349"/>
      <c r="BD36" s="442"/>
      <c r="BE36" s="1033" t="str">
        <f t="shared" ref="BE36:BE37" si="1817">MONICON21(BF36)</f>
        <v>#NAME?</v>
      </c>
      <c r="BF36" s="1304" t="s">
        <v>3817</v>
      </c>
      <c r="BG36" s="977" t="str">
        <f t="shared" ref="BG36:BG37" si="1818">MONTYPEICON1(BF36)</f>
        <v>#NAME?</v>
      </c>
      <c r="BH36" s="980" t="str">
        <f t="shared" ref="BH36:BH37" si="1819">MONTYPEICON2(BF36)</f>
        <v>#NAME?</v>
      </c>
      <c r="BI36" s="1305" t="s">
        <v>5314</v>
      </c>
      <c r="BJ36" s="442"/>
      <c r="BK36" s="1255"/>
      <c r="BL36" s="1256" t="s">
        <v>5761</v>
      </c>
      <c r="BM36" s="1257" t="s">
        <v>4888</v>
      </c>
      <c r="BN36" s="962"/>
      <c r="BO36" s="1258" t="s">
        <v>4608</v>
      </c>
      <c r="BP36" s="442"/>
      <c r="BQ36" s="961" t="s">
        <v>4837</v>
      </c>
      <c r="BR36" s="12"/>
      <c r="BS36" s="12"/>
      <c r="BT36" s="12"/>
      <c r="BU36" s="48"/>
      <c r="BV36" s="442"/>
      <c r="BW36" s="1051" t="str">
        <f t="shared" si="1724"/>
        <v>#NAME?</v>
      </c>
      <c r="BX36" s="1127" t="s">
        <v>550</v>
      </c>
      <c r="BY36" s="1051" t="str">
        <f t="shared" si="1725"/>
        <v>#NAME?</v>
      </c>
      <c r="BZ36" s="1131" t="str">
        <f t="shared" si="1726"/>
        <v>#NAME?</v>
      </c>
      <c r="CA36" s="1095" t="s">
        <v>4996</v>
      </c>
      <c r="CB36" s="442"/>
      <c r="CH36" s="442"/>
      <c r="CN36" s="442"/>
      <c r="CO36" s="1266"/>
      <c r="CP36" s="1259" t="s">
        <v>5762</v>
      </c>
      <c r="CQ36" s="12"/>
      <c r="CR36" s="962"/>
      <c r="CS36" s="1258" t="s">
        <v>4608</v>
      </c>
      <c r="CT36" s="442"/>
      <c r="CU36" s="1266"/>
      <c r="CV36" s="1259" t="s">
        <v>5763</v>
      </c>
      <c r="CW36" s="12"/>
      <c r="CX36" s="962"/>
      <c r="CY36" s="1258" t="s">
        <v>4608</v>
      </c>
      <c r="CZ36" s="442"/>
      <c r="DA36" s="1012" t="str">
        <f t="shared" ref="DA36:DA38" si="1820">MONICON21(DB36)</f>
        <v>#NAME?</v>
      </c>
      <c r="DB36" s="1304" t="s">
        <v>2277</v>
      </c>
      <c r="DC36" s="977" t="str">
        <f t="shared" ref="DC36:DC38" si="1821">MONTYPEICON1(DB36)</f>
        <v>#NAME?</v>
      </c>
      <c r="DD36" s="980" t="str">
        <f t="shared" ref="DD36:DD38" si="1822">MONTYPEICON2(DB36)</f>
        <v>#NAME?</v>
      </c>
      <c r="DE36" s="1305" t="s">
        <v>5099</v>
      </c>
      <c r="DF36" s="442"/>
      <c r="DG36" s="1096" t="str">
        <f t="shared" si="1727"/>
        <v>#NAME?</v>
      </c>
      <c r="DH36" s="1098" t="s">
        <v>4153</v>
      </c>
      <c r="DI36" s="1013" t="str">
        <f t="shared" si="1728"/>
        <v>#NAME?</v>
      </c>
      <c r="DJ36" s="1015" t="str">
        <f t="shared" si="1729"/>
        <v>#NAME?</v>
      </c>
      <c r="DK36" s="1414" t="s">
        <v>5000</v>
      </c>
      <c r="DL36" s="442"/>
      <c r="DM36" s="1012" t="str">
        <f t="shared" ref="DM36:DM38" si="1823">MONICON21(DN36)</f>
        <v>#NAME?</v>
      </c>
      <c r="DN36" s="1304" t="s">
        <v>2232</v>
      </c>
      <c r="DO36" s="977" t="str">
        <f t="shared" ref="DO36:DO38" si="1824">MONTYPEICON1(DN36)</f>
        <v>#NAME?</v>
      </c>
      <c r="DP36" s="980" t="str">
        <f t="shared" ref="DP36:DP38" si="1825">MONTYPEICON2(DN36)</f>
        <v>#NAME?</v>
      </c>
      <c r="DQ36" s="1305" t="s">
        <v>4998</v>
      </c>
      <c r="DR36" s="442"/>
      <c r="DS36" s="1094" t="str">
        <f t="shared" si="1730"/>
        <v>#NAME?</v>
      </c>
      <c r="DT36" s="1127" t="s">
        <v>3299</v>
      </c>
      <c r="DU36" s="1051" t="str">
        <f t="shared" si="1731"/>
        <v>#NAME?</v>
      </c>
      <c r="DV36" s="1131" t="str">
        <f t="shared" si="1732"/>
        <v>#NAME?</v>
      </c>
      <c r="DW36" s="1095" t="s">
        <v>4998</v>
      </c>
      <c r="DX36" s="442"/>
      <c r="ED36" s="442"/>
      <c r="EG36" s="349"/>
      <c r="EH36" s="349"/>
      <c r="EJ36" s="1230"/>
      <c r="EK36" s="1049" t="str">
        <f t="shared" si="1733"/>
        <v>#NAME?</v>
      </c>
      <c r="EL36" s="499" t="s">
        <v>333</v>
      </c>
      <c r="EM36" s="1051" t="str">
        <f t="shared" si="1734"/>
        <v>#NAME?</v>
      </c>
      <c r="EN36" s="1131" t="str">
        <f t="shared" si="1735"/>
        <v>#NAME?</v>
      </c>
      <c r="EO36" s="1095" t="s">
        <v>5201</v>
      </c>
      <c r="EP36" s="1230"/>
      <c r="ES36" s="349"/>
      <c r="ET36" s="349"/>
      <c r="EV36" s="1230"/>
      <c r="EW36" s="1068" t="str">
        <f t="shared" si="1781"/>
        <v>#NAME?</v>
      </c>
      <c r="EX36" s="1078" t="s">
        <v>3948</v>
      </c>
      <c r="EY36" s="1071" t="str">
        <f t="shared" si="1782"/>
        <v>#NAME?</v>
      </c>
      <c r="EZ36" s="1073" t="str">
        <f t="shared" si="1783"/>
        <v>#NAME?</v>
      </c>
      <c r="FA36" s="1093" t="s">
        <v>4998</v>
      </c>
      <c r="FB36" s="442"/>
      <c r="FC36" s="983" t="str">
        <f t="shared" ref="FC36:FC38" si="1826">MONICON21(FD36)</f>
        <v>#NAME?</v>
      </c>
      <c r="FD36" s="1304" t="s">
        <v>2876</v>
      </c>
      <c r="FE36" s="977" t="str">
        <f t="shared" ref="FE36:FE38" si="1827">MONTYPEICON1(FD36)</f>
        <v>#NAME?</v>
      </c>
      <c r="FF36" s="980" t="str">
        <f t="shared" ref="FF36:FF38" si="1828">MONTYPEICON2(FD36)</f>
        <v>#NAME?</v>
      </c>
      <c r="FG36" s="1303" t="s">
        <v>5078</v>
      </c>
      <c r="FH36" s="442"/>
      <c r="FI36" s="985" t="str">
        <f>MONICON21(FJ36)</f>
        <v>#NAME?</v>
      </c>
      <c r="FJ36" s="1308" t="s">
        <v>857</v>
      </c>
      <c r="FK36" s="1092" t="str">
        <f>MONTYPEICON1(FJ36)</f>
        <v>#NAME?</v>
      </c>
      <c r="FL36" s="987" t="str">
        <f>MONTYPEICON2(FJ36)</f>
        <v>#NAME?</v>
      </c>
      <c r="FM36" s="1309" t="s">
        <v>5001</v>
      </c>
      <c r="FN36" s="442"/>
      <c r="FO36" s="1230"/>
      <c r="FP36" s="1230"/>
      <c r="FQ36" s="449"/>
      <c r="FR36" s="449"/>
      <c r="FS36" s="442"/>
      <c r="FT36" s="442"/>
      <c r="FU36" s="983" t="str">
        <f t="shared" ref="FU36:FU39" si="1829">MONICON21(FV36)</f>
        <v>#NAME?</v>
      </c>
      <c r="FV36" s="1157" t="s">
        <v>1499</v>
      </c>
      <c r="FW36" s="977" t="str">
        <f t="shared" ref="FW36:FW39" si="1830">MONTYPEICON1(FV36)</f>
        <v>#NAME?</v>
      </c>
      <c r="FX36" s="980" t="str">
        <f t="shared" ref="FX36:FX39" si="1831">MONTYPEICON2(FV36)</f>
        <v>#NAME?</v>
      </c>
      <c r="FY36" s="1303" t="s">
        <v>5082</v>
      </c>
      <c r="FZ36" s="65"/>
      <c r="GA36" s="1105" t="str">
        <f t="shared" si="1544"/>
        <v>#NAME?</v>
      </c>
      <c r="GB36" s="1176" t="s">
        <v>4049</v>
      </c>
      <c r="GC36" s="1373" t="str">
        <f t="shared" si="1545"/>
        <v>#NAME?</v>
      </c>
      <c r="GD36" s="1374" t="str">
        <f t="shared" si="1546"/>
        <v>#NAME?</v>
      </c>
      <c r="GE36" s="1599" t="s">
        <v>5006</v>
      </c>
      <c r="GF36" s="1230"/>
      <c r="GI36" s="349"/>
      <c r="GJ36" s="349"/>
      <c r="GK36" s="349"/>
      <c r="GL36" s="1230"/>
      <c r="GM36" s="1286"/>
      <c r="GN36" s="1259" t="s">
        <v>5764</v>
      </c>
      <c r="GO36" s="12"/>
      <c r="GP36" s="962"/>
      <c r="GQ36" s="1258" t="s">
        <v>4608</v>
      </c>
      <c r="GR36" s="65"/>
      <c r="GS36" s="1286"/>
      <c r="GT36" s="1256" t="s">
        <v>5765</v>
      </c>
      <c r="GU36" s="1257" t="s">
        <v>4888</v>
      </c>
      <c r="GV36" s="962"/>
      <c r="GW36" s="1258" t="s">
        <v>4608</v>
      </c>
      <c r="GX36" s="65"/>
      <c r="GY36" s="985" t="str">
        <f>MONICON21(GZ36)</f>
        <v>#NAME?</v>
      </c>
      <c r="GZ36" s="146" t="s">
        <v>3265</v>
      </c>
      <c r="HA36" s="1092" t="str">
        <f>MONTYPEICON1(GZ36)</f>
        <v>#NAME?</v>
      </c>
      <c r="HB36" s="987" t="str">
        <f>MONTYPEICON2(GZ36)</f>
        <v>#NAME?</v>
      </c>
      <c r="HC36" s="1196" t="s">
        <v>5006</v>
      </c>
      <c r="HD36" s="1230"/>
      <c r="HE36" s="1286"/>
      <c r="HF36" s="1256" t="s">
        <v>5766</v>
      </c>
      <c r="HG36" s="1257" t="s">
        <v>4888</v>
      </c>
      <c r="HH36" s="962"/>
      <c r="HI36" s="1258" t="s">
        <v>4608</v>
      </c>
      <c r="HJ36" s="1230"/>
      <c r="HK36" s="983" t="str">
        <f t="shared" ref="HK36:HK38" si="1832">MONICON21(HL36)</f>
        <v>#NAME?</v>
      </c>
      <c r="HL36" s="1304" t="s">
        <v>2598</v>
      </c>
      <c r="HM36" s="977" t="str">
        <f t="shared" ref="HM36:HM38" si="1833">MONTYPEICON1(HL36)</f>
        <v>#NAME?</v>
      </c>
      <c r="HN36" s="980" t="str">
        <f t="shared" ref="HN36:HN38" si="1834">MONTYPEICON2(HL36)</f>
        <v>#NAME?</v>
      </c>
      <c r="HO36" s="1303" t="s">
        <v>5006</v>
      </c>
      <c r="HP36" s="65"/>
      <c r="HS36" s="349"/>
      <c r="HT36" s="349"/>
      <c r="HW36" s="1193" t="str">
        <f t="shared" si="1553"/>
        <v>#NAME?</v>
      </c>
      <c r="HX36" s="1357" t="s">
        <v>1778</v>
      </c>
      <c r="HY36" s="1462" t="str">
        <f t="shared" si="1554"/>
        <v>#NAME?</v>
      </c>
      <c r="HZ36" s="1463" t="str">
        <f t="shared" si="1555"/>
        <v>#NAME?</v>
      </c>
      <c r="IA36" s="1330" t="s">
        <v>5214</v>
      </c>
      <c r="IB36" s="65"/>
      <c r="IC36" s="1068" t="str">
        <f t="shared" si="1784"/>
        <v>#NAME?</v>
      </c>
      <c r="ID36" s="1076" t="s">
        <v>857</v>
      </c>
      <c r="IE36" s="1358" t="str">
        <f t="shared" si="1785"/>
        <v>#NAME?</v>
      </c>
      <c r="IF36" s="1359" t="str">
        <f t="shared" si="1786"/>
        <v>#NAME?</v>
      </c>
      <c r="IG36" s="1093" t="s">
        <v>5084</v>
      </c>
      <c r="II36" s="1012" t="str">
        <f t="shared" si="1739"/>
        <v>#NAME?</v>
      </c>
      <c r="IJ36" s="1415" t="s">
        <v>2030</v>
      </c>
      <c r="IK36" s="1418" t="str">
        <f t="shared" si="1740"/>
        <v>#NAME?</v>
      </c>
      <c r="IL36" s="1419" t="str">
        <f t="shared" si="1741"/>
        <v>#NAME?</v>
      </c>
      <c r="IM36" s="1416" t="s">
        <v>5008</v>
      </c>
      <c r="IQ36" s="349"/>
      <c r="IR36" s="349"/>
      <c r="IT36" s="1230"/>
      <c r="IW36" s="349"/>
      <c r="IX36" s="349"/>
      <c r="IZ36" s="442"/>
      <c r="JA36" s="983" t="str">
        <f t="shared" ref="JA36:JA38" si="1835">MONICON21(JB36)</f>
        <v>#NAME?</v>
      </c>
      <c r="JB36" s="1304" t="s">
        <v>705</v>
      </c>
      <c r="JC36" s="1311" t="str">
        <f t="shared" ref="JC36:JC38" si="1836">MONTYPEICON1(JB36)</f>
        <v>#NAME?</v>
      </c>
      <c r="JD36" s="1312" t="str">
        <f t="shared" ref="JD36:JD38" si="1837">MONTYPEICON2(JB36)</f>
        <v>#NAME?</v>
      </c>
      <c r="JE36" s="1305" t="s">
        <v>5214</v>
      </c>
      <c r="JF36" s="442"/>
      <c r="JG36" s="1230"/>
      <c r="JH36" s="1230"/>
      <c r="JI36" s="449"/>
      <c r="JJ36" s="449"/>
      <c r="JK36" s="1230"/>
      <c r="JL36" s="442"/>
      <c r="JM36" s="1543" t="str">
        <f t="shared" si="1556"/>
        <v>#NAME?</v>
      </c>
      <c r="JN36" s="1530" t="s">
        <v>2311</v>
      </c>
      <c r="JO36" s="1529" t="str">
        <f t="shared" si="1557"/>
        <v>#NAME?</v>
      </c>
      <c r="JP36" s="1531" t="str">
        <f t="shared" si="1558"/>
        <v>#NAME?</v>
      </c>
      <c r="JQ36" s="1532" t="s">
        <v>5010</v>
      </c>
      <c r="JR36" s="442"/>
      <c r="JS36" s="1159" t="str">
        <f t="shared" si="1559"/>
        <v>#NAME?</v>
      </c>
      <c r="JT36" s="1500" t="s">
        <v>3603</v>
      </c>
      <c r="JU36" s="1497" t="str">
        <f t="shared" si="1560"/>
        <v>#NAME?</v>
      </c>
      <c r="JV36" s="1498" t="str">
        <f t="shared" si="1561"/>
        <v>#NAME?</v>
      </c>
      <c r="JW36" s="1456" t="s">
        <v>5014</v>
      </c>
      <c r="KA36" s="349"/>
      <c r="KB36" s="349"/>
      <c r="KE36" s="1012" t="str">
        <f t="shared" ref="KE36:KE37" si="1838">MONICON21(KF36)</f>
        <v>#NAME?</v>
      </c>
      <c r="KF36" s="1301" t="s">
        <v>896</v>
      </c>
      <c r="KG36" s="977" t="str">
        <f t="shared" ref="KG36:KG37" si="1839">MONTYPEICON1(KF36)</f>
        <v>#NAME?</v>
      </c>
      <c r="KH36" s="980" t="str">
        <f t="shared" ref="KH36:KH37" si="1840">MONTYPEICON2(KF36)</f>
        <v>#NAME?</v>
      </c>
      <c r="KI36" s="1303" t="s">
        <v>5535</v>
      </c>
      <c r="KJ36" s="65"/>
      <c r="KM36" s="349"/>
      <c r="KN36" s="349"/>
      <c r="KP36" s="65"/>
      <c r="KQ36" s="1056" t="str">
        <f t="shared" si="1670"/>
        <v>#NAME?</v>
      </c>
      <c r="KR36" s="1377" t="s">
        <v>1984</v>
      </c>
      <c r="KS36" s="1502" t="str">
        <f t="shared" si="1671"/>
        <v>#NAME?</v>
      </c>
      <c r="KT36" s="1503" t="str">
        <f t="shared" si="1672"/>
        <v>#NAME?</v>
      </c>
      <c r="KU36" s="1339" t="s">
        <v>5013</v>
      </c>
      <c r="KV36" s="65"/>
      <c r="KW36" s="983" t="str">
        <f t="shared" ref="KW36:KW38" si="1841">MONICON21(KX36)</f>
        <v>#NAME?</v>
      </c>
      <c r="KX36" s="1301" t="s">
        <v>406</v>
      </c>
      <c r="KY36" s="977" t="str">
        <f t="shared" ref="KY36:KY38" si="1842">MONTYPEICON1(KX36)</f>
        <v>#NAME?</v>
      </c>
      <c r="KZ36" s="980" t="str">
        <f t="shared" ref="KZ36:KZ38" si="1843">MONTYPEICON2(KX36)</f>
        <v>#NAME?</v>
      </c>
      <c r="LA36" s="1318" t="s">
        <v>5014</v>
      </c>
      <c r="LB36" s="442"/>
      <c r="LC36" s="1193" t="str">
        <f t="shared" si="1787"/>
        <v>#NAME?</v>
      </c>
      <c r="LD36" s="1145" t="s">
        <v>4210</v>
      </c>
      <c r="LE36" s="1462" t="str">
        <f t="shared" si="1788"/>
        <v>#NAME?</v>
      </c>
      <c r="LF36" s="1463" t="str">
        <f t="shared" si="1789"/>
        <v>#NAME?</v>
      </c>
      <c r="LG36" s="1464" t="s">
        <v>5162</v>
      </c>
      <c r="LI36" s="961" t="s">
        <v>5767</v>
      </c>
      <c r="LJ36" s="12"/>
      <c r="LK36" s="12"/>
      <c r="LL36" s="12"/>
      <c r="LM36" s="48"/>
      <c r="LO36" s="1096" t="str">
        <f t="shared" si="1742"/>
        <v>#NAME?</v>
      </c>
      <c r="LP36" s="1304" t="s">
        <v>4210</v>
      </c>
      <c r="LQ36" s="1418" t="str">
        <f t="shared" si="1743"/>
        <v>#NAME?</v>
      </c>
      <c r="LR36" s="1419" t="str">
        <f t="shared" si="1744"/>
        <v>#NAME?</v>
      </c>
      <c r="LS36" s="1321" t="s">
        <v>5164</v>
      </c>
      <c r="LU36" s="1280"/>
      <c r="LV36" s="1281" t="s">
        <v>4908</v>
      </c>
      <c r="LW36" s="12"/>
      <c r="LX36" s="962"/>
      <c r="LY36" s="1282" t="s">
        <v>4608</v>
      </c>
      <c r="LZ36" s="442"/>
      <c r="MC36" s="349"/>
      <c r="MD36" s="349"/>
      <c r="MF36" s="442"/>
      <c r="MI36" s="349"/>
      <c r="MJ36" s="349"/>
      <c r="ML36" s="442"/>
      <c r="MM36" s="961" t="s">
        <v>5768</v>
      </c>
      <c r="MN36" s="12"/>
      <c r="MO36" s="48"/>
      <c r="MP36" s="349"/>
      <c r="MQ36" s="442"/>
      <c r="MS36" s="1273"/>
      <c r="MT36" s="1281" t="s">
        <v>4908</v>
      </c>
      <c r="MU36" s="12"/>
      <c r="MV36" s="962"/>
      <c r="MW36" s="1282" t="s">
        <v>4608</v>
      </c>
      <c r="MX36" s="442"/>
      <c r="MY36" s="1041" t="s">
        <v>4583</v>
      </c>
      <c r="MZ36" s="12"/>
      <c r="NA36" s="12"/>
      <c r="NB36" s="962"/>
      <c r="NC36" s="1625" t="s">
        <v>4608</v>
      </c>
      <c r="ND36" s="442"/>
      <c r="NE36" s="1266"/>
      <c r="NF36" s="1259" t="s">
        <v>5769</v>
      </c>
      <c r="NG36" s="12"/>
      <c r="NH36" s="962"/>
      <c r="NI36" s="1258" t="s">
        <v>4608</v>
      </c>
      <c r="NJ36" s="65"/>
      <c r="NK36" s="961" t="s">
        <v>5304</v>
      </c>
      <c r="NL36" s="12"/>
      <c r="NM36" s="48"/>
      <c r="NN36" s="349"/>
      <c r="NQ36" s="1056" t="str">
        <f t="shared" si="1790"/>
        <v>#NAME?</v>
      </c>
      <c r="NR36" s="1377" t="s">
        <v>364</v>
      </c>
      <c r="NS36" s="1502" t="str">
        <f t="shared" si="1791"/>
        <v>#NAME?</v>
      </c>
      <c r="NT36" s="1503" t="str">
        <f t="shared" si="1792"/>
        <v>#NAME?</v>
      </c>
      <c r="NU36" s="1378" t="s">
        <v>5431</v>
      </c>
      <c r="NV36" s="442"/>
      <c r="NW36" s="1094" t="str">
        <f t="shared" si="1745"/>
        <v>#NAME?</v>
      </c>
      <c r="NX36" s="1127" t="s">
        <v>1600</v>
      </c>
      <c r="NY36" s="1420" t="str">
        <f t="shared" si="1746"/>
        <v>#NAME?</v>
      </c>
      <c r="NZ36" s="475" t="str">
        <f t="shared" si="1747"/>
        <v>#NAME?</v>
      </c>
      <c r="OA36" s="1422" t="s">
        <v>5019</v>
      </c>
      <c r="OB36" s="442"/>
      <c r="OE36" s="349"/>
      <c r="OF36" s="349"/>
      <c r="OH36" s="442"/>
      <c r="OI36" s="1094" t="str">
        <f t="shared" si="1616"/>
        <v>#NAME?</v>
      </c>
      <c r="OJ36" s="1127" t="s">
        <v>4225</v>
      </c>
      <c r="OK36" s="1420" t="str">
        <f t="shared" si="1617"/>
        <v>#NAME?</v>
      </c>
      <c r="OL36" s="475" t="str">
        <f t="shared" si="1618"/>
        <v>#NAME?</v>
      </c>
      <c r="OM36" s="1422" t="s">
        <v>5020</v>
      </c>
      <c r="ON36" s="442"/>
      <c r="OO36" s="1068" t="str">
        <f t="shared" si="1793"/>
        <v>#NAME?</v>
      </c>
      <c r="OP36" s="1076" t="s">
        <v>4250</v>
      </c>
      <c r="OQ36" s="1358" t="str">
        <f t="shared" si="1794"/>
        <v>#NAME?</v>
      </c>
      <c r="OR36" s="1359" t="str">
        <f t="shared" si="1795"/>
        <v>#NAME?</v>
      </c>
      <c r="OS36" s="1368" t="s">
        <v>5020</v>
      </c>
      <c r="OU36" s="1193" t="str">
        <f t="shared" si="1679"/>
        <v>#NAME?</v>
      </c>
      <c r="OV36" s="1145" t="s">
        <v>1443</v>
      </c>
      <c r="OW36" s="1462" t="str">
        <f t="shared" si="1680"/>
        <v>#NAME?</v>
      </c>
      <c r="OX36" s="1463" t="str">
        <f t="shared" si="1681"/>
        <v>#NAME?</v>
      </c>
      <c r="OY36" s="1464" t="s">
        <v>5022</v>
      </c>
      <c r="PC36" s="349"/>
      <c r="PD36" s="349"/>
      <c r="PF36" s="442"/>
      <c r="PG36" s="983" t="str">
        <f t="shared" ref="PG36:PG38" si="1844">MONICON21(PH36)</f>
        <v>#NAME?</v>
      </c>
      <c r="PH36" s="1301" t="s">
        <v>2065</v>
      </c>
      <c r="PI36" s="1311" t="str">
        <f t="shared" ref="PI36:PI38" si="1845">MONTYPEICON1(PH36)</f>
        <v>#NAME?</v>
      </c>
      <c r="PJ36" s="1312" t="str">
        <f t="shared" ref="PJ36:PJ38" si="1846">MONTYPEICON2(PH36)</f>
        <v>#NAME?</v>
      </c>
      <c r="PK36" s="1318" t="s">
        <v>5022</v>
      </c>
      <c r="PL36" s="65"/>
      <c r="PM36" s="983" t="str">
        <f t="shared" ref="PM36:PM39" si="1847">MONICON21(PN36)</f>
        <v>#NAME?</v>
      </c>
      <c r="PN36" s="1301" t="s">
        <v>969</v>
      </c>
      <c r="PO36" s="1311" t="str">
        <f t="shared" ref="PO36:PO39" si="1848">MONTYPEICON1(PN36)</f>
        <v>#NAME?</v>
      </c>
      <c r="PP36" s="1312" t="str">
        <f t="shared" ref="PP36:PP39" si="1849">MONTYPEICON2(PN36)</f>
        <v>#NAME?</v>
      </c>
      <c r="PQ36" s="1318" t="s">
        <v>5410</v>
      </c>
      <c r="PS36" s="1159" t="str">
        <f t="shared" si="1565"/>
        <v>#NAME?</v>
      </c>
      <c r="PT36" s="1453" t="s">
        <v>3603</v>
      </c>
      <c r="PU36" s="1497" t="str">
        <f t="shared" si="1566"/>
        <v>#NAME?</v>
      </c>
      <c r="PV36" s="1498" t="str">
        <f t="shared" si="1567"/>
        <v>#NAME?</v>
      </c>
      <c r="PW36" s="1504" t="s">
        <v>5032</v>
      </c>
      <c r="PX36" s="442"/>
      <c r="PY36" s="1012" t="str">
        <f t="shared" si="1748"/>
        <v>#NAME?</v>
      </c>
      <c r="PZ36" s="1098" t="s">
        <v>2030</v>
      </c>
      <c r="QA36" s="1418" t="str">
        <f t="shared" si="1749"/>
        <v>#NAME?</v>
      </c>
      <c r="QB36" s="1419" t="str">
        <f t="shared" si="1750"/>
        <v>#NAME?</v>
      </c>
      <c r="QC36" s="1423" t="s">
        <v>5023</v>
      </c>
      <c r="QD36" s="442"/>
      <c r="QG36" s="349"/>
      <c r="QH36" s="349"/>
      <c r="QJ36" s="442"/>
      <c r="QK36" s="1096" t="str">
        <f t="shared" si="1622"/>
        <v>#NAME?</v>
      </c>
      <c r="QL36" s="1098" t="s">
        <v>3059</v>
      </c>
      <c r="QM36" s="1013" t="str">
        <f t="shared" si="1623"/>
        <v>#NAME?</v>
      </c>
      <c r="QN36" s="1015" t="str">
        <f t="shared" si="1624"/>
        <v>#NAME?</v>
      </c>
      <c r="QO36" s="1414" t="s">
        <v>5031</v>
      </c>
      <c r="QP36" s="442"/>
      <c r="QQ36" s="1096" t="str">
        <f t="shared" si="1625"/>
        <v>#NAME?</v>
      </c>
      <c r="QR36" s="1098" t="s">
        <v>3603</v>
      </c>
      <c r="QS36" s="1013" t="str">
        <f t="shared" si="1626"/>
        <v>#NAME?</v>
      </c>
      <c r="QT36" s="1015" t="str">
        <f t="shared" si="1627"/>
        <v>#NAME?</v>
      </c>
      <c r="QU36" s="1414" t="s">
        <v>5033</v>
      </c>
      <c r="QW36" s="1096" t="str">
        <f t="shared" si="1628"/>
        <v>#NAME?</v>
      </c>
      <c r="QX36" s="1098" t="s">
        <v>1572</v>
      </c>
      <c r="QY36" s="1013" t="str">
        <f t="shared" si="1629"/>
        <v>#NAME?</v>
      </c>
      <c r="QZ36" s="1015" t="str">
        <f t="shared" si="1630"/>
        <v>#NAME?</v>
      </c>
      <c r="RA36" s="1414" t="s">
        <v>5112</v>
      </c>
      <c r="RB36" s="442"/>
      <c r="RC36" s="1096" t="str">
        <f t="shared" si="1631"/>
        <v>#NAME?</v>
      </c>
      <c r="RD36" s="1098" t="s">
        <v>3485</v>
      </c>
      <c r="RE36" s="1013" t="str">
        <f t="shared" si="1632"/>
        <v>#NAME?</v>
      </c>
      <c r="RF36" s="1015" t="str">
        <f t="shared" si="1633"/>
        <v>#NAME?</v>
      </c>
      <c r="RG36" s="1414" t="s">
        <v>5113</v>
      </c>
      <c r="RH36" s="442"/>
      <c r="RI36" s="1096" t="str">
        <f t="shared" si="1634"/>
        <v>#NAME?</v>
      </c>
      <c r="RJ36" s="1098" t="s">
        <v>3255</v>
      </c>
      <c r="RK36" s="1013" t="str">
        <f t="shared" si="1635"/>
        <v>#NAME?</v>
      </c>
      <c r="RL36" s="1015" t="str">
        <f t="shared" si="1636"/>
        <v>#NAME?</v>
      </c>
      <c r="RM36" s="1414" t="s">
        <v>5092</v>
      </c>
      <c r="RN36" s="442"/>
      <c r="RQ36" s="349"/>
      <c r="RR36" s="349"/>
      <c r="RT36" s="442"/>
      <c r="RU36" s="985" t="str">
        <f>MONICON21(RV36)</f>
        <v>#NAME?</v>
      </c>
      <c r="RV36" s="1229" t="s">
        <v>3103</v>
      </c>
      <c r="RW36" s="22" t="str">
        <f>MONTYPEICON1(RV36)</f>
        <v>#NAME?</v>
      </c>
      <c r="RX36" s="24" t="str">
        <f>MONTYPEICON2(RV36)</f>
        <v>#NAME?</v>
      </c>
      <c r="RY36" s="1424" t="s">
        <v>5025</v>
      </c>
      <c r="RZ36" s="442"/>
      <c r="SA36" s="1105" t="str">
        <f t="shared" si="1568"/>
        <v>#NAME?</v>
      </c>
      <c r="SB36" s="1505" t="s">
        <v>3460</v>
      </c>
      <c r="SC36" s="1080" t="str">
        <f t="shared" si="1569"/>
        <v>#NAME?</v>
      </c>
      <c r="SD36" s="1126" t="str">
        <f t="shared" si="1570"/>
        <v>#NAME?</v>
      </c>
      <c r="SE36" s="1506" t="s">
        <v>5092</v>
      </c>
      <c r="SF36" s="442"/>
      <c r="SG36" s="1094" t="str">
        <f t="shared" si="1751"/>
        <v>#NAME?</v>
      </c>
      <c r="SH36" s="1127" t="s">
        <v>2867</v>
      </c>
      <c r="SI36" s="1420" t="str">
        <f t="shared" si="1752"/>
        <v>#NAME?</v>
      </c>
      <c r="SJ36" s="475" t="str">
        <f t="shared" si="1753"/>
        <v>#NAME?</v>
      </c>
      <c r="SK36" s="1422" t="s">
        <v>5024</v>
      </c>
      <c r="SL36" s="442"/>
      <c r="SM36" s="1096" t="str">
        <f t="shared" si="1754"/>
        <v>#NAME?</v>
      </c>
      <c r="SN36" s="1157" t="s">
        <v>2567</v>
      </c>
      <c r="SO36" s="1013" t="str">
        <f t="shared" si="1755"/>
        <v>#NAME?</v>
      </c>
      <c r="SP36" s="1015" t="str">
        <f t="shared" si="1756"/>
        <v>#NAME?</v>
      </c>
      <c r="SQ36" s="1321" t="s">
        <v>5024</v>
      </c>
      <c r="SR36" s="442"/>
      <c r="SS36" s="1260"/>
      <c r="ST36" s="1261" t="s">
        <v>4892</v>
      </c>
      <c r="SU36" s="959"/>
      <c r="SV36" s="957"/>
      <c r="SW36" s="1262" t="s">
        <v>4608</v>
      </c>
      <c r="SX36" s="442"/>
      <c r="SY36" s="1094" t="str">
        <f t="shared" si="1757"/>
        <v>#NAME?</v>
      </c>
      <c r="SZ36" s="1127" t="s">
        <v>1242</v>
      </c>
      <c r="TA36" s="1420" t="str">
        <f t="shared" si="1758"/>
        <v>#NAME?</v>
      </c>
      <c r="TB36" s="475" t="str">
        <f t="shared" si="1759"/>
        <v>#NAME?</v>
      </c>
      <c r="TC36" s="1422" t="s">
        <v>5033</v>
      </c>
      <c r="TD36" s="65"/>
      <c r="TG36" s="349"/>
      <c r="TH36" s="349"/>
      <c r="TJ36" s="442"/>
      <c r="TK36" s="983" t="str">
        <f t="shared" ref="TK36:TK38" si="1850">MONICON21(TL36)</f>
        <v>#NAME?</v>
      </c>
      <c r="TL36" s="1301" t="s">
        <v>3460</v>
      </c>
      <c r="TM36" s="1311" t="str">
        <f t="shared" ref="TM36:TM38" si="1851">MONTYPEICON1(TL36)</f>
        <v>#NAME?</v>
      </c>
      <c r="TN36" s="1312" t="str">
        <f t="shared" ref="TN36:TN38" si="1852">MONTYPEICON2(TL36)</f>
        <v>#NAME?</v>
      </c>
      <c r="TO36" s="1318" t="s">
        <v>5026</v>
      </c>
      <c r="TP36" s="442"/>
      <c r="TQ36" s="983" t="str">
        <f t="shared" ref="TQ36:TQ38" si="1853">MONICON21(TR36)</f>
        <v>#NAME?</v>
      </c>
      <c r="TR36" s="1301" t="s">
        <v>4031</v>
      </c>
      <c r="TS36" s="1311" t="str">
        <f t="shared" ref="TS36:TS38" si="1854">MONTYPEICON1(TR36)</f>
        <v>#NAME?</v>
      </c>
      <c r="TT36" s="1312" t="str">
        <f t="shared" ref="TT36:TT38" si="1855">MONTYPEICON2(TR36)</f>
        <v>#NAME?</v>
      </c>
      <c r="TU36" s="1318" t="s">
        <v>5026</v>
      </c>
      <c r="TV36" s="65"/>
      <c r="TW36" s="1428" t="str">
        <f t="shared" si="1796"/>
        <v>#NAME?</v>
      </c>
      <c r="TX36" s="1429" t="s">
        <v>1908</v>
      </c>
      <c r="TY36" s="1428" t="str">
        <f t="shared" si="1797"/>
        <v>#NAME?</v>
      </c>
      <c r="TZ36" s="1430" t="str">
        <f t="shared" si="1798"/>
        <v>#NAME?</v>
      </c>
      <c r="UA36" s="1431" t="s">
        <v>5229</v>
      </c>
      <c r="UI36" s="1033" t="str">
        <f t="shared" ref="UI36:UI37" si="1856">MONICON21(UJ36)</f>
        <v>#NAME?</v>
      </c>
      <c r="UJ36" s="1301" t="s">
        <v>1272</v>
      </c>
      <c r="UK36" s="977" t="str">
        <f t="shared" ref="UK36:UK37" si="1857">MONTYPEICON1(UJ36)</f>
        <v>#NAME?</v>
      </c>
      <c r="UL36" s="980" t="str">
        <f t="shared" ref="UL36:UL37" si="1858">MONTYPEICON2(UJ36)</f>
        <v>#NAME?</v>
      </c>
      <c r="UM36" s="1302" t="s">
        <v>5030</v>
      </c>
      <c r="UO36" s="1293"/>
      <c r="UP36" s="1291" t="s">
        <v>5770</v>
      </c>
      <c r="UQ36" s="12"/>
      <c r="UR36" s="962"/>
      <c r="US36" s="1292" t="s">
        <v>4608</v>
      </c>
      <c r="UU36" s="1051" t="str">
        <f t="shared" si="1763"/>
        <v>#NAME?</v>
      </c>
      <c r="UV36" s="1127" t="s">
        <v>1705</v>
      </c>
      <c r="UW36" s="1130" t="str">
        <f t="shared" si="1764"/>
        <v>#NAME?</v>
      </c>
      <c r="UX36" s="1433" t="str">
        <f t="shared" si="1765"/>
        <v>#NAME?</v>
      </c>
      <c r="UY36" s="1095" t="s">
        <v>5130</v>
      </c>
      <c r="VA36" s="1293"/>
      <c r="VB36" s="1291" t="s">
        <v>5771</v>
      </c>
      <c r="VC36" s="12"/>
      <c r="VD36" s="962"/>
      <c r="VE36" s="1292" t="s">
        <v>4608</v>
      </c>
      <c r="VG36" s="977" t="str">
        <f t="shared" ref="VG36:VG38" si="1859">MONICON21(VH36)</f>
        <v>#NAME?</v>
      </c>
      <c r="VH36" s="1301" t="s">
        <v>3715</v>
      </c>
      <c r="VI36" s="977" t="str">
        <f t="shared" ref="VI36:VI38" si="1860">MONTYPEICON1(VH36)</f>
        <v>#NAME?</v>
      </c>
      <c r="VJ36" s="980" t="str">
        <f t="shared" ref="VJ36:VJ38" si="1861">MONTYPEICON2(VH36)</f>
        <v>#NAME?</v>
      </c>
      <c r="VK36" s="1303" t="s">
        <v>5361</v>
      </c>
      <c r="VL36" s="442"/>
      <c r="VM36" s="1387" t="str">
        <f t="shared" si="1799"/>
        <v>#NAME?</v>
      </c>
      <c r="VN36" s="1388" t="s">
        <v>1872</v>
      </c>
      <c r="VO36" s="1387" t="str">
        <f t="shared" si="1800"/>
        <v>#NAME?</v>
      </c>
      <c r="VP36" s="1392" t="str">
        <f t="shared" si="1801"/>
        <v>#NAME?</v>
      </c>
      <c r="VQ36" s="1391" t="s">
        <v>5448</v>
      </c>
      <c r="VR36" s="442"/>
      <c r="VS36" s="1383" t="str">
        <f t="shared" si="1802"/>
        <v>#NAME?</v>
      </c>
      <c r="VT36" s="1508" t="s">
        <v>24</v>
      </c>
      <c r="VU36" s="1383" t="str">
        <f t="shared" si="1803"/>
        <v>#NAME?</v>
      </c>
      <c r="VV36" s="1385" t="str">
        <f t="shared" si="1804"/>
        <v>#NAME?</v>
      </c>
      <c r="VW36" s="1509" t="s">
        <v>5135</v>
      </c>
      <c r="VX36" s="442"/>
      <c r="VY36" s="977" t="str">
        <f t="shared" ref="VY36:VY38" si="1862">MONICON21(VZ36)</f>
        <v>#NAME?</v>
      </c>
      <c r="VZ36" s="1301" t="s">
        <v>1242</v>
      </c>
      <c r="WA36" s="977" t="str">
        <f t="shared" ref="WA36:WA38" si="1863">MONTYPEICON1(VZ36)</f>
        <v>#NAME?</v>
      </c>
      <c r="WB36" s="980" t="str">
        <f t="shared" ref="WB36:WB38" si="1864">MONTYPEICON2(VZ36)</f>
        <v>#NAME?</v>
      </c>
      <c r="WC36" s="1303" t="s">
        <v>5034</v>
      </c>
      <c r="WD36" s="442"/>
      <c r="WJ36" s="442"/>
      <c r="WK36" s="1472"/>
      <c r="WL36" s="1291" t="s">
        <v>5772</v>
      </c>
      <c r="WM36" s="12"/>
      <c r="WN36" s="962"/>
      <c r="WO36" s="1292" t="s">
        <v>4608</v>
      </c>
      <c r="WP36" s="442"/>
      <c r="WQ36" s="1051" t="str">
        <f t="shared" si="1769"/>
        <v>#NAME?</v>
      </c>
      <c r="WR36" s="1127" t="s">
        <v>2232</v>
      </c>
      <c r="WS36" s="1051" t="str">
        <f t="shared" si="1770"/>
        <v>#NAME?</v>
      </c>
      <c r="WT36" s="1131" t="str">
        <f t="shared" si="1771"/>
        <v>#NAME?</v>
      </c>
      <c r="WU36" s="1095" t="s">
        <v>5032</v>
      </c>
      <c r="WV36" s="442"/>
      <c r="WW36" s="442"/>
      <c r="WX36" s="442"/>
      <c r="WY36" s="442"/>
      <c r="WZ36" s="442"/>
      <c r="XA36" s="442"/>
      <c r="XB36" s="442"/>
      <c r="XH36" s="442"/>
      <c r="XI36" s="1472"/>
      <c r="XJ36" s="1291" t="s">
        <v>5773</v>
      </c>
      <c r="XK36" s="12"/>
      <c r="XL36" s="962"/>
      <c r="XM36" s="1292" t="s">
        <v>4608</v>
      </c>
      <c r="XN36" s="442"/>
      <c r="XO36" s="442"/>
      <c r="XP36" s="442"/>
      <c r="XQ36" s="442"/>
      <c r="XR36" s="442"/>
      <c r="XS36" s="442"/>
      <c r="XT36" s="442"/>
      <c r="XU36" s="1483"/>
      <c r="XV36" s="1291" t="s">
        <v>5774</v>
      </c>
      <c r="XW36" s="12"/>
      <c r="XX36" s="962"/>
      <c r="XY36" s="1292" t="s">
        <v>4608</v>
      </c>
      <c r="XZ36" s="442"/>
      <c r="YA36" s="1294"/>
      <c r="YB36" s="1291" t="s">
        <v>5775</v>
      </c>
      <c r="YC36" s="12"/>
      <c r="YD36" s="962"/>
      <c r="YE36" s="1292" t="s">
        <v>4608</v>
      </c>
      <c r="YF36" s="442"/>
      <c r="YG36" s="1294"/>
      <c r="YH36" s="1291" t="s">
        <v>5776</v>
      </c>
      <c r="YI36" s="12"/>
      <c r="YJ36" s="962"/>
      <c r="YK36" s="1292" t="s">
        <v>4608</v>
      </c>
      <c r="YL36" s="442"/>
      <c r="YM36" s="1294"/>
      <c r="YN36" s="1291" t="s">
        <v>5777</v>
      </c>
      <c r="YO36" s="12"/>
      <c r="YP36" s="962"/>
      <c r="YQ36" s="1292" t="s">
        <v>4608</v>
      </c>
      <c r="YR36" s="442"/>
      <c r="YS36" s="442"/>
      <c r="YT36" s="442"/>
      <c r="YU36" s="108"/>
      <c r="YV36" s="108"/>
      <c r="YW36" s="442"/>
      <c r="YX36" s="442"/>
      <c r="YY36" s="1051" t="str">
        <f t="shared" si="1775"/>
        <v>#NAME?</v>
      </c>
      <c r="YZ36" s="1127" t="s">
        <v>713</v>
      </c>
      <c r="ZA36" s="1051" t="str">
        <f t="shared" si="1776"/>
        <v>#NAME?</v>
      </c>
      <c r="ZB36" s="1131" t="str">
        <f t="shared" si="1777"/>
        <v>#NAME?</v>
      </c>
      <c r="ZC36" s="1095" t="s">
        <v>5032</v>
      </c>
      <c r="ZD36" s="442"/>
      <c r="ZE36" s="349"/>
      <c r="ZG36" s="349"/>
      <c r="ZH36" s="349"/>
      <c r="ZJ36" s="442"/>
      <c r="ZK36" s="1387" t="str">
        <f t="shared" si="1805"/>
        <v>#NAME?</v>
      </c>
      <c r="ZL36" s="1388" t="s">
        <v>3424</v>
      </c>
      <c r="ZM36" s="1387" t="str">
        <f t="shared" si="1806"/>
        <v>#NAME?</v>
      </c>
      <c r="ZN36" s="1392" t="str">
        <f t="shared" si="1807"/>
        <v>#NAME?</v>
      </c>
      <c r="ZO36" s="1391" t="s">
        <v>5025</v>
      </c>
      <c r="ZP36" s="442"/>
      <c r="ZQ36" s="1296"/>
      <c r="ZR36" s="1291" t="s">
        <v>5778</v>
      </c>
      <c r="ZS36" s="12"/>
      <c r="ZT36" s="962"/>
      <c r="ZU36" s="1292" t="s">
        <v>4608</v>
      </c>
      <c r="ZV36" s="442"/>
      <c r="ZW36" s="1387" t="str">
        <f t="shared" si="1808"/>
        <v>#NAME?</v>
      </c>
      <c r="ZX36" s="1388" t="s">
        <v>3872</v>
      </c>
      <c r="ZY36" s="1387" t="str">
        <f t="shared" si="1809"/>
        <v>#NAME?</v>
      </c>
      <c r="ZZ36" s="1392" t="str">
        <f t="shared" si="1810"/>
        <v>#NAME?</v>
      </c>
      <c r="AAA36" s="1391" t="s">
        <v>5035</v>
      </c>
      <c r="AAB36" s="442"/>
      <c r="AAC36" s="1579" t="s">
        <v>4953</v>
      </c>
      <c r="AAD36" s="12"/>
      <c r="AAE36" s="12"/>
      <c r="AAF36" s="12"/>
      <c r="AAG36" s="48"/>
      <c r="AAH36" s="442"/>
      <c r="AAI36" s="1387" t="str">
        <f t="shared" si="1700"/>
        <v>#NAME?</v>
      </c>
      <c r="AAJ36" s="1388" t="s">
        <v>2661</v>
      </c>
      <c r="AAK36" s="1387" t="str">
        <f t="shared" si="1701"/>
        <v>#NAME?</v>
      </c>
      <c r="AAL36" s="1392" t="str">
        <f t="shared" si="1702"/>
        <v>#NAME?</v>
      </c>
      <c r="AAM36" s="1397" t="s">
        <v>5227</v>
      </c>
      <c r="AAO36" s="1387" t="str">
        <f t="shared" si="1703"/>
        <v>#NAME?</v>
      </c>
      <c r="AAP36" s="1388" t="s">
        <v>3911</v>
      </c>
      <c r="AAQ36" s="1387" t="str">
        <f t="shared" si="1704"/>
        <v>#NAME?</v>
      </c>
      <c r="AAR36" s="1392" t="str">
        <f t="shared" si="1705"/>
        <v>#NAME?</v>
      </c>
      <c r="AAS36" s="1397" t="s">
        <v>5117</v>
      </c>
      <c r="AAU36" s="1387" t="str">
        <f t="shared" si="1706"/>
        <v>#NAME?</v>
      </c>
      <c r="AAV36" s="1388" t="s">
        <v>4153</v>
      </c>
      <c r="AAW36" s="1387" t="str">
        <f t="shared" si="1707"/>
        <v>#NAME?</v>
      </c>
      <c r="AAX36" s="1392" t="str">
        <f t="shared" si="1708"/>
        <v>#NAME?</v>
      </c>
      <c r="AAY36" s="1397" t="s">
        <v>5117</v>
      </c>
      <c r="ABA36" s="1387" t="str">
        <f t="shared" si="1709"/>
        <v>#NAME?</v>
      </c>
      <c r="ABB36" s="1388" t="s">
        <v>2544</v>
      </c>
      <c r="ABC36" s="1387" t="str">
        <f t="shared" si="1710"/>
        <v>#NAME?</v>
      </c>
      <c r="ABD36" s="1392" t="str">
        <f t="shared" si="1711"/>
        <v>#NAME?</v>
      </c>
      <c r="ABE36" s="1397" t="s">
        <v>5036</v>
      </c>
      <c r="ABG36" s="1387" t="str">
        <f t="shared" si="1712"/>
        <v>#NAME?</v>
      </c>
      <c r="ABH36" s="1388" t="s">
        <v>1984</v>
      </c>
      <c r="ABI36" s="1387" t="str">
        <f t="shared" si="1713"/>
        <v>#NAME?</v>
      </c>
      <c r="ABJ36" s="1392" t="str">
        <f t="shared" si="1714"/>
        <v>#NAME?</v>
      </c>
      <c r="ABK36" s="1397" t="s">
        <v>5036</v>
      </c>
      <c r="ABM36" s="1387" t="str">
        <f t="shared" si="1715"/>
        <v>#NAME?</v>
      </c>
      <c r="ABN36" s="1388" t="s">
        <v>3388</v>
      </c>
      <c r="ABO36" s="1387" t="str">
        <f t="shared" si="1716"/>
        <v>#NAME?</v>
      </c>
      <c r="ABP36" s="1392" t="str">
        <f t="shared" si="1717"/>
        <v>#NAME?</v>
      </c>
      <c r="ABQ36" s="1397" t="s">
        <v>5036</v>
      </c>
      <c r="ABS36" s="1387" t="str">
        <f t="shared" si="1718"/>
        <v>#NAME?</v>
      </c>
      <c r="ABT36" s="1388" t="s">
        <v>4275</v>
      </c>
      <c r="ABU36" s="1387" t="str">
        <f t="shared" si="1719"/>
        <v>#NAME?</v>
      </c>
      <c r="ABV36" s="1392" t="str">
        <f t="shared" si="1720"/>
        <v>#NAME?</v>
      </c>
      <c r="ABW36" s="1397" t="s">
        <v>5036</v>
      </c>
      <c r="ABY36" s="1473"/>
      <c r="ABZ36" s="1474" t="s">
        <v>5207</v>
      </c>
      <c r="ACA36" s="1475"/>
      <c r="ACB36" s="1476"/>
      <c r="ACC36" s="1477" t="s">
        <v>4608</v>
      </c>
      <c r="ACJ36" s="996"/>
    </row>
    <row r="37" ht="15.75" customHeight="1">
      <c r="A37" s="1230"/>
      <c r="B37" s="1403" t="str">
        <f>image("https://www.pokebip.com/pages/icones/objets/cherche-vs.png",3)</f>
        <v/>
      </c>
      <c r="C37" s="1404" t="s">
        <v>5779</v>
      </c>
      <c r="D37" s="1382" t="s">
        <v>4608</v>
      </c>
      <c r="E37" s="1230"/>
      <c r="F37" s="1238"/>
      <c r="G37" s="1626" t="s">
        <v>5780</v>
      </c>
      <c r="H37" s="1230"/>
      <c r="I37" s="1146" t="str">
        <f t="shared" si="1811"/>
        <v>#NAME?</v>
      </c>
      <c r="J37" s="1145" t="s">
        <v>3677</v>
      </c>
      <c r="K37" s="1094" t="str">
        <f t="shared" si="1812"/>
        <v>#NAME?</v>
      </c>
      <c r="L37" s="1127" t="str">
        <f t="shared" si="1813"/>
        <v>#NAME?</v>
      </c>
      <c r="M37" s="1330" t="s">
        <v>4988</v>
      </c>
      <c r="N37" s="1230"/>
      <c r="O37" s="1255"/>
      <c r="P37" s="1259" t="s">
        <v>5781</v>
      </c>
      <c r="Q37" s="12"/>
      <c r="R37" s="962"/>
      <c r="S37" s="1258" t="s">
        <v>4608</v>
      </c>
      <c r="T37" s="1230"/>
      <c r="U37" s="1255"/>
      <c r="V37" s="1259" t="s">
        <v>5782</v>
      </c>
      <c r="W37" s="12"/>
      <c r="X37" s="962"/>
      <c r="Y37" s="1258" t="s">
        <v>4608</v>
      </c>
      <c r="Z37" s="1230"/>
      <c r="AA37" s="1033" t="str">
        <f t="shared" ref="AA37:AA39" si="1865">MONICON21(AB37)</f>
        <v>#NAME?</v>
      </c>
      <c r="AB37" s="1301" t="s">
        <v>2816</v>
      </c>
      <c r="AC37" s="977" t="str">
        <f t="shared" ref="AC37:AC39" si="1866">MONTYPEICON1(AB37)</f>
        <v>#NAME?</v>
      </c>
      <c r="AD37" s="980" t="str">
        <f t="shared" ref="AD37:AD39" si="1867">MONTYPEICON2(AB37)</f>
        <v>#NAME?</v>
      </c>
      <c r="AE37" s="1303" t="s">
        <v>4991</v>
      </c>
      <c r="AF37" s="1230"/>
      <c r="AL37" s="1230"/>
      <c r="AM37" s="1071" t="str">
        <f t="shared" si="1814"/>
        <v>#NAME?</v>
      </c>
      <c r="AN37" s="1356" t="s">
        <v>1557</v>
      </c>
      <c r="AO37" s="1071" t="str">
        <f t="shared" si="1815"/>
        <v>#NAME?</v>
      </c>
      <c r="AP37" s="1073" t="str">
        <f t="shared" si="1816"/>
        <v>#NAME?</v>
      </c>
      <c r="AQ37" s="1338" t="s">
        <v>5076</v>
      </c>
      <c r="AR37" s="1230"/>
      <c r="AS37" s="1033" t="str">
        <f t="shared" si="1778"/>
        <v>#NAME?</v>
      </c>
      <c r="AT37" s="1415" t="s">
        <v>1880</v>
      </c>
      <c r="AU37" s="1013" t="str">
        <f t="shared" si="1779"/>
        <v>#NAME?</v>
      </c>
      <c r="AV37" s="1015" t="str">
        <f t="shared" si="1780"/>
        <v>#NAME?</v>
      </c>
      <c r="AW37" s="1416" t="s">
        <v>4993</v>
      </c>
      <c r="AX37" s="1230"/>
      <c r="AY37" s="1255"/>
      <c r="AZ37" s="1256" t="s">
        <v>5783</v>
      </c>
      <c r="BA37" s="1257" t="s">
        <v>4888</v>
      </c>
      <c r="BB37" s="962"/>
      <c r="BC37" s="1258" t="s">
        <v>4608</v>
      </c>
      <c r="BD37" s="442"/>
      <c r="BE37" s="1146" t="str">
        <f t="shared" si="1817"/>
        <v>#NAME?</v>
      </c>
      <c r="BF37" s="1335" t="s">
        <v>210</v>
      </c>
      <c r="BG37" s="1146" t="str">
        <f t="shared" si="1818"/>
        <v>#NAME?</v>
      </c>
      <c r="BH37" s="1148" t="str">
        <f t="shared" si="1819"/>
        <v>#NAME?</v>
      </c>
      <c r="BI37" s="1336" t="s">
        <v>4994</v>
      </c>
      <c r="BJ37" s="442"/>
      <c r="BK37" s="1033" t="str">
        <f t="shared" ref="BK37:BK39" si="1868">MONICON21(BL37)</f>
        <v>#NAME?</v>
      </c>
      <c r="BL37" s="1304" t="s">
        <v>526</v>
      </c>
      <c r="BM37" s="977" t="str">
        <f t="shared" ref="BM37:BM39" si="1869">MONTYPEICON1(BL37)</f>
        <v>#NAME?</v>
      </c>
      <c r="BN37" s="980" t="str">
        <f t="shared" ref="BN37:BN39" si="1870">MONTYPEICON2(BL37)</f>
        <v>#NAME?</v>
      </c>
      <c r="BO37" s="1305" t="s">
        <v>4994</v>
      </c>
      <c r="BP37" s="442"/>
      <c r="BQ37" s="1230"/>
      <c r="BR37" s="1230"/>
      <c r="BS37" s="442"/>
      <c r="BT37" s="442"/>
      <c r="BU37" s="108"/>
      <c r="BV37" s="442"/>
      <c r="CB37" s="442"/>
      <c r="CH37" s="442"/>
      <c r="CI37" s="1273"/>
      <c r="CJ37" s="1307" t="s">
        <v>5784</v>
      </c>
      <c r="CK37" s="12"/>
      <c r="CL37" s="962"/>
      <c r="CM37" s="1282" t="s">
        <v>4608</v>
      </c>
      <c r="CN37" s="442"/>
      <c r="CO37" s="1049" t="str">
        <f>MONICON21(CP37)</f>
        <v>#NAME?</v>
      </c>
      <c r="CP37" s="1308" t="s">
        <v>3715</v>
      </c>
      <c r="CQ37" s="1092" t="str">
        <f>MONTYPEICON1(CP37)</f>
        <v>#NAME?</v>
      </c>
      <c r="CR37" s="987" t="str">
        <f>MONTYPEICON2(CP37)</f>
        <v>#NAME?</v>
      </c>
      <c r="CS37" s="1309" t="s">
        <v>5459</v>
      </c>
      <c r="CT37" s="442"/>
      <c r="CU37" s="1012" t="str">
        <f t="shared" ref="CU37:CU38" si="1871">MONICON21(CV37)</f>
        <v>#NAME?</v>
      </c>
      <c r="CV37" s="1304" t="s">
        <v>2728</v>
      </c>
      <c r="CW37" s="977" t="str">
        <f t="shared" ref="CW37:CW38" si="1872">MONTYPEICON1(CV37)</f>
        <v>#NAME?</v>
      </c>
      <c r="CX37" s="980" t="str">
        <f t="shared" ref="CX37:CX38" si="1873">MONTYPEICON2(CV37)</f>
        <v>#NAME?</v>
      </c>
      <c r="CY37" s="1305" t="s">
        <v>4999</v>
      </c>
      <c r="CZ37" s="442"/>
      <c r="DA37" s="1068" t="str">
        <f t="shared" si="1820"/>
        <v>#NAME?</v>
      </c>
      <c r="DB37" s="1337" t="s">
        <v>3037</v>
      </c>
      <c r="DC37" s="1071" t="str">
        <f t="shared" si="1821"/>
        <v>#NAME?</v>
      </c>
      <c r="DD37" s="1073" t="str">
        <f t="shared" si="1822"/>
        <v>#NAME?</v>
      </c>
      <c r="DE37" s="1338" t="s">
        <v>5099</v>
      </c>
      <c r="DF37" s="442"/>
      <c r="DG37" s="1159" t="str">
        <f t="shared" si="1727"/>
        <v>#NAME?</v>
      </c>
      <c r="DH37" s="1453" t="s">
        <v>3596</v>
      </c>
      <c r="DI37" s="1454" t="str">
        <f t="shared" si="1728"/>
        <v>#NAME?</v>
      </c>
      <c r="DJ37" s="1455" t="str">
        <f t="shared" si="1729"/>
        <v>#NAME?</v>
      </c>
      <c r="DK37" s="1456" t="s">
        <v>5045</v>
      </c>
      <c r="DL37" s="442"/>
      <c r="DM37" s="1068" t="str">
        <f t="shared" si="1823"/>
        <v>#NAME?</v>
      </c>
      <c r="DN37" s="1337" t="s">
        <v>2232</v>
      </c>
      <c r="DO37" s="1071" t="str">
        <f t="shared" si="1824"/>
        <v>#NAME?</v>
      </c>
      <c r="DP37" s="1073" t="str">
        <f t="shared" si="1825"/>
        <v>#NAME?</v>
      </c>
      <c r="DQ37" s="1338" t="s">
        <v>4998</v>
      </c>
      <c r="DR37" s="442"/>
      <c r="DX37" s="1230"/>
      <c r="ED37" s="442"/>
      <c r="EG37" s="349"/>
      <c r="EH37" s="349"/>
      <c r="EJ37" s="1230"/>
      <c r="EM37" s="349"/>
      <c r="EN37" s="349"/>
      <c r="EP37" s="1230"/>
      <c r="EQ37" s="1266"/>
      <c r="ER37" s="1259" t="s">
        <v>5785</v>
      </c>
      <c r="ES37" s="12"/>
      <c r="ET37" s="962"/>
      <c r="EU37" s="1258" t="s">
        <v>4608</v>
      </c>
      <c r="EV37" s="1230"/>
      <c r="EW37" s="1096" t="str">
        <f t="shared" si="1781"/>
        <v>#NAME?</v>
      </c>
      <c r="EX37" s="89" t="s">
        <v>3984</v>
      </c>
      <c r="EY37" s="1013" t="str">
        <f t="shared" si="1782"/>
        <v>#NAME?</v>
      </c>
      <c r="EZ37" s="1015" t="str">
        <f t="shared" si="1783"/>
        <v>#NAME?</v>
      </c>
      <c r="FA37" s="1108" t="s">
        <v>4998</v>
      </c>
      <c r="FB37" s="442"/>
      <c r="FC37" s="1068" t="str">
        <f t="shared" si="1826"/>
        <v>#NAME?</v>
      </c>
      <c r="FD37" s="1356" t="s">
        <v>2884</v>
      </c>
      <c r="FE37" s="1071" t="str">
        <f t="shared" si="1827"/>
        <v>#NAME?</v>
      </c>
      <c r="FF37" s="1073" t="str">
        <f t="shared" si="1828"/>
        <v>#NAME?</v>
      </c>
      <c r="FG37" s="1093" t="s">
        <v>5078</v>
      </c>
      <c r="FH37" s="442"/>
      <c r="FK37" s="349"/>
      <c r="FL37" s="349"/>
      <c r="FM37" s="349"/>
      <c r="FN37" s="442"/>
      <c r="FO37" s="1266"/>
      <c r="FP37" s="1259" t="s">
        <v>5786</v>
      </c>
      <c r="FQ37" s="12"/>
      <c r="FR37" s="962"/>
      <c r="FS37" s="1258" t="s">
        <v>4608</v>
      </c>
      <c r="FT37" s="442"/>
      <c r="FU37" s="1068" t="str">
        <f t="shared" si="1829"/>
        <v>#NAME?</v>
      </c>
      <c r="FV37" s="1078" t="s">
        <v>3453</v>
      </c>
      <c r="FW37" s="1071" t="str">
        <f t="shared" si="1830"/>
        <v>#NAME?</v>
      </c>
      <c r="FX37" s="1073" t="str">
        <f t="shared" si="1831"/>
        <v>#NAME?</v>
      </c>
      <c r="FY37" s="1093" t="s">
        <v>5082</v>
      </c>
      <c r="FZ37" s="65"/>
      <c r="GC37" s="349"/>
      <c r="GD37" s="349"/>
      <c r="GF37" s="442"/>
      <c r="GG37" s="1266"/>
      <c r="GH37" s="1256" t="s">
        <v>5787</v>
      </c>
      <c r="GI37" s="1257" t="s">
        <v>4888</v>
      </c>
      <c r="GJ37" s="962"/>
      <c r="GK37" s="1258" t="s">
        <v>4608</v>
      </c>
      <c r="GL37" s="1230"/>
      <c r="GM37" s="985" t="str">
        <f>MONICON21(GN37)</f>
        <v>#NAME?</v>
      </c>
      <c r="GN37" s="1310" t="s">
        <v>635</v>
      </c>
      <c r="GO37" s="1092" t="str">
        <f>MONTYPEICON1(GN37)</f>
        <v>#NAME?</v>
      </c>
      <c r="GP37" s="987" t="str">
        <f>MONTYPEICON2(GN37)</f>
        <v>#NAME?</v>
      </c>
      <c r="GQ37" s="1309" t="s">
        <v>5004</v>
      </c>
      <c r="GR37" s="65"/>
      <c r="GS37" s="985" t="str">
        <f>MONICON21(GT37)</f>
        <v>#NAME?</v>
      </c>
      <c r="GT37" s="1308" t="s">
        <v>1808</v>
      </c>
      <c r="GU37" s="1092" t="str">
        <f>MONTYPEICON1(GT37)</f>
        <v>#NAME?</v>
      </c>
      <c r="GV37" s="987" t="str">
        <f>MONTYPEICON2(GT37)</f>
        <v>#NAME?</v>
      </c>
      <c r="GW37" s="1309" t="s">
        <v>5004</v>
      </c>
      <c r="GX37" s="65"/>
      <c r="HA37" s="349"/>
      <c r="HB37" s="349"/>
      <c r="HD37" s="1230"/>
      <c r="HE37" s="983" t="str">
        <f t="shared" ref="HE37:HE39" si="1874">MONICON21(HF37)</f>
        <v>#NAME?</v>
      </c>
      <c r="HF37" s="1407" t="s">
        <v>3255</v>
      </c>
      <c r="HG37" s="977" t="str">
        <f t="shared" ref="HG37:HG39" si="1875">MONTYPEICON1(HF37)</f>
        <v>#NAME?</v>
      </c>
      <c r="HH37" s="980" t="str">
        <f t="shared" ref="HH37:HH39" si="1876">MONTYPEICON2(HF37)</f>
        <v>#NAME?</v>
      </c>
      <c r="HI37" s="1043" t="s">
        <v>5006</v>
      </c>
      <c r="HJ37" s="1230"/>
      <c r="HK37" s="1056" t="str">
        <f t="shared" si="1832"/>
        <v>#NAME?</v>
      </c>
      <c r="HL37" s="1377" t="s">
        <v>1592</v>
      </c>
      <c r="HM37" s="1021" t="str">
        <f t="shared" si="1833"/>
        <v>#NAME?</v>
      </c>
      <c r="HN37" s="1024" t="str">
        <f t="shared" si="1834"/>
        <v>#NAME?</v>
      </c>
      <c r="HO37" s="1339" t="s">
        <v>5006</v>
      </c>
      <c r="HP37" s="65"/>
      <c r="HS37" s="349"/>
      <c r="HT37" s="349"/>
      <c r="HV37" s="65"/>
      <c r="HY37" s="349"/>
      <c r="HZ37" s="349"/>
      <c r="IB37" s="65"/>
      <c r="IC37" s="1094" t="str">
        <f t="shared" si="1784"/>
        <v>#NAME?</v>
      </c>
      <c r="ID37" s="1127" t="s">
        <v>1600</v>
      </c>
      <c r="IE37" s="1420" t="str">
        <f t="shared" si="1785"/>
        <v>#NAME?</v>
      </c>
      <c r="IF37" s="475" t="str">
        <f t="shared" si="1786"/>
        <v>#NAME?</v>
      </c>
      <c r="IG37" s="1095" t="s">
        <v>5084</v>
      </c>
      <c r="II37" s="1027" t="str">
        <f t="shared" si="1739"/>
        <v>#NAME?</v>
      </c>
      <c r="IJ37" s="1458" t="s">
        <v>4153</v>
      </c>
      <c r="IK37" s="1360" t="str">
        <f t="shared" si="1740"/>
        <v>#NAME?</v>
      </c>
      <c r="IL37" s="1361" t="str">
        <f t="shared" si="1741"/>
        <v>#NAME?</v>
      </c>
      <c r="IM37" s="1362" t="s">
        <v>5008</v>
      </c>
      <c r="IQ37" s="349"/>
      <c r="IR37" s="349"/>
      <c r="IT37" s="1230"/>
      <c r="IW37" s="349"/>
      <c r="IX37" s="349"/>
      <c r="IZ37" s="1230"/>
      <c r="JA37" s="1068" t="str">
        <f t="shared" si="1835"/>
        <v>#NAME?</v>
      </c>
      <c r="JB37" s="1356" t="s">
        <v>3872</v>
      </c>
      <c r="JC37" s="1358" t="str">
        <f t="shared" si="1836"/>
        <v>#NAME?</v>
      </c>
      <c r="JD37" s="1359" t="str">
        <f t="shared" si="1837"/>
        <v>#NAME?</v>
      </c>
      <c r="JE37" s="1338" t="s">
        <v>5214</v>
      </c>
      <c r="JF37" s="1230"/>
      <c r="JG37" s="1266"/>
      <c r="JH37" s="1259" t="s">
        <v>5788</v>
      </c>
      <c r="JI37" s="12"/>
      <c r="JJ37" s="962"/>
      <c r="JK37" s="1258" t="s">
        <v>4608</v>
      </c>
      <c r="JL37" s="1230"/>
      <c r="JO37" s="349"/>
      <c r="JP37" s="349"/>
      <c r="JR37" s="1230"/>
      <c r="JU37" s="349"/>
      <c r="JV37" s="349"/>
      <c r="KA37" s="349"/>
      <c r="KB37" s="349"/>
      <c r="KE37" s="1193" t="str">
        <f t="shared" si="1838"/>
        <v>#NAME?</v>
      </c>
      <c r="KF37" s="1145" t="s">
        <v>759</v>
      </c>
      <c r="KG37" s="1146" t="str">
        <f t="shared" si="1839"/>
        <v>#NAME?</v>
      </c>
      <c r="KH37" s="1148" t="str">
        <f t="shared" si="1840"/>
        <v>#NAME?</v>
      </c>
      <c r="KI37" s="1330" t="s">
        <v>5535</v>
      </c>
      <c r="KJ37" s="65"/>
      <c r="KM37" s="349"/>
      <c r="KN37" s="349"/>
      <c r="KP37" s="65"/>
      <c r="KQ37" s="1096" t="str">
        <f t="shared" si="1670"/>
        <v>#NAME?</v>
      </c>
      <c r="KR37" s="1304" t="s">
        <v>2831</v>
      </c>
      <c r="KS37" s="1418" t="str">
        <f t="shared" si="1671"/>
        <v>#NAME?</v>
      </c>
      <c r="KT37" s="1419" t="str">
        <f t="shared" si="1672"/>
        <v>#NAME?</v>
      </c>
      <c r="KU37" s="1303" t="s">
        <v>5013</v>
      </c>
      <c r="KV37" s="65"/>
      <c r="KW37" s="1351" t="str">
        <f t="shared" si="1841"/>
        <v>#NAME?</v>
      </c>
      <c r="KX37" s="1372" t="s">
        <v>535</v>
      </c>
      <c r="KY37" s="1353" t="str">
        <f t="shared" si="1842"/>
        <v>#NAME?</v>
      </c>
      <c r="KZ37" s="1354" t="str">
        <f t="shared" si="1843"/>
        <v>#NAME?</v>
      </c>
      <c r="LA37" s="1367" t="s">
        <v>5014</v>
      </c>
      <c r="LB37" s="442"/>
      <c r="LC37" s="442"/>
      <c r="LD37" s="442"/>
      <c r="LE37" s="108"/>
      <c r="LF37" s="108"/>
      <c r="LK37" s="349"/>
      <c r="LL37" s="349"/>
      <c r="LO37" s="1056" t="str">
        <f t="shared" si="1742"/>
        <v>#NAME?</v>
      </c>
      <c r="LP37" s="1377" t="s">
        <v>3388</v>
      </c>
      <c r="LQ37" s="1502" t="str">
        <f t="shared" si="1743"/>
        <v>#NAME?</v>
      </c>
      <c r="LR37" s="1503" t="str">
        <f t="shared" si="1744"/>
        <v>#NAME?</v>
      </c>
      <c r="LS37" s="1378" t="s">
        <v>5164</v>
      </c>
      <c r="LU37" s="983" t="str">
        <f t="shared" ref="LU37:LU39" si="1877">MONICON21(LV37)</f>
        <v>#NAME?</v>
      </c>
      <c r="LV37" s="1301" t="s">
        <v>535</v>
      </c>
      <c r="LW37" s="977" t="str">
        <f t="shared" ref="LW37:LW39" si="1878">MONTYPEICON1(LV37)</f>
        <v>#NAME?</v>
      </c>
      <c r="LX37" s="980" t="str">
        <f t="shared" ref="LX37:LX39" si="1879">MONTYPEICON2(LV37)</f>
        <v>#NAME?</v>
      </c>
      <c r="LY37" s="1318" t="s">
        <v>5106</v>
      </c>
      <c r="LZ37" s="442"/>
      <c r="MC37" s="349"/>
      <c r="MD37" s="349"/>
      <c r="MF37" s="442"/>
      <c r="MI37" s="349"/>
      <c r="MJ37" s="349"/>
      <c r="ML37" s="442"/>
      <c r="MM37" s="1280"/>
      <c r="MN37" s="1281" t="s">
        <v>4908</v>
      </c>
      <c r="MO37" s="12"/>
      <c r="MP37" s="962"/>
      <c r="MQ37" s="1282" t="s">
        <v>4608</v>
      </c>
      <c r="MS37" s="983" t="str">
        <f t="shared" ref="MS37:MS39" si="1880">MONICON21(MT37)</f>
        <v>#NAME?</v>
      </c>
      <c r="MT37" s="1301" t="s">
        <v>635</v>
      </c>
      <c r="MU37" s="977" t="str">
        <f t="shared" ref="MU37:MU39" si="1881">MONTYPEICON1(MT37)</f>
        <v>#NAME?</v>
      </c>
      <c r="MV37" s="980" t="str">
        <f t="shared" ref="MV37:MV39" si="1882">MONTYPEICON2(MT37)</f>
        <v>#NAME?</v>
      </c>
      <c r="MW37" s="1318" t="s">
        <v>5051</v>
      </c>
      <c r="MX37" s="442"/>
      <c r="MY37" s="985"/>
      <c r="MZ37" s="1052" t="s">
        <v>4342</v>
      </c>
      <c r="NA37" s="1092" t="str">
        <f>MONTYPEICON1(MZ37)</f>
        <v>#NAME?</v>
      </c>
      <c r="NB37" s="987" t="str">
        <f>MONTYPEICON2(MZ37)</f>
        <v>#NAME?</v>
      </c>
      <c r="NC37" s="1573" t="s">
        <v>5032</v>
      </c>
      <c r="ND37" s="442"/>
      <c r="NE37" s="985" t="str">
        <f>MONICON21(NF37)</f>
        <v>#NAME?</v>
      </c>
      <c r="NF37" s="1229" t="s">
        <v>1637</v>
      </c>
      <c r="NG37" s="1586" t="str">
        <f>MONTYPEICON1(NF37)</f>
        <v>#NAME?</v>
      </c>
      <c r="NH37" s="1587" t="str">
        <f>MONTYPEICON2(NF37)</f>
        <v>#NAME?</v>
      </c>
      <c r="NI37" s="1424" t="s">
        <v>5019</v>
      </c>
      <c r="NJ37" s="65"/>
      <c r="NK37" s="1283"/>
      <c r="NL37" s="1264" t="s">
        <v>5789</v>
      </c>
      <c r="NM37" s="12"/>
      <c r="NN37" s="962"/>
      <c r="NO37" s="1265" t="s">
        <v>4608</v>
      </c>
      <c r="NQ37" s="1096" t="str">
        <f t="shared" si="1790"/>
        <v>#NAME?</v>
      </c>
      <c r="NR37" s="1157" t="s">
        <v>4282</v>
      </c>
      <c r="NS37" s="1418" t="str">
        <f t="shared" si="1791"/>
        <v>#NAME?</v>
      </c>
      <c r="NT37" s="1419" t="str">
        <f t="shared" si="1792"/>
        <v>#NAME?</v>
      </c>
      <c r="NU37" s="1321" t="s">
        <v>5431</v>
      </c>
      <c r="NV37" s="442"/>
      <c r="NY37" s="349"/>
      <c r="NZ37" s="349"/>
      <c r="OB37" s="442"/>
      <c r="OE37" s="349"/>
      <c r="OF37" s="349"/>
      <c r="OH37" s="442"/>
      <c r="OK37" s="349"/>
      <c r="OL37" s="349"/>
      <c r="ON37" s="442"/>
      <c r="OO37" s="1096" t="str">
        <f t="shared" si="1793"/>
        <v>#NAME?</v>
      </c>
      <c r="OP37" s="1098" t="s">
        <v>3333</v>
      </c>
      <c r="OQ37" s="1417" t="str">
        <f t="shared" si="1794"/>
        <v>#NAME?</v>
      </c>
      <c r="OR37" s="62" t="str">
        <f t="shared" si="1795"/>
        <v>#NAME?</v>
      </c>
      <c r="OS37" s="1423" t="s">
        <v>5020</v>
      </c>
      <c r="OW37" s="349"/>
      <c r="OX37" s="349"/>
      <c r="PC37" s="349"/>
      <c r="PD37" s="349"/>
      <c r="PF37" s="442"/>
      <c r="PG37" s="1068" t="str">
        <f t="shared" si="1844"/>
        <v>#NAME?</v>
      </c>
      <c r="PH37" s="1076" t="s">
        <v>767</v>
      </c>
      <c r="PI37" s="1358" t="str">
        <f t="shared" si="1845"/>
        <v>#NAME?</v>
      </c>
      <c r="PJ37" s="1359" t="str">
        <f t="shared" si="1846"/>
        <v>#NAME?</v>
      </c>
      <c r="PK37" s="1368" t="s">
        <v>5022</v>
      </c>
      <c r="PL37" s="65"/>
      <c r="PM37" s="1068" t="str">
        <f t="shared" si="1847"/>
        <v>#NAME?</v>
      </c>
      <c r="PN37" s="1076" t="s">
        <v>2458</v>
      </c>
      <c r="PO37" s="1358" t="str">
        <f t="shared" si="1848"/>
        <v>#NAME?</v>
      </c>
      <c r="PP37" s="1359" t="str">
        <f t="shared" si="1849"/>
        <v>#NAME?</v>
      </c>
      <c r="PQ37" s="1368" t="s">
        <v>5410</v>
      </c>
      <c r="PR37" s="442"/>
      <c r="PU37" s="349"/>
      <c r="PV37" s="349"/>
      <c r="PX37" s="442"/>
      <c r="PY37" s="1027" t="str">
        <f t="shared" si="1748"/>
        <v>#NAME?</v>
      </c>
      <c r="PZ37" s="1340" t="s">
        <v>4153</v>
      </c>
      <c r="QA37" s="1360" t="str">
        <f t="shared" si="1749"/>
        <v>#NAME?</v>
      </c>
      <c r="QB37" s="1361" t="str">
        <f t="shared" si="1750"/>
        <v>#NAME?</v>
      </c>
      <c r="QC37" s="1376" t="s">
        <v>5023</v>
      </c>
      <c r="QD37" s="442"/>
      <c r="QG37" s="349"/>
      <c r="QH37" s="349"/>
      <c r="QJ37" s="442"/>
      <c r="QK37" s="1543" t="str">
        <f t="shared" si="1622"/>
        <v>#NAME?</v>
      </c>
      <c r="QL37" s="1530" t="s">
        <v>4077</v>
      </c>
      <c r="QM37" s="1529" t="str">
        <f t="shared" si="1623"/>
        <v>#NAME?</v>
      </c>
      <c r="QN37" s="1531" t="str">
        <f t="shared" si="1624"/>
        <v>#NAME?</v>
      </c>
      <c r="QO37" s="1532" t="s">
        <v>5033</v>
      </c>
      <c r="QP37" s="442"/>
      <c r="QQ37" s="1543" t="str">
        <f t="shared" si="1625"/>
        <v>#NAME?</v>
      </c>
      <c r="QR37" s="1530" t="s">
        <v>4160</v>
      </c>
      <c r="QS37" s="1529" t="str">
        <f t="shared" si="1626"/>
        <v>#NAME?</v>
      </c>
      <c r="QT37" s="1531" t="str">
        <f t="shared" si="1627"/>
        <v>#NAME?</v>
      </c>
      <c r="QU37" s="1532" t="s">
        <v>5112</v>
      </c>
      <c r="QV37" s="442"/>
      <c r="QW37" s="1543" t="str">
        <f t="shared" si="1628"/>
        <v>#NAME?</v>
      </c>
      <c r="QX37" s="1530" t="s">
        <v>4183</v>
      </c>
      <c r="QY37" s="1529" t="str">
        <f t="shared" si="1629"/>
        <v>#NAME?</v>
      </c>
      <c r="QZ37" s="1531" t="str">
        <f t="shared" si="1630"/>
        <v>#NAME?</v>
      </c>
      <c r="RA37" s="1532" t="s">
        <v>5113</v>
      </c>
      <c r="RB37" s="442"/>
      <c r="RC37" s="1543" t="str">
        <f t="shared" si="1631"/>
        <v>#NAME?</v>
      </c>
      <c r="RD37" s="1530" t="s">
        <v>4238</v>
      </c>
      <c r="RE37" s="1529" t="str">
        <f t="shared" si="1632"/>
        <v>#NAME?</v>
      </c>
      <c r="RF37" s="1531" t="str">
        <f t="shared" si="1633"/>
        <v>#NAME?</v>
      </c>
      <c r="RG37" s="1532" t="s">
        <v>5025</v>
      </c>
      <c r="RH37" s="442"/>
      <c r="RI37" s="1543" t="str">
        <f t="shared" si="1634"/>
        <v>#NAME?</v>
      </c>
      <c r="RJ37" s="1530" t="s">
        <v>4031</v>
      </c>
      <c r="RK37" s="1529" t="str">
        <f t="shared" si="1635"/>
        <v>#NAME?</v>
      </c>
      <c r="RL37" s="1531" t="str">
        <f t="shared" si="1636"/>
        <v>#NAME?</v>
      </c>
      <c r="RM37" s="1532" t="s">
        <v>5026</v>
      </c>
      <c r="RN37" s="442"/>
      <c r="RO37" s="1266"/>
      <c r="RP37" s="1256" t="s">
        <v>5790</v>
      </c>
      <c r="RQ37" s="1285" t="s">
        <v>4888</v>
      </c>
      <c r="RR37" s="962"/>
      <c r="RS37" s="1004" t="s">
        <v>4608</v>
      </c>
      <c r="RT37" s="442"/>
      <c r="RW37" s="349"/>
      <c r="RX37" s="349"/>
      <c r="RZ37" s="442"/>
      <c r="SC37" s="349"/>
      <c r="SD37" s="349"/>
      <c r="SF37" s="442"/>
      <c r="SI37" s="349"/>
      <c r="SJ37" s="349"/>
      <c r="SL37" s="442"/>
      <c r="SM37" s="1056" t="str">
        <f t="shared" si="1754"/>
        <v>#NAME?</v>
      </c>
      <c r="SN37" s="1465" t="s">
        <v>2954</v>
      </c>
      <c r="SO37" s="1021" t="str">
        <f t="shared" si="1755"/>
        <v>#NAME?</v>
      </c>
      <c r="SP37" s="1024" t="str">
        <f t="shared" si="1756"/>
        <v>#NAME?</v>
      </c>
      <c r="SQ37" s="1378" t="s">
        <v>5024</v>
      </c>
      <c r="SR37" s="442"/>
      <c r="SS37" s="985" t="s">
        <v>4992</v>
      </c>
      <c r="ST37" s="12"/>
      <c r="SU37" s="12"/>
      <c r="SV37" s="12"/>
      <c r="SW37" s="48"/>
      <c r="SX37" s="442"/>
      <c r="SY37" s="1266"/>
      <c r="SZ37" s="1259" t="s">
        <v>5791</v>
      </c>
      <c r="TA37" s="12"/>
      <c r="TB37" s="962"/>
      <c r="TC37" s="1004" t="s">
        <v>4608</v>
      </c>
      <c r="TD37" s="65"/>
      <c r="TE37" s="961" t="s">
        <v>5304</v>
      </c>
      <c r="TF37" s="12"/>
      <c r="TG37" s="12"/>
      <c r="TH37" s="48"/>
      <c r="TJ37" s="442"/>
      <c r="TK37" s="1068" t="str">
        <f t="shared" si="1850"/>
        <v>#NAME?</v>
      </c>
      <c r="TL37" s="1076" t="s">
        <v>3059</v>
      </c>
      <c r="TM37" s="1358" t="str">
        <f t="shared" si="1851"/>
        <v>#NAME?</v>
      </c>
      <c r="TN37" s="1359" t="str">
        <f t="shared" si="1852"/>
        <v>#NAME?</v>
      </c>
      <c r="TO37" s="1368" t="s">
        <v>5026</v>
      </c>
      <c r="TP37" s="442"/>
      <c r="TQ37" s="1068" t="str">
        <f t="shared" si="1853"/>
        <v>#NAME?</v>
      </c>
      <c r="TR37" s="1076" t="s">
        <v>1508</v>
      </c>
      <c r="TS37" s="1358" t="str">
        <f t="shared" si="1854"/>
        <v>#NAME?</v>
      </c>
      <c r="TT37" s="1359" t="str">
        <f t="shared" si="1855"/>
        <v>#NAME?</v>
      </c>
      <c r="TU37" s="1368" t="s">
        <v>5026</v>
      </c>
      <c r="TV37" s="65"/>
      <c r="TW37" s="1033" t="str">
        <f t="shared" si="1796"/>
        <v>#NAME?</v>
      </c>
      <c r="TX37" s="1098" t="s">
        <v>4238</v>
      </c>
      <c r="TY37" s="1013" t="str">
        <f t="shared" si="1797"/>
        <v>#NAME?</v>
      </c>
      <c r="TZ37" s="1015" t="str">
        <f t="shared" si="1798"/>
        <v>#NAME?</v>
      </c>
      <c r="UA37" s="1414" t="s">
        <v>5229</v>
      </c>
      <c r="UI37" s="1383" t="str">
        <f t="shared" si="1856"/>
        <v>#NAME?</v>
      </c>
      <c r="UJ37" s="1384" t="s">
        <v>767</v>
      </c>
      <c r="UK37" s="1383" t="str">
        <f t="shared" si="1857"/>
        <v>#NAME?</v>
      </c>
      <c r="UL37" s="1385" t="str">
        <f t="shared" si="1858"/>
        <v>#NAME?</v>
      </c>
      <c r="UM37" s="1386" t="s">
        <v>5030</v>
      </c>
      <c r="UO37" s="1033" t="str">
        <f t="shared" ref="UO37:UO38" si="1883">MONICON21(UP37)</f>
        <v>#NAME?</v>
      </c>
      <c r="UP37" s="21" t="s">
        <v>518</v>
      </c>
      <c r="UQ37" s="977" t="str">
        <f t="shared" ref="UQ37:UQ38" si="1884">MONTYPEICON1(UP37)</f>
        <v>#NAME?</v>
      </c>
      <c r="UR37" s="980" t="str">
        <f t="shared" ref="UR37:UR38" si="1885">MONTYPEICON2(UP37)</f>
        <v>#NAME?</v>
      </c>
      <c r="US37" s="1302" t="s">
        <v>5030</v>
      </c>
      <c r="UU37" s="1293"/>
      <c r="UV37" s="1291" t="s">
        <v>5792</v>
      </c>
      <c r="UW37" s="12"/>
      <c r="UX37" s="962"/>
      <c r="UY37" s="1292" t="s">
        <v>4608</v>
      </c>
      <c r="VA37" s="1033" t="str">
        <f t="shared" ref="VA37:VA38" si="1886">MONICON21(VB37)</f>
        <v>#NAME?</v>
      </c>
      <c r="VB37" s="1301" t="s">
        <v>3879</v>
      </c>
      <c r="VC37" s="977" t="str">
        <f t="shared" ref="VC37:VC38" si="1887">MONTYPEICON1(VB37)</f>
        <v>#NAME?</v>
      </c>
      <c r="VD37" s="980" t="str">
        <f t="shared" ref="VD37:VD38" si="1888">MONTYPEICON2(VB37)</f>
        <v>#NAME?</v>
      </c>
      <c r="VE37" s="1303" t="s">
        <v>5118</v>
      </c>
      <c r="VG37" s="1387" t="str">
        <f t="shared" si="1859"/>
        <v>#NAME?</v>
      </c>
      <c r="VH37" s="1388" t="s">
        <v>2914</v>
      </c>
      <c r="VI37" s="1387" t="str">
        <f t="shared" si="1860"/>
        <v>#NAME?</v>
      </c>
      <c r="VJ37" s="1392" t="str">
        <f t="shared" si="1861"/>
        <v>#NAME?</v>
      </c>
      <c r="VK37" s="1391" t="s">
        <v>5361</v>
      </c>
      <c r="VL37" s="442"/>
      <c r="VM37" s="1051" t="str">
        <f t="shared" si="1799"/>
        <v>#NAME?</v>
      </c>
      <c r="VN37" s="1127" t="s">
        <v>3911</v>
      </c>
      <c r="VO37" s="1051" t="str">
        <f t="shared" si="1800"/>
        <v>#NAME?</v>
      </c>
      <c r="VP37" s="1131" t="str">
        <f t="shared" si="1801"/>
        <v>#NAME?</v>
      </c>
      <c r="VQ37" s="1095" t="s">
        <v>5448</v>
      </c>
      <c r="VR37" s="442"/>
      <c r="VS37" s="1294"/>
      <c r="VT37" s="1291" t="s">
        <v>5793</v>
      </c>
      <c r="VU37" s="12"/>
      <c r="VV37" s="962"/>
      <c r="VW37" s="1292" t="s">
        <v>4608</v>
      </c>
      <c r="VX37" s="442"/>
      <c r="VY37" s="1387" t="str">
        <f t="shared" si="1862"/>
        <v>#NAME?</v>
      </c>
      <c r="VZ37" s="1388" t="s">
        <v>705</v>
      </c>
      <c r="WA37" s="1387" t="str">
        <f t="shared" si="1863"/>
        <v>#NAME?</v>
      </c>
      <c r="WB37" s="1392" t="str">
        <f t="shared" si="1864"/>
        <v>#NAME?</v>
      </c>
      <c r="WC37" s="1391" t="s">
        <v>5034</v>
      </c>
      <c r="WD37" s="442"/>
      <c r="WE37" s="1289" t="s">
        <v>5681</v>
      </c>
      <c r="WF37" s="12"/>
      <c r="WG37" s="12"/>
      <c r="WH37" s="12"/>
      <c r="WI37" s="48"/>
      <c r="WJ37" s="442"/>
      <c r="WK37" s="977" t="str">
        <f t="shared" ref="WK37:WK39" si="1889">MONICON21(WL37)</f>
        <v>#NAME?</v>
      </c>
      <c r="WL37" s="1301" t="s">
        <v>1073</v>
      </c>
      <c r="WM37" s="977" t="str">
        <f t="shared" ref="WM37:WM39" si="1890">MONTYPEICON1(WL37)</f>
        <v>#NAME?</v>
      </c>
      <c r="WN37" s="980" t="str">
        <f t="shared" ref="WN37:WN39" si="1891">MONTYPEICON2(WL37)</f>
        <v>#NAME?</v>
      </c>
      <c r="WO37" s="1303" t="s">
        <v>5032</v>
      </c>
      <c r="WP37" s="442"/>
      <c r="WQ37" s="442"/>
      <c r="WR37" s="442"/>
      <c r="WS37" s="442"/>
      <c r="WT37" s="442"/>
      <c r="WU37" s="442"/>
      <c r="WV37" s="442"/>
      <c r="WW37" s="1294"/>
      <c r="WX37" s="1291" t="s">
        <v>5794</v>
      </c>
      <c r="WY37" s="12"/>
      <c r="WZ37" s="962"/>
      <c r="XA37" s="1292" t="s">
        <v>4608</v>
      </c>
      <c r="XB37" s="442"/>
      <c r="XH37" s="442"/>
      <c r="XI37" s="977" t="str">
        <f t="shared" ref="XI37:XI39" si="1892">MONICON21(XJ37)</f>
        <v>#NAME?</v>
      </c>
      <c r="XJ37" s="1301" t="s">
        <v>857</v>
      </c>
      <c r="XK37" s="977" t="str">
        <f t="shared" ref="XK37:XK39" si="1893">MONTYPEICON1(XJ37)</f>
        <v>#NAME?</v>
      </c>
      <c r="XL37" s="980" t="str">
        <f t="shared" ref="XL37:XL39" si="1894">MONTYPEICON2(XJ37)</f>
        <v>#NAME?</v>
      </c>
      <c r="XM37" s="1303" t="s">
        <v>5032</v>
      </c>
      <c r="XN37" s="442"/>
      <c r="XO37" s="1296"/>
      <c r="XP37" s="1291" t="s">
        <v>5795</v>
      </c>
      <c r="XQ37" s="12"/>
      <c r="XR37" s="962"/>
      <c r="XS37" s="1292" t="s">
        <v>4608</v>
      </c>
      <c r="XT37" s="442"/>
      <c r="XU37" s="1092"/>
      <c r="XV37" s="1229" t="s">
        <v>3872</v>
      </c>
      <c r="XW37" s="1092" t="str">
        <f>MONTYPEICON1(XV37)</f>
        <v>#NAME?</v>
      </c>
      <c r="XX37" s="987" t="str">
        <f>MONTYPEICON2(XV37)</f>
        <v>#NAME?</v>
      </c>
      <c r="XY37" s="1421" t="s">
        <v>5006</v>
      </c>
      <c r="XZ37" s="442"/>
      <c r="YA37" s="1033" t="str">
        <f t="shared" ref="YA37:YA38" si="1895">MONICON21(YB37)</f>
        <v>#NAME?</v>
      </c>
      <c r="YB37" s="1301" t="s">
        <v>2192</v>
      </c>
      <c r="YC37" s="977" t="str">
        <f t="shared" ref="YC37:YC38" si="1896">MONTYPEICON1(YB37)</f>
        <v>#NAME?</v>
      </c>
      <c r="YD37" s="980" t="str">
        <f t="shared" ref="YD37:YD38" si="1897">MONTYPEICON2(YB37)</f>
        <v>#NAME?</v>
      </c>
      <c r="YE37" s="1302" t="s">
        <v>5031</v>
      </c>
      <c r="YF37" s="442"/>
      <c r="YG37" s="977" t="str">
        <f t="shared" ref="YG37:YG40" si="1898">MONICON21(YH37)</f>
        <v>#NAME?</v>
      </c>
      <c r="YH37" s="1325" t="s">
        <v>4025</v>
      </c>
      <c r="YI37" s="977" t="str">
        <f t="shared" ref="YI37:YI40" si="1899">MONTYPEICON1(YH37)</f>
        <v>#NAME?</v>
      </c>
      <c r="YJ37" s="980" t="str">
        <f t="shared" ref="YJ37:YJ40" si="1900">MONTYPEICON2(YH37)</f>
        <v>#NAME?</v>
      </c>
      <c r="YK37" s="1326" t="s">
        <v>5069</v>
      </c>
      <c r="YL37" s="442"/>
      <c r="YM37" s="977" t="str">
        <f t="shared" ref="YM37:YM40" si="1901">MONICON21(YN37)</f>
        <v>#NAME?</v>
      </c>
      <c r="YN37" s="1325" t="s">
        <v>559</v>
      </c>
      <c r="YO37" s="977" t="str">
        <f t="shared" ref="YO37:YO40" si="1902">MONTYPEICON1(YN37)</f>
        <v>#NAME?</v>
      </c>
      <c r="YP37" s="980" t="str">
        <f t="shared" ref="YP37:YP40" si="1903">MONTYPEICON2(YN37)</f>
        <v>#NAME?</v>
      </c>
      <c r="YQ37" s="1326" t="s">
        <v>5033</v>
      </c>
      <c r="YR37" s="442"/>
      <c r="YS37" s="1294"/>
      <c r="YT37" s="1291" t="s">
        <v>5796</v>
      </c>
      <c r="YU37" s="12"/>
      <c r="YV37" s="962"/>
      <c r="YW37" s="1292" t="s">
        <v>4608</v>
      </c>
      <c r="YX37" s="442"/>
      <c r="YY37" s="108"/>
      <c r="YZ37" s="442"/>
      <c r="ZA37" s="108"/>
      <c r="ZB37" s="108"/>
      <c r="ZC37" s="442"/>
      <c r="ZD37" s="442"/>
      <c r="ZE37" s="1294"/>
      <c r="ZF37" s="1291" t="s">
        <v>5797</v>
      </c>
      <c r="ZG37" s="12"/>
      <c r="ZH37" s="962"/>
      <c r="ZI37" s="1292" t="s">
        <v>4608</v>
      </c>
      <c r="ZJ37" s="442"/>
      <c r="ZK37" s="1051" t="str">
        <f t="shared" si="1805"/>
        <v>#NAME?</v>
      </c>
      <c r="ZL37" s="1127" t="s">
        <v>713</v>
      </c>
      <c r="ZM37" s="1051" t="str">
        <f t="shared" si="1806"/>
        <v>#NAME?</v>
      </c>
      <c r="ZN37" s="1131" t="str">
        <f t="shared" si="1807"/>
        <v>#NAME?</v>
      </c>
      <c r="ZO37" s="1095" t="s">
        <v>5025</v>
      </c>
      <c r="ZP37" s="442"/>
      <c r="ZQ37" s="977" t="str">
        <f t="shared" ref="ZQ37:ZQ39" si="1904">MONICON21(ZR37)</f>
        <v>#NAME?</v>
      </c>
      <c r="ZR37" s="1301" t="s">
        <v>2477</v>
      </c>
      <c r="ZS37" s="977" t="str">
        <f t="shared" ref="ZS37:ZS39" si="1905">MONTYPEICON1(ZR37)</f>
        <v>#NAME?</v>
      </c>
      <c r="ZT37" s="980" t="str">
        <f t="shared" ref="ZT37:ZT39" si="1906">MONTYPEICON2(ZR37)</f>
        <v>#NAME?</v>
      </c>
      <c r="ZU37" s="1303" t="s">
        <v>5026</v>
      </c>
      <c r="ZV37" s="442"/>
      <c r="ZW37" s="1051" t="str">
        <f t="shared" si="1808"/>
        <v>#NAME?</v>
      </c>
      <c r="ZX37" s="1127" t="s">
        <v>3196</v>
      </c>
      <c r="ZY37" s="1051" t="str">
        <f t="shared" si="1809"/>
        <v>#NAME?</v>
      </c>
      <c r="ZZ37" s="1131" t="str">
        <f t="shared" si="1810"/>
        <v>#NAME?</v>
      </c>
      <c r="AAA37" s="1095" t="s">
        <v>5035</v>
      </c>
      <c r="AAB37" s="442"/>
      <c r="AAC37" s="484"/>
      <c r="AAD37" s="484"/>
      <c r="AAE37" s="484"/>
      <c r="AAF37" s="484"/>
      <c r="AAG37" s="484"/>
      <c r="AAH37" s="442"/>
      <c r="AAI37" s="1013" t="str">
        <f t="shared" si="1700"/>
        <v>#NAME?</v>
      </c>
      <c r="AAJ37" s="1098" t="s">
        <v>687</v>
      </c>
      <c r="AAK37" s="1013" t="str">
        <f t="shared" si="1701"/>
        <v>#NAME?</v>
      </c>
      <c r="AAL37" s="1015" t="str">
        <f t="shared" si="1702"/>
        <v>#NAME?</v>
      </c>
      <c r="AAM37" s="1423" t="s">
        <v>5227</v>
      </c>
      <c r="AAO37" s="1013" t="str">
        <f t="shared" si="1703"/>
        <v>#NAME?</v>
      </c>
      <c r="AAP37" s="1098" t="s">
        <v>1393</v>
      </c>
      <c r="AAQ37" s="1013" t="str">
        <f t="shared" si="1704"/>
        <v>#NAME?</v>
      </c>
      <c r="AAR37" s="1015" t="str">
        <f t="shared" si="1705"/>
        <v>#NAME?</v>
      </c>
      <c r="AAS37" s="1423" t="s">
        <v>5117</v>
      </c>
      <c r="AAU37" s="1013" t="str">
        <f t="shared" si="1706"/>
        <v>#NAME?</v>
      </c>
      <c r="AAV37" s="1098" t="s">
        <v>1393</v>
      </c>
      <c r="AAW37" s="1013" t="str">
        <f t="shared" si="1707"/>
        <v>#NAME?</v>
      </c>
      <c r="AAX37" s="1015" t="str">
        <f t="shared" si="1708"/>
        <v>#NAME?</v>
      </c>
      <c r="AAY37" s="1423" t="s">
        <v>5117</v>
      </c>
      <c r="ABA37" s="1013" t="str">
        <f t="shared" si="1709"/>
        <v>#NAME?</v>
      </c>
      <c r="ABB37" s="1098" t="s">
        <v>2954</v>
      </c>
      <c r="ABC37" s="1013" t="str">
        <f t="shared" si="1710"/>
        <v>#NAME?</v>
      </c>
      <c r="ABD37" s="1015" t="str">
        <f t="shared" si="1711"/>
        <v>#NAME?</v>
      </c>
      <c r="ABE37" s="1423" t="s">
        <v>5036</v>
      </c>
      <c r="ABG37" s="1013" t="str">
        <f t="shared" si="1712"/>
        <v>#NAME?</v>
      </c>
      <c r="ABH37" s="1098" t="s">
        <v>2831</v>
      </c>
      <c r="ABI37" s="1013" t="str">
        <f t="shared" si="1713"/>
        <v>#NAME?</v>
      </c>
      <c r="ABJ37" s="1015" t="str">
        <f t="shared" si="1714"/>
        <v>#NAME?</v>
      </c>
      <c r="ABK37" s="1423" t="s">
        <v>5036</v>
      </c>
      <c r="ABM37" s="1013" t="str">
        <f t="shared" si="1715"/>
        <v>#NAME?</v>
      </c>
      <c r="ABN37" s="1098" t="s">
        <v>4225</v>
      </c>
      <c r="ABO37" s="1013" t="str">
        <f t="shared" si="1716"/>
        <v>#NAME?</v>
      </c>
      <c r="ABP37" s="1015" t="str">
        <f t="shared" si="1717"/>
        <v>#NAME?</v>
      </c>
      <c r="ABQ37" s="1423" t="s">
        <v>5036</v>
      </c>
      <c r="ABS37" s="1013" t="str">
        <f t="shared" si="1718"/>
        <v>#NAME?</v>
      </c>
      <c r="ABT37" s="1098" t="s">
        <v>3722</v>
      </c>
      <c r="ABU37" s="1013" t="str">
        <f t="shared" si="1719"/>
        <v>#NAME?</v>
      </c>
      <c r="ABV37" s="1015" t="str">
        <f t="shared" si="1720"/>
        <v>#NAME?</v>
      </c>
      <c r="ABW37" s="1423" t="s">
        <v>5036</v>
      </c>
      <c r="ABY37" s="1484"/>
      <c r="ABZ37" s="1485" t="s">
        <v>5027</v>
      </c>
      <c r="ACA37" s="416"/>
      <c r="ACB37" s="1486"/>
      <c r="ACC37" s="1487" t="s">
        <v>4608</v>
      </c>
      <c r="ACE37" s="442"/>
      <c r="ACF37" s="442"/>
      <c r="ACG37" s="442"/>
      <c r="ACH37" s="442"/>
      <c r="ACI37" s="442"/>
      <c r="ACJ37" s="996"/>
    </row>
    <row r="38" ht="15.75" customHeight="1">
      <c r="A38" s="1230"/>
      <c r="B38" s="1444"/>
      <c r="C38" s="1445"/>
      <c r="D38" s="1446"/>
      <c r="E38" s="1230"/>
      <c r="F38" s="1238"/>
      <c r="G38" s="428"/>
      <c r="H38" s="1230"/>
      <c r="N38" s="1230"/>
      <c r="O38" s="1033" t="str">
        <f t="shared" ref="O38:O40" si="1907">MONICON21(P38)</f>
        <v>#NAME?</v>
      </c>
      <c r="P38" s="1301" t="s">
        <v>3707</v>
      </c>
      <c r="Q38" s="977" t="str">
        <f t="shared" ref="Q38:Q40" si="1908">MONTYPEICON1(P38)</f>
        <v>#NAME?</v>
      </c>
      <c r="R38" s="980" t="str">
        <f t="shared" ref="R38:R40" si="1909">MONTYPEICON2(P38)</f>
        <v>#NAME?</v>
      </c>
      <c r="S38" s="1303" t="s">
        <v>5097</v>
      </c>
      <c r="T38" s="1230"/>
      <c r="U38" s="1033" t="str">
        <f t="shared" ref="U38:U39" si="1910">MONICON21(V38)</f>
        <v>#NAME?</v>
      </c>
      <c r="V38" s="1301" t="s">
        <v>2743</v>
      </c>
      <c r="W38" s="977" t="str">
        <f t="shared" ref="W38:W39" si="1911">MONTYPEICON1(V38)</f>
        <v>#NAME?</v>
      </c>
      <c r="X38" s="980" t="str">
        <f t="shared" ref="X38:X39" si="1912">MONTYPEICON2(V38)</f>
        <v>#NAME?</v>
      </c>
      <c r="Y38" s="1303" t="s">
        <v>5130</v>
      </c>
      <c r="Z38" s="1230"/>
      <c r="AA38" s="1071" t="str">
        <f t="shared" si="1865"/>
        <v>#NAME?</v>
      </c>
      <c r="AB38" s="1076" t="s">
        <v>2202</v>
      </c>
      <c r="AC38" s="1071" t="str">
        <f t="shared" si="1866"/>
        <v>#NAME?</v>
      </c>
      <c r="AD38" s="1073" t="str">
        <f t="shared" si="1867"/>
        <v>#NAME?</v>
      </c>
      <c r="AE38" s="1093" t="s">
        <v>4991</v>
      </c>
      <c r="AF38" s="1230"/>
      <c r="AL38" s="1230"/>
      <c r="AM38" s="1051" t="str">
        <f t="shared" si="1814"/>
        <v>#NAME?</v>
      </c>
      <c r="AN38" s="1479" t="s">
        <v>1584</v>
      </c>
      <c r="AO38" s="1051" t="str">
        <f t="shared" si="1815"/>
        <v>#NAME?</v>
      </c>
      <c r="AP38" s="1131" t="str">
        <f t="shared" si="1816"/>
        <v>#NAME?</v>
      </c>
      <c r="AQ38" s="1411" t="s">
        <v>5076</v>
      </c>
      <c r="AR38" s="1230"/>
      <c r="AS38" s="1520" t="str">
        <f t="shared" si="1778"/>
        <v>#NAME?</v>
      </c>
      <c r="AT38" s="1449" t="s">
        <v>3941</v>
      </c>
      <c r="AU38" s="1348" t="str">
        <f t="shared" si="1779"/>
        <v>#NAME?</v>
      </c>
      <c r="AV38" s="1349" t="str">
        <f t="shared" si="1780"/>
        <v>#NAME?</v>
      </c>
      <c r="AW38" s="1450" t="s">
        <v>4994</v>
      </c>
      <c r="AX38" s="1230"/>
      <c r="AY38" s="1033" t="str">
        <f t="shared" ref="AY38:AY39" si="1913">MONICON21(AZ38)</f>
        <v>#NAME?</v>
      </c>
      <c r="AZ38" s="1407" t="s">
        <v>3635</v>
      </c>
      <c r="BA38" s="977" t="str">
        <f t="shared" ref="BA38:BA39" si="1914">MONTYPEICON1(AZ38)</f>
        <v>#NAME?</v>
      </c>
      <c r="BB38" s="980" t="str">
        <f t="shared" ref="BB38:BB39" si="1915">MONTYPEICON2(AZ38)</f>
        <v>#NAME?</v>
      </c>
      <c r="BC38" s="1408" t="s">
        <v>5337</v>
      </c>
      <c r="BD38" s="442"/>
      <c r="BJ38" s="442"/>
      <c r="BK38" s="1071" t="str">
        <f t="shared" si="1868"/>
        <v>#NAME?</v>
      </c>
      <c r="BL38" s="1337" t="s">
        <v>4069</v>
      </c>
      <c r="BM38" s="1071" t="str">
        <f t="shared" si="1869"/>
        <v>#NAME?</v>
      </c>
      <c r="BN38" s="1073" t="str">
        <f t="shared" si="1870"/>
        <v>#NAME?</v>
      </c>
      <c r="BO38" s="1338" t="s">
        <v>4994</v>
      </c>
      <c r="BP38" s="442"/>
      <c r="BQ38" s="1255"/>
      <c r="BR38" s="1259" t="s">
        <v>5798</v>
      </c>
      <c r="BS38" s="12"/>
      <c r="BT38" s="962"/>
      <c r="BU38" s="1258" t="s">
        <v>4608</v>
      </c>
      <c r="BV38" s="442"/>
      <c r="CB38" s="442"/>
      <c r="CH38" s="442"/>
      <c r="CI38" s="1012" t="str">
        <f t="shared" ref="CI38:CI40" si="1916">MONICON21(CJ38)</f>
        <v>#NAME?</v>
      </c>
      <c r="CJ38" s="1304" t="s">
        <v>1029</v>
      </c>
      <c r="CK38" s="977" t="str">
        <f t="shared" ref="CK38:CK40" si="1917">MONTYPEICON1(CJ38)</f>
        <v>#NAME?</v>
      </c>
      <c r="CL38" s="980" t="str">
        <f t="shared" ref="CL38:CL40" si="1918">MONTYPEICON2(CJ38)</f>
        <v>#NAME?</v>
      </c>
      <c r="CM38" s="1305" t="s">
        <v>5099</v>
      </c>
      <c r="CN38" s="442"/>
      <c r="CT38" s="442"/>
      <c r="CU38" s="1193" t="str">
        <f t="shared" si="1871"/>
        <v>#NAME?</v>
      </c>
      <c r="CV38" s="1335" t="s">
        <v>284</v>
      </c>
      <c r="CW38" s="1146" t="str">
        <f t="shared" si="1872"/>
        <v>#NAME?</v>
      </c>
      <c r="CX38" s="1148" t="str">
        <f t="shared" si="1873"/>
        <v>#NAME?</v>
      </c>
      <c r="CY38" s="1336" t="s">
        <v>4999</v>
      </c>
      <c r="CZ38" s="442"/>
      <c r="DA38" s="1094" t="str">
        <f t="shared" si="1820"/>
        <v>#NAME?</v>
      </c>
      <c r="DB38" s="1410" t="s">
        <v>53</v>
      </c>
      <c r="DC38" s="1051" t="str">
        <f t="shared" si="1821"/>
        <v>#NAME?</v>
      </c>
      <c r="DD38" s="1131" t="str">
        <f t="shared" si="1822"/>
        <v>#NAME?</v>
      </c>
      <c r="DE38" s="1411" t="s">
        <v>5099</v>
      </c>
      <c r="DF38" s="442"/>
      <c r="DL38" s="442"/>
      <c r="DM38" s="1094" t="str">
        <f t="shared" si="1823"/>
        <v>#NAME?</v>
      </c>
      <c r="DN38" s="1410" t="s">
        <v>2232</v>
      </c>
      <c r="DO38" s="1051" t="str">
        <f t="shared" si="1824"/>
        <v>#NAME?</v>
      </c>
      <c r="DP38" s="1131" t="str">
        <f t="shared" si="1825"/>
        <v>#NAME?</v>
      </c>
      <c r="DQ38" s="1411" t="s">
        <v>4998</v>
      </c>
      <c r="DR38" s="442"/>
      <c r="DX38" s="442"/>
      <c r="ED38" s="442"/>
      <c r="EG38" s="349"/>
      <c r="EH38" s="349"/>
      <c r="EJ38" s="1230"/>
      <c r="EK38" s="1535" t="s">
        <v>5799</v>
      </c>
      <c r="EL38" s="976"/>
      <c r="EM38" s="976"/>
      <c r="EN38" s="974"/>
      <c r="EO38" s="1536" t="s">
        <v>4608</v>
      </c>
      <c r="EP38" s="1230"/>
      <c r="EQ38" s="985" t="str">
        <f>MONICON21(ER38)</f>
        <v>#NAME?</v>
      </c>
      <c r="ER38" s="1052" t="s">
        <v>2030</v>
      </c>
      <c r="ES38" s="1092" t="str">
        <f>MONTYPEICON1(ER38)</f>
        <v>#NAME?</v>
      </c>
      <c r="ET38" s="987" t="str">
        <f>MONTYPEICON2(ER38)</f>
        <v>#NAME?</v>
      </c>
      <c r="EU38" s="1091" t="s">
        <v>5078</v>
      </c>
      <c r="EV38" s="1230"/>
      <c r="EW38" s="1068" t="str">
        <f t="shared" si="1781"/>
        <v>#NAME?</v>
      </c>
      <c r="EX38" s="1078" t="s">
        <v>2277</v>
      </c>
      <c r="EY38" s="1071" t="str">
        <f t="shared" si="1782"/>
        <v>#NAME?</v>
      </c>
      <c r="EZ38" s="1073" t="str">
        <f t="shared" si="1783"/>
        <v>#NAME?</v>
      </c>
      <c r="FA38" s="1093" t="s">
        <v>4998</v>
      </c>
      <c r="FB38" s="1230"/>
      <c r="FC38" s="1094" t="str">
        <f t="shared" si="1826"/>
        <v>#NAME?</v>
      </c>
      <c r="FD38" s="1479" t="s">
        <v>3832</v>
      </c>
      <c r="FE38" s="1051" t="str">
        <f t="shared" si="1827"/>
        <v>#NAME?</v>
      </c>
      <c r="FF38" s="1131" t="str">
        <f t="shared" si="1828"/>
        <v>#NAME?</v>
      </c>
      <c r="FG38" s="1095" t="s">
        <v>5078</v>
      </c>
      <c r="FH38" s="1230"/>
      <c r="FI38" s="1266"/>
      <c r="FJ38" s="1259" t="s">
        <v>5800</v>
      </c>
      <c r="FK38" s="12"/>
      <c r="FL38" s="962"/>
      <c r="FM38" s="1258" t="s">
        <v>4608</v>
      </c>
      <c r="FN38" s="1230"/>
      <c r="FO38" s="1012" t="str">
        <f t="shared" ref="FO38:FO39" si="1919">MONICON21(FP38)</f>
        <v>#NAME?</v>
      </c>
      <c r="FP38" s="1157" t="s">
        <v>1107</v>
      </c>
      <c r="FQ38" s="977" t="str">
        <f t="shared" ref="FQ38:FQ39" si="1920">MONTYPEICON1(FP38)</f>
        <v>#NAME?</v>
      </c>
      <c r="FR38" s="980" t="str">
        <f t="shared" ref="FR38:FR39" si="1921">MONTYPEICON2(FP38)</f>
        <v>#NAME?</v>
      </c>
      <c r="FS38" s="1303" t="s">
        <v>5001</v>
      </c>
      <c r="FT38" s="1230"/>
      <c r="FU38" s="1096" t="str">
        <f t="shared" si="1829"/>
        <v>#NAME?</v>
      </c>
      <c r="FV38" s="89" t="s">
        <v>3047</v>
      </c>
      <c r="FW38" s="1013" t="str">
        <f t="shared" si="1830"/>
        <v>#NAME?</v>
      </c>
      <c r="FX38" s="1015" t="str">
        <f t="shared" si="1831"/>
        <v>#NAME?</v>
      </c>
      <c r="FY38" s="1108" t="s">
        <v>5082</v>
      </c>
      <c r="FZ38" s="65"/>
      <c r="GC38" s="349"/>
      <c r="GD38" s="349"/>
      <c r="GF38" s="442"/>
      <c r="GG38" s="983" t="str">
        <f t="shared" ref="GG38:GG40" si="1922">MONICON21(GH38)</f>
        <v>#NAME?</v>
      </c>
      <c r="GH38" s="1157" t="s">
        <v>734</v>
      </c>
      <c r="GI38" s="977" t="str">
        <f t="shared" ref="GI38:GI40" si="1923">MONTYPEICON1(GH38)</f>
        <v>#NAME?</v>
      </c>
      <c r="GJ38" s="980" t="str">
        <f t="shared" ref="GJ38:GJ40" si="1924">MONTYPEICON2(GH38)</f>
        <v>#NAME?</v>
      </c>
      <c r="GK38" s="1303" t="s">
        <v>5003</v>
      </c>
      <c r="GL38" s="1230"/>
      <c r="GO38" s="349"/>
      <c r="GP38" s="349"/>
      <c r="GR38" s="65"/>
      <c r="GU38" s="349"/>
      <c r="GV38" s="349"/>
      <c r="GW38" s="349"/>
      <c r="GX38" s="65"/>
      <c r="HA38" s="349"/>
      <c r="HB38" s="349"/>
      <c r="HD38" s="1230"/>
      <c r="HE38" s="1068" t="str">
        <f t="shared" si="1874"/>
        <v>#NAME?</v>
      </c>
      <c r="HF38" s="1356" t="s">
        <v>4204</v>
      </c>
      <c r="HG38" s="1071" t="str">
        <f t="shared" si="1875"/>
        <v>#NAME?</v>
      </c>
      <c r="HH38" s="1073" t="str">
        <f t="shared" si="1876"/>
        <v>#NAME?</v>
      </c>
      <c r="HI38" s="1093" t="s">
        <v>5006</v>
      </c>
      <c r="HJ38" s="1230"/>
      <c r="HK38" s="1094" t="str">
        <f t="shared" si="1832"/>
        <v>#NAME?</v>
      </c>
      <c r="HL38" s="1479" t="s">
        <v>653</v>
      </c>
      <c r="HM38" s="1051" t="str">
        <f t="shared" si="1833"/>
        <v>#NAME?</v>
      </c>
      <c r="HN38" s="1131" t="str">
        <f t="shared" si="1834"/>
        <v>#NAME?</v>
      </c>
      <c r="HO38" s="1095" t="s">
        <v>5006</v>
      </c>
      <c r="HP38" s="65"/>
      <c r="HQ38" s="65"/>
      <c r="HR38" s="65"/>
      <c r="HS38" s="108"/>
      <c r="HT38" s="108"/>
      <c r="HU38" s="65"/>
      <c r="HV38" s="65"/>
      <c r="HW38" s="21"/>
      <c r="HX38" s="21"/>
      <c r="HY38" s="349"/>
      <c r="HZ38" s="349"/>
      <c r="IB38" s="65"/>
      <c r="IE38" s="349"/>
      <c r="IF38" s="349"/>
      <c r="II38" s="1096" t="str">
        <f t="shared" si="1739"/>
        <v>#NAME?</v>
      </c>
      <c r="IJ38" s="1415" t="s">
        <v>1384</v>
      </c>
      <c r="IK38" s="1418" t="str">
        <f t="shared" si="1740"/>
        <v>#NAME?</v>
      </c>
      <c r="IL38" s="1419" t="str">
        <f t="shared" si="1741"/>
        <v>#NAME?</v>
      </c>
      <c r="IM38" s="1416" t="s">
        <v>5008</v>
      </c>
      <c r="IQ38" s="349"/>
      <c r="IR38" s="349"/>
      <c r="IT38" s="1230"/>
      <c r="IW38" s="349"/>
      <c r="IX38" s="349"/>
      <c r="IZ38" s="1230"/>
      <c r="JA38" s="1094" t="str">
        <f t="shared" si="1835"/>
        <v>#NAME?</v>
      </c>
      <c r="JB38" s="1479" t="s">
        <v>3683</v>
      </c>
      <c r="JC38" s="1420" t="str">
        <f t="shared" si="1836"/>
        <v>#NAME?</v>
      </c>
      <c r="JD38" s="475" t="str">
        <f t="shared" si="1837"/>
        <v>#NAME?</v>
      </c>
      <c r="JE38" s="1411" t="s">
        <v>5214</v>
      </c>
      <c r="JF38" s="1230"/>
      <c r="JG38" s="985" t="str">
        <f>MONICON21(JH38)</f>
        <v>#NAME?</v>
      </c>
      <c r="JH38" s="146" t="s">
        <v>2442</v>
      </c>
      <c r="JI38" s="22" t="str">
        <f>MONTYPEICON1(JH38)</f>
        <v>#NAME?</v>
      </c>
      <c r="JJ38" s="24" t="str">
        <f>MONTYPEICON2(JH38)</f>
        <v>#NAME?</v>
      </c>
      <c r="JK38" s="1196" t="s">
        <v>5009</v>
      </c>
      <c r="JL38" s="1230"/>
      <c r="JO38" s="349"/>
      <c r="JP38" s="349"/>
      <c r="JR38" s="1230"/>
      <c r="JU38" s="349"/>
      <c r="JV38" s="349"/>
      <c r="KA38" s="349"/>
      <c r="KB38" s="349"/>
      <c r="KE38" s="1266"/>
      <c r="KF38" s="1259" t="s">
        <v>5801</v>
      </c>
      <c r="KG38" s="12"/>
      <c r="KH38" s="962"/>
      <c r="KI38" s="1258" t="s">
        <v>4608</v>
      </c>
      <c r="KJ38" s="65"/>
      <c r="KM38" s="349"/>
      <c r="KN38" s="349"/>
      <c r="KP38" s="65"/>
      <c r="KQ38" s="1105" t="str">
        <f t="shared" si="1670"/>
        <v>#NAME?</v>
      </c>
      <c r="KR38" s="1505" t="s">
        <v>3769</v>
      </c>
      <c r="KS38" s="1373" t="str">
        <f t="shared" si="1671"/>
        <v>#NAME?</v>
      </c>
      <c r="KT38" s="1374" t="str">
        <f t="shared" si="1672"/>
        <v>#NAME?</v>
      </c>
      <c r="KU38" s="1599" t="s">
        <v>5106</v>
      </c>
      <c r="KV38" s="65"/>
      <c r="KW38" s="1049" t="str">
        <f t="shared" si="1841"/>
        <v>#NAME?</v>
      </c>
      <c r="KX38" s="1127" t="s">
        <v>3810</v>
      </c>
      <c r="KY38" s="1051" t="str">
        <f t="shared" si="1842"/>
        <v>#NAME?</v>
      </c>
      <c r="KZ38" s="1131" t="str">
        <f t="shared" si="1843"/>
        <v>#NAME?</v>
      </c>
      <c r="LA38" s="1422" t="s">
        <v>5014</v>
      </c>
      <c r="LB38" s="442"/>
      <c r="LE38" s="349"/>
      <c r="LF38" s="349"/>
      <c r="LI38" s="1627" t="s">
        <v>5802</v>
      </c>
      <c r="LJ38" s="959"/>
      <c r="LK38" s="959"/>
      <c r="LL38" s="959"/>
      <c r="LM38" s="960"/>
      <c r="LO38" s="1096" t="str">
        <f t="shared" si="1742"/>
        <v>#NAME?</v>
      </c>
      <c r="LP38" s="1304" t="s">
        <v>4225</v>
      </c>
      <c r="LQ38" s="1418" t="str">
        <f t="shared" si="1743"/>
        <v>#NAME?</v>
      </c>
      <c r="LR38" s="1419" t="str">
        <f t="shared" si="1744"/>
        <v>#NAME?</v>
      </c>
      <c r="LS38" s="1321" t="s">
        <v>5164</v>
      </c>
      <c r="LU38" s="1351" t="str">
        <f t="shared" si="1877"/>
        <v>#NAME?</v>
      </c>
      <c r="LV38" s="1372" t="s">
        <v>2519</v>
      </c>
      <c r="LW38" s="1353" t="str">
        <f t="shared" si="1878"/>
        <v>#NAME?</v>
      </c>
      <c r="LX38" s="1354" t="str">
        <f t="shared" si="1879"/>
        <v>#NAME?</v>
      </c>
      <c r="LY38" s="1367" t="s">
        <v>5106</v>
      </c>
      <c r="LZ38" s="442"/>
      <c r="MC38" s="349"/>
      <c r="MD38" s="349"/>
      <c r="MF38" s="442"/>
      <c r="MI38" s="349"/>
      <c r="MJ38" s="349"/>
      <c r="ML38" s="442"/>
      <c r="MM38" s="985" t="str">
        <f>MONICON21(MN38)</f>
        <v>#NAME?</v>
      </c>
      <c r="MN38" s="1052" t="s">
        <v>535</v>
      </c>
      <c r="MO38" s="1092" t="str">
        <f>MONTYPEICON1(MN38)</f>
        <v>#NAME?</v>
      </c>
      <c r="MP38" s="987" t="str">
        <f>MONTYPEICON2(MN38)</f>
        <v>#NAME?</v>
      </c>
      <c r="MQ38" s="1573" t="s">
        <v>5051</v>
      </c>
      <c r="MS38" s="1351" t="str">
        <f t="shared" si="1880"/>
        <v>#NAME?</v>
      </c>
      <c r="MT38" s="1372" t="s">
        <v>2503</v>
      </c>
      <c r="MU38" s="1353" t="str">
        <f t="shared" si="1881"/>
        <v>#NAME?</v>
      </c>
      <c r="MV38" s="1354" t="str">
        <f t="shared" si="1882"/>
        <v>#NAME?</v>
      </c>
      <c r="MW38" s="1367" t="s">
        <v>5051</v>
      </c>
      <c r="MX38" s="442"/>
      <c r="NA38" s="349"/>
      <c r="NB38" s="349"/>
      <c r="ND38" s="442"/>
      <c r="NG38" s="349"/>
      <c r="NH38" s="349"/>
      <c r="NJ38" s="65"/>
      <c r="NK38" s="983" t="str">
        <f t="shared" ref="NK38:NK40" si="1925">MONICON21(NL38)</f>
        <v>#NAME?</v>
      </c>
      <c r="NL38" s="1301" t="s">
        <v>2268</v>
      </c>
      <c r="NM38" s="1313" t="str">
        <f t="shared" ref="NM38:NM40" si="1926">MONTYPEICON1(NL38)</f>
        <v>#NAME?</v>
      </c>
      <c r="NN38" s="1314" t="str">
        <f t="shared" ref="NN38:NN40" si="1927">MONTYPEICON2(NL38)</f>
        <v>#NAME?</v>
      </c>
      <c r="NO38" s="1318" t="s">
        <v>5051</v>
      </c>
      <c r="NQ38" s="1056" t="str">
        <f t="shared" si="1790"/>
        <v>#NAME?</v>
      </c>
      <c r="NR38" s="1465" t="s">
        <v>4275</v>
      </c>
      <c r="NS38" s="1502" t="str">
        <f t="shared" si="1791"/>
        <v>#NAME?</v>
      </c>
      <c r="NT38" s="1503" t="str">
        <f t="shared" si="1792"/>
        <v>#NAME?</v>
      </c>
      <c r="NU38" s="1378" t="s">
        <v>5431</v>
      </c>
      <c r="NV38" s="442"/>
      <c r="NW38" s="1266"/>
      <c r="NX38" s="1259" t="s">
        <v>5803</v>
      </c>
      <c r="NY38" s="12"/>
      <c r="NZ38" s="962"/>
      <c r="OA38" s="1258" t="s">
        <v>4608</v>
      </c>
      <c r="OB38" s="442"/>
      <c r="OE38" s="349"/>
      <c r="OF38" s="349"/>
      <c r="OH38" s="442"/>
      <c r="OK38" s="349"/>
      <c r="OL38" s="349"/>
      <c r="ON38" s="442"/>
      <c r="OO38" s="1193" t="str">
        <f t="shared" si="1793"/>
        <v>#NAME?</v>
      </c>
      <c r="OP38" s="1145" t="s">
        <v>3021</v>
      </c>
      <c r="OQ38" s="1462" t="str">
        <f t="shared" si="1794"/>
        <v>#NAME?</v>
      </c>
      <c r="OR38" s="1463" t="str">
        <f t="shared" si="1795"/>
        <v>#NAME?</v>
      </c>
      <c r="OS38" s="1464" t="s">
        <v>5020</v>
      </c>
      <c r="OW38" s="349"/>
      <c r="OX38" s="349"/>
      <c r="OZ38" s="442"/>
      <c r="PC38" s="349"/>
      <c r="PD38" s="349"/>
      <c r="PF38" s="442"/>
      <c r="PG38" s="1094" t="str">
        <f t="shared" si="1844"/>
        <v>#NAME?</v>
      </c>
      <c r="PH38" s="1127" t="s">
        <v>4091</v>
      </c>
      <c r="PI38" s="1420" t="str">
        <f t="shared" si="1845"/>
        <v>#NAME?</v>
      </c>
      <c r="PJ38" s="475" t="str">
        <f t="shared" si="1846"/>
        <v>#NAME?</v>
      </c>
      <c r="PK38" s="1422" t="s">
        <v>5022</v>
      </c>
      <c r="PL38" s="65"/>
      <c r="PM38" s="1096" t="str">
        <f t="shared" si="1847"/>
        <v>#NAME?</v>
      </c>
      <c r="PN38" s="1098" t="s">
        <v>4153</v>
      </c>
      <c r="PO38" s="1417" t="str">
        <f t="shared" si="1848"/>
        <v>#NAME?</v>
      </c>
      <c r="PP38" s="62" t="str">
        <f t="shared" si="1849"/>
        <v>#NAME?</v>
      </c>
      <c r="PQ38" s="1423" t="s">
        <v>5410</v>
      </c>
      <c r="PR38" s="442"/>
      <c r="PU38" s="349"/>
      <c r="PV38" s="349"/>
      <c r="PX38" s="442"/>
      <c r="PY38" s="1096" t="str">
        <f t="shared" si="1748"/>
        <v>#NAME?</v>
      </c>
      <c r="PZ38" s="1098" t="s">
        <v>1393</v>
      </c>
      <c r="QA38" s="1418" t="str">
        <f t="shared" si="1749"/>
        <v>#NAME?</v>
      </c>
      <c r="QB38" s="1419" t="str">
        <f t="shared" si="1750"/>
        <v>#NAME?</v>
      </c>
      <c r="QC38" s="1423" t="s">
        <v>5023</v>
      </c>
      <c r="QD38" s="442"/>
      <c r="QG38" s="349"/>
      <c r="QH38" s="349"/>
      <c r="QJ38" s="442"/>
      <c r="QK38" s="442"/>
      <c r="QL38" s="442"/>
      <c r="QM38" s="108"/>
      <c r="QN38" s="108"/>
      <c r="QO38" s="442"/>
      <c r="QP38" s="442"/>
      <c r="QQ38" s="442"/>
      <c r="QR38" s="442"/>
      <c r="QS38" s="108"/>
      <c r="QT38" s="108"/>
      <c r="QU38" s="442"/>
      <c r="QY38" s="108"/>
      <c r="QZ38" s="349"/>
      <c r="RB38" s="442"/>
      <c r="RE38" s="349"/>
      <c r="RF38" s="349"/>
      <c r="RH38" s="442"/>
      <c r="RI38" s="442"/>
      <c r="RJ38" s="442"/>
      <c r="RK38" s="108"/>
      <c r="RL38" s="108"/>
      <c r="RM38" s="442"/>
      <c r="RN38" s="442"/>
      <c r="RO38" s="1012" t="str">
        <f t="shared" ref="RO38:RO39" si="1928">MONICON21(RP38)</f>
        <v>#NAME?</v>
      </c>
      <c r="RP38" s="1301" t="s">
        <v>878</v>
      </c>
      <c r="RQ38" s="1311" t="str">
        <f t="shared" ref="RQ38:RQ39" si="1929">MONTYPEICON1(RP38)</f>
        <v>#NAME?</v>
      </c>
      <c r="RR38" s="1312" t="str">
        <f t="shared" ref="RR38:RR39" si="1930">MONTYPEICON2(RP38)</f>
        <v>#NAME?</v>
      </c>
      <c r="RS38" s="1318" t="s">
        <v>5113</v>
      </c>
      <c r="RT38" s="442"/>
      <c r="RW38" s="349"/>
      <c r="RX38" s="349"/>
      <c r="RZ38" s="442"/>
      <c r="SA38" s="1266"/>
      <c r="SB38" s="1259" t="s">
        <v>5804</v>
      </c>
      <c r="SC38" s="12"/>
      <c r="SD38" s="962"/>
      <c r="SE38" s="1004" t="s">
        <v>4608</v>
      </c>
      <c r="SF38" s="442"/>
      <c r="SI38" s="349"/>
      <c r="SJ38" s="349"/>
      <c r="SL38" s="442"/>
      <c r="SM38" s="1096" t="str">
        <f t="shared" si="1754"/>
        <v>#NAME?</v>
      </c>
      <c r="SN38" s="1304" t="s">
        <v>4010</v>
      </c>
      <c r="SO38" s="1013" t="str">
        <f t="shared" si="1755"/>
        <v>#NAME?</v>
      </c>
      <c r="SP38" s="1015" t="str">
        <f t="shared" si="1756"/>
        <v>#NAME?</v>
      </c>
      <c r="SQ38" s="1321" t="s">
        <v>5024</v>
      </c>
      <c r="SR38" s="442"/>
      <c r="SU38" s="349"/>
      <c r="SV38" s="349"/>
      <c r="SX38" s="442"/>
      <c r="SY38" s="1012" t="str">
        <f t="shared" ref="SY38:SY39" si="1931">MONICON21(SZ38)</f>
        <v>#NAME?</v>
      </c>
      <c r="SZ38" s="1301" t="s">
        <v>2156</v>
      </c>
      <c r="TA38" s="1311" t="str">
        <f t="shared" ref="TA38:TA39" si="1932">MONTYPEICON1(SZ38)</f>
        <v>#NAME?</v>
      </c>
      <c r="TB38" s="1312" t="str">
        <f t="shared" ref="TB38:TB39" si="1933">MONTYPEICON2(SZ38)</f>
        <v>#NAME?</v>
      </c>
      <c r="TC38" s="1318" t="s">
        <v>5112</v>
      </c>
      <c r="TD38" s="65"/>
      <c r="TE38" s="1535" t="s">
        <v>5805</v>
      </c>
      <c r="TF38" s="976"/>
      <c r="TG38" s="976"/>
      <c r="TH38" s="974"/>
      <c r="TI38" s="1576" t="s">
        <v>4608</v>
      </c>
      <c r="TJ38" s="442"/>
      <c r="TK38" s="1094" t="str">
        <f t="shared" si="1850"/>
        <v>#NAME?</v>
      </c>
      <c r="TL38" s="1127" t="s">
        <v>3103</v>
      </c>
      <c r="TM38" s="1420" t="str">
        <f t="shared" si="1851"/>
        <v>#NAME?</v>
      </c>
      <c r="TN38" s="475" t="str">
        <f t="shared" si="1852"/>
        <v>#NAME?</v>
      </c>
      <c r="TO38" s="1422" t="s">
        <v>5026</v>
      </c>
      <c r="TP38" s="442"/>
      <c r="TQ38" s="1094" t="str">
        <f t="shared" si="1853"/>
        <v>#NAME?</v>
      </c>
      <c r="TR38" s="1127" t="s">
        <v>2192</v>
      </c>
      <c r="TS38" s="1420" t="str">
        <f t="shared" si="1854"/>
        <v>#NAME?</v>
      </c>
      <c r="TT38" s="475" t="str">
        <f t="shared" si="1855"/>
        <v>#NAME?</v>
      </c>
      <c r="TU38" s="1422" t="s">
        <v>5026</v>
      </c>
      <c r="TV38" s="65"/>
      <c r="TW38" s="1428" t="str">
        <f t="shared" si="1796"/>
        <v>#NAME?</v>
      </c>
      <c r="TX38" s="1429" t="s">
        <v>3485</v>
      </c>
      <c r="TY38" s="1428" t="str">
        <f t="shared" si="1797"/>
        <v>#NAME?</v>
      </c>
      <c r="TZ38" s="1430" t="str">
        <f t="shared" si="1798"/>
        <v>#NAME?</v>
      </c>
      <c r="UA38" s="1431" t="s">
        <v>5229</v>
      </c>
      <c r="UI38" s="1290"/>
      <c r="UJ38" s="1291" t="s">
        <v>5806</v>
      </c>
      <c r="UK38" s="12"/>
      <c r="UL38" s="962"/>
      <c r="UM38" s="1292" t="s">
        <v>4608</v>
      </c>
      <c r="UO38" s="1383" t="str">
        <f t="shared" si="1883"/>
        <v>#NAME?</v>
      </c>
      <c r="UP38" s="1384" t="s">
        <v>474</v>
      </c>
      <c r="UQ38" s="1383" t="str">
        <f t="shared" si="1884"/>
        <v>#NAME?</v>
      </c>
      <c r="UR38" s="1385" t="str">
        <f t="shared" si="1885"/>
        <v>#NAME?</v>
      </c>
      <c r="US38" s="1386" t="s">
        <v>5030</v>
      </c>
      <c r="UU38" s="977" t="str">
        <f t="shared" ref="UU38:UU40" si="1934">MONICON21(UV38)</f>
        <v>#NAME?</v>
      </c>
      <c r="UV38" s="1301" t="s">
        <v>1705</v>
      </c>
      <c r="UW38" s="979" t="str">
        <f t="shared" ref="UW38:UW40" si="1935">MONTYPEICON1(UV38)</f>
        <v>#NAME?</v>
      </c>
      <c r="UX38" s="1314" t="str">
        <f t="shared" ref="UX38:UX40" si="1936">MONTYPEICON2(UV38)</f>
        <v>#NAME?</v>
      </c>
      <c r="UY38" s="1303" t="s">
        <v>5279</v>
      </c>
      <c r="VA38" s="1383" t="str">
        <f t="shared" si="1886"/>
        <v>#NAME?</v>
      </c>
      <c r="VB38" s="1384" t="s">
        <v>742</v>
      </c>
      <c r="VC38" s="1383" t="str">
        <f t="shared" si="1887"/>
        <v>#NAME?</v>
      </c>
      <c r="VD38" s="1385" t="str">
        <f t="shared" si="1888"/>
        <v>#NAME?</v>
      </c>
      <c r="VE38" s="1386" t="s">
        <v>5118</v>
      </c>
      <c r="VG38" s="1051" t="str">
        <f t="shared" si="1859"/>
        <v>#NAME?</v>
      </c>
      <c r="VH38" s="1127" t="s">
        <v>785</v>
      </c>
      <c r="VI38" s="1051" t="str">
        <f t="shared" si="1860"/>
        <v>#NAME?</v>
      </c>
      <c r="VJ38" s="1131" t="str">
        <f t="shared" si="1861"/>
        <v>#NAME?</v>
      </c>
      <c r="VK38" s="1095" t="s">
        <v>5361</v>
      </c>
      <c r="VL38" s="442"/>
      <c r="VR38" s="442"/>
      <c r="VS38" s="1033" t="str">
        <f t="shared" ref="VS38:VS39" si="1937">MONICON21(VT38)</f>
        <v>#NAME?</v>
      </c>
      <c r="VT38" s="1301" t="s">
        <v>1546</v>
      </c>
      <c r="VU38" s="977" t="str">
        <f t="shared" ref="VU38:VU39" si="1938">MONTYPEICON1(VT38)</f>
        <v>#NAME?</v>
      </c>
      <c r="VV38" s="980" t="str">
        <f t="shared" ref="VV38:VV39" si="1939">MONTYPEICON2(VT38)</f>
        <v>#NAME?</v>
      </c>
      <c r="VW38" s="1302" t="s">
        <v>5006</v>
      </c>
      <c r="VX38" s="442"/>
      <c r="VY38" s="1051" t="str">
        <f t="shared" si="1862"/>
        <v>#NAME?</v>
      </c>
      <c r="VZ38" s="1127" t="s">
        <v>3176</v>
      </c>
      <c r="WA38" s="1051" t="str">
        <f t="shared" si="1863"/>
        <v>#NAME?</v>
      </c>
      <c r="WB38" s="1131" t="str">
        <f t="shared" si="1864"/>
        <v>#NAME?</v>
      </c>
      <c r="WC38" s="1095" t="s">
        <v>5034</v>
      </c>
      <c r="WD38" s="442"/>
      <c r="WJ38" s="442"/>
      <c r="WK38" s="1387" t="str">
        <f t="shared" si="1889"/>
        <v>#NAME?</v>
      </c>
      <c r="WL38" s="1388" t="s">
        <v>4146</v>
      </c>
      <c r="WM38" s="1387" t="str">
        <f t="shared" si="1890"/>
        <v>#NAME?</v>
      </c>
      <c r="WN38" s="1392" t="str">
        <f t="shared" si="1891"/>
        <v>#NAME?</v>
      </c>
      <c r="WO38" s="1391" t="s">
        <v>5032</v>
      </c>
      <c r="WP38" s="442"/>
      <c r="WQ38" s="1289" t="s">
        <v>4907</v>
      </c>
      <c r="WR38" s="12"/>
      <c r="WS38" s="12"/>
      <c r="WT38" s="12"/>
      <c r="WU38" s="48"/>
      <c r="WV38" s="442"/>
      <c r="WW38" s="977" t="str">
        <f t="shared" ref="WW38:WW40" si="1940">MONICON21(WX38)</f>
        <v>#NAME?</v>
      </c>
      <c r="WX38" s="1301" t="s">
        <v>347</v>
      </c>
      <c r="WY38" s="977" t="str">
        <f t="shared" ref="WY38:WY40" si="1941">MONTYPEICON1(WX38)</f>
        <v>#NAME?</v>
      </c>
      <c r="WZ38" s="980" t="str">
        <f t="shared" ref="WZ38:WZ40" si="1942">MONTYPEICON2(WX38)</f>
        <v>#NAME?</v>
      </c>
      <c r="XA38" s="1303" t="s">
        <v>5004</v>
      </c>
      <c r="XB38" s="442"/>
      <c r="XH38" s="442"/>
      <c r="XI38" s="1387" t="str">
        <f t="shared" si="1892"/>
        <v>#NAME?</v>
      </c>
      <c r="XJ38" s="1388" t="s">
        <v>1328</v>
      </c>
      <c r="XK38" s="1387" t="str">
        <f t="shared" si="1893"/>
        <v>#NAME?</v>
      </c>
      <c r="XL38" s="1392" t="str">
        <f t="shared" si="1894"/>
        <v>#NAME?</v>
      </c>
      <c r="XM38" s="1391" t="s">
        <v>5032</v>
      </c>
      <c r="XN38" s="442"/>
      <c r="XO38" s="977" t="str">
        <f t="shared" ref="XO38:XO40" si="1943">MONICON21(XP38)</f>
        <v>#NAME?</v>
      </c>
      <c r="XP38" s="1301" t="s">
        <v>2625</v>
      </c>
      <c r="XQ38" s="977" t="str">
        <f t="shared" ref="XQ38:XQ40" si="1944">MONTYPEICON1(XP38)</f>
        <v>#NAME?</v>
      </c>
      <c r="XR38" s="980" t="str">
        <f t="shared" ref="XR38:XR40" si="1945">MONTYPEICON2(XP38)</f>
        <v>#NAME?</v>
      </c>
      <c r="XS38" s="1303" t="s">
        <v>5018</v>
      </c>
      <c r="XT38" s="442"/>
      <c r="XU38" s="1483"/>
      <c r="XV38" s="1291" t="s">
        <v>5807</v>
      </c>
      <c r="XW38" s="12"/>
      <c r="XX38" s="962"/>
      <c r="XY38" s="1292" t="s">
        <v>4608</v>
      </c>
      <c r="XZ38" s="442"/>
      <c r="YA38" s="1383" t="str">
        <f t="shared" si="1895"/>
        <v>#NAME?</v>
      </c>
      <c r="YB38" s="1384" t="s">
        <v>653</v>
      </c>
      <c r="YC38" s="1383" t="str">
        <f t="shared" si="1896"/>
        <v>#NAME?</v>
      </c>
      <c r="YD38" s="1385" t="str">
        <f t="shared" si="1897"/>
        <v>#NAME?</v>
      </c>
      <c r="YE38" s="1386" t="s">
        <v>5031</v>
      </c>
      <c r="YF38" s="442"/>
      <c r="YG38" s="1387" t="str">
        <f t="shared" si="1898"/>
        <v>#NAME?</v>
      </c>
      <c r="YH38" s="1395" t="s">
        <v>3453</v>
      </c>
      <c r="YI38" s="1387" t="str">
        <f t="shared" si="1899"/>
        <v>#NAME?</v>
      </c>
      <c r="YJ38" s="1392" t="str">
        <f t="shared" si="1900"/>
        <v>#NAME?</v>
      </c>
      <c r="YK38" s="1396" t="s">
        <v>5069</v>
      </c>
      <c r="YL38" s="442"/>
      <c r="YM38" s="1387" t="str">
        <f t="shared" si="1901"/>
        <v>#NAME?</v>
      </c>
      <c r="YN38" s="1395" t="s">
        <v>2625</v>
      </c>
      <c r="YO38" s="1387" t="str">
        <f t="shared" si="1902"/>
        <v>#NAME?</v>
      </c>
      <c r="YP38" s="1392" t="str">
        <f t="shared" si="1903"/>
        <v>#NAME?</v>
      </c>
      <c r="YQ38" s="1396" t="s">
        <v>5033</v>
      </c>
      <c r="YR38" s="442"/>
      <c r="YS38" s="977" t="str">
        <f t="shared" ref="YS38:YS40" si="1946">MONICON21(YT38)</f>
        <v>#NAME?</v>
      </c>
      <c r="YT38" s="1301" t="s">
        <v>4183</v>
      </c>
      <c r="YU38" s="977" t="str">
        <f t="shared" ref="YU38:YU40" si="1947">MONTYPEICON1(YT38)</f>
        <v>#NAME?</v>
      </c>
      <c r="YV38" s="980" t="str">
        <f t="shared" ref="YV38:YV40" si="1948">MONTYPEICON2(YT38)</f>
        <v>#NAME?</v>
      </c>
      <c r="YW38" s="1303" t="s">
        <v>5033</v>
      </c>
      <c r="YX38" s="442"/>
      <c r="YY38" s="1294"/>
      <c r="YZ38" s="1291" t="s">
        <v>5808</v>
      </c>
      <c r="ZA38" s="12"/>
      <c r="ZB38" s="962"/>
      <c r="ZC38" s="1292" t="s">
        <v>4608</v>
      </c>
      <c r="ZD38" s="442"/>
      <c r="ZE38" s="977" t="str">
        <f t="shared" ref="ZE38:ZE40" si="1949">MONICON21(ZF38)</f>
        <v>#NAME?</v>
      </c>
      <c r="ZF38" s="1301" t="s">
        <v>1697</v>
      </c>
      <c r="ZG38" s="977" t="str">
        <f t="shared" ref="ZG38:ZG40" si="1950">MONTYPEICON1(ZF38)</f>
        <v>#NAME?</v>
      </c>
      <c r="ZH38" s="980" t="str">
        <f t="shared" ref="ZH38:ZH40" si="1951">MONTYPEICON2(ZF38)</f>
        <v>#NAME?</v>
      </c>
      <c r="ZI38" s="1303" t="s">
        <v>5032</v>
      </c>
      <c r="ZJ38" s="442"/>
      <c r="ZM38" s="349"/>
      <c r="ZN38" s="349"/>
      <c r="ZP38" s="442"/>
      <c r="ZQ38" s="1387" t="str">
        <f t="shared" si="1904"/>
        <v>#NAME?</v>
      </c>
      <c r="ZR38" s="1388" t="s">
        <v>333</v>
      </c>
      <c r="ZS38" s="1387" t="str">
        <f t="shared" si="1905"/>
        <v>#NAME?</v>
      </c>
      <c r="ZT38" s="1392" t="str">
        <f t="shared" si="1906"/>
        <v>#NAME?</v>
      </c>
      <c r="ZU38" s="1391" t="s">
        <v>5026</v>
      </c>
      <c r="ZV38" s="442"/>
      <c r="ZW38" s="349"/>
      <c r="ZY38" s="349"/>
      <c r="ZZ38" s="349"/>
      <c r="AAB38" s="442"/>
      <c r="AAC38" s="1579" t="s">
        <v>5809</v>
      </c>
      <c r="AAD38" s="12"/>
      <c r="AAE38" s="12"/>
      <c r="AAF38" s="12"/>
      <c r="AAG38" s="962"/>
      <c r="AAH38" s="442"/>
      <c r="AAI38" s="1383" t="str">
        <f t="shared" si="1700"/>
        <v>#NAME?</v>
      </c>
      <c r="AAJ38" s="1384" t="s">
        <v>3649</v>
      </c>
      <c r="AAK38" s="1383" t="str">
        <f t="shared" si="1701"/>
        <v>#NAME?</v>
      </c>
      <c r="AAL38" s="1385" t="str">
        <f t="shared" si="1702"/>
        <v>#NAME?</v>
      </c>
      <c r="AAM38" s="1510" t="s">
        <v>5228</v>
      </c>
      <c r="AAO38" s="1383" t="str">
        <f t="shared" si="1703"/>
        <v>#NAME?</v>
      </c>
      <c r="AAP38" s="1384" t="s">
        <v>3649</v>
      </c>
      <c r="AAQ38" s="1383" t="str">
        <f t="shared" si="1704"/>
        <v>#NAME?</v>
      </c>
      <c r="AAR38" s="1385" t="str">
        <f t="shared" si="1705"/>
        <v>#NAME?</v>
      </c>
      <c r="AAS38" s="1510" t="s">
        <v>5227</v>
      </c>
      <c r="AAU38" s="1383" t="str">
        <f t="shared" si="1706"/>
        <v>#NAME?</v>
      </c>
      <c r="AAV38" s="1384" t="s">
        <v>3649</v>
      </c>
      <c r="AAW38" s="1383" t="str">
        <f t="shared" si="1707"/>
        <v>#NAME?</v>
      </c>
      <c r="AAX38" s="1385" t="str">
        <f t="shared" si="1708"/>
        <v>#NAME?</v>
      </c>
      <c r="AAY38" s="1510" t="s">
        <v>5227</v>
      </c>
      <c r="ABA38" s="1383" t="str">
        <f t="shared" si="1709"/>
        <v>#NAME?</v>
      </c>
      <c r="ABB38" s="1384" t="s">
        <v>3843</v>
      </c>
      <c r="ABC38" s="1383" t="str">
        <f t="shared" si="1710"/>
        <v>#NAME?</v>
      </c>
      <c r="ABD38" s="1385" t="str">
        <f t="shared" si="1711"/>
        <v>#NAME?</v>
      </c>
      <c r="ABE38" s="1510" t="s">
        <v>5176</v>
      </c>
      <c r="ABG38" s="1383" t="str">
        <f t="shared" si="1712"/>
        <v>#NAME?</v>
      </c>
      <c r="ABH38" s="1384" t="s">
        <v>3769</v>
      </c>
      <c r="ABI38" s="1383" t="str">
        <f t="shared" si="1713"/>
        <v>#NAME?</v>
      </c>
      <c r="ABJ38" s="1385" t="str">
        <f t="shared" si="1714"/>
        <v>#NAME?</v>
      </c>
      <c r="ABK38" s="1510" t="s">
        <v>5176</v>
      </c>
      <c r="ABM38" s="1383" t="str">
        <f t="shared" si="1715"/>
        <v>#NAME?</v>
      </c>
      <c r="ABN38" s="1384" t="s">
        <v>4257</v>
      </c>
      <c r="ABO38" s="1383" t="str">
        <f t="shared" si="1716"/>
        <v>#NAME?</v>
      </c>
      <c r="ABP38" s="1385" t="str">
        <f t="shared" si="1717"/>
        <v>#NAME?</v>
      </c>
      <c r="ABQ38" s="1510" t="s">
        <v>5176</v>
      </c>
      <c r="ABS38" s="1383" t="str">
        <f t="shared" si="1718"/>
        <v>#NAME?</v>
      </c>
      <c r="ABT38" s="1384" t="s">
        <v>4174</v>
      </c>
      <c r="ABU38" s="1383" t="str">
        <f t="shared" si="1719"/>
        <v>#NAME?</v>
      </c>
      <c r="ABV38" s="1385" t="str">
        <f t="shared" si="1720"/>
        <v>#NAME?</v>
      </c>
      <c r="ABW38" s="1510" t="s">
        <v>5176</v>
      </c>
      <c r="ABY38" s="1628" t="s">
        <v>5810</v>
      </c>
      <c r="ABZ38" s="1026"/>
      <c r="ACA38" s="1026"/>
      <c r="ACB38" s="1026"/>
      <c r="ACC38" s="998"/>
      <c r="ACE38" s="961" t="s">
        <v>5811</v>
      </c>
      <c r="ACF38" s="12"/>
      <c r="ACG38" s="12"/>
      <c r="ACH38" s="12"/>
      <c r="ACI38" s="48"/>
      <c r="ACJ38" s="996"/>
    </row>
    <row r="39" ht="15.75" customHeight="1">
      <c r="A39" s="1230"/>
      <c r="E39" s="1230"/>
      <c r="F39" s="1238"/>
      <c r="G39" s="1405" t="s">
        <v>5812</v>
      </c>
      <c r="H39" s="1230"/>
      <c r="N39" s="1230"/>
      <c r="O39" s="1071" t="str">
        <f t="shared" si="1907"/>
        <v>#NAME?</v>
      </c>
      <c r="P39" s="1076" t="s">
        <v>391</v>
      </c>
      <c r="Q39" s="1071" t="str">
        <f t="shared" si="1908"/>
        <v>#NAME?</v>
      </c>
      <c r="R39" s="1073" t="str">
        <f t="shared" si="1909"/>
        <v>#NAME?</v>
      </c>
      <c r="S39" s="1093" t="s">
        <v>5097</v>
      </c>
      <c r="T39" s="1230"/>
      <c r="U39" s="1146" t="str">
        <f t="shared" si="1910"/>
        <v>#NAME?</v>
      </c>
      <c r="V39" s="1145" t="s">
        <v>750</v>
      </c>
      <c r="W39" s="1146" t="str">
        <f t="shared" si="1911"/>
        <v>#NAME?</v>
      </c>
      <c r="X39" s="1148" t="str">
        <f t="shared" si="1912"/>
        <v>#NAME?</v>
      </c>
      <c r="Y39" s="1330" t="s">
        <v>5130</v>
      </c>
      <c r="Z39" s="1230"/>
      <c r="AA39" s="1051" t="str">
        <f t="shared" si="1865"/>
        <v>#NAME?</v>
      </c>
      <c r="AB39" s="1127" t="s">
        <v>4043</v>
      </c>
      <c r="AC39" s="1051" t="str">
        <f t="shared" si="1866"/>
        <v>#NAME?</v>
      </c>
      <c r="AD39" s="1131" t="str">
        <f t="shared" si="1867"/>
        <v>#NAME?</v>
      </c>
      <c r="AE39" s="1095" t="s">
        <v>4991</v>
      </c>
      <c r="AF39" s="1230"/>
      <c r="AL39" s="1230"/>
      <c r="AR39" s="1230"/>
      <c r="AS39" s="1230"/>
      <c r="AT39" s="1230"/>
      <c r="AU39" s="1230"/>
      <c r="AV39" s="1230"/>
      <c r="AW39" s="1230"/>
      <c r="AX39" s="1230"/>
      <c r="AY39" s="1146" t="str">
        <f t="shared" si="1913"/>
        <v>#NAME?</v>
      </c>
      <c r="AZ39" s="1335" t="s">
        <v>3613</v>
      </c>
      <c r="BA39" s="1146" t="str">
        <f t="shared" si="1914"/>
        <v>#NAME?</v>
      </c>
      <c r="BB39" s="1148" t="str">
        <f t="shared" si="1915"/>
        <v>#NAME?</v>
      </c>
      <c r="BC39" s="1336" t="s">
        <v>5337</v>
      </c>
      <c r="BD39" s="442"/>
      <c r="BJ39" s="442"/>
      <c r="BK39" s="1051" t="str">
        <f t="shared" si="1868"/>
        <v>#NAME?</v>
      </c>
      <c r="BL39" s="1410" t="s">
        <v>526</v>
      </c>
      <c r="BM39" s="1051" t="str">
        <f t="shared" si="1869"/>
        <v>#NAME?</v>
      </c>
      <c r="BN39" s="1131" t="str">
        <f t="shared" si="1870"/>
        <v>#NAME?</v>
      </c>
      <c r="BO39" s="1411" t="s">
        <v>4994</v>
      </c>
      <c r="BP39" s="442"/>
      <c r="BQ39" s="1033" t="str">
        <f t="shared" ref="BQ39:BQ40" si="1952">MONICON21(BR39)</f>
        <v>#NAME?</v>
      </c>
      <c r="BR39" s="1304" t="s">
        <v>1401</v>
      </c>
      <c r="BS39" s="977" t="str">
        <f t="shared" ref="BS39:BS40" si="1953">MONTYPEICON1(BR39)</f>
        <v>#NAME?</v>
      </c>
      <c r="BT39" s="980" t="str">
        <f t="shared" ref="BT39:BT40" si="1954">MONTYPEICON2(BR39)</f>
        <v>#NAME?</v>
      </c>
      <c r="BU39" s="1305" t="s">
        <v>4996</v>
      </c>
      <c r="BV39" s="442"/>
      <c r="CB39" s="442"/>
      <c r="CH39" s="442"/>
      <c r="CI39" s="1568" t="str">
        <f t="shared" si="1916"/>
        <v>#NAME?</v>
      </c>
      <c r="CJ39" s="1366" t="s">
        <v>3477</v>
      </c>
      <c r="CK39" s="1353" t="str">
        <f t="shared" si="1917"/>
        <v>#NAME?</v>
      </c>
      <c r="CL39" s="1354" t="str">
        <f t="shared" si="1918"/>
        <v>#NAME?</v>
      </c>
      <c r="CM39" s="1413" t="s">
        <v>5099</v>
      </c>
      <c r="CN39" s="442"/>
      <c r="CO39" s="1266"/>
      <c r="CP39" s="1259" t="s">
        <v>5813</v>
      </c>
      <c r="CQ39" s="12"/>
      <c r="CR39" s="962"/>
      <c r="CS39" s="1258" t="s">
        <v>4608</v>
      </c>
      <c r="CT39" s="442"/>
      <c r="CZ39" s="442"/>
      <c r="DF39" s="442"/>
      <c r="DL39" s="442"/>
      <c r="DR39" s="442"/>
      <c r="DX39" s="442"/>
      <c r="ED39" s="442"/>
      <c r="EG39" s="349"/>
      <c r="EH39" s="349"/>
      <c r="EJ39" s="1230"/>
      <c r="EK39" s="997"/>
      <c r="EL39" s="1026"/>
      <c r="EM39" s="1026"/>
      <c r="EN39" s="1192"/>
      <c r="EO39" s="1446"/>
      <c r="EP39" s="1230"/>
      <c r="ES39" s="349"/>
      <c r="ET39" s="349"/>
      <c r="EV39" s="1230"/>
      <c r="EW39" s="1096" t="str">
        <f t="shared" si="1781"/>
        <v>#NAME?</v>
      </c>
      <c r="EX39" s="89" t="s">
        <v>2268</v>
      </c>
      <c r="EY39" s="1013" t="str">
        <f t="shared" si="1782"/>
        <v>#NAME?</v>
      </c>
      <c r="EZ39" s="1015" t="str">
        <f t="shared" si="1783"/>
        <v>#NAME?</v>
      </c>
      <c r="FA39" s="1108" t="s">
        <v>4998</v>
      </c>
      <c r="FB39" s="1230"/>
      <c r="FE39" s="349"/>
      <c r="FF39" s="349"/>
      <c r="FH39" s="1230"/>
      <c r="FI39" s="985" t="str">
        <f>MONICON21(FJ39)</f>
        <v>#NAME?</v>
      </c>
      <c r="FJ39" s="146" t="s">
        <v>1073</v>
      </c>
      <c r="FK39" s="1092" t="str">
        <f>MONTYPEICON1(FJ39)</f>
        <v>#NAME?</v>
      </c>
      <c r="FL39" s="987" t="str">
        <f>MONTYPEICON2(FJ39)</f>
        <v>#NAME?</v>
      </c>
      <c r="FM39" s="1196" t="s">
        <v>5001</v>
      </c>
      <c r="FN39" s="1230"/>
      <c r="FO39" s="1193" t="str">
        <f t="shared" si="1919"/>
        <v>#NAME?</v>
      </c>
      <c r="FP39" s="1357" t="s">
        <v>3750</v>
      </c>
      <c r="FQ39" s="1146" t="str">
        <f t="shared" si="1920"/>
        <v>#NAME?</v>
      </c>
      <c r="FR39" s="1148" t="str">
        <f t="shared" si="1921"/>
        <v>#NAME?</v>
      </c>
      <c r="FS39" s="1330" t="s">
        <v>5001</v>
      </c>
      <c r="FT39" s="1230"/>
      <c r="FU39" s="1193" t="str">
        <f t="shared" si="1829"/>
        <v>#NAME?</v>
      </c>
      <c r="FV39" s="1357" t="s">
        <v>2192</v>
      </c>
      <c r="FW39" s="1146" t="str">
        <f t="shared" si="1830"/>
        <v>#NAME?</v>
      </c>
      <c r="FX39" s="1148" t="str">
        <f t="shared" si="1831"/>
        <v>#NAME?</v>
      </c>
      <c r="FY39" s="1330" t="s">
        <v>5005</v>
      </c>
      <c r="FZ39" s="1230"/>
      <c r="GC39" s="349"/>
      <c r="GD39" s="349"/>
      <c r="GF39" s="442"/>
      <c r="GG39" s="1068" t="str">
        <f t="shared" si="1922"/>
        <v>#NAME?</v>
      </c>
      <c r="GH39" s="1078" t="s">
        <v>3021</v>
      </c>
      <c r="GI39" s="1071" t="str">
        <f t="shared" si="1923"/>
        <v>#NAME?</v>
      </c>
      <c r="GJ39" s="1073" t="str">
        <f t="shared" si="1924"/>
        <v>#NAME?</v>
      </c>
      <c r="GK39" s="1093" t="s">
        <v>5003</v>
      </c>
      <c r="GL39" s="1230"/>
      <c r="GO39" s="349"/>
      <c r="GP39" s="349"/>
      <c r="GR39" s="65"/>
      <c r="GS39" s="1286"/>
      <c r="GT39" s="1256" t="s">
        <v>5814</v>
      </c>
      <c r="GU39" s="1257" t="s">
        <v>4888</v>
      </c>
      <c r="GV39" s="962"/>
      <c r="GW39" s="1258" t="s">
        <v>4608</v>
      </c>
      <c r="GX39" s="65"/>
      <c r="HA39" s="349"/>
      <c r="HB39" s="349"/>
      <c r="HD39" s="1230"/>
      <c r="HE39" s="1094" t="str">
        <f t="shared" si="1874"/>
        <v>#NAME?</v>
      </c>
      <c r="HF39" s="1479" t="s">
        <v>1292</v>
      </c>
      <c r="HG39" s="1051" t="str">
        <f t="shared" si="1875"/>
        <v>#NAME?</v>
      </c>
      <c r="HH39" s="1131" t="str">
        <f t="shared" si="1876"/>
        <v>#NAME?</v>
      </c>
      <c r="HI39" s="1095" t="s">
        <v>5006</v>
      </c>
      <c r="HJ39" s="1230"/>
      <c r="HM39" s="349"/>
      <c r="HN39" s="349"/>
      <c r="HP39" s="65"/>
      <c r="HQ39" s="65"/>
      <c r="HR39" s="65"/>
      <c r="HS39" s="108"/>
      <c r="HT39" s="108"/>
      <c r="HU39" s="65"/>
      <c r="HV39" s="65"/>
      <c r="HW39" s="65"/>
      <c r="HX39" s="65"/>
      <c r="HY39" s="108"/>
      <c r="HZ39" s="108"/>
      <c r="IA39" s="65"/>
      <c r="IB39" s="65"/>
      <c r="IE39" s="349"/>
      <c r="IF39" s="349"/>
      <c r="IH39" s="65"/>
      <c r="II39" s="1159" t="str">
        <f t="shared" si="1739"/>
        <v>#NAME?</v>
      </c>
      <c r="IJ39" s="1494" t="s">
        <v>3628</v>
      </c>
      <c r="IK39" s="1497" t="str">
        <f t="shared" si="1740"/>
        <v>#NAME?</v>
      </c>
      <c r="IL39" s="1498" t="str">
        <f t="shared" si="1741"/>
        <v>#NAME?</v>
      </c>
      <c r="IM39" s="1495" t="s">
        <v>5158</v>
      </c>
      <c r="IN39" s="65"/>
      <c r="IQ39" s="349"/>
      <c r="IR39" s="349"/>
      <c r="IT39" s="1230"/>
      <c r="IW39" s="349"/>
      <c r="IX39" s="349"/>
      <c r="IZ39" s="1230"/>
      <c r="JC39" s="349"/>
      <c r="JD39" s="349"/>
      <c r="JF39" s="1230"/>
      <c r="JI39" s="349"/>
      <c r="JJ39" s="349"/>
      <c r="JL39" s="1230"/>
      <c r="JO39" s="349"/>
      <c r="JP39" s="349"/>
      <c r="JR39" s="1230"/>
      <c r="JU39" s="349"/>
      <c r="JV39" s="349"/>
      <c r="KA39" s="349"/>
      <c r="KB39" s="349"/>
      <c r="KE39" s="1012" t="str">
        <f t="shared" ref="KE39:KE40" si="1955">MONICON21(KF39)</f>
        <v>#NAME?</v>
      </c>
      <c r="KF39" s="1301" t="s">
        <v>2824</v>
      </c>
      <c r="KG39" s="977" t="str">
        <f t="shared" ref="KG39:KG40" si="1956">MONTYPEICON1(KF39)</f>
        <v>#NAME?</v>
      </c>
      <c r="KH39" s="980" t="str">
        <f t="shared" ref="KH39:KH40" si="1957">MONTYPEICON2(KF39)</f>
        <v>#NAME?</v>
      </c>
      <c r="KI39" s="1303" t="s">
        <v>5535</v>
      </c>
      <c r="KJ39" s="65"/>
      <c r="KM39" s="349"/>
      <c r="KN39" s="349"/>
      <c r="KP39" s="65"/>
      <c r="KS39" s="349"/>
      <c r="KT39" s="349"/>
      <c r="KV39" s="65"/>
      <c r="KY39" s="349"/>
      <c r="KZ39" s="349"/>
      <c r="LB39" s="442"/>
      <c r="LE39" s="349"/>
      <c r="LF39" s="349"/>
      <c r="LI39" s="1629"/>
      <c r="LJ39" s="1203"/>
      <c r="LK39" s="1203"/>
      <c r="LL39" s="1203"/>
      <c r="LM39" s="1630"/>
      <c r="LO39" s="1105" t="str">
        <f t="shared" si="1742"/>
        <v>#NAME?</v>
      </c>
      <c r="LP39" s="1505" t="s">
        <v>4257</v>
      </c>
      <c r="LQ39" s="1373" t="str">
        <f t="shared" si="1743"/>
        <v>#NAME?</v>
      </c>
      <c r="LR39" s="1374" t="str">
        <f t="shared" si="1744"/>
        <v>#NAME?</v>
      </c>
      <c r="LS39" s="1506" t="s">
        <v>5051</v>
      </c>
      <c r="LU39" s="1049" t="str">
        <f t="shared" si="1877"/>
        <v>#NAME?</v>
      </c>
      <c r="LV39" s="1127" t="s">
        <v>581</v>
      </c>
      <c r="LW39" s="1051" t="str">
        <f t="shared" si="1878"/>
        <v>#NAME?</v>
      </c>
      <c r="LX39" s="1131" t="str">
        <f t="shared" si="1879"/>
        <v>#NAME?</v>
      </c>
      <c r="LY39" s="1422" t="s">
        <v>5106</v>
      </c>
      <c r="LZ39" s="442"/>
      <c r="MC39" s="349"/>
      <c r="MD39" s="349"/>
      <c r="MF39" s="442"/>
      <c r="MI39" s="349"/>
      <c r="MJ39" s="349"/>
      <c r="ML39" s="442"/>
      <c r="MO39" s="349"/>
      <c r="MP39" s="349"/>
      <c r="MS39" s="1049" t="str">
        <f t="shared" si="1880"/>
        <v>#NAME?</v>
      </c>
      <c r="MT39" s="1127" t="s">
        <v>1039</v>
      </c>
      <c r="MU39" s="1051" t="str">
        <f t="shared" si="1881"/>
        <v>#NAME?</v>
      </c>
      <c r="MV39" s="1131" t="str">
        <f t="shared" si="1882"/>
        <v>#NAME?</v>
      </c>
      <c r="MW39" s="1422" t="s">
        <v>5051</v>
      </c>
      <c r="MX39" s="442"/>
      <c r="MY39" s="1574" t="s">
        <v>4658</v>
      </c>
      <c r="MZ39" s="1203"/>
      <c r="NA39" s="1203"/>
      <c r="NB39" s="1203"/>
      <c r="NC39" s="1204"/>
      <c r="ND39" s="442"/>
      <c r="NG39" s="349"/>
      <c r="NH39" s="349"/>
      <c r="NJ39" s="65"/>
      <c r="NK39" s="1056" t="str">
        <f t="shared" si="1925"/>
        <v>#NAME?</v>
      </c>
      <c r="NL39" s="1123" t="s">
        <v>2268</v>
      </c>
      <c r="NM39" s="1502" t="str">
        <f t="shared" si="1926"/>
        <v>#NAME?</v>
      </c>
      <c r="NN39" s="1503" t="str">
        <f t="shared" si="1927"/>
        <v>#NAME?</v>
      </c>
      <c r="NO39" s="1501" t="s">
        <v>5051</v>
      </c>
      <c r="NQ39" s="1096" t="str">
        <f t="shared" si="1790"/>
        <v>#NAME?</v>
      </c>
      <c r="NR39" s="1304" t="s">
        <v>3722</v>
      </c>
      <c r="NS39" s="1418" t="str">
        <f t="shared" si="1791"/>
        <v>#NAME?</v>
      </c>
      <c r="NT39" s="1419" t="str">
        <f t="shared" si="1792"/>
        <v>#NAME?</v>
      </c>
      <c r="NU39" s="1321" t="s">
        <v>5431</v>
      </c>
      <c r="NV39" s="442"/>
      <c r="NW39" s="985" t="str">
        <f>MONICON21(NX39)</f>
        <v>#NAME?</v>
      </c>
      <c r="NX39" s="1229" t="s">
        <v>812</v>
      </c>
      <c r="NY39" s="1586" t="str">
        <f>MONTYPEICON1(NX39)</f>
        <v>#NAME?</v>
      </c>
      <c r="NZ39" s="475" t="str">
        <f>MONTYPEICON2(NX39)</f>
        <v>#NAME?</v>
      </c>
      <c r="OA39" s="1424" t="s">
        <v>5431</v>
      </c>
      <c r="OB39" s="442"/>
      <c r="OE39" s="349"/>
      <c r="OF39" s="349"/>
      <c r="OH39" s="442"/>
      <c r="OK39" s="349"/>
      <c r="OL39" s="349"/>
      <c r="ON39" s="442"/>
      <c r="OQ39" s="349"/>
      <c r="OR39" s="349"/>
      <c r="OW39" s="349"/>
      <c r="OX39" s="349"/>
      <c r="OZ39" s="442"/>
      <c r="PC39" s="349"/>
      <c r="PD39" s="349"/>
      <c r="PF39" s="442"/>
      <c r="PI39" s="349"/>
      <c r="PJ39" s="349"/>
      <c r="PL39" s="65"/>
      <c r="PM39" s="1193" t="str">
        <f t="shared" si="1847"/>
        <v>#NAME?</v>
      </c>
      <c r="PN39" s="1145" t="s">
        <v>2598</v>
      </c>
      <c r="PO39" s="1462" t="str">
        <f t="shared" si="1848"/>
        <v>#NAME?</v>
      </c>
      <c r="PP39" s="1463" t="str">
        <f t="shared" si="1849"/>
        <v>#NAME?</v>
      </c>
      <c r="PQ39" s="1464" t="s">
        <v>5410</v>
      </c>
      <c r="PR39" s="442"/>
      <c r="PU39" s="349"/>
      <c r="PV39" s="349"/>
      <c r="PX39" s="442"/>
      <c r="PY39" s="1159" t="str">
        <f t="shared" si="1748"/>
        <v>#NAME?</v>
      </c>
      <c r="PZ39" s="1453" t="s">
        <v>3649</v>
      </c>
      <c r="QA39" s="1497" t="str">
        <f t="shared" si="1749"/>
        <v>#NAME?</v>
      </c>
      <c r="QB39" s="1498" t="str">
        <f t="shared" si="1750"/>
        <v>#NAME?</v>
      </c>
      <c r="QC39" s="1504" t="s">
        <v>5032</v>
      </c>
      <c r="QD39" s="442"/>
      <c r="QG39" s="349"/>
      <c r="QH39" s="349"/>
      <c r="QJ39" s="442"/>
      <c r="QK39" s="442"/>
      <c r="QL39" s="442"/>
      <c r="QM39" s="108"/>
      <c r="QN39" s="108"/>
      <c r="QO39" s="442"/>
      <c r="QP39" s="442"/>
      <c r="QQ39" s="442"/>
      <c r="QR39" s="442"/>
      <c r="QS39" s="108"/>
      <c r="QT39" s="108"/>
      <c r="QU39" s="442"/>
      <c r="QV39" s="442"/>
      <c r="QW39" s="65"/>
      <c r="QX39" s="65"/>
      <c r="QY39" s="108"/>
      <c r="QZ39" s="108"/>
      <c r="RA39" s="65"/>
      <c r="RB39" s="442"/>
      <c r="RC39" s="442"/>
      <c r="RD39" s="442"/>
      <c r="RE39" s="108"/>
      <c r="RF39" s="108"/>
      <c r="RG39" s="442"/>
      <c r="RH39" s="442"/>
      <c r="RI39" s="442"/>
      <c r="RJ39" s="442"/>
      <c r="RK39" s="108"/>
      <c r="RL39" s="108"/>
      <c r="RM39" s="442"/>
      <c r="RN39" s="442"/>
      <c r="RO39" s="1193" t="str">
        <f t="shared" si="1928"/>
        <v>#NAME?</v>
      </c>
      <c r="RP39" s="1145" t="s">
        <v>1934</v>
      </c>
      <c r="RQ39" s="1462" t="str">
        <f t="shared" si="1929"/>
        <v>#NAME?</v>
      </c>
      <c r="RR39" s="1463" t="str">
        <f t="shared" si="1930"/>
        <v>#NAME?</v>
      </c>
      <c r="RS39" s="1464" t="s">
        <v>5113</v>
      </c>
      <c r="RT39" s="442"/>
      <c r="RW39" s="349"/>
      <c r="RX39" s="349"/>
      <c r="RZ39" s="442"/>
      <c r="SA39" s="983" t="str">
        <f t="shared" ref="SA39:SA40" si="1958">MONICON21(SB39)</f>
        <v>#NAME?</v>
      </c>
      <c r="SB39" s="1301" t="s">
        <v>2954</v>
      </c>
      <c r="SC39" s="1311" t="str">
        <f t="shared" ref="SC39:SC40" si="1959">MONTYPEICON1(SB39)</f>
        <v>#NAME?</v>
      </c>
      <c r="SD39" s="1312" t="str">
        <f t="shared" ref="SD39:SD40" si="1960">MONTYPEICON2(SB39)</f>
        <v>#NAME?</v>
      </c>
      <c r="SE39" s="1318" t="s">
        <v>5113</v>
      </c>
      <c r="SF39" s="442"/>
      <c r="SI39" s="349"/>
      <c r="SJ39" s="349"/>
      <c r="SL39" s="442"/>
      <c r="SM39" s="1105" t="str">
        <f t="shared" si="1754"/>
        <v>#NAME?</v>
      </c>
      <c r="SN39" s="1505" t="s">
        <v>2341</v>
      </c>
      <c r="SO39" s="1080" t="str">
        <f t="shared" si="1755"/>
        <v>#NAME?</v>
      </c>
      <c r="SP39" s="1126" t="str">
        <f t="shared" si="1756"/>
        <v>#NAME?</v>
      </c>
      <c r="SQ39" s="1506" t="s">
        <v>5092</v>
      </c>
      <c r="SR39" s="442"/>
      <c r="SU39" s="349"/>
      <c r="SV39" s="349"/>
      <c r="SX39" s="442"/>
      <c r="SY39" s="1193" t="str">
        <f t="shared" si="1931"/>
        <v>#NAME?</v>
      </c>
      <c r="SZ39" s="1145" t="s">
        <v>2163</v>
      </c>
      <c r="TA39" s="1462" t="str">
        <f t="shared" si="1932"/>
        <v>#NAME?</v>
      </c>
      <c r="TB39" s="1463" t="str">
        <f t="shared" si="1933"/>
        <v>#NAME?</v>
      </c>
      <c r="TC39" s="1464" t="s">
        <v>5112</v>
      </c>
      <c r="TD39" s="108"/>
      <c r="TE39" s="997"/>
      <c r="TF39" s="1026"/>
      <c r="TG39" s="1026"/>
      <c r="TH39" s="1192"/>
      <c r="TI39" s="1446"/>
      <c r="TJ39" s="442"/>
      <c r="TM39" s="349"/>
      <c r="TN39" s="349"/>
      <c r="TP39" s="442"/>
      <c r="TQ39" s="442"/>
      <c r="TR39" s="442"/>
      <c r="TS39" s="108"/>
      <c r="TT39" s="108"/>
      <c r="TU39" s="442"/>
      <c r="TV39" s="65"/>
      <c r="TW39" s="1013" t="str">
        <f t="shared" si="1796"/>
        <v>#NAME?</v>
      </c>
      <c r="TX39" s="1098" t="s">
        <v>742</v>
      </c>
      <c r="TY39" s="1013" t="str">
        <f t="shared" si="1797"/>
        <v>#NAME?</v>
      </c>
      <c r="TZ39" s="1015" t="str">
        <f t="shared" si="1798"/>
        <v>#NAME?</v>
      </c>
      <c r="UA39" s="1414" t="s">
        <v>5229</v>
      </c>
      <c r="UI39" s="1033" t="str">
        <f t="shared" ref="UI39:UI40" si="1961">MONICON21(UJ39)</f>
        <v>#NAME?</v>
      </c>
      <c r="UJ39" s="1301" t="s">
        <v>1272</v>
      </c>
      <c r="UK39" s="977" t="str">
        <f t="shared" ref="UK39:UK40" si="1962">MONTYPEICON1(UJ39)</f>
        <v>#NAME?</v>
      </c>
      <c r="UL39" s="980" t="str">
        <f t="shared" ref="UL39:UL40" si="1963">MONTYPEICON2(UJ39)</f>
        <v>#NAME?</v>
      </c>
      <c r="UM39" s="1303" t="s">
        <v>5029</v>
      </c>
      <c r="UU39" s="1387" t="str">
        <f t="shared" si="1934"/>
        <v>#NAME?</v>
      </c>
      <c r="UV39" s="1388" t="s">
        <v>347</v>
      </c>
      <c r="UW39" s="1389" t="str">
        <f t="shared" si="1935"/>
        <v>#NAME?</v>
      </c>
      <c r="UX39" s="1390" t="str">
        <f t="shared" si="1936"/>
        <v>#NAME?</v>
      </c>
      <c r="UY39" s="1391" t="s">
        <v>5279</v>
      </c>
      <c r="VL39" s="442"/>
      <c r="VM39" s="1289" t="s">
        <v>5103</v>
      </c>
      <c r="VN39" s="12"/>
      <c r="VO39" s="12"/>
      <c r="VP39" s="12"/>
      <c r="VQ39" s="48"/>
      <c r="VR39" s="442"/>
      <c r="VS39" s="1383" t="str">
        <f t="shared" si="1937"/>
        <v>#NAME?</v>
      </c>
      <c r="VT39" s="1384" t="s">
        <v>37</v>
      </c>
      <c r="VU39" s="1383" t="str">
        <f t="shared" si="1938"/>
        <v>#NAME?</v>
      </c>
      <c r="VV39" s="1385" t="str">
        <f t="shared" si="1939"/>
        <v>#NAME?</v>
      </c>
      <c r="VW39" s="1386" t="s">
        <v>5006</v>
      </c>
      <c r="VX39" s="442"/>
      <c r="WD39" s="442"/>
      <c r="WE39" s="1289" t="s">
        <v>5724</v>
      </c>
      <c r="WF39" s="12"/>
      <c r="WG39" s="12"/>
      <c r="WH39" s="12"/>
      <c r="WI39" s="48"/>
      <c r="WJ39" s="442"/>
      <c r="WK39" s="1051" t="str">
        <f t="shared" si="1889"/>
        <v>#NAME?</v>
      </c>
      <c r="WL39" s="1127" t="s">
        <v>2867</v>
      </c>
      <c r="WM39" s="1051" t="str">
        <f t="shared" si="1890"/>
        <v>#NAME?</v>
      </c>
      <c r="WN39" s="1131" t="str">
        <f t="shared" si="1891"/>
        <v>#NAME?</v>
      </c>
      <c r="WO39" s="1095" t="s">
        <v>5032</v>
      </c>
      <c r="WP39" s="442"/>
      <c r="WV39" s="442"/>
      <c r="WW39" s="1387" t="str">
        <f t="shared" si="1940"/>
        <v>#NAME?</v>
      </c>
      <c r="WX39" s="1388" t="s">
        <v>347</v>
      </c>
      <c r="WY39" s="1387" t="str">
        <f t="shared" si="1941"/>
        <v>#NAME?</v>
      </c>
      <c r="WZ39" s="1392" t="str">
        <f t="shared" si="1942"/>
        <v>#NAME?</v>
      </c>
      <c r="XA39" s="1391" t="s">
        <v>5004</v>
      </c>
      <c r="XB39" s="442"/>
      <c r="XH39" s="442"/>
      <c r="XI39" s="1051" t="str">
        <f t="shared" si="1892"/>
        <v>#NAME?</v>
      </c>
      <c r="XJ39" s="1127" t="s">
        <v>2285</v>
      </c>
      <c r="XK39" s="1051" t="str">
        <f t="shared" si="1893"/>
        <v>#NAME?</v>
      </c>
      <c r="XL39" s="1131" t="str">
        <f t="shared" si="1894"/>
        <v>#NAME?</v>
      </c>
      <c r="XM39" s="1095" t="s">
        <v>5032</v>
      </c>
      <c r="XN39" s="442"/>
      <c r="XO39" s="1387" t="str">
        <f t="shared" si="1943"/>
        <v>#NAME?</v>
      </c>
      <c r="XP39" s="1388" t="s">
        <v>3324</v>
      </c>
      <c r="XQ39" s="1387" t="str">
        <f t="shared" si="1944"/>
        <v>#NAME?</v>
      </c>
      <c r="XR39" s="1392" t="str">
        <f t="shared" si="1945"/>
        <v>#NAME?</v>
      </c>
      <c r="XS39" s="1391" t="s">
        <v>5018</v>
      </c>
      <c r="XT39" s="442"/>
      <c r="XU39" s="1092"/>
      <c r="XV39" s="1229" t="s">
        <v>3872</v>
      </c>
      <c r="XW39" s="1092" t="str">
        <f>MONTYPEICON1(XV39)</f>
        <v>#NAME?</v>
      </c>
      <c r="XX39" s="987" t="str">
        <f>MONTYPEICON2(XV39)</f>
        <v>#NAME?</v>
      </c>
      <c r="XY39" s="1421" t="s">
        <v>5023</v>
      </c>
      <c r="XZ39" s="442"/>
      <c r="YF39" s="442"/>
      <c r="YG39" s="1013" t="str">
        <f t="shared" si="1898"/>
        <v>#NAME?</v>
      </c>
      <c r="YH39" s="1435" t="s">
        <v>3047</v>
      </c>
      <c r="YI39" s="1013" t="str">
        <f t="shared" si="1899"/>
        <v>#NAME?</v>
      </c>
      <c r="YJ39" s="1015" t="str">
        <f t="shared" si="1900"/>
        <v>#NAME?</v>
      </c>
      <c r="YK39" s="1436" t="s">
        <v>5069</v>
      </c>
      <c r="YL39" s="442"/>
      <c r="YM39" s="1013" t="str">
        <f t="shared" si="1901"/>
        <v>#NAME?</v>
      </c>
      <c r="YN39" s="1435" t="s">
        <v>3911</v>
      </c>
      <c r="YO39" s="1013" t="str">
        <f t="shared" si="1902"/>
        <v>#NAME?</v>
      </c>
      <c r="YP39" s="1015" t="str">
        <f t="shared" si="1903"/>
        <v>#NAME?</v>
      </c>
      <c r="YQ39" s="1436" t="s">
        <v>5033</v>
      </c>
      <c r="YR39" s="442"/>
      <c r="YS39" s="1387" t="str">
        <f t="shared" si="1946"/>
        <v>#NAME?</v>
      </c>
      <c r="YT39" s="1388" t="s">
        <v>37</v>
      </c>
      <c r="YU39" s="1387" t="str">
        <f t="shared" si="1947"/>
        <v>#NAME?</v>
      </c>
      <c r="YV39" s="1392" t="str">
        <f t="shared" si="1948"/>
        <v>#NAME?</v>
      </c>
      <c r="YW39" s="1391" t="s">
        <v>5033</v>
      </c>
      <c r="YX39" s="442"/>
      <c r="YY39" s="1092" t="str">
        <f>MONICON21(YZ39)</f>
        <v>#NAME?</v>
      </c>
      <c r="YZ39" s="1052" t="s">
        <v>4132</v>
      </c>
      <c r="ZA39" s="1092" t="str">
        <f>MONTYPEICON1(YZ39)</f>
        <v>#NAME?</v>
      </c>
      <c r="ZB39" s="987" t="str">
        <f>MONTYPEICON2(YZ39)</f>
        <v>#NAME?</v>
      </c>
      <c r="ZC39" s="1327" t="s">
        <v>5431</v>
      </c>
      <c r="ZD39" s="442"/>
      <c r="ZE39" s="1387" t="str">
        <f t="shared" si="1949"/>
        <v>#NAME?</v>
      </c>
      <c r="ZF39" s="1388" t="s">
        <v>767</v>
      </c>
      <c r="ZG39" s="1387" t="str">
        <f t="shared" si="1950"/>
        <v>#NAME?</v>
      </c>
      <c r="ZH39" s="1392" t="str">
        <f t="shared" si="1951"/>
        <v>#NAME?</v>
      </c>
      <c r="ZI39" s="1391" t="s">
        <v>5032</v>
      </c>
      <c r="ZJ39" s="442"/>
      <c r="ZK39" s="1289" t="s">
        <v>5054</v>
      </c>
      <c r="ZL39" s="12"/>
      <c r="ZM39" s="12"/>
      <c r="ZN39" s="12"/>
      <c r="ZO39" s="48"/>
      <c r="ZP39" s="442"/>
      <c r="ZQ39" s="1051" t="str">
        <f t="shared" si="1904"/>
        <v>#NAME?</v>
      </c>
      <c r="ZR39" s="1127" t="s">
        <v>171</v>
      </c>
      <c r="ZS39" s="1051" t="str">
        <f t="shared" si="1905"/>
        <v>#NAME?</v>
      </c>
      <c r="ZT39" s="1131" t="str">
        <f t="shared" si="1906"/>
        <v>#NAME?</v>
      </c>
      <c r="ZU39" s="1095" t="s">
        <v>5026</v>
      </c>
      <c r="ZV39" s="442"/>
      <c r="ZW39" s="349"/>
      <c r="ZY39" s="349"/>
      <c r="ZZ39" s="349"/>
      <c r="AAB39" s="442"/>
      <c r="AAC39" s="349"/>
      <c r="AAE39" s="349"/>
      <c r="AAF39" s="349"/>
      <c r="AAH39" s="442"/>
      <c r="AAI39" s="349"/>
      <c r="AAK39" s="349"/>
      <c r="AAL39" s="349"/>
      <c r="AAO39" s="349"/>
      <c r="AAQ39" s="349"/>
      <c r="AAR39" s="349"/>
      <c r="AAU39" s="349"/>
      <c r="AAW39" s="349"/>
      <c r="AAX39" s="349"/>
      <c r="ABA39" s="349"/>
      <c r="ABG39" s="349"/>
      <c r="ABM39" s="349"/>
      <c r="ABS39" s="349"/>
      <c r="ABY39" s="349"/>
      <c r="ACJ39" s="996"/>
    </row>
    <row r="40" ht="15.75" customHeight="1">
      <c r="A40" s="1230"/>
      <c r="D40" s="1230"/>
      <c r="E40" s="1230"/>
      <c r="F40" s="1238"/>
      <c r="G40" s="1254"/>
      <c r="H40" s="1230"/>
      <c r="N40" s="1230"/>
      <c r="O40" s="1051" t="str">
        <f t="shared" si="1907"/>
        <v>#NAME?</v>
      </c>
      <c r="P40" s="1127" t="s">
        <v>229</v>
      </c>
      <c r="Q40" s="1051" t="str">
        <f t="shared" si="1908"/>
        <v>#NAME?</v>
      </c>
      <c r="R40" s="1131" t="str">
        <f t="shared" si="1909"/>
        <v>#NAME?</v>
      </c>
      <c r="S40" s="1095" t="s">
        <v>5097</v>
      </c>
      <c r="T40" s="1230"/>
      <c r="Z40" s="1230"/>
      <c r="AF40" s="1230"/>
      <c r="AL40" s="1230"/>
      <c r="AR40" s="1230"/>
      <c r="AS40" s="1230"/>
      <c r="AT40" s="1230"/>
      <c r="AU40" s="1230"/>
      <c r="AV40" s="1230"/>
      <c r="AW40" s="1230"/>
      <c r="AX40" s="1230"/>
      <c r="AY40" s="442"/>
      <c r="AZ40" s="442"/>
      <c r="BA40" s="442"/>
      <c r="BB40" s="442"/>
      <c r="BC40" s="108"/>
      <c r="BD40" s="442"/>
      <c r="BJ40" s="1230"/>
      <c r="BP40" s="442"/>
      <c r="BQ40" s="1146" t="str">
        <f t="shared" si="1952"/>
        <v>#NAME?</v>
      </c>
      <c r="BR40" s="1335" t="s">
        <v>2678</v>
      </c>
      <c r="BS40" s="1146" t="str">
        <f t="shared" si="1953"/>
        <v>#NAME?</v>
      </c>
      <c r="BT40" s="1148" t="str">
        <f t="shared" si="1954"/>
        <v>#NAME?</v>
      </c>
      <c r="BU40" s="1336" t="s">
        <v>4996</v>
      </c>
      <c r="BV40" s="442"/>
      <c r="CB40" s="442"/>
      <c r="CH40" s="442"/>
      <c r="CI40" s="1049" t="str">
        <f t="shared" si="1916"/>
        <v>#NAME?</v>
      </c>
      <c r="CJ40" s="1479" t="s">
        <v>734</v>
      </c>
      <c r="CK40" s="1051" t="str">
        <f t="shared" si="1917"/>
        <v>#NAME?</v>
      </c>
      <c r="CL40" s="1131" t="str">
        <f t="shared" si="1918"/>
        <v>#NAME?</v>
      </c>
      <c r="CM40" s="1411" t="s">
        <v>5099</v>
      </c>
      <c r="CN40" s="442"/>
      <c r="CO40" s="1049" t="str">
        <f>MONICON21(CP40)</f>
        <v>#NAME?</v>
      </c>
      <c r="CP40" s="1308" t="s">
        <v>1384</v>
      </c>
      <c r="CQ40" s="1092" t="str">
        <f>MONTYPEICON1(CP40)</f>
        <v>#NAME?</v>
      </c>
      <c r="CR40" s="987" t="str">
        <f>MONTYPEICON2(CP40)</f>
        <v>#NAME?</v>
      </c>
      <c r="CS40" s="1309" t="s">
        <v>5459</v>
      </c>
      <c r="CT40" s="442"/>
      <c r="CZ40" s="442"/>
      <c r="DF40" s="442"/>
      <c r="DL40" s="442"/>
      <c r="DR40" s="442"/>
      <c r="DX40" s="442"/>
      <c r="ED40" s="442"/>
      <c r="EG40" s="349"/>
      <c r="EH40" s="349"/>
      <c r="EJ40" s="1230"/>
      <c r="EK40" s="1230"/>
      <c r="EL40" s="1230"/>
      <c r="EM40" s="449"/>
      <c r="EN40" s="449"/>
      <c r="EO40" s="1230"/>
      <c r="EP40" s="1230"/>
      <c r="ES40" s="349"/>
      <c r="ET40" s="349"/>
      <c r="EV40" s="1230"/>
      <c r="EW40" s="1193" t="str">
        <f t="shared" si="1781"/>
        <v>#NAME?</v>
      </c>
      <c r="EX40" s="1357" t="s">
        <v>3990</v>
      </c>
      <c r="EY40" s="1146" t="str">
        <f t="shared" si="1782"/>
        <v>#NAME?</v>
      </c>
      <c r="EZ40" s="1148" t="str">
        <f t="shared" si="1783"/>
        <v>#NAME?</v>
      </c>
      <c r="FA40" s="1330" t="s">
        <v>4998</v>
      </c>
      <c r="FB40" s="442"/>
      <c r="FE40" s="349"/>
      <c r="FF40" s="349"/>
      <c r="FH40" s="442"/>
      <c r="FK40" s="349"/>
      <c r="FL40" s="349"/>
      <c r="FN40" s="442"/>
      <c r="FQ40" s="349"/>
      <c r="FR40" s="349"/>
      <c r="FT40" s="442"/>
      <c r="FW40" s="349"/>
      <c r="FX40" s="349"/>
      <c r="FZ40" s="1230"/>
      <c r="GC40" s="349"/>
      <c r="GD40" s="349"/>
      <c r="GF40" s="442"/>
      <c r="GG40" s="1094" t="str">
        <f t="shared" si="1922"/>
        <v>#NAME?</v>
      </c>
      <c r="GH40" s="499" t="s">
        <v>1039</v>
      </c>
      <c r="GI40" s="1051" t="str">
        <f t="shared" si="1923"/>
        <v>#NAME?</v>
      </c>
      <c r="GJ40" s="1131" t="str">
        <f t="shared" si="1924"/>
        <v>#NAME?</v>
      </c>
      <c r="GK40" s="1095" t="s">
        <v>5003</v>
      </c>
      <c r="GL40" s="1230"/>
      <c r="GO40" s="349"/>
      <c r="GP40" s="349"/>
      <c r="GR40" s="1230"/>
      <c r="GS40" s="985"/>
      <c r="GT40" s="146" t="s">
        <v>3872</v>
      </c>
      <c r="GU40" s="1092" t="str">
        <f>MONTYPEICON1(GT40)</f>
        <v>#NAME?</v>
      </c>
      <c r="GV40" s="987" t="str">
        <f>MONTYPEICON2(GT40)</f>
        <v>#NAME?</v>
      </c>
      <c r="GW40" s="1196" t="s">
        <v>5004</v>
      </c>
      <c r="GX40" s="65"/>
      <c r="HA40" s="349"/>
      <c r="HB40" s="349"/>
      <c r="HD40" s="1230"/>
      <c r="HG40" s="349"/>
      <c r="HH40" s="349"/>
      <c r="HJ40" s="1230"/>
      <c r="HM40" s="349"/>
      <c r="HN40" s="349"/>
      <c r="HP40" s="65"/>
      <c r="HQ40" s="65"/>
      <c r="HR40" s="65"/>
      <c r="HS40" s="108"/>
      <c r="HT40" s="108"/>
      <c r="HU40" s="65"/>
      <c r="HV40" s="65"/>
      <c r="HW40" s="65"/>
      <c r="HX40" s="65"/>
      <c r="HY40" s="108"/>
      <c r="HZ40" s="108"/>
      <c r="IA40" s="65"/>
      <c r="IB40" s="65"/>
      <c r="IE40" s="349"/>
      <c r="IF40" s="349"/>
      <c r="IH40" s="65"/>
      <c r="II40" s="65"/>
      <c r="IJ40" s="65"/>
      <c r="IK40" s="108"/>
      <c r="IL40" s="108"/>
      <c r="IM40" s="65"/>
      <c r="IN40" s="65"/>
      <c r="IQ40" s="349"/>
      <c r="IR40" s="349"/>
      <c r="IT40" s="1230"/>
      <c r="IW40" s="349"/>
      <c r="IX40" s="349"/>
      <c r="IZ40" s="1230"/>
      <c r="JA40" s="1230"/>
      <c r="JB40" s="1230"/>
      <c r="JC40" s="449"/>
      <c r="JD40" s="449"/>
      <c r="JE40" s="1230"/>
      <c r="JF40" s="1230"/>
      <c r="JI40" s="349"/>
      <c r="JJ40" s="349"/>
      <c r="JL40" s="1230"/>
      <c r="JO40" s="349"/>
      <c r="JP40" s="349"/>
      <c r="JR40" s="1230"/>
      <c r="JU40" s="349"/>
      <c r="JV40" s="349"/>
      <c r="KA40" s="349"/>
      <c r="KB40" s="349"/>
      <c r="KE40" s="1193" t="str">
        <f t="shared" si="1955"/>
        <v>#NAME?</v>
      </c>
      <c r="KF40" s="1145" t="s">
        <v>831</v>
      </c>
      <c r="KG40" s="1146" t="str">
        <f t="shared" si="1956"/>
        <v>#NAME?</v>
      </c>
      <c r="KH40" s="1148" t="str">
        <f t="shared" si="1957"/>
        <v>#NAME?</v>
      </c>
      <c r="KI40" s="1330" t="s">
        <v>5535</v>
      </c>
      <c r="KJ40" s="65"/>
      <c r="KM40" s="349"/>
      <c r="KN40" s="349"/>
      <c r="KP40" s="65"/>
      <c r="KS40" s="349"/>
      <c r="KT40" s="349"/>
      <c r="KV40" s="65"/>
      <c r="KY40" s="349"/>
      <c r="KZ40" s="349"/>
      <c r="LB40" s="442"/>
      <c r="LE40" s="349"/>
      <c r="LF40" s="349"/>
      <c r="LH40" s="442"/>
      <c r="LI40" s="1631"/>
      <c r="LJ40" s="967"/>
      <c r="LK40" s="967"/>
      <c r="LL40" s="967"/>
      <c r="LM40" s="263"/>
      <c r="LN40" s="442"/>
      <c r="LQ40" s="349"/>
      <c r="LR40" s="349"/>
      <c r="LW40" s="349"/>
      <c r="LX40" s="349"/>
      <c r="LZ40" s="442"/>
      <c r="MC40" s="349"/>
      <c r="MD40" s="349"/>
      <c r="MF40" s="442"/>
      <c r="MI40" s="349"/>
      <c r="MJ40" s="349"/>
      <c r="ML40" s="442"/>
      <c r="MO40" s="349"/>
      <c r="MP40" s="349"/>
      <c r="MU40" s="349"/>
      <c r="MV40" s="349"/>
      <c r="MX40" s="442"/>
      <c r="NA40" s="349"/>
      <c r="NB40" s="349"/>
      <c r="ND40" s="442"/>
      <c r="NG40" s="349"/>
      <c r="NH40" s="349"/>
      <c r="NJ40" s="65"/>
      <c r="NK40" s="1094" t="str">
        <f t="shared" si="1925"/>
        <v>#NAME?</v>
      </c>
      <c r="NL40" s="1127" t="s">
        <v>1303</v>
      </c>
      <c r="NM40" s="1528" t="str">
        <f t="shared" si="1926"/>
        <v>#NAME?</v>
      </c>
      <c r="NN40" s="1433" t="str">
        <f t="shared" si="1927"/>
        <v>#NAME?</v>
      </c>
      <c r="NO40" s="1422" t="s">
        <v>5019</v>
      </c>
      <c r="NQ40" s="1105" t="str">
        <f t="shared" si="1790"/>
        <v>#NAME?</v>
      </c>
      <c r="NR40" s="1505" t="s">
        <v>4174</v>
      </c>
      <c r="NS40" s="1373" t="str">
        <f t="shared" si="1791"/>
        <v>#NAME?</v>
      </c>
      <c r="NT40" s="1374" t="str">
        <f t="shared" si="1792"/>
        <v>#NAME?</v>
      </c>
      <c r="NU40" s="1506" t="s">
        <v>5174</v>
      </c>
      <c r="NV40" s="442"/>
      <c r="NW40" s="65"/>
      <c r="NX40" s="65"/>
      <c r="NY40" s="108"/>
      <c r="NZ40" s="108"/>
      <c r="OA40" s="65"/>
      <c r="OB40" s="442"/>
      <c r="OE40" s="349"/>
      <c r="OF40" s="349"/>
      <c r="OH40" s="442"/>
      <c r="OK40" s="349"/>
      <c r="OL40" s="349"/>
      <c r="ON40" s="442"/>
      <c r="OQ40" s="349"/>
      <c r="OR40" s="349"/>
      <c r="OW40" s="349"/>
      <c r="OX40" s="349"/>
      <c r="OZ40" s="442"/>
      <c r="PC40" s="349"/>
      <c r="PD40" s="349"/>
      <c r="PF40" s="442"/>
      <c r="PI40" s="349"/>
      <c r="PJ40" s="349"/>
      <c r="PL40" s="65"/>
      <c r="PO40" s="349"/>
      <c r="PP40" s="349"/>
      <c r="PR40" s="442"/>
      <c r="PU40" s="349"/>
      <c r="PV40" s="349"/>
      <c r="PX40" s="442"/>
      <c r="QA40" s="349"/>
      <c r="QB40" s="349"/>
      <c r="QD40" s="442"/>
      <c r="QE40" s="442"/>
      <c r="QF40" s="442"/>
      <c r="QG40" s="108"/>
      <c r="QH40" s="108"/>
      <c r="QI40" s="442"/>
      <c r="QJ40" s="442"/>
      <c r="QK40" s="442"/>
      <c r="QL40" s="442"/>
      <c r="QM40" s="108"/>
      <c r="QN40" s="108"/>
      <c r="QO40" s="442"/>
      <c r="QP40" s="65"/>
      <c r="QQ40" s="442"/>
      <c r="QR40" s="442"/>
      <c r="QS40" s="108"/>
      <c r="QT40" s="108"/>
      <c r="QU40" s="442"/>
      <c r="QV40" s="442"/>
      <c r="QW40" s="65"/>
      <c r="QX40" s="65"/>
      <c r="QY40" s="108"/>
      <c r="QZ40" s="108"/>
      <c r="RA40" s="65"/>
      <c r="RB40" s="442"/>
      <c r="RC40" s="442"/>
      <c r="RD40" s="442"/>
      <c r="RE40" s="108"/>
      <c r="RF40" s="108"/>
      <c r="RG40" s="442"/>
      <c r="RH40" s="442"/>
      <c r="RI40" s="442"/>
      <c r="RJ40" s="442"/>
      <c r="RK40" s="108"/>
      <c r="RL40" s="108"/>
      <c r="RM40" s="442"/>
      <c r="RN40" s="442"/>
      <c r="RQ40" s="349"/>
      <c r="RR40" s="349"/>
      <c r="RT40" s="442"/>
      <c r="RW40" s="349"/>
      <c r="RX40" s="349"/>
      <c r="RZ40" s="442"/>
      <c r="SA40" s="1193" t="str">
        <f t="shared" si="1958"/>
        <v>#NAME?</v>
      </c>
      <c r="SB40" s="1145" t="s">
        <v>3158</v>
      </c>
      <c r="SC40" s="1462" t="str">
        <f t="shared" si="1959"/>
        <v>#NAME?</v>
      </c>
      <c r="SD40" s="1463" t="str">
        <f t="shared" si="1960"/>
        <v>#NAME?</v>
      </c>
      <c r="SE40" s="1464" t="s">
        <v>5113</v>
      </c>
      <c r="SF40" s="442"/>
      <c r="SI40" s="349"/>
      <c r="SJ40" s="349"/>
      <c r="SL40" s="442"/>
      <c r="SO40" s="349"/>
      <c r="SP40" s="349"/>
      <c r="SR40" s="442"/>
      <c r="SU40" s="349"/>
      <c r="SV40" s="349"/>
      <c r="SX40" s="442"/>
      <c r="TA40" s="349"/>
      <c r="TB40" s="349"/>
      <c r="TD40" s="442"/>
      <c r="TG40" s="349"/>
      <c r="TH40" s="349"/>
      <c r="TJ40" s="442"/>
      <c r="TM40" s="349"/>
      <c r="TN40" s="349"/>
      <c r="TS40" s="349"/>
      <c r="TT40" s="349"/>
      <c r="TV40" s="65"/>
      <c r="TW40" s="1529" t="str">
        <f t="shared" si="1796"/>
        <v>#NAME?</v>
      </c>
      <c r="TX40" s="1530" t="s">
        <v>3520</v>
      </c>
      <c r="TY40" s="1529" t="str">
        <f t="shared" si="1797"/>
        <v>#NAME?</v>
      </c>
      <c r="TZ40" s="1531" t="str">
        <f t="shared" si="1798"/>
        <v>#NAME?</v>
      </c>
      <c r="UA40" s="1532" t="s">
        <v>5367</v>
      </c>
      <c r="UI40" s="1383" t="str">
        <f t="shared" si="1961"/>
        <v>#NAME?</v>
      </c>
      <c r="UJ40" s="1384" t="s">
        <v>767</v>
      </c>
      <c r="UK40" s="1383" t="str">
        <f t="shared" si="1962"/>
        <v>#NAME?</v>
      </c>
      <c r="UL40" s="1385" t="str">
        <f t="shared" si="1963"/>
        <v>#NAME?</v>
      </c>
      <c r="UM40" s="1386" t="s">
        <v>5029</v>
      </c>
      <c r="UU40" s="1051" t="str">
        <f t="shared" si="1934"/>
        <v>#NAME?</v>
      </c>
      <c r="UV40" s="1127" t="s">
        <v>347</v>
      </c>
      <c r="UW40" s="1130" t="str">
        <f t="shared" si="1935"/>
        <v>#NAME?</v>
      </c>
      <c r="UX40" s="1433" t="str">
        <f t="shared" si="1936"/>
        <v>#NAME?</v>
      </c>
      <c r="UY40" s="1095" t="s">
        <v>5279</v>
      </c>
      <c r="VL40" s="442"/>
      <c r="VR40" s="442"/>
      <c r="VS40" s="442"/>
      <c r="VT40" s="442"/>
      <c r="VU40" s="442"/>
      <c r="VV40" s="442"/>
      <c r="VW40" s="442"/>
      <c r="VX40" s="442"/>
      <c r="VY40" s="442"/>
      <c r="VZ40" s="442"/>
      <c r="WA40" s="442"/>
      <c r="WB40" s="442"/>
      <c r="WC40" s="442"/>
      <c r="WD40" s="442"/>
      <c r="WJ40" s="442"/>
      <c r="WP40" s="442"/>
      <c r="WQ40" s="1295" t="s">
        <v>4910</v>
      </c>
      <c r="WR40" s="12"/>
      <c r="WS40" s="12"/>
      <c r="WT40" s="12"/>
      <c r="WU40" s="48"/>
      <c r="WV40" s="442"/>
      <c r="WW40" s="1051" t="str">
        <f t="shared" si="1940"/>
        <v>#NAME?</v>
      </c>
      <c r="WX40" s="1127" t="s">
        <v>364</v>
      </c>
      <c r="WY40" s="1051" t="str">
        <f t="shared" si="1941"/>
        <v>#NAME?</v>
      </c>
      <c r="WZ40" s="1131" t="str">
        <f t="shared" si="1942"/>
        <v>#NAME?</v>
      </c>
      <c r="XA40" s="1095" t="s">
        <v>5034</v>
      </c>
      <c r="XB40" s="442"/>
      <c r="XH40" s="442"/>
      <c r="XN40" s="442"/>
      <c r="XO40" s="1051" t="str">
        <f t="shared" si="1943"/>
        <v>#NAME?</v>
      </c>
      <c r="XP40" s="1127" t="s">
        <v>1968</v>
      </c>
      <c r="XQ40" s="1051" t="str">
        <f t="shared" si="1944"/>
        <v>#NAME?</v>
      </c>
      <c r="XR40" s="1131" t="str">
        <f t="shared" si="1945"/>
        <v>#NAME?</v>
      </c>
      <c r="XS40" s="1095" t="s">
        <v>5018</v>
      </c>
      <c r="XT40" s="442"/>
      <c r="XU40" s="442"/>
      <c r="XV40" s="442"/>
      <c r="XW40" s="442"/>
      <c r="XX40" s="442"/>
      <c r="XY40" s="442"/>
      <c r="XZ40" s="442"/>
      <c r="YF40" s="442"/>
      <c r="YG40" s="1383" t="str">
        <f t="shared" si="1898"/>
        <v>#NAME?</v>
      </c>
      <c r="YH40" s="1470" t="s">
        <v>1499</v>
      </c>
      <c r="YI40" s="1383" t="str">
        <f t="shared" si="1899"/>
        <v>#NAME?</v>
      </c>
      <c r="YJ40" s="1385" t="str">
        <f t="shared" si="1900"/>
        <v>#NAME?</v>
      </c>
      <c r="YK40" s="1471" t="s">
        <v>5069</v>
      </c>
      <c r="YL40" s="442"/>
      <c r="YM40" s="1383" t="str">
        <f t="shared" si="1901"/>
        <v>#NAME?</v>
      </c>
      <c r="YN40" s="1470" t="s">
        <v>417</v>
      </c>
      <c r="YO40" s="1383" t="str">
        <f t="shared" si="1902"/>
        <v>#NAME?</v>
      </c>
      <c r="YP40" s="1385" t="str">
        <f t="shared" si="1903"/>
        <v>#NAME?</v>
      </c>
      <c r="YQ40" s="1471" t="s">
        <v>5033</v>
      </c>
      <c r="YR40" s="442"/>
      <c r="YS40" s="1051" t="str">
        <f t="shared" si="1946"/>
        <v>#NAME?</v>
      </c>
      <c r="YT40" s="1127" t="s">
        <v>2192</v>
      </c>
      <c r="YU40" s="1051" t="str">
        <f t="shared" si="1947"/>
        <v>#NAME?</v>
      </c>
      <c r="YV40" s="1131" t="str">
        <f t="shared" si="1948"/>
        <v>#NAME?</v>
      </c>
      <c r="YW40" s="1095" t="s">
        <v>5033</v>
      </c>
      <c r="YX40" s="442"/>
      <c r="YY40" s="442"/>
      <c r="YZ40" s="442"/>
      <c r="ZA40" s="108"/>
      <c r="ZB40" s="108"/>
      <c r="ZC40" s="442"/>
      <c r="ZD40" s="442"/>
      <c r="ZE40" s="1051" t="str">
        <f t="shared" si="1949"/>
        <v>#NAME?</v>
      </c>
      <c r="ZF40" s="1127" t="s">
        <v>2163</v>
      </c>
      <c r="ZG40" s="1051" t="str">
        <f t="shared" si="1950"/>
        <v>#NAME?</v>
      </c>
      <c r="ZH40" s="1131" t="str">
        <f t="shared" si="1951"/>
        <v>#NAME?</v>
      </c>
      <c r="ZI40" s="1095" t="s">
        <v>5032</v>
      </c>
      <c r="ZJ40" s="442"/>
      <c r="ZM40" s="349"/>
      <c r="ZN40" s="349"/>
      <c r="ZP40" s="442"/>
      <c r="ZQ40" s="442"/>
      <c r="ZR40" s="442"/>
      <c r="ZS40" s="108"/>
      <c r="ZT40" s="108"/>
      <c r="ZU40" s="442"/>
      <c r="ZV40" s="442"/>
      <c r="ZW40" s="108"/>
      <c r="ZX40" s="442"/>
      <c r="ZY40" s="108"/>
      <c r="ZZ40" s="108"/>
      <c r="AAA40" s="442"/>
      <c r="AAB40" s="442"/>
      <c r="AAC40" s="349"/>
      <c r="AAE40" s="349"/>
      <c r="AAF40" s="349"/>
      <c r="AAH40" s="442"/>
      <c r="AAI40" s="349"/>
      <c r="AAK40" s="349"/>
      <c r="AAL40" s="349"/>
      <c r="AAO40" s="349"/>
      <c r="AAQ40" s="349"/>
      <c r="AAR40" s="349"/>
      <c r="AAU40" s="349"/>
      <c r="AAW40" s="349"/>
      <c r="AAX40" s="349"/>
      <c r="ABA40" s="349"/>
      <c r="ABB40" s="349"/>
      <c r="ABG40" s="349"/>
      <c r="ABM40" s="349"/>
      <c r="ABS40" s="349"/>
      <c r="ABY40" s="349"/>
      <c r="ACJ40" s="996"/>
    </row>
    <row r="41" ht="15.75" customHeight="1">
      <c r="A41" s="428"/>
      <c r="B41" s="428"/>
      <c r="C41" s="428"/>
      <c r="D41" s="428"/>
      <c r="E41" s="428"/>
      <c r="F41" s="1632"/>
      <c r="G41" s="1063"/>
      <c r="H41" s="1226"/>
      <c r="I41" s="1226"/>
      <c r="J41" s="1226"/>
      <c r="K41" s="1226"/>
      <c r="L41" s="1226"/>
      <c r="M41" s="1227"/>
      <c r="N41" s="1226"/>
      <c r="O41" s="1226"/>
      <c r="P41" s="1226"/>
      <c r="Q41" s="1226"/>
      <c r="R41" s="1226"/>
      <c r="S41" s="1227"/>
      <c r="T41" s="1226"/>
      <c r="U41" s="1226"/>
      <c r="V41" s="1226"/>
      <c r="W41" s="1226"/>
      <c r="X41" s="1226"/>
      <c r="Y41" s="1227"/>
      <c r="Z41" s="1226"/>
      <c r="AA41" s="1226"/>
      <c r="AB41" s="1226"/>
      <c r="AC41" s="1226"/>
      <c r="AD41" s="1226"/>
      <c r="AE41" s="1227"/>
      <c r="AF41" s="1226"/>
      <c r="AG41" s="1063"/>
      <c r="AH41" s="1063"/>
      <c r="AI41" s="1063"/>
      <c r="AJ41" s="1063"/>
      <c r="AK41" s="1054"/>
      <c r="AL41" s="1063"/>
      <c r="AM41" s="1063"/>
      <c r="AN41" s="1063"/>
      <c r="AO41" s="1063"/>
      <c r="AP41" s="1063"/>
      <c r="AQ41" s="1063"/>
      <c r="AR41" s="1063"/>
      <c r="AS41" s="1063"/>
      <c r="AT41" s="1063"/>
      <c r="AU41" s="1063"/>
      <c r="AV41" s="1063"/>
      <c r="AW41" s="1063"/>
      <c r="AX41" s="1063"/>
      <c r="AY41" s="1063"/>
      <c r="AZ41" s="1063"/>
      <c r="BA41" s="1063"/>
      <c r="BB41" s="1063"/>
      <c r="BC41" s="1054"/>
      <c r="BD41" s="1063"/>
      <c r="BE41" s="1063"/>
      <c r="BF41" s="1063"/>
      <c r="BG41" s="1063"/>
      <c r="BH41" s="1063"/>
      <c r="BI41" s="1054"/>
      <c r="BJ41" s="1063"/>
      <c r="BK41" s="1228"/>
      <c r="BL41" s="1228"/>
      <c r="BM41" s="1228"/>
      <c r="BN41" s="1228"/>
      <c r="BO41" s="1228"/>
      <c r="BP41" s="1063"/>
      <c r="BQ41" s="1063"/>
      <c r="BR41" s="1063"/>
      <c r="BS41" s="1063"/>
      <c r="BT41" s="1063"/>
      <c r="BU41" s="1054"/>
      <c r="BV41" s="1063"/>
      <c r="BW41" s="1063"/>
      <c r="BX41" s="1063"/>
      <c r="BY41" s="1063"/>
      <c r="BZ41" s="1063"/>
      <c r="CA41" s="1054"/>
      <c r="CB41" s="1063"/>
      <c r="CC41" s="1063"/>
      <c r="CD41" s="1063"/>
      <c r="CE41" s="1063"/>
      <c r="CF41" s="1063"/>
      <c r="CG41" s="1054"/>
      <c r="CH41" s="1063"/>
      <c r="CI41" s="1063"/>
      <c r="CJ41" s="1063"/>
      <c r="CK41" s="1063"/>
      <c r="CL41" s="1063"/>
      <c r="CM41" s="1054"/>
      <c r="CN41" s="1063"/>
      <c r="CO41" s="144"/>
      <c r="CP41" s="144"/>
      <c r="CQ41" s="1063"/>
      <c r="CR41" s="1063"/>
      <c r="CS41" s="1054"/>
      <c r="CT41" s="1063"/>
      <c r="CU41" s="1228"/>
      <c r="CV41" s="1228"/>
      <c r="CW41" s="1228"/>
      <c r="CX41" s="1228"/>
      <c r="CY41" s="1228"/>
      <c r="CZ41" s="1063"/>
      <c r="DA41" s="1228"/>
      <c r="DB41" s="1228"/>
      <c r="DC41" s="1228"/>
      <c r="DD41" s="1228"/>
      <c r="DE41" s="1228"/>
      <c r="DF41" s="1063"/>
      <c r="DG41" s="1228"/>
      <c r="DH41" s="1228"/>
      <c r="DI41" s="1228"/>
      <c r="DJ41" s="1228"/>
      <c r="DK41" s="1228"/>
      <c r="DL41" s="1063"/>
      <c r="DM41" s="1063"/>
      <c r="DN41" s="1063"/>
      <c r="DO41" s="1063"/>
      <c r="DP41" s="1063"/>
      <c r="DQ41" s="1063"/>
      <c r="DR41" s="1063"/>
      <c r="DS41" s="1063"/>
      <c r="DT41" s="1063"/>
      <c r="DU41" s="1063"/>
      <c r="DV41" s="1063"/>
      <c r="DW41" s="1063"/>
      <c r="DX41" s="1063"/>
      <c r="DY41" s="1063"/>
      <c r="DZ41" s="1063"/>
      <c r="EA41" s="1063"/>
      <c r="EB41" s="1063"/>
      <c r="EC41" s="1063"/>
      <c r="ED41" s="1063"/>
      <c r="EE41" s="1228"/>
      <c r="EF41" s="1228"/>
      <c r="EG41" s="1633"/>
      <c r="EH41" s="1633"/>
      <c r="EI41" s="1228"/>
      <c r="EJ41" s="1063"/>
      <c r="EK41" s="1063"/>
      <c r="EL41" s="1063"/>
      <c r="EM41" s="1054"/>
      <c r="EN41" s="1054"/>
      <c r="EO41" s="1063"/>
      <c r="EP41" s="1063"/>
      <c r="EQ41" s="1063"/>
      <c r="ER41" s="1063"/>
      <c r="ES41" s="1054"/>
      <c r="ET41" s="1054"/>
      <c r="EU41" s="1063"/>
      <c r="EV41" s="1063"/>
      <c r="EW41" s="1063"/>
      <c r="EX41" s="1063"/>
      <c r="EY41" s="1054"/>
      <c r="EZ41" s="1054"/>
      <c r="FA41" s="1063"/>
      <c r="FB41" s="1063"/>
      <c r="FC41" s="1063"/>
      <c r="FD41" s="1063"/>
      <c r="FE41" s="1054"/>
      <c r="FF41" s="1054"/>
      <c r="FG41" s="1054"/>
      <c r="FH41" s="1063"/>
      <c r="FI41" s="1063"/>
      <c r="FJ41" s="1063"/>
      <c r="FK41" s="1054"/>
      <c r="FL41" s="1054"/>
      <c r="FM41" s="1054"/>
      <c r="FN41" s="1063"/>
      <c r="FO41" s="1063"/>
      <c r="FP41" s="1063"/>
      <c r="FQ41" s="1054"/>
      <c r="FR41" s="1054"/>
      <c r="FS41" s="1054"/>
      <c r="FT41" s="1063"/>
      <c r="FU41" s="1063"/>
      <c r="FV41" s="1063"/>
      <c r="FW41" s="1054"/>
      <c r="FX41" s="1054"/>
      <c r="FY41" s="1063"/>
      <c r="FZ41" s="1063"/>
      <c r="GA41" s="1063"/>
      <c r="GB41" s="1063"/>
      <c r="GC41" s="1227"/>
      <c r="GD41" s="1227"/>
      <c r="GE41" s="1634"/>
      <c r="GF41" s="1634"/>
      <c r="GG41" s="1634"/>
      <c r="GH41" s="1634"/>
      <c r="GI41" s="1227"/>
      <c r="GJ41" s="1227"/>
      <c r="GK41" s="1634"/>
      <c r="GL41" s="1634"/>
      <c r="GM41" s="1634"/>
      <c r="GN41" s="1634"/>
      <c r="GO41" s="1227"/>
      <c r="GP41" s="1227"/>
      <c r="GQ41" s="1634"/>
      <c r="GR41" s="1634"/>
      <c r="GS41" s="1634"/>
      <c r="GT41" s="1634"/>
      <c r="GU41" s="1227"/>
      <c r="GV41" s="1227"/>
      <c r="GW41" s="1634"/>
      <c r="GX41" s="144"/>
      <c r="GY41" s="1634"/>
      <c r="GZ41" s="1634"/>
      <c r="HA41" s="1227"/>
      <c r="HB41" s="1227"/>
      <c r="HC41" s="1634"/>
      <c r="HD41" s="1634"/>
      <c r="HE41" s="1634"/>
      <c r="HF41" s="1634"/>
      <c r="HG41" s="1227"/>
      <c r="HH41" s="1227"/>
      <c r="HI41" s="1634"/>
      <c r="HJ41" s="1634"/>
      <c r="HK41" s="1634"/>
      <c r="HL41" s="1634"/>
      <c r="HM41" s="1227"/>
      <c r="HN41" s="1227"/>
      <c r="HO41" s="1634"/>
      <c r="HP41" s="144"/>
      <c r="HQ41" s="144"/>
      <c r="HR41" s="144"/>
      <c r="HS41" s="1054"/>
      <c r="HT41" s="1054"/>
      <c r="HU41" s="144"/>
      <c r="HV41" s="144"/>
      <c r="HW41" s="144"/>
      <c r="HX41" s="144"/>
      <c r="HY41" s="1054"/>
      <c r="HZ41" s="1054"/>
      <c r="IA41" s="144"/>
      <c r="IB41" s="144"/>
      <c r="IC41" s="144"/>
      <c r="ID41" s="144"/>
      <c r="IE41" s="1054"/>
      <c r="IF41" s="1054"/>
      <c r="IG41" s="144"/>
      <c r="IH41" s="144"/>
      <c r="II41" s="144"/>
      <c r="IJ41" s="144"/>
      <c r="IK41" s="1054"/>
      <c r="IL41" s="1054"/>
      <c r="IM41" s="144"/>
      <c r="IN41" s="1634"/>
      <c r="IO41" s="1228"/>
      <c r="IP41" s="1228"/>
      <c r="IQ41" s="1633"/>
      <c r="IR41" s="1633"/>
      <c r="IS41" s="1228"/>
      <c r="IT41" s="1634"/>
      <c r="IU41" s="1228"/>
      <c r="IV41" s="1228"/>
      <c r="IW41" s="1633"/>
      <c r="IX41" s="1633"/>
      <c r="IY41" s="1228"/>
      <c r="IZ41" s="1634"/>
      <c r="JA41" s="1634"/>
      <c r="JB41" s="1634"/>
      <c r="JC41" s="1227"/>
      <c r="JD41" s="1227"/>
      <c r="JE41" s="1634"/>
      <c r="JF41" s="1634"/>
      <c r="JG41" s="1634"/>
      <c r="JH41" s="1634"/>
      <c r="JI41" s="1227"/>
      <c r="JJ41" s="1227"/>
      <c r="JK41" s="1634"/>
      <c r="JL41" s="1634"/>
      <c r="JM41" s="1634"/>
      <c r="JN41" s="1634"/>
      <c r="JO41" s="1227"/>
      <c r="JP41" s="1227"/>
      <c r="JQ41" s="1634"/>
      <c r="JR41" s="1634"/>
      <c r="JS41" s="1634"/>
      <c r="JT41" s="1634"/>
      <c r="JU41" s="1227"/>
      <c r="JV41" s="1227"/>
      <c r="JW41" s="1634"/>
      <c r="JX41" s="1634"/>
      <c r="JY41" s="1228"/>
      <c r="JZ41" s="1228"/>
      <c r="KA41" s="1633"/>
      <c r="KB41" s="1633"/>
      <c r="KC41" s="1228"/>
      <c r="KD41" s="1634"/>
      <c r="KE41" s="1228"/>
      <c r="KF41" s="1228"/>
      <c r="KG41" s="1633"/>
      <c r="KH41" s="1633"/>
      <c r="KI41" s="1228"/>
      <c r="KJ41" s="1634"/>
      <c r="KK41" s="1228"/>
      <c r="KL41" s="1228"/>
      <c r="KM41" s="1633"/>
      <c r="KN41" s="1633"/>
      <c r="KO41" s="1228"/>
      <c r="KP41" s="1634"/>
      <c r="KQ41" s="1634"/>
      <c r="KR41" s="1634"/>
      <c r="KS41" s="1227"/>
      <c r="KT41" s="1227"/>
      <c r="KU41" s="1634"/>
      <c r="KV41" s="1634"/>
      <c r="KW41" s="1634"/>
      <c r="KX41" s="1634"/>
      <c r="KY41" s="1054"/>
      <c r="KZ41" s="1054"/>
      <c r="LA41" s="1063"/>
      <c r="LB41" s="1063"/>
      <c r="LC41" s="1063"/>
      <c r="LD41" s="1063"/>
      <c r="LE41" s="1054"/>
      <c r="LF41" s="1054"/>
      <c r="LG41" s="1063"/>
      <c r="LH41" s="1063"/>
      <c r="LI41" s="1228"/>
      <c r="LJ41" s="1228"/>
      <c r="LK41" s="1633"/>
      <c r="LL41" s="1633"/>
      <c r="LM41" s="1228"/>
      <c r="LN41" s="1063"/>
      <c r="LO41" s="1063"/>
      <c r="LP41" s="1063"/>
      <c r="LQ41" s="1054"/>
      <c r="LR41" s="1227"/>
      <c r="LS41" s="1063"/>
      <c r="LT41" s="1063"/>
      <c r="LU41" s="1634"/>
      <c r="LV41" s="1634"/>
      <c r="LW41" s="1054"/>
      <c r="LX41" s="1054"/>
      <c r="LY41" s="1634"/>
      <c r="LZ41" s="1063"/>
      <c r="MA41" s="1063"/>
      <c r="MB41" s="1063"/>
      <c r="MC41" s="1054"/>
      <c r="MD41" s="1054"/>
      <c r="ME41" s="1063"/>
      <c r="MF41" s="1063"/>
      <c r="MG41" s="1063"/>
      <c r="MH41" s="1063"/>
      <c r="MI41" s="1054"/>
      <c r="MJ41" s="1054"/>
      <c r="MK41" s="1063"/>
      <c r="ML41" s="1063"/>
      <c r="MM41" s="1063"/>
      <c r="MN41" s="1063"/>
      <c r="MO41" s="1227"/>
      <c r="MP41" s="1054"/>
      <c r="MQ41" s="1063"/>
      <c r="MR41" s="1063"/>
      <c r="MS41" s="1063"/>
      <c r="MT41" s="1063"/>
      <c r="MU41" s="1054"/>
      <c r="MV41" s="1054"/>
      <c r="MW41" s="1063"/>
      <c r="MX41" s="1063"/>
      <c r="MY41" s="1063"/>
      <c r="MZ41" s="1063"/>
      <c r="NA41" s="1054"/>
      <c r="NB41" s="1054"/>
      <c r="NC41" s="1063"/>
      <c r="ND41" s="1063"/>
      <c r="NE41" s="1063"/>
      <c r="NF41" s="1063"/>
      <c r="NG41" s="1054"/>
      <c r="NH41" s="1054"/>
      <c r="NI41" s="1063"/>
      <c r="NJ41" s="1063"/>
      <c r="NK41" s="1063"/>
      <c r="NL41" s="1063"/>
      <c r="NM41" s="1227"/>
      <c r="NN41" s="1054"/>
      <c r="NO41" s="1063"/>
      <c r="NP41" s="1634"/>
      <c r="NQ41" s="1228"/>
      <c r="NR41" s="1228"/>
      <c r="NS41" s="1633"/>
      <c r="NT41" s="1633"/>
      <c r="NU41" s="1228"/>
      <c r="NV41" s="1063"/>
      <c r="NW41" s="1634"/>
      <c r="NX41" s="1634"/>
      <c r="NY41" s="1054"/>
      <c r="NZ41" s="1054"/>
      <c r="OA41" s="1634"/>
      <c r="OB41" s="1063"/>
      <c r="OC41" s="1063"/>
      <c r="OD41" s="1063"/>
      <c r="OE41" s="1054"/>
      <c r="OF41" s="1054"/>
      <c r="OG41" s="1063"/>
      <c r="OH41" s="1063"/>
      <c r="OI41" s="1063"/>
      <c r="OJ41" s="1063"/>
      <c r="OK41" s="1054"/>
      <c r="OL41" s="1054"/>
      <c r="OM41" s="1063"/>
      <c r="ON41" s="1063"/>
      <c r="OO41" s="1063"/>
      <c r="OP41" s="1063"/>
      <c r="OQ41" s="1227"/>
      <c r="OR41" s="1054"/>
      <c r="OS41" s="1063"/>
      <c r="OT41" s="1634"/>
      <c r="OU41" s="1228"/>
      <c r="OV41" s="1228"/>
      <c r="OW41" s="1633"/>
      <c r="OX41" s="1227"/>
      <c r="OY41" s="1063"/>
      <c r="OZ41" s="1063"/>
      <c r="PA41" s="1228"/>
      <c r="PB41" s="1228"/>
      <c r="PC41" s="1633"/>
      <c r="PD41" s="1633"/>
      <c r="PE41" s="1228"/>
      <c r="PF41" s="1063"/>
      <c r="PG41" s="1063"/>
      <c r="PH41" s="1063"/>
      <c r="PI41" s="1227"/>
      <c r="PJ41" s="1054"/>
      <c r="PK41" s="1063"/>
      <c r="PL41" s="1634"/>
      <c r="PM41" s="1063"/>
      <c r="PN41" s="1063"/>
      <c r="PO41" s="1054"/>
      <c r="PP41" s="1227"/>
      <c r="PQ41" s="1063"/>
      <c r="PR41" s="1063"/>
      <c r="PS41" s="1634"/>
      <c r="PT41" s="1634"/>
      <c r="PU41" s="1054"/>
      <c r="PV41" s="1054"/>
      <c r="PW41" s="1634"/>
      <c r="PX41" s="1063"/>
      <c r="PY41" s="1228"/>
      <c r="PZ41" s="1228"/>
      <c r="QA41" s="1633"/>
      <c r="QB41" s="1633"/>
      <c r="QC41" s="1228"/>
      <c r="QD41" s="1063"/>
      <c r="QE41" s="1063"/>
      <c r="QF41" s="1063"/>
      <c r="QG41" s="1227"/>
      <c r="QH41" s="1054"/>
      <c r="QI41" s="1063"/>
      <c r="QJ41" s="1063"/>
      <c r="QK41" s="1063"/>
      <c r="QL41" s="1063"/>
      <c r="QM41" s="1227"/>
      <c r="QN41" s="1054"/>
      <c r="QO41" s="1063"/>
      <c r="QP41" s="1634"/>
      <c r="QQ41" s="1063"/>
      <c r="QR41" s="1063"/>
      <c r="QS41" s="1054"/>
      <c r="QT41" s="1227"/>
      <c r="QU41" s="1063"/>
      <c r="QV41" s="1063"/>
      <c r="QW41" s="1634"/>
      <c r="QX41" s="1634"/>
      <c r="QY41" s="1054"/>
      <c r="QZ41" s="1054"/>
      <c r="RA41" s="1634"/>
      <c r="RB41" s="1063"/>
      <c r="RC41" s="1063"/>
      <c r="RD41" s="1063"/>
      <c r="RE41" s="1054"/>
      <c r="RF41" s="1054"/>
      <c r="RG41" s="1063"/>
      <c r="RH41" s="1063"/>
      <c r="RI41" s="1063"/>
      <c r="RJ41" s="1063"/>
      <c r="RK41" s="1054"/>
      <c r="RL41" s="1054"/>
      <c r="RM41" s="1063"/>
      <c r="RN41" s="1063"/>
      <c r="RO41" s="1063"/>
      <c r="RP41" s="1063"/>
      <c r="RQ41" s="1054"/>
      <c r="RR41" s="1054"/>
      <c r="RS41" s="1063"/>
      <c r="RT41" s="1063"/>
      <c r="RU41" s="1063"/>
      <c r="RV41" s="1063"/>
      <c r="RW41" s="1054"/>
      <c r="RX41" s="1054"/>
      <c r="RY41" s="1063"/>
      <c r="RZ41" s="1063"/>
      <c r="SA41" s="1063"/>
      <c r="SB41" s="1063"/>
      <c r="SC41" s="1054"/>
      <c r="SD41" s="1054"/>
      <c r="SE41" s="1063"/>
      <c r="SF41" s="1063"/>
      <c r="SG41" s="1063"/>
      <c r="SH41" s="1063"/>
      <c r="SI41" s="1054"/>
      <c r="SJ41" s="1054"/>
      <c r="SK41" s="1063"/>
      <c r="SL41" s="1063"/>
      <c r="SM41" s="1063"/>
      <c r="SN41" s="1063"/>
      <c r="SO41" s="1054"/>
      <c r="SP41" s="1227"/>
      <c r="SQ41" s="1063"/>
      <c r="SR41" s="1063"/>
      <c r="SS41" s="1634"/>
      <c r="ST41" s="1634"/>
      <c r="SU41" s="1054"/>
      <c r="SV41" s="1054"/>
      <c r="SW41" s="1634"/>
      <c r="SX41" s="1063"/>
      <c r="SY41" s="1063"/>
      <c r="SZ41" s="1063"/>
      <c r="TA41" s="1054"/>
      <c r="TB41" s="1054"/>
      <c r="TC41" s="1063"/>
      <c r="TD41" s="1063"/>
      <c r="TE41" s="1634"/>
      <c r="TF41" s="1634"/>
      <c r="TG41" s="1054"/>
      <c r="TH41" s="1054"/>
      <c r="TI41" s="1063"/>
      <c r="TJ41" s="1063"/>
      <c r="TK41" s="1063"/>
      <c r="TL41" s="1063"/>
      <c r="TM41" s="1054"/>
      <c r="TN41" s="1054"/>
      <c r="TO41" s="1634"/>
      <c r="TP41" s="1063"/>
      <c r="TQ41" s="1063"/>
      <c r="TR41" s="1063"/>
      <c r="TS41" s="1227"/>
      <c r="TT41" s="1054"/>
      <c r="TU41" s="1063"/>
      <c r="TV41" s="1634"/>
      <c r="TW41" s="1063"/>
      <c r="TX41" s="1063"/>
      <c r="TY41" s="1063"/>
      <c r="TZ41" s="1063"/>
      <c r="UA41" s="1228"/>
      <c r="UB41" s="1063"/>
      <c r="UC41" s="1063"/>
      <c r="UD41" s="1063"/>
      <c r="UE41" s="1063"/>
      <c r="UF41" s="1063"/>
      <c r="UG41" s="1063"/>
      <c r="UH41" s="1063"/>
      <c r="UI41" s="1063"/>
      <c r="UJ41" s="1063"/>
      <c r="UK41" s="1063"/>
      <c r="UL41" s="1063"/>
      <c r="UM41" s="1063"/>
      <c r="UN41" s="1063"/>
      <c r="UO41" s="1063"/>
      <c r="UP41" s="1063"/>
      <c r="UQ41" s="1063"/>
      <c r="UR41" s="1063"/>
      <c r="US41" s="1063"/>
      <c r="UT41" s="1063"/>
      <c r="UU41" s="1063"/>
      <c r="UV41" s="1063"/>
      <c r="UW41" s="1063"/>
      <c r="UX41" s="1063"/>
      <c r="UY41" s="1063"/>
      <c r="UZ41" s="1063"/>
      <c r="VA41" s="1063"/>
      <c r="VB41" s="1063"/>
      <c r="VC41" s="1063"/>
      <c r="VD41" s="1063"/>
      <c r="VE41" s="1063"/>
      <c r="VF41" s="1063"/>
      <c r="VG41" s="1063"/>
      <c r="VH41" s="1063"/>
      <c r="VI41" s="1063"/>
      <c r="VJ41" s="1063"/>
      <c r="VK41" s="1063"/>
      <c r="VL41" s="1063"/>
      <c r="VM41" s="1063"/>
      <c r="VN41" s="1063"/>
      <c r="VO41" s="1063"/>
      <c r="VP41" s="1063"/>
      <c r="VQ41" s="1063"/>
      <c r="VR41" s="1063"/>
      <c r="VS41" s="1063"/>
      <c r="VT41" s="1063"/>
      <c r="VU41" s="1063"/>
      <c r="VV41" s="1063"/>
      <c r="VW41" s="1063"/>
      <c r="VX41" s="1063"/>
      <c r="VY41" s="1063"/>
      <c r="VZ41" s="1063"/>
      <c r="WA41" s="1063"/>
      <c r="WB41" s="1063"/>
      <c r="WC41" s="1063"/>
      <c r="WD41" s="1063"/>
      <c r="WE41" s="1063"/>
      <c r="WF41" s="1063"/>
      <c r="WG41" s="1063"/>
      <c r="WH41" s="1063"/>
      <c r="WI41" s="1063"/>
      <c r="WJ41" s="1063"/>
      <c r="WK41" s="1063"/>
      <c r="WL41" s="1063"/>
      <c r="WM41" s="1063"/>
      <c r="WN41" s="1063"/>
      <c r="WO41" s="1063"/>
      <c r="WP41" s="1063"/>
      <c r="WQ41" s="1063"/>
      <c r="WR41" s="1063"/>
      <c r="WS41" s="1063"/>
      <c r="WT41" s="1063"/>
      <c r="WU41" s="1063"/>
      <c r="WV41" s="1063"/>
      <c r="WW41" s="1228"/>
      <c r="WX41" s="1228"/>
      <c r="WY41" s="1228"/>
      <c r="WZ41" s="1228"/>
      <c r="XA41" s="1228"/>
      <c r="XB41" s="1063"/>
      <c r="XC41" s="1228"/>
      <c r="XD41" s="1228"/>
      <c r="XE41" s="1228"/>
      <c r="XF41" s="1228"/>
      <c r="XG41" s="1228"/>
      <c r="XH41" s="1063"/>
      <c r="XI41" s="1063"/>
      <c r="XJ41" s="1063"/>
      <c r="XK41" s="1063"/>
      <c r="XL41" s="1063"/>
      <c r="XM41" s="1063"/>
      <c r="XN41" s="1063"/>
      <c r="XO41" s="1228"/>
      <c r="XP41" s="1228"/>
      <c r="XQ41" s="1228"/>
      <c r="XR41" s="1228"/>
      <c r="XS41" s="1228"/>
      <c r="XT41" s="1063"/>
      <c r="XU41" s="1063"/>
      <c r="XV41" s="1063"/>
      <c r="XW41" s="1063"/>
      <c r="XX41" s="1063"/>
      <c r="XY41" s="1063"/>
      <c r="XZ41" s="1063"/>
      <c r="YA41" s="1063"/>
      <c r="YB41" s="1063"/>
      <c r="YC41" s="1063"/>
      <c r="YD41" s="1063"/>
      <c r="YE41" s="1063"/>
      <c r="YF41" s="1063"/>
      <c r="YG41" s="1063"/>
      <c r="YH41" s="1063"/>
      <c r="YI41" s="1054"/>
      <c r="YJ41" s="1054"/>
      <c r="YK41" s="1063"/>
      <c r="YL41" s="1063"/>
      <c r="YM41" s="1063"/>
      <c r="YN41" s="1063"/>
      <c r="YO41" s="1054"/>
      <c r="YP41" s="1054"/>
      <c r="YQ41" s="1063"/>
      <c r="YR41" s="1063"/>
      <c r="YS41" s="1063"/>
      <c r="YT41" s="1063"/>
      <c r="YU41" s="1054"/>
      <c r="YV41" s="1054"/>
      <c r="YW41" s="1063"/>
      <c r="YX41" s="1063"/>
      <c r="YY41" s="1063"/>
      <c r="YZ41" s="1063"/>
      <c r="ZA41" s="1054"/>
      <c r="ZB41" s="1054"/>
      <c r="ZC41" s="1063"/>
      <c r="ZD41" s="1063"/>
      <c r="ZE41" s="1063"/>
      <c r="ZF41" s="1063"/>
      <c r="ZG41" s="1054"/>
      <c r="ZH41" s="1054"/>
      <c r="ZI41" s="1063"/>
      <c r="ZJ41" s="1063"/>
      <c r="ZK41" s="1063"/>
      <c r="ZL41" s="1063"/>
      <c r="ZM41" s="1054"/>
      <c r="ZN41" s="1054"/>
      <c r="ZO41" s="1063"/>
      <c r="ZP41" s="1063"/>
      <c r="ZQ41" s="1063"/>
      <c r="ZR41" s="1063"/>
      <c r="ZS41" s="1054"/>
      <c r="ZT41" s="1054"/>
      <c r="ZU41" s="1063"/>
      <c r="ZV41" s="1063"/>
      <c r="ZW41" s="1054"/>
      <c r="ZX41" s="1063"/>
      <c r="ZY41" s="1054"/>
      <c r="ZZ41" s="1054"/>
      <c r="AAA41" s="1063"/>
      <c r="AAB41" s="1063"/>
      <c r="AAC41" s="1054"/>
      <c r="AAD41" s="1063"/>
      <c r="AAE41" s="1054"/>
      <c r="AAF41" s="1054"/>
      <c r="AAG41" s="1063"/>
      <c r="AAH41" s="1063"/>
      <c r="AAI41" s="1633"/>
      <c r="AAJ41" s="1228"/>
      <c r="AAK41" s="1633"/>
      <c r="AAL41" s="1633"/>
      <c r="AAM41" s="1228"/>
      <c r="AAN41" s="1228"/>
      <c r="AAO41" s="1633"/>
      <c r="AAP41" s="1228"/>
      <c r="AAQ41" s="1633"/>
      <c r="AAR41" s="1633"/>
      <c r="AAS41" s="1228"/>
      <c r="AAT41" s="1228"/>
      <c r="AAU41" s="1633"/>
      <c r="AAV41" s="1228"/>
      <c r="AAW41" s="1633"/>
      <c r="AAX41" s="1633"/>
      <c r="AAY41" s="1228"/>
      <c r="AAZ41" s="1228"/>
      <c r="ABA41" s="1633"/>
      <c r="ABB41" s="1228"/>
      <c r="ABC41" s="1228"/>
      <c r="ABD41" s="1228"/>
      <c r="ABE41" s="1228"/>
      <c r="ABF41" s="1228"/>
      <c r="ABG41" s="1633"/>
      <c r="ABH41" s="1228"/>
      <c r="ABI41" s="1228"/>
      <c r="ABJ41" s="1228"/>
      <c r="ABK41" s="1228"/>
      <c r="ABL41" s="1228"/>
      <c r="ABM41" s="1633"/>
      <c r="ABN41" s="1228"/>
      <c r="ABO41" s="1228"/>
      <c r="ABP41" s="1228"/>
      <c r="ABQ41" s="1228"/>
      <c r="ABR41" s="1228"/>
      <c r="ABS41" s="1633"/>
      <c r="ABT41" s="1228"/>
      <c r="ABU41" s="1228"/>
      <c r="ABV41" s="1228"/>
      <c r="ABW41" s="1228"/>
      <c r="ABX41" s="1228"/>
      <c r="ABY41" s="1633"/>
      <c r="ABZ41" s="1228"/>
      <c r="ACA41" s="1228"/>
      <c r="ACB41" s="1228"/>
      <c r="ACC41" s="1228"/>
      <c r="ACD41" s="1228"/>
      <c r="ACE41" s="1228"/>
      <c r="ACF41" s="1228"/>
      <c r="ACG41" s="1228"/>
      <c r="ACH41" s="1228"/>
      <c r="ACI41" s="1228"/>
      <c r="ACJ41" s="1229"/>
    </row>
  </sheetData>
  <mergeCells count="1258">
    <mergeCell ref="GZ4:HB4"/>
    <mergeCell ref="HF4:HH4"/>
    <mergeCell ref="HK4:HO4"/>
    <mergeCell ref="HR4:HT4"/>
    <mergeCell ref="HW4:IA4"/>
    <mergeCell ref="ID4:IF4"/>
    <mergeCell ref="IJ4:IL4"/>
    <mergeCell ref="IP4:IR4"/>
    <mergeCell ref="JB4:JD4"/>
    <mergeCell ref="JG4:JK4"/>
    <mergeCell ref="JN4:JP4"/>
    <mergeCell ref="JS4:JW4"/>
    <mergeCell ref="JZ4:KB4"/>
    <mergeCell ref="KE4:KG4"/>
    <mergeCell ref="ZL4:ZN4"/>
    <mergeCell ref="ZQ4:ZU4"/>
    <mergeCell ref="XV4:XX4"/>
    <mergeCell ref="YB4:YD4"/>
    <mergeCell ref="YH4:YJ4"/>
    <mergeCell ref="YN4:YP4"/>
    <mergeCell ref="YT4:YV4"/>
    <mergeCell ref="YZ4:ZB4"/>
    <mergeCell ref="ZF4:ZH4"/>
    <mergeCell ref="EE2:EF2"/>
    <mergeCell ref="EG2:GE2"/>
    <mergeCell ref="GG2:GJ2"/>
    <mergeCell ref="GK2:HU2"/>
    <mergeCell ref="HW2:HX2"/>
    <mergeCell ref="HY2:KU2"/>
    <mergeCell ref="KW2:KX2"/>
    <mergeCell ref="UI2:UO2"/>
    <mergeCell ref="UQ2:ACC2"/>
    <mergeCell ref="ACE2:ACI2"/>
    <mergeCell ref="KY2:LS2"/>
    <mergeCell ref="LU2:LV2"/>
    <mergeCell ref="LW2:NU2"/>
    <mergeCell ref="NW2:OY2"/>
    <mergeCell ref="OZ2:RM2"/>
    <mergeCell ref="RO2:RP2"/>
    <mergeCell ref="RQ2:UG2"/>
    <mergeCell ref="Q4:R4"/>
    <mergeCell ref="V4:X4"/>
    <mergeCell ref="AB4:AD4"/>
    <mergeCell ref="AH4:AJ4"/>
    <mergeCell ref="AM4:AQ4"/>
    <mergeCell ref="AT4:AV4"/>
    <mergeCell ref="ZX4:ZZ4"/>
    <mergeCell ref="AAD4:AAF4"/>
    <mergeCell ref="AAV4:AAX4"/>
    <mergeCell ref="ABB4:ABD4"/>
    <mergeCell ref="ABH4:ABJ4"/>
    <mergeCell ref="ABN4:ABP4"/>
    <mergeCell ref="ABT4:ABV4"/>
    <mergeCell ref="ACF4:ACH4"/>
    <mergeCell ref="KL4:KN4"/>
    <mergeCell ref="KQ4:KS4"/>
    <mergeCell ref="KW4:LA4"/>
    <mergeCell ref="LD4:LF4"/>
    <mergeCell ref="LK4:LL4"/>
    <mergeCell ref="LP4:LR4"/>
    <mergeCell ref="MB4:MD4"/>
    <mergeCell ref="CO4:CQ4"/>
    <mergeCell ref="CW4:CX4"/>
    <mergeCell ref="CP5:CR5"/>
    <mergeCell ref="DN4:DP4"/>
    <mergeCell ref="DS4:DW4"/>
    <mergeCell ref="EL7:EN7"/>
    <mergeCell ref="FV7:FX7"/>
    <mergeCell ref="ER8:ET8"/>
    <mergeCell ref="EY8:EZ8"/>
    <mergeCell ref="FP8:FR8"/>
    <mergeCell ref="BL4:BN4"/>
    <mergeCell ref="BR4:BT4"/>
    <mergeCell ref="AS5:AW5"/>
    <mergeCell ref="AS7:AW7"/>
    <mergeCell ref="BL7:BN7"/>
    <mergeCell ref="BX4:BZ4"/>
    <mergeCell ref="CD4:CF4"/>
    <mergeCell ref="CI4:CM5"/>
    <mergeCell ref="CJ7:CL7"/>
    <mergeCell ref="CI11:CM11"/>
    <mergeCell ref="CO11:CS12"/>
    <mergeCell ref="CV11:CX11"/>
    <mergeCell ref="DB4:DD4"/>
    <mergeCell ref="DH4:DJ4"/>
    <mergeCell ref="DI8:DJ8"/>
    <mergeCell ref="DB10:DD10"/>
    <mergeCell ref="EF11:EH11"/>
    <mergeCell ref="EK11:EO12"/>
    <mergeCell ref="EX11:EZ11"/>
    <mergeCell ref="FD12:FF12"/>
    <mergeCell ref="G2:G3"/>
    <mergeCell ref="K2:AK2"/>
    <mergeCell ref="AM2:AN2"/>
    <mergeCell ref="AO2:CG2"/>
    <mergeCell ref="CI2:CJ2"/>
    <mergeCell ref="CK2:EC2"/>
    <mergeCell ref="B3:D4"/>
    <mergeCell ref="DZ4:EB4"/>
    <mergeCell ref="I2:J2"/>
    <mergeCell ref="I4:M4"/>
    <mergeCell ref="B7:B8"/>
    <mergeCell ref="C7:C8"/>
    <mergeCell ref="D7:D8"/>
    <mergeCell ref="G7:G8"/>
    <mergeCell ref="W7:X7"/>
    <mergeCell ref="GA7:GE7"/>
    <mergeCell ref="GH10:GJ10"/>
    <mergeCell ref="FJ11:FL11"/>
    <mergeCell ref="FV11:FX11"/>
    <mergeCell ref="FP12:FR12"/>
    <mergeCell ref="GN12:GP12"/>
    <mergeCell ref="J10:L10"/>
    <mergeCell ref="J12:L12"/>
    <mergeCell ref="EX14:EZ14"/>
    <mergeCell ref="GT14:GV14"/>
    <mergeCell ref="AS14:AW14"/>
    <mergeCell ref="BQ14:BU14"/>
    <mergeCell ref="CJ14:CL14"/>
    <mergeCell ref="CO14:CS14"/>
    <mergeCell ref="CU14:CY14"/>
    <mergeCell ref="DZ14:EB14"/>
    <mergeCell ref="EL14:EN14"/>
    <mergeCell ref="MT14:MV14"/>
    <mergeCell ref="NR14:NT14"/>
    <mergeCell ref="HF14:HH14"/>
    <mergeCell ref="HR14:HT14"/>
    <mergeCell ref="HX14:HZ14"/>
    <mergeCell ref="IO14:IS14"/>
    <mergeCell ref="LK14:LL14"/>
    <mergeCell ref="LV14:LX14"/>
    <mergeCell ref="MA14:MC14"/>
    <mergeCell ref="B10:B11"/>
    <mergeCell ref="C10:C11"/>
    <mergeCell ref="D10:D11"/>
    <mergeCell ref="G10:G12"/>
    <mergeCell ref="AH11:AJ11"/>
    <mergeCell ref="AZ11:BB11"/>
    <mergeCell ref="BK11:BO11"/>
    <mergeCell ref="C13:C14"/>
    <mergeCell ref="D13:D14"/>
    <mergeCell ref="BI12:BI13"/>
    <mergeCell ref="BM13:BN13"/>
    <mergeCell ref="BY13:BZ13"/>
    <mergeCell ref="CI13:CK13"/>
    <mergeCell ref="DB13:DD13"/>
    <mergeCell ref="DH13:DJ13"/>
    <mergeCell ref="DS13:DW13"/>
    <mergeCell ref="U14:Y14"/>
    <mergeCell ref="AB14:AD14"/>
    <mergeCell ref="U12:Y12"/>
    <mergeCell ref="AA12:AE12"/>
    <mergeCell ref="AM12:AP13"/>
    <mergeCell ref="AQ12:AQ13"/>
    <mergeCell ref="BE12:BH13"/>
    <mergeCell ref="B13:B14"/>
    <mergeCell ref="O13:S13"/>
    <mergeCell ref="EQ13:EU13"/>
    <mergeCell ref="GY13:HC13"/>
    <mergeCell ref="HL13:HN13"/>
    <mergeCell ref="IE13:IF13"/>
    <mergeCell ref="JB13:JD13"/>
    <mergeCell ref="JT13:JV13"/>
    <mergeCell ref="KF13:KH13"/>
    <mergeCell ref="NQ13:NS13"/>
    <mergeCell ref="NW14:OA14"/>
    <mergeCell ref="OE14:OF14"/>
    <mergeCell ref="KL13:KN13"/>
    <mergeCell ref="LE13:LF13"/>
    <mergeCell ref="LP13:LR13"/>
    <mergeCell ref="MM13:MQ13"/>
    <mergeCell ref="MS13:MU13"/>
    <mergeCell ref="PH13:PJ13"/>
    <mergeCell ref="PM13:PP13"/>
    <mergeCell ref="NW4:OA4"/>
    <mergeCell ref="OE4:OF4"/>
    <mergeCell ref="MG4:MK4"/>
    <mergeCell ref="MM4:MO4"/>
    <mergeCell ref="MT4:MV4"/>
    <mergeCell ref="MZ4:NB4"/>
    <mergeCell ref="NE4:NI4"/>
    <mergeCell ref="NM4:NN4"/>
    <mergeCell ref="NR4:NT4"/>
    <mergeCell ref="OI4:OM4"/>
    <mergeCell ref="OP4:OR4"/>
    <mergeCell ref="OV4:OX4"/>
    <mergeCell ref="PA4:PD4"/>
    <mergeCell ref="PH4:PJ4"/>
    <mergeCell ref="PN4:PP4"/>
    <mergeCell ref="PT4:PV4"/>
    <mergeCell ref="SI6:SJ6"/>
    <mergeCell ref="ST6:SV6"/>
    <mergeCell ref="SZ6:TB6"/>
    <mergeCell ref="TF6:TH6"/>
    <mergeCell ref="QM4:QO5"/>
    <mergeCell ref="QL7:QN7"/>
    <mergeCell ref="QR7:QT7"/>
    <mergeCell ref="QX7:QZ7"/>
    <mergeCell ref="RD7:RF7"/>
    <mergeCell ref="RJ7:RL7"/>
    <mergeCell ref="PZ4:QB4"/>
    <mergeCell ref="QE4:QI4"/>
    <mergeCell ref="QK4:QL5"/>
    <mergeCell ref="QQ4:QR5"/>
    <mergeCell ref="QS4:QU5"/>
    <mergeCell ref="QW4:QX5"/>
    <mergeCell ref="QE6:QI6"/>
    <mergeCell ref="RO6:RS6"/>
    <mergeCell ref="RO8:RS8"/>
    <mergeCell ref="RP10:RR10"/>
    <mergeCell ref="SA8:SE8"/>
    <mergeCell ref="SH9:SJ9"/>
    <mergeCell ref="SO9:SP9"/>
    <mergeCell ref="SA10:SE10"/>
    <mergeCell ref="ST10:SV10"/>
    <mergeCell ref="QY4:RA5"/>
    <mergeCell ref="RC4:RD5"/>
    <mergeCell ref="RE4:RG5"/>
    <mergeCell ref="RI4:RJ5"/>
    <mergeCell ref="RK4:RM5"/>
    <mergeCell ref="SA6:SE6"/>
    <mergeCell ref="SB7:SD7"/>
    <mergeCell ref="TE4:TI4"/>
    <mergeCell ref="TL4:TN4"/>
    <mergeCell ref="RO4:RS4"/>
    <mergeCell ref="RV4:RX4"/>
    <mergeCell ref="SA4:SE4"/>
    <mergeCell ref="SG4:SK4"/>
    <mergeCell ref="SO4:SP4"/>
    <mergeCell ref="SS4:SW4"/>
    <mergeCell ref="SY4:TC4"/>
    <mergeCell ref="WK4:WO4"/>
    <mergeCell ref="WL6:WN6"/>
    <mergeCell ref="WQ6:WU6"/>
    <mergeCell ref="WW6:XA6"/>
    <mergeCell ref="VS4:VW4"/>
    <mergeCell ref="VZ4:WB4"/>
    <mergeCell ref="WF4:WH4"/>
    <mergeCell ref="WQ4:WU4"/>
    <mergeCell ref="WW4:XA4"/>
    <mergeCell ref="XD4:XF4"/>
    <mergeCell ref="VS6:VW6"/>
    <mergeCell ref="ABZ7:ACB7"/>
    <mergeCell ref="ABZ8:ACB8"/>
    <mergeCell ref="ABZ9:ACB9"/>
    <mergeCell ref="ABY10:ACC10"/>
    <mergeCell ref="XJ4:XL4"/>
    <mergeCell ref="XO4:XS4"/>
    <mergeCell ref="AAI4:AAS6"/>
    <mergeCell ref="ABY4:ACC5"/>
    <mergeCell ref="XO6:XS6"/>
    <mergeCell ref="ZR6:ZT6"/>
    <mergeCell ref="ZE7:ZI7"/>
    <mergeCell ref="VG8:VK8"/>
    <mergeCell ref="VG10:VK10"/>
    <mergeCell ref="VG4:VK4"/>
    <mergeCell ref="VN4:VP4"/>
    <mergeCell ref="VG6:VK6"/>
    <mergeCell ref="VS8:VW8"/>
    <mergeCell ref="VZ8:WB8"/>
    <mergeCell ref="VM9:VQ9"/>
    <mergeCell ref="VS10:VW10"/>
    <mergeCell ref="TR4:TT4"/>
    <mergeCell ref="UC4:UF4"/>
    <mergeCell ref="UI4:UM4"/>
    <mergeCell ref="UP4:UR4"/>
    <mergeCell ref="UV4:UX4"/>
    <mergeCell ref="VB4:VD4"/>
    <mergeCell ref="UD5:UF5"/>
    <mergeCell ref="TL8:TN8"/>
    <mergeCell ref="TR8:TT8"/>
    <mergeCell ref="WQ8:WU8"/>
    <mergeCell ref="WX8:WZ8"/>
    <mergeCell ref="XD8:XF8"/>
    <mergeCell ref="XP8:XR8"/>
    <mergeCell ref="YB8:YD8"/>
    <mergeCell ref="AAD9:AAF9"/>
    <mergeCell ref="AAI9:AAS11"/>
    <mergeCell ref="AAV11:AAX11"/>
    <mergeCell ref="ABB11:ABD11"/>
    <mergeCell ref="ABH11:ABJ11"/>
    <mergeCell ref="ABN11:ABP11"/>
    <mergeCell ref="ABT11:ABV11"/>
    <mergeCell ref="ABZ11:ACB11"/>
    <mergeCell ref="UI6:UL8"/>
    <mergeCell ref="UJ10:UL10"/>
    <mergeCell ref="UV10:UX10"/>
    <mergeCell ref="UP11:UR11"/>
    <mergeCell ref="TW4:UA4"/>
    <mergeCell ref="TW6:TZ6"/>
    <mergeCell ref="UM6:UM8"/>
    <mergeCell ref="TX7:TZ7"/>
    <mergeCell ref="UP7:UR7"/>
    <mergeCell ref="UV7:UX7"/>
    <mergeCell ref="VB8:VD8"/>
    <mergeCell ref="WE9:WI9"/>
    <mergeCell ref="WL10:WN10"/>
    <mergeCell ref="WR10:WT10"/>
    <mergeCell ref="VM11:VQ11"/>
    <mergeCell ref="WE11:WI11"/>
    <mergeCell ref="XJ11:XL11"/>
    <mergeCell ref="XP11:XR11"/>
    <mergeCell ref="XV11:XX11"/>
    <mergeCell ref="ZE9:ZI9"/>
    <mergeCell ref="ZE11:ZI11"/>
    <mergeCell ref="ZK11:ZO11"/>
    <mergeCell ref="YH8:YJ8"/>
    <mergeCell ref="YT8:YV8"/>
    <mergeCell ref="YZ8:ZB8"/>
    <mergeCell ref="ZX8:ZZ8"/>
    <mergeCell ref="XV9:XX9"/>
    <mergeCell ref="ZK9:ZO9"/>
    <mergeCell ref="YN10:YP10"/>
    <mergeCell ref="KF11:KH11"/>
    <mergeCell ref="LC11:LG11"/>
    <mergeCell ref="GT9:GV9"/>
    <mergeCell ref="HA9:HB9"/>
    <mergeCell ref="HF9:HH9"/>
    <mergeCell ref="HR9:HT9"/>
    <mergeCell ref="KX9:KZ9"/>
    <mergeCell ref="LJ9:LL9"/>
    <mergeCell ref="GT11:GV11"/>
    <mergeCell ref="VZ21:WB21"/>
    <mergeCell ref="WF21:WH21"/>
    <mergeCell ref="WL21:WN21"/>
    <mergeCell ref="WW21:XA21"/>
    <mergeCell ref="YB21:YD21"/>
    <mergeCell ref="YH21:YJ21"/>
    <mergeCell ref="ZE21:ZI21"/>
    <mergeCell ref="AAC21:AAG21"/>
    <mergeCell ref="ABZ21:ACB21"/>
    <mergeCell ref="WK19:WO19"/>
    <mergeCell ref="XP19:XR19"/>
    <mergeCell ref="YN19:YP19"/>
    <mergeCell ref="ZE19:ZI19"/>
    <mergeCell ref="ZX19:ZZ19"/>
    <mergeCell ref="AAC19:AAG19"/>
    <mergeCell ref="ABZ19:ACB19"/>
    <mergeCell ref="RO18:RR19"/>
    <mergeCell ref="RS18:RS19"/>
    <mergeCell ref="SB18:SD18"/>
    <mergeCell ref="SH18:SJ18"/>
    <mergeCell ref="TE19:TI19"/>
    <mergeCell ref="UJ19:UL19"/>
    <mergeCell ref="VT19:VV19"/>
    <mergeCell ref="XV20:XX20"/>
    <mergeCell ref="ZQ20:ZU20"/>
    <mergeCell ref="ABZ20:ACB20"/>
    <mergeCell ref="ST20:SV20"/>
    <mergeCell ref="SZ21:TB21"/>
    <mergeCell ref="VH20:VJ20"/>
    <mergeCell ref="VB21:VD21"/>
    <mergeCell ref="WL23:WN23"/>
    <mergeCell ref="WQ23:WU23"/>
    <mergeCell ref="WX23:WZ23"/>
    <mergeCell ref="SB20:SD20"/>
    <mergeCell ref="UP20:UR20"/>
    <mergeCell ref="UV20:UX20"/>
    <mergeCell ref="VN20:VP20"/>
    <mergeCell ref="XD20:XF20"/>
    <mergeCell ref="RO21:RS21"/>
    <mergeCell ref="TE21:TH21"/>
    <mergeCell ref="ABZ23:ACB23"/>
    <mergeCell ref="ABZ24:ACB24"/>
    <mergeCell ref="YZ22:ZB22"/>
    <mergeCell ref="ZQ22:ZU22"/>
    <mergeCell ref="ABY22:ACC22"/>
    <mergeCell ref="YN23:YP23"/>
    <mergeCell ref="YT23:YV23"/>
    <mergeCell ref="ZF23:ZH23"/>
    <mergeCell ref="ZL23:ZN23"/>
    <mergeCell ref="ZW23:AAA23"/>
    <mergeCell ref="AAC23:AAG23"/>
    <mergeCell ref="XP24:XR24"/>
    <mergeCell ref="ZQ24:ZU24"/>
    <mergeCell ref="XU25:XY25"/>
    <mergeCell ref="YB25:YD25"/>
    <mergeCell ref="YH25:YJ25"/>
    <mergeCell ref="ZW25:AAA25"/>
    <mergeCell ref="AAD25:AAF25"/>
    <mergeCell ref="AAJ25:AAL25"/>
    <mergeCell ref="AAP25:AAR25"/>
    <mergeCell ref="AAV25:AAX25"/>
    <mergeCell ref="ABB25:ABD25"/>
    <mergeCell ref="ABH25:ABJ25"/>
    <mergeCell ref="ZQ26:ZU26"/>
    <mergeCell ref="YS27:YW27"/>
    <mergeCell ref="YY27:ZC27"/>
    <mergeCell ref="ZF27:ZH27"/>
    <mergeCell ref="ZW27:AAA27"/>
    <mergeCell ref="ZL28:ZN28"/>
    <mergeCell ref="ZQ28:ZU28"/>
    <mergeCell ref="WF30:WH30"/>
    <mergeCell ref="WX30:WZ30"/>
    <mergeCell ref="YG30:YK30"/>
    <mergeCell ref="YM30:YQ30"/>
    <mergeCell ref="ABZ29:ACB29"/>
    <mergeCell ref="ABY30:ACC30"/>
    <mergeCell ref="ABN25:ABP25"/>
    <mergeCell ref="ABT25:ABV25"/>
    <mergeCell ref="ABZ25:ACB25"/>
    <mergeCell ref="ABY26:ACC26"/>
    <mergeCell ref="ABZ27:ACB27"/>
    <mergeCell ref="ABZ28:ACB28"/>
    <mergeCell ref="ACE29:ACI31"/>
    <mergeCell ref="ABZ31:ACB31"/>
    <mergeCell ref="XI30:XM30"/>
    <mergeCell ref="YB30:YD30"/>
    <mergeCell ref="XV31:XX31"/>
    <mergeCell ref="YS31:YW31"/>
    <mergeCell ref="YY31:ZC31"/>
    <mergeCell ref="ZX29:ZZ29"/>
    <mergeCell ref="AAD29:AAF29"/>
    <mergeCell ref="UP30:UR30"/>
    <mergeCell ref="VB30:VD30"/>
    <mergeCell ref="VN30:VP30"/>
    <mergeCell ref="VS30:VW30"/>
    <mergeCell ref="ZR30:ZT30"/>
    <mergeCell ref="TL31:TN31"/>
    <mergeCell ref="TR31:TT31"/>
    <mergeCell ref="VH31:VJ31"/>
    <mergeCell ref="VY31:WC31"/>
    <mergeCell ref="UJ32:UL32"/>
    <mergeCell ref="VS32:VW32"/>
    <mergeCell ref="WF32:WH32"/>
    <mergeCell ref="WL32:WN32"/>
    <mergeCell ref="WX32:WZ32"/>
    <mergeCell ref="XJ32:XL32"/>
    <mergeCell ref="YG32:YK32"/>
    <mergeCell ref="YM32:YQ32"/>
    <mergeCell ref="ZF32:ZH32"/>
    <mergeCell ref="ZW32:AAA32"/>
    <mergeCell ref="SB30:SD30"/>
    <mergeCell ref="QL31:QN31"/>
    <mergeCell ref="QR31:QT31"/>
    <mergeCell ref="QX31:QZ31"/>
    <mergeCell ref="RD31:RF31"/>
    <mergeCell ref="RJ31:RL31"/>
    <mergeCell ref="RQ32:RR32"/>
    <mergeCell ref="SG31:SK31"/>
    <mergeCell ref="SH33:SJ33"/>
    <mergeCell ref="SN33:SP33"/>
    <mergeCell ref="SS33:SW33"/>
    <mergeCell ref="SZ33:TB33"/>
    <mergeCell ref="TW33:TZ33"/>
    <mergeCell ref="UP33:UR33"/>
    <mergeCell ref="ABZ32:ACB32"/>
    <mergeCell ref="ABZ33:ACB33"/>
    <mergeCell ref="ACE33:ACI33"/>
    <mergeCell ref="AAJ32:AAL32"/>
    <mergeCell ref="AAP32:AAR32"/>
    <mergeCell ref="AAV32:AAX32"/>
    <mergeCell ref="ABB32:ABD32"/>
    <mergeCell ref="ABH32:ABJ32"/>
    <mergeCell ref="ABN32:ABP32"/>
    <mergeCell ref="ABT32:ABV32"/>
    <mergeCell ref="TE37:TH37"/>
    <mergeCell ref="TE38:TH39"/>
    <mergeCell ref="TI38:TI39"/>
    <mergeCell ref="VM39:VQ39"/>
    <mergeCell ref="WE39:WI39"/>
    <mergeCell ref="WQ40:WU40"/>
    <mergeCell ref="SS35:SW35"/>
    <mergeCell ref="ST36:SV36"/>
    <mergeCell ref="UP36:UR36"/>
    <mergeCell ref="RQ37:RR37"/>
    <mergeCell ref="SS37:SW37"/>
    <mergeCell ref="SZ37:TB37"/>
    <mergeCell ref="SB38:SD38"/>
    <mergeCell ref="UJ38:UL38"/>
    <mergeCell ref="YG34:YK34"/>
    <mergeCell ref="YM34:YQ34"/>
    <mergeCell ref="ZL34:ZN34"/>
    <mergeCell ref="ZX34:ZZ34"/>
    <mergeCell ref="AAC34:AAG34"/>
    <mergeCell ref="ABY34:ACC34"/>
    <mergeCell ref="ABZ35:ACB35"/>
    <mergeCell ref="ACE35:ACI35"/>
    <mergeCell ref="XV36:XX36"/>
    <mergeCell ref="YB36:YD36"/>
    <mergeCell ref="YH36:YJ36"/>
    <mergeCell ref="YN36:YP36"/>
    <mergeCell ref="ZR36:ZT36"/>
    <mergeCell ref="ABZ36:ACB36"/>
    <mergeCell ref="ABZ37:ACB37"/>
    <mergeCell ref="ZK39:ZO39"/>
    <mergeCell ref="YS33:YW33"/>
    <mergeCell ref="YZ33:ZB33"/>
    <mergeCell ref="YS35:YW35"/>
    <mergeCell ref="YT37:YV37"/>
    <mergeCell ref="ZF37:ZH37"/>
    <mergeCell ref="YZ38:ZB38"/>
    <mergeCell ref="UV33:UX33"/>
    <mergeCell ref="VB33:VD33"/>
    <mergeCell ref="WR33:WT33"/>
    <mergeCell ref="XO33:XS33"/>
    <mergeCell ref="XV33:XX33"/>
    <mergeCell ref="YB33:YD33"/>
    <mergeCell ref="TX34:TZ34"/>
    <mergeCell ref="RW35:RX35"/>
    <mergeCell ref="TL35:TN35"/>
    <mergeCell ref="TR35:TT35"/>
    <mergeCell ref="UJ35:UL35"/>
    <mergeCell ref="VH35:VJ35"/>
    <mergeCell ref="WW35:WZ35"/>
    <mergeCell ref="XO35:XS35"/>
    <mergeCell ref="VY33:WC33"/>
    <mergeCell ref="VN34:VP34"/>
    <mergeCell ref="VT34:VV34"/>
    <mergeCell ref="VZ35:WB35"/>
    <mergeCell ref="WE35:WI35"/>
    <mergeCell ref="WL36:WN36"/>
    <mergeCell ref="XJ36:XL36"/>
    <mergeCell ref="VB36:VD36"/>
    <mergeCell ref="UV37:UX37"/>
    <mergeCell ref="VT37:VV37"/>
    <mergeCell ref="WE37:WI37"/>
    <mergeCell ref="WX37:WZ37"/>
    <mergeCell ref="XP37:XR37"/>
    <mergeCell ref="WQ38:WU38"/>
    <mergeCell ref="XV38:XX38"/>
    <mergeCell ref="AAC36:AAG36"/>
    <mergeCell ref="AAC38:AAG38"/>
    <mergeCell ref="ABY38:ACC38"/>
    <mergeCell ref="ACE38:ACI38"/>
    <mergeCell ref="GB4:GD4"/>
    <mergeCell ref="GA5:GE5"/>
    <mergeCell ref="GH6:GJ6"/>
    <mergeCell ref="GT6:GV6"/>
    <mergeCell ref="HL6:HN6"/>
    <mergeCell ref="HX6:HZ6"/>
    <mergeCell ref="FI4:FK4"/>
    <mergeCell ref="FP4:FR4"/>
    <mergeCell ref="FW4:FX4"/>
    <mergeCell ref="GG4:GK4"/>
    <mergeCell ref="GN4:GP4"/>
    <mergeCell ref="GT4:GV4"/>
    <mergeCell ref="FJ5:FL5"/>
    <mergeCell ref="I6:M6"/>
    <mergeCell ref="AN6:AP6"/>
    <mergeCell ref="AZ6:BB6"/>
    <mergeCell ref="BF6:BH6"/>
    <mergeCell ref="DB6:DD6"/>
    <mergeCell ref="DT6:DV6"/>
    <mergeCell ref="EF6:EH6"/>
    <mergeCell ref="EY6:EZ6"/>
    <mergeCell ref="AY4:BC4"/>
    <mergeCell ref="BE4:BI4"/>
    <mergeCell ref="EE4:EI4"/>
    <mergeCell ref="EL4:EN4"/>
    <mergeCell ref="ER4:ET4"/>
    <mergeCell ref="EW4:FA4"/>
    <mergeCell ref="FE4:FF4"/>
    <mergeCell ref="MN5:MP5"/>
    <mergeCell ref="MG6:MI6"/>
    <mergeCell ref="NG6:NH6"/>
    <mergeCell ref="NX6:NZ6"/>
    <mergeCell ref="OI6:OM6"/>
    <mergeCell ref="PA6:PD6"/>
    <mergeCell ref="IU4:IY6"/>
    <mergeCell ref="LU4:LY6"/>
    <mergeCell ref="KF5:KH5"/>
    <mergeCell ref="KR5:KT5"/>
    <mergeCell ref="JH6:JJ6"/>
    <mergeCell ref="JU6:JV6"/>
    <mergeCell ref="KX6:KZ6"/>
    <mergeCell ref="MA8:MC8"/>
    <mergeCell ref="NL8:NN8"/>
    <mergeCell ref="NR8:NT8"/>
    <mergeCell ref="OI8:OL8"/>
    <mergeCell ref="PB8:PD8"/>
    <mergeCell ref="PH8:PJ8"/>
    <mergeCell ref="PN8:PP8"/>
    <mergeCell ref="QF8:QH8"/>
    <mergeCell ref="JB7:JD7"/>
    <mergeCell ref="JN7:JP7"/>
    <mergeCell ref="MH7:MJ7"/>
    <mergeCell ref="IU8:IY8"/>
    <mergeCell ref="KL8:KN8"/>
    <mergeCell ref="LP8:LR8"/>
    <mergeCell ref="LU8:LY8"/>
    <mergeCell ref="XD13:XF13"/>
    <mergeCell ref="WR14:WT14"/>
    <mergeCell ref="WR18:WT18"/>
    <mergeCell ref="XJ18:XL18"/>
    <mergeCell ref="ABZ13:ACB13"/>
    <mergeCell ref="ABY14:ACC14"/>
    <mergeCell ref="WK15:WO15"/>
    <mergeCell ref="XP15:XR15"/>
    <mergeCell ref="YA15:YE15"/>
    <mergeCell ref="WX16:WZ16"/>
    <mergeCell ref="XV16:XX16"/>
    <mergeCell ref="ABZ15:ACB15"/>
    <mergeCell ref="ABZ16:ACB16"/>
    <mergeCell ref="WF13:WH13"/>
    <mergeCell ref="YA13:YE13"/>
    <mergeCell ref="YZ13:ZB13"/>
    <mergeCell ref="ZL13:ZN13"/>
    <mergeCell ref="ACE13:ACI16"/>
    <mergeCell ref="AAI14:AAS16"/>
    <mergeCell ref="YS16:YW16"/>
    <mergeCell ref="AAV18:AAX18"/>
    <mergeCell ref="ABB18:ABD18"/>
    <mergeCell ref="ABH18:ABJ18"/>
    <mergeCell ref="ABN18:ABP18"/>
    <mergeCell ref="ABT18:ABV18"/>
    <mergeCell ref="ABY18:ACC18"/>
    <mergeCell ref="ZE13:ZI13"/>
    <mergeCell ref="ZE15:ZI15"/>
    <mergeCell ref="YT18:YV18"/>
    <mergeCell ref="ZL18:ZN18"/>
    <mergeCell ref="ZQ18:ZU18"/>
    <mergeCell ref="AAJ18:AAL18"/>
    <mergeCell ref="AAP18:AAR18"/>
    <mergeCell ref="WX12:WZ12"/>
    <mergeCell ref="YH12:YJ12"/>
    <mergeCell ref="ZR12:ZT12"/>
    <mergeCell ref="ABZ12:ACB12"/>
    <mergeCell ref="SZ12:TB12"/>
    <mergeCell ref="TL13:TN13"/>
    <mergeCell ref="RP14:RR14"/>
    <mergeCell ref="SN14:SP14"/>
    <mergeCell ref="ST14:SV14"/>
    <mergeCell ref="TE14:TI14"/>
    <mergeCell ref="TR13:TT13"/>
    <mergeCell ref="UC13:UG13"/>
    <mergeCell ref="UP14:UR14"/>
    <mergeCell ref="UV14:UX14"/>
    <mergeCell ref="VH14:VJ14"/>
    <mergeCell ref="VT12:VV12"/>
    <mergeCell ref="VN13:VP13"/>
    <mergeCell ref="RV12:RX12"/>
    <mergeCell ref="SB12:SD12"/>
    <mergeCell ref="VB12:VD12"/>
    <mergeCell ref="VG12:VK12"/>
    <mergeCell ref="VZ12:WB12"/>
    <mergeCell ref="SH13:SJ13"/>
    <mergeCell ref="UJ13:UL13"/>
    <mergeCell ref="YN14:YP14"/>
    <mergeCell ref="YS14:YW14"/>
    <mergeCell ref="ZX14:ZZ14"/>
    <mergeCell ref="AAD14:AAF14"/>
    <mergeCell ref="GY15:HC15"/>
    <mergeCell ref="IP15:IR15"/>
    <mergeCell ref="IU15:IY15"/>
    <mergeCell ref="KX15:KZ15"/>
    <mergeCell ref="MB15:MD15"/>
    <mergeCell ref="MM15:MO15"/>
    <mergeCell ref="PM15:PQ15"/>
    <mergeCell ref="UD15:UF15"/>
    <mergeCell ref="VT15:VV15"/>
    <mergeCell ref="QF15:QH15"/>
    <mergeCell ref="QL15:QN15"/>
    <mergeCell ref="QR15:QT15"/>
    <mergeCell ref="QX15:QZ15"/>
    <mergeCell ref="RD15:RF15"/>
    <mergeCell ref="RJ15:RL15"/>
    <mergeCell ref="TW15:TZ15"/>
    <mergeCell ref="BX9:BZ9"/>
    <mergeCell ref="CD9:CF9"/>
    <mergeCell ref="CU9:CY9"/>
    <mergeCell ref="DN9:DP9"/>
    <mergeCell ref="DZ9:EB9"/>
    <mergeCell ref="GB9:GD9"/>
    <mergeCell ref="GN9:GP9"/>
    <mergeCell ref="MB9:MD9"/>
    <mergeCell ref="MT9:MV9"/>
    <mergeCell ref="OE9:OF9"/>
    <mergeCell ref="ID10:IF10"/>
    <mergeCell ref="IV10:IX10"/>
    <mergeCell ref="JT10:JV10"/>
    <mergeCell ref="KE10:KG10"/>
    <mergeCell ref="LW10:LX10"/>
    <mergeCell ref="OJ10:OL10"/>
    <mergeCell ref="PT10:PV10"/>
    <mergeCell ref="JH11:JJ11"/>
    <mergeCell ref="JZ11:KB11"/>
    <mergeCell ref="MH11:MJ11"/>
    <mergeCell ref="MZ11:NB11"/>
    <mergeCell ref="NG11:NH11"/>
    <mergeCell ref="OP11:OR11"/>
    <mergeCell ref="OV11:OX11"/>
    <mergeCell ref="PZ11:QB11"/>
    <mergeCell ref="IJ11:IL11"/>
    <mergeCell ref="JA11:JE11"/>
    <mergeCell ref="IO12:IS12"/>
    <mergeCell ref="JO12:JP12"/>
    <mergeCell ref="KR12:KT12"/>
    <mergeCell ref="KX12:KZ12"/>
    <mergeCell ref="NL12:NN12"/>
    <mergeCell ref="J8:L8"/>
    <mergeCell ref="P8:R8"/>
    <mergeCell ref="AC8:AD8"/>
    <mergeCell ref="AG9:AK9"/>
    <mergeCell ref="AN9:AP9"/>
    <mergeCell ref="AT9:AV9"/>
    <mergeCell ref="BR9:BT9"/>
    <mergeCell ref="HW9:IA9"/>
    <mergeCell ref="HX11:HZ11"/>
    <mergeCell ref="GG14:GJ15"/>
    <mergeCell ref="GK14:GK15"/>
    <mergeCell ref="FJ15:FL15"/>
    <mergeCell ref="FV15:FX15"/>
    <mergeCell ref="GN15:GP15"/>
    <mergeCell ref="KL17:KN17"/>
    <mergeCell ref="KQ17:KS17"/>
    <mergeCell ref="OJ16:OL16"/>
    <mergeCell ref="OP17:OR17"/>
    <mergeCell ref="KE16:KG16"/>
    <mergeCell ref="MH16:MJ16"/>
    <mergeCell ref="MN16:MP16"/>
    <mergeCell ref="NF16:NH16"/>
    <mergeCell ref="NY16:NZ16"/>
    <mergeCell ref="PA16:PD17"/>
    <mergeCell ref="LV17:LX17"/>
    <mergeCell ref="OV17:OX17"/>
    <mergeCell ref="PT16:PV16"/>
    <mergeCell ref="TF16:TH16"/>
    <mergeCell ref="TX16:TZ16"/>
    <mergeCell ref="UJ16:UL16"/>
    <mergeCell ref="VB16:VD16"/>
    <mergeCell ref="VN16:VP16"/>
    <mergeCell ref="VZ16:WB16"/>
    <mergeCell ref="PE16:PE17"/>
    <mergeCell ref="PH17:PJ17"/>
    <mergeCell ref="PN17:PP17"/>
    <mergeCell ref="RW17:RX17"/>
    <mergeCell ref="SO17:SP17"/>
    <mergeCell ref="SZ17:TB17"/>
    <mergeCell ref="TL17:TN17"/>
    <mergeCell ref="YH17:YJ17"/>
    <mergeCell ref="YZ17:ZB17"/>
    <mergeCell ref="ZE17:ZI17"/>
    <mergeCell ref="ABZ17:ACB17"/>
    <mergeCell ref="TR17:TT17"/>
    <mergeCell ref="UP17:UR17"/>
    <mergeCell ref="UV17:UX17"/>
    <mergeCell ref="VH17:VJ17"/>
    <mergeCell ref="WF17:WH17"/>
    <mergeCell ref="WK17:WO17"/>
    <mergeCell ref="YB17:YD17"/>
    <mergeCell ref="IO18:IS18"/>
    <mergeCell ref="JB18:JD18"/>
    <mergeCell ref="JO18:JP18"/>
    <mergeCell ref="JT18:JV18"/>
    <mergeCell ref="JY19:KC19"/>
    <mergeCell ref="GY17:HC17"/>
    <mergeCell ref="HX17:HZ17"/>
    <mergeCell ref="IV17:IX17"/>
    <mergeCell ref="KE17:KH18"/>
    <mergeCell ref="KI17:KI18"/>
    <mergeCell ref="HF18:HH18"/>
    <mergeCell ref="IJ18:IL18"/>
    <mergeCell ref="LI19:LM19"/>
    <mergeCell ref="MA19:MC19"/>
    <mergeCell ref="MY18:NB19"/>
    <mergeCell ref="MT19:MV19"/>
    <mergeCell ref="NL19:NN19"/>
    <mergeCell ref="PB19:PD19"/>
    <mergeCell ref="PZ19:QB19"/>
    <mergeCell ref="KR18:KT18"/>
    <mergeCell ref="LD18:LF18"/>
    <mergeCell ref="LP18:LR18"/>
    <mergeCell ref="NC18:NC19"/>
    <mergeCell ref="NK18:NM18"/>
    <mergeCell ref="NR18:NT18"/>
    <mergeCell ref="MG19:MI19"/>
    <mergeCell ref="V16:X16"/>
    <mergeCell ref="AH16:AJ16"/>
    <mergeCell ref="AB18:AD18"/>
    <mergeCell ref="G14:G15"/>
    <mergeCell ref="I15:M15"/>
    <mergeCell ref="O15:S15"/>
    <mergeCell ref="AM15:AQ15"/>
    <mergeCell ref="BF15:BH15"/>
    <mergeCell ref="DM15:DQ15"/>
    <mergeCell ref="CV16:CX16"/>
    <mergeCell ref="ER15:ET15"/>
    <mergeCell ref="FD15:FF15"/>
    <mergeCell ref="GB16:GD16"/>
    <mergeCell ref="GT16:GV16"/>
    <mergeCell ref="GZ16:HB16"/>
    <mergeCell ref="IO16:IS16"/>
    <mergeCell ref="JH16:JJ16"/>
    <mergeCell ref="C19:C20"/>
    <mergeCell ref="D19:D20"/>
    <mergeCell ref="B16:B17"/>
    <mergeCell ref="C16:C17"/>
    <mergeCell ref="D16:D17"/>
    <mergeCell ref="G17:G18"/>
    <mergeCell ref="I17:M17"/>
    <mergeCell ref="P17:R17"/>
    <mergeCell ref="B19:B20"/>
    <mergeCell ref="I19:M19"/>
    <mergeCell ref="AT16:AV16"/>
    <mergeCell ref="AT19:AV19"/>
    <mergeCell ref="DS15:DW16"/>
    <mergeCell ref="EF16:EH16"/>
    <mergeCell ref="EL17:EN17"/>
    <mergeCell ref="ER17:ET17"/>
    <mergeCell ref="EX17:EZ17"/>
    <mergeCell ref="FP17:FR17"/>
    <mergeCell ref="GG17:GK17"/>
    <mergeCell ref="BQ16:BU16"/>
    <mergeCell ref="CP16:CR16"/>
    <mergeCell ref="DB17:DD17"/>
    <mergeCell ref="DH17:DJ17"/>
    <mergeCell ref="DN17:DP17"/>
    <mergeCell ref="DT18:DV18"/>
    <mergeCell ref="BA16:BB16"/>
    <mergeCell ref="BF18:BH18"/>
    <mergeCell ref="BL18:BN18"/>
    <mergeCell ref="BR18:BT18"/>
    <mergeCell ref="BX18:BZ18"/>
    <mergeCell ref="CJ18:CL18"/>
    <mergeCell ref="AZ20:BB20"/>
    <mergeCell ref="BS21:BT21"/>
    <mergeCell ref="BF23:BH23"/>
    <mergeCell ref="BL23:BN23"/>
    <mergeCell ref="BW23:CA23"/>
    <mergeCell ref="BR24:BT24"/>
    <mergeCell ref="AT25:AV25"/>
    <mergeCell ref="BW25:CA25"/>
    <mergeCell ref="DS21:DW21"/>
    <mergeCell ref="DS23:DU23"/>
    <mergeCell ref="ER23:ET23"/>
    <mergeCell ref="FC23:FG23"/>
    <mergeCell ref="FJ23:FL23"/>
    <mergeCell ref="IV23:IX23"/>
    <mergeCell ref="JB23:JD23"/>
    <mergeCell ref="B22:B23"/>
    <mergeCell ref="B25:B26"/>
    <mergeCell ref="C25:C26"/>
    <mergeCell ref="D25:D26"/>
    <mergeCell ref="J25:L25"/>
    <mergeCell ref="O25:S25"/>
    <mergeCell ref="CP21:CR21"/>
    <mergeCell ref="DB21:DD21"/>
    <mergeCell ref="CU22:CX23"/>
    <mergeCell ref="CY22:CY23"/>
    <mergeCell ref="DH22:DJ22"/>
    <mergeCell ref="DN22:DP22"/>
    <mergeCell ref="CI23:CK23"/>
    <mergeCell ref="CV25:CX25"/>
    <mergeCell ref="DA25:DE25"/>
    <mergeCell ref="DN25:DP25"/>
    <mergeCell ref="ER25:ET25"/>
    <mergeCell ref="EX25:EZ25"/>
    <mergeCell ref="FC25:FE25"/>
    <mergeCell ref="EL26:EN26"/>
    <mergeCell ref="AN17:AP17"/>
    <mergeCell ref="V20:X20"/>
    <mergeCell ref="AH21:AJ21"/>
    <mergeCell ref="AA22:AE22"/>
    <mergeCell ref="AO22:AP22"/>
    <mergeCell ref="AS23:AW23"/>
    <mergeCell ref="BA23:BB23"/>
    <mergeCell ref="AA24:AE24"/>
    <mergeCell ref="AZ28:BB28"/>
    <mergeCell ref="AZ32:BB32"/>
    <mergeCell ref="BA37:BB37"/>
    <mergeCell ref="V24:X24"/>
    <mergeCell ref="AB26:AD26"/>
    <mergeCell ref="AN26:AP26"/>
    <mergeCell ref="BF27:BH27"/>
    <mergeCell ref="AT29:AV29"/>
    <mergeCell ref="AM30:AQ30"/>
    <mergeCell ref="BF32:BH32"/>
    <mergeCell ref="AT34:AV34"/>
    <mergeCell ref="BK34:BO34"/>
    <mergeCell ref="BQ34:BU34"/>
    <mergeCell ref="BF35:BH35"/>
    <mergeCell ref="BM36:BN36"/>
    <mergeCell ref="BQ36:BU36"/>
    <mergeCell ref="BR38:BT38"/>
    <mergeCell ref="AM32:AQ33"/>
    <mergeCell ref="O33:S33"/>
    <mergeCell ref="W33:X33"/>
    <mergeCell ref="B34:B35"/>
    <mergeCell ref="C34:C35"/>
    <mergeCell ref="D34:D35"/>
    <mergeCell ref="AA34:AE34"/>
    <mergeCell ref="AN35:AP35"/>
    <mergeCell ref="D37:D38"/>
    <mergeCell ref="G39:G40"/>
    <mergeCell ref="J35:L35"/>
    <mergeCell ref="O35:S35"/>
    <mergeCell ref="AB36:AD36"/>
    <mergeCell ref="B37:B38"/>
    <mergeCell ref="C37:C38"/>
    <mergeCell ref="P37:R37"/>
    <mergeCell ref="V37:X37"/>
    <mergeCell ref="MS31:MU31"/>
    <mergeCell ref="MN32:MP32"/>
    <mergeCell ref="MT32:MV32"/>
    <mergeCell ref="NF31:NH31"/>
    <mergeCell ref="NL31:NN31"/>
    <mergeCell ref="OJ31:OL31"/>
    <mergeCell ref="PH31:PJ31"/>
    <mergeCell ref="OO32:OR32"/>
    <mergeCell ref="OV32:OX32"/>
    <mergeCell ref="PB32:PD32"/>
    <mergeCell ref="PZ33:QB33"/>
    <mergeCell ref="BX27:BZ27"/>
    <mergeCell ref="CJ28:CL28"/>
    <mergeCell ref="CP28:CR28"/>
    <mergeCell ref="CV28:CX28"/>
    <mergeCell ref="DN28:DP28"/>
    <mergeCell ref="EF28:EH28"/>
    <mergeCell ref="DT29:DV29"/>
    <mergeCell ref="BR27:BT27"/>
    <mergeCell ref="BQ30:BU30"/>
    <mergeCell ref="CI31:CK31"/>
    <mergeCell ref="DB31:DD31"/>
    <mergeCell ref="DN31:DP31"/>
    <mergeCell ref="CJ32:CL32"/>
    <mergeCell ref="DS32:DU32"/>
    <mergeCell ref="KL31:KN31"/>
    <mergeCell ref="KQ31:KS31"/>
    <mergeCell ref="KX31:KZ31"/>
    <mergeCell ref="LJ31:LL31"/>
    <mergeCell ref="LU31:LY32"/>
    <mergeCell ref="KR32:KT32"/>
    <mergeCell ref="LP33:LR33"/>
    <mergeCell ref="LU34:LY34"/>
    <mergeCell ref="JY31:KA31"/>
    <mergeCell ref="KF31:KH31"/>
    <mergeCell ref="JB32:JD32"/>
    <mergeCell ref="JZ32:KB32"/>
    <mergeCell ref="IJ33:IL33"/>
    <mergeCell ref="IV33:IX33"/>
    <mergeCell ref="IE34:IF34"/>
    <mergeCell ref="NF36:NH36"/>
    <mergeCell ref="NK36:NM36"/>
    <mergeCell ref="MY36:NB36"/>
    <mergeCell ref="MY39:NC39"/>
    <mergeCell ref="LD31:LF31"/>
    <mergeCell ref="LD34:LF34"/>
    <mergeCell ref="LI36:LM36"/>
    <mergeCell ref="LV36:LX36"/>
    <mergeCell ref="MM36:MO36"/>
    <mergeCell ref="MT36:MV36"/>
    <mergeCell ref="LI39:LM39"/>
    <mergeCell ref="LI40:LM40"/>
    <mergeCell ref="EQ28:EU28"/>
    <mergeCell ref="FJ28:FL28"/>
    <mergeCell ref="FP28:FR28"/>
    <mergeCell ref="EY29:EZ29"/>
    <mergeCell ref="GN29:GP29"/>
    <mergeCell ref="IE29:IF29"/>
    <mergeCell ref="GB30:GD30"/>
    <mergeCell ref="HL30:HN30"/>
    <mergeCell ref="HX30:HZ30"/>
    <mergeCell ref="JA30:JE30"/>
    <mergeCell ref="JN30:JP30"/>
    <mergeCell ref="JT30:JV30"/>
    <mergeCell ref="KK30:KM30"/>
    <mergeCell ref="JH31:JJ31"/>
    <mergeCell ref="GT29:GV29"/>
    <mergeCell ref="FU31:FY31"/>
    <mergeCell ref="GN31:GP31"/>
    <mergeCell ref="GT31:GV31"/>
    <mergeCell ref="FD32:FF32"/>
    <mergeCell ref="FP32:FR32"/>
    <mergeCell ref="GH32:GJ32"/>
    <mergeCell ref="NX33:NZ33"/>
    <mergeCell ref="OD33:OF33"/>
    <mergeCell ref="MY34:NC34"/>
    <mergeCell ref="NR34:NT34"/>
    <mergeCell ref="OP34:OR34"/>
    <mergeCell ref="PH35:PJ35"/>
    <mergeCell ref="PO35:PP35"/>
    <mergeCell ref="GU36:GV36"/>
    <mergeCell ref="HG36:HH36"/>
    <mergeCell ref="HA30:HB30"/>
    <mergeCell ref="HF32:HH32"/>
    <mergeCell ref="GN34:GP34"/>
    <mergeCell ref="GS34:GW34"/>
    <mergeCell ref="GZ35:HB35"/>
    <mergeCell ref="HL35:HN35"/>
    <mergeCell ref="GN36:GP36"/>
    <mergeCell ref="KF38:KH38"/>
    <mergeCell ref="LI38:LM38"/>
    <mergeCell ref="NX38:NZ38"/>
    <mergeCell ref="JB35:JD35"/>
    <mergeCell ref="JG35:JK35"/>
    <mergeCell ref="KF35:KH35"/>
    <mergeCell ref="KX35:KZ35"/>
    <mergeCell ref="JH37:JJ37"/>
    <mergeCell ref="MN37:MP37"/>
    <mergeCell ref="NL37:NN37"/>
    <mergeCell ref="EK38:EN39"/>
    <mergeCell ref="EO38:EO39"/>
    <mergeCell ref="FJ38:FL38"/>
    <mergeCell ref="EL28:EN28"/>
    <mergeCell ref="EL30:EN30"/>
    <mergeCell ref="ES30:ET30"/>
    <mergeCell ref="EF31:EH31"/>
    <mergeCell ref="FC31:FE31"/>
    <mergeCell ref="EY34:EZ34"/>
    <mergeCell ref="FD35:FF35"/>
    <mergeCell ref="C22:C23"/>
    <mergeCell ref="B28:B29"/>
    <mergeCell ref="C28:C29"/>
    <mergeCell ref="B31:B32"/>
    <mergeCell ref="C31:C32"/>
    <mergeCell ref="D31:D32"/>
    <mergeCell ref="P27:R27"/>
    <mergeCell ref="J28:L28"/>
    <mergeCell ref="V29:X29"/>
    <mergeCell ref="AB31:AD31"/>
    <mergeCell ref="J32:L32"/>
    <mergeCell ref="P32:R32"/>
    <mergeCell ref="AA32:AE32"/>
    <mergeCell ref="G20:G24"/>
    <mergeCell ref="J21:L21"/>
    <mergeCell ref="P21:R21"/>
    <mergeCell ref="D22:D23"/>
    <mergeCell ref="J23:L23"/>
    <mergeCell ref="G26:G29"/>
    <mergeCell ref="D28:D29"/>
    <mergeCell ref="J30:L30"/>
    <mergeCell ref="BK27:BO27"/>
    <mergeCell ref="BK29:BO29"/>
    <mergeCell ref="BL31:BN31"/>
    <mergeCell ref="BK32:BO32"/>
    <mergeCell ref="BQ32:BU32"/>
    <mergeCell ref="BX33:BZ33"/>
    <mergeCell ref="CV32:CX32"/>
    <mergeCell ref="CQ33:CR33"/>
    <mergeCell ref="DH33:DJ33"/>
    <mergeCell ref="DT33:DV33"/>
    <mergeCell ref="EL33:EN33"/>
    <mergeCell ref="ER33:ET33"/>
    <mergeCell ref="FI33:FM33"/>
    <mergeCell ref="FU33:FY33"/>
    <mergeCell ref="CJ37:CL37"/>
    <mergeCell ref="ER37:ET37"/>
    <mergeCell ref="FP37:FR37"/>
    <mergeCell ref="GI37:GJ37"/>
    <mergeCell ref="CP39:CR39"/>
    <mergeCell ref="GU39:GV39"/>
    <mergeCell ref="DB35:DD35"/>
    <mergeCell ref="DO35:DP35"/>
    <mergeCell ref="FK35:FL35"/>
    <mergeCell ref="FO35:FS35"/>
    <mergeCell ref="FV35:FX35"/>
    <mergeCell ref="CP36:CR36"/>
    <mergeCell ref="CV36:CX36"/>
    <mergeCell ref="IP20:IR20"/>
    <mergeCell ref="JH20:JJ20"/>
    <mergeCell ref="KF20:KH20"/>
    <mergeCell ref="MB20:MD20"/>
    <mergeCell ref="MH20:MJ20"/>
    <mergeCell ref="NF20:NH20"/>
    <mergeCell ref="NX20:NZ20"/>
    <mergeCell ref="OD20:OF20"/>
    <mergeCell ref="HR19:HT19"/>
    <mergeCell ref="ID19:IF19"/>
    <mergeCell ref="DZ20:EB20"/>
    <mergeCell ref="EW20:FA20"/>
    <mergeCell ref="GM20:GQ20"/>
    <mergeCell ref="HL20:HN20"/>
    <mergeCell ref="HX20:HZ20"/>
    <mergeCell ref="LW21:LX21"/>
    <mergeCell ref="MN21:MP21"/>
    <mergeCell ref="MY21:NC21"/>
    <mergeCell ref="LD23:LF23"/>
    <mergeCell ref="LI23:LM23"/>
    <mergeCell ref="LP23:LR23"/>
    <mergeCell ref="MH23:MJ23"/>
    <mergeCell ref="QR23:QT23"/>
    <mergeCell ref="QX23:QZ23"/>
    <mergeCell ref="RD23:RF23"/>
    <mergeCell ref="RJ23:RL23"/>
    <mergeCell ref="RO23:RS23"/>
    <mergeCell ref="RV23:RX23"/>
    <mergeCell ref="UP23:UR23"/>
    <mergeCell ref="UV23:UX23"/>
    <mergeCell ref="MZ23:NB23"/>
    <mergeCell ref="NF23:NH23"/>
    <mergeCell ref="NK23:NO23"/>
    <mergeCell ref="OU23:OX23"/>
    <mergeCell ref="PB23:PD23"/>
    <mergeCell ref="PN23:PP23"/>
    <mergeCell ref="QL23:QN23"/>
    <mergeCell ref="FI19:FM19"/>
    <mergeCell ref="FI21:FM22"/>
    <mergeCell ref="FO22:FS22"/>
    <mergeCell ref="FW22:FX22"/>
    <mergeCell ref="GM22:GQ22"/>
    <mergeCell ref="ER21:ET21"/>
    <mergeCell ref="EE22:EI22"/>
    <mergeCell ref="EL22:EN22"/>
    <mergeCell ref="EX22:EZ22"/>
    <mergeCell ref="DS19:DW19"/>
    <mergeCell ref="DY19:EA19"/>
    <mergeCell ref="ER19:ET19"/>
    <mergeCell ref="FD19:FF19"/>
    <mergeCell ref="FV19:FX19"/>
    <mergeCell ref="GI19:GJ19"/>
    <mergeCell ref="GB21:GD21"/>
    <mergeCell ref="GT19:GV19"/>
    <mergeCell ref="GY19:HC19"/>
    <mergeCell ref="GT21:GV21"/>
    <mergeCell ref="HA21:HB21"/>
    <mergeCell ref="IU21:IY21"/>
    <mergeCell ref="JZ21:KB21"/>
    <mergeCell ref="LI21:LM21"/>
    <mergeCell ref="JO22:JP22"/>
    <mergeCell ref="JS22:JW22"/>
    <mergeCell ref="KK22:KO22"/>
    <mergeCell ref="KR22:KT22"/>
    <mergeCell ref="KW22:LA22"/>
    <mergeCell ref="LJ22:LL22"/>
    <mergeCell ref="OJ22:OL22"/>
    <mergeCell ref="TR22:TT22"/>
    <mergeCell ref="UJ22:UL22"/>
    <mergeCell ref="PH22:PJ22"/>
    <mergeCell ref="PU22:PV22"/>
    <mergeCell ref="QF22:QH22"/>
    <mergeCell ref="RP22:RR22"/>
    <mergeCell ref="SN22:SP22"/>
    <mergeCell ref="TF22:TH22"/>
    <mergeCell ref="TL22:TN22"/>
    <mergeCell ref="CJ24:CL24"/>
    <mergeCell ref="CP24:CR24"/>
    <mergeCell ref="DT24:DV24"/>
    <mergeCell ref="EF24:EH24"/>
    <mergeCell ref="FI24:FM24"/>
    <mergeCell ref="FP24:FR24"/>
    <mergeCell ref="GI24:GJ24"/>
    <mergeCell ref="MS24:MU24"/>
    <mergeCell ref="NR24:NT24"/>
    <mergeCell ref="NX24:NZ24"/>
    <mergeCell ref="OO24:OR24"/>
    <mergeCell ref="TW24:TZ24"/>
    <mergeCell ref="VB24:VD24"/>
    <mergeCell ref="VS24:VW24"/>
    <mergeCell ref="VZ24:WB24"/>
    <mergeCell ref="GN24:GP24"/>
    <mergeCell ref="GT24:GV24"/>
    <mergeCell ref="JS24:JW24"/>
    <mergeCell ref="KF24:KH24"/>
    <mergeCell ref="KK24:KO24"/>
    <mergeCell ref="KX24:KZ24"/>
    <mergeCell ref="LU24:LY24"/>
    <mergeCell ref="HF23:HH23"/>
    <mergeCell ref="HR24:HT24"/>
    <mergeCell ref="ID24:IF24"/>
    <mergeCell ref="HX25:HZ25"/>
    <mergeCell ref="IO25:IS25"/>
    <mergeCell ref="JH25:JJ25"/>
    <mergeCell ref="JT25:JV25"/>
    <mergeCell ref="KQ25:KS25"/>
    <mergeCell ref="LI25:LM25"/>
    <mergeCell ref="MA25:MC25"/>
    <mergeCell ref="MT25:MV25"/>
    <mergeCell ref="NK25:NO25"/>
    <mergeCell ref="OD25:OF25"/>
    <mergeCell ref="OV25:OX25"/>
    <mergeCell ref="VG25:VK25"/>
    <mergeCell ref="WL25:WN25"/>
    <mergeCell ref="WR25:WT25"/>
    <mergeCell ref="WX25:WZ25"/>
    <mergeCell ref="RO25:RS25"/>
    <mergeCell ref="SB25:SD25"/>
    <mergeCell ref="SN25:SP25"/>
    <mergeCell ref="ST25:SV25"/>
    <mergeCell ref="SZ25:TB25"/>
    <mergeCell ref="TX25:TZ25"/>
    <mergeCell ref="UJ25:UL25"/>
    <mergeCell ref="FD26:FF26"/>
    <mergeCell ref="FI26:FM26"/>
    <mergeCell ref="FW26:FX26"/>
    <mergeCell ref="GB26:GD26"/>
    <mergeCell ref="GN26:GP26"/>
    <mergeCell ref="GT26:GV26"/>
    <mergeCell ref="GH27:GJ27"/>
    <mergeCell ref="HA26:HB26"/>
    <mergeCell ref="HF28:HH28"/>
    <mergeCell ref="HK28:HO28"/>
    <mergeCell ref="IV28:IX28"/>
    <mergeCell ref="JA28:JE28"/>
    <mergeCell ref="JH28:JJ28"/>
    <mergeCell ref="JM28:JQ28"/>
    <mergeCell ref="JY29:KC29"/>
    <mergeCell ref="XP28:XR28"/>
    <mergeCell ref="YM28:YQ28"/>
    <mergeCell ref="XU29:XY29"/>
    <mergeCell ref="YS29:YW29"/>
    <mergeCell ref="YY29:ZC29"/>
    <mergeCell ref="PB28:PD28"/>
    <mergeCell ref="PS28:PV28"/>
    <mergeCell ref="VS28:VW28"/>
    <mergeCell ref="WE28:WH28"/>
    <mergeCell ref="WL28:WN28"/>
    <mergeCell ref="WX28:WZ28"/>
    <mergeCell ref="XI28:XM28"/>
    <mergeCell ref="MG28:MI28"/>
    <mergeCell ref="MH29:MJ29"/>
    <mergeCell ref="MB30:MD30"/>
    <mergeCell ref="NK30:NM30"/>
    <mergeCell ref="PT30:PV30"/>
    <mergeCell ref="JS28:JW28"/>
    <mergeCell ref="KF28:KH28"/>
    <mergeCell ref="LP28:LR28"/>
    <mergeCell ref="NF28:NH28"/>
    <mergeCell ref="NR28:NT28"/>
    <mergeCell ref="OE28:OF28"/>
    <mergeCell ref="LU29:LY29"/>
    <mergeCell ref="OI29:OL29"/>
    <mergeCell ref="UV29:UX29"/>
    <mergeCell ref="VG29:VK29"/>
    <mergeCell ref="WR29:WT29"/>
    <mergeCell ref="NK29:NO29"/>
    <mergeCell ref="NX29:NZ29"/>
    <mergeCell ref="PN29:PP29"/>
    <mergeCell ref="RW29:RX29"/>
    <mergeCell ref="SO29:SP29"/>
    <mergeCell ref="TF29:TH29"/>
    <mergeCell ref="UJ29:UL29"/>
    <mergeCell ref="TL26:TN26"/>
    <mergeCell ref="TR26:TT26"/>
    <mergeCell ref="UP26:UR26"/>
    <mergeCell ref="UV26:UX26"/>
    <mergeCell ref="VN26:VP26"/>
    <mergeCell ref="VS26:VW26"/>
    <mergeCell ref="WE26:WI26"/>
    <mergeCell ref="XI26:XM26"/>
    <mergeCell ref="MM26:MO26"/>
    <mergeCell ref="MZ26:NB26"/>
    <mergeCell ref="NL26:NN26"/>
    <mergeCell ref="OP26:OR26"/>
    <mergeCell ref="PH26:PJ26"/>
    <mergeCell ref="PZ26:QB26"/>
    <mergeCell ref="SH26:SJ26"/>
    <mergeCell ref="DB27:DD27"/>
    <mergeCell ref="DH27:DJ27"/>
    <mergeCell ref="KK26:KM26"/>
    <mergeCell ref="KL27:KN27"/>
    <mergeCell ref="KX27:KZ27"/>
    <mergeCell ref="LJ27:LL27"/>
    <mergeCell ref="MN27:MP27"/>
    <mergeCell ref="NK27:NO27"/>
    <mergeCell ref="RQ27:RR27"/>
    <mergeCell ref="VB27:VD27"/>
    <mergeCell ref="VG27:VK27"/>
    <mergeCell ref="VZ27:WB27"/>
    <mergeCell ref="XD27:XF27"/>
    <mergeCell ref="XU27:XY27"/>
    <mergeCell ref="IJ26:IL26"/>
    <mergeCell ref="JS26:JW26"/>
    <mergeCell ref="KR26:KT26"/>
    <mergeCell ref="LE26:LF26"/>
    <mergeCell ref="LU26:LY27"/>
    <mergeCell ref="MB26:MD26"/>
    <mergeCell ref="IP27:IR27"/>
  </mergeCells>
  <conditionalFormatting sqref="MY34:NC37">
    <cfRule type="beginsWith" dxfId="30" priority="1" operator="beginsWith" text="Grass">
      <formula>LEFT((MY34),LEN("Grass"))=("Grass")</formula>
    </cfRule>
  </conditionalFormatting>
  <conditionalFormatting sqref="MY34:NC37">
    <cfRule type="beginsWith" dxfId="30" priority="2" operator="beginsWith" text="Poké Radar">
      <formula>LEFT((MY34),LEN("Poké Radar"))=("Poké Radar")</formula>
    </cfRule>
  </conditionalFormatting>
  <conditionalFormatting sqref="MY34:NC37">
    <cfRule type="beginsWith" dxfId="31" priority="3" operator="beginsWith" text="Surf">
      <formula>LEFT((MY34),LEN("Surf"))=("Surf")</formula>
    </cfRule>
  </conditionalFormatting>
  <conditionalFormatting sqref="MY34:NC37">
    <cfRule type="beginsWith" dxfId="31" priority="4" operator="beginsWith" text="Rods">
      <formula>LEFT((MY34),LEN("Rods"))=("Rods")</formula>
    </cfRule>
  </conditionalFormatting>
  <conditionalFormatting sqref="MY34:NC37">
    <cfRule type="cellIs" dxfId="31" priority="5" operator="equal">
      <formula>"O"</formula>
    </cfRule>
  </conditionalFormatting>
  <conditionalFormatting sqref="MY34:NC37">
    <cfRule type="cellIs" dxfId="31" priority="6" operator="equal">
      <formula>"S"</formula>
    </cfRule>
  </conditionalFormatting>
  <conditionalFormatting sqref="MY34:NC37">
    <cfRule type="cellIs" dxfId="31" priority="7" operator="equal">
      <formula>"G"</formula>
    </cfRule>
  </conditionalFormatting>
  <conditionalFormatting sqref="MY34:NC37">
    <cfRule type="beginsWith" dxfId="32" priority="8" operator="beginsWith" text="Honey">
      <formula>LEFT((MY34),LEN("Honey"))=("Honey")</formula>
    </cfRule>
  </conditionalFormatting>
  <conditionalFormatting sqref="MY34:NC37">
    <cfRule type="beginsWith" dxfId="33" priority="9" operator="beginsWith" text="Static Encounter">
      <formula>LEFT((MY34),LEN("Static Encounter"))=("Static Encounter")</formula>
    </cfRule>
  </conditionalFormatting>
  <conditionalFormatting sqref="MY34:NC37">
    <cfRule type="beginsWith" dxfId="34" priority="10" operator="beginsWith" text="Cave">
      <formula>LEFT((MY34),LEN("Cave"))=("Cave")</formula>
    </cfRule>
  </conditionalFormatting>
  <conditionalFormatting sqref="MY34:NC37">
    <cfRule type="beginsWith" dxfId="35" priority="11" operator="beginsWith" text="Ground">
      <formula>LEFT((MY34),LEN("Ground"))=("Ground")</formula>
    </cfRule>
  </conditionalFormatting>
  <conditionalFormatting sqref="MY34:NC37">
    <cfRule type="cellIs" dxfId="36" priority="12" operator="equal">
      <formula>"M"</formula>
    </cfRule>
  </conditionalFormatting>
  <conditionalFormatting sqref="MY34:NC37">
    <cfRule type="cellIs" dxfId="36" priority="13" operator="equal">
      <formula>"D"</formula>
    </cfRule>
  </conditionalFormatting>
  <conditionalFormatting sqref="MY34:NC37">
    <cfRule type="cellIs" dxfId="36" priority="14" operator="equal">
      <formula>"N"</formula>
    </cfRule>
  </conditionalFormatting>
  <conditionalFormatting sqref="KY41 TD39">
    <cfRule type="beginsWith" dxfId="37" priority="15" operator="beginsWith" text="Route">
      <formula>LEFT((KY41),LEN("Route"))=("Route")</formula>
    </cfRule>
  </conditionalFormatting>
  <conditionalFormatting sqref="KY41 TD39">
    <cfRule type="beginsWith" dxfId="38" priority="16" operator="beginsWith" text="Grass">
      <formula>LEFT((KY41),LEN("Grass"))=("Grass")</formula>
    </cfRule>
  </conditionalFormatting>
  <conditionalFormatting sqref="KY41 TD39">
    <cfRule type="beginsWith" dxfId="38" priority="17" operator="beginsWith" text="Poké Radar">
      <formula>LEFT((KY41),LEN("Poké Radar"))=("Poké Radar")</formula>
    </cfRule>
  </conditionalFormatting>
  <conditionalFormatting sqref="KY41 TD39">
    <cfRule type="beginsWith" dxfId="39" priority="18" operator="beginsWith" text="Surf">
      <formula>LEFT((KY41),LEN("Surf"))=("Surf")</formula>
    </cfRule>
  </conditionalFormatting>
  <conditionalFormatting sqref="KY41 TD39">
    <cfRule type="beginsWith" dxfId="39" priority="19" operator="beginsWith" text="Rods">
      <formula>LEFT((KY41),LEN("Rods"))=("Rods")</formula>
    </cfRule>
  </conditionalFormatting>
  <conditionalFormatting sqref="KY41 TD39">
    <cfRule type="cellIs" dxfId="39" priority="20" operator="equal">
      <formula>"O"</formula>
    </cfRule>
  </conditionalFormatting>
  <conditionalFormatting sqref="KY41 TD39">
    <cfRule type="cellIs" dxfId="39" priority="21" operator="equal">
      <formula>"S"</formula>
    </cfRule>
  </conditionalFormatting>
  <conditionalFormatting sqref="KY41 TD39">
    <cfRule type="cellIs" dxfId="39" priority="22" operator="equal">
      <formula>"G"</formula>
    </cfRule>
  </conditionalFormatting>
  <conditionalFormatting sqref="KY41 TD39">
    <cfRule type="beginsWith" dxfId="40" priority="23" operator="beginsWith" text="Honey">
      <formula>LEFT((KY41),LEN("Honey"))=("Honey")</formula>
    </cfRule>
  </conditionalFormatting>
  <conditionalFormatting sqref="KY41 TD39">
    <cfRule type="beginsWith" dxfId="41" priority="24" operator="beginsWith" text="Cave">
      <formula>LEFT((KY41),LEN("Cave"))=("Cave")</formula>
    </cfRule>
  </conditionalFormatting>
  <conditionalFormatting sqref="KY41 TD39">
    <cfRule type="beginsWith" dxfId="42" priority="25" operator="beginsWith" text="Ground">
      <formula>LEFT((KY41),LEN("Ground"))=("Ground")</formula>
    </cfRule>
  </conditionalFormatting>
  <conditionalFormatting sqref="KY41 TD39">
    <cfRule type="cellIs" dxfId="43" priority="26" operator="equal">
      <formula>"M"</formula>
    </cfRule>
  </conditionalFormatting>
  <conditionalFormatting sqref="KY41 TD39">
    <cfRule type="cellIs" dxfId="43" priority="27" operator="equal">
      <formula>"D"</formula>
    </cfRule>
  </conditionalFormatting>
  <conditionalFormatting sqref="KY41 TD39">
    <cfRule type="cellIs" dxfId="43" priority="28" operator="equal">
      <formula>"N"</formula>
    </cfRule>
  </conditionalFormatting>
  <hyperlinks>
    <hyperlink display="?" location="null!B116:C116" ref="S4"/>
    <hyperlink display="?" location="null!B199:B201" ref="Y4"/>
    <hyperlink display="?" location="null!B304:B306" ref="AE4"/>
    <hyperlink display="?" location="null!B389:B391" ref="AK4"/>
    <hyperlink display="?" location="NPCTRADES!K5" ref="AW4"/>
    <hyperlink display="?" location="null!B466:B468" ref="BO4"/>
    <hyperlink display="?" location="null!B547:B549" ref="BU4"/>
    <hyperlink display="?" location="null!B642:B644" ref="CA4"/>
    <hyperlink display="?" location="null!B722:B724" ref="CG4"/>
    <hyperlink display="?" location="null!B223:B225" ref="CY4"/>
    <hyperlink display="?" location="null!B329:B331" ref="DE4"/>
    <hyperlink display="?" location="null!B444:B446" ref="DK4"/>
    <hyperlink display="?" location="null!B535:B537" ref="DQ4"/>
    <hyperlink display="?" location="null!B712:B714" ref="EC4"/>
    <hyperlink display="?" location="null!B99:B101" ref="EO4"/>
    <hyperlink display="?" location="null!B215:B217" ref="EU4"/>
    <hyperlink display="?" location="null!B512:B514" ref="FG4"/>
    <hyperlink display="?" location="null!B710:B712" ref="FS4"/>
    <hyperlink display="?" location="null!B818:B820" ref="FY4"/>
    <hyperlink display="?" location="NPCTRADES!K5" ref="GE4"/>
    <hyperlink display="?" location="null!B189:B191" ref="GQ4"/>
    <hyperlink display="?" location="null!B318:B320" ref="GW4"/>
    <hyperlink display="?" location="null!B496:B498" ref="HC4"/>
    <hyperlink display="?" location="null!B591:B593" ref="HI4"/>
    <hyperlink display="?" location="null!B763:B765" ref="HU4"/>
    <hyperlink display="?" location="null!B112:B114" ref="IG4"/>
    <hyperlink display="?" location="null!B203:B205" ref="IM4"/>
    <hyperlink display="?" location="null!B268:B270" ref="IS4"/>
    <hyperlink display="?" location="null!B401:B403" ref="JE4"/>
    <hyperlink display="?" location="null!B603:B605" ref="JQ4"/>
    <hyperlink display="?" location="null!B752:B754" ref="KC4"/>
    <hyperlink display="?" location="null!B941:B943" ref="KO4"/>
    <hyperlink display="?" location="null!B123:B125" ref="LG4"/>
    <hyperlink display="?" location="null!B216:B218" ref="LM4"/>
    <hyperlink display="?" location="null!B306:B308" ref="LS4"/>
    <hyperlink display="?" location="null!B96:B98" ref="ME4"/>
    <hyperlink display="?" location="null!B376:B378" ref="MW4"/>
    <hyperlink display="?" location="null!B476:B478" ref="NC4"/>
    <hyperlink display="?" location="null!B673:B675" ref="NO4"/>
    <hyperlink display="?" location="null!B758:B760" ref="NU4"/>
    <hyperlink display="?" location="null!B111:B113" ref="OG4"/>
    <hyperlink display="?" location="null!B262:B264" ref="OS4"/>
    <hyperlink display="?" location="null!B331:B333" ref="OY4"/>
    <hyperlink display="?" location="null!B482:B484" ref="PK4"/>
    <hyperlink display="?" location="null!B584:B586" ref="PQ4"/>
    <hyperlink display="?" location="null!B665:B667" ref="PW4"/>
    <hyperlink display="?" location="null!B734:B736" ref="QC4"/>
    <hyperlink display="?" location="NPCTRADES!BO29:BO31" ref="US4"/>
    <hyperlink display="?" location="NPCTRADES!FK16:FK18" ref="UY4"/>
    <hyperlink display="?" location="NPCTRADES!HS16:HS18" ref="VE4"/>
    <hyperlink display="?" location="null!B85:B87" ref="VQ4"/>
    <hyperlink display="?" location="null!B257:B259" ref="WC4"/>
    <hyperlink display="?" location="null!B360:B362" ref="WI4"/>
    <hyperlink display="?" location="null!B762:B764" ref="XG4"/>
    <hyperlink display="?" location="null!B824:B826" ref="XM4"/>
    <hyperlink display="?" location="null!B987:B989" ref="XY4"/>
    <hyperlink display="?" location="null!B1106:B1108" ref="YE4"/>
    <hyperlink display="?" location="null!B1209:B1211" ref="YK4"/>
    <hyperlink display="?" location="null!B1302:B1304" ref="YQ4"/>
    <hyperlink display="?" location="null!B1387:B1389" ref="YW4"/>
    <hyperlink display="?" location="null!B1466:B1468" ref="ZC4"/>
    <hyperlink display="?" location="null!B1560:B1562" ref="ZI4"/>
    <hyperlink display="?" location="null!B1639:B1641" ref="ZO4"/>
    <hyperlink display="?" location="null!B1789:B1791" ref="AAA4"/>
    <hyperlink display="?" location="null!B1875:B1877" ref="AAG4"/>
    <hyperlink display="?" location="null!B2168:B2170" ref="AAY4"/>
    <hyperlink display="?" location="null!B2181:B2183" ref="ABE4"/>
    <hyperlink display="?" location="null!B2194:B2196" ref="ABK4"/>
    <hyperlink display="?" location="null!B2207:B2209" ref="ABQ4"/>
    <hyperlink display="?" location="null!B2220:B2222" ref="ABW4"/>
    <hyperlink display="?" location="null!B117:B119" ref="CS5"/>
    <hyperlink display="?" location="null!B611:B613" ref="FM5"/>
    <hyperlink display="?" location="null!B810:B812" ref="KI5"/>
    <hyperlink display="?" location="null!B1025:B1027" ref="KU5"/>
    <hyperlink display="?" location="null!B280:B282" ref="MQ5"/>
    <hyperlink display="?" location="null!B19:B21" ref="AQ6"/>
    <hyperlink display="?" location="null!B259:B261" ref="BC6"/>
    <hyperlink display="?" location="null!B365:B367" ref="BI6"/>
    <hyperlink display="?" location="null!B341:B343" ref="DE6"/>
    <hyperlink display="?" location="null!B641:B643" ref="DW6"/>
    <hyperlink display="?" location="null!B19:B21" ref="EI6"/>
    <hyperlink display="?" location="null!B394:B396" ref="FA6"/>
    <hyperlink display="?" location="null!B19:B21" ref="GK6"/>
    <hyperlink display="?" location="null!B330:B332" ref="GW6"/>
    <hyperlink display="?" location="null!B696:B698" ref="HO6"/>
    <hyperlink display="?" location="null!B19:B21" ref="IA6"/>
    <hyperlink display="?" location="null!B498:B500" ref="JK6"/>
    <hyperlink display="?" location="null!B685:B687" ref="JW6"/>
    <hyperlink display="?" location="null!B19:B21" ref="LA6"/>
    <hyperlink display="?" location="null!B569:B571" ref="NI6"/>
    <hyperlink display="?" location="null!B19:B21" ref="OA6"/>
    <hyperlink display="?" location="NPCTRADES!K5" ref="UM6"/>
    <hyperlink display="?" location="null!B451:B453" ref="WO6"/>
    <hyperlink display="?" location="null!B1725:B1727" ref="ZU6"/>
    <hyperlink display="?" location="TRAiNERS!I2:J2" ref="D7"/>
    <hyperlink display="?" location="null!B212:B214" ref="Y7"/>
    <hyperlink display="?" location="null!B478:B480" ref="BO7"/>
    <hyperlink display="?" location="null!B19:B21" ref="CM7"/>
    <hyperlink display="?" location="null!B111:B113" ref="EO7"/>
    <hyperlink display="?" location="null!B831:B833" ref="FY7"/>
    <hyperlink display="?" location="null!B413:B415" ref="JE7"/>
    <hyperlink display="?" location="null!B616:B618" ref="JQ7"/>
    <hyperlink display="?" location="null!B196:B198" ref="MK7"/>
    <hyperlink display="?" location="null!B852:B854" ref="QO7"/>
    <hyperlink display="?" location="null!B905:B907" ref="QU7"/>
    <hyperlink display="?" location="null!B958:B960" ref="RA7"/>
    <hyperlink display="?" location="null!B1011:B1013" ref="RG7"/>
    <hyperlink display="?" location="null!B1064:B1066" ref="RM7"/>
    <hyperlink display="?" location="NPCTRADES!K5" ref="SE7"/>
    <hyperlink display="?" location="NPCTRADES!CI29:CI31" ref="US7"/>
    <hyperlink display="?" location="NPCTRADES!EQ29:EQ31" ref="UY7"/>
    <hyperlink display="?" location="null!B2064:B2066" ref="ACC7"/>
    <hyperlink display="?" location="null!B19:B21" ref="M8"/>
    <hyperlink display="?" location="null!B129:C129" ref="S8"/>
    <hyperlink display="?" location="null!B316:B318" ref="AE8"/>
    <hyperlink display="?" location="null!B457:B459" ref="DK8"/>
    <hyperlink display="?" location="null!B227:B229" ref="EU8"/>
    <hyperlink display="?" location="null!B406:B408" ref="FA8"/>
    <hyperlink display="?" location="null!B723:B725" ref="FS8"/>
    <hyperlink display="?" location="null!B953:B955" ref="KO8"/>
    <hyperlink display="?" location="null!B293:B295" ref="LS8"/>
    <hyperlink display="?" location="null!B685:B687" ref="NO8"/>
    <hyperlink display="?" location="null!B771:B773" ref="NU8"/>
    <hyperlink display="?" location="null!B404:B406" ref="PE8"/>
    <hyperlink display="?" location="null!B494:B496" ref="PK8"/>
    <hyperlink display="?" location="null!B596:B598" ref="PQ8"/>
    <hyperlink display="?" location="null!B807:B809" ref="QI8"/>
    <hyperlink display="?" location="NPCTRADES!IU16:IU18" ref="VE8"/>
    <hyperlink display="?" location="null!B270:B272" ref="WC8"/>
    <hyperlink display="?" location="null!B647:B649" ref="XA8"/>
    <hyperlink display="?" location="null!B774:B776" ref="XG8"/>
    <hyperlink display="?" location="null!B896:B898" ref="XS8"/>
    <hyperlink display="?" location="null!B1118:B1120" ref="YE8"/>
    <hyperlink display="?" location="null!B1221:B1223" ref="YK8"/>
    <hyperlink display="?" location="null!B1400:B1402" ref="YW8"/>
    <hyperlink display="?" location="null!B1478:B1480" ref="ZC8"/>
    <hyperlink display="?" location="null!B1802:B1804" ref="AAA8"/>
    <hyperlink display="?" location="null!B2168:B2170" ref="ACC8"/>
    <hyperlink display="?" location="null!B31:B33" ref="AQ9"/>
    <hyperlink display="?" location="null!B176:B178" ref="AW9"/>
    <hyperlink display="?" location="null!B560:B562" ref="BU9"/>
    <hyperlink display="?" location="null!B655:B657" ref="CA9"/>
    <hyperlink display="?" location="null!B735:B737" ref="CG9"/>
    <hyperlink display="?" location="null!B548:B550" ref="DQ9"/>
    <hyperlink display="?" location="null!B725:B727" ref="EC9"/>
    <hyperlink display="?" location="null!B940:B942" ref="GE9"/>
    <hyperlink display="?" location="null!B202:B204" ref="GQ9"/>
    <hyperlink display="?" location="null!B343:B345" ref="GW9"/>
    <hyperlink display="?" location="null!B509:B511" ref="HC9"/>
    <hyperlink display="?" location="null!B604:B606" ref="HI9"/>
    <hyperlink display="?" location="null!B776:B778" ref="HU9"/>
    <hyperlink display="?" location="null!B32:B34" ref="LA9"/>
    <hyperlink display="?" location="null!B229:B231" ref="LM9"/>
    <hyperlink display="?" location="null!B113:B115" ref="ME9"/>
    <hyperlink display="?" location="null!B389:B391" ref="MW9"/>
    <hyperlink display="?" location="null!B124:B126" ref="OG9"/>
    <hyperlink display="?" location="null!B1000:B1002" ref="XY9"/>
    <hyperlink display="?" location="null!B1888:B1890" ref="AAG9"/>
    <hyperlink display="?" location="null!B2077:B2079" ref="ACC9"/>
    <hyperlink display="?" location="TRAiNERS!AM2:AN2" ref="D10"/>
    <hyperlink display="?" location="null!B32:B34" ref="M10"/>
    <hyperlink display="?" location="null!B354:B356" ref="DE10"/>
    <hyperlink display="?" location="null!B31:B33" ref="GK10"/>
    <hyperlink display="?" location="null!B125:B127" ref="IG10"/>
    <hyperlink display="?" location="null!B332:B334" ref="IY10"/>
    <hyperlink display="?" location="null!B698:B700" ref="JW10"/>
    <hyperlink display="?" location="null!B21:B23" ref="LY10"/>
    <hyperlink display="?" location="null!B208:B210" ref="OM10"/>
    <hyperlink display="?" location="null!B680:B682" ref="PW10"/>
    <hyperlink display="?" location="NPCTRADES!AA3:AA5" ref="UM10"/>
    <hyperlink display="?" location="NPCTRADES!FK29:FK31" ref="UY10"/>
    <hyperlink display="?" location="null!B463:B465" ref="WO10"/>
    <hyperlink display="?" location="null!B563:B565" ref="WU10"/>
    <hyperlink display="?" location="null!B1315:B1317" ref="YQ10"/>
    <hyperlink display="?" location="null!B404:B406" ref="AK11"/>
    <hyperlink display="?" location="null!B272:B274" ref="BC11"/>
    <hyperlink display="?" location="null!B238:B240" ref="CY11"/>
    <hyperlink display="?" location="null!B32:B34" ref="EI11"/>
    <hyperlink display="?" location="null!B419:B421" ref="FA11"/>
    <hyperlink display="?" location="null!B624:B626" ref="FM11"/>
    <hyperlink display="?" location="null!B844:B846" ref="FY11"/>
    <hyperlink display="?" location="null!B355:B357" ref="GW11"/>
    <hyperlink display="?" location="null!B34:B36" ref="IA11"/>
    <hyperlink display="?" location="null!B216:B218" ref="IM11"/>
    <hyperlink display="?" location="null!B511:B513" ref="JK11"/>
    <hyperlink display="?" location="null!B765:B767" ref="KC11"/>
    <hyperlink display="?" location="null!B825:B827" ref="KI11"/>
    <hyperlink display="?" location="null!B208:B210" ref="MK11"/>
    <hyperlink display="?" location="null!B488:B490" ref="NC11"/>
    <hyperlink display="?" location="null!B582:B584" ref="NI11"/>
    <hyperlink display="?" location="null!B275:B277" ref="OS11"/>
    <hyperlink display="?" location="null!B344:B346" ref="OY11"/>
    <hyperlink display="?" location="null!B747:B749" ref="QC11"/>
    <hyperlink display="?" location="NPCTRADES!CI3:CI5" ref="US11"/>
    <hyperlink display="?" location="null!B836:B838" ref="XM11"/>
    <hyperlink display="?" location="null!B908:B910" ref="XS11"/>
    <hyperlink display="?" location="null!B1012:B1014" ref="XY11"/>
    <hyperlink display="?" location="null!B2285:B2287" ref="AAY11"/>
    <hyperlink display="?" location="null!B2298:B2300" ref="ABE11"/>
    <hyperlink display="?" location="null!B2311:B2313" ref="ABK11"/>
    <hyperlink display="?" location="null!B2324:B2326" ref="ABQ11"/>
    <hyperlink display="?" location="null!B2337:B2339" ref="ABW11"/>
    <hyperlink display="?" location="null!B2233:B2235" ref="ACC11"/>
    <hyperlink display="?" location="null!B45:B47" ref="M12"/>
    <hyperlink display="?" location="null!B43:C45" ref="AQ12"/>
    <hyperlink display="?" location="null!B378:C380" ref="BI12"/>
    <hyperlink display="?" location="null!B525:B527" ref="FG12"/>
    <hyperlink display="?" location="null!B736:B738" ref="FS12"/>
    <hyperlink display="?" location="null!B215:B217" ref="GQ12"/>
    <hyperlink display="?" location="null!B629:B631" ref="JQ12"/>
    <hyperlink display="?" location="null!B1038:B1040" ref="KU12"/>
    <hyperlink display="?" location="null!B45:B47" ref="LA12"/>
    <hyperlink display="?" location="null!B698:B700" ref="NO12"/>
    <hyperlink display="?" location="NPCTRADES!HS29:HS31" ref="VE12"/>
    <hyperlink display="?" location="null!B186:B188" ref="VW12"/>
    <hyperlink display="?" location="null!B282:B284" ref="WC12"/>
    <hyperlink display="?" location="null!B659:B661" ref="XA12"/>
    <hyperlink display="?" location="null!B1233:B1235" ref="YK12"/>
    <hyperlink display="?" location="null!B1738:B1740" ref="ZU12"/>
    <hyperlink display="?" location="null!B2090:B2092" ref="ACC12"/>
    <hyperlink display="?" location="TRAiNERS!CI2:CJ2" ref="D13"/>
    <hyperlink display="?" location="null!B493:B495" ref="BO13"/>
    <hyperlink display="?" location="null!B668:B670" ref="CA13"/>
    <hyperlink display="?" location="null!B366:B368" ref="DE13"/>
    <hyperlink display="?" location="null!B470:B472" ref="DK13"/>
    <hyperlink display="?" location="null!B709:B711" ref="HO13"/>
    <hyperlink display="?" location="null!B138:B140" ref="IG13"/>
    <hyperlink display="?" location="null!B428:B430" ref="JE13"/>
    <hyperlink display="?" location="null!B711:B713" ref="JW13"/>
    <hyperlink display="?" location="null!B838:B840" ref="KI13"/>
    <hyperlink display="?" location="null!B966:B968" ref="KO13"/>
    <hyperlink display="?" location="null!B138:B140" ref="LG13"/>
    <hyperlink display="?" location="null!B319:B321" ref="LS13"/>
    <hyperlink display="?" location="null!B507:B509" ref="PK13"/>
    <hyperlink display="?" location="NPCTRADES!AU3:AU5" ref="UM13"/>
    <hyperlink display="?" location="null!B102:B104" ref="VQ13"/>
    <hyperlink display="?" location="null!B377:B379" ref="WI13"/>
    <hyperlink display="?" location="null!B787:B789" ref="XG13"/>
    <hyperlink display="?" location="null!B1491:B1493" ref="ZC13"/>
    <hyperlink display="?" location="null!B1656:B1658" ref="ZO13"/>
    <hyperlink display="?" location="null!B2181:B2183" ref="ACC13"/>
    <hyperlink display="?" location="null!B331:B333" ref="AE14"/>
    <hyperlink display="?" location="null!B34:B36" ref="CM14"/>
    <hyperlink display="?" location="null!B738:B740" ref="EC14"/>
    <hyperlink display="?" location="null!B126:B128" ref="EO14"/>
    <hyperlink display="?" location="null!B432:B434" ref="FA14"/>
    <hyperlink display="?" location="null!B44:C46" ref="GK14"/>
    <hyperlink display="?" location="null!B368:B370" ref="GW14"/>
    <hyperlink display="?" location="null!B617:B619" ref="HI14"/>
    <hyperlink display="?" location="null!B789:B791" ref="HU14"/>
    <hyperlink display="?" location="null!B47:B49" ref="IA14"/>
    <hyperlink display="?" location="null!B242:B244" ref="LM14"/>
    <hyperlink display="?" location="null!B34:B36" ref="LY14"/>
    <hyperlink display="?" location="null!B408:B410" ref="MW14"/>
    <hyperlink display="?" location="null!B786:B788" ref="NU14"/>
    <hyperlink display="?" location="null!B137:B139" ref="OG14"/>
    <hyperlink display="?" location="NPCTRADES!DW3:DW6" ref="US14"/>
    <hyperlink display="?" location="NPCTRADES!GE3:GE5" ref="UY14"/>
    <hyperlink display="?" location="null!B18:B20" ref="VK14"/>
    <hyperlink display="?" location="null!B575:B577" ref="WU14"/>
    <hyperlink display="?" location="null!B1327:B1329" ref="YQ14"/>
    <hyperlink display="?" location="null!B1815:B1817" ref="AAA14"/>
    <hyperlink display="?" location="null!B1901:B1903" ref="AAG14"/>
    <hyperlink display="?" location="null!B391:B393" ref="BI15"/>
    <hyperlink display="?" location="null!B279:B281" ref="EU15"/>
    <hyperlink display="?" location="null!B538:B540" ref="FG15"/>
    <hyperlink display="?" location="null!B637:B639" ref="FM15"/>
    <hyperlink display="?" location="null!B857:B859" ref="FY15"/>
    <hyperlink display="?" location="null!B228:B230" ref="GQ15"/>
    <hyperlink display="?" location="NPCTRADES!K5" ref="IS15"/>
    <hyperlink display="?" location="null!B58:B60" ref="LA15"/>
    <hyperlink display="?" location="null!B128:B130" ref="ME15"/>
    <hyperlink display="?" location="null!B820:B822" ref="QI15"/>
    <hyperlink display="?" location="null!B864:B866" ref="QO15"/>
    <hyperlink display="?" location="null!B917:B919" ref="QU15"/>
    <hyperlink display="?" location="null!B970:B972" ref="RA15"/>
    <hyperlink display="?" location="null!B1023:B1025" ref="RG15"/>
    <hyperlink display="?" location="null!B1076:B1078" ref="RM15"/>
    <hyperlink display="?" location="null!B198:B200" ref="VW15"/>
    <hyperlink display="?" location="null!B921:B923" ref="XS15"/>
    <hyperlink display="?" location="null!B2103:B2105" ref="ACC15"/>
    <hyperlink display="?" location="TRAiNERS!EE2:EF2" ref="D16"/>
    <hyperlink display="?" location="null!B227:B229" ref="Y16"/>
    <hyperlink display="?" location="null!B417:B419" ref="AK16"/>
    <hyperlink display="?" location="null!B191:B193" ref="AW16"/>
    <hyperlink display="?" location="null!B285:B287" ref="BC16"/>
    <hyperlink display="?" location="null!B132:B134" ref="CS16"/>
    <hyperlink display="?" location="null!B253:B255" ref="CY16"/>
    <hyperlink display="?" location="null!B45:B47" ref="EI16"/>
    <hyperlink display="?" location="null!B953:B955" ref="GE16"/>
    <hyperlink display="?" location="null!B380:B382" ref="GW16"/>
    <hyperlink display="?" location="NPCTRADES!K5" ref="HC16"/>
    <hyperlink display="?" location="null!B524:B526" ref="JK16"/>
    <hyperlink display="?" location="null!B221:B223" ref="MK16"/>
    <hyperlink display="?" location="null!B299:B301" ref="MQ16"/>
    <hyperlink display="?" location="null!B595:B597" ref="NI16"/>
    <hyperlink display="?" location="null!B34:B36" ref="OA16"/>
    <hyperlink display="?" location="null!B221:B223" ref="OM16"/>
    <hyperlink display="?" location="null!B417:C419" ref="PE16"/>
    <hyperlink display="?" location="null!B693:B695" ref="PW16"/>
    <hyperlink display="?" location="NPCTRADES!AA16:AA18" ref="UM16"/>
    <hyperlink display="?" location="NPCTRADES!IU29:IU31" ref="VE16"/>
    <hyperlink display="?" location="null!B114:B116" ref="VQ16"/>
    <hyperlink display="?" location="null!B294:B296" ref="WC16"/>
    <hyperlink display="?" location="null!B671:B673" ref="XA16"/>
    <hyperlink display="?" location="null!B1025:B1027" ref="XY16"/>
    <hyperlink display="?" location="null!B2246:B2248" ref="ACC16"/>
    <hyperlink display="?" location="null!B143:B145" ref="S17"/>
    <hyperlink display="?" location="null!B118:B120" ref="AQ17"/>
    <hyperlink display="?" location="null!B379:B381" ref="DE17"/>
    <hyperlink display="?" location="null!B483:B485" ref="DK17"/>
    <hyperlink display="?" location="null!B563:B565" ref="DQ17"/>
    <hyperlink display="?" location="null!B139:B141" ref="EO17"/>
    <hyperlink display="?" location="null!B291:B293" ref="EU17"/>
    <hyperlink display="?" location="null!B445:B447" ref="FA17"/>
    <hyperlink display="?" location="null!B749:B751" ref="FS17"/>
    <hyperlink display="?" location="null!B60:B62" ref="IA17"/>
    <hyperlink display="?" location="null!B347:B349" ref="IY17"/>
    <hyperlink display="?" location="null!B853:C855" ref="KI17"/>
    <hyperlink display="?" location="null!B978:B980" ref="KO17"/>
    <hyperlink display="?" location="null!B47:B49" ref="LY17"/>
    <hyperlink display="?" location="null!B288:B290" ref="OS17"/>
    <hyperlink display="?" location="null!B357:B359" ref="OY17"/>
    <hyperlink display="?" location="null!B519:B521" ref="PK17"/>
    <hyperlink display="?" location="null!B613:B615" ref="PQ17"/>
    <hyperlink display="?" location="NPCTRADES!DC16:DC19" ref="US17"/>
    <hyperlink display="?" location="NPCTRADES!GY3:GY5" ref="UY17"/>
    <hyperlink display="?" location="null!B30:B32" ref="VK17"/>
    <hyperlink display="?" location="null!B389:B391" ref="WI17"/>
    <hyperlink display="?" location="null!B1135:B1137" ref="YE17"/>
    <hyperlink display="?" location="null!B1246:B1248" ref="YK17"/>
    <hyperlink display="?" location="null!B1503:B1505" ref="ZC17"/>
    <hyperlink display="?" location="null!B2116:B2118" ref="ACC17"/>
    <hyperlink display="?" location="null!B344:B346" ref="AE18"/>
    <hyperlink display="?" location="null!B403:B405" ref="BI18"/>
    <hyperlink display="?" location="null!B506:B508" ref="BO18"/>
    <hyperlink display="?" location="null!B575:B577" ref="BU18"/>
    <hyperlink display="?" location="null!B681:B683" ref="CA18"/>
    <hyperlink display="?" location="null!B46:B48" ref="CM18"/>
    <hyperlink display="?" location="NPCTRADES!K5" ref="DW18"/>
    <hyperlink display="?" location="null!B630:B632" ref="HI18"/>
    <hyperlink display="?" location="null!B229:B231" ref="IM18"/>
    <hyperlink display="?" location="null!B441:B443" ref="JE18"/>
    <hyperlink display="?" location="null!B642:B644" ref="JQ18"/>
    <hyperlink display="?" location="null!B724:B726" ref="JW18"/>
    <hyperlink display="?" location="null!B1053:B1055" ref="KU18"/>
    <hyperlink display="?" location="null!B151:B153" ref="LG18"/>
    <hyperlink display="?" location="null!B332:B334" ref="LS18"/>
    <hyperlink display="?" location="null!B501:C503" ref="NC18"/>
    <hyperlink display="?" location="null!B799:B801" ref="NU18"/>
    <hyperlink display="?" location="null!B587:B589" ref="WU18"/>
    <hyperlink display="?" location="null!B848:B850" ref="XM18"/>
    <hyperlink display="?" location="null!B1417:B1419" ref="YW18"/>
    <hyperlink display="?" location="null!B1669:B1671" ref="ZO18"/>
    <hyperlink display="?" location="null!B1953:B1955" ref="AAM18"/>
    <hyperlink display="?" location="null!B1990:B1992" ref="AAS18"/>
    <hyperlink display="?" location="null!B2027:B2029" ref="AAY18"/>
    <hyperlink display="?" location="null!B2233:B2235" ref="ABE18"/>
    <hyperlink display="?" location="null!B2246:B2248" ref="ABK18"/>
    <hyperlink display="?" location="null!B2259:B2261" ref="ABQ18"/>
    <hyperlink display="?" location="null!B2272:B2274" ref="ABW18"/>
    <hyperlink display="?" location="TRAiNERS!GG2:GJ2" ref="D19"/>
    <hyperlink display="?" location="null!B203:B205" ref="AW19"/>
    <hyperlink display="?" location="null!B303:B305" ref="EU19"/>
    <hyperlink display="?" location="null!B551:B553" ref="FG19"/>
    <hyperlink display="?" location="null!B870:B872" ref="FY19"/>
    <hyperlink display="?" location="null!B124:B126" ref="GK19"/>
    <hyperlink display="?" location="null!B393:B395" ref="GW19"/>
    <hyperlink display="?" location="null!B802:B804" ref="HU19"/>
    <hyperlink display="?" location="null!B151:B153" ref="IG19"/>
    <hyperlink display="?" location="null!B421:B423" ref="MW19"/>
    <hyperlink display="?" location="null!B713:B715" ref="NO19"/>
    <hyperlink display="?" location="null!B430:B432" ref="PE19"/>
    <hyperlink display="?" location="null!B760:B762" ref="QC19"/>
    <hyperlink display="?" location="NPCTRADES!AU16:AU18" ref="UM19"/>
    <hyperlink display="?" location="null!B210:B212" ref="VW19"/>
    <hyperlink display="?" location="null!B933:B935" ref="XS19"/>
    <hyperlink display="?" location="null!B1340:B1342" ref="YQ19"/>
    <hyperlink display="?" location="null!B1828:B1830" ref="AAA19"/>
    <hyperlink display="?" location="null!B2194:B2196" ref="ACC19"/>
    <hyperlink display="?" location="null!B240:B242" ref="Y20"/>
    <hyperlink display="?" location="null!B298:B300" ref="BC20"/>
    <hyperlink display="?" location="null!B753:B755" ref="EC20"/>
    <hyperlink display="?" location="null!B722:B724" ref="HO20"/>
    <hyperlink display="?" location="null!B73:B75" ref="IA20"/>
    <hyperlink display="?" location="null!B298:B300" ref="IS20"/>
    <hyperlink display="?" location="null!B537:B539" ref="JK20"/>
    <hyperlink display="?" location="null!B866:B868" ref="KI20"/>
    <hyperlink display="?" location="null!B143:B145" ref="ME20"/>
    <hyperlink display="?" location="null!B236:B238" ref="MK20"/>
    <hyperlink display="?" location="null!B608:B610" ref="NI20"/>
    <hyperlink display="?" location="null!B47:B49" ref="OA20"/>
    <hyperlink display="?" location="null!B150:B152" ref="OG20"/>
    <hyperlink display="?" location="NPCTRADES!DW16:DW19" ref="US20"/>
    <hyperlink display="?" location="NPCTRADES!GE16:GE18" ref="UY20"/>
    <hyperlink display="?" location="null!B42:B44" ref="VK20"/>
    <hyperlink display="?" location="null!B126:B128" ref="VQ20"/>
    <hyperlink display="?" location="null!B799:B801" ref="XG20"/>
    <hyperlink display="?" location="null!B1037:B1039" ref="XY20"/>
    <hyperlink display="?" location="null!B2129:B2131" ref="ACC20"/>
    <hyperlink display="?" location="null!B60" ref="M21"/>
    <hyperlink display="?" location="null!B156:B158" ref="S21"/>
    <hyperlink display="?" location="null!B430:B432" ref="AK21"/>
    <hyperlink display="?" location="null!B588:B590" ref="BU21"/>
    <hyperlink display="?" location="null!B145:B147" ref="CS21"/>
    <hyperlink display="?" location="null!B391:B393" ref="DE21"/>
    <hyperlink display="?" location="null!B315:B317" ref="EU21"/>
    <hyperlink display="?" location="null!B966:B968" ref="GE21"/>
    <hyperlink display="?" location="null!B405:B407" ref="GW21"/>
    <hyperlink display="?" location="null!B539:B541" ref="HC21"/>
    <hyperlink display="?" location="null!B780:B782" ref="KC21"/>
    <hyperlink display="?" location="null!B60:B62" ref="LY21"/>
    <hyperlink display="?" location="null!B312:B314" ref="MQ21"/>
    <hyperlink display="?" location="NPCTRADES!JW3:JW5" ref="VE21"/>
    <hyperlink display="?" location="null!B307:B309" ref="WC21"/>
    <hyperlink display="?" location="null!B401:B403" ref="WI21"/>
    <hyperlink display="?" location="null!B482:B484" ref="WO21"/>
    <hyperlink display="?" location="null!B1147:B1149" ref="YE21"/>
    <hyperlink display="?" location="null!B1258:B1260" ref="YK21"/>
    <hyperlink display="?" location="null!B2259:B2261" ref="ACC21"/>
    <hyperlink display="?" location="TRAiNERS!HW2:HX2" ref="D22"/>
    <hyperlink display="?" location="null!B131:B133" ref="AQ22"/>
    <hyperlink display="?" location="null!B266:C268" ref="CY22"/>
    <hyperlink display="?" location="null!B496:B498" ref="DK22"/>
    <hyperlink display="?" location="null!B576:B578" ref="DQ22"/>
    <hyperlink display="?" location="null!B152:B154" ref="EO22"/>
    <hyperlink display="?" location="null!B460:B462" ref="FA22"/>
    <hyperlink display="?" location="null!B883:B885" ref="FY22"/>
    <hyperlink display="?" location="null!B655:B657" ref="JQ22"/>
    <hyperlink display="?" location="null!B1066:B1068" ref="KU22"/>
    <hyperlink display="?" location="NPCTRADES!K5" ref="LM22"/>
    <hyperlink display="?" location="null!B234:B236" ref="OM22"/>
    <hyperlink display="?" location="null!B532:B534" ref="PK22"/>
    <hyperlink display="?" location="null!B706:B708" ref="PW22"/>
    <hyperlink display="?" location="null!B833:B835" ref="QI22"/>
    <hyperlink display="?" location="NPCTRADES!K5" ref="RS22"/>
    <hyperlink display="?" location="NPCTRADES!AA29:AA31" ref="UM22"/>
    <hyperlink display="?" location="null!B1516:B1518" ref="ZC22"/>
    <hyperlink display="?" location="null!B73" ref="M23"/>
    <hyperlink display="?" location="null!B311:B313" ref="BC23"/>
    <hyperlink display="?" location="null!B416:B418" ref="BI23"/>
    <hyperlink display="?" location="null!B519:B521" ref="BO23"/>
    <hyperlink display="?" location="null!B327:B329" ref="EU23"/>
    <hyperlink display="?" location="NPCTRADES!K5" ref="FM23"/>
    <hyperlink display="?" location="null!B643:B645" ref="HI23"/>
    <hyperlink display="?" location="null!B362:B364" ref="IY23"/>
    <hyperlink display="?" location="null!B454:B456" ref="JE23"/>
    <hyperlink display="?" location="null!B164:B166" ref="LG23"/>
    <hyperlink display="?" location="null!B345:B347" ref="LS23"/>
    <hyperlink display="?" location="null!B248:B250" ref="MK23"/>
    <hyperlink display="?" location="null!B542:B544" ref="NC23"/>
    <hyperlink display="?" location="null!B621:B623" ref="NI23"/>
    <hyperlink display="?" location="null!B442:B444" ref="PE23"/>
    <hyperlink display="?" location="null!B626:B628" ref="PQ23"/>
    <hyperlink display="?" location="null!B876:B878" ref="QO23"/>
    <hyperlink display="?" location="null!B929:B931" ref="QU23"/>
    <hyperlink display="?" location="null!B982:B984" ref="RA23"/>
    <hyperlink display="?" location="null!B1035:B1037" ref="RG23"/>
    <hyperlink display="?" location="null!B1088:B1090" ref="RM23"/>
    <hyperlink display="?" location="NPCTRADES!DC29:DC32" ref="US23"/>
    <hyperlink display="?" location="NPCTRADES!GY16:GY18" ref="UY23"/>
    <hyperlink display="?" location="null!B494:B496" ref="WO23"/>
    <hyperlink display="?" location="null!B686:B688" ref="XA23"/>
    <hyperlink display="?" location="null!B1352:B1354" ref="YQ23"/>
    <hyperlink display="?" location="null!B1430:B1432" ref="YW23"/>
    <hyperlink display="?" location="null!B1589:B1591" ref="ZI23"/>
    <hyperlink display="?" location="null!B1682:B1684" ref="ZO23"/>
    <hyperlink display="?" location="null!B2142:B2144" ref="ACC23"/>
    <hyperlink display="?" location="null!B253:B255" ref="Y24"/>
    <hyperlink display="?" location="null!B601:B603" ref="BU24"/>
    <hyperlink display="?" location="null!B61:B63" ref="CM24"/>
    <hyperlink display="?" location="null!B158:B160" ref="CS24"/>
    <hyperlink display="?" location="null!B671:B673" ref="DW24"/>
    <hyperlink display="?" location="null!B60:B62" ref="EI24"/>
    <hyperlink display="?" location="null!B764:B766" ref="FS24"/>
    <hyperlink display="?" location="null!B137:B139" ref="GK24"/>
    <hyperlink display="?" location="null!B243:B245" ref="GQ24"/>
    <hyperlink display="?" location="null!B418:B420" ref="GW24"/>
    <hyperlink display="?" location="null!B815:B817" ref="HU24"/>
    <hyperlink display="?" location="null!B164:B166" ref="IG24"/>
    <hyperlink display="?" location="null!B878:B880" ref="KI24"/>
    <hyperlink display="?" location="null!B73:B75" ref="LA24"/>
    <hyperlink display="?" location="null!B812:B814" ref="NU24"/>
    <hyperlink display="?" location="null!B60:B62" ref="OA24"/>
    <hyperlink display="?" location="NPCTRADES!KQ3:KQ5" ref="VE24"/>
    <hyperlink display="?" location="null!B319:B321" ref="WC24"/>
    <hyperlink display="?" location="null!B946:B948" ref="XS24"/>
    <hyperlink display="?" location="null!B2207:B2209" ref="ACC24"/>
    <hyperlink display="?" location="TRAiNERS!KW2:KX2" ref="D25"/>
    <hyperlink display="?" location="null!B86" ref="M25"/>
    <hyperlink display="?" location="null!B218:B220" ref="AW25"/>
    <hyperlink display="?" location="null!B279:B281" ref="CY25"/>
    <hyperlink display="?" location="null!B589:B591" ref="DQ25"/>
    <hyperlink display="?" location="null!B339:B341" ref="EU25"/>
    <hyperlink display="?" location="null!B473:B475" ref="FA25"/>
    <hyperlink display="?" location="null!B86:B88" ref="IA25"/>
    <hyperlink display="?" location="null!B550:B552" ref="JK25"/>
    <hyperlink display="?" location="NPCTRADES!K5" ref="JW25"/>
    <hyperlink display="?" location="null!B436:B438" ref="MW25"/>
    <hyperlink display="?" location="null!B163:B165" ref="OG25"/>
    <hyperlink display="?" location="null!B372:B374" ref="OY25"/>
    <hyperlink display="?" location="NPCTRADES!AU29:AU31" ref="UM25"/>
    <hyperlink display="?" location="null!B506:B508" ref="WO25"/>
    <hyperlink display="?" location="null!B602:B604" ref="WU25"/>
    <hyperlink display="?" location="null!B698:B700" ref="XA25"/>
    <hyperlink display="?" location="null!B1159:B1161" ref="YE25"/>
    <hyperlink display="?" location="null!B1270:B1272" ref="YK25"/>
    <hyperlink display="?" location="null!B1920:B1922" ref="AAG25"/>
    <hyperlink display="?" location="null!B1965:B1967" ref="AAM25"/>
    <hyperlink display="?" location="null!B2002:B2004" ref="AAS25"/>
    <hyperlink display="?" location="null!B2039:B2041" ref="AAY25"/>
    <hyperlink display="?" location="null!B2064:B2066" ref="ABE25"/>
    <hyperlink display="?" location="null!B2077:B2079" ref="ABK25"/>
    <hyperlink display="?" location="null!B2090:B2092" ref="ABQ25"/>
    <hyperlink display="?" location="null!B2103:B2105" ref="ABW25"/>
    <hyperlink display="?" location="null!B2155:B2157" ref="ACC25"/>
    <hyperlink display="?" location="null!B361:B363" ref="AE26"/>
    <hyperlink display="?" location="null!B144:B146" ref="AQ26"/>
    <hyperlink display="?" location="null!B165:B167" ref="EO26"/>
    <hyperlink display="?" location="null!B568:B570" ref="FG26"/>
    <hyperlink display="?" location="null!B895:B897" ref="FY26"/>
    <hyperlink display="?" location="null!B979:B981" ref="GE26"/>
    <hyperlink display="?" location="null!B255:B257" ref="GQ26"/>
    <hyperlink display="?" location="null!B430:B432" ref="GW26"/>
    <hyperlink display="?" location="null!B552:B554" ref="HC26"/>
    <hyperlink display="?" location="null!B242:B244" ref="IM26"/>
    <hyperlink display="?" location="null!B1081:B1083" ref="KU26"/>
    <hyperlink display="?" location="null!B177:B179" ref="LG26"/>
    <hyperlink display="?" location="null!B164:B166" ref="ME26"/>
    <hyperlink display="?" location="null!B554:B556" ref="NC26"/>
    <hyperlink display="?" location="NPCTRADES!K5" ref="NO26"/>
    <hyperlink display="?" location="null!B303:B305" ref="OS26"/>
    <hyperlink display="?" location="null!B544:B546" ref="PK26"/>
    <hyperlink display="?" location="null!B773:B775" ref="QC26"/>
    <hyperlink display="?" location="NPCTRADES!DW29:DW32" ref="US26"/>
    <hyperlink display="?" location="NPCTRADES!GE29:GE31" ref="UY26"/>
    <hyperlink display="?" location="null!B139:B141" ref="VQ26"/>
    <hyperlink display="?" location="null!B171:B173" ref="S27"/>
    <hyperlink display="?" location="null!B428:B430" ref="BI27"/>
    <hyperlink display="?" location="null!B614:B616" ref="BU27"/>
    <hyperlink display="?" location="null!B696:B698" ref="CA27"/>
    <hyperlink display="?" location="null!B431:B433" ref="DE27"/>
    <hyperlink display="?" location="null!B509:B511" ref="DK27"/>
    <hyperlink display="?" location="null!B150:B152" ref="GK27"/>
    <hyperlink display="?" location="null!B313:B315" ref="IS27"/>
    <hyperlink display="?" location="null!B995:B997" ref="KO27"/>
    <hyperlink display="?" location="null!B85:B87" ref="LA27"/>
    <hyperlink display="?" location="null!B269:B271" ref="LM27"/>
    <hyperlink display="?" location="null!B331:B333" ref="MQ27"/>
    <hyperlink display="?" location="NPCTRADES!JW16:JW18" ref="VE27"/>
    <hyperlink display="?" location="null!B331:B333" ref="WC27"/>
    <hyperlink display="?" location="null!B811:B813" ref="XG27"/>
    <hyperlink display="?" location="null!B1601:B1603" ref="ZI27"/>
    <hyperlink display="?" location="null!B2220:B2222" ref="ACC27"/>
    <hyperlink display="?" location="TRAiNERS!LU2:LV2" ref="D28"/>
    <hyperlink display="?" location="null!B60" ref="M28"/>
    <hyperlink display="?" location="null!B324:B326" ref="BC28"/>
    <hyperlink display="?" location="null!B74:B76" ref="CM28"/>
    <hyperlink display="?" location="null!B171:B173" ref="CS28"/>
    <hyperlink display="?" location="null!B291:B293" ref="CY28"/>
    <hyperlink display="?" location="null!B602:B604" ref="DQ28"/>
    <hyperlink display="?" location="null!B73:B75" ref="EI28"/>
    <hyperlink display="?" location="null!B177:B179" ref="EO28"/>
    <hyperlink display="?" location="null!B669:B671" ref="FM28"/>
    <hyperlink display="?" location="null!B777:B779" ref="FS28"/>
    <hyperlink display="?" location="null!B656:B658" ref="HI28"/>
    <hyperlink display="?" location="null!B375:B377" ref="IY28"/>
    <hyperlink display="?" location="null!B563:B565" ref="JK28"/>
    <hyperlink display="?" location="null!B891:B893" ref="KI28"/>
    <hyperlink display="?" location="null!B358:B360" ref="LS28"/>
    <hyperlink display="?" location="null!B634:B636" ref="NI28"/>
    <hyperlink display="?" location="null!B825:B827" ref="NU28"/>
    <hyperlink display="?" location="null!B176:B178" ref="OG28"/>
    <hyperlink display="?" location="null!B457:B459" ref="PE28"/>
    <hyperlink display="?" location="null!B519:B521" ref="WO28"/>
    <hyperlink display="?" location="null!B711:B713" ref="XA28"/>
    <hyperlink display="?" location="null!B958:B960" ref="XS28"/>
    <hyperlink display="?" location="null!B1695:B1697" ref="ZO28"/>
    <hyperlink display="?" location="null!B1990:B1992" ref="ACC28"/>
    <hyperlink display="?" location="null!B266:B268" ref="Y29"/>
    <hyperlink display="?" location="null!B231:B233" ref="AW29"/>
    <hyperlink display="?" location="null!B684:B686" ref="DW29"/>
    <hyperlink display="?" location="null!B486:B488" ref="FA29"/>
    <hyperlink display="?" location="null!B268:B270" ref="GQ29"/>
    <hyperlink display="?" location="null!B443:B445" ref="GW29"/>
    <hyperlink display="?" location="null!B177:B179" ref="IG29"/>
    <hyperlink display="?" location="null!B265:B267" ref="MK29"/>
    <hyperlink display="?" location="null!B73:B75" ref="OA29"/>
    <hyperlink display="?" location="null!B639:B641" ref="PQ29"/>
    <hyperlink display="?" location="NPCTRADES!BO3:BO5" ref="UM29"/>
    <hyperlink display="?" location="NPCTRADES!GY29:GY31" ref="UY29"/>
    <hyperlink display="?" location="null!B614:B616" ref="WU29"/>
    <hyperlink display="?" location="null!B1847:B1849" ref="AAA29"/>
    <hyperlink display="?" location="null!B1932:B1934" ref="AAG29"/>
    <hyperlink display="?" location="null!B2272:B2274" ref="ACC29"/>
    <hyperlink display="?" location="null!B73" ref="M30"/>
    <hyperlink display="?" location="null!B189:B191" ref="EO30"/>
    <hyperlink display="?" location="null!B354:B356" ref="EU30"/>
    <hyperlink display="?" location="null!B992:B994" ref="GE30"/>
    <hyperlink display="?" location="null!B565:B567" ref="HC30"/>
    <hyperlink display="?" location="null!B737:B739" ref="HO30"/>
    <hyperlink display="?" location="null!B99:B101" ref="IA30"/>
    <hyperlink display="?" location="null!B670:B672" ref="JQ30"/>
    <hyperlink display="?" location="null!B739:B741" ref="JW30"/>
    <hyperlink display="?" location="null!B177:B179" ref="ME30"/>
    <hyperlink display="?" location="null!B721:B723" ref="PW30"/>
    <hyperlink display="?" location="NPCTRADES!EQ3:EQ5" ref="US30"/>
    <hyperlink display="?" location="NPCTRADES!KQ16:KQ18" ref="VE30"/>
    <hyperlink display="?" location="null!B151:B153" ref="VQ30"/>
    <hyperlink display="?" location="null!B418:B420" ref="WI30"/>
    <hyperlink display="?" location="null!B723:B725" ref="XA30"/>
    <hyperlink display="?" location="null!B1172:B1174" ref="YE30"/>
    <hyperlink display="?" location="null!B1763:B1765" ref="ZU30"/>
    <hyperlink display="?" location="TRAiNERS!NW2:OY2" ref="D31"/>
    <hyperlink display="?" location="NPCTRADES!K5" ref="AE31"/>
    <hyperlink display="?" location="NPCTRADES!K5" ref="BO31"/>
    <hyperlink display="?" location="null!B406:B408" ref="DE31"/>
    <hyperlink display="?" location="null!B615:B617" ref="DQ31"/>
    <hyperlink display="?" location="null!B86:B88" ref="EI31"/>
    <hyperlink display="?" location="null!B280:B282" ref="GQ31"/>
    <hyperlink display="?" location="null!B455:B457" ref="GW31"/>
    <hyperlink display="?" location="null!B575:B577" ref="JK31"/>
    <hyperlink display="?" location="null!B903:B905" ref="KI31"/>
    <hyperlink display="?" location="null!B1010:B1012" ref="KO31"/>
    <hyperlink display="?" location="null!B110:B112" ref="LA31"/>
    <hyperlink display="?" location="null!B190:B192" ref="LG31"/>
    <hyperlink display="?" location="null!B257:B259" ref="LM31"/>
    <hyperlink display="?" location="null!B647:B649" ref="NI31"/>
    <hyperlink display="?" location="null!B730:B732" ref="NO31"/>
    <hyperlink display="?" location="null!B249:B251" ref="OM31"/>
    <hyperlink display="?" location="null!B557:B559" ref="PK31"/>
    <hyperlink display="?" location="null!B888:B890" ref="QO31"/>
    <hyperlink display="?" location="null!B941:B943" ref="QU31"/>
    <hyperlink display="?" location="null!B994:B996" ref="RA31"/>
    <hyperlink display="?" location="null!B1047:B1049" ref="RG31"/>
    <hyperlink display="?" location="null!B1100:B1102" ref="RM31"/>
    <hyperlink display="?" location="null!B61:B63" ref="VK31"/>
    <hyperlink display="?" location="null!B1056:B1058" ref="XY31"/>
    <hyperlink display="?" location="null!B1953:B1955" ref="ACC31"/>
    <hyperlink display="?" location="null!B86" ref="M32"/>
    <hyperlink display="?" location="NPCTRADES!K5" ref="S32"/>
    <hyperlink display="?" location="null!B337:B339" ref="BC32"/>
    <hyperlink display="?" location="null!B441:B443" ref="BI32"/>
    <hyperlink display="?" location="null!B89:B91" ref="CM32"/>
    <hyperlink display="?" location="null!B304:B306" ref="CY32"/>
    <hyperlink display="?" location="null!B583:B585" ref="FG32"/>
    <hyperlink display="?" location="null!B790:B792" ref="FS32"/>
    <hyperlink display="?" location="null!B163:B165" ref="GK32"/>
    <hyperlink display="?" location="null!B669:B671" ref="HI32"/>
    <hyperlink display="?" location="null!B471:B473" ref="JE32"/>
    <hyperlink display="?" location="null!B795:B797" ref="KC32"/>
    <hyperlink display="?" location="null!B1096:B1098" ref="KU32"/>
    <hyperlink display="?" location="null!B344:B346" ref="MQ32"/>
    <hyperlink display="?" location="null!B451:B453" ref="MW32"/>
    <hyperlink display="?" location="null!B385:B387" ref="OY32"/>
    <hyperlink display="?" location="null!B469:B471" ref="PE32"/>
    <hyperlink display="?" location="NPCTRADES!CI3:CI5" ref="UM32"/>
    <hyperlink display="?" location="null!B430:B432" ref="WI32"/>
    <hyperlink display="?" location="null!B531:B533" ref="WO32"/>
    <hyperlink display="?" location="null!B735:B737" ref="XA32"/>
    <hyperlink display="?" location="null!B867:B869" ref="XM32"/>
    <hyperlink display="?" location="null!B1614:B1616" ref="ZI32"/>
    <hyperlink display="?" location="null!B1977:B1979" ref="AAM32"/>
    <hyperlink display="?" location="null!B2014:B2016" ref="AAS32"/>
    <hyperlink display="?" location="null!B2051:B2053" ref="AAY32"/>
    <hyperlink display="?" location="null!B2116:B2118" ref="ABE32"/>
    <hyperlink display="?" location="null!B2129:B2131" ref="ABK32"/>
    <hyperlink display="?" location="null!B2142:B2144" ref="ABQ32"/>
    <hyperlink display="?" location="null!B2155:B2157" ref="ABW32"/>
    <hyperlink display="?" location="null!B2285:B2287" ref="ACC32"/>
    <hyperlink display="?" location="null!B278:B280" ref="Y33"/>
    <hyperlink display="?" location="null!B709:B711" ref="CA33"/>
    <hyperlink display="?" location="null!B184:B186" ref="CS33"/>
    <hyperlink display="?" location="null!B522:B524" ref="DK33"/>
    <hyperlink display="?" location="null!B699:B701" ref="DW33"/>
    <hyperlink display="?" location="null!B202:B204" ref="EO33"/>
    <hyperlink display="?" location="null!B366:B368" ref="EU33"/>
    <hyperlink display="?" location="null!B255:B257" ref="IM33"/>
    <hyperlink display="?" location="null!B388:B390" ref="IY33"/>
    <hyperlink display="?" location="null!B371:B373" ref="LS33"/>
    <hyperlink display="?" location="null!B85:B87" ref="OA33"/>
    <hyperlink display="?" location="null!B189:B191" ref="OG33"/>
    <hyperlink display="?" location="null!B786:B788" ref="QC33"/>
    <hyperlink display="?" location="NPCTRADES!FK3:FK5" ref="US33"/>
    <hyperlink display="?" location="NPCTRADES!HS3:HS5" ref="UY33"/>
    <hyperlink display="?" location="NPCTRADES!JW29:JW31" ref="VE33"/>
    <hyperlink display="?" location="null!B626:B628" ref="WU33"/>
    <hyperlink display="?" location="null!B1068:B1070" ref="XY33"/>
    <hyperlink display="?" location="null!B1184:B1186" ref="YE33"/>
    <hyperlink display="?" location="null!B1535:B1537" ref="ZC33"/>
    <hyperlink display="?" location="null!B2298:B2300" ref="ACC33"/>
    <hyperlink display="?" location="TRAiNERS!RO2:RP2" ref="D34"/>
    <hyperlink display="?" location="null!B244:B246" ref="AW34"/>
    <hyperlink display="?" location="null!B499:B501" ref="FA34"/>
    <hyperlink display="?" location="null!B293:B295" ref="GQ34"/>
    <hyperlink display="?" location="null!B190:B192" ref="IG34"/>
    <hyperlink display="?" location="null!B203:B205" ref="LG34"/>
    <hyperlink display="?" location="null!B838:B840" ref="NU34"/>
    <hyperlink display="?" location="null!B318:B320" ref="OS34"/>
    <hyperlink display="?" location="null!B163:B165" ref="VQ34"/>
    <hyperlink display="?" location="null!B233:B235" ref="VW34"/>
    <hyperlink display="?" location="null!B1708:B1710" ref="ZO34"/>
    <hyperlink display="?" location="null!B1862:B1864" ref="AAA34"/>
    <hyperlink display="?" location="null!B99:B101" ref="M35"/>
    <hyperlink display="?" location="null!B161:B163" ref="AQ35"/>
    <hyperlink display="?" location="null!B453:B455" ref="BI35"/>
    <hyperlink display="?" location="null!B418:B420" ref="DE35"/>
    <hyperlink display="?" location="null!B628:B630" ref="DQ35"/>
    <hyperlink display="?" location="null!B596:B598" ref="FG35"/>
    <hyperlink display="?" location="null!B684:B686" ref="FM35"/>
    <hyperlink display="?" location="null!B912:B914" ref="FY35"/>
    <hyperlink display="?" location="null!B578:B580" ref="HC35"/>
    <hyperlink display="?" location="null!B750:B752" ref="HO35"/>
    <hyperlink display="?" location="null!B483:B485" ref="JE35"/>
    <hyperlink display="?" location="null!B916:B918" ref="KI35"/>
    <hyperlink display="?" location="null!B98:B100" ref="LA35"/>
    <hyperlink display="?" location="null!B569:B571" ref="PK35"/>
    <hyperlink display="?" location="null!B652:B654" ref="PQ35"/>
    <hyperlink display="?" location="NPCTRADES!BO16:BO18" ref="UM35"/>
    <hyperlink display="?" location="null!B73:B75" ref="VK35"/>
    <hyperlink display="?" location="null!B348:B350" ref="WC35"/>
    <hyperlink display="?" location="null!B2311:B2313" ref="ACC35"/>
    <hyperlink display="?" location="null!B376:B378" ref="AE36"/>
    <hyperlink display="?" location="null!B534:B536" ref="BO36"/>
    <hyperlink display="?" location="null!B197:B199" ref="CS36"/>
    <hyperlink display="?" location="null!B316:B318" ref="CY36"/>
    <hyperlink display="?" location="null!B305:B307" ref="GQ36"/>
    <hyperlink display="?" location="null!B470:B472" ref="GW36"/>
    <hyperlink display="?" location="null!B681:B683" ref="HI36"/>
    <hyperlink display="?" location="null!B83:B85" ref="LY36"/>
    <hyperlink display="?" location="null!B463:B465" ref="MW36"/>
    <hyperlink display="?" location="GiFTSEVENTS!FJ28:FJ29" ref="NC36"/>
    <hyperlink display="?" location="null!B660:B662" ref="NI36"/>
    <hyperlink display="?" location="NPCTRADES!K5" ref="SW36"/>
    <hyperlink display="?" location="NPCTRADES!EQ16:EQ18" ref="US36"/>
    <hyperlink display="?" location="NPCTRADES!KQ29:KQ31" ref="VE36"/>
    <hyperlink display="?" location="null!B543:B545" ref="WO36"/>
    <hyperlink display="?" location="null!B879:B881" ref="XM36"/>
    <hyperlink display="?" location="null!B1081:B1083" ref="XY36"/>
    <hyperlink display="?" location="null!B1196:B1198" ref="YE36"/>
    <hyperlink display="?" location="null!B1290:B1292" ref="YK36"/>
    <hyperlink display="?" location="null!B1374:B1376" ref="YQ36"/>
    <hyperlink display="?" location="null!B1776:B1778" ref="ZU36"/>
    <hyperlink display="?" location="null!B2324:B2326" ref="ACC36"/>
    <hyperlink display="?" location="TRAiNERS!UJ2:UL2" ref="D37"/>
    <hyperlink display="?" location="null!B186:B188" ref="S37"/>
    <hyperlink display="?" location="null!B291:B293" ref="Y37"/>
    <hyperlink display="?" location="null!B350:B352" ref="BC37"/>
    <hyperlink display="?" location="null!B102:B104" ref="CM37"/>
    <hyperlink display="?" location="null!B379:B381" ref="EU37"/>
    <hyperlink display="?" location="null!B805:B807" ref="FS37"/>
    <hyperlink display="?" location="null!B176:B178" ref="GK37"/>
    <hyperlink display="?" location="null!B590:B592" ref="JK37"/>
    <hyperlink display="?" location="null!B363:B365" ref="MQ37"/>
    <hyperlink display="?" location="null!B745:B747" ref="NO37"/>
    <hyperlink display="?" location="NPCTRADES!IU3:IU5" ref="UY37"/>
    <hyperlink display="?" location="null!B245:B247" ref="VW37"/>
    <hyperlink display="?" location="null!B750:B752" ref="XA37"/>
    <hyperlink display="?" location="null!B975:B977" ref="XS37"/>
    <hyperlink display="?" location="null!B1453:B1455" ref="YW37"/>
    <hyperlink display="?" location="null!B1627:B1629" ref="ZI37"/>
    <hyperlink display="?" location="null!B2337:B2339" ref="ACC37"/>
    <hyperlink display="?" location="null!B629:B631" ref="BU38"/>
    <hyperlink display="?" location="null!B240:C242" ref="EO38"/>
    <hyperlink display="?" location="null!B697:B699" ref="FM38"/>
    <hyperlink display="?" location="null!B928:B930" ref="KI38"/>
    <hyperlink display="?" location="null!B98:B100" ref="OA38"/>
    <hyperlink display="?" location="NPCTRADES!CI16:CI18" ref="UM38"/>
    <hyperlink display="?" location="null!B1093:B1095" ref="XY38"/>
    <hyperlink display="?" location="null!B1548:B1550" ref="ZC38"/>
    <hyperlink display="?" location="null!B210:B212" ref="CS39"/>
    <hyperlink display="?" location="null!B483:B485" ref="GW39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46524"/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.13"/>
    <col customWidth="1" min="2" max="506" width="20.5"/>
  </cols>
  <sheetData>
    <row r="1" ht="15.75" customHeight="1">
      <c r="A1" s="1635" t="s">
        <v>4608</v>
      </c>
      <c r="B1" s="1636" t="s">
        <v>1</v>
      </c>
      <c r="C1" s="1637" t="s">
        <v>24</v>
      </c>
      <c r="D1" s="1636" t="s">
        <v>37</v>
      </c>
      <c r="E1" s="1638" t="s">
        <v>53</v>
      </c>
      <c r="F1" s="1638" t="s">
        <v>69</v>
      </c>
      <c r="G1" s="1638" t="s">
        <v>82</v>
      </c>
      <c r="H1" s="1639" t="s">
        <v>98</v>
      </c>
      <c r="I1" s="1639" t="s">
        <v>113</v>
      </c>
      <c r="J1" s="1639" t="s">
        <v>125</v>
      </c>
      <c r="K1" s="1636" t="s">
        <v>141</v>
      </c>
      <c r="L1" s="1636" t="s">
        <v>159</v>
      </c>
      <c r="M1" s="1640" t="s">
        <v>171</v>
      </c>
      <c r="N1" s="1641" t="s">
        <v>188</v>
      </c>
      <c r="O1" s="1642" t="s">
        <v>200</v>
      </c>
      <c r="P1" s="1642" t="s">
        <v>210</v>
      </c>
      <c r="Q1" s="1641" t="s">
        <v>229</v>
      </c>
      <c r="R1" s="1641" t="s">
        <v>243</v>
      </c>
      <c r="S1" s="1641" t="s">
        <v>254</v>
      </c>
      <c r="T1" s="1643" t="s">
        <v>270</v>
      </c>
      <c r="U1" s="1641" t="s">
        <v>284</v>
      </c>
      <c r="V1" s="1641" t="s">
        <v>298</v>
      </c>
      <c r="W1" s="1641" t="s">
        <v>311</v>
      </c>
      <c r="X1" s="1643" t="s">
        <v>322</v>
      </c>
      <c r="Y1" s="1643" t="s">
        <v>333</v>
      </c>
      <c r="Z1" s="1642" t="s">
        <v>347</v>
      </c>
      <c r="AA1" s="1642" t="s">
        <v>364</v>
      </c>
      <c r="AB1" s="1642" t="s">
        <v>373</v>
      </c>
      <c r="AC1" s="1642" t="s">
        <v>383</v>
      </c>
      <c r="AD1" s="1639" t="s">
        <v>391</v>
      </c>
      <c r="AE1" s="1639" t="s">
        <v>406</v>
      </c>
      <c r="AF1" s="1639" t="s">
        <v>417</v>
      </c>
      <c r="AG1" s="1643" t="s">
        <v>429</v>
      </c>
      <c r="AH1" s="1643" t="s">
        <v>438</v>
      </c>
      <c r="AI1" s="1643" t="s">
        <v>447</v>
      </c>
      <c r="AJ1" s="1644" t="s">
        <v>458</v>
      </c>
      <c r="AK1" s="1644" t="s">
        <v>474</v>
      </c>
      <c r="AL1" s="1641" t="s">
        <v>483</v>
      </c>
      <c r="AM1" s="1642" t="s">
        <v>493</v>
      </c>
      <c r="AN1" s="1644" t="s">
        <v>504</v>
      </c>
      <c r="AO1" s="1644" t="s">
        <v>518</v>
      </c>
      <c r="AP1" s="1643" t="s">
        <v>526</v>
      </c>
      <c r="AQ1" s="1643" t="s">
        <v>535</v>
      </c>
      <c r="AR1" s="1639" t="s">
        <v>543</v>
      </c>
      <c r="AS1" s="1639" t="s">
        <v>550</v>
      </c>
      <c r="AT1" s="1638" t="s">
        <v>559</v>
      </c>
      <c r="AU1" s="1638" t="s">
        <v>570</v>
      </c>
      <c r="AV1" s="1638" t="s">
        <v>581</v>
      </c>
      <c r="AW1" s="1643" t="s">
        <v>589</v>
      </c>
      <c r="AX1" s="1643" t="s">
        <v>596</v>
      </c>
      <c r="AY1" s="1641" t="s">
        <v>605</v>
      </c>
      <c r="AZ1" s="1641" t="s">
        <v>615</v>
      </c>
      <c r="BA1" s="1642" t="s">
        <v>623</v>
      </c>
      <c r="BB1" s="1642" t="s">
        <v>635</v>
      </c>
      <c r="BC1" s="1642" t="s">
        <v>643</v>
      </c>
      <c r="BD1" s="1639" t="s">
        <v>653</v>
      </c>
      <c r="BE1" s="1641" t="s">
        <v>663</v>
      </c>
      <c r="BF1" s="1641" t="s">
        <v>673</v>
      </c>
      <c r="BG1" s="1641" t="s">
        <v>680</v>
      </c>
      <c r="BH1" s="1641" t="s">
        <v>687</v>
      </c>
      <c r="BI1" s="1639" t="s">
        <v>695</v>
      </c>
      <c r="BJ1" s="1639" t="s">
        <v>705</v>
      </c>
      <c r="BK1" s="1639" t="s">
        <v>713</v>
      </c>
      <c r="BL1" s="1641" t="s">
        <v>724</v>
      </c>
      <c r="BM1" s="1641" t="s">
        <v>734</v>
      </c>
      <c r="BN1" s="1641" t="s">
        <v>742</v>
      </c>
      <c r="BO1" s="1645" t="s">
        <v>750</v>
      </c>
      <c r="BP1" s="1645" t="s">
        <v>759</v>
      </c>
      <c r="BQ1" s="1645" t="s">
        <v>767</v>
      </c>
      <c r="BR1" s="1636" t="s">
        <v>775</v>
      </c>
      <c r="BS1" s="1636" t="s">
        <v>785</v>
      </c>
      <c r="BT1" s="1636" t="s">
        <v>793</v>
      </c>
      <c r="BU1" s="1639" t="s">
        <v>800</v>
      </c>
      <c r="BV1" s="1639" t="s">
        <v>812</v>
      </c>
      <c r="BW1" s="1641" t="s">
        <v>820</v>
      </c>
      <c r="BX1" s="1641" t="s">
        <v>831</v>
      </c>
      <c r="BY1" s="1641" t="s">
        <v>839</v>
      </c>
      <c r="BZ1" s="1642" t="s">
        <v>848</v>
      </c>
      <c r="CA1" s="1642" t="s">
        <v>857</v>
      </c>
      <c r="CB1" s="1644" t="s">
        <v>866</v>
      </c>
      <c r="CC1" s="1644" t="s">
        <v>878</v>
      </c>
      <c r="CD1" s="1645" t="s">
        <v>885</v>
      </c>
      <c r="CE1" s="1645" t="s">
        <v>896</v>
      </c>
      <c r="CF1" s="1641" t="s">
        <v>903</v>
      </c>
      <c r="CG1" s="1641" t="s">
        <v>921</v>
      </c>
      <c r="CH1" s="1641" t="s">
        <v>930</v>
      </c>
      <c r="CI1" s="1640" t="s">
        <v>941</v>
      </c>
      <c r="CJ1" s="1640" t="s">
        <v>951</v>
      </c>
      <c r="CK1" s="1643" t="s">
        <v>960</v>
      </c>
      <c r="CL1" s="1643" t="s">
        <v>969</v>
      </c>
      <c r="CM1" s="1643" t="s">
        <v>978</v>
      </c>
      <c r="CN1" s="1643" t="s">
        <v>989</v>
      </c>
      <c r="CO1" s="1643" t="s">
        <v>997</v>
      </c>
      <c r="CP1" s="1643" t="s">
        <v>1007</v>
      </c>
      <c r="CQ1" s="1643" t="s">
        <v>1014</v>
      </c>
      <c r="CR1" s="1645" t="s">
        <v>1022</v>
      </c>
      <c r="CS1" s="1642" t="s">
        <v>1029</v>
      </c>
      <c r="CT1" s="1642" t="s">
        <v>1039</v>
      </c>
      <c r="CU1" s="1638" t="s">
        <v>1047</v>
      </c>
      <c r="CV1" s="1638" t="s">
        <v>1057</v>
      </c>
      <c r="CW1" s="1638" t="s">
        <v>1064</v>
      </c>
      <c r="CX1" s="1638" t="s">
        <v>1073</v>
      </c>
      <c r="CY1" s="1644" t="s">
        <v>1082</v>
      </c>
      <c r="CZ1" s="1642" t="s">
        <v>1091</v>
      </c>
      <c r="DA1" s="1641" t="s">
        <v>1099</v>
      </c>
      <c r="DB1" s="1641" t="s">
        <v>1107</v>
      </c>
      <c r="DC1" s="1641" t="s">
        <v>1115</v>
      </c>
      <c r="DD1" s="1641" t="s">
        <v>1125</v>
      </c>
      <c r="DE1" s="1644" t="s">
        <v>1135</v>
      </c>
      <c r="DF1" s="1643" t="s">
        <v>1143</v>
      </c>
      <c r="DG1" s="1643" t="s">
        <v>1152</v>
      </c>
      <c r="DH1" s="1645" t="s">
        <v>1161</v>
      </c>
      <c r="DI1" s="1645" t="s">
        <v>1173</v>
      </c>
      <c r="DJ1" s="1644" t="s">
        <v>1179</v>
      </c>
      <c r="DK1" s="1639" t="s">
        <v>1191</v>
      </c>
      <c r="DL1" s="1641" t="s">
        <v>1200</v>
      </c>
      <c r="DM1" s="1639" t="s">
        <v>1209</v>
      </c>
      <c r="DN1" s="1639" t="s">
        <v>1219</v>
      </c>
      <c r="DO1" s="1638" t="s">
        <v>1228</v>
      </c>
      <c r="DP1" s="1638" t="s">
        <v>1242</v>
      </c>
      <c r="DQ1" s="1641" t="s">
        <v>1253</v>
      </c>
      <c r="DR1" s="1643" t="s">
        <v>1264</v>
      </c>
      <c r="DS1" s="1644" t="s">
        <v>1272</v>
      </c>
      <c r="DT1" s="1636" t="s">
        <v>1284</v>
      </c>
      <c r="DU1" s="1638" t="s">
        <v>1292</v>
      </c>
      <c r="DV1" s="1642" t="s">
        <v>1303</v>
      </c>
      <c r="DW1" s="1638" t="s">
        <v>1312</v>
      </c>
      <c r="DX1" s="1641" t="s">
        <v>1321</v>
      </c>
      <c r="DY1" s="1641" t="s">
        <v>1328</v>
      </c>
      <c r="DZ1" s="1638" t="s">
        <v>1336</v>
      </c>
      <c r="EA1" s="1639" t="s">
        <v>1343</v>
      </c>
      <c r="EB1" s="1639" t="s">
        <v>1352</v>
      </c>
      <c r="EC1" s="1643" t="s">
        <v>1360</v>
      </c>
      <c r="ED1" s="1641" t="s">
        <v>1368</v>
      </c>
      <c r="EE1" s="1639" t="s">
        <v>1376</v>
      </c>
      <c r="EF1" s="1642" t="s">
        <v>1384</v>
      </c>
      <c r="EG1" s="1638" t="s">
        <v>1393</v>
      </c>
      <c r="EH1" s="1644" t="s">
        <v>1401</v>
      </c>
      <c r="EI1" s="1639" t="s">
        <v>1411</v>
      </c>
      <c r="EJ1" s="1639" t="s">
        <v>1419</v>
      </c>
      <c r="EK1" s="1641" t="s">
        <v>1427</v>
      </c>
      <c r="EL1" s="1641" t="s">
        <v>1436</v>
      </c>
      <c r="EM1" s="1643" t="s">
        <v>1443</v>
      </c>
      <c r="EN1" s="1646" t="s">
        <v>1452</v>
      </c>
      <c r="EO1" s="1639" t="s">
        <v>1463</v>
      </c>
      <c r="EP1" s="1642" t="s">
        <v>1473</v>
      </c>
      <c r="EQ1" s="1642" t="s">
        <v>1482</v>
      </c>
      <c r="ER1" s="1639" t="s">
        <v>1489</v>
      </c>
      <c r="ES1" s="1639" t="s">
        <v>1499</v>
      </c>
      <c r="ET1" s="1641" t="s">
        <v>1508</v>
      </c>
      <c r="EU1" s="1643" t="s">
        <v>1516</v>
      </c>
      <c r="EV1" s="1644" t="s">
        <v>1523</v>
      </c>
      <c r="EW1" s="1636" t="s">
        <v>1530</v>
      </c>
      <c r="EX1" s="1636" t="s">
        <v>1538</v>
      </c>
      <c r="EY1" s="1636" t="s">
        <v>1546</v>
      </c>
      <c r="EZ1" s="1642" t="s">
        <v>1557</v>
      </c>
      <c r="FA1" s="1642" t="s">
        <v>1565</v>
      </c>
      <c r="FB1" s="1642" t="s">
        <v>1572</v>
      </c>
      <c r="FC1" s="1639" t="s">
        <v>1584</v>
      </c>
      <c r="FD1" s="1639" t="s">
        <v>1592</v>
      </c>
      <c r="FE1" s="1639" t="s">
        <v>1600</v>
      </c>
      <c r="FF1" s="1641" t="s">
        <v>1609</v>
      </c>
      <c r="FG1" s="1641" t="s">
        <v>1618</v>
      </c>
      <c r="FH1" s="1641" t="s">
        <v>1629</v>
      </c>
      <c r="FI1" s="1641" t="s">
        <v>1637</v>
      </c>
      <c r="FJ1" s="1638" t="s">
        <v>1647</v>
      </c>
      <c r="FK1" s="1638" t="s">
        <v>1657</v>
      </c>
      <c r="FL1" s="1636" t="s">
        <v>1665</v>
      </c>
      <c r="FM1" s="1638" t="s">
        <v>1672</v>
      </c>
      <c r="FN1" s="1643" t="s">
        <v>1680</v>
      </c>
      <c r="FO1" s="1639" t="s">
        <v>1687</v>
      </c>
      <c r="FP1" s="1639" t="s">
        <v>1697</v>
      </c>
      <c r="FQ1" s="1642" t="s">
        <v>1705</v>
      </c>
      <c r="FR1" s="1644" t="s">
        <v>1714</v>
      </c>
      <c r="FS1" s="1644" t="s">
        <v>1722</v>
      </c>
      <c r="FT1" s="1640" t="s">
        <v>1730</v>
      </c>
      <c r="FU1" s="1640" t="s">
        <v>1740</v>
      </c>
      <c r="FV1" s="1636" t="s">
        <v>1748</v>
      </c>
      <c r="FW1" s="1636" t="s">
        <v>1756</v>
      </c>
      <c r="FX1" s="1640" t="s">
        <v>1763</v>
      </c>
      <c r="FY1" s="1644" t="s">
        <v>1770</v>
      </c>
      <c r="FZ1" s="1642" t="s">
        <v>1778</v>
      </c>
      <c r="GA1" s="1636" t="s">
        <v>1788</v>
      </c>
      <c r="GB1" s="1639" t="s">
        <v>1797</v>
      </c>
      <c r="GC1" s="1639" t="s">
        <v>1808</v>
      </c>
      <c r="GD1" s="1641" t="s">
        <v>1816</v>
      </c>
      <c r="GE1" s="1636" t="s">
        <v>1823</v>
      </c>
      <c r="GF1" s="1644" t="s">
        <v>1832</v>
      </c>
      <c r="GG1" s="1636" t="s">
        <v>1842</v>
      </c>
      <c r="GH1" s="1639" t="s">
        <v>1849</v>
      </c>
      <c r="GI1" s="1643" t="s">
        <v>1858</v>
      </c>
      <c r="GJ1" s="1642" t="s">
        <v>1865</v>
      </c>
      <c r="GK1" s="1642" t="s">
        <v>1872</v>
      </c>
      <c r="GL1" s="1638" t="s">
        <v>1880</v>
      </c>
      <c r="GM1" s="1639" t="s">
        <v>1889</v>
      </c>
      <c r="GN1" s="1639" t="s">
        <v>1901</v>
      </c>
      <c r="GO1" s="1643" t="s">
        <v>1908</v>
      </c>
      <c r="GP1" s="1646" t="s">
        <v>1916</v>
      </c>
      <c r="GQ1" s="1646" t="s">
        <v>1924</v>
      </c>
      <c r="GR1" s="1644" t="s">
        <v>1934</v>
      </c>
      <c r="GS1" s="1645" t="s">
        <v>1941</v>
      </c>
      <c r="GT1" s="1646" t="s">
        <v>1949</v>
      </c>
      <c r="GU1" s="1639" t="s">
        <v>1960</v>
      </c>
      <c r="GV1" s="1642" t="s">
        <v>1968</v>
      </c>
      <c r="GW1" s="1645" t="s">
        <v>1976</v>
      </c>
      <c r="GX1" s="1643" t="s">
        <v>1984</v>
      </c>
      <c r="GY1" s="1642" t="s">
        <v>1993</v>
      </c>
      <c r="GZ1" s="1643" t="s">
        <v>2000</v>
      </c>
      <c r="HA1" s="1645" t="s">
        <v>2012</v>
      </c>
      <c r="HB1" s="1644" t="s">
        <v>2023</v>
      </c>
      <c r="HC1" s="1643" t="s">
        <v>2030</v>
      </c>
      <c r="HD1" s="1645" t="s">
        <v>2039</v>
      </c>
      <c r="HE1" s="1638" t="s">
        <v>2046</v>
      </c>
      <c r="HF1" s="1642" t="s">
        <v>2056</v>
      </c>
      <c r="HG1" s="1639" t="s">
        <v>2065</v>
      </c>
      <c r="HH1" s="1646" t="s">
        <v>2075</v>
      </c>
      <c r="HI1" s="1641" t="s">
        <v>2083</v>
      </c>
      <c r="HJ1" s="1641" t="s">
        <v>2091</v>
      </c>
      <c r="HK1" s="1638" t="s">
        <v>2098</v>
      </c>
      <c r="HL1" s="1638" t="s">
        <v>2106</v>
      </c>
      <c r="HM1" s="1641" t="s">
        <v>2116</v>
      </c>
      <c r="HN1" s="1641" t="s">
        <v>2125</v>
      </c>
      <c r="HO1" s="1644" t="s">
        <v>2133</v>
      </c>
      <c r="HP1" s="1645" t="s">
        <v>2141</v>
      </c>
      <c r="HQ1" s="1638" t="s">
        <v>2148</v>
      </c>
      <c r="HR1" s="1638" t="s">
        <v>2156</v>
      </c>
      <c r="HS1" s="1643" t="s">
        <v>2163</v>
      </c>
      <c r="HT1" s="1645" t="s">
        <v>2170</v>
      </c>
      <c r="HU1" s="1646" t="s">
        <v>2178</v>
      </c>
      <c r="HV1" s="1646" t="s">
        <v>2185</v>
      </c>
      <c r="HW1" s="1639" t="s">
        <v>2192</v>
      </c>
      <c r="HX1" s="1639" t="s">
        <v>2202</v>
      </c>
      <c r="HY1" s="1645" t="s">
        <v>2210</v>
      </c>
      <c r="HZ1" s="1638" t="s">
        <v>2217</v>
      </c>
      <c r="IA1" s="1641" t="s">
        <v>2224</v>
      </c>
      <c r="IB1" s="1640" t="s">
        <v>2232</v>
      </c>
      <c r="IC1" s="1643" t="s">
        <v>2239</v>
      </c>
      <c r="ID1" s="1641" t="s">
        <v>2251</v>
      </c>
      <c r="IE1" s="1644" t="s">
        <v>2258</v>
      </c>
      <c r="IF1" s="1642" t="s">
        <v>2268</v>
      </c>
      <c r="IG1" s="1638" t="s">
        <v>2277</v>
      </c>
      <c r="IH1" s="1644" t="s">
        <v>2285</v>
      </c>
      <c r="II1" s="1644" t="s">
        <v>2293</v>
      </c>
      <c r="IJ1" s="1642" t="s">
        <v>2302</v>
      </c>
      <c r="IK1" s="1641" t="s">
        <v>2311</v>
      </c>
      <c r="IL1" s="1639" t="s">
        <v>2319</v>
      </c>
      <c r="IM1" s="1636" t="s">
        <v>2326</v>
      </c>
      <c r="IN1" s="1645" t="s">
        <v>2334</v>
      </c>
      <c r="IO1" s="1636" t="s">
        <v>2341</v>
      </c>
      <c r="IP1" s="1640" t="s">
        <v>2351</v>
      </c>
      <c r="IQ1" s="1638" t="s">
        <v>2358</v>
      </c>
      <c r="IR1" s="1636" t="s">
        <v>2367</v>
      </c>
      <c r="IS1" s="1636" t="s">
        <v>2374</v>
      </c>
      <c r="IT1" s="1636" t="s">
        <v>2383</v>
      </c>
      <c r="IU1" s="1636" t="s">
        <v>2393</v>
      </c>
      <c r="IV1" s="1638" t="s">
        <v>2402</v>
      </c>
      <c r="IW1" s="1638" t="s">
        <v>2410</v>
      </c>
      <c r="IX1" s="1638" t="s">
        <v>2418</v>
      </c>
      <c r="IY1" s="1639" t="s">
        <v>2426</v>
      </c>
      <c r="IZ1" s="1639" t="s">
        <v>2435</v>
      </c>
      <c r="JA1" s="1639" t="s">
        <v>2442</v>
      </c>
      <c r="JB1" s="1645" t="s">
        <v>2450</v>
      </c>
      <c r="JC1" s="1645" t="s">
        <v>2458</v>
      </c>
      <c r="JD1" s="1641" t="s">
        <v>2466</v>
      </c>
      <c r="JE1" s="1640" t="s">
        <v>2477</v>
      </c>
      <c r="JF1" s="1638" t="s">
        <v>2485</v>
      </c>
      <c r="JG1" s="1640" t="s">
        <v>2495</v>
      </c>
      <c r="JH1" s="1642" t="s">
        <v>2503</v>
      </c>
      <c r="JI1" s="1643" t="s">
        <v>2512</v>
      </c>
      <c r="JJ1" s="1636" t="s">
        <v>2519</v>
      </c>
      <c r="JK1" s="1636" t="s">
        <v>2528</v>
      </c>
      <c r="JL1" s="1636" t="s">
        <v>2537</v>
      </c>
      <c r="JM1" s="1636" t="s">
        <v>2544</v>
      </c>
      <c r="JN1" s="1641" t="s">
        <v>2551</v>
      </c>
      <c r="JO1" s="1641" t="s">
        <v>2559</v>
      </c>
      <c r="JP1" s="1641" t="s">
        <v>2567</v>
      </c>
      <c r="JQ1" s="1639" t="s">
        <v>2575</v>
      </c>
      <c r="JR1" s="1639" t="s">
        <v>2583</v>
      </c>
      <c r="JS1" s="1640" t="s">
        <v>2591</v>
      </c>
      <c r="JT1" s="1642" t="s">
        <v>2598</v>
      </c>
      <c r="JU1" s="1640" t="s">
        <v>2607</v>
      </c>
      <c r="JV1" s="1640" t="s">
        <v>2616</v>
      </c>
      <c r="JW1" s="1640" t="s">
        <v>2625</v>
      </c>
      <c r="JX1" s="1639" t="s">
        <v>2633</v>
      </c>
      <c r="JY1" s="1639" t="s">
        <v>2642</v>
      </c>
      <c r="JZ1" s="1641" t="s">
        <v>2651</v>
      </c>
      <c r="KA1" s="1636" t="s">
        <v>2661</v>
      </c>
      <c r="KB1" s="1641" t="s">
        <v>2669</v>
      </c>
      <c r="KC1" s="1640" t="s">
        <v>2678</v>
      </c>
      <c r="KD1" s="1641" t="s">
        <v>2686</v>
      </c>
      <c r="KE1" s="1645" t="s">
        <v>2694</v>
      </c>
      <c r="KF1" s="1642" t="s">
        <v>2703</v>
      </c>
      <c r="KG1" s="1641" t="s">
        <v>2710</v>
      </c>
      <c r="KH1" s="1644" t="s">
        <v>2720</v>
      </c>
      <c r="KI1" s="1639" t="s">
        <v>2728</v>
      </c>
      <c r="KJ1" s="1639" t="s">
        <v>2735</v>
      </c>
      <c r="KK1" s="1642" t="s">
        <v>2743</v>
      </c>
      <c r="KL1" s="1641" t="s">
        <v>2752</v>
      </c>
      <c r="KM1" s="1639" t="s">
        <v>2761</v>
      </c>
      <c r="KN1" s="1645" t="s">
        <v>2770</v>
      </c>
      <c r="KO1" s="1644" t="s">
        <v>2779</v>
      </c>
      <c r="KP1" s="1643" t="s">
        <v>2789</v>
      </c>
      <c r="KQ1" s="1643" t="s">
        <v>2798</v>
      </c>
      <c r="KR1" s="1646" t="s">
        <v>2806</v>
      </c>
      <c r="KS1" s="1645" t="s">
        <v>2816</v>
      </c>
      <c r="KT1" s="1645" t="s">
        <v>2824</v>
      </c>
      <c r="KU1" s="1645" t="s">
        <v>2831</v>
      </c>
      <c r="KV1" s="1639" t="s">
        <v>2839</v>
      </c>
      <c r="KW1" s="1638" t="s">
        <v>2849</v>
      </c>
      <c r="KX1" s="1636" t="s">
        <v>2858</v>
      </c>
      <c r="KY1" s="1642" t="s">
        <v>2867</v>
      </c>
      <c r="KZ1" s="1642" t="s">
        <v>2876</v>
      </c>
      <c r="LA1" s="1642" t="s">
        <v>2884</v>
      </c>
      <c r="LB1" s="1645" t="s">
        <v>2893</v>
      </c>
      <c r="LC1" s="1643" t="s">
        <v>2905</v>
      </c>
      <c r="LD1" s="1636" t="s">
        <v>2914</v>
      </c>
      <c r="LE1" s="1636" t="s">
        <v>2923</v>
      </c>
      <c r="LF1" s="1643" t="s">
        <v>2934</v>
      </c>
      <c r="LG1" s="1638" t="s">
        <v>2942</v>
      </c>
      <c r="LH1" s="1639" t="s">
        <v>2954</v>
      </c>
      <c r="LI1" s="1639" t="s">
        <v>2962</v>
      </c>
      <c r="LJ1" s="1639" t="s">
        <v>2970</v>
      </c>
      <c r="LK1" s="1642" t="s">
        <v>2979</v>
      </c>
      <c r="LL1" s="1638" t="s">
        <v>2990</v>
      </c>
      <c r="LM1" s="1641" t="s">
        <v>3000</v>
      </c>
      <c r="LN1" s="1646" t="s">
        <v>3011</v>
      </c>
      <c r="LO1" s="1643" t="s">
        <v>3021</v>
      </c>
      <c r="LP1" s="1641" t="s">
        <v>3030</v>
      </c>
      <c r="LQ1" s="1641" t="s">
        <v>3037</v>
      </c>
      <c r="LR1" s="1636" t="s">
        <v>3047</v>
      </c>
      <c r="LS1" s="1636" t="s">
        <v>3059</v>
      </c>
      <c r="LT1" s="1636" t="s">
        <v>3072</v>
      </c>
      <c r="LU1" s="1636" t="s">
        <v>3083</v>
      </c>
      <c r="LV1" s="1639" t="s">
        <v>3092</v>
      </c>
      <c r="LW1" s="1639" t="s">
        <v>3103</v>
      </c>
      <c r="LX1" s="1640" t="s">
        <v>3113</v>
      </c>
      <c r="LY1" s="1646" t="s">
        <v>3121</v>
      </c>
      <c r="LZ1" s="1642" t="s">
        <v>3130</v>
      </c>
      <c r="MA1" s="1638" t="s">
        <v>3139</v>
      </c>
      <c r="MB1" s="1645" t="s">
        <v>3148</v>
      </c>
      <c r="MC1" s="1639" t="s">
        <v>3158</v>
      </c>
      <c r="MD1" s="1638" t="s">
        <v>3167</v>
      </c>
      <c r="ME1" s="1638" t="s">
        <v>3176</v>
      </c>
      <c r="MF1" s="1641" t="s">
        <v>3185</v>
      </c>
      <c r="MG1" s="1646" t="s">
        <v>3196</v>
      </c>
      <c r="MH1" s="1643" t="s">
        <v>3205</v>
      </c>
      <c r="MI1" s="1636" t="s">
        <v>3218</v>
      </c>
      <c r="MJ1" s="1645" t="s">
        <v>3227</v>
      </c>
      <c r="MK1" s="1645" t="s">
        <v>3237</v>
      </c>
      <c r="ML1" s="1641" t="s">
        <v>3246</v>
      </c>
      <c r="MM1" s="1644" t="s">
        <v>3255</v>
      </c>
      <c r="MN1" s="1640" t="s">
        <v>3265</v>
      </c>
      <c r="MO1" s="1636" t="s">
        <v>3273</v>
      </c>
      <c r="MP1" s="1646" t="s">
        <v>3282</v>
      </c>
      <c r="MQ1" s="1646" t="s">
        <v>3291</v>
      </c>
      <c r="MR1" s="1646" t="s">
        <v>3299</v>
      </c>
      <c r="MS1" s="1646" t="s">
        <v>3309</v>
      </c>
      <c r="MT1" s="1636" t="s">
        <v>3317</v>
      </c>
      <c r="MU1" s="1639" t="s">
        <v>3324</v>
      </c>
      <c r="MV1" s="1640" t="s">
        <v>3333</v>
      </c>
      <c r="MW1" s="1639" t="s">
        <v>3342</v>
      </c>
      <c r="MX1" s="1645" t="s">
        <v>3350</v>
      </c>
      <c r="MY1" s="1645" t="s">
        <v>3360</v>
      </c>
      <c r="MZ1" s="1639" t="s">
        <v>3370</v>
      </c>
      <c r="NA1" s="1639" t="s">
        <v>3379</v>
      </c>
      <c r="NB1" s="1639" t="s">
        <v>3388</v>
      </c>
      <c r="NC1" s="1639" t="s">
        <v>3397</v>
      </c>
      <c r="ND1" s="1639" t="s">
        <v>3406</v>
      </c>
      <c r="NE1" s="1644" t="s">
        <v>3415</v>
      </c>
      <c r="NF1" s="1645" t="s">
        <v>3424</v>
      </c>
      <c r="NG1" s="1644" t="s">
        <v>3433</v>
      </c>
      <c r="NH1" s="1639" t="s">
        <v>3443</v>
      </c>
      <c r="NI1" s="1640" t="s">
        <v>3453</v>
      </c>
      <c r="NJ1" s="1639" t="s">
        <v>3460</v>
      </c>
      <c r="NK1" s="1639" t="s">
        <v>3468</v>
      </c>
      <c r="NL1" s="1639" t="s">
        <v>3477</v>
      </c>
      <c r="NM1" s="1639" t="s">
        <v>3485</v>
      </c>
      <c r="NN1" s="1641" t="s">
        <v>3493</v>
      </c>
      <c r="NO1" s="1639" t="s">
        <v>3499</v>
      </c>
      <c r="NP1" s="1645" t="s">
        <v>3505</v>
      </c>
      <c r="NQ1" s="1638" t="s">
        <v>3513</v>
      </c>
      <c r="NR1" s="1639" t="s">
        <v>3520</v>
      </c>
      <c r="NS1" s="1639" t="s">
        <v>3526</v>
      </c>
      <c r="NT1" s="1638" t="s">
        <v>3533</v>
      </c>
      <c r="NU1" s="1636" t="s">
        <v>3539</v>
      </c>
      <c r="NV1" s="1642" t="s">
        <v>3548</v>
      </c>
      <c r="NW1" s="1638" t="s">
        <v>3556</v>
      </c>
      <c r="NX1" s="1638" t="s">
        <v>3564</v>
      </c>
      <c r="NY1" s="1638" t="s">
        <v>3572</v>
      </c>
      <c r="NZ1" s="1638" t="s">
        <v>3580</v>
      </c>
      <c r="OA1" s="1636" t="s">
        <v>3587</v>
      </c>
      <c r="OB1" s="1636" t="s">
        <v>3596</v>
      </c>
      <c r="OC1" s="1636" t="s">
        <v>3603</v>
      </c>
      <c r="OD1" s="1641" t="s">
        <v>3613</v>
      </c>
      <c r="OE1" s="1641" t="s">
        <v>3620</v>
      </c>
      <c r="OF1" s="1641" t="s">
        <v>3628</v>
      </c>
      <c r="OG1" s="1639" t="s">
        <v>3635</v>
      </c>
      <c r="OH1" s="1639" t="s">
        <v>3642</v>
      </c>
      <c r="OI1" s="1639" t="s">
        <v>3649</v>
      </c>
      <c r="OJ1" s="1641" t="s">
        <v>3657</v>
      </c>
      <c r="OK1" s="1641" t="s">
        <v>3664</v>
      </c>
      <c r="OL1" s="1641" t="s">
        <v>3670</v>
      </c>
      <c r="OM1" s="1641" t="s">
        <v>3677</v>
      </c>
      <c r="ON1" s="1641" t="s">
        <v>3683</v>
      </c>
      <c r="OO1" s="1638" t="s">
        <v>3691</v>
      </c>
      <c r="OP1" s="1638" t="s">
        <v>3700</v>
      </c>
      <c r="OQ1" s="1639" t="s">
        <v>3707</v>
      </c>
      <c r="OR1" s="1639" t="s">
        <v>3715</v>
      </c>
      <c r="OS1" s="1639" t="s">
        <v>3722</v>
      </c>
      <c r="OT1" s="1636" t="s">
        <v>3730</v>
      </c>
      <c r="OU1" s="1636" t="s">
        <v>3736</v>
      </c>
      <c r="OV1" s="1639" t="s">
        <v>3744</v>
      </c>
      <c r="OW1" s="1639" t="s">
        <v>3750</v>
      </c>
      <c r="OX1" s="1645" t="s">
        <v>3757</v>
      </c>
      <c r="OY1" s="1645" t="s">
        <v>3769</v>
      </c>
      <c r="OZ1" s="1636" t="s">
        <v>3778</v>
      </c>
      <c r="PA1" s="1636" t="s">
        <v>3787</v>
      </c>
      <c r="PB1" s="1642" t="s">
        <v>3797</v>
      </c>
      <c r="PC1" s="1644" t="s">
        <v>3805</v>
      </c>
      <c r="PD1" s="1642" t="s">
        <v>3810</v>
      </c>
      <c r="PE1" s="1642" t="s">
        <v>3817</v>
      </c>
      <c r="PF1" s="1642" t="s">
        <v>3825</v>
      </c>
      <c r="PG1" s="1640" t="s">
        <v>3832</v>
      </c>
      <c r="PH1" s="1641" t="s">
        <v>3837</v>
      </c>
      <c r="PI1" s="1641" t="s">
        <v>3843</v>
      </c>
      <c r="PJ1" s="1644" t="s">
        <v>3849</v>
      </c>
      <c r="PK1" s="1644" t="s">
        <v>3856</v>
      </c>
      <c r="PL1" s="1643" t="s">
        <v>3865</v>
      </c>
      <c r="PM1" s="1643" t="s">
        <v>3872</v>
      </c>
      <c r="PN1" s="1643" t="s">
        <v>3879</v>
      </c>
      <c r="PO1" s="1643" t="s">
        <v>3886</v>
      </c>
      <c r="PP1" s="1643" t="s">
        <v>3896</v>
      </c>
      <c r="PQ1" s="1641" t="s">
        <v>3902</v>
      </c>
      <c r="PR1" s="1641" t="s">
        <v>3911</v>
      </c>
      <c r="PS1" s="1643" t="s">
        <v>3919</v>
      </c>
      <c r="PT1" s="1646" t="s">
        <v>3926</v>
      </c>
      <c r="PU1" s="1645" t="s">
        <v>3934</v>
      </c>
      <c r="PV1" s="1645" t="s">
        <v>3941</v>
      </c>
      <c r="PW1" s="1642" t="s">
        <v>3948</v>
      </c>
      <c r="PX1" s="1643" t="s">
        <v>3955</v>
      </c>
      <c r="PY1" s="1643" t="s">
        <v>3964</v>
      </c>
      <c r="PZ1" s="1636" t="s">
        <v>3970</v>
      </c>
      <c r="QA1" s="1636" t="s">
        <v>3978</v>
      </c>
      <c r="QB1" s="1641" t="s">
        <v>3984</v>
      </c>
      <c r="QC1" s="1644" t="s">
        <v>3990</v>
      </c>
      <c r="QD1" s="1644" t="s">
        <v>3996</v>
      </c>
      <c r="QE1" s="1646" t="s">
        <v>4004</v>
      </c>
      <c r="QF1" s="1643" t="s">
        <v>4010</v>
      </c>
      <c r="QG1" s="1639" t="s">
        <v>4017</v>
      </c>
      <c r="QH1" s="1639" t="s">
        <v>4025</v>
      </c>
      <c r="QI1" s="1639" t="s">
        <v>4031</v>
      </c>
      <c r="QJ1" s="1646" t="s">
        <v>4037</v>
      </c>
      <c r="QK1" s="1639" t="s">
        <v>4043</v>
      </c>
      <c r="QL1" s="1639" t="s">
        <v>4049</v>
      </c>
      <c r="QM1" s="1641" t="s">
        <v>4056</v>
      </c>
      <c r="QN1" s="1641" t="s">
        <v>4063</v>
      </c>
      <c r="QO1" s="1643" t="s">
        <v>4069</v>
      </c>
      <c r="QP1" s="1643" t="s">
        <v>4077</v>
      </c>
      <c r="QQ1" s="1639" t="s">
        <v>4083</v>
      </c>
      <c r="QR1" s="1639" t="s">
        <v>4091</v>
      </c>
      <c r="QS1" s="1636" t="s">
        <v>4098</v>
      </c>
      <c r="QT1" s="1639" t="s">
        <v>4105</v>
      </c>
      <c r="QU1" s="1639" t="s">
        <v>4111</v>
      </c>
      <c r="QV1" s="1639" t="s">
        <v>4117</v>
      </c>
      <c r="QW1" s="1640" t="s">
        <v>4123</v>
      </c>
      <c r="QX1" s="1640" t="s">
        <v>4132</v>
      </c>
      <c r="QY1" s="1646" t="s">
        <v>4139</v>
      </c>
      <c r="QZ1" s="1645" t="s">
        <v>4146</v>
      </c>
      <c r="RA1" s="1644" t="s">
        <v>4153</v>
      </c>
      <c r="RB1" s="1645" t="s">
        <v>4160</v>
      </c>
      <c r="RC1" s="1639" t="s">
        <v>4167</v>
      </c>
      <c r="RD1" s="1642" t="s">
        <v>4174</v>
      </c>
      <c r="RE1" s="1638" t="s">
        <v>4183</v>
      </c>
      <c r="RF1" s="1640" t="s">
        <v>4190</v>
      </c>
      <c r="RG1" s="1636" t="s">
        <v>4197</v>
      </c>
      <c r="RH1" s="1636" t="s">
        <v>4204</v>
      </c>
      <c r="RI1" s="1639" t="s">
        <v>4210</v>
      </c>
      <c r="RJ1" s="1643" t="s">
        <v>4217</v>
      </c>
      <c r="RK1" s="1641" t="s">
        <v>4225</v>
      </c>
      <c r="RL1" s="1638" t="s">
        <v>4233</v>
      </c>
      <c r="RM1" s="1640" t="s">
        <v>4238</v>
      </c>
      <c r="RN1" s="1645" t="s">
        <v>4244</v>
      </c>
      <c r="RO1" s="1646" t="s">
        <v>4250</v>
      </c>
      <c r="RP1" s="1640" t="s">
        <v>4257</v>
      </c>
      <c r="RQ1" s="1638" t="s">
        <v>4265</v>
      </c>
      <c r="RR1" s="1638" t="s">
        <v>4275</v>
      </c>
      <c r="RS1" s="1638" t="s">
        <v>4282</v>
      </c>
      <c r="RT1" s="1638" t="s">
        <v>4289</v>
      </c>
      <c r="RU1" s="1638" t="s">
        <v>4296</v>
      </c>
      <c r="RV1" s="1638" t="s">
        <v>4304</v>
      </c>
      <c r="RW1" s="1642" t="s">
        <v>4307</v>
      </c>
      <c r="RX1" s="1644" t="s">
        <v>4311</v>
      </c>
      <c r="RY1" s="1639" t="s">
        <v>4315</v>
      </c>
      <c r="RZ1" s="1640" t="s">
        <v>4319</v>
      </c>
      <c r="SA1" s="1643" t="s">
        <v>4325</v>
      </c>
      <c r="SB1" s="1641" t="s">
        <v>4330</v>
      </c>
      <c r="SC1" s="1640" t="s">
        <v>4336</v>
      </c>
      <c r="SD1" s="1646" t="s">
        <v>4342</v>
      </c>
      <c r="SE1" s="1646" t="s">
        <v>4353</v>
      </c>
      <c r="SF1" s="1642" t="s">
        <v>4356</v>
      </c>
      <c r="SG1" s="1639" t="s">
        <v>4361</v>
      </c>
      <c r="SH1" s="1639" t="s">
        <v>4366</v>
      </c>
      <c r="SI1" s="1646" t="s">
        <v>4371</v>
      </c>
      <c r="SJ1" s="1636" t="s">
        <v>4377</v>
      </c>
      <c r="SK1" s="1636" t="s">
        <v>4385</v>
      </c>
      <c r="SL1" s="1645" t="s">
        <v>4387</v>
      </c>
    </row>
    <row r="2" ht="15.75" customHeight="1">
      <c r="A2" s="1647"/>
      <c r="B2" s="1648" t="str">
        <f t="shared" ref="B2:SL2" si="1">MONICON21(B1)</f>
        <v>#NAME?</v>
      </c>
      <c r="C2" s="1648" t="str">
        <f t="shared" si="1"/>
        <v>#NAME?</v>
      </c>
      <c r="D2" s="1648" t="str">
        <f t="shared" si="1"/>
        <v>#NAME?</v>
      </c>
      <c r="E2" s="1649" t="str">
        <f t="shared" si="1"/>
        <v>#NAME?</v>
      </c>
      <c r="F2" s="1649" t="str">
        <f t="shared" si="1"/>
        <v>#NAME?</v>
      </c>
      <c r="G2" s="1649" t="str">
        <f t="shared" si="1"/>
        <v>#NAME?</v>
      </c>
      <c r="H2" s="1650" t="str">
        <f t="shared" si="1"/>
        <v>#NAME?</v>
      </c>
      <c r="I2" s="1650" t="str">
        <f t="shared" si="1"/>
        <v>#NAME?</v>
      </c>
      <c r="J2" s="1650" t="str">
        <f t="shared" si="1"/>
        <v>#NAME?</v>
      </c>
      <c r="K2" s="1648" t="str">
        <f t="shared" si="1"/>
        <v>#NAME?</v>
      </c>
      <c r="L2" s="1648" t="str">
        <f t="shared" si="1"/>
        <v>#NAME?</v>
      </c>
      <c r="M2" s="1651" t="str">
        <f t="shared" si="1"/>
        <v>#NAME?</v>
      </c>
      <c r="N2" s="1652" t="str">
        <f t="shared" si="1"/>
        <v>#NAME?</v>
      </c>
      <c r="O2" s="1653" t="str">
        <f t="shared" si="1"/>
        <v>#NAME?</v>
      </c>
      <c r="P2" s="1653" t="str">
        <f t="shared" si="1"/>
        <v>#NAME?</v>
      </c>
      <c r="Q2" s="1652" t="str">
        <f t="shared" si="1"/>
        <v>#NAME?</v>
      </c>
      <c r="R2" s="1652" t="str">
        <f t="shared" si="1"/>
        <v>#NAME?</v>
      </c>
      <c r="S2" s="1652" t="str">
        <f t="shared" si="1"/>
        <v>#NAME?</v>
      </c>
      <c r="T2" s="1654" t="str">
        <f t="shared" si="1"/>
        <v>#NAME?</v>
      </c>
      <c r="U2" s="1652" t="str">
        <f t="shared" si="1"/>
        <v>#NAME?</v>
      </c>
      <c r="V2" s="1652" t="str">
        <f t="shared" si="1"/>
        <v>#NAME?</v>
      </c>
      <c r="W2" s="1652" t="str">
        <f t="shared" si="1"/>
        <v>#NAME?</v>
      </c>
      <c r="X2" s="1654" t="str">
        <f t="shared" si="1"/>
        <v>#NAME?</v>
      </c>
      <c r="Y2" s="1654" t="str">
        <f t="shared" si="1"/>
        <v>#NAME?</v>
      </c>
      <c r="Z2" s="1653" t="str">
        <f t="shared" si="1"/>
        <v>#NAME?</v>
      </c>
      <c r="AA2" s="1653" t="str">
        <f t="shared" si="1"/>
        <v>#NAME?</v>
      </c>
      <c r="AB2" s="1653" t="str">
        <f t="shared" si="1"/>
        <v>#NAME?</v>
      </c>
      <c r="AC2" s="1653" t="str">
        <f t="shared" si="1"/>
        <v>#NAME?</v>
      </c>
      <c r="AD2" s="1650" t="str">
        <f t="shared" si="1"/>
        <v>#NAME?</v>
      </c>
      <c r="AE2" s="1650" t="str">
        <f t="shared" si="1"/>
        <v>#NAME?</v>
      </c>
      <c r="AF2" s="1650" t="str">
        <f t="shared" si="1"/>
        <v>#NAME?</v>
      </c>
      <c r="AG2" s="1654" t="str">
        <f t="shared" si="1"/>
        <v>#NAME?</v>
      </c>
      <c r="AH2" s="1654" t="str">
        <f t="shared" si="1"/>
        <v>#NAME?</v>
      </c>
      <c r="AI2" s="1654" t="str">
        <f t="shared" si="1"/>
        <v>#NAME?</v>
      </c>
      <c r="AJ2" s="1655" t="str">
        <f t="shared" si="1"/>
        <v>#NAME?</v>
      </c>
      <c r="AK2" s="1655" t="str">
        <f t="shared" si="1"/>
        <v>#NAME?</v>
      </c>
      <c r="AL2" s="1652" t="str">
        <f t="shared" si="1"/>
        <v>#NAME?</v>
      </c>
      <c r="AM2" s="1653" t="str">
        <f t="shared" si="1"/>
        <v>#NAME?</v>
      </c>
      <c r="AN2" s="1655" t="str">
        <f t="shared" si="1"/>
        <v>#NAME?</v>
      </c>
      <c r="AO2" s="1655" t="str">
        <f t="shared" si="1"/>
        <v>#NAME?</v>
      </c>
      <c r="AP2" s="1654" t="str">
        <f t="shared" si="1"/>
        <v>#NAME?</v>
      </c>
      <c r="AQ2" s="1654" t="str">
        <f t="shared" si="1"/>
        <v>#NAME?</v>
      </c>
      <c r="AR2" s="1650" t="str">
        <f t="shared" si="1"/>
        <v>#NAME?</v>
      </c>
      <c r="AS2" s="1650" t="str">
        <f t="shared" si="1"/>
        <v>#NAME?</v>
      </c>
      <c r="AT2" s="1649" t="str">
        <f t="shared" si="1"/>
        <v>#NAME?</v>
      </c>
      <c r="AU2" s="1649" t="str">
        <f t="shared" si="1"/>
        <v>#NAME?</v>
      </c>
      <c r="AV2" s="1649" t="str">
        <f t="shared" si="1"/>
        <v>#NAME?</v>
      </c>
      <c r="AW2" s="1654" t="str">
        <f t="shared" si="1"/>
        <v>#NAME?</v>
      </c>
      <c r="AX2" s="1654" t="str">
        <f t="shared" si="1"/>
        <v>#NAME?</v>
      </c>
      <c r="AY2" s="1652" t="str">
        <f t="shared" si="1"/>
        <v>#NAME?</v>
      </c>
      <c r="AZ2" s="1652" t="str">
        <f t="shared" si="1"/>
        <v>#NAME?</v>
      </c>
      <c r="BA2" s="1653" t="str">
        <f t="shared" si="1"/>
        <v>#NAME?</v>
      </c>
      <c r="BB2" s="1653" t="str">
        <f t="shared" si="1"/>
        <v>#NAME?</v>
      </c>
      <c r="BC2" s="1653" t="str">
        <f t="shared" si="1"/>
        <v>#NAME?</v>
      </c>
      <c r="BD2" s="1650" t="str">
        <f t="shared" si="1"/>
        <v>#NAME?</v>
      </c>
      <c r="BE2" s="1652" t="str">
        <f t="shared" si="1"/>
        <v>#NAME?</v>
      </c>
      <c r="BF2" s="1652" t="str">
        <f t="shared" si="1"/>
        <v>#NAME?</v>
      </c>
      <c r="BG2" s="1652" t="str">
        <f t="shared" si="1"/>
        <v>#NAME?</v>
      </c>
      <c r="BH2" s="1652" t="str">
        <f t="shared" si="1"/>
        <v>#NAME?</v>
      </c>
      <c r="BI2" s="1650" t="str">
        <f t="shared" si="1"/>
        <v>#NAME?</v>
      </c>
      <c r="BJ2" s="1650" t="str">
        <f t="shared" si="1"/>
        <v>#NAME?</v>
      </c>
      <c r="BK2" s="1650" t="str">
        <f t="shared" si="1"/>
        <v>#NAME?</v>
      </c>
      <c r="BL2" s="1652" t="str">
        <f t="shared" si="1"/>
        <v>#NAME?</v>
      </c>
      <c r="BM2" s="1652" t="str">
        <f t="shared" si="1"/>
        <v>#NAME?</v>
      </c>
      <c r="BN2" s="1652" t="str">
        <f t="shared" si="1"/>
        <v>#NAME?</v>
      </c>
      <c r="BO2" s="1656" t="str">
        <f t="shared" si="1"/>
        <v>#NAME?</v>
      </c>
      <c r="BP2" s="1656" t="str">
        <f t="shared" si="1"/>
        <v>#NAME?</v>
      </c>
      <c r="BQ2" s="1656" t="str">
        <f t="shared" si="1"/>
        <v>#NAME?</v>
      </c>
      <c r="BR2" s="1648" t="str">
        <f t="shared" si="1"/>
        <v>#NAME?</v>
      </c>
      <c r="BS2" s="1648" t="str">
        <f t="shared" si="1"/>
        <v>#NAME?</v>
      </c>
      <c r="BT2" s="1648" t="str">
        <f t="shared" si="1"/>
        <v>#NAME?</v>
      </c>
      <c r="BU2" s="1650" t="str">
        <f t="shared" si="1"/>
        <v>#NAME?</v>
      </c>
      <c r="BV2" s="1650" t="str">
        <f t="shared" si="1"/>
        <v>#NAME?</v>
      </c>
      <c r="BW2" s="1652" t="str">
        <f t="shared" si="1"/>
        <v>#NAME?</v>
      </c>
      <c r="BX2" s="1652" t="str">
        <f t="shared" si="1"/>
        <v>#NAME?</v>
      </c>
      <c r="BY2" s="1652" t="str">
        <f t="shared" si="1"/>
        <v>#NAME?</v>
      </c>
      <c r="BZ2" s="1653" t="str">
        <f t="shared" si="1"/>
        <v>#NAME?</v>
      </c>
      <c r="CA2" s="1653" t="str">
        <f t="shared" si="1"/>
        <v>#NAME?</v>
      </c>
      <c r="CB2" s="1655" t="str">
        <f t="shared" si="1"/>
        <v>#NAME?</v>
      </c>
      <c r="CC2" s="1655" t="str">
        <f t="shared" si="1"/>
        <v>#NAME?</v>
      </c>
      <c r="CD2" s="1656" t="str">
        <f t="shared" si="1"/>
        <v>#NAME?</v>
      </c>
      <c r="CE2" s="1656" t="str">
        <f t="shared" si="1"/>
        <v>#NAME?</v>
      </c>
      <c r="CF2" s="1652" t="str">
        <f t="shared" si="1"/>
        <v>#NAME?</v>
      </c>
      <c r="CG2" s="1652" t="str">
        <f t="shared" si="1"/>
        <v>#NAME?</v>
      </c>
      <c r="CH2" s="1652" t="str">
        <f t="shared" si="1"/>
        <v>#NAME?</v>
      </c>
      <c r="CI2" s="1651" t="str">
        <f t="shared" si="1"/>
        <v>#NAME?</v>
      </c>
      <c r="CJ2" s="1651" t="str">
        <f t="shared" si="1"/>
        <v>#NAME?</v>
      </c>
      <c r="CK2" s="1654" t="str">
        <f t="shared" si="1"/>
        <v>#NAME?</v>
      </c>
      <c r="CL2" s="1654" t="str">
        <f t="shared" si="1"/>
        <v>#NAME?</v>
      </c>
      <c r="CM2" s="1654" t="str">
        <f t="shared" si="1"/>
        <v>#NAME?</v>
      </c>
      <c r="CN2" s="1654" t="str">
        <f t="shared" si="1"/>
        <v>#NAME?</v>
      </c>
      <c r="CO2" s="1654" t="str">
        <f t="shared" si="1"/>
        <v>#NAME?</v>
      </c>
      <c r="CP2" s="1654" t="str">
        <f t="shared" si="1"/>
        <v>#NAME?</v>
      </c>
      <c r="CQ2" s="1654" t="str">
        <f t="shared" si="1"/>
        <v>#NAME?</v>
      </c>
      <c r="CR2" s="1656" t="str">
        <f t="shared" si="1"/>
        <v>#NAME?</v>
      </c>
      <c r="CS2" s="1653" t="str">
        <f t="shared" si="1"/>
        <v>#NAME?</v>
      </c>
      <c r="CT2" s="1653" t="str">
        <f t="shared" si="1"/>
        <v>#NAME?</v>
      </c>
      <c r="CU2" s="1649" t="str">
        <f t="shared" si="1"/>
        <v>#NAME?</v>
      </c>
      <c r="CV2" s="1649" t="str">
        <f t="shared" si="1"/>
        <v>#NAME?</v>
      </c>
      <c r="CW2" s="1649" t="str">
        <f t="shared" si="1"/>
        <v>#NAME?</v>
      </c>
      <c r="CX2" s="1649" t="str">
        <f t="shared" si="1"/>
        <v>#NAME?</v>
      </c>
      <c r="CY2" s="1655" t="str">
        <f t="shared" si="1"/>
        <v>#NAME?</v>
      </c>
      <c r="CZ2" s="1653" t="str">
        <f t="shared" si="1"/>
        <v>#NAME?</v>
      </c>
      <c r="DA2" s="1652" t="str">
        <f t="shared" si="1"/>
        <v>#NAME?</v>
      </c>
      <c r="DB2" s="1652" t="str">
        <f t="shared" si="1"/>
        <v>#NAME?</v>
      </c>
      <c r="DC2" s="1652" t="str">
        <f t="shared" si="1"/>
        <v>#NAME?</v>
      </c>
      <c r="DD2" s="1652" t="str">
        <f t="shared" si="1"/>
        <v>#NAME?</v>
      </c>
      <c r="DE2" s="1655" t="str">
        <f t="shared" si="1"/>
        <v>#NAME?</v>
      </c>
      <c r="DF2" s="1654" t="str">
        <f t="shared" si="1"/>
        <v>#NAME?</v>
      </c>
      <c r="DG2" s="1654" t="str">
        <f t="shared" si="1"/>
        <v>#NAME?</v>
      </c>
      <c r="DH2" s="1656" t="str">
        <f t="shared" si="1"/>
        <v>#NAME?</v>
      </c>
      <c r="DI2" s="1656" t="str">
        <f t="shared" si="1"/>
        <v>#NAME?</v>
      </c>
      <c r="DJ2" s="1655" t="str">
        <f t="shared" si="1"/>
        <v>#NAME?</v>
      </c>
      <c r="DK2" s="1650" t="str">
        <f t="shared" si="1"/>
        <v>#NAME?</v>
      </c>
      <c r="DL2" s="1652" t="str">
        <f t="shared" si="1"/>
        <v>#NAME?</v>
      </c>
      <c r="DM2" s="1650" t="str">
        <f t="shared" si="1"/>
        <v>#NAME?</v>
      </c>
      <c r="DN2" s="1650" t="str">
        <f t="shared" si="1"/>
        <v>#NAME?</v>
      </c>
      <c r="DO2" s="1649" t="str">
        <f t="shared" si="1"/>
        <v>#NAME?</v>
      </c>
      <c r="DP2" s="1649" t="str">
        <f t="shared" si="1"/>
        <v>#NAME?</v>
      </c>
      <c r="DQ2" s="1652" t="str">
        <f t="shared" si="1"/>
        <v>#NAME?</v>
      </c>
      <c r="DR2" s="1654" t="str">
        <f t="shared" si="1"/>
        <v>#NAME?</v>
      </c>
      <c r="DS2" s="1655" t="str">
        <f t="shared" si="1"/>
        <v>#NAME?</v>
      </c>
      <c r="DT2" s="1648" t="str">
        <f t="shared" si="1"/>
        <v>#NAME?</v>
      </c>
      <c r="DU2" s="1649" t="str">
        <f t="shared" si="1"/>
        <v>#NAME?</v>
      </c>
      <c r="DV2" s="1653" t="str">
        <f t="shared" si="1"/>
        <v>#NAME?</v>
      </c>
      <c r="DW2" s="1649" t="str">
        <f t="shared" si="1"/>
        <v>#NAME?</v>
      </c>
      <c r="DX2" s="1652" t="str">
        <f t="shared" si="1"/>
        <v>#NAME?</v>
      </c>
      <c r="DY2" s="1652" t="str">
        <f t="shared" si="1"/>
        <v>#NAME?</v>
      </c>
      <c r="DZ2" s="1649" t="str">
        <f t="shared" si="1"/>
        <v>#NAME?</v>
      </c>
      <c r="EA2" s="1650" t="str">
        <f t="shared" si="1"/>
        <v>#NAME?</v>
      </c>
      <c r="EB2" s="1650" t="str">
        <f t="shared" si="1"/>
        <v>#NAME?</v>
      </c>
      <c r="EC2" s="1654" t="str">
        <f t="shared" si="1"/>
        <v>#NAME?</v>
      </c>
      <c r="ED2" s="1652" t="str">
        <f t="shared" si="1"/>
        <v>#NAME?</v>
      </c>
      <c r="EE2" s="1650" t="str">
        <f t="shared" si="1"/>
        <v>#NAME?</v>
      </c>
      <c r="EF2" s="1653" t="str">
        <f t="shared" si="1"/>
        <v>#NAME?</v>
      </c>
      <c r="EG2" s="1649" t="str">
        <f t="shared" si="1"/>
        <v>#NAME?</v>
      </c>
      <c r="EH2" s="1655" t="str">
        <f t="shared" si="1"/>
        <v>#NAME?</v>
      </c>
      <c r="EI2" s="1650" t="str">
        <f t="shared" si="1"/>
        <v>#NAME?</v>
      </c>
      <c r="EJ2" s="1650" t="str">
        <f t="shared" si="1"/>
        <v>#NAME?</v>
      </c>
      <c r="EK2" s="1652" t="str">
        <f t="shared" si="1"/>
        <v>#NAME?</v>
      </c>
      <c r="EL2" s="1652" t="str">
        <f t="shared" si="1"/>
        <v>#NAME?</v>
      </c>
      <c r="EM2" s="1654" t="str">
        <f t="shared" si="1"/>
        <v>#NAME?</v>
      </c>
      <c r="EN2" s="1657" t="str">
        <f t="shared" si="1"/>
        <v>#NAME?</v>
      </c>
      <c r="EO2" s="1650" t="str">
        <f t="shared" si="1"/>
        <v>#NAME?</v>
      </c>
      <c r="EP2" s="1653" t="str">
        <f t="shared" si="1"/>
        <v>#NAME?</v>
      </c>
      <c r="EQ2" s="1653" t="str">
        <f t="shared" si="1"/>
        <v>#NAME?</v>
      </c>
      <c r="ER2" s="1650" t="str">
        <f t="shared" si="1"/>
        <v>#NAME?</v>
      </c>
      <c r="ES2" s="1650" t="str">
        <f t="shared" si="1"/>
        <v>#NAME?</v>
      </c>
      <c r="ET2" s="1652" t="str">
        <f t="shared" si="1"/>
        <v>#NAME?</v>
      </c>
      <c r="EU2" s="1654" t="str">
        <f t="shared" si="1"/>
        <v>#NAME?</v>
      </c>
      <c r="EV2" s="1655" t="str">
        <f t="shared" si="1"/>
        <v>#NAME?</v>
      </c>
      <c r="EW2" s="1648" t="str">
        <f t="shared" si="1"/>
        <v>#NAME?</v>
      </c>
      <c r="EX2" s="1648" t="str">
        <f t="shared" si="1"/>
        <v>#NAME?</v>
      </c>
      <c r="EY2" s="1648" t="str">
        <f t="shared" si="1"/>
        <v>#NAME?</v>
      </c>
      <c r="EZ2" s="1653" t="str">
        <f t="shared" si="1"/>
        <v>#NAME?</v>
      </c>
      <c r="FA2" s="1653" t="str">
        <f t="shared" si="1"/>
        <v>#NAME?</v>
      </c>
      <c r="FB2" s="1653" t="str">
        <f t="shared" si="1"/>
        <v>#NAME?</v>
      </c>
      <c r="FC2" s="1650" t="str">
        <f t="shared" si="1"/>
        <v>#NAME?</v>
      </c>
      <c r="FD2" s="1650" t="str">
        <f t="shared" si="1"/>
        <v>#NAME?</v>
      </c>
      <c r="FE2" s="1650" t="str">
        <f t="shared" si="1"/>
        <v>#NAME?</v>
      </c>
      <c r="FF2" s="1652" t="str">
        <f t="shared" si="1"/>
        <v>#NAME?</v>
      </c>
      <c r="FG2" s="1652" t="str">
        <f t="shared" si="1"/>
        <v>#NAME?</v>
      </c>
      <c r="FH2" s="1652" t="str">
        <f t="shared" si="1"/>
        <v>#NAME?</v>
      </c>
      <c r="FI2" s="1652" t="str">
        <f t="shared" si="1"/>
        <v>#NAME?</v>
      </c>
      <c r="FJ2" s="1649" t="str">
        <f t="shared" si="1"/>
        <v>#NAME?</v>
      </c>
      <c r="FK2" s="1649" t="str">
        <f t="shared" si="1"/>
        <v>#NAME?</v>
      </c>
      <c r="FL2" s="1648" t="str">
        <f t="shared" si="1"/>
        <v>#NAME?</v>
      </c>
      <c r="FM2" s="1649" t="str">
        <f t="shared" si="1"/>
        <v>#NAME?</v>
      </c>
      <c r="FN2" s="1654" t="str">
        <f t="shared" si="1"/>
        <v>#NAME?</v>
      </c>
      <c r="FO2" s="1650" t="str">
        <f t="shared" si="1"/>
        <v>#NAME?</v>
      </c>
      <c r="FP2" s="1650" t="str">
        <f t="shared" si="1"/>
        <v>#NAME?</v>
      </c>
      <c r="FQ2" s="1653" t="str">
        <f t="shared" si="1"/>
        <v>#NAME?</v>
      </c>
      <c r="FR2" s="1655" t="str">
        <f t="shared" si="1"/>
        <v>#NAME?</v>
      </c>
      <c r="FS2" s="1655" t="str">
        <f t="shared" si="1"/>
        <v>#NAME?</v>
      </c>
      <c r="FT2" s="1651" t="str">
        <f t="shared" si="1"/>
        <v>#NAME?</v>
      </c>
      <c r="FU2" s="1658" t="str">
        <f t="shared" si="1"/>
        <v>#NAME?</v>
      </c>
      <c r="FV2" s="1648" t="str">
        <f t="shared" si="1"/>
        <v>#NAME?</v>
      </c>
      <c r="FW2" s="1648" t="str">
        <f t="shared" si="1"/>
        <v>#NAME?</v>
      </c>
      <c r="FX2" s="1658" t="str">
        <f t="shared" si="1"/>
        <v>#NAME?</v>
      </c>
      <c r="FY2" s="1655" t="str">
        <f t="shared" si="1"/>
        <v>#NAME?</v>
      </c>
      <c r="FZ2" s="1653" t="str">
        <f t="shared" si="1"/>
        <v>#NAME?</v>
      </c>
      <c r="GA2" s="1648" t="str">
        <f t="shared" si="1"/>
        <v>#NAME?</v>
      </c>
      <c r="GB2" s="1650" t="str">
        <f t="shared" si="1"/>
        <v>#NAME?</v>
      </c>
      <c r="GC2" s="1650" t="str">
        <f t="shared" si="1"/>
        <v>#NAME?</v>
      </c>
      <c r="GD2" s="1652" t="str">
        <f t="shared" si="1"/>
        <v>#NAME?</v>
      </c>
      <c r="GE2" s="1648" t="str">
        <f t="shared" si="1"/>
        <v>#NAME?</v>
      </c>
      <c r="GF2" s="1655" t="str">
        <f t="shared" si="1"/>
        <v>#NAME?</v>
      </c>
      <c r="GG2" s="1648" t="str">
        <f t="shared" si="1"/>
        <v>#NAME?</v>
      </c>
      <c r="GH2" s="1650" t="str">
        <f t="shared" si="1"/>
        <v>#NAME?</v>
      </c>
      <c r="GI2" s="1654" t="str">
        <f t="shared" si="1"/>
        <v>#NAME?</v>
      </c>
      <c r="GJ2" s="1653" t="str">
        <f t="shared" si="1"/>
        <v>#NAME?</v>
      </c>
      <c r="GK2" s="1653" t="str">
        <f t="shared" si="1"/>
        <v>#NAME?</v>
      </c>
      <c r="GL2" s="1649" t="str">
        <f t="shared" si="1"/>
        <v>#NAME?</v>
      </c>
      <c r="GM2" s="1650" t="str">
        <f t="shared" si="1"/>
        <v>#NAME?</v>
      </c>
      <c r="GN2" s="1650" t="str">
        <f t="shared" si="1"/>
        <v>#NAME?</v>
      </c>
      <c r="GO2" s="1654" t="str">
        <f t="shared" si="1"/>
        <v>#NAME?</v>
      </c>
      <c r="GP2" s="1657" t="str">
        <f t="shared" si="1"/>
        <v>#NAME?</v>
      </c>
      <c r="GQ2" s="1657" t="str">
        <f t="shared" si="1"/>
        <v>#NAME?</v>
      </c>
      <c r="GR2" s="1655" t="str">
        <f t="shared" si="1"/>
        <v>#NAME?</v>
      </c>
      <c r="GS2" s="1656" t="str">
        <f t="shared" si="1"/>
        <v>#NAME?</v>
      </c>
      <c r="GT2" s="1657" t="str">
        <f t="shared" si="1"/>
        <v>#NAME?</v>
      </c>
      <c r="GU2" s="1650" t="str">
        <f t="shared" si="1"/>
        <v>#NAME?</v>
      </c>
      <c r="GV2" s="1653" t="str">
        <f t="shared" si="1"/>
        <v>#NAME?</v>
      </c>
      <c r="GW2" s="1656" t="str">
        <f t="shared" si="1"/>
        <v>#NAME?</v>
      </c>
      <c r="GX2" s="1654" t="str">
        <f t="shared" si="1"/>
        <v>#NAME?</v>
      </c>
      <c r="GY2" s="1653" t="str">
        <f t="shared" si="1"/>
        <v>#NAME?</v>
      </c>
      <c r="GZ2" s="1654" t="str">
        <f t="shared" si="1"/>
        <v>#NAME?</v>
      </c>
      <c r="HA2" s="1656" t="str">
        <f t="shared" si="1"/>
        <v>#NAME?</v>
      </c>
      <c r="HB2" s="1655" t="str">
        <f t="shared" si="1"/>
        <v>#NAME?</v>
      </c>
      <c r="HC2" s="1654" t="str">
        <f t="shared" si="1"/>
        <v>#NAME?</v>
      </c>
      <c r="HD2" s="1656" t="str">
        <f t="shared" si="1"/>
        <v>#NAME?</v>
      </c>
      <c r="HE2" s="1649" t="str">
        <f t="shared" si="1"/>
        <v>#NAME?</v>
      </c>
      <c r="HF2" s="1653" t="str">
        <f t="shared" si="1"/>
        <v>#NAME?</v>
      </c>
      <c r="HG2" s="1650" t="str">
        <f t="shared" si="1"/>
        <v>#NAME?</v>
      </c>
      <c r="HH2" s="1657" t="str">
        <f t="shared" si="1"/>
        <v>#NAME?</v>
      </c>
      <c r="HI2" s="1652" t="str">
        <f t="shared" si="1"/>
        <v>#NAME?</v>
      </c>
      <c r="HJ2" s="1652" t="str">
        <f t="shared" si="1"/>
        <v>#NAME?</v>
      </c>
      <c r="HK2" s="1649" t="str">
        <f t="shared" si="1"/>
        <v>#NAME?</v>
      </c>
      <c r="HL2" s="1649" t="str">
        <f t="shared" si="1"/>
        <v>#NAME?</v>
      </c>
      <c r="HM2" s="1652" t="str">
        <f t="shared" si="1"/>
        <v>#NAME?</v>
      </c>
      <c r="HN2" s="1652" t="str">
        <f t="shared" si="1"/>
        <v>#NAME?</v>
      </c>
      <c r="HO2" s="1655" t="str">
        <f t="shared" si="1"/>
        <v>#NAME?</v>
      </c>
      <c r="HP2" s="1656" t="str">
        <f t="shared" si="1"/>
        <v>#NAME?</v>
      </c>
      <c r="HQ2" s="1649" t="str">
        <f t="shared" si="1"/>
        <v>#NAME?</v>
      </c>
      <c r="HR2" s="1649" t="str">
        <f t="shared" si="1"/>
        <v>#NAME?</v>
      </c>
      <c r="HS2" s="1654" t="str">
        <f t="shared" si="1"/>
        <v>#NAME?</v>
      </c>
      <c r="HT2" s="1656" t="str">
        <f t="shared" si="1"/>
        <v>#NAME?</v>
      </c>
      <c r="HU2" s="1657" t="str">
        <f t="shared" si="1"/>
        <v>#NAME?</v>
      </c>
      <c r="HV2" s="1657" t="str">
        <f t="shared" si="1"/>
        <v>#NAME?</v>
      </c>
      <c r="HW2" s="1650" t="str">
        <f t="shared" si="1"/>
        <v>#NAME?</v>
      </c>
      <c r="HX2" s="1650" t="str">
        <f t="shared" si="1"/>
        <v>#NAME?</v>
      </c>
      <c r="HY2" s="1656" t="str">
        <f t="shared" si="1"/>
        <v>#NAME?</v>
      </c>
      <c r="HZ2" s="1649" t="str">
        <f t="shared" si="1"/>
        <v>#NAME?</v>
      </c>
      <c r="IA2" s="1652" t="str">
        <f t="shared" si="1"/>
        <v>#NAME?</v>
      </c>
      <c r="IB2" s="1658" t="str">
        <f t="shared" si="1"/>
        <v>#NAME?</v>
      </c>
      <c r="IC2" s="1654" t="str">
        <f t="shared" si="1"/>
        <v>#NAME?</v>
      </c>
      <c r="ID2" s="1652" t="str">
        <f t="shared" si="1"/>
        <v>#NAME?</v>
      </c>
      <c r="IE2" s="1655" t="str">
        <f t="shared" si="1"/>
        <v>#NAME?</v>
      </c>
      <c r="IF2" s="1653" t="str">
        <f t="shared" si="1"/>
        <v>#NAME?</v>
      </c>
      <c r="IG2" s="1649" t="str">
        <f t="shared" si="1"/>
        <v>#NAME?</v>
      </c>
      <c r="IH2" s="1655" t="str">
        <f t="shared" si="1"/>
        <v>#NAME?</v>
      </c>
      <c r="II2" s="1655" t="str">
        <f t="shared" si="1"/>
        <v>#NAME?</v>
      </c>
      <c r="IJ2" s="1653" t="str">
        <f t="shared" si="1"/>
        <v>#NAME?</v>
      </c>
      <c r="IK2" s="1652" t="str">
        <f t="shared" si="1"/>
        <v>#NAME?</v>
      </c>
      <c r="IL2" s="1650" t="str">
        <f t="shared" si="1"/>
        <v>#NAME?</v>
      </c>
      <c r="IM2" s="1648" t="str">
        <f t="shared" si="1"/>
        <v>#NAME?</v>
      </c>
      <c r="IN2" s="1656" t="str">
        <f t="shared" si="1"/>
        <v>#NAME?</v>
      </c>
      <c r="IO2" s="1648" t="str">
        <f t="shared" si="1"/>
        <v>#NAME?</v>
      </c>
      <c r="IP2" s="1658" t="str">
        <f t="shared" si="1"/>
        <v>#NAME?</v>
      </c>
      <c r="IQ2" s="1649" t="str">
        <f t="shared" si="1"/>
        <v>#NAME?</v>
      </c>
      <c r="IR2" s="1648" t="str">
        <f t="shared" si="1"/>
        <v>#NAME?</v>
      </c>
      <c r="IS2" s="1648" t="str">
        <f t="shared" si="1"/>
        <v>#NAME?</v>
      </c>
      <c r="IT2" s="1648" t="str">
        <f t="shared" si="1"/>
        <v>#NAME?</v>
      </c>
      <c r="IU2" s="1648" t="str">
        <f t="shared" si="1"/>
        <v>#NAME?</v>
      </c>
      <c r="IV2" s="1649" t="str">
        <f t="shared" si="1"/>
        <v>#NAME?</v>
      </c>
      <c r="IW2" s="1649" t="str">
        <f t="shared" si="1"/>
        <v>#NAME?</v>
      </c>
      <c r="IX2" s="1649" t="str">
        <f t="shared" si="1"/>
        <v>#NAME?</v>
      </c>
      <c r="IY2" s="1650" t="str">
        <f t="shared" si="1"/>
        <v>#NAME?</v>
      </c>
      <c r="IZ2" s="1650" t="str">
        <f t="shared" si="1"/>
        <v>#NAME?</v>
      </c>
      <c r="JA2" s="1650" t="str">
        <f t="shared" si="1"/>
        <v>#NAME?</v>
      </c>
      <c r="JB2" s="1656" t="str">
        <f t="shared" si="1"/>
        <v>#NAME?</v>
      </c>
      <c r="JC2" s="1656" t="str">
        <f t="shared" si="1"/>
        <v>#NAME?</v>
      </c>
      <c r="JD2" s="1652" t="str">
        <f t="shared" si="1"/>
        <v>#NAME?</v>
      </c>
      <c r="JE2" s="1658" t="str">
        <f t="shared" si="1"/>
        <v>#NAME?</v>
      </c>
      <c r="JF2" s="1649" t="str">
        <f t="shared" si="1"/>
        <v>#NAME?</v>
      </c>
      <c r="JG2" s="1658" t="str">
        <f t="shared" si="1"/>
        <v>#NAME?</v>
      </c>
      <c r="JH2" s="1653" t="str">
        <f t="shared" si="1"/>
        <v>#NAME?</v>
      </c>
      <c r="JI2" s="1654" t="str">
        <f t="shared" si="1"/>
        <v>#NAME?</v>
      </c>
      <c r="JJ2" s="1648" t="str">
        <f t="shared" si="1"/>
        <v>#NAME?</v>
      </c>
      <c r="JK2" s="1648" t="str">
        <f t="shared" si="1"/>
        <v>#NAME?</v>
      </c>
      <c r="JL2" s="1648" t="str">
        <f t="shared" si="1"/>
        <v>#NAME?</v>
      </c>
      <c r="JM2" s="1648" t="str">
        <f t="shared" si="1"/>
        <v>#NAME?</v>
      </c>
      <c r="JN2" s="1652" t="str">
        <f t="shared" si="1"/>
        <v>#NAME?</v>
      </c>
      <c r="JO2" s="1652" t="str">
        <f t="shared" si="1"/>
        <v>#NAME?</v>
      </c>
      <c r="JP2" s="1652" t="str">
        <f t="shared" si="1"/>
        <v>#NAME?</v>
      </c>
      <c r="JQ2" s="1650" t="str">
        <f t="shared" si="1"/>
        <v>#NAME?</v>
      </c>
      <c r="JR2" s="1650" t="str">
        <f t="shared" si="1"/>
        <v>#NAME?</v>
      </c>
      <c r="JS2" s="1658" t="str">
        <f t="shared" si="1"/>
        <v>#NAME?</v>
      </c>
      <c r="JT2" s="1653" t="str">
        <f t="shared" si="1"/>
        <v>#NAME?</v>
      </c>
      <c r="JU2" s="1658" t="str">
        <f t="shared" si="1"/>
        <v>#NAME?</v>
      </c>
      <c r="JV2" s="1658" t="str">
        <f t="shared" si="1"/>
        <v>#NAME?</v>
      </c>
      <c r="JW2" s="1658" t="str">
        <f t="shared" si="1"/>
        <v>#NAME?</v>
      </c>
      <c r="JX2" s="1650" t="str">
        <f t="shared" si="1"/>
        <v>#NAME?</v>
      </c>
      <c r="JY2" s="1650" t="str">
        <f t="shared" si="1"/>
        <v>#NAME?</v>
      </c>
      <c r="JZ2" s="1652" t="str">
        <f t="shared" si="1"/>
        <v>#NAME?</v>
      </c>
      <c r="KA2" s="1648" t="str">
        <f t="shared" si="1"/>
        <v>#NAME?</v>
      </c>
      <c r="KB2" s="1652" t="str">
        <f t="shared" si="1"/>
        <v>#NAME?</v>
      </c>
      <c r="KC2" s="1658" t="str">
        <f t="shared" si="1"/>
        <v>#NAME?</v>
      </c>
      <c r="KD2" s="1652" t="str">
        <f t="shared" si="1"/>
        <v>#NAME?</v>
      </c>
      <c r="KE2" s="1656" t="str">
        <f t="shared" si="1"/>
        <v>#NAME?</v>
      </c>
      <c r="KF2" s="1653" t="str">
        <f t="shared" si="1"/>
        <v>#NAME?</v>
      </c>
      <c r="KG2" s="1652" t="str">
        <f t="shared" si="1"/>
        <v>#NAME?</v>
      </c>
      <c r="KH2" s="1655" t="str">
        <f t="shared" si="1"/>
        <v>#NAME?</v>
      </c>
      <c r="KI2" s="1650" t="str">
        <f t="shared" si="1"/>
        <v>#NAME?</v>
      </c>
      <c r="KJ2" s="1650" t="str">
        <f t="shared" si="1"/>
        <v>#NAME?</v>
      </c>
      <c r="KK2" s="1653" t="str">
        <f t="shared" si="1"/>
        <v>#NAME?</v>
      </c>
      <c r="KL2" s="1652" t="str">
        <f t="shared" si="1"/>
        <v>#NAME?</v>
      </c>
      <c r="KM2" s="1650" t="str">
        <f t="shared" si="1"/>
        <v>#NAME?</v>
      </c>
      <c r="KN2" s="1656" t="str">
        <f t="shared" si="1"/>
        <v>#NAME?</v>
      </c>
      <c r="KO2" s="1655" t="str">
        <f t="shared" si="1"/>
        <v>#NAME?</v>
      </c>
      <c r="KP2" s="1654" t="str">
        <f t="shared" si="1"/>
        <v>#NAME?</v>
      </c>
      <c r="KQ2" s="1654" t="str">
        <f t="shared" si="1"/>
        <v>#NAME?</v>
      </c>
      <c r="KR2" s="1657" t="str">
        <f t="shared" si="1"/>
        <v>#NAME?</v>
      </c>
      <c r="KS2" s="1656" t="str">
        <f t="shared" si="1"/>
        <v>#NAME?</v>
      </c>
      <c r="KT2" s="1656" t="str">
        <f t="shared" si="1"/>
        <v>#NAME?</v>
      </c>
      <c r="KU2" s="1656" t="str">
        <f t="shared" si="1"/>
        <v>#NAME?</v>
      </c>
      <c r="KV2" s="1650" t="str">
        <f t="shared" si="1"/>
        <v>#NAME?</v>
      </c>
      <c r="KW2" s="1649" t="str">
        <f t="shared" si="1"/>
        <v>#NAME?</v>
      </c>
      <c r="KX2" s="1648" t="str">
        <f t="shared" si="1"/>
        <v>#NAME?</v>
      </c>
      <c r="KY2" s="1653" t="str">
        <f t="shared" si="1"/>
        <v>#NAME?</v>
      </c>
      <c r="KZ2" s="1653" t="str">
        <f t="shared" si="1"/>
        <v>#NAME?</v>
      </c>
      <c r="LA2" s="1653" t="str">
        <f t="shared" si="1"/>
        <v>#NAME?</v>
      </c>
      <c r="LB2" s="1656" t="str">
        <f t="shared" si="1"/>
        <v>#NAME?</v>
      </c>
      <c r="LC2" s="1654" t="str">
        <f t="shared" si="1"/>
        <v>#NAME?</v>
      </c>
      <c r="LD2" s="1648" t="str">
        <f t="shared" si="1"/>
        <v>#NAME?</v>
      </c>
      <c r="LE2" s="1648" t="str">
        <f t="shared" si="1"/>
        <v>#NAME?</v>
      </c>
      <c r="LF2" s="1654" t="str">
        <f t="shared" si="1"/>
        <v>#NAME?</v>
      </c>
      <c r="LG2" s="1649" t="str">
        <f t="shared" si="1"/>
        <v>#NAME?</v>
      </c>
      <c r="LH2" s="1650" t="str">
        <f t="shared" si="1"/>
        <v>#NAME?</v>
      </c>
      <c r="LI2" s="1650" t="str">
        <f t="shared" si="1"/>
        <v>#NAME?</v>
      </c>
      <c r="LJ2" s="1650" t="str">
        <f t="shared" si="1"/>
        <v>#NAME?</v>
      </c>
      <c r="LK2" s="1653" t="str">
        <f t="shared" si="1"/>
        <v>#NAME?</v>
      </c>
      <c r="LL2" s="1649" t="str">
        <f t="shared" si="1"/>
        <v>#NAME?</v>
      </c>
      <c r="LM2" s="1652" t="str">
        <f t="shared" si="1"/>
        <v>#NAME?</v>
      </c>
      <c r="LN2" s="1657" t="str">
        <f t="shared" si="1"/>
        <v>#NAME?</v>
      </c>
      <c r="LO2" s="1654" t="str">
        <f t="shared" si="1"/>
        <v>#NAME?</v>
      </c>
      <c r="LP2" s="1652" t="str">
        <f t="shared" si="1"/>
        <v>#NAME?</v>
      </c>
      <c r="LQ2" s="1652" t="str">
        <f t="shared" si="1"/>
        <v>#NAME?</v>
      </c>
      <c r="LR2" s="1648" t="str">
        <f t="shared" si="1"/>
        <v>#NAME?</v>
      </c>
      <c r="LS2" s="1648" t="str">
        <f t="shared" si="1"/>
        <v>#NAME?</v>
      </c>
      <c r="LT2" s="1648" t="str">
        <f t="shared" si="1"/>
        <v>#NAME?</v>
      </c>
      <c r="LU2" s="1648" t="str">
        <f t="shared" si="1"/>
        <v>#NAME?</v>
      </c>
      <c r="LV2" s="1650" t="str">
        <f t="shared" si="1"/>
        <v>#NAME?</v>
      </c>
      <c r="LW2" s="1650" t="str">
        <f t="shared" si="1"/>
        <v>#NAME?</v>
      </c>
      <c r="LX2" s="1658" t="str">
        <f t="shared" si="1"/>
        <v>#NAME?</v>
      </c>
      <c r="LY2" s="1657" t="str">
        <f t="shared" si="1"/>
        <v>#NAME?</v>
      </c>
      <c r="LZ2" s="1653" t="str">
        <f t="shared" si="1"/>
        <v>#NAME?</v>
      </c>
      <c r="MA2" s="1649" t="str">
        <f t="shared" si="1"/>
        <v>#NAME?</v>
      </c>
      <c r="MB2" s="1656" t="str">
        <f t="shared" si="1"/>
        <v>#NAME?</v>
      </c>
      <c r="MC2" s="1650" t="str">
        <f t="shared" si="1"/>
        <v>#NAME?</v>
      </c>
      <c r="MD2" s="1649" t="str">
        <f t="shared" si="1"/>
        <v>#NAME?</v>
      </c>
      <c r="ME2" s="1649" t="str">
        <f t="shared" si="1"/>
        <v>#NAME?</v>
      </c>
      <c r="MF2" s="1652" t="str">
        <f t="shared" si="1"/>
        <v>#NAME?</v>
      </c>
      <c r="MG2" s="1657" t="str">
        <f t="shared" si="1"/>
        <v>#NAME?</v>
      </c>
      <c r="MH2" s="1654" t="str">
        <f t="shared" si="1"/>
        <v>#NAME?</v>
      </c>
      <c r="MI2" s="1648" t="str">
        <f t="shared" si="1"/>
        <v>#NAME?</v>
      </c>
      <c r="MJ2" s="1656" t="str">
        <f t="shared" si="1"/>
        <v>#NAME?</v>
      </c>
      <c r="MK2" s="1656" t="str">
        <f t="shared" si="1"/>
        <v>#NAME?</v>
      </c>
      <c r="ML2" s="1652" t="str">
        <f t="shared" si="1"/>
        <v>#NAME?</v>
      </c>
      <c r="MM2" s="1655" t="str">
        <f t="shared" si="1"/>
        <v>#NAME?</v>
      </c>
      <c r="MN2" s="1658" t="str">
        <f t="shared" si="1"/>
        <v>#NAME?</v>
      </c>
      <c r="MO2" s="1648" t="str">
        <f t="shared" si="1"/>
        <v>#NAME?</v>
      </c>
      <c r="MP2" s="1657" t="str">
        <f t="shared" si="1"/>
        <v>#NAME?</v>
      </c>
      <c r="MQ2" s="1657" t="str">
        <f t="shared" si="1"/>
        <v>#NAME?</v>
      </c>
      <c r="MR2" s="1657" t="str">
        <f t="shared" si="1"/>
        <v>#NAME?</v>
      </c>
      <c r="MS2" s="1657" t="str">
        <f t="shared" si="1"/>
        <v>#NAME?</v>
      </c>
      <c r="MT2" s="1648" t="str">
        <f t="shared" si="1"/>
        <v>#NAME?</v>
      </c>
      <c r="MU2" s="1650" t="str">
        <f t="shared" si="1"/>
        <v>#NAME?</v>
      </c>
      <c r="MV2" s="1658" t="str">
        <f t="shared" si="1"/>
        <v>#NAME?</v>
      </c>
      <c r="MW2" s="1650" t="str">
        <f t="shared" si="1"/>
        <v>#NAME?</v>
      </c>
      <c r="MX2" s="1656" t="str">
        <f t="shared" si="1"/>
        <v>#NAME?</v>
      </c>
      <c r="MY2" s="1656" t="str">
        <f t="shared" si="1"/>
        <v>#NAME?</v>
      </c>
      <c r="MZ2" s="1650" t="str">
        <f t="shared" si="1"/>
        <v>#NAME?</v>
      </c>
      <c r="NA2" s="1650" t="str">
        <f t="shared" si="1"/>
        <v>#NAME?</v>
      </c>
      <c r="NB2" s="1650" t="str">
        <f t="shared" si="1"/>
        <v>#NAME?</v>
      </c>
      <c r="NC2" s="1650" t="str">
        <f t="shared" si="1"/>
        <v>#NAME?</v>
      </c>
      <c r="ND2" s="1650" t="str">
        <f t="shared" si="1"/>
        <v>#NAME?</v>
      </c>
      <c r="NE2" s="1655" t="str">
        <f t="shared" si="1"/>
        <v>#NAME?</v>
      </c>
      <c r="NF2" s="1656" t="str">
        <f t="shared" si="1"/>
        <v>#NAME?</v>
      </c>
      <c r="NG2" s="1655" t="str">
        <f t="shared" si="1"/>
        <v>#NAME?</v>
      </c>
      <c r="NH2" s="1650" t="str">
        <f t="shared" si="1"/>
        <v>#NAME?</v>
      </c>
      <c r="NI2" s="1658" t="str">
        <f t="shared" si="1"/>
        <v>#NAME?</v>
      </c>
      <c r="NJ2" s="1650" t="str">
        <f t="shared" si="1"/>
        <v>#NAME?</v>
      </c>
      <c r="NK2" s="1650" t="str">
        <f t="shared" si="1"/>
        <v>#NAME?</v>
      </c>
      <c r="NL2" s="1650" t="str">
        <f t="shared" si="1"/>
        <v>#NAME?</v>
      </c>
      <c r="NM2" s="1650" t="str">
        <f t="shared" si="1"/>
        <v>#NAME?</v>
      </c>
      <c r="NN2" s="1652" t="str">
        <f t="shared" si="1"/>
        <v>#NAME?</v>
      </c>
      <c r="NO2" s="1650" t="str">
        <f t="shared" si="1"/>
        <v>#NAME?</v>
      </c>
      <c r="NP2" s="1656" t="str">
        <f t="shared" si="1"/>
        <v>#NAME?</v>
      </c>
      <c r="NQ2" s="1649" t="str">
        <f t="shared" si="1"/>
        <v>#NAME?</v>
      </c>
      <c r="NR2" s="1650" t="str">
        <f t="shared" si="1"/>
        <v>#NAME?</v>
      </c>
      <c r="NS2" s="1650" t="str">
        <f t="shared" si="1"/>
        <v>#NAME?</v>
      </c>
      <c r="NT2" s="1649" t="str">
        <f t="shared" si="1"/>
        <v>#NAME?</v>
      </c>
      <c r="NU2" s="1648" t="str">
        <f t="shared" si="1"/>
        <v>#NAME?</v>
      </c>
      <c r="NV2" s="1653" t="str">
        <f t="shared" si="1"/>
        <v>#NAME?</v>
      </c>
      <c r="NW2" s="1649" t="str">
        <f t="shared" si="1"/>
        <v>#NAME?</v>
      </c>
      <c r="NX2" s="1649" t="str">
        <f t="shared" si="1"/>
        <v>#NAME?</v>
      </c>
      <c r="NY2" s="1649" t="str">
        <f t="shared" si="1"/>
        <v>#NAME?</v>
      </c>
      <c r="NZ2" s="1649" t="str">
        <f t="shared" si="1"/>
        <v>#NAME?</v>
      </c>
      <c r="OA2" s="1648" t="str">
        <f t="shared" si="1"/>
        <v>#NAME?</v>
      </c>
      <c r="OB2" s="1648" t="str">
        <f t="shared" si="1"/>
        <v>#NAME?</v>
      </c>
      <c r="OC2" s="1648" t="str">
        <f t="shared" si="1"/>
        <v>#NAME?</v>
      </c>
      <c r="OD2" s="1652" t="str">
        <f t="shared" si="1"/>
        <v>#NAME?</v>
      </c>
      <c r="OE2" s="1652" t="str">
        <f t="shared" si="1"/>
        <v>#NAME?</v>
      </c>
      <c r="OF2" s="1652" t="str">
        <f t="shared" si="1"/>
        <v>#NAME?</v>
      </c>
      <c r="OG2" s="1650" t="str">
        <f t="shared" si="1"/>
        <v>#NAME?</v>
      </c>
      <c r="OH2" s="1650" t="str">
        <f t="shared" si="1"/>
        <v>#NAME?</v>
      </c>
      <c r="OI2" s="1650" t="str">
        <f t="shared" si="1"/>
        <v>#NAME?</v>
      </c>
      <c r="OJ2" s="1652" t="str">
        <f t="shared" si="1"/>
        <v>#NAME?</v>
      </c>
      <c r="OK2" s="1652" t="str">
        <f t="shared" si="1"/>
        <v>#NAME?</v>
      </c>
      <c r="OL2" s="1652" t="str">
        <f t="shared" si="1"/>
        <v>#NAME?</v>
      </c>
      <c r="OM2" s="1652" t="str">
        <f t="shared" si="1"/>
        <v>#NAME?</v>
      </c>
      <c r="ON2" s="1652" t="str">
        <f t="shared" si="1"/>
        <v>#NAME?</v>
      </c>
      <c r="OO2" s="1649" t="str">
        <f t="shared" si="1"/>
        <v>#NAME?</v>
      </c>
      <c r="OP2" s="1649" t="str">
        <f t="shared" si="1"/>
        <v>#NAME?</v>
      </c>
      <c r="OQ2" s="1650" t="str">
        <f t="shared" si="1"/>
        <v>#NAME?</v>
      </c>
      <c r="OR2" s="1650" t="str">
        <f t="shared" si="1"/>
        <v>#NAME?</v>
      </c>
      <c r="OS2" s="1650" t="str">
        <f t="shared" si="1"/>
        <v>#NAME?</v>
      </c>
      <c r="OT2" s="1648" t="str">
        <f t="shared" si="1"/>
        <v>#NAME?</v>
      </c>
      <c r="OU2" s="1648" t="str">
        <f t="shared" si="1"/>
        <v>#NAME?</v>
      </c>
      <c r="OV2" s="1650" t="str">
        <f t="shared" si="1"/>
        <v>#NAME?</v>
      </c>
      <c r="OW2" s="1650" t="str">
        <f t="shared" si="1"/>
        <v>#NAME?</v>
      </c>
      <c r="OX2" s="1656" t="str">
        <f t="shared" si="1"/>
        <v>#NAME?</v>
      </c>
      <c r="OY2" s="1656" t="str">
        <f t="shared" si="1"/>
        <v>#NAME?</v>
      </c>
      <c r="OZ2" s="1648" t="str">
        <f t="shared" si="1"/>
        <v>#NAME?</v>
      </c>
      <c r="PA2" s="1648" t="str">
        <f t="shared" si="1"/>
        <v>#NAME?</v>
      </c>
      <c r="PB2" s="1653" t="str">
        <f t="shared" si="1"/>
        <v>#NAME?</v>
      </c>
      <c r="PC2" s="1655" t="str">
        <f t="shared" si="1"/>
        <v>#NAME?</v>
      </c>
      <c r="PD2" s="1653" t="str">
        <f t="shared" si="1"/>
        <v>#NAME?</v>
      </c>
      <c r="PE2" s="1653" t="str">
        <f t="shared" si="1"/>
        <v>#NAME?</v>
      </c>
      <c r="PF2" s="1653" t="str">
        <f t="shared" si="1"/>
        <v>#NAME?</v>
      </c>
      <c r="PG2" s="1658" t="str">
        <f t="shared" si="1"/>
        <v>#NAME?</v>
      </c>
      <c r="PH2" s="1652" t="str">
        <f t="shared" si="1"/>
        <v>#NAME?</v>
      </c>
      <c r="PI2" s="1652" t="str">
        <f t="shared" si="1"/>
        <v>#NAME?</v>
      </c>
      <c r="PJ2" s="1655" t="str">
        <f t="shared" si="1"/>
        <v>#NAME?</v>
      </c>
      <c r="PK2" s="1655" t="str">
        <f t="shared" si="1"/>
        <v>#NAME?</v>
      </c>
      <c r="PL2" s="1654" t="str">
        <f t="shared" si="1"/>
        <v>#NAME?</v>
      </c>
      <c r="PM2" s="1654" t="str">
        <f t="shared" si="1"/>
        <v>#NAME?</v>
      </c>
      <c r="PN2" s="1654" t="str">
        <f t="shared" si="1"/>
        <v>#NAME?</v>
      </c>
      <c r="PO2" s="1654" t="str">
        <f t="shared" si="1"/>
        <v>#NAME?</v>
      </c>
      <c r="PP2" s="1654" t="str">
        <f t="shared" si="1"/>
        <v>#NAME?</v>
      </c>
      <c r="PQ2" s="1652" t="str">
        <f t="shared" si="1"/>
        <v>#NAME?</v>
      </c>
      <c r="PR2" s="1652" t="str">
        <f t="shared" si="1"/>
        <v>#NAME?</v>
      </c>
      <c r="PS2" s="1654" t="str">
        <f t="shared" si="1"/>
        <v>#NAME?</v>
      </c>
      <c r="PT2" s="1657" t="str">
        <f t="shared" si="1"/>
        <v>#NAME?</v>
      </c>
      <c r="PU2" s="1656" t="str">
        <f t="shared" si="1"/>
        <v>#NAME?</v>
      </c>
      <c r="PV2" s="1656" t="str">
        <f t="shared" si="1"/>
        <v>#NAME?</v>
      </c>
      <c r="PW2" s="1653" t="str">
        <f t="shared" si="1"/>
        <v>#NAME?</v>
      </c>
      <c r="PX2" s="1654" t="str">
        <f t="shared" si="1"/>
        <v>#NAME?</v>
      </c>
      <c r="PY2" s="1654" t="str">
        <f t="shared" si="1"/>
        <v>#NAME?</v>
      </c>
      <c r="PZ2" s="1648" t="str">
        <f t="shared" si="1"/>
        <v>#NAME?</v>
      </c>
      <c r="QA2" s="1648" t="str">
        <f t="shared" si="1"/>
        <v>#NAME?</v>
      </c>
      <c r="QB2" s="1652" t="str">
        <f t="shared" si="1"/>
        <v>#NAME?</v>
      </c>
      <c r="QC2" s="1655" t="str">
        <f t="shared" si="1"/>
        <v>#NAME?</v>
      </c>
      <c r="QD2" s="1655" t="str">
        <f t="shared" si="1"/>
        <v>#NAME?</v>
      </c>
      <c r="QE2" s="1657" t="str">
        <f t="shared" si="1"/>
        <v>#NAME?</v>
      </c>
      <c r="QF2" s="1654" t="str">
        <f t="shared" si="1"/>
        <v>#NAME?</v>
      </c>
      <c r="QG2" s="1650" t="str">
        <f t="shared" si="1"/>
        <v>#NAME?</v>
      </c>
      <c r="QH2" s="1650" t="str">
        <f t="shared" si="1"/>
        <v>#NAME?</v>
      </c>
      <c r="QI2" s="1650" t="str">
        <f t="shared" si="1"/>
        <v>#NAME?</v>
      </c>
      <c r="QJ2" s="1657" t="str">
        <f t="shared" si="1"/>
        <v>#NAME?</v>
      </c>
      <c r="QK2" s="1650" t="str">
        <f t="shared" si="1"/>
        <v>#NAME?</v>
      </c>
      <c r="QL2" s="1650" t="str">
        <f t="shared" si="1"/>
        <v>#NAME?</v>
      </c>
      <c r="QM2" s="1652" t="str">
        <f t="shared" si="1"/>
        <v>#NAME?</v>
      </c>
      <c r="QN2" s="1652" t="str">
        <f t="shared" si="1"/>
        <v>#NAME?</v>
      </c>
      <c r="QO2" s="1654" t="str">
        <f t="shared" si="1"/>
        <v>#NAME?</v>
      </c>
      <c r="QP2" s="1654" t="str">
        <f t="shared" si="1"/>
        <v>#NAME?</v>
      </c>
      <c r="QQ2" s="1650" t="str">
        <f t="shared" si="1"/>
        <v>#NAME?</v>
      </c>
      <c r="QR2" s="1650" t="str">
        <f t="shared" si="1"/>
        <v>#NAME?</v>
      </c>
      <c r="QS2" s="1648" t="str">
        <f t="shared" si="1"/>
        <v>#NAME?</v>
      </c>
      <c r="QT2" s="1650" t="str">
        <f t="shared" si="1"/>
        <v>#NAME?</v>
      </c>
      <c r="QU2" s="1650" t="str">
        <f t="shared" si="1"/>
        <v>#NAME?</v>
      </c>
      <c r="QV2" s="1650" t="str">
        <f t="shared" si="1"/>
        <v>#NAME?</v>
      </c>
      <c r="QW2" s="1658" t="str">
        <f t="shared" si="1"/>
        <v>#NAME?</v>
      </c>
      <c r="QX2" s="1658" t="str">
        <f t="shared" si="1"/>
        <v>#NAME?</v>
      </c>
      <c r="QY2" s="1657" t="str">
        <f t="shared" si="1"/>
        <v>#NAME?</v>
      </c>
      <c r="QZ2" s="1656" t="str">
        <f t="shared" si="1"/>
        <v>#NAME?</v>
      </c>
      <c r="RA2" s="1655" t="str">
        <f t="shared" si="1"/>
        <v>#NAME?</v>
      </c>
      <c r="RB2" s="1656" t="str">
        <f t="shared" si="1"/>
        <v>#NAME?</v>
      </c>
      <c r="RC2" s="1650" t="str">
        <f t="shared" si="1"/>
        <v>#NAME?</v>
      </c>
      <c r="RD2" s="1653" t="str">
        <f t="shared" si="1"/>
        <v>#NAME?</v>
      </c>
      <c r="RE2" s="1649" t="str">
        <f t="shared" si="1"/>
        <v>#NAME?</v>
      </c>
      <c r="RF2" s="1658" t="str">
        <f t="shared" si="1"/>
        <v>#NAME?</v>
      </c>
      <c r="RG2" s="1648" t="str">
        <f t="shared" si="1"/>
        <v>#NAME?</v>
      </c>
      <c r="RH2" s="1648" t="str">
        <f t="shared" si="1"/>
        <v>#NAME?</v>
      </c>
      <c r="RI2" s="1650" t="str">
        <f t="shared" si="1"/>
        <v>#NAME?</v>
      </c>
      <c r="RJ2" s="1654" t="str">
        <f t="shared" si="1"/>
        <v>#NAME?</v>
      </c>
      <c r="RK2" s="1652" t="str">
        <f t="shared" si="1"/>
        <v>#NAME?</v>
      </c>
      <c r="RL2" s="1649" t="str">
        <f t="shared" si="1"/>
        <v>#NAME?</v>
      </c>
      <c r="RM2" s="1658" t="str">
        <f t="shared" si="1"/>
        <v>#NAME?</v>
      </c>
      <c r="RN2" s="1656" t="str">
        <f t="shared" si="1"/>
        <v>#NAME?</v>
      </c>
      <c r="RO2" s="1657" t="str">
        <f t="shared" si="1"/>
        <v>#NAME?</v>
      </c>
      <c r="RP2" s="1651" t="str">
        <f t="shared" si="1"/>
        <v>#NAME?</v>
      </c>
      <c r="RQ2" s="1649" t="str">
        <f t="shared" si="1"/>
        <v>#NAME?</v>
      </c>
      <c r="RR2" s="1649" t="str">
        <f t="shared" si="1"/>
        <v>#NAME?</v>
      </c>
      <c r="RS2" s="1649" t="str">
        <f t="shared" si="1"/>
        <v>#NAME?</v>
      </c>
      <c r="RT2" s="1649" t="str">
        <f t="shared" si="1"/>
        <v>#NAME?</v>
      </c>
      <c r="RU2" s="1649" t="str">
        <f t="shared" si="1"/>
        <v>#NAME?</v>
      </c>
      <c r="RV2" s="1649" t="str">
        <f t="shared" si="1"/>
        <v>#NAME?</v>
      </c>
      <c r="RW2" s="1653" t="str">
        <f t="shared" si="1"/>
        <v>#NAME?</v>
      </c>
      <c r="RX2" s="1655" t="str">
        <f t="shared" si="1"/>
        <v>#NAME?</v>
      </c>
      <c r="RY2" s="1650" t="str">
        <f t="shared" si="1"/>
        <v>#NAME?</v>
      </c>
      <c r="RZ2" s="1658" t="str">
        <f t="shared" si="1"/>
        <v>#NAME?</v>
      </c>
      <c r="SA2" s="1654" t="str">
        <f t="shared" si="1"/>
        <v>#NAME?</v>
      </c>
      <c r="SB2" s="1652" t="str">
        <f t="shared" si="1"/>
        <v>#NAME?</v>
      </c>
      <c r="SC2" s="1658" t="str">
        <f t="shared" si="1"/>
        <v>#NAME?</v>
      </c>
      <c r="SD2" s="1657" t="str">
        <f t="shared" si="1"/>
        <v>#NAME?</v>
      </c>
      <c r="SE2" s="1657" t="str">
        <f t="shared" si="1"/>
        <v>#NAME?</v>
      </c>
      <c r="SF2" s="1653" t="str">
        <f t="shared" si="1"/>
        <v>#NAME?</v>
      </c>
      <c r="SG2" s="1650" t="str">
        <f t="shared" si="1"/>
        <v>#NAME?</v>
      </c>
      <c r="SH2" s="1650" t="str">
        <f t="shared" si="1"/>
        <v>#NAME?</v>
      </c>
      <c r="SI2" s="1657" t="str">
        <f t="shared" si="1"/>
        <v>#NAME?</v>
      </c>
      <c r="SJ2" s="1648" t="str">
        <f t="shared" si="1"/>
        <v>#NAME?</v>
      </c>
      <c r="SK2" s="1648" t="str">
        <f t="shared" si="1"/>
        <v>#NAME?</v>
      </c>
      <c r="SL2" s="1656" t="str">
        <f t="shared" si="1"/>
        <v>#NAME?</v>
      </c>
    </row>
    <row r="3" ht="15.75" customHeight="1">
      <c r="A3" s="1659" t="s">
        <v>5815</v>
      </c>
      <c r="B3" s="1648" t="s">
        <v>5816</v>
      </c>
      <c r="C3" s="1648" t="s">
        <v>5816</v>
      </c>
      <c r="D3" s="1648" t="s">
        <v>5816</v>
      </c>
      <c r="E3" s="1649" t="s">
        <v>5816</v>
      </c>
      <c r="F3" s="1649" t="s">
        <v>5816</v>
      </c>
      <c r="G3" s="1649" t="s">
        <v>5816</v>
      </c>
      <c r="H3" s="1650" t="s">
        <v>5816</v>
      </c>
      <c r="I3" s="1650" t="s">
        <v>5816</v>
      </c>
      <c r="J3" s="1650" t="s">
        <v>5816</v>
      </c>
      <c r="K3" s="1648" t="s">
        <v>5816</v>
      </c>
      <c r="L3" s="1648" t="s">
        <v>5816</v>
      </c>
      <c r="M3" s="1651" t="s">
        <v>5816</v>
      </c>
      <c r="N3" s="1652" t="s">
        <v>5816</v>
      </c>
      <c r="O3" s="1653" t="s">
        <v>5816</v>
      </c>
      <c r="P3" s="1653" t="s">
        <v>5816</v>
      </c>
      <c r="Q3" s="1652" t="s">
        <v>5816</v>
      </c>
      <c r="R3" s="1652" t="s">
        <v>5816</v>
      </c>
      <c r="S3" s="1652" t="s">
        <v>5816</v>
      </c>
      <c r="T3" s="1654" t="s">
        <v>5816</v>
      </c>
      <c r="U3" s="1652" t="s">
        <v>5816</v>
      </c>
      <c r="V3" s="1652" t="s">
        <v>5816</v>
      </c>
      <c r="W3" s="1652" t="s">
        <v>5816</v>
      </c>
      <c r="X3" s="1654" t="s">
        <v>5816</v>
      </c>
      <c r="Y3" s="1654" t="s">
        <v>5816</v>
      </c>
      <c r="Z3" s="1653" t="s">
        <v>5816</v>
      </c>
      <c r="AA3" s="1653" t="s">
        <v>5816</v>
      </c>
      <c r="AB3" s="1653" t="s">
        <v>5816</v>
      </c>
      <c r="AC3" s="1653" t="s">
        <v>5816</v>
      </c>
      <c r="AD3" s="1650" t="s">
        <v>5816</v>
      </c>
      <c r="AE3" s="1650" t="s">
        <v>5816</v>
      </c>
      <c r="AF3" s="1650" t="s">
        <v>5816</v>
      </c>
      <c r="AG3" s="1654" t="s">
        <v>5816</v>
      </c>
      <c r="AH3" s="1654" t="s">
        <v>5816</v>
      </c>
      <c r="AI3" s="1654" t="s">
        <v>5816</v>
      </c>
      <c r="AJ3" s="1655" t="s">
        <v>5816</v>
      </c>
      <c r="AK3" s="1655" t="s">
        <v>5816</v>
      </c>
      <c r="AL3" s="1652" t="s">
        <v>5816</v>
      </c>
      <c r="AM3" s="1653" t="s">
        <v>5816</v>
      </c>
      <c r="AN3" s="1655" t="s">
        <v>5816</v>
      </c>
      <c r="AO3" s="1655" t="s">
        <v>5816</v>
      </c>
      <c r="AP3" s="1654" t="s">
        <v>5816</v>
      </c>
      <c r="AQ3" s="1654" t="s">
        <v>5816</v>
      </c>
      <c r="AR3" s="1650" t="s">
        <v>5816</v>
      </c>
      <c r="AS3" s="1650" t="s">
        <v>5816</v>
      </c>
      <c r="AT3" s="1649" t="s">
        <v>5816</v>
      </c>
      <c r="AU3" s="1649" t="s">
        <v>5816</v>
      </c>
      <c r="AV3" s="1649" t="s">
        <v>5816</v>
      </c>
      <c r="AW3" s="1654" t="s">
        <v>5816</v>
      </c>
      <c r="AX3" s="1654" t="s">
        <v>5816</v>
      </c>
      <c r="AY3" s="1652" t="s">
        <v>5816</v>
      </c>
      <c r="AZ3" s="1652" t="s">
        <v>5816</v>
      </c>
      <c r="BA3" s="1653" t="s">
        <v>5816</v>
      </c>
      <c r="BB3" s="1653" t="s">
        <v>5816</v>
      </c>
      <c r="BC3" s="1653" t="s">
        <v>5816</v>
      </c>
      <c r="BD3" s="1650" t="s">
        <v>5816</v>
      </c>
      <c r="BE3" s="1652" t="s">
        <v>5816</v>
      </c>
      <c r="BF3" s="1652" t="s">
        <v>5816</v>
      </c>
      <c r="BG3" s="1652" t="s">
        <v>5816</v>
      </c>
      <c r="BH3" s="1652" t="s">
        <v>5816</v>
      </c>
      <c r="BI3" s="1650" t="s">
        <v>5816</v>
      </c>
      <c r="BJ3" s="1650" t="s">
        <v>5816</v>
      </c>
      <c r="BK3" s="1650" t="s">
        <v>5816</v>
      </c>
      <c r="BL3" s="1652" t="s">
        <v>5816</v>
      </c>
      <c r="BM3" s="1652" t="s">
        <v>5816</v>
      </c>
      <c r="BN3" s="1652" t="s">
        <v>5816</v>
      </c>
      <c r="BO3" s="1656" t="s">
        <v>5816</v>
      </c>
      <c r="BP3" s="1656" t="s">
        <v>5816</v>
      </c>
      <c r="BQ3" s="1656" t="s">
        <v>5816</v>
      </c>
      <c r="BR3" s="1648" t="s">
        <v>5816</v>
      </c>
      <c r="BS3" s="1648" t="s">
        <v>5816</v>
      </c>
      <c r="BT3" s="1648" t="s">
        <v>5816</v>
      </c>
      <c r="BU3" s="1650" t="s">
        <v>5816</v>
      </c>
      <c r="BV3" s="1650" t="s">
        <v>5816</v>
      </c>
      <c r="BW3" s="1652" t="s">
        <v>5816</v>
      </c>
      <c r="BX3" s="1652" t="s">
        <v>5816</v>
      </c>
      <c r="BY3" s="1652" t="s">
        <v>5816</v>
      </c>
      <c r="BZ3" s="1653" t="s">
        <v>5816</v>
      </c>
      <c r="CA3" s="1653" t="s">
        <v>5816</v>
      </c>
      <c r="CB3" s="1655" t="s">
        <v>5816</v>
      </c>
      <c r="CC3" s="1655" t="s">
        <v>5816</v>
      </c>
      <c r="CD3" s="1656" t="s">
        <v>5816</v>
      </c>
      <c r="CE3" s="1656" t="s">
        <v>5816</v>
      </c>
      <c r="CF3" s="1652" t="s">
        <v>5816</v>
      </c>
      <c r="CG3" s="1652" t="s">
        <v>5816</v>
      </c>
      <c r="CH3" s="1652" t="s">
        <v>5816</v>
      </c>
      <c r="CI3" s="1651" t="s">
        <v>5816</v>
      </c>
      <c r="CJ3" s="1651" t="s">
        <v>5816</v>
      </c>
      <c r="CK3" s="1654" t="s">
        <v>5816</v>
      </c>
      <c r="CL3" s="1654" t="s">
        <v>5816</v>
      </c>
      <c r="CM3" s="1654" t="s">
        <v>5816</v>
      </c>
      <c r="CN3" s="1654" t="s">
        <v>5816</v>
      </c>
      <c r="CO3" s="1654" t="s">
        <v>5816</v>
      </c>
      <c r="CP3" s="1654" t="s">
        <v>5816</v>
      </c>
      <c r="CQ3" s="1654" t="s">
        <v>5816</v>
      </c>
      <c r="CR3" s="1656" t="s">
        <v>5816</v>
      </c>
      <c r="CS3" s="1653" t="s">
        <v>5816</v>
      </c>
      <c r="CT3" s="1653" t="s">
        <v>5816</v>
      </c>
      <c r="CU3" s="1649" t="s">
        <v>5816</v>
      </c>
      <c r="CV3" s="1649" t="s">
        <v>5816</v>
      </c>
      <c r="CW3" s="1649" t="s">
        <v>5816</v>
      </c>
      <c r="CX3" s="1649" t="s">
        <v>5816</v>
      </c>
      <c r="CY3" s="1655" t="s">
        <v>5816</v>
      </c>
      <c r="CZ3" s="1653" t="s">
        <v>5816</v>
      </c>
      <c r="DA3" s="1652" t="s">
        <v>5816</v>
      </c>
      <c r="DB3" s="1652" t="s">
        <v>5816</v>
      </c>
      <c r="DC3" s="1652" t="s">
        <v>5816</v>
      </c>
      <c r="DD3" s="1652" t="s">
        <v>5816</v>
      </c>
      <c r="DE3" s="1655" t="s">
        <v>5816</v>
      </c>
      <c r="DF3" s="1654" t="s">
        <v>5816</v>
      </c>
      <c r="DG3" s="1654" t="s">
        <v>5816</v>
      </c>
      <c r="DH3" s="1656" t="s">
        <v>5816</v>
      </c>
      <c r="DI3" s="1656" t="s">
        <v>5816</v>
      </c>
      <c r="DJ3" s="1655" t="s">
        <v>5816</v>
      </c>
      <c r="DK3" s="1650" t="s">
        <v>5816</v>
      </c>
      <c r="DL3" s="1652" t="s">
        <v>5816</v>
      </c>
      <c r="DM3" s="1650" t="s">
        <v>5816</v>
      </c>
      <c r="DN3" s="1650" t="s">
        <v>5816</v>
      </c>
      <c r="DO3" s="1649" t="s">
        <v>5816</v>
      </c>
      <c r="DP3" s="1649" t="s">
        <v>5816</v>
      </c>
      <c r="DQ3" s="1652" t="s">
        <v>5816</v>
      </c>
      <c r="DR3" s="1654" t="s">
        <v>5816</v>
      </c>
      <c r="DS3" s="1655" t="s">
        <v>5816</v>
      </c>
      <c r="DT3" s="1648" t="s">
        <v>5816</v>
      </c>
      <c r="DU3" s="1649" t="s">
        <v>5816</v>
      </c>
      <c r="DV3" s="1653" t="s">
        <v>5816</v>
      </c>
      <c r="DW3" s="1649" t="s">
        <v>5816</v>
      </c>
      <c r="DX3" s="1652" t="s">
        <v>5816</v>
      </c>
      <c r="DY3" s="1652" t="s">
        <v>5816</v>
      </c>
      <c r="DZ3" s="1649" t="s">
        <v>5816</v>
      </c>
      <c r="EA3" s="1650" t="s">
        <v>5816</v>
      </c>
      <c r="EB3" s="1650" t="s">
        <v>5816</v>
      </c>
      <c r="EC3" s="1654" t="s">
        <v>5816</v>
      </c>
      <c r="ED3" s="1652" t="s">
        <v>5816</v>
      </c>
      <c r="EE3" s="1650" t="s">
        <v>5816</v>
      </c>
      <c r="EF3" s="1653" t="s">
        <v>5816</v>
      </c>
      <c r="EG3" s="1649" t="s">
        <v>5816</v>
      </c>
      <c r="EH3" s="1655" t="s">
        <v>5816</v>
      </c>
      <c r="EI3" s="1650" t="s">
        <v>5816</v>
      </c>
      <c r="EJ3" s="1650" t="s">
        <v>5816</v>
      </c>
      <c r="EK3" s="1652" t="s">
        <v>5816</v>
      </c>
      <c r="EL3" s="1652" t="s">
        <v>5816</v>
      </c>
      <c r="EM3" s="1654" t="s">
        <v>5816</v>
      </c>
      <c r="EN3" s="1657" t="s">
        <v>5816</v>
      </c>
      <c r="EO3" s="1650" t="s">
        <v>5816</v>
      </c>
      <c r="EP3" s="1653" t="s">
        <v>5816</v>
      </c>
      <c r="EQ3" s="1653" t="s">
        <v>5816</v>
      </c>
      <c r="ER3" s="1650" t="s">
        <v>5816</v>
      </c>
      <c r="ES3" s="1650" t="s">
        <v>5816</v>
      </c>
      <c r="ET3" s="1652" t="s">
        <v>5816</v>
      </c>
      <c r="EU3" s="1654" t="s">
        <v>5816</v>
      </c>
      <c r="EV3" s="1655" t="s">
        <v>5816</v>
      </c>
      <c r="EW3" s="1648" t="s">
        <v>5816</v>
      </c>
      <c r="EX3" s="1648" t="s">
        <v>5816</v>
      </c>
      <c r="EY3" s="1648" t="s">
        <v>5816</v>
      </c>
      <c r="EZ3" s="1653" t="s">
        <v>5816</v>
      </c>
      <c r="FA3" s="1653" t="s">
        <v>5816</v>
      </c>
      <c r="FB3" s="1653" t="s">
        <v>5816</v>
      </c>
      <c r="FC3" s="1650" t="s">
        <v>5816</v>
      </c>
      <c r="FD3" s="1650" t="s">
        <v>5816</v>
      </c>
      <c r="FE3" s="1650" t="s">
        <v>5816</v>
      </c>
      <c r="FF3" s="1652" t="s">
        <v>5816</v>
      </c>
      <c r="FG3" s="1652" t="s">
        <v>5816</v>
      </c>
      <c r="FH3" s="1652" t="s">
        <v>5816</v>
      </c>
      <c r="FI3" s="1652" t="s">
        <v>5816</v>
      </c>
      <c r="FJ3" s="1649" t="s">
        <v>5816</v>
      </c>
      <c r="FK3" s="1649" t="s">
        <v>5816</v>
      </c>
      <c r="FL3" s="1648" t="s">
        <v>5816</v>
      </c>
      <c r="FM3" s="1649" t="s">
        <v>5816</v>
      </c>
      <c r="FN3" s="1654" t="s">
        <v>5816</v>
      </c>
      <c r="FO3" s="1650" t="s">
        <v>5816</v>
      </c>
      <c r="FP3" s="1650" t="s">
        <v>5816</v>
      </c>
      <c r="FQ3" s="1653" t="s">
        <v>5816</v>
      </c>
      <c r="FR3" s="1655" t="s">
        <v>5816</v>
      </c>
      <c r="FS3" s="1655" t="s">
        <v>5816</v>
      </c>
      <c r="FT3" s="1651" t="s">
        <v>5816</v>
      </c>
      <c r="FU3" s="1658" t="s">
        <v>5816</v>
      </c>
      <c r="FV3" s="1648" t="s">
        <v>5816</v>
      </c>
      <c r="FW3" s="1648" t="s">
        <v>5816</v>
      </c>
      <c r="FX3" s="1658" t="s">
        <v>5816</v>
      </c>
      <c r="FY3" s="1655" t="s">
        <v>5816</v>
      </c>
      <c r="FZ3" s="1653" t="s">
        <v>5816</v>
      </c>
      <c r="GA3" s="1648" t="s">
        <v>5816</v>
      </c>
      <c r="GB3" s="1650" t="s">
        <v>5816</v>
      </c>
      <c r="GC3" s="1650" t="s">
        <v>5816</v>
      </c>
      <c r="GD3" s="1652" t="s">
        <v>5816</v>
      </c>
      <c r="GE3" s="1648" t="s">
        <v>5816</v>
      </c>
      <c r="GF3" s="1655" t="s">
        <v>5816</v>
      </c>
      <c r="GG3" s="1648" t="s">
        <v>5816</v>
      </c>
      <c r="GH3" s="1650" t="s">
        <v>5816</v>
      </c>
      <c r="GI3" s="1654" t="s">
        <v>5816</v>
      </c>
      <c r="GJ3" s="1653" t="s">
        <v>5816</v>
      </c>
      <c r="GK3" s="1653" t="s">
        <v>5816</v>
      </c>
      <c r="GL3" s="1649" t="s">
        <v>5816</v>
      </c>
      <c r="GM3" s="1650" t="s">
        <v>5816</v>
      </c>
      <c r="GN3" s="1650" t="s">
        <v>5816</v>
      </c>
      <c r="GO3" s="1654" t="s">
        <v>5816</v>
      </c>
      <c r="GP3" s="1657" t="s">
        <v>5816</v>
      </c>
      <c r="GQ3" s="1657" t="s">
        <v>5816</v>
      </c>
      <c r="GR3" s="1655" t="s">
        <v>5816</v>
      </c>
      <c r="GS3" s="1656" t="s">
        <v>5816</v>
      </c>
      <c r="GT3" s="1657" t="s">
        <v>5816</v>
      </c>
      <c r="GU3" s="1650" t="s">
        <v>5816</v>
      </c>
      <c r="GV3" s="1653" t="s">
        <v>5816</v>
      </c>
      <c r="GW3" s="1656" t="s">
        <v>5816</v>
      </c>
      <c r="GX3" s="1654" t="s">
        <v>5816</v>
      </c>
      <c r="GY3" s="1653" t="s">
        <v>5816</v>
      </c>
      <c r="GZ3" s="1654" t="s">
        <v>5816</v>
      </c>
      <c r="HA3" s="1656" t="s">
        <v>5816</v>
      </c>
      <c r="HB3" s="1655" t="s">
        <v>5816</v>
      </c>
      <c r="HC3" s="1654" t="s">
        <v>5816</v>
      </c>
      <c r="HD3" s="1656" t="s">
        <v>5816</v>
      </c>
      <c r="HE3" s="1649" t="s">
        <v>5816</v>
      </c>
      <c r="HF3" s="1653" t="s">
        <v>5816</v>
      </c>
      <c r="HG3" s="1650" t="s">
        <v>5816</v>
      </c>
      <c r="HH3" s="1657" t="s">
        <v>5816</v>
      </c>
      <c r="HI3" s="1652" t="s">
        <v>5816</v>
      </c>
      <c r="HJ3" s="1652" t="s">
        <v>5816</v>
      </c>
      <c r="HK3" s="1649" t="s">
        <v>5816</v>
      </c>
      <c r="HL3" s="1649" t="s">
        <v>5816</v>
      </c>
      <c r="HM3" s="1652" t="s">
        <v>5816</v>
      </c>
      <c r="HN3" s="1652" t="s">
        <v>5816</v>
      </c>
      <c r="HO3" s="1655" t="s">
        <v>5816</v>
      </c>
      <c r="HP3" s="1656" t="s">
        <v>5816</v>
      </c>
      <c r="HQ3" s="1649" t="s">
        <v>5816</v>
      </c>
      <c r="HR3" s="1649" t="s">
        <v>5816</v>
      </c>
      <c r="HS3" s="1654" t="s">
        <v>5816</v>
      </c>
      <c r="HT3" s="1656" t="s">
        <v>5816</v>
      </c>
      <c r="HU3" s="1657" t="s">
        <v>5816</v>
      </c>
      <c r="HV3" s="1657" t="s">
        <v>5816</v>
      </c>
      <c r="HW3" s="1650" t="s">
        <v>5816</v>
      </c>
      <c r="HX3" s="1650" t="s">
        <v>5816</v>
      </c>
      <c r="HY3" s="1656" t="s">
        <v>5816</v>
      </c>
      <c r="HZ3" s="1649" t="s">
        <v>5816</v>
      </c>
      <c r="IA3" s="1652" t="s">
        <v>5816</v>
      </c>
      <c r="IB3" s="1658" t="s">
        <v>5816</v>
      </c>
      <c r="IC3" s="1654" t="s">
        <v>5816</v>
      </c>
      <c r="ID3" s="1652" t="s">
        <v>5816</v>
      </c>
      <c r="IE3" s="1655" t="s">
        <v>5816</v>
      </c>
      <c r="IF3" s="1653" t="s">
        <v>5816</v>
      </c>
      <c r="IG3" s="1649" t="s">
        <v>5816</v>
      </c>
      <c r="IH3" s="1655" t="s">
        <v>5816</v>
      </c>
      <c r="II3" s="1655" t="s">
        <v>5816</v>
      </c>
      <c r="IJ3" s="1653" t="s">
        <v>5816</v>
      </c>
      <c r="IK3" s="1652" t="s">
        <v>5816</v>
      </c>
      <c r="IL3" s="1650" t="s">
        <v>5816</v>
      </c>
      <c r="IM3" s="1648" t="s">
        <v>5816</v>
      </c>
      <c r="IN3" s="1656" t="s">
        <v>5816</v>
      </c>
      <c r="IO3" s="1648" t="s">
        <v>5816</v>
      </c>
      <c r="IP3" s="1658" t="s">
        <v>5816</v>
      </c>
      <c r="IQ3" s="1649" t="s">
        <v>5816</v>
      </c>
      <c r="IR3" s="1648" t="s">
        <v>5816</v>
      </c>
      <c r="IS3" s="1648" t="s">
        <v>5816</v>
      </c>
      <c r="IT3" s="1648" t="s">
        <v>5816</v>
      </c>
      <c r="IU3" s="1648" t="s">
        <v>5816</v>
      </c>
      <c r="IV3" s="1649" t="s">
        <v>5816</v>
      </c>
      <c r="IW3" s="1649" t="s">
        <v>5816</v>
      </c>
      <c r="IX3" s="1649" t="s">
        <v>5816</v>
      </c>
      <c r="IY3" s="1650" t="s">
        <v>5816</v>
      </c>
      <c r="IZ3" s="1650" t="s">
        <v>5816</v>
      </c>
      <c r="JA3" s="1650" t="s">
        <v>5816</v>
      </c>
      <c r="JB3" s="1656" t="s">
        <v>5816</v>
      </c>
      <c r="JC3" s="1656" t="s">
        <v>5816</v>
      </c>
      <c r="JD3" s="1652" t="s">
        <v>5816</v>
      </c>
      <c r="JE3" s="1658" t="s">
        <v>5816</v>
      </c>
      <c r="JF3" s="1649" t="s">
        <v>5816</v>
      </c>
      <c r="JG3" s="1658" t="s">
        <v>5816</v>
      </c>
      <c r="JH3" s="1653" t="s">
        <v>5816</v>
      </c>
      <c r="JI3" s="1654" t="s">
        <v>5816</v>
      </c>
      <c r="JJ3" s="1648" t="s">
        <v>5816</v>
      </c>
      <c r="JK3" s="1648" t="s">
        <v>5816</v>
      </c>
      <c r="JL3" s="1648" t="s">
        <v>5816</v>
      </c>
      <c r="JM3" s="1648" t="s">
        <v>5816</v>
      </c>
      <c r="JN3" s="1652" t="s">
        <v>5816</v>
      </c>
      <c r="JO3" s="1652" t="s">
        <v>5816</v>
      </c>
      <c r="JP3" s="1652" t="s">
        <v>5816</v>
      </c>
      <c r="JQ3" s="1650" t="s">
        <v>5816</v>
      </c>
      <c r="JR3" s="1650" t="s">
        <v>5816</v>
      </c>
      <c r="JS3" s="1658" t="s">
        <v>5816</v>
      </c>
      <c r="JT3" s="1653" t="s">
        <v>5816</v>
      </c>
      <c r="JU3" s="1658" t="s">
        <v>5816</v>
      </c>
      <c r="JV3" s="1658" t="s">
        <v>5816</v>
      </c>
      <c r="JW3" s="1658" t="s">
        <v>5816</v>
      </c>
      <c r="JX3" s="1650" t="s">
        <v>5816</v>
      </c>
      <c r="JY3" s="1650" t="s">
        <v>5816</v>
      </c>
      <c r="JZ3" s="1652" t="s">
        <v>5816</v>
      </c>
      <c r="KA3" s="1648" t="s">
        <v>5816</v>
      </c>
      <c r="KB3" s="1652" t="s">
        <v>5816</v>
      </c>
      <c r="KC3" s="1658" t="s">
        <v>5816</v>
      </c>
      <c r="KD3" s="1652" t="s">
        <v>5816</v>
      </c>
      <c r="KE3" s="1656" t="s">
        <v>5816</v>
      </c>
      <c r="KF3" s="1653" t="s">
        <v>5816</v>
      </c>
      <c r="KG3" s="1652" t="s">
        <v>5816</v>
      </c>
      <c r="KH3" s="1655" t="s">
        <v>5816</v>
      </c>
      <c r="KI3" s="1650" t="s">
        <v>5816</v>
      </c>
      <c r="KJ3" s="1650" t="s">
        <v>5816</v>
      </c>
      <c r="KK3" s="1653" t="s">
        <v>5816</v>
      </c>
      <c r="KL3" s="1652" t="s">
        <v>5816</v>
      </c>
      <c r="KM3" s="1650" t="s">
        <v>5816</v>
      </c>
      <c r="KN3" s="1656" t="s">
        <v>5816</v>
      </c>
      <c r="KO3" s="1655" t="s">
        <v>5816</v>
      </c>
      <c r="KP3" s="1654" t="s">
        <v>5816</v>
      </c>
      <c r="KQ3" s="1654" t="s">
        <v>5816</v>
      </c>
      <c r="KR3" s="1657" t="s">
        <v>5816</v>
      </c>
      <c r="KS3" s="1656" t="s">
        <v>5816</v>
      </c>
      <c r="KT3" s="1656" t="s">
        <v>5816</v>
      </c>
      <c r="KU3" s="1656" t="s">
        <v>5816</v>
      </c>
      <c r="KV3" s="1650" t="s">
        <v>5816</v>
      </c>
      <c r="KW3" s="1649" t="s">
        <v>5816</v>
      </c>
      <c r="KX3" s="1648" t="s">
        <v>5816</v>
      </c>
      <c r="KY3" s="1653" t="s">
        <v>5816</v>
      </c>
      <c r="KZ3" s="1653" t="s">
        <v>5816</v>
      </c>
      <c r="LA3" s="1653" t="s">
        <v>5816</v>
      </c>
      <c r="LB3" s="1656" t="s">
        <v>5816</v>
      </c>
      <c r="LC3" s="1654" t="s">
        <v>5816</v>
      </c>
      <c r="LD3" s="1648" t="s">
        <v>5816</v>
      </c>
      <c r="LE3" s="1648" t="s">
        <v>5816</v>
      </c>
      <c r="LF3" s="1654" t="s">
        <v>5816</v>
      </c>
      <c r="LG3" s="1649" t="s">
        <v>5816</v>
      </c>
      <c r="LH3" s="1650" t="s">
        <v>5816</v>
      </c>
      <c r="LI3" s="1650" t="s">
        <v>5816</v>
      </c>
      <c r="LJ3" s="1650" t="s">
        <v>5816</v>
      </c>
      <c r="LK3" s="1653" t="s">
        <v>5816</v>
      </c>
      <c r="LL3" s="1649" t="s">
        <v>5816</v>
      </c>
      <c r="LM3" s="1652" t="s">
        <v>5816</v>
      </c>
      <c r="LN3" s="1657" t="s">
        <v>5816</v>
      </c>
      <c r="LO3" s="1654" t="s">
        <v>5816</v>
      </c>
      <c r="LP3" s="1652" t="s">
        <v>5816</v>
      </c>
      <c r="LQ3" s="1652" t="s">
        <v>5816</v>
      </c>
      <c r="LR3" s="1648" t="s">
        <v>5816</v>
      </c>
      <c r="LS3" s="1648" t="s">
        <v>5816</v>
      </c>
      <c r="LT3" s="1648" t="s">
        <v>5816</v>
      </c>
      <c r="LU3" s="1648" t="s">
        <v>5816</v>
      </c>
      <c r="LV3" s="1650" t="s">
        <v>5816</v>
      </c>
      <c r="LW3" s="1650" t="s">
        <v>5816</v>
      </c>
      <c r="LX3" s="1658" t="s">
        <v>5816</v>
      </c>
      <c r="LY3" s="1657" t="s">
        <v>5816</v>
      </c>
      <c r="LZ3" s="1653" t="s">
        <v>5816</v>
      </c>
      <c r="MA3" s="1649" t="s">
        <v>5816</v>
      </c>
      <c r="MB3" s="1656" t="s">
        <v>5816</v>
      </c>
      <c r="MC3" s="1650" t="s">
        <v>5816</v>
      </c>
      <c r="MD3" s="1649" t="s">
        <v>5816</v>
      </c>
      <c r="ME3" s="1649" t="s">
        <v>5816</v>
      </c>
      <c r="MF3" s="1652" t="s">
        <v>5816</v>
      </c>
      <c r="MG3" s="1657" t="s">
        <v>5816</v>
      </c>
      <c r="MH3" s="1654" t="s">
        <v>5816</v>
      </c>
      <c r="MI3" s="1648" t="s">
        <v>5816</v>
      </c>
      <c r="MJ3" s="1656" t="s">
        <v>5816</v>
      </c>
      <c r="MK3" s="1656" t="s">
        <v>5816</v>
      </c>
      <c r="ML3" s="1652" t="s">
        <v>5816</v>
      </c>
      <c r="MM3" s="1655" t="s">
        <v>5816</v>
      </c>
      <c r="MN3" s="1658" t="s">
        <v>5816</v>
      </c>
      <c r="MO3" s="1648" t="s">
        <v>5816</v>
      </c>
      <c r="MP3" s="1657" t="s">
        <v>5816</v>
      </c>
      <c r="MQ3" s="1657" t="s">
        <v>5816</v>
      </c>
      <c r="MR3" s="1657" t="s">
        <v>5816</v>
      </c>
      <c r="MS3" s="1657" t="s">
        <v>5816</v>
      </c>
      <c r="MT3" s="1648" t="s">
        <v>5816</v>
      </c>
      <c r="MU3" s="1650" t="s">
        <v>5816</v>
      </c>
      <c r="MV3" s="1658" t="s">
        <v>5816</v>
      </c>
      <c r="MW3" s="1650" t="s">
        <v>5816</v>
      </c>
      <c r="MX3" s="1656" t="s">
        <v>5816</v>
      </c>
      <c r="MY3" s="1656" t="s">
        <v>5816</v>
      </c>
      <c r="MZ3" s="1650" t="s">
        <v>5816</v>
      </c>
      <c r="NA3" s="1650" t="s">
        <v>5816</v>
      </c>
      <c r="NB3" s="1650" t="s">
        <v>5816</v>
      </c>
      <c r="NC3" s="1650" t="s">
        <v>5816</v>
      </c>
      <c r="ND3" s="1650" t="s">
        <v>5816</v>
      </c>
      <c r="NE3" s="1655" t="s">
        <v>5816</v>
      </c>
      <c r="NF3" s="1656" t="s">
        <v>5816</v>
      </c>
      <c r="NG3" s="1655" t="s">
        <v>5816</v>
      </c>
      <c r="NH3" s="1650" t="s">
        <v>5816</v>
      </c>
      <c r="NI3" s="1658" t="s">
        <v>5816</v>
      </c>
      <c r="NJ3" s="1650" t="s">
        <v>5816</v>
      </c>
      <c r="NK3" s="1650" t="s">
        <v>5816</v>
      </c>
      <c r="NL3" s="1650" t="s">
        <v>5816</v>
      </c>
      <c r="NM3" s="1650" t="s">
        <v>5816</v>
      </c>
      <c r="NN3" s="1652" t="s">
        <v>5816</v>
      </c>
      <c r="NO3" s="1650" t="s">
        <v>5816</v>
      </c>
      <c r="NP3" s="1656" t="s">
        <v>5816</v>
      </c>
      <c r="NQ3" s="1649" t="s">
        <v>5816</v>
      </c>
      <c r="NR3" s="1650" t="s">
        <v>5816</v>
      </c>
      <c r="NS3" s="1650" t="s">
        <v>5816</v>
      </c>
      <c r="NT3" s="1649" t="s">
        <v>5816</v>
      </c>
      <c r="NU3" s="1648" t="s">
        <v>5816</v>
      </c>
      <c r="NV3" s="1653" t="s">
        <v>5816</v>
      </c>
      <c r="NW3" s="1649" t="s">
        <v>5816</v>
      </c>
      <c r="NX3" s="1649" t="s">
        <v>5816</v>
      </c>
      <c r="NY3" s="1649" t="s">
        <v>5816</v>
      </c>
      <c r="NZ3" s="1649" t="s">
        <v>5816</v>
      </c>
      <c r="OA3" s="1648" t="s">
        <v>5816</v>
      </c>
      <c r="OB3" s="1648" t="s">
        <v>5816</v>
      </c>
      <c r="OC3" s="1648" t="s">
        <v>5816</v>
      </c>
      <c r="OD3" s="1652" t="s">
        <v>5816</v>
      </c>
      <c r="OE3" s="1652" t="s">
        <v>5816</v>
      </c>
      <c r="OF3" s="1652" t="s">
        <v>5816</v>
      </c>
      <c r="OG3" s="1650" t="s">
        <v>5816</v>
      </c>
      <c r="OH3" s="1650" t="s">
        <v>5816</v>
      </c>
      <c r="OI3" s="1650" t="s">
        <v>5816</v>
      </c>
      <c r="OJ3" s="1652" t="s">
        <v>5816</v>
      </c>
      <c r="OK3" s="1652" t="s">
        <v>5816</v>
      </c>
      <c r="OL3" s="1652" t="s">
        <v>5816</v>
      </c>
      <c r="OM3" s="1652" t="s">
        <v>5816</v>
      </c>
      <c r="ON3" s="1652" t="s">
        <v>5816</v>
      </c>
      <c r="OO3" s="1649" t="s">
        <v>5816</v>
      </c>
      <c r="OP3" s="1649" t="s">
        <v>5816</v>
      </c>
      <c r="OQ3" s="1650" t="s">
        <v>5816</v>
      </c>
      <c r="OR3" s="1650" t="s">
        <v>5816</v>
      </c>
      <c r="OS3" s="1650" t="s">
        <v>5816</v>
      </c>
      <c r="OT3" s="1648" t="s">
        <v>5816</v>
      </c>
      <c r="OU3" s="1648" t="s">
        <v>5816</v>
      </c>
      <c r="OV3" s="1650" t="s">
        <v>5816</v>
      </c>
      <c r="OW3" s="1650" t="s">
        <v>5816</v>
      </c>
      <c r="OX3" s="1656" t="s">
        <v>5816</v>
      </c>
      <c r="OY3" s="1656" t="s">
        <v>5816</v>
      </c>
      <c r="OZ3" s="1648" t="s">
        <v>5816</v>
      </c>
      <c r="PA3" s="1648" t="s">
        <v>5816</v>
      </c>
      <c r="PB3" s="1653" t="s">
        <v>5816</v>
      </c>
      <c r="PC3" s="1655" t="s">
        <v>5816</v>
      </c>
      <c r="PD3" s="1653" t="s">
        <v>5816</v>
      </c>
      <c r="PE3" s="1653" t="s">
        <v>5816</v>
      </c>
      <c r="PF3" s="1653" t="s">
        <v>5816</v>
      </c>
      <c r="PG3" s="1658" t="s">
        <v>5816</v>
      </c>
      <c r="PH3" s="1652" t="s">
        <v>5816</v>
      </c>
      <c r="PI3" s="1652" t="s">
        <v>5816</v>
      </c>
      <c r="PJ3" s="1655" t="s">
        <v>5816</v>
      </c>
      <c r="PK3" s="1655" t="s">
        <v>5816</v>
      </c>
      <c r="PL3" s="1654" t="s">
        <v>5816</v>
      </c>
      <c r="PM3" s="1654" t="s">
        <v>5816</v>
      </c>
      <c r="PN3" s="1654" t="s">
        <v>5816</v>
      </c>
      <c r="PO3" s="1654" t="s">
        <v>5816</v>
      </c>
      <c r="PP3" s="1654" t="s">
        <v>5816</v>
      </c>
      <c r="PQ3" s="1652" t="s">
        <v>5816</v>
      </c>
      <c r="PR3" s="1652" t="s">
        <v>5816</v>
      </c>
      <c r="PS3" s="1654" t="s">
        <v>5816</v>
      </c>
      <c r="PT3" s="1657" t="s">
        <v>5816</v>
      </c>
      <c r="PU3" s="1656" t="s">
        <v>5816</v>
      </c>
      <c r="PV3" s="1656" t="s">
        <v>5816</v>
      </c>
      <c r="PW3" s="1653" t="s">
        <v>5816</v>
      </c>
      <c r="PX3" s="1654" t="s">
        <v>5816</v>
      </c>
      <c r="PY3" s="1654" t="s">
        <v>5816</v>
      </c>
      <c r="PZ3" s="1648" t="s">
        <v>5816</v>
      </c>
      <c r="QA3" s="1648" t="s">
        <v>5816</v>
      </c>
      <c r="QB3" s="1652" t="s">
        <v>5816</v>
      </c>
      <c r="QC3" s="1655" t="s">
        <v>5816</v>
      </c>
      <c r="QD3" s="1655" t="s">
        <v>5816</v>
      </c>
      <c r="QE3" s="1657" t="s">
        <v>5816</v>
      </c>
      <c r="QF3" s="1654" t="s">
        <v>5816</v>
      </c>
      <c r="QG3" s="1650" t="s">
        <v>5816</v>
      </c>
      <c r="QH3" s="1650" t="s">
        <v>5816</v>
      </c>
      <c r="QI3" s="1650" t="s">
        <v>5816</v>
      </c>
      <c r="QJ3" s="1657" t="s">
        <v>5816</v>
      </c>
      <c r="QK3" s="1650" t="s">
        <v>5816</v>
      </c>
      <c r="QL3" s="1650" t="s">
        <v>5816</v>
      </c>
      <c r="QM3" s="1652" t="s">
        <v>5816</v>
      </c>
      <c r="QN3" s="1652" t="s">
        <v>5816</v>
      </c>
      <c r="QO3" s="1654" t="s">
        <v>5816</v>
      </c>
      <c r="QP3" s="1654" t="s">
        <v>5816</v>
      </c>
      <c r="QQ3" s="1650" t="s">
        <v>5816</v>
      </c>
      <c r="QR3" s="1650" t="s">
        <v>5816</v>
      </c>
      <c r="QS3" s="1648" t="s">
        <v>5816</v>
      </c>
      <c r="QT3" s="1650" t="s">
        <v>5816</v>
      </c>
      <c r="QU3" s="1650" t="s">
        <v>5816</v>
      </c>
      <c r="QV3" s="1650" t="s">
        <v>5816</v>
      </c>
      <c r="QW3" s="1658" t="s">
        <v>5816</v>
      </c>
      <c r="QX3" s="1658" t="s">
        <v>5816</v>
      </c>
      <c r="QY3" s="1657" t="s">
        <v>5816</v>
      </c>
      <c r="QZ3" s="1656" t="s">
        <v>5816</v>
      </c>
      <c r="RA3" s="1655" t="s">
        <v>5816</v>
      </c>
      <c r="RB3" s="1656" t="s">
        <v>5816</v>
      </c>
      <c r="RC3" s="1650" t="s">
        <v>5816</v>
      </c>
      <c r="RD3" s="1653" t="s">
        <v>5816</v>
      </c>
      <c r="RE3" s="1649" t="s">
        <v>5816</v>
      </c>
      <c r="RF3" s="1658" t="s">
        <v>5816</v>
      </c>
      <c r="RG3" s="1648" t="s">
        <v>5816</v>
      </c>
      <c r="RH3" s="1648" t="s">
        <v>5816</v>
      </c>
      <c r="RI3" s="1650" t="s">
        <v>5816</v>
      </c>
      <c r="RJ3" s="1654" t="s">
        <v>5816</v>
      </c>
      <c r="RK3" s="1652" t="s">
        <v>5816</v>
      </c>
      <c r="RL3" s="1649" t="s">
        <v>5816</v>
      </c>
      <c r="RM3" s="1658" t="s">
        <v>5816</v>
      </c>
      <c r="RN3" s="1656" t="s">
        <v>5816</v>
      </c>
      <c r="RO3" s="1657" t="s">
        <v>5816</v>
      </c>
      <c r="RP3" s="1651" t="s">
        <v>5816</v>
      </c>
      <c r="RQ3" s="1649" t="s">
        <v>5816</v>
      </c>
      <c r="RR3" s="1649" t="s">
        <v>5816</v>
      </c>
      <c r="RS3" s="1649" t="s">
        <v>5816</v>
      </c>
      <c r="RT3" s="1649" t="s">
        <v>5816</v>
      </c>
      <c r="RU3" s="1649" t="s">
        <v>5816</v>
      </c>
      <c r="RV3" s="1649" t="s">
        <v>5816</v>
      </c>
      <c r="RW3" s="1653" t="s">
        <v>5816</v>
      </c>
      <c r="RX3" s="1655" t="s">
        <v>5816</v>
      </c>
      <c r="RY3" s="1650" t="s">
        <v>5816</v>
      </c>
      <c r="RZ3" s="1658" t="s">
        <v>5816</v>
      </c>
      <c r="SA3" s="1654" t="s">
        <v>5816</v>
      </c>
      <c r="SB3" s="1652" t="s">
        <v>5816</v>
      </c>
      <c r="SC3" s="1658" t="s">
        <v>5816</v>
      </c>
      <c r="SD3" s="1657" t="s">
        <v>5816</v>
      </c>
      <c r="SE3" s="1657" t="s">
        <v>5816</v>
      </c>
      <c r="SF3" s="1653" t="s">
        <v>5816</v>
      </c>
      <c r="SG3" s="1650" t="s">
        <v>5816</v>
      </c>
      <c r="SH3" s="1650" t="s">
        <v>5816</v>
      </c>
      <c r="SI3" s="1657" t="s">
        <v>5816</v>
      </c>
      <c r="SJ3" s="1648" t="s">
        <v>5816</v>
      </c>
      <c r="SK3" s="1648" t="s">
        <v>5816</v>
      </c>
      <c r="SL3" s="1656" t="s">
        <v>5816</v>
      </c>
    </row>
    <row r="4" ht="15.75" customHeight="1">
      <c r="A4" s="1517"/>
      <c r="B4" s="1660" t="s">
        <v>5817</v>
      </c>
      <c r="C4" s="1660" t="s">
        <v>5817</v>
      </c>
      <c r="D4" s="1661" t="s">
        <v>5818</v>
      </c>
      <c r="E4" s="1660" t="s">
        <v>5819</v>
      </c>
      <c r="F4" s="1660" t="s">
        <v>5819</v>
      </c>
      <c r="G4" s="1660" t="s">
        <v>5820</v>
      </c>
      <c r="H4" s="1660" t="s">
        <v>5817</v>
      </c>
      <c r="I4" s="1660" t="s">
        <v>5817</v>
      </c>
      <c r="J4" s="1660" t="s">
        <v>5821</v>
      </c>
      <c r="K4" s="1660" t="s">
        <v>5817</v>
      </c>
      <c r="L4" s="1660" t="s">
        <v>5822</v>
      </c>
      <c r="M4" s="1660" t="s">
        <v>5823</v>
      </c>
      <c r="N4" s="1660" t="s">
        <v>5824</v>
      </c>
      <c r="O4" s="1660" t="s">
        <v>5822</v>
      </c>
      <c r="P4" s="1660" t="s">
        <v>5825</v>
      </c>
      <c r="Q4" s="1660" t="s">
        <v>5817</v>
      </c>
      <c r="R4" s="1660" t="s">
        <v>5817</v>
      </c>
      <c r="S4" s="1660" t="s">
        <v>5826</v>
      </c>
      <c r="T4" s="1660" t="s">
        <v>5817</v>
      </c>
      <c r="U4" s="1660" t="s">
        <v>5827</v>
      </c>
      <c r="V4" s="1660" t="s">
        <v>5828</v>
      </c>
      <c r="W4" s="1662" t="s">
        <v>5829</v>
      </c>
      <c r="X4" s="1660" t="s">
        <v>5830</v>
      </c>
      <c r="Y4" s="1660" t="s">
        <v>5831</v>
      </c>
      <c r="Z4" s="1660" t="s">
        <v>5832</v>
      </c>
      <c r="AA4" s="1660" t="s">
        <v>5833</v>
      </c>
      <c r="AB4" s="1660" t="s">
        <v>5819</v>
      </c>
      <c r="AC4" s="1660" t="s">
        <v>5819</v>
      </c>
      <c r="AD4" s="1660" t="s">
        <v>5834</v>
      </c>
      <c r="AE4" s="1660" t="s">
        <v>5834</v>
      </c>
      <c r="AF4" s="1660" t="s">
        <v>5835</v>
      </c>
      <c r="AG4" s="1660" t="s">
        <v>5836</v>
      </c>
      <c r="AH4" s="1660" t="s">
        <v>5836</v>
      </c>
      <c r="AI4" s="1660" t="s">
        <v>5837</v>
      </c>
      <c r="AJ4" s="1660" t="s">
        <v>5838</v>
      </c>
      <c r="AK4" s="1660" t="s">
        <v>5839</v>
      </c>
      <c r="AL4" s="1660" t="s">
        <v>5840</v>
      </c>
      <c r="AM4" s="1662" t="s">
        <v>5841</v>
      </c>
      <c r="AN4" s="1660" t="s">
        <v>5842</v>
      </c>
      <c r="AO4" s="1660" t="s">
        <v>5843</v>
      </c>
      <c r="AP4" s="1660" t="s">
        <v>5844</v>
      </c>
      <c r="AQ4" s="1660" t="s">
        <v>5845</v>
      </c>
      <c r="AR4" s="1660" t="s">
        <v>5844</v>
      </c>
      <c r="AS4" s="1660" t="s">
        <v>5844</v>
      </c>
      <c r="AT4" s="1660" t="s">
        <v>5846</v>
      </c>
      <c r="AU4" s="1660" t="s">
        <v>5819</v>
      </c>
      <c r="AV4" s="1660" t="s">
        <v>5847</v>
      </c>
      <c r="AW4" s="1660" t="s">
        <v>5817</v>
      </c>
      <c r="AX4" s="1660" t="s">
        <v>5848</v>
      </c>
      <c r="AY4" s="1660" t="s">
        <v>5849</v>
      </c>
      <c r="AZ4" s="1660" t="s">
        <v>5849</v>
      </c>
      <c r="BA4" s="1660" t="s">
        <v>5819</v>
      </c>
      <c r="BB4" s="1660" t="s">
        <v>5850</v>
      </c>
      <c r="BC4" s="1660" t="s">
        <v>5851</v>
      </c>
      <c r="BD4" s="1660" t="s">
        <v>5852</v>
      </c>
      <c r="BE4" s="1660" t="s">
        <v>5819</v>
      </c>
      <c r="BF4" s="1660" t="s">
        <v>5819</v>
      </c>
      <c r="BG4" s="1660" t="s">
        <v>5853</v>
      </c>
      <c r="BH4" s="1660" t="s">
        <v>5854</v>
      </c>
      <c r="BI4" s="1660" t="s">
        <v>5838</v>
      </c>
      <c r="BJ4" s="1660" t="s">
        <v>5838</v>
      </c>
      <c r="BK4" s="1660" t="s">
        <v>5855</v>
      </c>
      <c r="BL4" s="1660" t="s">
        <v>5856</v>
      </c>
      <c r="BM4" s="1660" t="s">
        <v>5857</v>
      </c>
      <c r="BN4" s="1660" t="s">
        <v>5858</v>
      </c>
      <c r="BO4" s="1660" t="s">
        <v>5859</v>
      </c>
      <c r="BP4" s="1660" t="s">
        <v>5859</v>
      </c>
      <c r="BQ4" s="1660" t="s">
        <v>5860</v>
      </c>
      <c r="BR4" s="1660" t="s">
        <v>5861</v>
      </c>
      <c r="BS4" s="1660" t="s">
        <v>5861</v>
      </c>
      <c r="BT4" s="1660" t="s">
        <v>5862</v>
      </c>
      <c r="BU4" s="1660" t="s">
        <v>5824</v>
      </c>
      <c r="BV4" s="1660" t="s">
        <v>5824</v>
      </c>
      <c r="BW4" s="1660" t="s">
        <v>5817</v>
      </c>
      <c r="BX4" s="1660" t="s">
        <v>5817</v>
      </c>
      <c r="BY4" s="1660" t="s">
        <v>5863</v>
      </c>
      <c r="BZ4" s="1660" t="s">
        <v>5817</v>
      </c>
      <c r="CA4" s="1660" t="s">
        <v>5864</v>
      </c>
      <c r="CB4" s="1660" t="s">
        <v>5865</v>
      </c>
      <c r="CC4" s="1660" t="s">
        <v>5865</v>
      </c>
      <c r="CD4" s="1660" t="s">
        <v>5817</v>
      </c>
      <c r="CE4" s="1660" t="s">
        <v>5817</v>
      </c>
      <c r="CF4" s="1660" t="s">
        <v>5828</v>
      </c>
      <c r="CG4" s="1660" t="s">
        <v>5828</v>
      </c>
      <c r="CH4" s="1662" t="s">
        <v>5866</v>
      </c>
      <c r="CI4" s="1663" t="s">
        <v>5867</v>
      </c>
      <c r="CJ4" s="1663" t="s">
        <v>5867</v>
      </c>
      <c r="CK4" s="1660" t="s">
        <v>5865</v>
      </c>
      <c r="CL4" s="1660" t="s">
        <v>5846</v>
      </c>
      <c r="CM4" s="1660" t="s">
        <v>5817</v>
      </c>
      <c r="CN4" s="1660" t="s">
        <v>5868</v>
      </c>
      <c r="CO4" s="1660" t="s">
        <v>5869</v>
      </c>
      <c r="CP4" s="1660" t="s">
        <v>5869</v>
      </c>
      <c r="CQ4" s="1660" t="s">
        <v>5869</v>
      </c>
      <c r="CR4" s="1660" t="s">
        <v>5870</v>
      </c>
      <c r="CS4" s="1660" t="s">
        <v>5871</v>
      </c>
      <c r="CT4" s="1660" t="s">
        <v>5872</v>
      </c>
      <c r="CU4" s="1660" t="s">
        <v>5873</v>
      </c>
      <c r="CV4" s="1660" t="s">
        <v>5835</v>
      </c>
      <c r="CW4" s="1660" t="s">
        <v>5874</v>
      </c>
      <c r="CX4" s="1660" t="s">
        <v>5874</v>
      </c>
      <c r="CY4" s="1660" t="s">
        <v>5875</v>
      </c>
      <c r="CZ4" s="1660" t="s">
        <v>5818</v>
      </c>
      <c r="DA4" s="1660" t="s">
        <v>5834</v>
      </c>
      <c r="DB4" s="1660" t="s">
        <v>5834</v>
      </c>
      <c r="DC4" s="1660" t="s">
        <v>5876</v>
      </c>
      <c r="DD4" s="1660" t="s">
        <v>5876</v>
      </c>
      <c r="DE4" s="1660" t="s">
        <v>5877</v>
      </c>
      <c r="DF4" s="1660" t="s">
        <v>5817</v>
      </c>
      <c r="DG4" s="1660" t="s">
        <v>5878</v>
      </c>
      <c r="DH4" s="1660" t="s">
        <v>5879</v>
      </c>
      <c r="DI4" s="1660" t="s">
        <v>5880</v>
      </c>
      <c r="DJ4" s="1660" t="s">
        <v>5881</v>
      </c>
      <c r="DK4" s="1660" t="s">
        <v>5844</v>
      </c>
      <c r="DL4" s="1660" t="s">
        <v>5882</v>
      </c>
      <c r="DM4" s="1660" t="s">
        <v>5873</v>
      </c>
      <c r="DN4" s="1660" t="s">
        <v>5883</v>
      </c>
      <c r="DO4" s="1660" t="s">
        <v>5828</v>
      </c>
      <c r="DP4" s="1660" t="s">
        <v>5864</v>
      </c>
      <c r="DQ4" s="1660" t="s">
        <v>5817</v>
      </c>
      <c r="DR4" s="1660" t="s">
        <v>5868</v>
      </c>
      <c r="DS4" s="1660" t="s">
        <v>5884</v>
      </c>
      <c r="DT4" s="1660" t="s">
        <v>5855</v>
      </c>
      <c r="DU4" s="1660" t="s">
        <v>5885</v>
      </c>
      <c r="DV4" s="1660" t="s">
        <v>5886</v>
      </c>
      <c r="DW4" s="1660" t="s">
        <v>5887</v>
      </c>
      <c r="DX4" s="1660" t="s">
        <v>5888</v>
      </c>
      <c r="DY4" s="1660" t="s">
        <v>5817</v>
      </c>
      <c r="DZ4" s="1660" t="s">
        <v>5889</v>
      </c>
      <c r="EA4" s="1660" t="s">
        <v>5890</v>
      </c>
      <c r="EB4" s="1660" t="s">
        <v>5842</v>
      </c>
      <c r="EC4" s="1660" t="s">
        <v>5891</v>
      </c>
      <c r="ED4" s="1660" t="s">
        <v>5892</v>
      </c>
      <c r="EE4" s="1660" t="s">
        <v>5892</v>
      </c>
      <c r="EF4" s="1660" t="s">
        <v>5892</v>
      </c>
      <c r="EG4" s="1660" t="s">
        <v>5892</v>
      </c>
      <c r="EH4" s="1660" t="s">
        <v>5893</v>
      </c>
      <c r="EI4" s="1660" t="s">
        <v>5894</v>
      </c>
      <c r="EJ4" s="1660" t="s">
        <v>5895</v>
      </c>
      <c r="EK4" s="1660" t="s">
        <v>5819</v>
      </c>
      <c r="EL4" s="1660" t="s">
        <v>5896</v>
      </c>
      <c r="EM4" s="1660" t="s">
        <v>5831</v>
      </c>
      <c r="EN4" s="1662" t="s">
        <v>5897</v>
      </c>
      <c r="EO4" s="1660" t="s">
        <v>5898</v>
      </c>
      <c r="EP4" s="1660" t="s">
        <v>5828</v>
      </c>
      <c r="EQ4" s="1660" t="s">
        <v>5899</v>
      </c>
      <c r="ER4" s="1660" t="s">
        <v>5830</v>
      </c>
      <c r="ES4" s="1660" t="s">
        <v>5830</v>
      </c>
      <c r="ET4" s="1660" t="s">
        <v>5863</v>
      </c>
      <c r="EU4" s="1660" t="s">
        <v>5856</v>
      </c>
      <c r="EV4" s="1660" t="s">
        <v>5838</v>
      </c>
      <c r="EW4" s="1660" t="s">
        <v>5817</v>
      </c>
      <c r="EX4" s="1660" t="s">
        <v>5817</v>
      </c>
      <c r="EY4" s="1662" t="s">
        <v>5900</v>
      </c>
      <c r="EZ4" s="1660" t="s">
        <v>5817</v>
      </c>
      <c r="FA4" s="1660" t="s">
        <v>5817</v>
      </c>
      <c r="FB4" s="1660" t="s">
        <v>5863</v>
      </c>
      <c r="FC4" s="1660" t="s">
        <v>5819</v>
      </c>
      <c r="FD4" s="1660" t="s">
        <v>5819</v>
      </c>
      <c r="FE4" s="1660" t="s">
        <v>5859</v>
      </c>
      <c r="FF4" s="1660" t="s">
        <v>5819</v>
      </c>
      <c r="FG4" s="1660" t="s">
        <v>5901</v>
      </c>
      <c r="FH4" s="1660" t="s">
        <v>5817</v>
      </c>
      <c r="FI4" s="1660" t="s">
        <v>5902</v>
      </c>
      <c r="FJ4" s="1660" t="s">
        <v>5817</v>
      </c>
      <c r="FK4" s="1660" t="s">
        <v>5903</v>
      </c>
      <c r="FL4" s="1660" t="s">
        <v>5824</v>
      </c>
      <c r="FM4" s="1660" t="s">
        <v>5904</v>
      </c>
      <c r="FN4" s="1660" t="s">
        <v>5905</v>
      </c>
      <c r="FO4" s="1660" t="s">
        <v>5873</v>
      </c>
      <c r="FP4" s="1660" t="s">
        <v>5873</v>
      </c>
      <c r="FQ4" s="1660" t="s">
        <v>5832</v>
      </c>
      <c r="FR4" s="1660" t="s">
        <v>5838</v>
      </c>
      <c r="FS4" s="1660" t="s">
        <v>5842</v>
      </c>
      <c r="FT4" s="1663" t="s">
        <v>5834</v>
      </c>
      <c r="FU4" s="1664" t="s">
        <v>5884</v>
      </c>
      <c r="FV4" s="1660" t="s">
        <v>5828</v>
      </c>
      <c r="FW4" s="1660" t="s">
        <v>5906</v>
      </c>
      <c r="FX4" s="1664" t="s">
        <v>5817</v>
      </c>
      <c r="FY4" s="1660" t="s">
        <v>5817</v>
      </c>
      <c r="FZ4" s="1662" t="s">
        <v>5907</v>
      </c>
      <c r="GA4" s="1660" t="s">
        <v>5846</v>
      </c>
      <c r="GB4" s="1660" t="s">
        <v>5817</v>
      </c>
      <c r="GC4" s="1660" t="s">
        <v>5868</v>
      </c>
      <c r="GD4" s="1660" t="s">
        <v>5908</v>
      </c>
      <c r="GE4" s="1660" t="s">
        <v>5858</v>
      </c>
      <c r="GF4" s="1660" t="s">
        <v>5889</v>
      </c>
      <c r="GG4" s="1660" t="s">
        <v>5889</v>
      </c>
      <c r="GH4" s="1660" t="s">
        <v>5889</v>
      </c>
      <c r="GI4" s="1660" t="s">
        <v>5819</v>
      </c>
      <c r="GJ4" s="1660" t="s">
        <v>5844</v>
      </c>
      <c r="GK4" s="1660" t="s">
        <v>5844</v>
      </c>
      <c r="GL4" s="1660" t="s">
        <v>5817</v>
      </c>
      <c r="GM4" s="1660" t="s">
        <v>5894</v>
      </c>
      <c r="GN4" s="1660" t="s">
        <v>5894</v>
      </c>
      <c r="GO4" s="1660" t="s">
        <v>5892</v>
      </c>
      <c r="GP4" s="1660" t="s">
        <v>5892</v>
      </c>
      <c r="GQ4" s="1660" t="s">
        <v>5828</v>
      </c>
      <c r="GR4" s="1660" t="s">
        <v>5909</v>
      </c>
      <c r="GS4" s="1660" t="s">
        <v>5910</v>
      </c>
      <c r="GT4" s="1661" t="s">
        <v>5911</v>
      </c>
      <c r="GU4" s="1660" t="s">
        <v>5889</v>
      </c>
      <c r="GV4" s="1660" t="s">
        <v>5912</v>
      </c>
      <c r="GW4" s="1660" t="s">
        <v>5876</v>
      </c>
      <c r="GX4" s="1660" t="s">
        <v>5913</v>
      </c>
      <c r="GY4" s="1660" t="s">
        <v>5914</v>
      </c>
      <c r="GZ4" s="1660" t="s">
        <v>5824</v>
      </c>
      <c r="HA4" s="1660" t="s">
        <v>5880</v>
      </c>
      <c r="HB4" s="1660" t="s">
        <v>5915</v>
      </c>
      <c r="HC4" s="1660" t="s">
        <v>5915</v>
      </c>
      <c r="HD4" s="1660" t="s">
        <v>5894</v>
      </c>
      <c r="HE4" s="1660" t="s">
        <v>5916</v>
      </c>
      <c r="HF4" s="1660" t="s">
        <v>5917</v>
      </c>
      <c r="HG4" s="1660" t="s">
        <v>5918</v>
      </c>
      <c r="HH4" s="1660" t="s">
        <v>5819</v>
      </c>
      <c r="HI4" s="1660" t="s">
        <v>5819</v>
      </c>
      <c r="HJ4" s="1660" t="s">
        <v>5819</v>
      </c>
      <c r="HK4" s="1660" t="s">
        <v>5919</v>
      </c>
      <c r="HL4" s="1660" t="s">
        <v>5919</v>
      </c>
      <c r="HM4" s="1660" t="s">
        <v>5817</v>
      </c>
      <c r="HN4" s="1660" t="s">
        <v>5920</v>
      </c>
      <c r="HO4" s="1660" t="s">
        <v>5817</v>
      </c>
      <c r="HP4" s="1660" t="s">
        <v>5894</v>
      </c>
      <c r="HQ4" s="1660" t="s">
        <v>5921</v>
      </c>
      <c r="HR4" s="1660" t="s">
        <v>5922</v>
      </c>
      <c r="HS4" s="1660" t="s">
        <v>5878</v>
      </c>
      <c r="HT4" s="1660" t="s">
        <v>5826</v>
      </c>
      <c r="HU4" s="1660" t="s">
        <v>5840</v>
      </c>
      <c r="HV4" s="1660" t="s">
        <v>5923</v>
      </c>
      <c r="HW4" s="1660" t="s">
        <v>5919</v>
      </c>
      <c r="HX4" s="1660" t="s">
        <v>5924</v>
      </c>
      <c r="HY4" s="1660" t="s">
        <v>5925</v>
      </c>
      <c r="HZ4" s="1660" t="s">
        <v>5893</v>
      </c>
      <c r="IA4" s="1660" t="s">
        <v>5852</v>
      </c>
      <c r="IB4" s="1664" t="s">
        <v>5926</v>
      </c>
      <c r="IC4" s="1660" t="s">
        <v>5817</v>
      </c>
      <c r="ID4" s="1660" t="s">
        <v>5876</v>
      </c>
      <c r="IE4" s="1660" t="s">
        <v>5838</v>
      </c>
      <c r="IF4" s="1660" t="s">
        <v>5886</v>
      </c>
      <c r="IG4" s="1660" t="s">
        <v>5887</v>
      </c>
      <c r="IH4" s="1660" t="s">
        <v>5817</v>
      </c>
      <c r="II4" s="1660" t="s">
        <v>5881</v>
      </c>
      <c r="IJ4" s="1660" t="s">
        <v>5927</v>
      </c>
      <c r="IK4" s="1660" t="s">
        <v>5928</v>
      </c>
      <c r="IL4" s="1660" t="s">
        <v>5929</v>
      </c>
      <c r="IM4" s="1660" t="s">
        <v>5836</v>
      </c>
      <c r="IN4" s="1660" t="s">
        <v>5836</v>
      </c>
      <c r="IO4" s="1660" t="s">
        <v>5880</v>
      </c>
      <c r="IP4" s="1664" t="s">
        <v>5930</v>
      </c>
      <c r="IQ4" s="1660" t="s">
        <v>5930</v>
      </c>
      <c r="IR4" s="1660" t="s">
        <v>5847</v>
      </c>
      <c r="IS4" s="1660" t="s">
        <v>5838</v>
      </c>
      <c r="IT4" s="1660" t="s">
        <v>5838</v>
      </c>
      <c r="IU4" s="1660" t="s">
        <v>5931</v>
      </c>
      <c r="IV4" s="1660" t="s">
        <v>5819</v>
      </c>
      <c r="IW4" s="1660" t="s">
        <v>5819</v>
      </c>
      <c r="IX4" s="1660" t="s">
        <v>5932</v>
      </c>
      <c r="IY4" s="1660" t="s">
        <v>5817</v>
      </c>
      <c r="IZ4" s="1660" t="s">
        <v>5933</v>
      </c>
      <c r="JA4" s="1660" t="s">
        <v>5934</v>
      </c>
      <c r="JB4" s="1660" t="s">
        <v>5817</v>
      </c>
      <c r="JC4" s="1660" t="s">
        <v>5935</v>
      </c>
      <c r="JD4" s="1660" t="s">
        <v>5817</v>
      </c>
      <c r="JE4" s="1664" t="s">
        <v>5901</v>
      </c>
      <c r="JF4" s="1660" t="s">
        <v>5817</v>
      </c>
      <c r="JG4" s="1664" t="s">
        <v>5822</v>
      </c>
      <c r="JH4" s="1660" t="s">
        <v>5844</v>
      </c>
      <c r="JI4" s="1660" t="s">
        <v>5822</v>
      </c>
      <c r="JJ4" s="1660" t="s">
        <v>5823</v>
      </c>
      <c r="JK4" s="1660" t="s">
        <v>5936</v>
      </c>
      <c r="JL4" s="1660" t="s">
        <v>5851</v>
      </c>
      <c r="JM4" s="1660" t="s">
        <v>5936</v>
      </c>
      <c r="JN4" s="1660" t="s">
        <v>5917</v>
      </c>
      <c r="JO4" s="1660" t="s">
        <v>5838</v>
      </c>
      <c r="JP4" s="1660" t="s">
        <v>5937</v>
      </c>
      <c r="JQ4" s="1660" t="s">
        <v>5828</v>
      </c>
      <c r="JR4" s="1662" t="s">
        <v>5938</v>
      </c>
      <c r="JS4" s="1664" t="s">
        <v>5894</v>
      </c>
      <c r="JT4" s="1660" t="s">
        <v>5939</v>
      </c>
      <c r="JU4" s="1664" t="s">
        <v>5856</v>
      </c>
      <c r="JV4" s="1664" t="s">
        <v>5856</v>
      </c>
      <c r="JW4" s="1664" t="s">
        <v>5940</v>
      </c>
      <c r="JX4" s="1660" t="s">
        <v>5873</v>
      </c>
      <c r="JY4" s="1660" t="s">
        <v>5941</v>
      </c>
      <c r="JZ4" s="1660" t="s">
        <v>5844</v>
      </c>
      <c r="KA4" s="1660" t="s">
        <v>5896</v>
      </c>
      <c r="KB4" s="1660" t="s">
        <v>5819</v>
      </c>
      <c r="KC4" s="1664" t="s">
        <v>5819</v>
      </c>
      <c r="KD4" s="1660" t="s">
        <v>5819</v>
      </c>
      <c r="KE4" s="1660" t="s">
        <v>5819</v>
      </c>
      <c r="KF4" s="1660" t="s">
        <v>5819</v>
      </c>
      <c r="KG4" s="1660" t="s">
        <v>5819</v>
      </c>
      <c r="KH4" s="1660" t="s">
        <v>5838</v>
      </c>
      <c r="KI4" s="1660" t="s">
        <v>5838</v>
      </c>
      <c r="KJ4" s="1660" t="s">
        <v>5831</v>
      </c>
      <c r="KK4" s="1660" t="s">
        <v>5817</v>
      </c>
      <c r="KL4" s="1660" t="s">
        <v>5916</v>
      </c>
      <c r="KM4" s="1660" t="s">
        <v>5889</v>
      </c>
      <c r="KN4" s="1660" t="s">
        <v>5817</v>
      </c>
      <c r="KO4" s="1660" t="s">
        <v>5942</v>
      </c>
      <c r="KP4" s="1660" t="s">
        <v>5943</v>
      </c>
      <c r="KQ4" s="1660" t="s">
        <v>5819</v>
      </c>
      <c r="KR4" s="1660" t="s">
        <v>5944</v>
      </c>
      <c r="KS4" s="1660" t="s">
        <v>5817</v>
      </c>
      <c r="KT4" s="1660" t="s">
        <v>5817</v>
      </c>
      <c r="KU4" s="1660" t="s">
        <v>5945</v>
      </c>
      <c r="KV4" s="1660" t="s">
        <v>5917</v>
      </c>
      <c r="KW4" s="1660" t="s">
        <v>5863</v>
      </c>
      <c r="KX4" s="1660" t="s">
        <v>5817</v>
      </c>
      <c r="KY4" s="1660" t="s">
        <v>5817</v>
      </c>
      <c r="KZ4" s="1660" t="s">
        <v>5834</v>
      </c>
      <c r="LA4" s="1660" t="s">
        <v>5834</v>
      </c>
      <c r="LB4" s="1660" t="s">
        <v>5857</v>
      </c>
      <c r="LC4" s="1660" t="s">
        <v>5946</v>
      </c>
      <c r="LD4" s="1660" t="s">
        <v>5844</v>
      </c>
      <c r="LE4" s="1660" t="s">
        <v>5838</v>
      </c>
      <c r="LF4" s="1660" t="s">
        <v>5947</v>
      </c>
      <c r="LG4" s="1660" t="s">
        <v>5836</v>
      </c>
      <c r="LH4" s="1660" t="s">
        <v>5896</v>
      </c>
      <c r="LI4" s="1660" t="s">
        <v>5865</v>
      </c>
      <c r="LJ4" s="1660" t="s">
        <v>5865</v>
      </c>
      <c r="LK4" s="1660" t="s">
        <v>5834</v>
      </c>
      <c r="LL4" s="1660" t="s">
        <v>5834</v>
      </c>
      <c r="LM4" s="1660" t="s">
        <v>5840</v>
      </c>
      <c r="LN4" s="1660" t="s">
        <v>5889</v>
      </c>
      <c r="LO4" s="1660" t="s">
        <v>5889</v>
      </c>
      <c r="LP4" s="1662" t="s">
        <v>5948</v>
      </c>
      <c r="LQ4" s="1660" t="s">
        <v>5853</v>
      </c>
      <c r="LR4" s="1660" t="s">
        <v>5849</v>
      </c>
      <c r="LS4" s="1660" t="s">
        <v>5949</v>
      </c>
      <c r="LT4" s="1660" t="s">
        <v>5824</v>
      </c>
      <c r="LU4" s="1660" t="s">
        <v>5824</v>
      </c>
      <c r="LV4" s="1660" t="s">
        <v>5828</v>
      </c>
      <c r="LW4" s="1660" t="s">
        <v>5843</v>
      </c>
      <c r="LX4" s="1664" t="s">
        <v>5819</v>
      </c>
      <c r="LY4" s="1660" t="s">
        <v>5830</v>
      </c>
      <c r="LZ4" s="1660" t="s">
        <v>5846</v>
      </c>
      <c r="MA4" s="1660" t="s">
        <v>5817</v>
      </c>
      <c r="MB4" s="1660" t="s">
        <v>5950</v>
      </c>
      <c r="MC4" s="1660" t="s">
        <v>5951</v>
      </c>
      <c r="MD4" s="1660" t="s">
        <v>5873</v>
      </c>
      <c r="ME4" s="1660" t="s">
        <v>5873</v>
      </c>
      <c r="MF4" s="1660" t="s">
        <v>5822</v>
      </c>
      <c r="MG4" s="1660" t="s">
        <v>5856</v>
      </c>
      <c r="MH4" s="1660" t="s">
        <v>5936</v>
      </c>
      <c r="MI4" s="1662" t="s">
        <v>5952</v>
      </c>
      <c r="MJ4" s="1660" t="s">
        <v>5819</v>
      </c>
      <c r="MK4" s="1660" t="s">
        <v>5905</v>
      </c>
      <c r="ML4" s="1660" t="s">
        <v>5889</v>
      </c>
      <c r="MM4" s="1660" t="s">
        <v>5830</v>
      </c>
      <c r="MN4" s="1664" t="s">
        <v>5817</v>
      </c>
      <c r="MO4" s="1660" t="s">
        <v>5953</v>
      </c>
      <c r="MP4" s="1660" t="s">
        <v>5954</v>
      </c>
      <c r="MQ4" s="1660" t="s">
        <v>5954</v>
      </c>
      <c r="MR4" s="1660" t="s">
        <v>5836</v>
      </c>
      <c r="MS4" s="1660" t="s">
        <v>5863</v>
      </c>
      <c r="MT4" s="1660" t="s">
        <v>5836</v>
      </c>
      <c r="MU4" s="1660" t="s">
        <v>5955</v>
      </c>
      <c r="MV4" s="1664" t="s">
        <v>5954</v>
      </c>
      <c r="MW4" s="1660" t="s">
        <v>5889</v>
      </c>
      <c r="MX4" s="1660" t="s">
        <v>5956</v>
      </c>
      <c r="MY4" s="1661" t="s">
        <v>5957</v>
      </c>
      <c r="MZ4" s="1660" t="s">
        <v>5958</v>
      </c>
      <c r="NA4" s="1660" t="s">
        <v>5958</v>
      </c>
      <c r="NB4" s="1660" t="s">
        <v>5831</v>
      </c>
      <c r="NC4" s="1660" t="s">
        <v>5959</v>
      </c>
      <c r="ND4" s="1660" t="s">
        <v>5960</v>
      </c>
      <c r="NE4" s="1660" t="s">
        <v>5960</v>
      </c>
      <c r="NF4" s="1660" t="s">
        <v>5817</v>
      </c>
      <c r="NG4" s="1660" t="s">
        <v>5817</v>
      </c>
      <c r="NH4" s="1660" t="s">
        <v>5961</v>
      </c>
      <c r="NI4" s="1664" t="s">
        <v>5914</v>
      </c>
      <c r="NJ4" s="1660" t="s">
        <v>5925</v>
      </c>
      <c r="NK4" s="1660" t="s">
        <v>5962</v>
      </c>
      <c r="NL4" s="1660" t="s">
        <v>5963</v>
      </c>
      <c r="NM4" s="1660" t="s">
        <v>5963</v>
      </c>
      <c r="NN4" s="1660" t="s">
        <v>5957</v>
      </c>
      <c r="NO4" s="1660" t="s">
        <v>5957</v>
      </c>
      <c r="NP4" s="1660" t="s">
        <v>5957</v>
      </c>
      <c r="NQ4" s="1660" t="s">
        <v>5955</v>
      </c>
      <c r="NR4" s="1660" t="s">
        <v>5964</v>
      </c>
      <c r="NS4" s="1660" t="s">
        <v>5920</v>
      </c>
      <c r="NT4" s="1660" t="s">
        <v>5920</v>
      </c>
      <c r="NU4" s="1662" t="s">
        <v>5965</v>
      </c>
      <c r="NV4" s="1660" t="s">
        <v>5966</v>
      </c>
      <c r="NW4" s="1660" t="s">
        <v>5836</v>
      </c>
      <c r="NX4" s="1660" t="s">
        <v>5836</v>
      </c>
      <c r="NY4" s="1660" t="s">
        <v>5836</v>
      </c>
      <c r="NZ4" s="1660" t="s">
        <v>5836</v>
      </c>
      <c r="OA4" s="1660" t="s">
        <v>5817</v>
      </c>
      <c r="OB4" s="1660" t="s">
        <v>5817</v>
      </c>
      <c r="OC4" s="1660" t="s">
        <v>5908</v>
      </c>
      <c r="OD4" s="1660" t="s">
        <v>5819</v>
      </c>
      <c r="OE4" s="1660" t="s">
        <v>5819</v>
      </c>
      <c r="OF4" s="1660" t="s">
        <v>5863</v>
      </c>
      <c r="OG4" s="1660" t="s">
        <v>5838</v>
      </c>
      <c r="OH4" s="1660" t="s">
        <v>5817</v>
      </c>
      <c r="OI4" s="1660" t="s">
        <v>5967</v>
      </c>
      <c r="OJ4" s="1660" t="s">
        <v>5817</v>
      </c>
      <c r="OK4" s="1660" t="s">
        <v>5817</v>
      </c>
      <c r="OL4" s="1660" t="s">
        <v>5881</v>
      </c>
      <c r="OM4" s="1660" t="s">
        <v>5817</v>
      </c>
      <c r="ON4" s="1660" t="s">
        <v>5894</v>
      </c>
      <c r="OO4" s="1660" t="s">
        <v>5834</v>
      </c>
      <c r="OP4" s="1660" t="s">
        <v>5968</v>
      </c>
      <c r="OQ4" s="1660" t="s">
        <v>5817</v>
      </c>
      <c r="OR4" s="1660" t="s">
        <v>5817</v>
      </c>
      <c r="OS4" s="1660" t="s">
        <v>5835</v>
      </c>
      <c r="OT4" s="1660" t="s">
        <v>5844</v>
      </c>
      <c r="OU4" s="1660" t="s">
        <v>5862</v>
      </c>
      <c r="OV4" s="1660" t="s">
        <v>5867</v>
      </c>
      <c r="OW4" s="1660" t="s">
        <v>5835</v>
      </c>
      <c r="OX4" s="1660" t="s">
        <v>5817</v>
      </c>
      <c r="OY4" s="1660" t="s">
        <v>5969</v>
      </c>
      <c r="OZ4" s="1660" t="s">
        <v>5970</v>
      </c>
      <c r="PA4" s="1660" t="s">
        <v>5971</v>
      </c>
      <c r="PB4" s="1660" t="s">
        <v>5969</v>
      </c>
      <c r="PC4" s="1660" t="s">
        <v>5972</v>
      </c>
      <c r="PD4" s="1662" t="s">
        <v>5973</v>
      </c>
      <c r="PE4" s="1660" t="s">
        <v>5974</v>
      </c>
      <c r="PF4" s="1660" t="s">
        <v>5974</v>
      </c>
      <c r="PG4" s="1664" t="s">
        <v>5834</v>
      </c>
      <c r="PH4" s="1660" t="s">
        <v>5975</v>
      </c>
      <c r="PI4" s="1660" t="s">
        <v>5975</v>
      </c>
      <c r="PJ4" s="1660" t="s">
        <v>5854</v>
      </c>
      <c r="PK4" s="1660" t="s">
        <v>5854</v>
      </c>
      <c r="PL4" s="1660" t="s">
        <v>5950</v>
      </c>
      <c r="PM4" s="1660" t="s">
        <v>5950</v>
      </c>
      <c r="PN4" s="1660" t="s">
        <v>5819</v>
      </c>
      <c r="PO4" s="1660" t="s">
        <v>5936</v>
      </c>
      <c r="PP4" s="1660" t="s">
        <v>5976</v>
      </c>
      <c r="PQ4" s="1660" t="s">
        <v>5889</v>
      </c>
      <c r="PR4" s="1661" t="s">
        <v>5977</v>
      </c>
      <c r="PS4" s="1660" t="s">
        <v>5923</v>
      </c>
      <c r="PT4" s="1660" t="s">
        <v>5935</v>
      </c>
      <c r="PU4" s="1660" t="s">
        <v>5922</v>
      </c>
      <c r="PV4" s="1660" t="s">
        <v>5922</v>
      </c>
      <c r="PW4" s="1660" t="s">
        <v>5823</v>
      </c>
      <c r="PX4" s="1660" t="s">
        <v>5819</v>
      </c>
      <c r="PY4" s="1660" t="s">
        <v>5819</v>
      </c>
      <c r="PZ4" s="1660" t="s">
        <v>5817</v>
      </c>
      <c r="QA4" s="1660" t="s">
        <v>5978</v>
      </c>
      <c r="QB4" s="1660" t="s">
        <v>5979</v>
      </c>
      <c r="QC4" s="1660" t="s">
        <v>5980</v>
      </c>
      <c r="QD4" s="1660" t="s">
        <v>5838</v>
      </c>
      <c r="QE4" s="1660" t="s">
        <v>5944</v>
      </c>
      <c r="QF4" s="1660" t="s">
        <v>5981</v>
      </c>
      <c r="QG4" s="1660" t="s">
        <v>5961</v>
      </c>
      <c r="QH4" s="1660" t="s">
        <v>5817</v>
      </c>
      <c r="QI4" s="1660" t="s">
        <v>5925</v>
      </c>
      <c r="QJ4" s="1660" t="s">
        <v>5982</v>
      </c>
      <c r="QK4" s="1660" t="s">
        <v>5886</v>
      </c>
      <c r="QL4" s="1660" t="s">
        <v>5916</v>
      </c>
      <c r="QM4" s="1660" t="s">
        <v>5865</v>
      </c>
      <c r="QN4" s="1660" t="s">
        <v>5831</v>
      </c>
      <c r="QO4" s="1660" t="s">
        <v>5853</v>
      </c>
      <c r="QP4" s="1660" t="s">
        <v>5880</v>
      </c>
      <c r="QQ4" s="1660" t="s">
        <v>5936</v>
      </c>
      <c r="QR4" s="1660" t="s">
        <v>5855</v>
      </c>
      <c r="QS4" s="1660" t="s">
        <v>5983</v>
      </c>
      <c r="QT4" s="1660" t="s">
        <v>5838</v>
      </c>
      <c r="QU4" s="1662" t="s">
        <v>5984</v>
      </c>
      <c r="QV4" s="1660" t="s">
        <v>5817</v>
      </c>
      <c r="QW4" s="1664" t="s">
        <v>5956</v>
      </c>
      <c r="QX4" s="1664" t="s">
        <v>5903</v>
      </c>
      <c r="QY4" s="1660" t="s">
        <v>5985</v>
      </c>
      <c r="QZ4" s="1660" t="s">
        <v>5986</v>
      </c>
      <c r="RA4" s="1660" t="s">
        <v>5877</v>
      </c>
      <c r="RB4" s="1660" t="s">
        <v>5880</v>
      </c>
      <c r="RC4" s="1660" t="s">
        <v>5987</v>
      </c>
      <c r="RD4" s="1660" t="s">
        <v>5988</v>
      </c>
      <c r="RE4" s="1660" t="s">
        <v>5833</v>
      </c>
      <c r="RF4" s="1664" t="s">
        <v>5989</v>
      </c>
      <c r="RG4" s="1660" t="s">
        <v>5990</v>
      </c>
      <c r="RH4" s="1660" t="s">
        <v>5978</v>
      </c>
      <c r="RI4" s="1660" t="s">
        <v>5991</v>
      </c>
      <c r="RJ4" s="1660" t="s">
        <v>5880</v>
      </c>
      <c r="RK4" s="1660" t="s">
        <v>5825</v>
      </c>
      <c r="RL4" s="1660" t="s">
        <v>5893</v>
      </c>
      <c r="RM4" s="1664" t="s">
        <v>5992</v>
      </c>
      <c r="RN4" s="1660" t="s">
        <v>5993</v>
      </c>
      <c r="RO4" s="1660" t="s">
        <v>5863</v>
      </c>
      <c r="RP4" s="1660" t="s">
        <v>5862</v>
      </c>
      <c r="RQ4" s="1660" t="s">
        <v>5946</v>
      </c>
      <c r="RR4" s="1660" t="s">
        <v>5946</v>
      </c>
      <c r="RS4" s="1660" t="s">
        <v>5946</v>
      </c>
      <c r="RT4" s="1660" t="s">
        <v>5946</v>
      </c>
      <c r="RU4" s="1660" t="s">
        <v>5946</v>
      </c>
      <c r="RV4" s="1660" t="s">
        <v>5946</v>
      </c>
      <c r="RW4" s="1665" t="s">
        <v>5841</v>
      </c>
      <c r="RX4" s="1666" t="s">
        <v>5841</v>
      </c>
      <c r="RY4" s="1667" t="s">
        <v>5841</v>
      </c>
      <c r="RZ4" s="1664" t="s">
        <v>5961</v>
      </c>
      <c r="SA4" s="1660" t="s">
        <v>5961</v>
      </c>
      <c r="SB4" s="1660" t="s">
        <v>5994</v>
      </c>
      <c r="SC4" s="1664" t="s">
        <v>5863</v>
      </c>
      <c r="SD4" s="1660" t="s">
        <v>5961</v>
      </c>
      <c r="SE4" s="1660" t="s">
        <v>5961</v>
      </c>
      <c r="SF4" s="1660" t="s">
        <v>5823</v>
      </c>
      <c r="SG4" s="1660" t="s">
        <v>5873</v>
      </c>
      <c r="SH4" s="1660" t="s">
        <v>5995</v>
      </c>
      <c r="SI4" s="1660" t="s">
        <v>5996</v>
      </c>
      <c r="SJ4" s="1660" t="s">
        <v>5955</v>
      </c>
      <c r="SK4" s="1660" t="s">
        <v>5955</v>
      </c>
      <c r="SL4" s="1660" t="s">
        <v>5996</v>
      </c>
    </row>
    <row r="5" ht="15.75" customHeight="1">
      <c r="A5" s="1517"/>
      <c r="B5" s="293" t="s">
        <v>5834</v>
      </c>
      <c r="C5" s="1668" t="s">
        <v>5834</v>
      </c>
      <c r="D5" s="1669" t="s">
        <v>5900</v>
      </c>
      <c r="E5" s="1670" t="s">
        <v>5834</v>
      </c>
      <c r="F5" s="1671" t="s">
        <v>5834</v>
      </c>
      <c r="G5" s="1671" t="s">
        <v>5997</v>
      </c>
      <c r="H5" s="1672" t="s">
        <v>5942</v>
      </c>
      <c r="I5" s="1672" t="s">
        <v>5942</v>
      </c>
      <c r="J5" s="1672" t="s">
        <v>5998</v>
      </c>
      <c r="K5" s="293" t="s">
        <v>5999</v>
      </c>
      <c r="L5" s="293" t="s">
        <v>6000</v>
      </c>
      <c r="M5" s="420" t="s">
        <v>6001</v>
      </c>
      <c r="N5" s="1673" t="s">
        <v>5999</v>
      </c>
      <c r="O5" s="364" t="s">
        <v>6000</v>
      </c>
      <c r="P5" s="364" t="s">
        <v>6002</v>
      </c>
      <c r="Q5" s="1673" t="s">
        <v>5849</v>
      </c>
      <c r="R5" s="1673" t="s">
        <v>5849</v>
      </c>
      <c r="S5" s="1673" t="s">
        <v>5881</v>
      </c>
      <c r="T5" s="464" t="s">
        <v>5942</v>
      </c>
      <c r="U5" s="1673" t="s">
        <v>6003</v>
      </c>
      <c r="V5" s="1673" t="s">
        <v>5834</v>
      </c>
      <c r="W5" s="1673" t="s">
        <v>5881</v>
      </c>
      <c r="X5" s="464" t="s">
        <v>5836</v>
      </c>
      <c r="Y5" s="464" t="s">
        <v>5925</v>
      </c>
      <c r="Z5" s="364" t="s">
        <v>5942</v>
      </c>
      <c r="AA5" s="364" t="s">
        <v>5858</v>
      </c>
      <c r="AB5" s="364" t="s">
        <v>5958</v>
      </c>
      <c r="AC5" s="364" t="s">
        <v>5958</v>
      </c>
      <c r="AD5" s="1672" t="s">
        <v>5819</v>
      </c>
      <c r="AE5" s="1672" t="s">
        <v>5819</v>
      </c>
      <c r="AF5" s="1672" t="s">
        <v>6004</v>
      </c>
      <c r="AG5" s="464" t="s">
        <v>5828</v>
      </c>
      <c r="AH5" s="464" t="s">
        <v>5828</v>
      </c>
      <c r="AI5" s="464" t="s">
        <v>6004</v>
      </c>
      <c r="AJ5" s="1674" t="s">
        <v>5834</v>
      </c>
      <c r="AK5" s="1674" t="s">
        <v>5856</v>
      </c>
      <c r="AL5" s="1673" t="s">
        <v>5942</v>
      </c>
      <c r="AM5" s="364" t="s">
        <v>6005</v>
      </c>
      <c r="AN5" s="1674" t="s">
        <v>5958</v>
      </c>
      <c r="AO5" s="1674" t="s">
        <v>5881</v>
      </c>
      <c r="AP5" s="464" t="s">
        <v>6006</v>
      </c>
      <c r="AQ5" s="464" t="s">
        <v>5844</v>
      </c>
      <c r="AR5" s="1672" t="s">
        <v>6007</v>
      </c>
      <c r="AS5" s="1672" t="s">
        <v>6007</v>
      </c>
      <c r="AT5" s="1671" t="s">
        <v>6008</v>
      </c>
      <c r="AU5" s="1671" t="s">
        <v>6009</v>
      </c>
      <c r="AV5" s="1671" t="s">
        <v>5819</v>
      </c>
      <c r="AW5" s="464" t="s">
        <v>5883</v>
      </c>
      <c r="AX5" s="464" t="s">
        <v>5817</v>
      </c>
      <c r="AY5" s="1673" t="s">
        <v>5819</v>
      </c>
      <c r="AZ5" s="1673" t="s">
        <v>5819</v>
      </c>
      <c r="BA5" s="364" t="s">
        <v>5834</v>
      </c>
      <c r="BB5" s="364" t="s">
        <v>5819</v>
      </c>
      <c r="BC5" s="364" t="s">
        <v>5819</v>
      </c>
      <c r="BD5" s="1672" t="s">
        <v>6010</v>
      </c>
      <c r="BE5" s="1673" t="s">
        <v>5859</v>
      </c>
      <c r="BF5" s="1673" t="s">
        <v>5859</v>
      </c>
      <c r="BG5" s="1673" t="s">
        <v>5836</v>
      </c>
      <c r="BH5" s="1673" t="s">
        <v>5880</v>
      </c>
      <c r="BI5" s="1672" t="s">
        <v>5873</v>
      </c>
      <c r="BJ5" s="1672" t="s">
        <v>5873</v>
      </c>
      <c r="BK5" s="1672" t="s">
        <v>6011</v>
      </c>
      <c r="BL5" s="1673"/>
      <c r="BM5" s="1673" t="s">
        <v>6012</v>
      </c>
      <c r="BN5" s="1673" t="s">
        <v>5857</v>
      </c>
      <c r="BO5" s="1675" t="s">
        <v>5836</v>
      </c>
      <c r="BP5" s="1675" t="s">
        <v>5836</v>
      </c>
      <c r="BQ5" s="1675" t="s">
        <v>5916</v>
      </c>
      <c r="BR5" s="293" t="s">
        <v>6007</v>
      </c>
      <c r="BS5" s="293" t="s">
        <v>6007</v>
      </c>
      <c r="BT5" s="293" t="s">
        <v>5935</v>
      </c>
      <c r="BU5" s="1672" t="s">
        <v>6006</v>
      </c>
      <c r="BV5" s="1672" t="s">
        <v>6006</v>
      </c>
      <c r="BW5" s="1673" t="s">
        <v>5958</v>
      </c>
      <c r="BX5" s="1673" t="s">
        <v>5958</v>
      </c>
      <c r="BY5" s="1673" t="s">
        <v>5833</v>
      </c>
      <c r="BZ5" s="364" t="s">
        <v>5834</v>
      </c>
      <c r="CA5" s="364" t="s">
        <v>6004</v>
      </c>
      <c r="CB5" s="1674" t="s">
        <v>5919</v>
      </c>
      <c r="CC5" s="1674" t="s">
        <v>5919</v>
      </c>
      <c r="CD5" s="1675" t="s">
        <v>6006</v>
      </c>
      <c r="CE5" s="1675" t="s">
        <v>6006</v>
      </c>
      <c r="CF5" s="1673" t="s">
        <v>5849</v>
      </c>
      <c r="CG5" s="1673" t="s">
        <v>5834</v>
      </c>
      <c r="CH5" s="1673" t="s">
        <v>5826</v>
      </c>
      <c r="CI5" s="254" t="s">
        <v>5834</v>
      </c>
      <c r="CJ5" s="254" t="s">
        <v>5834</v>
      </c>
      <c r="CK5" s="464" t="s">
        <v>5838</v>
      </c>
      <c r="CL5" s="464" t="s">
        <v>6013</v>
      </c>
      <c r="CM5" s="464" t="s">
        <v>6014</v>
      </c>
      <c r="CN5" s="464" t="s">
        <v>6015</v>
      </c>
      <c r="CO5" s="464" t="s">
        <v>6016</v>
      </c>
      <c r="CP5" s="464" t="s">
        <v>6016</v>
      </c>
      <c r="CQ5" s="464" t="s">
        <v>6016</v>
      </c>
      <c r="CR5" s="1675" t="s">
        <v>5817</v>
      </c>
      <c r="CS5" s="364" t="s">
        <v>5838</v>
      </c>
      <c r="CT5" s="364" t="s">
        <v>5850</v>
      </c>
      <c r="CU5" s="1671" t="s">
        <v>5870</v>
      </c>
      <c r="CV5" s="1671" t="s">
        <v>6017</v>
      </c>
      <c r="CW5" s="1671" t="s">
        <v>5817</v>
      </c>
      <c r="CX5" s="1671" t="s">
        <v>5817</v>
      </c>
      <c r="CY5" s="1674" t="s">
        <v>6018</v>
      </c>
      <c r="CZ5" s="364" t="s">
        <v>6019</v>
      </c>
      <c r="DA5" s="1673" t="s">
        <v>5942</v>
      </c>
      <c r="DB5" s="1673" t="s">
        <v>5942</v>
      </c>
      <c r="DC5" s="1673" t="s">
        <v>5859</v>
      </c>
      <c r="DD5" s="1673" t="s">
        <v>6020</v>
      </c>
      <c r="DE5" s="1674" t="s">
        <v>6021</v>
      </c>
      <c r="DF5" s="464" t="s">
        <v>5869</v>
      </c>
      <c r="DG5" s="464" t="s">
        <v>5817</v>
      </c>
      <c r="DH5" s="1675" t="s">
        <v>5942</v>
      </c>
      <c r="DI5" s="1675" t="s">
        <v>5879</v>
      </c>
      <c r="DJ5" s="1674" t="s">
        <v>6003</v>
      </c>
      <c r="DK5" s="1672" t="s">
        <v>6022</v>
      </c>
      <c r="DL5" s="1673" t="s">
        <v>5836</v>
      </c>
      <c r="DM5" s="1672" t="s">
        <v>5836</v>
      </c>
      <c r="DN5" s="1672" t="s">
        <v>5873</v>
      </c>
      <c r="DO5" s="1671" t="s">
        <v>5942</v>
      </c>
      <c r="DP5" s="1671" t="s">
        <v>5828</v>
      </c>
      <c r="DQ5" s="1673" t="s">
        <v>5822</v>
      </c>
      <c r="DR5" s="464" t="s">
        <v>5894</v>
      </c>
      <c r="DS5" s="1674" t="s">
        <v>5912</v>
      </c>
      <c r="DT5" s="293" t="s">
        <v>5886</v>
      </c>
      <c r="DU5" s="1671" t="s">
        <v>5838</v>
      </c>
      <c r="DV5" s="364" t="s">
        <v>5836</v>
      </c>
      <c r="DW5" s="1671" t="s">
        <v>5836</v>
      </c>
      <c r="DX5" s="1673" t="s">
        <v>5904</v>
      </c>
      <c r="DY5" s="1673" t="s">
        <v>5942</v>
      </c>
      <c r="DZ5" s="1671" t="s">
        <v>5817</v>
      </c>
      <c r="EA5" s="1672" t="s">
        <v>5836</v>
      </c>
      <c r="EB5" s="1672" t="s">
        <v>5834</v>
      </c>
      <c r="EC5" s="464"/>
      <c r="ED5" s="1673" t="s">
        <v>5834</v>
      </c>
      <c r="EE5" s="1672" t="s">
        <v>5834</v>
      </c>
      <c r="EF5" s="364" t="s">
        <v>5834</v>
      </c>
      <c r="EG5" s="1671" t="s">
        <v>5834</v>
      </c>
      <c r="EH5" s="1674" t="s">
        <v>6023</v>
      </c>
      <c r="EI5" s="1672" t="s">
        <v>6024</v>
      </c>
      <c r="EJ5" s="1672" t="s">
        <v>6015</v>
      </c>
      <c r="EK5" s="1673" t="s">
        <v>5822</v>
      </c>
      <c r="EL5" s="1673" t="s">
        <v>5819</v>
      </c>
      <c r="EM5" s="464" t="s">
        <v>5925</v>
      </c>
      <c r="EN5" s="1676" t="s">
        <v>5835</v>
      </c>
      <c r="EO5" s="1672" t="s">
        <v>5956</v>
      </c>
      <c r="EP5" s="364" t="s">
        <v>5832</v>
      </c>
      <c r="EQ5" s="364" t="s">
        <v>5840</v>
      </c>
      <c r="ER5" s="1672" t="s">
        <v>5836</v>
      </c>
      <c r="ES5" s="1672" t="s">
        <v>5836</v>
      </c>
      <c r="ET5" s="1673" t="s">
        <v>5833</v>
      </c>
      <c r="EU5" s="464" t="s">
        <v>5910</v>
      </c>
      <c r="EV5" s="1674" t="s">
        <v>5891</v>
      </c>
      <c r="EW5" s="293" t="s">
        <v>5834</v>
      </c>
      <c r="EX5" s="293" t="s">
        <v>5834</v>
      </c>
      <c r="EY5" s="293" t="s">
        <v>5817</v>
      </c>
      <c r="EZ5" s="364" t="s">
        <v>5836</v>
      </c>
      <c r="FA5" s="364" t="s">
        <v>5836</v>
      </c>
      <c r="FB5" s="364" t="s">
        <v>5833</v>
      </c>
      <c r="FC5" s="1672" t="s">
        <v>5836</v>
      </c>
      <c r="FD5" s="1672" t="s">
        <v>5836</v>
      </c>
      <c r="FE5" s="1672" t="s">
        <v>5903</v>
      </c>
      <c r="FF5" s="1673" t="s">
        <v>6025</v>
      </c>
      <c r="FG5" s="1673" t="s">
        <v>5819</v>
      </c>
      <c r="FH5" s="1673" t="s">
        <v>5834</v>
      </c>
      <c r="FI5" s="1673" t="s">
        <v>6016</v>
      </c>
      <c r="FJ5" s="1671" t="s">
        <v>6006</v>
      </c>
      <c r="FK5" s="1671" t="s">
        <v>5833</v>
      </c>
      <c r="FL5" s="293" t="s">
        <v>5999</v>
      </c>
      <c r="FM5" s="1671" t="s">
        <v>5824</v>
      </c>
      <c r="FN5" s="464" t="s">
        <v>5845</v>
      </c>
      <c r="FO5" s="1672" t="s">
        <v>6006</v>
      </c>
      <c r="FP5" s="1672" t="s">
        <v>6006</v>
      </c>
      <c r="FQ5" s="364" t="s">
        <v>5942</v>
      </c>
      <c r="FR5" s="1674" t="s">
        <v>6026</v>
      </c>
      <c r="FS5" s="1674" t="s">
        <v>6026</v>
      </c>
      <c r="FT5" s="254" t="s">
        <v>6026</v>
      </c>
      <c r="FU5" s="253" t="s">
        <v>5834</v>
      </c>
      <c r="FV5" s="293" t="s">
        <v>5836</v>
      </c>
      <c r="FW5" s="293" t="s">
        <v>5828</v>
      </c>
      <c r="FX5" s="253" t="s">
        <v>5834</v>
      </c>
      <c r="FY5" s="1674" t="s">
        <v>5834</v>
      </c>
      <c r="FZ5" s="364" t="s">
        <v>5927</v>
      </c>
      <c r="GA5" s="293" t="s">
        <v>5884</v>
      </c>
      <c r="GB5" s="1672" t="s">
        <v>5894</v>
      </c>
      <c r="GC5" s="1672" t="s">
        <v>5835</v>
      </c>
      <c r="GD5" s="1673" t="s">
        <v>6027</v>
      </c>
      <c r="GE5" s="293" t="s">
        <v>5838</v>
      </c>
      <c r="GF5" s="1674" t="s">
        <v>5844</v>
      </c>
      <c r="GG5" s="293" t="s">
        <v>5844</v>
      </c>
      <c r="GH5" s="1672" t="s">
        <v>5844</v>
      </c>
      <c r="GI5" s="464" t="s">
        <v>5942</v>
      </c>
      <c r="GJ5" s="364" t="s">
        <v>6007</v>
      </c>
      <c r="GK5" s="364" t="s">
        <v>5838</v>
      </c>
      <c r="GL5" s="1671" t="s">
        <v>6025</v>
      </c>
      <c r="GM5" s="1672" t="s">
        <v>5942</v>
      </c>
      <c r="GN5" s="1672" t="s">
        <v>5942</v>
      </c>
      <c r="GO5" s="464" t="s">
        <v>5834</v>
      </c>
      <c r="GP5" s="1676" t="s">
        <v>5834</v>
      </c>
      <c r="GQ5" s="1676" t="s">
        <v>5936</v>
      </c>
      <c r="GR5" s="1674" t="s">
        <v>6028</v>
      </c>
      <c r="GS5" s="1675" t="s">
        <v>5834</v>
      </c>
      <c r="GT5" s="1677" t="s">
        <v>6029</v>
      </c>
      <c r="GU5" s="1672" t="s">
        <v>6026</v>
      </c>
      <c r="GV5" s="364" t="s">
        <v>6030</v>
      </c>
      <c r="GW5" s="1675" t="s">
        <v>5817</v>
      </c>
      <c r="GX5" s="464" t="s">
        <v>5817</v>
      </c>
      <c r="GY5" s="364" t="s">
        <v>5958</v>
      </c>
      <c r="GZ5" s="464" t="s">
        <v>5849</v>
      </c>
      <c r="HA5" s="1675" t="s">
        <v>5831</v>
      </c>
      <c r="HB5" s="1674" t="s">
        <v>5831</v>
      </c>
      <c r="HC5" s="464" t="s">
        <v>5831</v>
      </c>
      <c r="HD5" s="1675" t="s">
        <v>5895</v>
      </c>
      <c r="HE5" s="1671" t="s">
        <v>5886</v>
      </c>
      <c r="HF5" s="364" t="s">
        <v>6014</v>
      </c>
      <c r="HG5" s="1672" t="s">
        <v>6031</v>
      </c>
      <c r="HH5" s="1676" t="s">
        <v>5836</v>
      </c>
      <c r="HI5" s="1673" t="s">
        <v>5877</v>
      </c>
      <c r="HJ5" s="1673" t="s">
        <v>5877</v>
      </c>
      <c r="HK5" s="1671" t="s">
        <v>5887</v>
      </c>
      <c r="HL5" s="1671" t="s">
        <v>5887</v>
      </c>
      <c r="HM5" s="1673" t="s">
        <v>5924</v>
      </c>
      <c r="HN5" s="1673" t="s">
        <v>5828</v>
      </c>
      <c r="HO5" s="1674" t="s">
        <v>5822</v>
      </c>
      <c r="HP5" s="1675" t="s">
        <v>6032</v>
      </c>
      <c r="HQ5" s="1671" t="s">
        <v>5821</v>
      </c>
      <c r="HR5" s="1671" t="s">
        <v>5889</v>
      </c>
      <c r="HS5" s="464" t="s">
        <v>6031</v>
      </c>
      <c r="HT5" s="1675" t="s">
        <v>5836</v>
      </c>
      <c r="HU5" s="1676" t="s">
        <v>5836</v>
      </c>
      <c r="HV5" s="1676" t="s">
        <v>5840</v>
      </c>
      <c r="HW5" s="1672" t="s">
        <v>5883</v>
      </c>
      <c r="HX5" s="1672" t="s">
        <v>5817</v>
      </c>
      <c r="HY5" s="1675" t="s">
        <v>5880</v>
      </c>
      <c r="HZ5" s="1671" t="s">
        <v>6023</v>
      </c>
      <c r="IA5" s="1673" t="s">
        <v>5817</v>
      </c>
      <c r="IB5" s="253" t="s">
        <v>6033</v>
      </c>
      <c r="IC5" s="464" t="s">
        <v>5892</v>
      </c>
      <c r="ID5" s="1673" t="s">
        <v>6034</v>
      </c>
      <c r="IE5" s="1674" t="s">
        <v>6035</v>
      </c>
      <c r="IF5" s="364" t="s">
        <v>5836</v>
      </c>
      <c r="IG5" s="1671" t="s">
        <v>5836</v>
      </c>
      <c r="IH5" s="1674" t="s">
        <v>5834</v>
      </c>
      <c r="II5" s="1674" t="s">
        <v>6003</v>
      </c>
      <c r="IJ5" s="364" t="s">
        <v>5901</v>
      </c>
      <c r="IK5" s="1673" t="s">
        <v>5901</v>
      </c>
      <c r="IL5" s="1672" t="s">
        <v>5901</v>
      </c>
      <c r="IM5" s="293" t="s">
        <v>5853</v>
      </c>
      <c r="IN5" s="1675" t="s">
        <v>5853</v>
      </c>
      <c r="IO5" s="293" t="s">
        <v>5831</v>
      </c>
      <c r="IP5" s="253" t="s">
        <v>5862</v>
      </c>
      <c r="IQ5" s="1671" t="s">
        <v>5862</v>
      </c>
      <c r="IR5" s="293" t="s">
        <v>5823</v>
      </c>
      <c r="IS5" s="293" t="s">
        <v>5836</v>
      </c>
      <c r="IT5" s="293" t="s">
        <v>5836</v>
      </c>
      <c r="IU5" s="293" t="s">
        <v>5990</v>
      </c>
      <c r="IV5" s="1671" t="s">
        <v>5834</v>
      </c>
      <c r="IW5" s="1671" t="s">
        <v>5834</v>
      </c>
      <c r="IX5" s="1671" t="s">
        <v>5833</v>
      </c>
      <c r="IY5" s="1672" t="s">
        <v>5834</v>
      </c>
      <c r="IZ5" s="1672" t="s">
        <v>5817</v>
      </c>
      <c r="JA5" s="1672" t="s">
        <v>5865</v>
      </c>
      <c r="JB5" s="1675" t="s">
        <v>6036</v>
      </c>
      <c r="JC5" s="1675" t="s">
        <v>5925</v>
      </c>
      <c r="JD5" s="1673" t="s">
        <v>5834</v>
      </c>
      <c r="JE5" s="253" t="s">
        <v>5843</v>
      </c>
      <c r="JF5" s="1671" t="s">
        <v>5999</v>
      </c>
      <c r="JG5" s="253" t="s">
        <v>6000</v>
      </c>
      <c r="JH5" s="364" t="s">
        <v>6001</v>
      </c>
      <c r="JI5" s="464" t="s">
        <v>6000</v>
      </c>
      <c r="JJ5" s="293" t="s">
        <v>6001</v>
      </c>
      <c r="JK5" s="293" t="s">
        <v>5834</v>
      </c>
      <c r="JL5" s="293" t="s">
        <v>5936</v>
      </c>
      <c r="JM5" s="293" t="s">
        <v>5834</v>
      </c>
      <c r="JN5" s="1673" t="s">
        <v>5822</v>
      </c>
      <c r="JO5" s="1673" t="s">
        <v>5822</v>
      </c>
      <c r="JP5" s="1673" t="s">
        <v>6037</v>
      </c>
      <c r="JQ5" s="1672" t="s">
        <v>5834</v>
      </c>
      <c r="JR5" s="1672" t="s">
        <v>6038</v>
      </c>
      <c r="JS5" s="253" t="s">
        <v>5834</v>
      </c>
      <c r="JT5" s="364" t="s">
        <v>5868</v>
      </c>
      <c r="JU5" s="253" t="s">
        <v>5834</v>
      </c>
      <c r="JV5" s="253" t="s">
        <v>5834</v>
      </c>
      <c r="JW5" s="253" t="s">
        <v>5955</v>
      </c>
      <c r="JX5" s="1672" t="s">
        <v>5974</v>
      </c>
      <c r="JY5" s="1672" t="s">
        <v>5937</v>
      </c>
      <c r="JZ5" s="1673" t="s">
        <v>6039</v>
      </c>
      <c r="KA5" s="293" t="s">
        <v>5844</v>
      </c>
      <c r="KB5" s="1673" t="s">
        <v>5919</v>
      </c>
      <c r="KC5" s="253" t="s">
        <v>5904</v>
      </c>
      <c r="KD5" s="1673" t="s">
        <v>5919</v>
      </c>
      <c r="KE5" s="1675" t="s">
        <v>5822</v>
      </c>
      <c r="KF5" s="364" t="s">
        <v>5822</v>
      </c>
      <c r="KG5" s="1673" t="s">
        <v>5822</v>
      </c>
      <c r="KH5" s="1674" t="s">
        <v>6036</v>
      </c>
      <c r="KI5" s="1672" t="s">
        <v>6036</v>
      </c>
      <c r="KJ5" s="1672" t="s">
        <v>5925</v>
      </c>
      <c r="KK5" s="364" t="s">
        <v>5904</v>
      </c>
      <c r="KL5" s="1673" t="s">
        <v>5817</v>
      </c>
      <c r="KM5" s="1672" t="s">
        <v>5894</v>
      </c>
      <c r="KN5" s="1675" t="s">
        <v>5822</v>
      </c>
      <c r="KO5" s="1674" t="s">
        <v>5834</v>
      </c>
      <c r="KP5" s="464" t="s">
        <v>5881</v>
      </c>
      <c r="KQ5" s="464" t="s">
        <v>5836</v>
      </c>
      <c r="KR5" s="1676" t="s">
        <v>5834</v>
      </c>
      <c r="KS5" s="1675" t="s">
        <v>5822</v>
      </c>
      <c r="KT5" s="1675" t="s">
        <v>5822</v>
      </c>
      <c r="KU5" s="1675" t="s">
        <v>6040</v>
      </c>
      <c r="KV5" s="1672" t="s">
        <v>6041</v>
      </c>
      <c r="KW5" s="1671" t="s">
        <v>5833</v>
      </c>
      <c r="KX5" s="293" t="s">
        <v>6042</v>
      </c>
      <c r="KY5" s="364" t="s">
        <v>6042</v>
      </c>
      <c r="KZ5" s="364" t="s">
        <v>6042</v>
      </c>
      <c r="LA5" s="364" t="s">
        <v>6042</v>
      </c>
      <c r="LB5" s="1675" t="s">
        <v>5817</v>
      </c>
      <c r="LC5" s="464" t="s">
        <v>5817</v>
      </c>
      <c r="LD5" s="293" t="s">
        <v>6007</v>
      </c>
      <c r="LE5" s="293" t="s">
        <v>6043</v>
      </c>
      <c r="LF5" s="464" t="s">
        <v>6019</v>
      </c>
      <c r="LG5" s="1671" t="s">
        <v>5853</v>
      </c>
      <c r="LH5" s="1672" t="s">
        <v>5944</v>
      </c>
      <c r="LI5" s="1672" t="s">
        <v>5889</v>
      </c>
      <c r="LJ5" s="1672" t="s">
        <v>5889</v>
      </c>
      <c r="LK5" s="364" t="s">
        <v>5817</v>
      </c>
      <c r="LL5" s="1671" t="s">
        <v>5817</v>
      </c>
      <c r="LM5" s="1673" t="s">
        <v>6014</v>
      </c>
      <c r="LN5" s="1676" t="s">
        <v>5910</v>
      </c>
      <c r="LO5" s="464" t="s">
        <v>5910</v>
      </c>
      <c r="LP5" s="1673" t="s">
        <v>5835</v>
      </c>
      <c r="LQ5" s="1673" t="s">
        <v>5849</v>
      </c>
      <c r="LR5" s="293" t="s">
        <v>5975</v>
      </c>
      <c r="LS5" s="293" t="s">
        <v>5849</v>
      </c>
      <c r="LT5" s="293" t="s">
        <v>5836</v>
      </c>
      <c r="LU5" s="293" t="s">
        <v>5836</v>
      </c>
      <c r="LV5" s="1672" t="s">
        <v>5834</v>
      </c>
      <c r="LW5" s="1672" t="s">
        <v>5828</v>
      </c>
      <c r="LX5" s="253" t="s">
        <v>5836</v>
      </c>
      <c r="LY5" s="1676" t="s">
        <v>6044</v>
      </c>
      <c r="LZ5" s="364" t="s">
        <v>5817</v>
      </c>
      <c r="MA5" s="1671" t="s">
        <v>5822</v>
      </c>
      <c r="MB5" s="1675" t="s">
        <v>5870</v>
      </c>
      <c r="MC5" s="1672" t="s">
        <v>5980</v>
      </c>
      <c r="MD5" s="1671" t="s">
        <v>5822</v>
      </c>
      <c r="ME5" s="1671" t="s">
        <v>5822</v>
      </c>
      <c r="MF5" s="1673" t="s">
        <v>5823</v>
      </c>
      <c r="MG5" s="1676" t="s">
        <v>6045</v>
      </c>
      <c r="MH5" s="464" t="s">
        <v>6046</v>
      </c>
      <c r="MI5" s="293" t="s">
        <v>5936</v>
      </c>
      <c r="MJ5" s="1675" t="s">
        <v>5822</v>
      </c>
      <c r="MK5" s="1675" t="s">
        <v>5819</v>
      </c>
      <c r="ML5" s="1673" t="s">
        <v>5817</v>
      </c>
      <c r="MM5" s="1674" t="s">
        <v>5894</v>
      </c>
      <c r="MN5" s="253" t="s">
        <v>6047</v>
      </c>
      <c r="MO5" s="293" t="s">
        <v>5942</v>
      </c>
      <c r="MP5" s="1676" t="s">
        <v>5845</v>
      </c>
      <c r="MQ5" s="1676" t="s">
        <v>5845</v>
      </c>
      <c r="MR5" s="1676" t="s">
        <v>6048</v>
      </c>
      <c r="MS5" s="1676" t="s">
        <v>5903</v>
      </c>
      <c r="MT5" s="293" t="s">
        <v>5898</v>
      </c>
      <c r="MU5" s="1672" t="s">
        <v>6049</v>
      </c>
      <c r="MV5" s="253" t="s">
        <v>5819</v>
      </c>
      <c r="MW5" s="1672" t="s">
        <v>6026</v>
      </c>
      <c r="MX5" s="1675" t="s">
        <v>5836</v>
      </c>
      <c r="MY5" s="1678" t="s">
        <v>6050</v>
      </c>
      <c r="MZ5" s="1672" t="s">
        <v>5956</v>
      </c>
      <c r="NA5" s="1672" t="s">
        <v>5956</v>
      </c>
      <c r="NB5" s="1672" t="s">
        <v>5958</v>
      </c>
      <c r="NC5" s="1672" t="s">
        <v>5894</v>
      </c>
      <c r="ND5" s="1672" t="s">
        <v>5853</v>
      </c>
      <c r="NE5" s="1674" t="s">
        <v>5823</v>
      </c>
      <c r="NF5" s="1675" t="s">
        <v>5822</v>
      </c>
      <c r="NG5" s="1674" t="s">
        <v>6026</v>
      </c>
      <c r="NH5" s="1672" t="s">
        <v>5914</v>
      </c>
      <c r="NI5" s="253" t="s">
        <v>5836</v>
      </c>
      <c r="NJ5" s="1672" t="s">
        <v>5880</v>
      </c>
      <c r="NK5" s="1672" t="s">
        <v>5951</v>
      </c>
      <c r="NL5" s="1672" t="s">
        <v>5962</v>
      </c>
      <c r="NM5" s="1672" t="s">
        <v>5903</v>
      </c>
      <c r="NN5" s="1673" t="s">
        <v>6051</v>
      </c>
      <c r="NO5" s="1672" t="s">
        <v>6051</v>
      </c>
      <c r="NP5" s="1675" t="s">
        <v>6051</v>
      </c>
      <c r="NQ5" s="1671" t="s">
        <v>6052</v>
      </c>
      <c r="NR5" s="1672" t="s">
        <v>6053</v>
      </c>
      <c r="NS5" s="1672" t="s">
        <v>6054</v>
      </c>
      <c r="NT5" s="1671" t="s">
        <v>5933</v>
      </c>
      <c r="NU5" s="293" t="s">
        <v>6055</v>
      </c>
      <c r="NV5" s="364" t="s">
        <v>5955</v>
      </c>
      <c r="NW5" s="1671" t="s">
        <v>5830</v>
      </c>
      <c r="NX5" s="1671" t="s">
        <v>5830</v>
      </c>
      <c r="NY5" s="1671" t="s">
        <v>5830</v>
      </c>
      <c r="NZ5" s="1671" t="s">
        <v>5830</v>
      </c>
      <c r="OA5" s="293" t="s">
        <v>6014</v>
      </c>
      <c r="OB5" s="293" t="s">
        <v>6014</v>
      </c>
      <c r="OC5" s="293" t="s">
        <v>5972</v>
      </c>
      <c r="OD5" s="1673" t="s">
        <v>5836</v>
      </c>
      <c r="OE5" s="1673" t="s">
        <v>5836</v>
      </c>
      <c r="OF5" s="1673" t="s">
        <v>5833</v>
      </c>
      <c r="OG5" s="1672" t="s">
        <v>5834</v>
      </c>
      <c r="OH5" s="1672" t="s">
        <v>5834</v>
      </c>
      <c r="OI5" s="1672" t="s">
        <v>6017</v>
      </c>
      <c r="OJ5" s="1673" t="s">
        <v>5834</v>
      </c>
      <c r="OK5" s="1673" t="s">
        <v>5834</v>
      </c>
      <c r="OL5" s="1673" t="s">
        <v>5826</v>
      </c>
      <c r="OM5" s="1673" t="s">
        <v>5834</v>
      </c>
      <c r="ON5" s="1673" t="s">
        <v>5817</v>
      </c>
      <c r="OO5" s="1671" t="s">
        <v>5917</v>
      </c>
      <c r="OP5" s="1671" t="s">
        <v>6009</v>
      </c>
      <c r="OQ5" s="1672" t="s">
        <v>5836</v>
      </c>
      <c r="OR5" s="1672" t="s">
        <v>5836</v>
      </c>
      <c r="OS5" s="1672" t="s">
        <v>5817</v>
      </c>
      <c r="OT5" s="293" t="s">
        <v>6007</v>
      </c>
      <c r="OU5" s="293" t="s">
        <v>5824</v>
      </c>
      <c r="OV5" s="1672" t="s">
        <v>5836</v>
      </c>
      <c r="OW5" s="1672" t="s">
        <v>5867</v>
      </c>
      <c r="OX5" s="1675" t="s">
        <v>5970</v>
      </c>
      <c r="OY5" s="1675" t="s">
        <v>5817</v>
      </c>
      <c r="OZ5" s="293" t="s">
        <v>5817</v>
      </c>
      <c r="PA5" s="293" t="s">
        <v>5935</v>
      </c>
      <c r="PB5" s="367" t="s">
        <v>5935</v>
      </c>
      <c r="PC5" s="1674" t="s">
        <v>5945</v>
      </c>
      <c r="PD5" s="364" t="s">
        <v>5970</v>
      </c>
      <c r="PE5" s="364" t="s">
        <v>5898</v>
      </c>
      <c r="PF5" s="364" t="s">
        <v>5898</v>
      </c>
      <c r="PG5" s="253" t="s">
        <v>5917</v>
      </c>
      <c r="PH5" s="1673" t="s">
        <v>6056</v>
      </c>
      <c r="PI5" s="1673" t="s">
        <v>6056</v>
      </c>
      <c r="PJ5" s="1674" t="s">
        <v>5817</v>
      </c>
      <c r="PK5" s="1674" t="s">
        <v>5862</v>
      </c>
      <c r="PL5" s="464" t="s">
        <v>5870</v>
      </c>
      <c r="PM5" s="464" t="s">
        <v>5870</v>
      </c>
      <c r="PN5" s="464" t="s">
        <v>5942</v>
      </c>
      <c r="PO5" s="464" t="s">
        <v>6057</v>
      </c>
      <c r="PP5" s="464" t="s">
        <v>5936</v>
      </c>
      <c r="PQ5" s="1673" t="s">
        <v>5838</v>
      </c>
      <c r="PR5" s="1679" t="s">
        <v>6058</v>
      </c>
      <c r="PS5" s="464" t="s">
        <v>6049</v>
      </c>
      <c r="PT5" s="1676" t="s">
        <v>5936</v>
      </c>
      <c r="PU5" s="1675" t="s">
        <v>5819</v>
      </c>
      <c r="PV5" s="1675" t="s">
        <v>5819</v>
      </c>
      <c r="PW5" s="364" t="s">
        <v>5830</v>
      </c>
      <c r="PX5" s="464" t="s">
        <v>5904</v>
      </c>
      <c r="PY5" s="464" t="s">
        <v>5904</v>
      </c>
      <c r="PZ5" s="293" t="s">
        <v>5823</v>
      </c>
      <c r="QA5" s="293" t="s">
        <v>6059</v>
      </c>
      <c r="QB5" s="1673" t="s">
        <v>6027</v>
      </c>
      <c r="QC5" s="1674" t="s">
        <v>6060</v>
      </c>
      <c r="QD5" s="1674" t="s">
        <v>6026</v>
      </c>
      <c r="QE5" s="1676" t="s">
        <v>6006</v>
      </c>
      <c r="QF5" s="464" t="s">
        <v>6061</v>
      </c>
      <c r="QG5" s="1672" t="s">
        <v>5817</v>
      </c>
      <c r="QH5" s="1672" t="s">
        <v>5849</v>
      </c>
      <c r="QI5" s="1672" t="s">
        <v>5817</v>
      </c>
      <c r="QJ5" s="1676" t="s">
        <v>5924</v>
      </c>
      <c r="QK5" s="1672" t="s">
        <v>6025</v>
      </c>
      <c r="QL5" s="1672" t="s">
        <v>5886</v>
      </c>
      <c r="QM5" s="1673" t="s">
        <v>5817</v>
      </c>
      <c r="QN5" s="1673" t="s">
        <v>5925</v>
      </c>
      <c r="QO5" s="464" t="s">
        <v>5824</v>
      </c>
      <c r="QP5" s="464" t="s">
        <v>5831</v>
      </c>
      <c r="QQ5" s="1672" t="s">
        <v>5944</v>
      </c>
      <c r="QR5" s="1672" t="s">
        <v>5936</v>
      </c>
      <c r="QS5" s="293" t="s">
        <v>6007</v>
      </c>
      <c r="QT5" s="1672" t="s">
        <v>6026</v>
      </c>
      <c r="QU5" s="1672" t="s">
        <v>6037</v>
      </c>
      <c r="QV5" s="1672" t="s">
        <v>5873</v>
      </c>
      <c r="QW5" s="253" t="s">
        <v>5836</v>
      </c>
      <c r="QX5" s="253" t="s">
        <v>5956</v>
      </c>
      <c r="QY5" s="1676" t="s">
        <v>5876</v>
      </c>
      <c r="QZ5" s="1675" t="s">
        <v>6060</v>
      </c>
      <c r="RA5" s="1674" t="s">
        <v>6021</v>
      </c>
      <c r="RB5" s="1675" t="s">
        <v>5879</v>
      </c>
      <c r="RC5" s="1672" t="s">
        <v>5844</v>
      </c>
      <c r="RD5" s="364" t="s">
        <v>5863</v>
      </c>
      <c r="RE5" s="1671" t="s">
        <v>5887</v>
      </c>
      <c r="RF5" s="253" t="s">
        <v>5884</v>
      </c>
      <c r="RG5" s="293" t="s">
        <v>6062</v>
      </c>
      <c r="RH5" s="293" t="s">
        <v>5892</v>
      </c>
      <c r="RI5" s="1672" t="s">
        <v>5892</v>
      </c>
      <c r="RJ5" s="464" t="s">
        <v>5831</v>
      </c>
      <c r="RK5" s="1673" t="s">
        <v>5920</v>
      </c>
      <c r="RL5" s="1671" t="s">
        <v>6023</v>
      </c>
      <c r="RM5" s="253" t="s">
        <v>5856</v>
      </c>
      <c r="RN5" s="1675" t="s">
        <v>5963</v>
      </c>
      <c r="RO5" s="1676" t="s">
        <v>5903</v>
      </c>
      <c r="RP5" s="254" t="s">
        <v>5937</v>
      </c>
      <c r="RQ5" s="1671" t="s">
        <v>6063</v>
      </c>
      <c r="RR5" s="1671" t="s">
        <v>6063</v>
      </c>
      <c r="RS5" s="1671" t="s">
        <v>6063</v>
      </c>
      <c r="RT5" s="1671" t="s">
        <v>6063</v>
      </c>
      <c r="RU5" s="1671" t="s">
        <v>6063</v>
      </c>
      <c r="RV5" s="1671" t="s">
        <v>6063</v>
      </c>
      <c r="RW5" s="364" t="s">
        <v>5964</v>
      </c>
      <c r="RX5" s="1674" t="s">
        <v>5955</v>
      </c>
      <c r="RY5" s="1672" t="s">
        <v>5957</v>
      </c>
      <c r="RZ5" s="253" t="s">
        <v>6064</v>
      </c>
      <c r="SA5" s="464" t="s">
        <v>6064</v>
      </c>
      <c r="SB5" s="1673" t="s">
        <v>5920</v>
      </c>
      <c r="SC5" s="253" t="s">
        <v>5903</v>
      </c>
      <c r="SD5" s="1676" t="s">
        <v>6064</v>
      </c>
      <c r="SE5" s="1676" t="s">
        <v>6064</v>
      </c>
      <c r="SF5" s="364" t="s">
        <v>6065</v>
      </c>
      <c r="SG5" s="1672" t="s">
        <v>5851</v>
      </c>
      <c r="SH5" s="1672" t="s">
        <v>6066</v>
      </c>
      <c r="SI5" s="1676" t="s">
        <v>6067</v>
      </c>
      <c r="SJ5" s="293" t="s">
        <v>6007</v>
      </c>
      <c r="SK5" s="293" t="s">
        <v>6007</v>
      </c>
      <c r="SL5" s="1675" t="s">
        <v>6067</v>
      </c>
    </row>
    <row r="6" ht="15.75" customHeight="1">
      <c r="A6" s="1517"/>
      <c r="B6" s="1680" t="s">
        <v>6068</v>
      </c>
      <c r="C6" s="1680" t="s">
        <v>6068</v>
      </c>
      <c r="D6" s="1681" t="s">
        <v>5817</v>
      </c>
      <c r="E6" s="1680" t="s">
        <v>6069</v>
      </c>
      <c r="F6" s="1680" t="s">
        <v>6069</v>
      </c>
      <c r="G6" s="1680" t="s">
        <v>5899</v>
      </c>
      <c r="H6" s="1680" t="s">
        <v>6070</v>
      </c>
      <c r="I6" s="1680" t="s">
        <v>6070</v>
      </c>
      <c r="J6" s="1680" t="s">
        <v>6071</v>
      </c>
      <c r="K6" s="1680" t="s">
        <v>6062</v>
      </c>
      <c r="L6" s="1680" t="s">
        <v>6072</v>
      </c>
      <c r="M6" s="1680" t="s">
        <v>6073</v>
      </c>
      <c r="N6" s="1680" t="s">
        <v>6062</v>
      </c>
      <c r="O6" s="1680" t="s">
        <v>6072</v>
      </c>
      <c r="P6" s="1680" t="s">
        <v>6074</v>
      </c>
      <c r="Q6" s="1680" t="s">
        <v>5898</v>
      </c>
      <c r="R6" s="1680" t="s">
        <v>5898</v>
      </c>
      <c r="S6" s="1680" t="s">
        <v>5989</v>
      </c>
      <c r="T6" s="1680" t="s">
        <v>5886</v>
      </c>
      <c r="U6" s="1680" t="s">
        <v>5817</v>
      </c>
      <c r="V6" s="1680" t="s">
        <v>5836</v>
      </c>
      <c r="W6" s="1680" t="s">
        <v>6038</v>
      </c>
      <c r="X6" s="1680" t="s">
        <v>6075</v>
      </c>
      <c r="Y6" s="1680" t="s">
        <v>5880</v>
      </c>
      <c r="Z6" s="1680" t="s">
        <v>5834</v>
      </c>
      <c r="AA6" s="1680" t="s">
        <v>5922</v>
      </c>
      <c r="AB6" s="1680" t="s">
        <v>5849</v>
      </c>
      <c r="AC6" s="1680" t="s">
        <v>5849</v>
      </c>
      <c r="AD6" s="1680" t="s">
        <v>5942</v>
      </c>
      <c r="AE6" s="1680" t="s">
        <v>5942</v>
      </c>
      <c r="AF6" s="1680" t="s">
        <v>5819</v>
      </c>
      <c r="AG6" s="1680" t="s">
        <v>5904</v>
      </c>
      <c r="AH6" s="1680" t="s">
        <v>5904</v>
      </c>
      <c r="AI6" s="1680" t="s">
        <v>5828</v>
      </c>
      <c r="AJ6" s="1680" t="s">
        <v>6076</v>
      </c>
      <c r="AK6" s="1680" t="s">
        <v>5842</v>
      </c>
      <c r="AL6" s="1680" t="s">
        <v>6077</v>
      </c>
      <c r="AM6" s="1680" t="s">
        <v>5923</v>
      </c>
      <c r="AN6" s="1680" t="s">
        <v>6078</v>
      </c>
      <c r="AO6" s="1680" t="s">
        <v>5968</v>
      </c>
      <c r="AP6" s="1680" t="s">
        <v>5936</v>
      </c>
      <c r="AQ6" s="1680" t="s">
        <v>6006</v>
      </c>
      <c r="AR6" s="1680" t="s">
        <v>6079</v>
      </c>
      <c r="AS6" s="1680" t="s">
        <v>6079</v>
      </c>
      <c r="AT6" s="1680" t="s">
        <v>6080</v>
      </c>
      <c r="AU6" s="1680" t="s">
        <v>6081</v>
      </c>
      <c r="AV6" s="1680" t="s">
        <v>6009</v>
      </c>
      <c r="AW6" s="1680" t="s">
        <v>6025</v>
      </c>
      <c r="AX6" s="1680" t="s">
        <v>5883</v>
      </c>
      <c r="AY6" s="1680" t="s">
        <v>5950</v>
      </c>
      <c r="AZ6" s="1680" t="s">
        <v>5950</v>
      </c>
      <c r="BA6" s="1680" t="s">
        <v>6082</v>
      </c>
      <c r="BB6" s="1680" t="s">
        <v>5834</v>
      </c>
      <c r="BC6" s="1680" t="s">
        <v>5942</v>
      </c>
      <c r="BD6" s="1680" t="s">
        <v>5851</v>
      </c>
      <c r="BE6" s="1680" t="s">
        <v>5836</v>
      </c>
      <c r="BF6" s="1680" t="s">
        <v>5836</v>
      </c>
      <c r="BG6" s="1680" t="s">
        <v>6083</v>
      </c>
      <c r="BH6" s="1680" t="s">
        <v>5843</v>
      </c>
      <c r="BI6" s="1680" t="s">
        <v>5851</v>
      </c>
      <c r="BJ6" s="1680" t="s">
        <v>5851</v>
      </c>
      <c r="BK6" s="1680" t="s">
        <v>6013</v>
      </c>
      <c r="BL6" s="1680"/>
      <c r="BM6" s="1680" t="s">
        <v>5856</v>
      </c>
      <c r="BN6" s="1680" t="s">
        <v>6060</v>
      </c>
      <c r="BO6" s="1680" t="s">
        <v>5904</v>
      </c>
      <c r="BP6" s="1680" t="s">
        <v>5904</v>
      </c>
      <c r="BQ6" s="1680" t="s">
        <v>5859</v>
      </c>
      <c r="BR6" s="1680" t="s">
        <v>6084</v>
      </c>
      <c r="BS6" s="1680" t="s">
        <v>6084</v>
      </c>
      <c r="BT6" s="1680" t="s">
        <v>6085</v>
      </c>
      <c r="BU6" s="1680" t="s">
        <v>6086</v>
      </c>
      <c r="BV6" s="1680" t="s">
        <v>6086</v>
      </c>
      <c r="BW6" s="1680" t="s">
        <v>5870</v>
      </c>
      <c r="BX6" s="1680" t="s">
        <v>5870</v>
      </c>
      <c r="BY6" s="1680" t="s">
        <v>5972</v>
      </c>
      <c r="BZ6" s="1680" t="s">
        <v>5942</v>
      </c>
      <c r="CA6" s="1680" t="s">
        <v>5837</v>
      </c>
      <c r="CB6" s="1680" t="s">
        <v>5817</v>
      </c>
      <c r="CC6" s="1680" t="s">
        <v>5817</v>
      </c>
      <c r="CD6" s="1680" t="s">
        <v>5832</v>
      </c>
      <c r="CE6" s="1680" t="s">
        <v>5832</v>
      </c>
      <c r="CF6" s="1680" t="s">
        <v>5836</v>
      </c>
      <c r="CG6" s="1680" t="s">
        <v>5886</v>
      </c>
      <c r="CH6" s="1680" t="s">
        <v>5828</v>
      </c>
      <c r="CI6" s="1682" t="s">
        <v>5922</v>
      </c>
      <c r="CJ6" s="1682" t="s">
        <v>5922</v>
      </c>
      <c r="CK6" s="1680" t="s">
        <v>5869</v>
      </c>
      <c r="CL6" s="1680" t="s">
        <v>5865</v>
      </c>
      <c r="CM6" s="1680" t="s">
        <v>6087</v>
      </c>
      <c r="CN6" s="1680" t="s">
        <v>6014</v>
      </c>
      <c r="CO6" s="1680" t="s">
        <v>5877</v>
      </c>
      <c r="CP6" s="1680" t="s">
        <v>5877</v>
      </c>
      <c r="CQ6" s="1680" t="s">
        <v>5877</v>
      </c>
      <c r="CR6" s="1680" t="s">
        <v>5822</v>
      </c>
      <c r="CS6" s="1680" t="s">
        <v>6018</v>
      </c>
      <c r="CT6" s="1680" t="s">
        <v>5871</v>
      </c>
      <c r="CU6" s="1680" t="s">
        <v>5822</v>
      </c>
      <c r="CV6" s="1680" t="s">
        <v>6088</v>
      </c>
      <c r="CW6" s="1680" t="s">
        <v>5845</v>
      </c>
      <c r="CX6" s="1680" t="s">
        <v>5845</v>
      </c>
      <c r="CY6" s="1680" t="s">
        <v>6089</v>
      </c>
      <c r="CZ6" s="1680" t="s">
        <v>5875</v>
      </c>
      <c r="DA6" s="1680" t="s">
        <v>6090</v>
      </c>
      <c r="DB6" s="1680" t="s">
        <v>6090</v>
      </c>
      <c r="DC6" s="1680" t="s">
        <v>5904</v>
      </c>
      <c r="DD6" s="1680" t="s">
        <v>6091</v>
      </c>
      <c r="DE6" s="1680" t="s">
        <v>6092</v>
      </c>
      <c r="DF6" s="1680" t="s">
        <v>6093</v>
      </c>
      <c r="DG6" s="1680" t="s">
        <v>5869</v>
      </c>
      <c r="DH6" s="1680" t="s">
        <v>6094</v>
      </c>
      <c r="DI6" s="1680" t="s">
        <v>5942</v>
      </c>
      <c r="DJ6" s="1680" t="s">
        <v>6080</v>
      </c>
      <c r="DK6" s="1680" t="s">
        <v>6095</v>
      </c>
      <c r="DL6" s="1680" t="s">
        <v>5922</v>
      </c>
      <c r="DM6" s="1680" t="s">
        <v>6096</v>
      </c>
      <c r="DN6" s="1680" t="s">
        <v>5836</v>
      </c>
      <c r="DO6" s="1680" t="s">
        <v>5851</v>
      </c>
      <c r="DP6" s="1680" t="s">
        <v>5942</v>
      </c>
      <c r="DQ6" s="1680" t="s">
        <v>5894</v>
      </c>
      <c r="DR6" s="1680" t="s">
        <v>6034</v>
      </c>
      <c r="DS6" s="1680" t="s">
        <v>6030</v>
      </c>
      <c r="DT6" s="1680" t="s">
        <v>5836</v>
      </c>
      <c r="DU6" s="1680" t="s">
        <v>5915</v>
      </c>
      <c r="DV6" s="1680" t="s">
        <v>5832</v>
      </c>
      <c r="DW6" s="1680" t="s">
        <v>5840</v>
      </c>
      <c r="DX6" s="1680" t="s">
        <v>5983</v>
      </c>
      <c r="DY6" s="1680" t="s">
        <v>5914</v>
      </c>
      <c r="DZ6" s="1680" t="s">
        <v>6097</v>
      </c>
      <c r="EA6" s="1680" t="s">
        <v>5983</v>
      </c>
      <c r="EB6" s="1680" t="s">
        <v>5894</v>
      </c>
      <c r="EC6" s="1680"/>
      <c r="ED6" s="1680" t="s">
        <v>5817</v>
      </c>
      <c r="EE6" s="1680" t="s">
        <v>5817</v>
      </c>
      <c r="EF6" s="1680" t="s">
        <v>5817</v>
      </c>
      <c r="EG6" s="1680" t="s">
        <v>5817</v>
      </c>
      <c r="EH6" s="1680" t="s">
        <v>5963</v>
      </c>
      <c r="EI6" s="1680" t="s">
        <v>6098</v>
      </c>
      <c r="EJ6" s="1680" t="s">
        <v>5894</v>
      </c>
      <c r="EK6" s="1680" t="s">
        <v>5836</v>
      </c>
      <c r="EL6" s="1680" t="s">
        <v>5822</v>
      </c>
      <c r="EM6" s="1680" t="s">
        <v>5880</v>
      </c>
      <c r="EN6" s="1680" t="s">
        <v>5817</v>
      </c>
      <c r="EO6" s="1680" t="s">
        <v>6011</v>
      </c>
      <c r="EP6" s="1680" t="s">
        <v>6042</v>
      </c>
      <c r="EQ6" s="1680" t="s">
        <v>6099</v>
      </c>
      <c r="ER6" s="1680" t="s">
        <v>6100</v>
      </c>
      <c r="ES6" s="1680" t="s">
        <v>6100</v>
      </c>
      <c r="ET6" s="1680" t="s">
        <v>6101</v>
      </c>
      <c r="EU6" s="1680" t="s">
        <v>5823</v>
      </c>
      <c r="EV6" s="1680" t="s">
        <v>6102</v>
      </c>
      <c r="EW6" s="1680" t="s">
        <v>6103</v>
      </c>
      <c r="EX6" s="1680" t="s">
        <v>6103</v>
      </c>
      <c r="EY6" s="1680" t="s">
        <v>5834</v>
      </c>
      <c r="EZ6" s="1680" t="s">
        <v>6069</v>
      </c>
      <c r="FA6" s="1680" t="s">
        <v>6069</v>
      </c>
      <c r="FB6" s="1662" t="s">
        <v>5900</v>
      </c>
      <c r="FC6" s="1680" t="s">
        <v>6070</v>
      </c>
      <c r="FD6" s="1680" t="s">
        <v>6070</v>
      </c>
      <c r="FE6" s="1680" t="s">
        <v>5819</v>
      </c>
      <c r="FF6" s="1680" t="s">
        <v>5958</v>
      </c>
      <c r="FG6" s="1680" t="s">
        <v>6025</v>
      </c>
      <c r="FH6" s="1680" t="s">
        <v>6025</v>
      </c>
      <c r="FI6" s="1662" t="s">
        <v>6104</v>
      </c>
      <c r="FJ6" s="1680" t="s">
        <v>5882</v>
      </c>
      <c r="FK6" s="1680" t="s">
        <v>5817</v>
      </c>
      <c r="FL6" s="1680" t="s">
        <v>5844</v>
      </c>
      <c r="FM6" s="1680" t="s">
        <v>5999</v>
      </c>
      <c r="FN6" s="1680" t="s">
        <v>5844</v>
      </c>
      <c r="FO6" s="1680" t="s">
        <v>6042</v>
      </c>
      <c r="FP6" s="1680" t="s">
        <v>6042</v>
      </c>
      <c r="FQ6" s="1680" t="s">
        <v>6105</v>
      </c>
      <c r="FR6" s="1665" t="s">
        <v>6106</v>
      </c>
      <c r="FS6" s="1667" t="s">
        <v>6106</v>
      </c>
      <c r="FT6" s="1683" t="s">
        <v>6107</v>
      </c>
      <c r="FU6" s="1664" t="s">
        <v>6026</v>
      </c>
      <c r="FV6" s="1680" t="s">
        <v>6108</v>
      </c>
      <c r="FW6" s="1680" t="s">
        <v>5836</v>
      </c>
      <c r="FX6" s="1664" t="s">
        <v>6109</v>
      </c>
      <c r="FY6" s="1680" t="s">
        <v>6109</v>
      </c>
      <c r="FZ6" s="1680" t="s">
        <v>5833</v>
      </c>
      <c r="GA6" s="1680" t="s">
        <v>5971</v>
      </c>
      <c r="GB6" s="1680" t="s">
        <v>5942</v>
      </c>
      <c r="GC6" s="1680" t="s">
        <v>5817</v>
      </c>
      <c r="GD6" s="1680" t="s">
        <v>5958</v>
      </c>
      <c r="GE6" s="1680" t="s">
        <v>6110</v>
      </c>
      <c r="GF6" s="1680" t="s">
        <v>5817</v>
      </c>
      <c r="GG6" s="1680" t="s">
        <v>5817</v>
      </c>
      <c r="GH6" s="1680" t="s">
        <v>5817</v>
      </c>
      <c r="GI6" s="1680" t="s">
        <v>5849</v>
      </c>
      <c r="GJ6" s="1680" t="s">
        <v>6022</v>
      </c>
      <c r="GK6" s="1680" t="s">
        <v>6007</v>
      </c>
      <c r="GL6" s="1680" t="s">
        <v>5886</v>
      </c>
      <c r="GM6" s="1680" t="s">
        <v>5870</v>
      </c>
      <c r="GN6" s="1680" t="s">
        <v>5870</v>
      </c>
      <c r="GO6" s="1680" t="s">
        <v>5817</v>
      </c>
      <c r="GP6" s="1680" t="s">
        <v>5817</v>
      </c>
      <c r="GQ6" s="1680" t="s">
        <v>6111</v>
      </c>
      <c r="GR6" s="1680" t="s">
        <v>5865</v>
      </c>
      <c r="GS6" s="1680" t="s">
        <v>6112</v>
      </c>
      <c r="GT6" s="1684" t="s">
        <v>6028</v>
      </c>
      <c r="GU6" s="1680" t="s">
        <v>5858</v>
      </c>
      <c r="GV6" s="1680" t="s">
        <v>5936</v>
      </c>
      <c r="GW6" s="1680" t="s">
        <v>5970</v>
      </c>
      <c r="GX6" s="1680" t="s">
        <v>5970</v>
      </c>
      <c r="GY6" s="1680" t="s">
        <v>6113</v>
      </c>
      <c r="GZ6" s="1680" t="s">
        <v>5822</v>
      </c>
      <c r="HA6" s="1680" t="s">
        <v>5925</v>
      </c>
      <c r="HB6" s="1680" t="s">
        <v>5925</v>
      </c>
      <c r="HC6" s="1680" t="s">
        <v>5925</v>
      </c>
      <c r="HD6" s="1680" t="s">
        <v>5817</v>
      </c>
      <c r="HE6" s="1680" t="s">
        <v>5836</v>
      </c>
      <c r="HF6" s="1680" t="s">
        <v>6114</v>
      </c>
      <c r="HG6" s="1680" t="s">
        <v>5990</v>
      </c>
      <c r="HH6" s="1680" t="s">
        <v>5944</v>
      </c>
      <c r="HI6" s="1680" t="s">
        <v>5979</v>
      </c>
      <c r="HJ6" s="1680" t="s">
        <v>5979</v>
      </c>
      <c r="HK6" s="1680" t="s">
        <v>6115</v>
      </c>
      <c r="HL6" s="1680" t="s">
        <v>6115</v>
      </c>
      <c r="HM6" s="1680" t="s">
        <v>6037</v>
      </c>
      <c r="HN6" s="1680" t="s">
        <v>5924</v>
      </c>
      <c r="HO6" s="1680" t="s">
        <v>5873</v>
      </c>
      <c r="HP6" s="1680" t="s">
        <v>6116</v>
      </c>
      <c r="HQ6" s="1680" t="s">
        <v>6117</v>
      </c>
      <c r="HR6" s="1680" t="s">
        <v>6118</v>
      </c>
      <c r="HS6" s="1680" t="s">
        <v>6101</v>
      </c>
      <c r="HT6" s="1680" t="s">
        <v>5828</v>
      </c>
      <c r="HU6" s="1680" t="s">
        <v>6036</v>
      </c>
      <c r="HV6" s="1680" t="s">
        <v>5836</v>
      </c>
      <c r="HW6" s="1680" t="s">
        <v>5873</v>
      </c>
      <c r="HX6" s="1680" t="s">
        <v>5834</v>
      </c>
      <c r="HY6" s="1680" t="s">
        <v>5879</v>
      </c>
      <c r="HZ6" s="1680" t="s">
        <v>5963</v>
      </c>
      <c r="IA6" s="1680" t="s">
        <v>5836</v>
      </c>
      <c r="IB6" s="1664" t="s">
        <v>6119</v>
      </c>
      <c r="IC6" s="1680" t="s">
        <v>6025</v>
      </c>
      <c r="ID6" s="1680" t="s">
        <v>5904</v>
      </c>
      <c r="IE6" s="1680" t="s">
        <v>5877</v>
      </c>
      <c r="IF6" s="1680" t="s">
        <v>5832</v>
      </c>
      <c r="IG6" s="1680" t="s">
        <v>5840</v>
      </c>
      <c r="IH6" s="1680" t="s">
        <v>6120</v>
      </c>
      <c r="II6" s="1680" t="s">
        <v>6080</v>
      </c>
      <c r="IJ6" s="1680" t="s">
        <v>5853</v>
      </c>
      <c r="IK6" s="1680" t="s">
        <v>5853</v>
      </c>
      <c r="IL6" s="1680" t="s">
        <v>5853</v>
      </c>
      <c r="IM6" s="1680" t="s">
        <v>5845</v>
      </c>
      <c r="IN6" s="1680" t="s">
        <v>5845</v>
      </c>
      <c r="IO6" s="1680" t="s">
        <v>5925</v>
      </c>
      <c r="IP6" s="1664" t="s">
        <v>5898</v>
      </c>
      <c r="IQ6" s="1680" t="s">
        <v>5898</v>
      </c>
      <c r="IR6" s="1680" t="s">
        <v>6121</v>
      </c>
      <c r="IS6" s="1680" t="s">
        <v>6122</v>
      </c>
      <c r="IT6" s="1680" t="s">
        <v>6122</v>
      </c>
      <c r="IU6" s="1680" t="s">
        <v>6123</v>
      </c>
      <c r="IV6" s="1680" t="s">
        <v>6069</v>
      </c>
      <c r="IW6" s="1680" t="s">
        <v>6069</v>
      </c>
      <c r="IX6" s="1680" t="s">
        <v>5819</v>
      </c>
      <c r="IY6" s="1680" t="s">
        <v>6070</v>
      </c>
      <c r="IZ6" s="1680" t="s">
        <v>5834</v>
      </c>
      <c r="JA6" s="1680" t="s">
        <v>5933</v>
      </c>
      <c r="JB6" s="1680" t="s">
        <v>5849</v>
      </c>
      <c r="JC6" s="1680" t="s">
        <v>5880</v>
      </c>
      <c r="JD6" s="1680" t="s">
        <v>5942</v>
      </c>
      <c r="JE6" s="1664" t="s">
        <v>5850</v>
      </c>
      <c r="JF6" s="1680" t="s">
        <v>5824</v>
      </c>
      <c r="JG6" s="1664" t="s">
        <v>6072</v>
      </c>
      <c r="JH6" s="1680" t="s">
        <v>6124</v>
      </c>
      <c r="JI6" s="1680" t="s">
        <v>6072</v>
      </c>
      <c r="JJ6" s="1680" t="s">
        <v>6073</v>
      </c>
      <c r="JK6" s="1680" t="s">
        <v>5844</v>
      </c>
      <c r="JL6" s="1680" t="s">
        <v>5834</v>
      </c>
      <c r="JM6" s="1680" t="s">
        <v>6008</v>
      </c>
      <c r="JN6" s="1680" t="s">
        <v>6007</v>
      </c>
      <c r="JO6" s="1680" t="s">
        <v>6007</v>
      </c>
      <c r="JP6" s="1680" t="s">
        <v>6125</v>
      </c>
      <c r="JQ6" s="1680" t="s">
        <v>6126</v>
      </c>
      <c r="JR6" s="1680" t="s">
        <v>5828</v>
      </c>
      <c r="JS6" s="1664" t="s">
        <v>5886</v>
      </c>
      <c r="JT6" s="1680" t="s">
        <v>5894</v>
      </c>
      <c r="JU6" s="1664" t="s">
        <v>5823</v>
      </c>
      <c r="JV6" s="1664" t="s">
        <v>5823</v>
      </c>
      <c r="JW6" s="1664" t="s">
        <v>5856</v>
      </c>
      <c r="JX6" s="1680" t="s">
        <v>5886</v>
      </c>
      <c r="JY6" s="1680" t="s">
        <v>5873</v>
      </c>
      <c r="JZ6" s="1680" t="s">
        <v>6127</v>
      </c>
      <c r="KA6" s="1680" t="s">
        <v>6039</v>
      </c>
      <c r="KB6" s="1680" t="s">
        <v>6128</v>
      </c>
      <c r="KC6" s="1664" t="s">
        <v>6128</v>
      </c>
      <c r="KD6" s="1680" t="s">
        <v>6128</v>
      </c>
      <c r="KE6" s="1680" t="s">
        <v>5844</v>
      </c>
      <c r="KF6" s="1680" t="s">
        <v>5844</v>
      </c>
      <c r="KG6" s="1680" t="s">
        <v>5844</v>
      </c>
      <c r="KH6" s="1680" t="s">
        <v>6105</v>
      </c>
      <c r="KI6" s="1680" t="s">
        <v>6129</v>
      </c>
      <c r="KJ6" s="1680" t="s">
        <v>5880</v>
      </c>
      <c r="KK6" s="1680" t="s">
        <v>6130</v>
      </c>
      <c r="KL6" s="1680" t="s">
        <v>5904</v>
      </c>
      <c r="KM6" s="1680" t="s">
        <v>5942</v>
      </c>
      <c r="KN6" s="1680" t="s">
        <v>6131</v>
      </c>
      <c r="KO6" s="1680" t="s">
        <v>5817</v>
      </c>
      <c r="KP6" s="1680" t="s">
        <v>6049</v>
      </c>
      <c r="KQ6" s="1680" t="s">
        <v>6025</v>
      </c>
      <c r="KR6" s="1680" t="s">
        <v>5936</v>
      </c>
      <c r="KS6" s="1680" t="s">
        <v>6132</v>
      </c>
      <c r="KT6" s="1680" t="s">
        <v>6132</v>
      </c>
      <c r="KU6" s="1680" t="s">
        <v>5835</v>
      </c>
      <c r="KV6" s="1680" t="s">
        <v>6133</v>
      </c>
      <c r="KW6" s="1680" t="s">
        <v>5903</v>
      </c>
      <c r="KX6" s="1680" t="s">
        <v>5836</v>
      </c>
      <c r="KY6" s="1680" t="s">
        <v>5836</v>
      </c>
      <c r="KZ6" s="1680" t="s">
        <v>5886</v>
      </c>
      <c r="LA6" s="1680" t="s">
        <v>5886</v>
      </c>
      <c r="LB6" s="1680" t="s">
        <v>6134</v>
      </c>
      <c r="LC6" s="1680" t="s">
        <v>6135</v>
      </c>
      <c r="LD6" s="1680" t="s">
        <v>5824</v>
      </c>
      <c r="LE6" s="1680" t="s">
        <v>6136</v>
      </c>
      <c r="LF6" s="1680" t="s">
        <v>5838</v>
      </c>
      <c r="LG6" s="1680" t="s">
        <v>6137</v>
      </c>
      <c r="LH6" s="1680" t="s">
        <v>5836</v>
      </c>
      <c r="LI6" s="1680" t="s">
        <v>5834</v>
      </c>
      <c r="LJ6" s="1680" t="s">
        <v>5834</v>
      </c>
      <c r="LK6" s="1680" t="s">
        <v>6138</v>
      </c>
      <c r="LL6" s="1680" t="s">
        <v>6138</v>
      </c>
      <c r="LM6" s="1680" t="s">
        <v>5887</v>
      </c>
      <c r="LN6" s="1680" t="s">
        <v>6139</v>
      </c>
      <c r="LO6" s="1680" t="s">
        <v>6139</v>
      </c>
      <c r="LP6" s="1680" t="s">
        <v>5817</v>
      </c>
      <c r="LQ6" s="1680" t="s">
        <v>6062</v>
      </c>
      <c r="LR6" s="1680" t="s">
        <v>5917</v>
      </c>
      <c r="LS6" s="1680" t="s">
        <v>5975</v>
      </c>
      <c r="LT6" s="1680" t="s">
        <v>6140</v>
      </c>
      <c r="LU6" s="1680" t="s">
        <v>6140</v>
      </c>
      <c r="LV6" s="1680" t="s">
        <v>6141</v>
      </c>
      <c r="LW6" s="1680" t="s">
        <v>5834</v>
      </c>
      <c r="LX6" s="1664" t="s">
        <v>6142</v>
      </c>
      <c r="LY6" s="1680" t="s">
        <v>6143</v>
      </c>
      <c r="LZ6" s="1680" t="s">
        <v>5822</v>
      </c>
      <c r="MA6" s="1680" t="s">
        <v>5823</v>
      </c>
      <c r="MB6" s="1680" t="s">
        <v>5851</v>
      </c>
      <c r="MC6" s="1680" t="s">
        <v>5950</v>
      </c>
      <c r="MD6" s="1680" t="s">
        <v>5888</v>
      </c>
      <c r="ME6" s="1680" t="s">
        <v>5888</v>
      </c>
      <c r="MF6" s="1680" t="s">
        <v>6144</v>
      </c>
      <c r="MG6" s="1680" t="s">
        <v>5822</v>
      </c>
      <c r="MH6" s="1680" t="s">
        <v>6145</v>
      </c>
      <c r="MI6" s="1680" t="s">
        <v>6046</v>
      </c>
      <c r="MJ6" s="1680" t="s">
        <v>5894</v>
      </c>
      <c r="MK6" s="1680" t="s">
        <v>5822</v>
      </c>
      <c r="ML6" s="1680" t="s">
        <v>6097</v>
      </c>
      <c r="MM6" s="1680" t="s">
        <v>5851</v>
      </c>
      <c r="MN6" s="1664" t="s">
        <v>6146</v>
      </c>
      <c r="MO6" s="1680" t="s">
        <v>5936</v>
      </c>
      <c r="MP6" s="1680" t="s">
        <v>6147</v>
      </c>
      <c r="MQ6" s="1680" t="s">
        <v>6147</v>
      </c>
      <c r="MR6" s="1680" t="s">
        <v>6148</v>
      </c>
      <c r="MS6" s="1680" t="s">
        <v>5833</v>
      </c>
      <c r="MT6" s="1680" t="s">
        <v>6007</v>
      </c>
      <c r="MU6" s="1680" t="s">
        <v>5830</v>
      </c>
      <c r="MV6" s="1664" t="s">
        <v>5896</v>
      </c>
      <c r="MW6" s="1680" t="s">
        <v>5858</v>
      </c>
      <c r="MX6" s="1680" t="s">
        <v>6134</v>
      </c>
      <c r="MY6" s="1681" t="s">
        <v>5862</v>
      </c>
      <c r="MZ6" s="1680" t="s">
        <v>5834</v>
      </c>
      <c r="NA6" s="1680" t="s">
        <v>5834</v>
      </c>
      <c r="NB6" s="1680" t="s">
        <v>5956</v>
      </c>
      <c r="NC6" s="1680" t="s">
        <v>5960</v>
      </c>
      <c r="ND6" s="1680" t="s">
        <v>5845</v>
      </c>
      <c r="NE6" s="1680" t="s">
        <v>5851</v>
      </c>
      <c r="NF6" s="1680" t="s">
        <v>5870</v>
      </c>
      <c r="NG6" s="1680" t="s">
        <v>6087</v>
      </c>
      <c r="NH6" s="1680" t="s">
        <v>5836</v>
      </c>
      <c r="NI6" s="1664" t="s">
        <v>6138</v>
      </c>
      <c r="NJ6" s="1680" t="s">
        <v>5914</v>
      </c>
      <c r="NK6" s="1680" t="s">
        <v>5972</v>
      </c>
      <c r="NL6" s="1680" t="s">
        <v>5951</v>
      </c>
      <c r="NM6" s="1680" t="s">
        <v>5833</v>
      </c>
      <c r="NN6" s="1680" t="s">
        <v>6149</v>
      </c>
      <c r="NO6" s="1680" t="s">
        <v>6149</v>
      </c>
      <c r="NP6" s="1680" t="s">
        <v>6149</v>
      </c>
      <c r="NQ6" s="1680" t="s">
        <v>5910</v>
      </c>
      <c r="NR6" s="1680" t="s">
        <v>5910</v>
      </c>
      <c r="NS6" s="1680" t="s">
        <v>6055</v>
      </c>
      <c r="NT6" s="1680" t="s">
        <v>6055</v>
      </c>
      <c r="NU6" s="1680" t="s">
        <v>6150</v>
      </c>
      <c r="NV6" s="1680" t="s">
        <v>6052</v>
      </c>
      <c r="NW6" s="1680" t="s">
        <v>6108</v>
      </c>
      <c r="NX6" s="1680" t="s">
        <v>6108</v>
      </c>
      <c r="NY6" s="1680" t="s">
        <v>6108</v>
      </c>
      <c r="NZ6" s="1680" t="s">
        <v>6108</v>
      </c>
      <c r="OA6" s="1680" t="s">
        <v>6122</v>
      </c>
      <c r="OB6" s="1680" t="s">
        <v>6122</v>
      </c>
      <c r="OC6" s="1680" t="s">
        <v>5835</v>
      </c>
      <c r="OD6" s="1680" t="s">
        <v>6069</v>
      </c>
      <c r="OE6" s="1680" t="s">
        <v>6069</v>
      </c>
      <c r="OF6" s="1680" t="s">
        <v>5819</v>
      </c>
      <c r="OG6" s="1680" t="s">
        <v>6151</v>
      </c>
      <c r="OH6" s="1680" t="s">
        <v>6151</v>
      </c>
      <c r="OI6" s="1680" t="s">
        <v>6010</v>
      </c>
      <c r="OJ6" s="1680" t="s">
        <v>6152</v>
      </c>
      <c r="OK6" s="1680" t="s">
        <v>6152</v>
      </c>
      <c r="OL6" s="1680" t="s">
        <v>5817</v>
      </c>
      <c r="OM6" s="1680" t="s">
        <v>6120</v>
      </c>
      <c r="ON6" s="1680" t="s">
        <v>5834</v>
      </c>
      <c r="OO6" s="1680" t="s">
        <v>6062</v>
      </c>
      <c r="OP6" s="1680" t="s">
        <v>5834</v>
      </c>
      <c r="OQ6" s="1680" t="s">
        <v>6036</v>
      </c>
      <c r="OR6" s="1680" t="s">
        <v>6036</v>
      </c>
      <c r="OS6" s="1680" t="s">
        <v>5836</v>
      </c>
      <c r="OT6" s="1680" t="s">
        <v>5851</v>
      </c>
      <c r="OU6" s="1680" t="s">
        <v>6008</v>
      </c>
      <c r="OV6" s="1680" t="s">
        <v>6153</v>
      </c>
      <c r="OW6" s="1680" t="s">
        <v>5836</v>
      </c>
      <c r="OX6" s="1680" t="s">
        <v>6154</v>
      </c>
      <c r="OY6" s="1680" t="s">
        <v>5970</v>
      </c>
      <c r="OZ6" s="1680" t="s">
        <v>6062</v>
      </c>
      <c r="PA6" s="1680" t="s">
        <v>5970</v>
      </c>
      <c r="PB6" s="1680" t="s">
        <v>5970</v>
      </c>
      <c r="PC6" s="1680" t="s">
        <v>5935</v>
      </c>
      <c r="PD6" s="1680" t="s">
        <v>5817</v>
      </c>
      <c r="PE6" s="1680" t="s">
        <v>6062</v>
      </c>
      <c r="PF6" s="1680" t="s">
        <v>6062</v>
      </c>
      <c r="PG6" s="1664" t="s">
        <v>6152</v>
      </c>
      <c r="PH6" s="1680" t="s">
        <v>6155</v>
      </c>
      <c r="PI6" s="1680" t="s">
        <v>6155</v>
      </c>
      <c r="PJ6" s="1680" t="s">
        <v>6156</v>
      </c>
      <c r="PK6" s="1680" t="s">
        <v>5817</v>
      </c>
      <c r="PL6" s="1680" t="s">
        <v>6000</v>
      </c>
      <c r="PM6" s="1680" t="s">
        <v>6000</v>
      </c>
      <c r="PN6" s="1680" t="s">
        <v>5849</v>
      </c>
      <c r="PO6" s="1680" t="s">
        <v>6157</v>
      </c>
      <c r="PP6" s="1680" t="s">
        <v>6057</v>
      </c>
      <c r="PQ6" s="1680" t="s">
        <v>5958</v>
      </c>
      <c r="PR6" s="1681" t="s">
        <v>5889</v>
      </c>
      <c r="PS6" s="1680" t="s">
        <v>5909</v>
      </c>
      <c r="PT6" s="1680" t="s">
        <v>5981</v>
      </c>
      <c r="PU6" s="1680" t="s">
        <v>5834</v>
      </c>
      <c r="PV6" s="1680" t="s">
        <v>5834</v>
      </c>
      <c r="PW6" s="1680" t="s">
        <v>6056</v>
      </c>
      <c r="PX6" s="1680" t="s">
        <v>6158</v>
      </c>
      <c r="PY6" s="1680" t="s">
        <v>6158</v>
      </c>
      <c r="PZ6" s="1680" t="s">
        <v>6159</v>
      </c>
      <c r="QA6" s="1680" t="s">
        <v>5817</v>
      </c>
      <c r="QB6" s="1680" t="s">
        <v>5958</v>
      </c>
      <c r="QC6" s="1680" t="s">
        <v>5838</v>
      </c>
      <c r="QD6" s="1680" t="s">
        <v>6089</v>
      </c>
      <c r="QE6" s="1680" t="s">
        <v>5828</v>
      </c>
      <c r="QF6" s="1680" t="s">
        <v>6147</v>
      </c>
      <c r="QG6" s="1680" t="s">
        <v>5849</v>
      </c>
      <c r="QH6" s="1680" t="s">
        <v>6160</v>
      </c>
      <c r="QI6" s="1680" t="s">
        <v>5849</v>
      </c>
      <c r="QJ6" s="1680" t="s">
        <v>5817</v>
      </c>
      <c r="QK6" s="1680" t="s">
        <v>6161</v>
      </c>
      <c r="QL6" s="1680" t="s">
        <v>6025</v>
      </c>
      <c r="QM6" s="1680" t="s">
        <v>5849</v>
      </c>
      <c r="QN6" s="1680" t="s">
        <v>5880</v>
      </c>
      <c r="QO6" s="1680" t="s">
        <v>5836</v>
      </c>
      <c r="QP6" s="1680" t="s">
        <v>5925</v>
      </c>
      <c r="QQ6" s="1680" t="s">
        <v>5922</v>
      </c>
      <c r="QR6" s="1680" t="s">
        <v>5944</v>
      </c>
      <c r="QS6" s="1680" t="s">
        <v>5853</v>
      </c>
      <c r="QT6" s="1680" t="s">
        <v>6162</v>
      </c>
      <c r="QU6" s="1680" t="s">
        <v>5937</v>
      </c>
      <c r="QV6" s="1680" t="s">
        <v>6163</v>
      </c>
      <c r="QW6" s="1664" t="s">
        <v>6125</v>
      </c>
      <c r="QX6" s="1664" t="s">
        <v>5836</v>
      </c>
      <c r="QY6" s="1680" t="s">
        <v>6164</v>
      </c>
      <c r="QZ6" s="1680" t="s">
        <v>5817</v>
      </c>
      <c r="RA6" s="1680" t="s">
        <v>6092</v>
      </c>
      <c r="RB6" s="1680" t="s">
        <v>5942</v>
      </c>
      <c r="RC6" s="1680" t="s">
        <v>6022</v>
      </c>
      <c r="RD6" s="1680" t="s">
        <v>5903</v>
      </c>
      <c r="RE6" s="1680" t="s">
        <v>5836</v>
      </c>
      <c r="RF6" s="1664" t="s">
        <v>5902</v>
      </c>
      <c r="RG6" s="1680" t="s">
        <v>5817</v>
      </c>
      <c r="RH6" s="1680" t="s">
        <v>5834</v>
      </c>
      <c r="RI6" s="1680" t="s">
        <v>5834</v>
      </c>
      <c r="RJ6" s="1680" t="s">
        <v>5925</v>
      </c>
      <c r="RK6" s="1680" t="s">
        <v>5828</v>
      </c>
      <c r="RL6" s="1680" t="s">
        <v>5963</v>
      </c>
      <c r="RM6" s="1664" t="s">
        <v>5836</v>
      </c>
      <c r="RN6" s="1680" t="s">
        <v>6045</v>
      </c>
      <c r="RO6" s="1680" t="s">
        <v>5833</v>
      </c>
      <c r="RP6" s="1680" t="s">
        <v>5956</v>
      </c>
      <c r="RQ6" s="1680" t="s">
        <v>5936</v>
      </c>
      <c r="RR6" s="1680" t="s">
        <v>5936</v>
      </c>
      <c r="RS6" s="1680" t="s">
        <v>5936</v>
      </c>
      <c r="RT6" s="1680" t="s">
        <v>5936</v>
      </c>
      <c r="RU6" s="1680" t="s">
        <v>5936</v>
      </c>
      <c r="RV6" s="1680" t="s">
        <v>5936</v>
      </c>
      <c r="RW6" s="1680" t="s">
        <v>5823</v>
      </c>
      <c r="RX6" s="1680" t="s">
        <v>5823</v>
      </c>
      <c r="RY6" s="1680" t="s">
        <v>5823</v>
      </c>
      <c r="RZ6" s="1664" t="s">
        <v>6165</v>
      </c>
      <c r="SA6" s="1680" t="s">
        <v>6166</v>
      </c>
      <c r="SB6" s="1680" t="s">
        <v>6167</v>
      </c>
      <c r="SC6" s="1664" t="s">
        <v>5833</v>
      </c>
      <c r="SD6" s="1680" t="s">
        <v>6168</v>
      </c>
      <c r="SE6" s="1680" t="s">
        <v>6168</v>
      </c>
      <c r="SF6" s="1680" t="s">
        <v>6169</v>
      </c>
      <c r="SG6" s="1680" t="s">
        <v>6170</v>
      </c>
      <c r="SH6" s="1680" t="s">
        <v>5873</v>
      </c>
      <c r="SI6" s="1680" t="s">
        <v>5937</v>
      </c>
      <c r="SJ6" s="1680" t="s">
        <v>6171</v>
      </c>
      <c r="SK6" s="1680" t="s">
        <v>6171</v>
      </c>
      <c r="SL6" s="1680" t="s">
        <v>6172</v>
      </c>
    </row>
    <row r="7" ht="15.75" customHeight="1">
      <c r="A7" s="1517"/>
      <c r="B7" s="293" t="s">
        <v>6173</v>
      </c>
      <c r="C7" s="293" t="s">
        <v>6173</v>
      </c>
      <c r="D7" s="293" t="s">
        <v>5834</v>
      </c>
      <c r="E7" s="1671" t="s">
        <v>6174</v>
      </c>
      <c r="F7" s="1671" t="s">
        <v>6174</v>
      </c>
      <c r="G7" s="1671" t="s">
        <v>5819</v>
      </c>
      <c r="H7" s="1672" t="s">
        <v>6175</v>
      </c>
      <c r="I7" s="1672" t="s">
        <v>6175</v>
      </c>
      <c r="J7" s="1672" t="s">
        <v>5817</v>
      </c>
      <c r="K7" s="293"/>
      <c r="L7" s="293"/>
      <c r="M7" s="420" t="s">
        <v>6176</v>
      </c>
      <c r="N7" s="1673"/>
      <c r="O7" s="364"/>
      <c r="P7" s="364" t="s">
        <v>6177</v>
      </c>
      <c r="Q7" s="1673" t="s">
        <v>6178</v>
      </c>
      <c r="R7" s="1673" t="s">
        <v>6178</v>
      </c>
      <c r="S7" s="1673" t="s">
        <v>5937</v>
      </c>
      <c r="T7" s="464" t="s">
        <v>6179</v>
      </c>
      <c r="U7" s="1673" t="s">
        <v>5942</v>
      </c>
      <c r="V7" s="1673" t="s">
        <v>6180</v>
      </c>
      <c r="W7" s="1673" t="s">
        <v>5828</v>
      </c>
      <c r="X7" s="464" t="s">
        <v>6179</v>
      </c>
      <c r="Y7" s="464" t="s">
        <v>5830</v>
      </c>
      <c r="Z7" s="364" t="s">
        <v>6142</v>
      </c>
      <c r="AA7" s="364" t="s">
        <v>6181</v>
      </c>
      <c r="AB7" s="364" t="s">
        <v>5824</v>
      </c>
      <c r="AC7" s="364" t="s">
        <v>5824</v>
      </c>
      <c r="AD7" s="1672" t="s">
        <v>5824</v>
      </c>
      <c r="AE7" s="1672" t="s">
        <v>5824</v>
      </c>
      <c r="AF7" s="1672" t="s">
        <v>5942</v>
      </c>
      <c r="AG7" s="464" t="s">
        <v>5824</v>
      </c>
      <c r="AH7" s="464" t="s">
        <v>5824</v>
      </c>
      <c r="AI7" s="464" t="s">
        <v>5904</v>
      </c>
      <c r="AJ7" s="1674" t="s">
        <v>6182</v>
      </c>
      <c r="AK7" s="1674" t="s">
        <v>6076</v>
      </c>
      <c r="AL7" s="1673" t="s">
        <v>6183</v>
      </c>
      <c r="AM7" s="364" t="s">
        <v>6184</v>
      </c>
      <c r="AN7" s="1674" t="s">
        <v>6185</v>
      </c>
      <c r="AO7" s="1674" t="s">
        <v>5842</v>
      </c>
      <c r="AP7" s="464" t="s">
        <v>6179</v>
      </c>
      <c r="AQ7" s="464" t="s">
        <v>5936</v>
      </c>
      <c r="AR7" s="1672" t="s">
        <v>6186</v>
      </c>
      <c r="AS7" s="1672" t="s">
        <v>6186</v>
      </c>
      <c r="AT7" s="1671" t="s">
        <v>6187</v>
      </c>
      <c r="AU7" s="1671" t="s">
        <v>6188</v>
      </c>
      <c r="AV7" s="1671" t="s">
        <v>6081</v>
      </c>
      <c r="AW7" s="464" t="s">
        <v>6189</v>
      </c>
      <c r="AX7" s="464" t="s">
        <v>6025</v>
      </c>
      <c r="AY7" s="1673" t="s">
        <v>6056</v>
      </c>
      <c r="AZ7" s="1673" t="s">
        <v>6056</v>
      </c>
      <c r="BA7" s="364" t="s">
        <v>6190</v>
      </c>
      <c r="BB7" s="364" t="s">
        <v>6082</v>
      </c>
      <c r="BC7" s="364" t="s">
        <v>6162</v>
      </c>
      <c r="BD7" s="1672" t="s">
        <v>5819</v>
      </c>
      <c r="BE7" s="1673" t="s">
        <v>5904</v>
      </c>
      <c r="BF7" s="1673" t="s">
        <v>5904</v>
      </c>
      <c r="BG7" s="1673" t="s">
        <v>6036</v>
      </c>
      <c r="BH7" s="1673" t="s">
        <v>5853</v>
      </c>
      <c r="BI7" s="1672" t="s">
        <v>6191</v>
      </c>
      <c r="BJ7" s="1672" t="s">
        <v>6191</v>
      </c>
      <c r="BK7" s="1672" t="s">
        <v>6192</v>
      </c>
      <c r="BL7" s="1673"/>
      <c r="BM7" s="1673" t="s">
        <v>5823</v>
      </c>
      <c r="BN7" s="1673" t="s">
        <v>6012</v>
      </c>
      <c r="BO7" s="1675" t="s">
        <v>6193</v>
      </c>
      <c r="BP7" s="1675" t="s">
        <v>6193</v>
      </c>
      <c r="BQ7" s="1675" t="s">
        <v>5836</v>
      </c>
      <c r="BR7" s="293" t="s">
        <v>6194</v>
      </c>
      <c r="BS7" s="293" t="s">
        <v>6194</v>
      </c>
      <c r="BT7" s="293" t="s">
        <v>6195</v>
      </c>
      <c r="BU7" s="1672" t="s">
        <v>6196</v>
      </c>
      <c r="BV7" s="1672" t="s">
        <v>6196</v>
      </c>
      <c r="BW7" s="1673" t="s">
        <v>6197</v>
      </c>
      <c r="BX7" s="1673" t="s">
        <v>6197</v>
      </c>
      <c r="BY7" s="1673" t="s">
        <v>5817</v>
      </c>
      <c r="BZ7" s="364" t="s">
        <v>6138</v>
      </c>
      <c r="CA7" s="364" t="s">
        <v>5817</v>
      </c>
      <c r="CB7" s="1674" t="s">
        <v>6056</v>
      </c>
      <c r="CC7" s="1674" t="s">
        <v>6056</v>
      </c>
      <c r="CD7" s="1675" t="s">
        <v>6109</v>
      </c>
      <c r="CE7" s="1675" t="s">
        <v>6109</v>
      </c>
      <c r="CF7" s="1673" t="s">
        <v>6009</v>
      </c>
      <c r="CG7" s="1673" t="s">
        <v>6198</v>
      </c>
      <c r="CH7" s="1673" t="s">
        <v>5834</v>
      </c>
      <c r="CI7" s="254" t="s">
        <v>6199</v>
      </c>
      <c r="CJ7" s="254" t="s">
        <v>6199</v>
      </c>
      <c r="CK7" s="464" t="s">
        <v>6200</v>
      </c>
      <c r="CL7" s="464" t="s">
        <v>5838</v>
      </c>
      <c r="CM7" s="464" t="s">
        <v>6189</v>
      </c>
      <c r="CN7" s="464" t="s">
        <v>6006</v>
      </c>
      <c r="CO7" s="464" t="s">
        <v>6147</v>
      </c>
      <c r="CP7" s="464" t="s">
        <v>6147</v>
      </c>
      <c r="CQ7" s="464" t="s">
        <v>6147</v>
      </c>
      <c r="CR7" s="1675" t="s">
        <v>5983</v>
      </c>
      <c r="CS7" s="364" t="s">
        <v>6201</v>
      </c>
      <c r="CT7" s="364" t="s">
        <v>5838</v>
      </c>
      <c r="CU7" s="1671" t="s">
        <v>6202</v>
      </c>
      <c r="CV7" s="1671" t="s">
        <v>5873</v>
      </c>
      <c r="CW7" s="1671" t="s">
        <v>6203</v>
      </c>
      <c r="CX7" s="1671" t="s">
        <v>6203</v>
      </c>
      <c r="CY7" s="1674" t="s">
        <v>6204</v>
      </c>
      <c r="CZ7" s="364" t="s">
        <v>6018</v>
      </c>
      <c r="DA7" s="1673" t="s">
        <v>5842</v>
      </c>
      <c r="DB7" s="1673" t="s">
        <v>5842</v>
      </c>
      <c r="DC7" s="1673" t="s">
        <v>6205</v>
      </c>
      <c r="DD7" s="1673" t="s">
        <v>6206</v>
      </c>
      <c r="DE7" s="1674" t="s">
        <v>6207</v>
      </c>
      <c r="DF7" s="464" t="s">
        <v>6208</v>
      </c>
      <c r="DG7" s="464" t="s">
        <v>6093</v>
      </c>
      <c r="DH7" s="1675" t="s">
        <v>6209</v>
      </c>
      <c r="DI7" s="1675" t="s">
        <v>6094</v>
      </c>
      <c r="DJ7" s="1674" t="s">
        <v>5958</v>
      </c>
      <c r="DK7" s="1672" t="s">
        <v>6210</v>
      </c>
      <c r="DL7" s="1673" t="s">
        <v>6211</v>
      </c>
      <c r="DM7" s="1672" t="s">
        <v>6155</v>
      </c>
      <c r="DN7" s="1672" t="s">
        <v>6096</v>
      </c>
      <c r="DO7" s="1671" t="s">
        <v>5886</v>
      </c>
      <c r="DP7" s="1671" t="s">
        <v>5851</v>
      </c>
      <c r="DQ7" s="1673" t="s">
        <v>6144</v>
      </c>
      <c r="DR7" s="464" t="s">
        <v>6121</v>
      </c>
      <c r="DS7" s="1674" t="s">
        <v>6060</v>
      </c>
      <c r="DT7" s="293" t="s">
        <v>6212</v>
      </c>
      <c r="DU7" s="1671" t="s">
        <v>5877</v>
      </c>
      <c r="DV7" s="364" t="s">
        <v>6213</v>
      </c>
      <c r="DW7" s="1671" t="s">
        <v>6208</v>
      </c>
      <c r="DX7" s="1673" t="s">
        <v>6200</v>
      </c>
      <c r="DY7" s="1673" t="s">
        <v>6214</v>
      </c>
      <c r="DZ7" s="1671" t="s">
        <v>6215</v>
      </c>
      <c r="EA7" s="1672" t="s">
        <v>5914</v>
      </c>
      <c r="EB7" s="1672" t="s">
        <v>6216</v>
      </c>
      <c r="EC7" s="464"/>
      <c r="ED7" s="1673" t="s">
        <v>5942</v>
      </c>
      <c r="EE7" s="1672" t="s">
        <v>5942</v>
      </c>
      <c r="EF7" s="364" t="s">
        <v>5942</v>
      </c>
      <c r="EG7" s="1671" t="s">
        <v>5942</v>
      </c>
      <c r="EH7" s="1674" t="s">
        <v>5817</v>
      </c>
      <c r="EI7" s="1672" t="s">
        <v>6217</v>
      </c>
      <c r="EJ7" s="1672" t="s">
        <v>6024</v>
      </c>
      <c r="EK7" s="1673" t="s">
        <v>6081</v>
      </c>
      <c r="EL7" s="1673" t="s">
        <v>5836</v>
      </c>
      <c r="EM7" s="464" t="s">
        <v>6006</v>
      </c>
      <c r="EN7" s="1676" t="s">
        <v>5958</v>
      </c>
      <c r="EO7" s="1672" t="s">
        <v>6218</v>
      </c>
      <c r="EP7" s="364" t="s">
        <v>6133</v>
      </c>
      <c r="EQ7" s="364" t="s">
        <v>6017</v>
      </c>
      <c r="ER7" s="1672" t="s">
        <v>6219</v>
      </c>
      <c r="ES7" s="1672" t="s">
        <v>6219</v>
      </c>
      <c r="ET7" s="1673" t="s">
        <v>5830</v>
      </c>
      <c r="EU7" s="464" t="s">
        <v>5883</v>
      </c>
      <c r="EV7" s="1674" t="s">
        <v>6220</v>
      </c>
      <c r="EW7" s="293" t="s">
        <v>6221</v>
      </c>
      <c r="EX7" s="293" t="s">
        <v>6221</v>
      </c>
      <c r="EY7" s="293" t="s">
        <v>6222</v>
      </c>
      <c r="EZ7" s="364" t="s">
        <v>6174</v>
      </c>
      <c r="FA7" s="364" t="s">
        <v>6174</v>
      </c>
      <c r="FB7" s="364" t="s">
        <v>5817</v>
      </c>
      <c r="FC7" s="1672" t="s">
        <v>6223</v>
      </c>
      <c r="FD7" s="1672" t="s">
        <v>6223</v>
      </c>
      <c r="FE7" s="1672" t="s">
        <v>5836</v>
      </c>
      <c r="FF7" s="1673" t="s">
        <v>5886</v>
      </c>
      <c r="FG7" s="1673" t="s">
        <v>5958</v>
      </c>
      <c r="FH7" s="1673" t="s">
        <v>5828</v>
      </c>
      <c r="FI7" s="1673" t="s">
        <v>5817</v>
      </c>
      <c r="FJ7" s="1671" t="s">
        <v>6224</v>
      </c>
      <c r="FK7" s="1671" t="s">
        <v>6006</v>
      </c>
      <c r="FL7" s="293" t="s">
        <v>6225</v>
      </c>
      <c r="FM7" s="1671" t="s">
        <v>5844</v>
      </c>
      <c r="FN7" s="464" t="s">
        <v>6006</v>
      </c>
      <c r="FO7" s="1672" t="s">
        <v>6226</v>
      </c>
      <c r="FP7" s="1672" t="s">
        <v>6226</v>
      </c>
      <c r="FQ7" s="364" t="s">
        <v>6227</v>
      </c>
      <c r="FR7" s="1674" t="s">
        <v>6035</v>
      </c>
      <c r="FS7" s="1674" t="s">
        <v>5958</v>
      </c>
      <c r="FT7" s="158" t="s">
        <v>6106</v>
      </c>
      <c r="FU7" s="254" t="s">
        <v>6107</v>
      </c>
      <c r="FV7" s="293" t="s">
        <v>6228</v>
      </c>
      <c r="FW7" s="293" t="s">
        <v>6108</v>
      </c>
      <c r="FX7" s="253" t="s">
        <v>6229</v>
      </c>
      <c r="FY7" s="1674" t="s">
        <v>6229</v>
      </c>
      <c r="FZ7" s="364" t="s">
        <v>5863</v>
      </c>
      <c r="GA7" s="293" t="s">
        <v>5992</v>
      </c>
      <c r="GB7" s="1672" t="s">
        <v>5851</v>
      </c>
      <c r="GC7" s="1672" t="s">
        <v>5894</v>
      </c>
      <c r="GD7" s="1673" t="s">
        <v>6230</v>
      </c>
      <c r="GE7" s="293" t="s">
        <v>6018</v>
      </c>
      <c r="GF7" s="1674" t="s">
        <v>6231</v>
      </c>
      <c r="GG7" s="293" t="s">
        <v>6231</v>
      </c>
      <c r="GH7" s="1672" t="s">
        <v>6231</v>
      </c>
      <c r="GI7" s="464" t="s">
        <v>6232</v>
      </c>
      <c r="GJ7" s="364" t="s">
        <v>6233</v>
      </c>
      <c r="GK7" s="364" t="s">
        <v>6022</v>
      </c>
      <c r="GL7" s="1671" t="s">
        <v>6134</v>
      </c>
      <c r="GM7" s="1672" t="s">
        <v>6234</v>
      </c>
      <c r="GN7" s="1672" t="s">
        <v>6234</v>
      </c>
      <c r="GO7" s="464" t="s">
        <v>5942</v>
      </c>
      <c r="GP7" s="1676" t="s">
        <v>5942</v>
      </c>
      <c r="GQ7" s="1676" t="s">
        <v>6235</v>
      </c>
      <c r="GR7" s="1674" t="s">
        <v>5919</v>
      </c>
      <c r="GS7" s="1675" t="s">
        <v>6236</v>
      </c>
      <c r="GT7" s="1685" t="s">
        <v>6237</v>
      </c>
      <c r="GU7" s="1672" t="s">
        <v>6003</v>
      </c>
      <c r="GV7" s="364" t="s">
        <v>5817</v>
      </c>
      <c r="GW7" s="1675" t="s">
        <v>6238</v>
      </c>
      <c r="GX7" s="464" t="s">
        <v>6238</v>
      </c>
      <c r="GY7" s="364" t="s">
        <v>6239</v>
      </c>
      <c r="GZ7" s="464" t="s">
        <v>6142</v>
      </c>
      <c r="HA7" s="1675" t="s">
        <v>5870</v>
      </c>
      <c r="HB7" s="1674" t="s">
        <v>5880</v>
      </c>
      <c r="HC7" s="464" t="s">
        <v>5880</v>
      </c>
      <c r="HD7" s="1675" t="s">
        <v>5824</v>
      </c>
      <c r="HE7" s="1671" t="s">
        <v>6212</v>
      </c>
      <c r="HF7" s="364" t="s">
        <v>6240</v>
      </c>
      <c r="HG7" s="1672" t="s">
        <v>5921</v>
      </c>
      <c r="HH7" s="1676" t="s">
        <v>6183</v>
      </c>
      <c r="HI7" s="1673" t="s">
        <v>6241</v>
      </c>
      <c r="HJ7" s="1673" t="s">
        <v>6241</v>
      </c>
      <c r="HK7" s="1671" t="s">
        <v>6242</v>
      </c>
      <c r="HL7" s="1671" t="s">
        <v>6242</v>
      </c>
      <c r="HM7" s="1673" t="s">
        <v>6132</v>
      </c>
      <c r="HN7" s="1673" t="s">
        <v>6037</v>
      </c>
      <c r="HO7" s="1674" t="s">
        <v>6243</v>
      </c>
      <c r="HP7" s="1675" t="s">
        <v>6244</v>
      </c>
      <c r="HQ7" s="1671" t="s">
        <v>5894</v>
      </c>
      <c r="HR7" s="1671" t="s">
        <v>6034</v>
      </c>
      <c r="HS7" s="464" t="s">
        <v>5817</v>
      </c>
      <c r="HT7" s="1675" t="s">
        <v>5849</v>
      </c>
      <c r="HU7" s="1676" t="s">
        <v>6179</v>
      </c>
      <c r="HV7" s="1676" t="s">
        <v>6036</v>
      </c>
      <c r="HW7" s="1672" t="s">
        <v>5836</v>
      </c>
      <c r="HX7" s="1672" t="s">
        <v>5958</v>
      </c>
      <c r="HY7" s="1675" t="s">
        <v>5834</v>
      </c>
      <c r="HZ7" s="1671" t="s">
        <v>5817</v>
      </c>
      <c r="IA7" s="1673" t="s">
        <v>6129</v>
      </c>
      <c r="IB7" s="253" t="s">
        <v>6245</v>
      </c>
      <c r="IC7" s="464" t="s">
        <v>5922</v>
      </c>
      <c r="ID7" s="1673" t="s">
        <v>6246</v>
      </c>
      <c r="IE7" s="1674" t="s">
        <v>5956</v>
      </c>
      <c r="IF7" s="364" t="s">
        <v>6213</v>
      </c>
      <c r="IG7" s="1671" t="s">
        <v>6208</v>
      </c>
      <c r="IH7" s="1674" t="s">
        <v>6247</v>
      </c>
      <c r="II7" s="1674" t="s">
        <v>5958</v>
      </c>
      <c r="IJ7" s="364" t="s">
        <v>5836</v>
      </c>
      <c r="IK7" s="1673" t="s">
        <v>5836</v>
      </c>
      <c r="IL7" s="1672" t="s">
        <v>5836</v>
      </c>
      <c r="IM7" s="293" t="s">
        <v>6248</v>
      </c>
      <c r="IN7" s="1675" t="s">
        <v>6248</v>
      </c>
      <c r="IO7" s="293" t="s">
        <v>5836</v>
      </c>
      <c r="IP7" s="253" t="s">
        <v>6059</v>
      </c>
      <c r="IQ7" s="1671" t="s">
        <v>5978</v>
      </c>
      <c r="IR7" s="293" t="s">
        <v>6249</v>
      </c>
      <c r="IS7" s="293" t="s">
        <v>6250</v>
      </c>
      <c r="IT7" s="293" t="s">
        <v>6250</v>
      </c>
      <c r="IU7" s="293" t="s">
        <v>5838</v>
      </c>
      <c r="IV7" s="1671" t="s">
        <v>6251</v>
      </c>
      <c r="IW7" s="1671" t="s">
        <v>6251</v>
      </c>
      <c r="IX7" s="1671" t="s">
        <v>5834</v>
      </c>
      <c r="IY7" s="1672" t="s">
        <v>6252</v>
      </c>
      <c r="IZ7" s="1672" t="s">
        <v>6070</v>
      </c>
      <c r="JA7" s="1672" t="s">
        <v>5817</v>
      </c>
      <c r="JB7" s="1675" t="s">
        <v>6179</v>
      </c>
      <c r="JC7" s="1675" t="s">
        <v>5831</v>
      </c>
      <c r="JD7" s="1673" t="s">
        <v>5849</v>
      </c>
      <c r="JE7" s="253" t="s">
        <v>5817</v>
      </c>
      <c r="JF7" s="1671" t="s">
        <v>6062</v>
      </c>
      <c r="JG7" s="253"/>
      <c r="JH7" s="364" t="s">
        <v>6253</v>
      </c>
      <c r="JI7" s="464"/>
      <c r="JJ7" s="293" t="s">
        <v>6176</v>
      </c>
      <c r="JK7" s="293" t="s">
        <v>6254</v>
      </c>
      <c r="JL7" s="293" t="s">
        <v>5844</v>
      </c>
      <c r="JM7" s="293" t="s">
        <v>6255</v>
      </c>
      <c r="JN7" s="1673" t="s">
        <v>6031</v>
      </c>
      <c r="JO7" s="1673" t="s">
        <v>6031</v>
      </c>
      <c r="JP7" s="1673" t="s">
        <v>6256</v>
      </c>
      <c r="JQ7" s="1672" t="s">
        <v>6257</v>
      </c>
      <c r="JR7" s="1672" t="s">
        <v>5834</v>
      </c>
      <c r="JS7" s="253" t="s">
        <v>6189</v>
      </c>
      <c r="JT7" s="364" t="s">
        <v>5834</v>
      </c>
      <c r="JU7" s="253" t="s">
        <v>6065</v>
      </c>
      <c r="JV7" s="253" t="s">
        <v>6065</v>
      </c>
      <c r="JW7" s="253" t="s">
        <v>5834</v>
      </c>
      <c r="JX7" s="1672" t="s">
        <v>6238</v>
      </c>
      <c r="JY7" s="1672" t="s">
        <v>5974</v>
      </c>
      <c r="JZ7" s="1673" t="s">
        <v>6258</v>
      </c>
      <c r="KA7" s="293" t="s">
        <v>6127</v>
      </c>
      <c r="KB7" s="1673" t="s">
        <v>6259</v>
      </c>
      <c r="KC7" s="253" t="s">
        <v>6260</v>
      </c>
      <c r="KD7" s="1673" t="s">
        <v>6259</v>
      </c>
      <c r="KE7" s="1675" t="s">
        <v>6062</v>
      </c>
      <c r="KF7" s="364" t="s">
        <v>6062</v>
      </c>
      <c r="KG7" s="1673" t="s">
        <v>6062</v>
      </c>
      <c r="KH7" s="1674" t="s">
        <v>6129</v>
      </c>
      <c r="KI7" s="1672" t="s">
        <v>6261</v>
      </c>
      <c r="KJ7" s="1672" t="s">
        <v>5838</v>
      </c>
      <c r="KK7" s="364" t="s">
        <v>6262</v>
      </c>
      <c r="KL7" s="1673" t="s">
        <v>6130</v>
      </c>
      <c r="KM7" s="1672" t="s">
        <v>5851</v>
      </c>
      <c r="KN7" s="1675" t="s">
        <v>6263</v>
      </c>
      <c r="KO7" s="1674" t="s">
        <v>5922</v>
      </c>
      <c r="KP7" s="464" t="s">
        <v>5843</v>
      </c>
      <c r="KQ7" s="464" t="s">
        <v>6264</v>
      </c>
      <c r="KR7" s="1676" t="s">
        <v>6265</v>
      </c>
      <c r="KS7" s="1675" t="s">
        <v>6266</v>
      </c>
      <c r="KT7" s="1675" t="s">
        <v>6266</v>
      </c>
      <c r="KU7" s="1675" t="s">
        <v>5817</v>
      </c>
      <c r="KV7" s="1672" t="s">
        <v>6267</v>
      </c>
      <c r="KW7" s="1671" t="s">
        <v>5917</v>
      </c>
      <c r="KX7" s="293" t="s">
        <v>6268</v>
      </c>
      <c r="KY7" s="364" t="s">
        <v>6268</v>
      </c>
      <c r="KZ7" s="364" t="s">
        <v>6269</v>
      </c>
      <c r="LA7" s="364" t="s">
        <v>6269</v>
      </c>
      <c r="LB7" s="1675" t="s">
        <v>6270</v>
      </c>
      <c r="LC7" s="464" t="s">
        <v>6271</v>
      </c>
      <c r="LD7" s="293" t="s">
        <v>5931</v>
      </c>
      <c r="LE7" s="293" t="s">
        <v>6272</v>
      </c>
      <c r="LF7" s="464" t="s">
        <v>6043</v>
      </c>
      <c r="LG7" s="1671" t="s">
        <v>6126</v>
      </c>
      <c r="LH7" s="1672" t="s">
        <v>5853</v>
      </c>
      <c r="LI7" s="1672" t="s">
        <v>6273</v>
      </c>
      <c r="LJ7" s="1672" t="s">
        <v>6273</v>
      </c>
      <c r="LK7" s="364" t="s">
        <v>6274</v>
      </c>
      <c r="LL7" s="1671" t="s">
        <v>6274</v>
      </c>
      <c r="LM7" s="1673" t="s">
        <v>6275</v>
      </c>
      <c r="LN7" s="1676" t="s">
        <v>6276</v>
      </c>
      <c r="LO7" s="464" t="s">
        <v>6276</v>
      </c>
      <c r="LP7" s="1673" t="s">
        <v>6027</v>
      </c>
      <c r="LQ7" s="1673" t="s">
        <v>5917</v>
      </c>
      <c r="LR7" s="293" t="s">
        <v>6256</v>
      </c>
      <c r="LS7" s="293" t="s">
        <v>5917</v>
      </c>
      <c r="LT7" s="293" t="s">
        <v>6156</v>
      </c>
      <c r="LU7" s="293" t="s">
        <v>6156</v>
      </c>
      <c r="LV7" s="1672" t="s">
        <v>6277</v>
      </c>
      <c r="LW7" s="1672" t="s">
        <v>6141</v>
      </c>
      <c r="LX7" s="253" t="s">
        <v>6278</v>
      </c>
      <c r="LY7" s="1676" t="s">
        <v>6279</v>
      </c>
      <c r="LZ7" s="364" t="s">
        <v>5823</v>
      </c>
      <c r="MA7" s="1671" t="s">
        <v>6230</v>
      </c>
      <c r="MB7" s="1675" t="s">
        <v>6155</v>
      </c>
      <c r="MC7" s="1672" t="s">
        <v>5870</v>
      </c>
      <c r="MD7" s="1671" t="s">
        <v>5836</v>
      </c>
      <c r="ME7" s="1671" t="s">
        <v>5836</v>
      </c>
      <c r="MF7" s="1673" t="s">
        <v>6280</v>
      </c>
      <c r="MG7" s="1676" t="s">
        <v>5823</v>
      </c>
      <c r="MH7" s="464" t="s">
        <v>6281</v>
      </c>
      <c r="MI7" s="293" t="s">
        <v>6145</v>
      </c>
      <c r="MJ7" s="1675" t="s">
        <v>6282</v>
      </c>
      <c r="MK7" s="1675" t="s">
        <v>5894</v>
      </c>
      <c r="ML7" s="1673" t="s">
        <v>6283</v>
      </c>
      <c r="MM7" s="1674" t="s">
        <v>6284</v>
      </c>
      <c r="MN7" s="253" t="s">
        <v>6285</v>
      </c>
      <c r="MO7" s="293" t="s">
        <v>5877</v>
      </c>
      <c r="MP7" s="1676" t="s">
        <v>6286</v>
      </c>
      <c r="MQ7" s="1676" t="s">
        <v>6286</v>
      </c>
      <c r="MR7" s="1676" t="s">
        <v>6287</v>
      </c>
      <c r="MS7" s="1676" t="s">
        <v>6045</v>
      </c>
      <c r="MT7" s="293" t="s">
        <v>6125</v>
      </c>
      <c r="MU7" s="1672" t="s">
        <v>6056</v>
      </c>
      <c r="MV7" s="253" t="s">
        <v>6288</v>
      </c>
      <c r="MW7" s="1672" t="s">
        <v>6003</v>
      </c>
      <c r="MX7" s="1675" t="s">
        <v>6289</v>
      </c>
      <c r="MY7" s="1675" t="s">
        <v>5956</v>
      </c>
      <c r="MZ7" s="1672" t="s">
        <v>5894</v>
      </c>
      <c r="NA7" s="1672" t="s">
        <v>5894</v>
      </c>
      <c r="NB7" s="1672" t="s">
        <v>5834</v>
      </c>
      <c r="NC7" s="1672" t="s">
        <v>6290</v>
      </c>
      <c r="ND7" s="1672" t="s">
        <v>6064</v>
      </c>
      <c r="NE7" s="1674" t="s">
        <v>6017</v>
      </c>
      <c r="NF7" s="1675" t="s">
        <v>5894</v>
      </c>
      <c r="NG7" s="1674" t="s">
        <v>6291</v>
      </c>
      <c r="NH7" s="1672" t="s">
        <v>6138</v>
      </c>
      <c r="NI7" s="253" t="s">
        <v>6217</v>
      </c>
      <c r="NJ7" s="1672" t="s">
        <v>5836</v>
      </c>
      <c r="NK7" s="1672" t="s">
        <v>6290</v>
      </c>
      <c r="NL7" s="1672" t="s">
        <v>5972</v>
      </c>
      <c r="NM7" s="1672" t="s">
        <v>5962</v>
      </c>
      <c r="NN7" s="1673" t="s">
        <v>6115</v>
      </c>
      <c r="NO7" s="1672" t="s">
        <v>6292</v>
      </c>
      <c r="NP7" s="1675" t="s">
        <v>6165</v>
      </c>
      <c r="NQ7" s="1671" t="s">
        <v>6293</v>
      </c>
      <c r="NR7" s="1672" t="s">
        <v>6293</v>
      </c>
      <c r="NS7" s="1672" t="s">
        <v>6294</v>
      </c>
      <c r="NT7" s="1671" t="s">
        <v>6295</v>
      </c>
      <c r="NU7" s="293" t="s">
        <v>6296</v>
      </c>
      <c r="NV7" s="364" t="s">
        <v>5823</v>
      </c>
      <c r="NW7" s="1671" t="s">
        <v>6297</v>
      </c>
      <c r="NX7" s="1671" t="s">
        <v>6297</v>
      </c>
      <c r="NY7" s="1671" t="s">
        <v>6297</v>
      </c>
      <c r="NZ7" s="1671" t="s">
        <v>6298</v>
      </c>
      <c r="OA7" s="293" t="s">
        <v>6299</v>
      </c>
      <c r="OB7" s="293" t="s">
        <v>6299</v>
      </c>
      <c r="OC7" s="293" t="s">
        <v>5817</v>
      </c>
      <c r="OD7" s="1673" t="s">
        <v>6300</v>
      </c>
      <c r="OE7" s="1673" t="s">
        <v>6300</v>
      </c>
      <c r="OF7" s="1673" t="s">
        <v>5836</v>
      </c>
      <c r="OG7" s="1672" t="s">
        <v>6301</v>
      </c>
      <c r="OH7" s="1672" t="s">
        <v>6301</v>
      </c>
      <c r="OI7" s="1672" t="s">
        <v>5817</v>
      </c>
      <c r="OJ7" s="1673" t="s">
        <v>6302</v>
      </c>
      <c r="OK7" s="1673" t="s">
        <v>6302</v>
      </c>
      <c r="OL7" s="1673" t="s">
        <v>5834</v>
      </c>
      <c r="OM7" s="1673" t="s">
        <v>6303</v>
      </c>
      <c r="ON7" s="1673" t="s">
        <v>6120</v>
      </c>
      <c r="OO7" s="1671" t="s">
        <v>5999</v>
      </c>
      <c r="OP7" s="1671" t="s">
        <v>5917</v>
      </c>
      <c r="OQ7" s="1672" t="s">
        <v>6178</v>
      </c>
      <c r="OR7" s="1672" t="s">
        <v>6178</v>
      </c>
      <c r="OS7" s="1672" t="s">
        <v>6036</v>
      </c>
      <c r="OT7" s="293" t="s">
        <v>6304</v>
      </c>
      <c r="OU7" s="293" t="s">
        <v>5884</v>
      </c>
      <c r="OV7" s="1672" t="s">
        <v>6305</v>
      </c>
      <c r="OW7" s="1672" t="s">
        <v>6153</v>
      </c>
      <c r="OX7" s="1675" t="s">
        <v>6306</v>
      </c>
      <c r="OY7" s="1675" t="s">
        <v>6154</v>
      </c>
      <c r="OZ7" s="293" t="s">
        <v>6028</v>
      </c>
      <c r="PA7" s="293" t="s">
        <v>5817</v>
      </c>
      <c r="PB7" s="364" t="s">
        <v>5817</v>
      </c>
      <c r="PC7" s="1674" t="s">
        <v>5970</v>
      </c>
      <c r="PD7" s="364" t="s">
        <v>6062</v>
      </c>
      <c r="PE7" s="364" t="s">
        <v>5941</v>
      </c>
      <c r="PF7" s="364" t="s">
        <v>5941</v>
      </c>
      <c r="PG7" s="253" t="s">
        <v>6271</v>
      </c>
      <c r="PH7" s="1673" t="s">
        <v>6257</v>
      </c>
      <c r="PI7" s="1673" t="s">
        <v>6257</v>
      </c>
      <c r="PJ7" s="1674" t="s">
        <v>6258</v>
      </c>
      <c r="PK7" s="1674" t="s">
        <v>6156</v>
      </c>
      <c r="PL7" s="464" t="s">
        <v>6307</v>
      </c>
      <c r="PM7" s="464" t="s">
        <v>6307</v>
      </c>
      <c r="PN7" s="464" t="s">
        <v>6232</v>
      </c>
      <c r="PO7" s="464" t="s">
        <v>6274</v>
      </c>
      <c r="PP7" s="464" t="s">
        <v>6157</v>
      </c>
      <c r="PQ7" s="1673" t="s">
        <v>6025</v>
      </c>
      <c r="PR7" s="1673" t="s">
        <v>5838</v>
      </c>
      <c r="PS7" s="464" t="s">
        <v>6308</v>
      </c>
      <c r="PT7" s="1676" t="s">
        <v>6013</v>
      </c>
      <c r="PU7" s="1675" t="s">
        <v>5886</v>
      </c>
      <c r="PV7" s="1675" t="s">
        <v>5886</v>
      </c>
      <c r="PW7" s="364" t="s">
        <v>6129</v>
      </c>
      <c r="PX7" s="464" t="s">
        <v>6309</v>
      </c>
      <c r="PY7" s="464" t="s">
        <v>6309</v>
      </c>
      <c r="PZ7" s="293" t="s">
        <v>6270</v>
      </c>
      <c r="QA7" s="293" t="s">
        <v>5823</v>
      </c>
      <c r="QB7" s="1673" t="s">
        <v>6230</v>
      </c>
      <c r="QC7" s="1674" t="s">
        <v>5823</v>
      </c>
      <c r="QD7" s="1674" t="s">
        <v>6310</v>
      </c>
      <c r="QE7" s="1676" t="s">
        <v>6311</v>
      </c>
      <c r="QF7" s="464" t="s">
        <v>6312</v>
      </c>
      <c r="QG7" s="1672" t="s">
        <v>6160</v>
      </c>
      <c r="QH7" s="1672" t="s">
        <v>6313</v>
      </c>
      <c r="QI7" s="1672" t="s">
        <v>6160</v>
      </c>
      <c r="QJ7" s="1676" t="s">
        <v>5958</v>
      </c>
      <c r="QK7" s="1672" t="s">
        <v>5859</v>
      </c>
      <c r="QL7" s="1672" t="s">
        <v>6133</v>
      </c>
      <c r="QM7" s="1673" t="s">
        <v>6179</v>
      </c>
      <c r="QN7" s="1673" t="s">
        <v>5865</v>
      </c>
      <c r="QO7" s="464" t="s">
        <v>6314</v>
      </c>
      <c r="QP7" s="464" t="s">
        <v>5853</v>
      </c>
      <c r="QQ7" s="1672" t="s">
        <v>6132</v>
      </c>
      <c r="QR7" s="1672" t="s">
        <v>5922</v>
      </c>
      <c r="QS7" s="293" t="s">
        <v>6315</v>
      </c>
      <c r="QT7" s="1672" t="s">
        <v>6316</v>
      </c>
      <c r="QU7" s="1672" t="s">
        <v>5838</v>
      </c>
      <c r="QV7" s="1672" t="s">
        <v>6021</v>
      </c>
      <c r="QW7" s="253" t="s">
        <v>6317</v>
      </c>
      <c r="QX7" s="253" t="s">
        <v>6125</v>
      </c>
      <c r="QY7" s="1676" t="s">
        <v>5859</v>
      </c>
      <c r="QZ7" s="1675" t="s">
        <v>6006</v>
      </c>
      <c r="RA7" s="1674" t="s">
        <v>6207</v>
      </c>
      <c r="RB7" s="1675" t="s">
        <v>6094</v>
      </c>
      <c r="RC7" s="1672" t="s">
        <v>6095</v>
      </c>
      <c r="RD7" s="364" t="s">
        <v>5886</v>
      </c>
      <c r="RE7" s="1671" t="s">
        <v>5840</v>
      </c>
      <c r="RF7" s="253" t="s">
        <v>5901</v>
      </c>
      <c r="RG7" s="293" t="s">
        <v>6025</v>
      </c>
      <c r="RH7" s="293" t="s">
        <v>5817</v>
      </c>
      <c r="RI7" s="1672" t="s">
        <v>5817</v>
      </c>
      <c r="RJ7" s="464" t="s">
        <v>5864</v>
      </c>
      <c r="RK7" s="1673" t="s">
        <v>5924</v>
      </c>
      <c r="RL7" s="1671" t="s">
        <v>5817</v>
      </c>
      <c r="RM7" s="253" t="s">
        <v>5823</v>
      </c>
      <c r="RN7" s="1675" t="s">
        <v>5817</v>
      </c>
      <c r="RO7" s="1676" t="s">
        <v>6045</v>
      </c>
      <c r="RP7" s="254" t="s">
        <v>5836</v>
      </c>
      <c r="RQ7" s="1671" t="s">
        <v>6042</v>
      </c>
      <c r="RR7" s="1671" t="s">
        <v>6042</v>
      </c>
      <c r="RS7" s="1671" t="s">
        <v>6042</v>
      </c>
      <c r="RT7" s="1671" t="s">
        <v>6042</v>
      </c>
      <c r="RU7" s="1671" t="s">
        <v>6042</v>
      </c>
      <c r="RV7" s="1671" t="s">
        <v>6042</v>
      </c>
      <c r="RW7" s="364" t="s">
        <v>6318</v>
      </c>
      <c r="RX7" s="1674" t="s">
        <v>6318</v>
      </c>
      <c r="RY7" s="1672" t="s">
        <v>6318</v>
      </c>
      <c r="RZ7" s="253" t="s">
        <v>6150</v>
      </c>
      <c r="SA7" s="464" t="s">
        <v>6150</v>
      </c>
      <c r="SB7" s="1673" t="s">
        <v>6319</v>
      </c>
      <c r="SC7" s="253" t="s">
        <v>6320</v>
      </c>
      <c r="SD7" s="1676" t="s">
        <v>6150</v>
      </c>
      <c r="SE7" s="1676" t="s">
        <v>6150</v>
      </c>
      <c r="SF7" s="364" t="s">
        <v>6321</v>
      </c>
      <c r="SG7" s="1672" t="s">
        <v>6322</v>
      </c>
      <c r="SH7" s="1672" t="s">
        <v>5851</v>
      </c>
      <c r="SI7" s="1676" t="s">
        <v>5883</v>
      </c>
      <c r="SJ7" s="293" t="s">
        <v>6258</v>
      </c>
      <c r="SK7" s="293" t="s">
        <v>6258</v>
      </c>
      <c r="SL7" s="1675" t="s">
        <v>6323</v>
      </c>
    </row>
    <row r="8" ht="15.75" customHeight="1">
      <c r="A8" s="1517"/>
      <c r="B8" s="1680" t="s">
        <v>6324</v>
      </c>
      <c r="C8" s="1680" t="s">
        <v>6324</v>
      </c>
      <c r="D8" s="1680" t="s">
        <v>6068</v>
      </c>
      <c r="E8" s="1680" t="s">
        <v>6325</v>
      </c>
      <c r="F8" s="1680" t="s">
        <v>6325</v>
      </c>
      <c r="G8" s="1680" t="s">
        <v>5834</v>
      </c>
      <c r="H8" s="1680" t="s">
        <v>6326</v>
      </c>
      <c r="I8" s="1680" t="s">
        <v>6326</v>
      </c>
      <c r="J8" s="1680" t="s">
        <v>5942</v>
      </c>
      <c r="K8" s="1680"/>
      <c r="L8" s="1680"/>
      <c r="M8" s="1680" t="s">
        <v>6253</v>
      </c>
      <c r="N8" s="1680"/>
      <c r="O8" s="1680"/>
      <c r="P8" s="1680" t="s">
        <v>6327</v>
      </c>
      <c r="Q8" s="1680" t="s">
        <v>6328</v>
      </c>
      <c r="R8" s="1680" t="s">
        <v>6328</v>
      </c>
      <c r="S8" s="1680" t="s">
        <v>5817</v>
      </c>
      <c r="T8" s="1680" t="s">
        <v>6274</v>
      </c>
      <c r="U8" s="1680" t="s">
        <v>5886</v>
      </c>
      <c r="V8" s="1680" t="s">
        <v>6329</v>
      </c>
      <c r="W8" s="1680" t="s">
        <v>5834</v>
      </c>
      <c r="X8" s="1680" t="s">
        <v>6330</v>
      </c>
      <c r="Y8" s="1680" t="s">
        <v>5836</v>
      </c>
      <c r="Z8" s="1680" t="s">
        <v>6100</v>
      </c>
      <c r="AA8" s="1680" t="s">
        <v>5832</v>
      </c>
      <c r="AB8" s="1680" t="s">
        <v>6331</v>
      </c>
      <c r="AC8" s="1680" t="s">
        <v>6331</v>
      </c>
      <c r="AD8" s="1680" t="s">
        <v>6241</v>
      </c>
      <c r="AE8" s="1680" t="s">
        <v>6241</v>
      </c>
      <c r="AF8" s="1680" t="s">
        <v>6332</v>
      </c>
      <c r="AG8" s="1680" t="s">
        <v>6333</v>
      </c>
      <c r="AH8" s="1680" t="s">
        <v>6333</v>
      </c>
      <c r="AI8" s="1680" t="s">
        <v>6332</v>
      </c>
      <c r="AJ8" s="1680" t="s">
        <v>6277</v>
      </c>
      <c r="AK8" s="1680" t="s">
        <v>6334</v>
      </c>
      <c r="AL8" s="1680" t="s">
        <v>6335</v>
      </c>
      <c r="AM8" s="1680" t="s">
        <v>5886</v>
      </c>
      <c r="AN8" s="1680" t="s">
        <v>6336</v>
      </c>
      <c r="AO8" s="1680" t="s">
        <v>5958</v>
      </c>
      <c r="AP8" s="1680" t="s">
        <v>6337</v>
      </c>
      <c r="AQ8" s="1680" t="s">
        <v>6179</v>
      </c>
      <c r="AR8" s="1680" t="s">
        <v>6338</v>
      </c>
      <c r="AS8" s="1680" t="s">
        <v>6338</v>
      </c>
      <c r="AT8" s="1680" t="s">
        <v>6339</v>
      </c>
      <c r="AU8" s="1680" t="s">
        <v>6340</v>
      </c>
      <c r="AV8" s="1680" t="s">
        <v>6188</v>
      </c>
      <c r="AW8" s="1680" t="s">
        <v>6341</v>
      </c>
      <c r="AX8" s="1680" t="s">
        <v>6189</v>
      </c>
      <c r="AY8" s="1680" t="s">
        <v>6129</v>
      </c>
      <c r="AZ8" s="1680" t="s">
        <v>6129</v>
      </c>
      <c r="BA8" s="1680" t="s">
        <v>6342</v>
      </c>
      <c r="BB8" s="1680" t="s">
        <v>6190</v>
      </c>
      <c r="BC8" s="1680" t="s">
        <v>6343</v>
      </c>
      <c r="BD8" s="1680" t="s">
        <v>5942</v>
      </c>
      <c r="BE8" s="1680" t="s">
        <v>6344</v>
      </c>
      <c r="BF8" s="1680" t="s">
        <v>6344</v>
      </c>
      <c r="BG8" s="1680" t="s">
        <v>6138</v>
      </c>
      <c r="BH8" s="1680" t="s">
        <v>6083</v>
      </c>
      <c r="BI8" s="1680" t="s">
        <v>6345</v>
      </c>
      <c r="BJ8" s="1680" t="s">
        <v>6345</v>
      </c>
      <c r="BK8" s="1680" t="s">
        <v>5838</v>
      </c>
      <c r="BL8" s="1680"/>
      <c r="BM8" s="1680" t="s">
        <v>6346</v>
      </c>
      <c r="BN8" s="1680" t="s">
        <v>5856</v>
      </c>
      <c r="BO8" s="1680" t="s">
        <v>6347</v>
      </c>
      <c r="BP8" s="1680" t="s">
        <v>6347</v>
      </c>
      <c r="BQ8" s="1680" t="s">
        <v>5904</v>
      </c>
      <c r="BR8" s="1680" t="s">
        <v>6338</v>
      </c>
      <c r="BS8" s="1680" t="s">
        <v>6338</v>
      </c>
      <c r="BT8" s="1680" t="s">
        <v>6348</v>
      </c>
      <c r="BU8" s="1680" t="s">
        <v>6349</v>
      </c>
      <c r="BV8" s="1680" t="s">
        <v>6349</v>
      </c>
      <c r="BW8" s="1680" t="s">
        <v>6350</v>
      </c>
      <c r="BX8" s="1680" t="s">
        <v>6350</v>
      </c>
      <c r="BY8" s="1680" t="s">
        <v>5958</v>
      </c>
      <c r="BZ8" s="1680" t="s">
        <v>6351</v>
      </c>
      <c r="CA8" s="1680" t="s">
        <v>5834</v>
      </c>
      <c r="CB8" s="1680" t="s">
        <v>6155</v>
      </c>
      <c r="CC8" s="1680" t="s">
        <v>6155</v>
      </c>
      <c r="CD8" s="1680" t="s">
        <v>6352</v>
      </c>
      <c r="CE8" s="1680" t="s">
        <v>6352</v>
      </c>
      <c r="CF8" s="1680" t="s">
        <v>6353</v>
      </c>
      <c r="CG8" s="1680" t="s">
        <v>6354</v>
      </c>
      <c r="CH8" s="1680" t="s">
        <v>5886</v>
      </c>
      <c r="CI8" s="1682" t="s">
        <v>6355</v>
      </c>
      <c r="CJ8" s="1682" t="s">
        <v>6356</v>
      </c>
      <c r="CK8" s="1680" t="s">
        <v>6280</v>
      </c>
      <c r="CL8" s="1680" t="s">
        <v>5869</v>
      </c>
      <c r="CM8" s="1680" t="s">
        <v>6357</v>
      </c>
      <c r="CN8" s="1680" t="s">
        <v>5970</v>
      </c>
      <c r="CO8" s="1680" t="s">
        <v>6358</v>
      </c>
      <c r="CP8" s="1680" t="s">
        <v>6358</v>
      </c>
      <c r="CQ8" s="1680" t="s">
        <v>6358</v>
      </c>
      <c r="CR8" s="1680" t="s">
        <v>6359</v>
      </c>
      <c r="CS8" s="1680" t="s">
        <v>6343</v>
      </c>
      <c r="CT8" s="1680" t="s">
        <v>6018</v>
      </c>
      <c r="CU8" s="1680" t="s">
        <v>6360</v>
      </c>
      <c r="CV8" s="1680" t="s">
        <v>5870</v>
      </c>
      <c r="CW8" s="1680" t="s">
        <v>6361</v>
      </c>
      <c r="CX8" s="1680" t="s">
        <v>6361</v>
      </c>
      <c r="CY8" s="1680" t="s">
        <v>6362</v>
      </c>
      <c r="CZ8" s="1680" t="s">
        <v>5823</v>
      </c>
      <c r="DA8" s="1680" t="s">
        <v>6266</v>
      </c>
      <c r="DB8" s="1680" t="s">
        <v>6266</v>
      </c>
      <c r="DC8" s="1680" t="s">
        <v>6363</v>
      </c>
      <c r="DD8" s="1680" t="s">
        <v>6364</v>
      </c>
      <c r="DE8" s="1680" t="s">
        <v>6365</v>
      </c>
      <c r="DF8" s="1680" t="s">
        <v>6366</v>
      </c>
      <c r="DG8" s="1680" t="s">
        <v>6208</v>
      </c>
      <c r="DH8" s="1680" t="s">
        <v>6313</v>
      </c>
      <c r="DI8" s="1680" t="s">
        <v>6209</v>
      </c>
      <c r="DJ8" s="1680" t="s">
        <v>5838</v>
      </c>
      <c r="DK8" s="1680" t="s">
        <v>6176</v>
      </c>
      <c r="DL8" s="1680" t="s">
        <v>6217</v>
      </c>
      <c r="DM8" s="1680" t="s">
        <v>6274</v>
      </c>
      <c r="DN8" s="1680" t="s">
        <v>6155</v>
      </c>
      <c r="DO8" s="1680" t="s">
        <v>6021</v>
      </c>
      <c r="DP8" s="1680" t="s">
        <v>5886</v>
      </c>
      <c r="DQ8" s="1680" t="s">
        <v>6367</v>
      </c>
      <c r="DR8" s="1680" t="s">
        <v>6368</v>
      </c>
      <c r="DS8" s="1680" t="s">
        <v>5823</v>
      </c>
      <c r="DT8" s="1680" t="s">
        <v>6180</v>
      </c>
      <c r="DU8" s="1680" t="s">
        <v>5956</v>
      </c>
      <c r="DV8" s="1680" t="s">
        <v>6369</v>
      </c>
      <c r="DW8" s="1680" t="s">
        <v>6370</v>
      </c>
      <c r="DX8" s="1680" t="s">
        <v>6371</v>
      </c>
      <c r="DY8" s="1680" t="s">
        <v>6372</v>
      </c>
      <c r="DZ8" s="1680"/>
      <c r="EA8" s="1680" t="s">
        <v>6373</v>
      </c>
      <c r="EB8" s="1680" t="s">
        <v>6374</v>
      </c>
      <c r="EC8" s="1680"/>
      <c r="ED8" s="1680" t="s">
        <v>5853</v>
      </c>
      <c r="EE8" s="1680" t="s">
        <v>5853</v>
      </c>
      <c r="EF8" s="1680" t="s">
        <v>5853</v>
      </c>
      <c r="EG8" s="1680" t="s">
        <v>5853</v>
      </c>
      <c r="EH8" s="1680" t="s">
        <v>6375</v>
      </c>
      <c r="EI8" s="1680" t="s">
        <v>6376</v>
      </c>
      <c r="EJ8" s="1680" t="s">
        <v>6098</v>
      </c>
      <c r="EK8" s="1680" t="s">
        <v>6377</v>
      </c>
      <c r="EL8" s="1680" t="s">
        <v>6081</v>
      </c>
      <c r="EM8" s="1680" t="s">
        <v>5853</v>
      </c>
      <c r="EN8" s="1680" t="s">
        <v>6378</v>
      </c>
      <c r="EO8" s="1680" t="s">
        <v>6379</v>
      </c>
      <c r="EP8" s="1680" t="s">
        <v>6380</v>
      </c>
      <c r="EQ8" s="1680" t="s">
        <v>6381</v>
      </c>
      <c r="ER8" s="1680" t="s">
        <v>6382</v>
      </c>
      <c r="ES8" s="1680" t="s">
        <v>6382</v>
      </c>
      <c r="ET8" s="1680" t="s">
        <v>5836</v>
      </c>
      <c r="EU8" s="1680" t="s">
        <v>6293</v>
      </c>
      <c r="EV8" s="1680" t="s">
        <v>6383</v>
      </c>
      <c r="EW8" s="1680" t="s">
        <v>6384</v>
      </c>
      <c r="EX8" s="1680" t="s">
        <v>6384</v>
      </c>
      <c r="EY8" s="1680" t="s">
        <v>6103</v>
      </c>
      <c r="EZ8" s="1680" t="s">
        <v>6385</v>
      </c>
      <c r="FA8" s="1680" t="s">
        <v>6385</v>
      </c>
      <c r="FB8" s="1680" t="s">
        <v>5836</v>
      </c>
      <c r="FC8" s="1680" t="s">
        <v>6386</v>
      </c>
      <c r="FD8" s="1680" t="s">
        <v>6386</v>
      </c>
      <c r="FE8" s="1680" t="s">
        <v>6070</v>
      </c>
      <c r="FF8" s="1680" t="s">
        <v>6344</v>
      </c>
      <c r="FG8" s="1680" t="s">
        <v>5886</v>
      </c>
      <c r="FH8" s="1680" t="s">
        <v>6191</v>
      </c>
      <c r="FI8" s="1680" t="s">
        <v>5834</v>
      </c>
      <c r="FJ8" s="1680" t="s">
        <v>6225</v>
      </c>
      <c r="FK8" s="1680" t="s">
        <v>5882</v>
      </c>
      <c r="FL8" s="1686" t="s">
        <v>6387</v>
      </c>
      <c r="FM8" s="1680" t="s">
        <v>6225</v>
      </c>
      <c r="FN8" s="1680" t="s">
        <v>5936</v>
      </c>
      <c r="FO8" s="1680" t="s">
        <v>6345</v>
      </c>
      <c r="FP8" s="1680" t="s">
        <v>6345</v>
      </c>
      <c r="FQ8" s="1680" t="s">
        <v>6388</v>
      </c>
      <c r="FR8" s="1680" t="s">
        <v>6182</v>
      </c>
      <c r="FS8" s="1680" t="s">
        <v>6078</v>
      </c>
      <c r="FT8" s="1687" t="s">
        <v>6389</v>
      </c>
      <c r="FU8" s="1688" t="s">
        <v>6106</v>
      </c>
      <c r="FV8" s="1686" t="s">
        <v>6390</v>
      </c>
      <c r="FW8" s="1680" t="s">
        <v>6228</v>
      </c>
      <c r="FX8" s="1664" t="s">
        <v>6391</v>
      </c>
      <c r="FY8" s="1680" t="s">
        <v>6391</v>
      </c>
      <c r="FZ8" s="1680" t="s">
        <v>5817</v>
      </c>
      <c r="GA8" s="1680" t="s">
        <v>6008</v>
      </c>
      <c r="GB8" s="1680" t="s">
        <v>6392</v>
      </c>
      <c r="GC8" s="1680" t="s">
        <v>5942</v>
      </c>
      <c r="GD8" s="1680" t="s">
        <v>6393</v>
      </c>
      <c r="GE8" s="1680" t="s">
        <v>6076</v>
      </c>
      <c r="GF8" s="1680" t="s">
        <v>6211</v>
      </c>
      <c r="GG8" s="1680" t="s">
        <v>6211</v>
      </c>
      <c r="GH8" s="1680" t="s">
        <v>6211</v>
      </c>
      <c r="GI8" s="1680" t="s">
        <v>6394</v>
      </c>
      <c r="GJ8" s="1680" t="s">
        <v>6304</v>
      </c>
      <c r="GK8" s="1680" t="s">
        <v>6233</v>
      </c>
      <c r="GL8" s="1680" t="s">
        <v>6395</v>
      </c>
      <c r="GM8" s="1680" t="s">
        <v>6396</v>
      </c>
      <c r="GN8" s="1680" t="s">
        <v>6396</v>
      </c>
      <c r="GO8" s="1680" t="s">
        <v>5853</v>
      </c>
      <c r="GP8" s="1680" t="s">
        <v>5853</v>
      </c>
      <c r="GQ8" s="1680" t="s">
        <v>6397</v>
      </c>
      <c r="GR8" s="1680" t="s">
        <v>5817</v>
      </c>
      <c r="GS8" s="1680" t="s">
        <v>6398</v>
      </c>
      <c r="GT8" s="1689" t="s">
        <v>5900</v>
      </c>
      <c r="GU8" s="1680" t="s">
        <v>5986</v>
      </c>
      <c r="GV8" s="1680" t="s">
        <v>5834</v>
      </c>
      <c r="GW8" s="1680" t="s">
        <v>6399</v>
      </c>
      <c r="GX8" s="1680" t="s">
        <v>6399</v>
      </c>
      <c r="GY8" s="1680" t="s">
        <v>6400</v>
      </c>
      <c r="GZ8" s="1680" t="s">
        <v>6278</v>
      </c>
      <c r="HA8" s="1680" t="s">
        <v>5817</v>
      </c>
      <c r="HB8" s="1680" t="s">
        <v>5817</v>
      </c>
      <c r="HC8" s="1680" t="s">
        <v>5817</v>
      </c>
      <c r="HD8" s="1680" t="s">
        <v>6392</v>
      </c>
      <c r="HE8" s="1680" t="s">
        <v>6180</v>
      </c>
      <c r="HF8" s="1680" t="s">
        <v>6401</v>
      </c>
      <c r="HG8" s="1680" t="s">
        <v>5817</v>
      </c>
      <c r="HH8" s="1680" t="s">
        <v>6402</v>
      </c>
      <c r="HI8" s="1680" t="s">
        <v>6403</v>
      </c>
      <c r="HJ8" s="1680" t="s">
        <v>6403</v>
      </c>
      <c r="HK8" s="1680" t="s">
        <v>6404</v>
      </c>
      <c r="HL8" s="1680" t="s">
        <v>6404</v>
      </c>
      <c r="HM8" s="1680" t="s">
        <v>6405</v>
      </c>
      <c r="HN8" s="1680" t="s">
        <v>6132</v>
      </c>
      <c r="HO8" s="1680" t="s">
        <v>6406</v>
      </c>
      <c r="HP8" s="1680" t="s">
        <v>6407</v>
      </c>
      <c r="HQ8" s="1680" t="s">
        <v>6032</v>
      </c>
      <c r="HR8" s="1680" t="s">
        <v>6292</v>
      </c>
      <c r="HS8" s="1680" t="s">
        <v>5873</v>
      </c>
      <c r="HT8" s="1680" t="s">
        <v>6408</v>
      </c>
      <c r="HU8" s="1680" t="s">
        <v>6409</v>
      </c>
      <c r="HV8" s="1680" t="s">
        <v>6179</v>
      </c>
      <c r="HW8" s="1680" t="s">
        <v>6096</v>
      </c>
      <c r="HX8" s="1680" t="s">
        <v>6132</v>
      </c>
      <c r="HY8" s="1680" t="s">
        <v>5958</v>
      </c>
      <c r="HZ8" s="1680" t="s">
        <v>5958</v>
      </c>
      <c r="IA8" s="1680" t="s">
        <v>6410</v>
      </c>
      <c r="IB8" s="1664" t="s">
        <v>6411</v>
      </c>
      <c r="IC8" s="1680" t="s">
        <v>5859</v>
      </c>
      <c r="ID8" s="1680" t="s">
        <v>6206</v>
      </c>
      <c r="IE8" s="1680" t="s">
        <v>6412</v>
      </c>
      <c r="IF8" s="1680" t="s">
        <v>6369</v>
      </c>
      <c r="IG8" s="1680" t="s">
        <v>6370</v>
      </c>
      <c r="IH8" s="1680" t="s">
        <v>6413</v>
      </c>
      <c r="II8" s="1680" t="s">
        <v>5838</v>
      </c>
      <c r="IJ8" s="1680" t="s">
        <v>6083</v>
      </c>
      <c r="IK8" s="1680" t="s">
        <v>6083</v>
      </c>
      <c r="IL8" s="1680" t="s">
        <v>6059</v>
      </c>
      <c r="IM8" s="1680" t="s">
        <v>6180</v>
      </c>
      <c r="IN8" s="1680" t="s">
        <v>6180</v>
      </c>
      <c r="IO8" s="1680" t="s">
        <v>5853</v>
      </c>
      <c r="IP8" s="1664" t="s">
        <v>6414</v>
      </c>
      <c r="IQ8" s="1680" t="s">
        <v>6414</v>
      </c>
      <c r="IR8" s="1680" t="s">
        <v>6169</v>
      </c>
      <c r="IS8" s="1680" t="s">
        <v>6415</v>
      </c>
      <c r="IT8" s="1680" t="s">
        <v>6415</v>
      </c>
      <c r="IU8" s="1680" t="s">
        <v>5836</v>
      </c>
      <c r="IV8" s="1680" t="s">
        <v>6416</v>
      </c>
      <c r="IW8" s="1680" t="s">
        <v>6416</v>
      </c>
      <c r="IX8" s="1680" t="s">
        <v>6069</v>
      </c>
      <c r="IY8" s="1680" t="s">
        <v>6417</v>
      </c>
      <c r="IZ8" s="1680" t="s">
        <v>6252</v>
      </c>
      <c r="JA8" s="1680" t="s">
        <v>5834</v>
      </c>
      <c r="JB8" s="1680" t="s">
        <v>6418</v>
      </c>
      <c r="JC8" s="1680" t="s">
        <v>6419</v>
      </c>
      <c r="JD8" s="1680" t="s">
        <v>6420</v>
      </c>
      <c r="JE8" s="1664" t="s">
        <v>5834</v>
      </c>
      <c r="JF8" s="1680"/>
      <c r="JG8" s="1664"/>
      <c r="JH8" s="1680" t="s">
        <v>6421</v>
      </c>
      <c r="JI8" s="1680"/>
      <c r="JJ8" s="1680" t="s">
        <v>6421</v>
      </c>
      <c r="JK8" s="1680" t="s">
        <v>6422</v>
      </c>
      <c r="JL8" s="1680" t="s">
        <v>6254</v>
      </c>
      <c r="JM8" s="1680" t="s">
        <v>6423</v>
      </c>
      <c r="JN8" s="1680" t="s">
        <v>6422</v>
      </c>
      <c r="JO8" s="1680" t="s">
        <v>6422</v>
      </c>
      <c r="JP8" s="1680" t="s">
        <v>5930</v>
      </c>
      <c r="JQ8" s="1680" t="s">
        <v>6397</v>
      </c>
      <c r="JR8" s="1680" t="s">
        <v>6126</v>
      </c>
      <c r="JS8" s="1664" t="s">
        <v>6337</v>
      </c>
      <c r="JT8" s="1680" t="s">
        <v>6424</v>
      </c>
      <c r="JU8" s="1664" t="s">
        <v>6425</v>
      </c>
      <c r="JV8" s="1664" t="s">
        <v>6425</v>
      </c>
      <c r="JW8" s="1664" t="s">
        <v>5823</v>
      </c>
      <c r="JX8" s="1680" t="s">
        <v>6426</v>
      </c>
      <c r="JY8" s="1680" t="s">
        <v>5898</v>
      </c>
      <c r="JZ8" s="1680" t="s">
        <v>6427</v>
      </c>
      <c r="KA8" s="1680" t="s">
        <v>6258</v>
      </c>
      <c r="KB8" s="1680" t="s">
        <v>6428</v>
      </c>
      <c r="KC8" s="1664" t="s">
        <v>6428</v>
      </c>
      <c r="KD8" s="1680" t="s">
        <v>6428</v>
      </c>
      <c r="KE8" s="1680" t="s">
        <v>6130</v>
      </c>
      <c r="KF8" s="1680" t="s">
        <v>6130</v>
      </c>
      <c r="KG8" s="1680" t="s">
        <v>6130</v>
      </c>
      <c r="KH8" s="1680" t="s">
        <v>6261</v>
      </c>
      <c r="KI8" s="1680" t="s">
        <v>6429</v>
      </c>
      <c r="KJ8" s="1680" t="s">
        <v>6036</v>
      </c>
      <c r="KK8" s="1680" t="s">
        <v>6342</v>
      </c>
      <c r="KL8" s="1680" t="s">
        <v>6262</v>
      </c>
      <c r="KM8" s="1680" t="s">
        <v>6392</v>
      </c>
      <c r="KN8" s="1680" t="s">
        <v>6430</v>
      </c>
      <c r="KO8" s="1680" t="s">
        <v>6082</v>
      </c>
      <c r="KP8" s="1680" t="s">
        <v>5922</v>
      </c>
      <c r="KQ8" s="1680" t="s">
        <v>6129</v>
      </c>
      <c r="KR8" s="1680" t="s">
        <v>6179</v>
      </c>
      <c r="KS8" s="1680" t="s">
        <v>6431</v>
      </c>
      <c r="KT8" s="1680" t="s">
        <v>6431</v>
      </c>
      <c r="KU8" s="1680" t="s">
        <v>5822</v>
      </c>
      <c r="KV8" s="1680" t="s">
        <v>6432</v>
      </c>
      <c r="KW8" s="1680" t="s">
        <v>6041</v>
      </c>
      <c r="KX8" s="1680" t="s">
        <v>6139</v>
      </c>
      <c r="KY8" s="1680" t="s">
        <v>6139</v>
      </c>
      <c r="KZ8" s="1680" t="s">
        <v>6433</v>
      </c>
      <c r="LA8" s="1680" t="s">
        <v>6433</v>
      </c>
      <c r="LB8" s="1680" t="s">
        <v>6434</v>
      </c>
      <c r="LC8" s="1680" t="s">
        <v>6434</v>
      </c>
      <c r="LD8" s="1680" t="s">
        <v>6304</v>
      </c>
      <c r="LE8" s="1680" t="s">
        <v>6435</v>
      </c>
      <c r="LF8" s="1680" t="s">
        <v>6136</v>
      </c>
      <c r="LG8" s="1680" t="s">
        <v>6377</v>
      </c>
      <c r="LH8" s="1680" t="s">
        <v>6137</v>
      </c>
      <c r="LI8" s="1680" t="s">
        <v>6155</v>
      </c>
      <c r="LJ8" s="1680" t="s">
        <v>6155</v>
      </c>
      <c r="LK8" s="1680" t="s">
        <v>6436</v>
      </c>
      <c r="LL8" s="1680" t="s">
        <v>6436</v>
      </c>
      <c r="LM8" s="1680" t="s">
        <v>6437</v>
      </c>
      <c r="LN8" s="1680" t="s">
        <v>6438</v>
      </c>
      <c r="LO8" s="1680" t="s">
        <v>6438</v>
      </c>
      <c r="LP8" s="1680" t="s">
        <v>6439</v>
      </c>
      <c r="LQ8" s="1680" t="s">
        <v>6256</v>
      </c>
      <c r="LR8" s="1680" t="s">
        <v>6280</v>
      </c>
      <c r="LS8" s="1680" t="s">
        <v>6256</v>
      </c>
      <c r="LT8" s="1680" t="s">
        <v>6258</v>
      </c>
      <c r="LU8" s="1680" t="s">
        <v>6258</v>
      </c>
      <c r="LV8" s="1680" t="s">
        <v>6440</v>
      </c>
      <c r="LW8" s="1680" t="s">
        <v>6277</v>
      </c>
      <c r="LX8" s="1664" t="s">
        <v>6441</v>
      </c>
      <c r="LY8" s="1680" t="s">
        <v>6442</v>
      </c>
      <c r="LZ8" s="1680" t="s">
        <v>6230</v>
      </c>
      <c r="MA8" s="1680" t="s">
        <v>6443</v>
      </c>
      <c r="MB8" s="1680" t="s">
        <v>6444</v>
      </c>
      <c r="MC8" s="1680" t="s">
        <v>5851</v>
      </c>
      <c r="MD8" s="1680" t="s">
        <v>6445</v>
      </c>
      <c r="ME8" s="1680" t="s">
        <v>6445</v>
      </c>
      <c r="MF8" s="1680" t="s">
        <v>6446</v>
      </c>
      <c r="MG8" s="1680" t="s">
        <v>6144</v>
      </c>
      <c r="MH8" s="1680" t="s">
        <v>6447</v>
      </c>
      <c r="MI8" s="1680" t="s">
        <v>6281</v>
      </c>
      <c r="MJ8" s="1680" t="s">
        <v>6448</v>
      </c>
      <c r="MK8" s="1680" t="s">
        <v>6282</v>
      </c>
      <c r="ML8" s="1680"/>
      <c r="MM8" s="1680" t="s">
        <v>6449</v>
      </c>
      <c r="MN8" s="1664" t="s">
        <v>6450</v>
      </c>
      <c r="MO8" s="1680" t="s">
        <v>5819</v>
      </c>
      <c r="MP8" s="1680" t="s">
        <v>6451</v>
      </c>
      <c r="MQ8" s="1680" t="s">
        <v>6451</v>
      </c>
      <c r="MR8" s="1680" t="s">
        <v>6452</v>
      </c>
      <c r="MS8" s="1680" t="s">
        <v>5983</v>
      </c>
      <c r="MT8" s="1680" t="s">
        <v>6135</v>
      </c>
      <c r="MU8" s="1680" t="s">
        <v>6129</v>
      </c>
      <c r="MV8" s="1664" t="s">
        <v>6183</v>
      </c>
      <c r="MW8" s="1680" t="s">
        <v>5986</v>
      </c>
      <c r="MX8" s="1680" t="s">
        <v>6453</v>
      </c>
      <c r="MY8" s="1680" t="s">
        <v>5836</v>
      </c>
      <c r="MZ8" s="1680" t="s">
        <v>6331</v>
      </c>
      <c r="NA8" s="1680" t="s">
        <v>6331</v>
      </c>
      <c r="NB8" s="1680" t="s">
        <v>5894</v>
      </c>
      <c r="NC8" s="1680" t="s">
        <v>6283</v>
      </c>
      <c r="ND8" s="1680" t="s">
        <v>6454</v>
      </c>
      <c r="NE8" s="1680" t="s">
        <v>6455</v>
      </c>
      <c r="NF8" s="1680" t="s">
        <v>6456</v>
      </c>
      <c r="NG8" s="1680" t="s">
        <v>6377</v>
      </c>
      <c r="NH8" s="1680" t="s">
        <v>6217</v>
      </c>
      <c r="NI8" s="1664" t="s">
        <v>6457</v>
      </c>
      <c r="NJ8" s="1680" t="s">
        <v>6138</v>
      </c>
      <c r="NK8" s="1680"/>
      <c r="NL8" s="1680" t="s">
        <v>6290</v>
      </c>
      <c r="NM8" s="1680" t="s">
        <v>5951</v>
      </c>
      <c r="NN8" s="1680" t="s">
        <v>6458</v>
      </c>
      <c r="NO8" s="1680" t="s">
        <v>6458</v>
      </c>
      <c r="NP8" s="1680" t="s">
        <v>6458</v>
      </c>
      <c r="NQ8" s="1680" t="s">
        <v>6355</v>
      </c>
      <c r="NR8" s="1680" t="s">
        <v>6459</v>
      </c>
      <c r="NS8" s="1680" t="s">
        <v>6460</v>
      </c>
      <c r="NT8" s="1680" t="s">
        <v>6461</v>
      </c>
      <c r="NU8" s="1680" t="s">
        <v>6462</v>
      </c>
      <c r="NV8" s="1680" t="s">
        <v>6463</v>
      </c>
      <c r="NW8" s="1680" t="s">
        <v>6464</v>
      </c>
      <c r="NX8" s="1680" t="s">
        <v>6465</v>
      </c>
      <c r="NY8" s="1680" t="s">
        <v>6464</v>
      </c>
      <c r="NZ8" s="1680" t="s">
        <v>6464</v>
      </c>
      <c r="OA8" s="1680" t="s">
        <v>6466</v>
      </c>
      <c r="OB8" s="1680" t="s">
        <v>6466</v>
      </c>
      <c r="OC8" s="1680" t="s">
        <v>6014</v>
      </c>
      <c r="OD8" s="1680" t="s">
        <v>6467</v>
      </c>
      <c r="OE8" s="1680" t="s">
        <v>6467</v>
      </c>
      <c r="OF8" s="1680" t="s">
        <v>6069</v>
      </c>
      <c r="OG8" s="1680" t="s">
        <v>6416</v>
      </c>
      <c r="OH8" s="1680" t="s">
        <v>6416</v>
      </c>
      <c r="OI8" s="1680" t="s">
        <v>5834</v>
      </c>
      <c r="OJ8" s="1680" t="s">
        <v>6468</v>
      </c>
      <c r="OK8" s="1680" t="s">
        <v>6468</v>
      </c>
      <c r="OL8" s="1680" t="s">
        <v>6152</v>
      </c>
      <c r="OM8" s="1680" t="s">
        <v>6469</v>
      </c>
      <c r="ON8" s="1680" t="s">
        <v>6303</v>
      </c>
      <c r="OO8" s="1680"/>
      <c r="OP8" s="1680" t="s">
        <v>6062</v>
      </c>
      <c r="OQ8" s="1680" t="s">
        <v>6470</v>
      </c>
      <c r="OR8" s="1680" t="s">
        <v>6470</v>
      </c>
      <c r="OS8" s="1680" t="s">
        <v>6178</v>
      </c>
      <c r="OT8" s="1680" t="s">
        <v>6471</v>
      </c>
      <c r="OU8" s="1680" t="s">
        <v>5974</v>
      </c>
      <c r="OV8" s="1680" t="s">
        <v>6472</v>
      </c>
      <c r="OW8" s="1680" t="s">
        <v>6305</v>
      </c>
      <c r="OX8" s="1680" t="s">
        <v>6472</v>
      </c>
      <c r="OY8" s="1680" t="s">
        <v>6306</v>
      </c>
      <c r="OZ8" s="1680"/>
      <c r="PA8" s="1680" t="s">
        <v>6062</v>
      </c>
      <c r="PB8" s="1680" t="s">
        <v>6062</v>
      </c>
      <c r="PC8" s="1680" t="s">
        <v>5817</v>
      </c>
      <c r="PD8" s="1680" t="s">
        <v>6028</v>
      </c>
      <c r="PE8" s="1680"/>
      <c r="PF8" s="1680" t="s">
        <v>5824</v>
      </c>
      <c r="PG8" s="1664" t="s">
        <v>6473</v>
      </c>
      <c r="PH8" s="1680" t="s">
        <v>6474</v>
      </c>
      <c r="PI8" s="1680" t="s">
        <v>6474</v>
      </c>
      <c r="PJ8" s="1680" t="s">
        <v>6475</v>
      </c>
      <c r="PK8" s="1680" t="s">
        <v>6258</v>
      </c>
      <c r="PL8" s="1680" t="s">
        <v>6476</v>
      </c>
      <c r="PM8" s="1680" t="s">
        <v>6476</v>
      </c>
      <c r="PN8" s="1680" t="s">
        <v>6394</v>
      </c>
      <c r="PO8" s="1680" t="s">
        <v>6477</v>
      </c>
      <c r="PP8" s="1680" t="s">
        <v>6274</v>
      </c>
      <c r="PQ8" s="1680" t="s">
        <v>6478</v>
      </c>
      <c r="PR8" s="1680" t="s">
        <v>5958</v>
      </c>
      <c r="PS8" s="1680" t="s">
        <v>5884</v>
      </c>
      <c r="PT8" s="1680" t="s">
        <v>5899</v>
      </c>
      <c r="PU8" s="1680" t="s">
        <v>6479</v>
      </c>
      <c r="PV8" s="1680" t="s">
        <v>6479</v>
      </c>
      <c r="PW8" s="1680" t="s">
        <v>6480</v>
      </c>
      <c r="PX8" s="1680" t="s">
        <v>6217</v>
      </c>
      <c r="PY8" s="1680" t="s">
        <v>6217</v>
      </c>
      <c r="PZ8" s="1680" t="s">
        <v>6481</v>
      </c>
      <c r="QA8" s="1680" t="s">
        <v>6159</v>
      </c>
      <c r="QB8" s="1680" t="s">
        <v>6393</v>
      </c>
      <c r="QC8" s="1680" t="s">
        <v>6482</v>
      </c>
      <c r="QD8" s="1680" t="s">
        <v>6483</v>
      </c>
      <c r="QE8" s="1680" t="s">
        <v>6354</v>
      </c>
      <c r="QF8" s="1680" t="s">
        <v>6454</v>
      </c>
      <c r="QG8" s="1680" t="s">
        <v>6313</v>
      </c>
      <c r="QH8" s="1680" t="s">
        <v>6484</v>
      </c>
      <c r="QI8" s="1680" t="s">
        <v>6313</v>
      </c>
      <c r="QJ8" s="1680" t="s">
        <v>6378</v>
      </c>
      <c r="QK8" s="1680" t="s">
        <v>6143</v>
      </c>
      <c r="QL8" s="1680" t="s">
        <v>6485</v>
      </c>
      <c r="QM8" s="1680" t="s">
        <v>6486</v>
      </c>
      <c r="QN8" s="1680" t="s">
        <v>5817</v>
      </c>
      <c r="QO8" s="1680" t="s">
        <v>6487</v>
      </c>
      <c r="QP8" s="1680" t="s">
        <v>5824</v>
      </c>
      <c r="QQ8" s="1680" t="s">
        <v>6488</v>
      </c>
      <c r="QR8" s="1680" t="s">
        <v>6132</v>
      </c>
      <c r="QS8" s="1680" t="s">
        <v>6225</v>
      </c>
      <c r="QT8" s="1680" t="s">
        <v>6489</v>
      </c>
      <c r="QU8" s="1680" t="s">
        <v>6026</v>
      </c>
      <c r="QV8" s="1680" t="s">
        <v>6374</v>
      </c>
      <c r="QW8" s="1664" t="s">
        <v>6490</v>
      </c>
      <c r="QX8" s="1664" t="s">
        <v>6317</v>
      </c>
      <c r="QY8" s="1680" t="s">
        <v>5819</v>
      </c>
      <c r="QZ8" s="1680" t="s">
        <v>5832</v>
      </c>
      <c r="RA8" s="1680" t="s">
        <v>6365</v>
      </c>
      <c r="RB8" s="1680" t="s">
        <v>6209</v>
      </c>
      <c r="RC8" s="1680" t="s">
        <v>6210</v>
      </c>
      <c r="RD8" s="1680" t="s">
        <v>5836</v>
      </c>
      <c r="RE8" s="1680" t="s">
        <v>6208</v>
      </c>
      <c r="RF8" s="1664" t="s">
        <v>5940</v>
      </c>
      <c r="RG8" s="1680" t="s">
        <v>5886</v>
      </c>
      <c r="RH8" s="1680" t="s">
        <v>5942</v>
      </c>
      <c r="RI8" s="1680" t="s">
        <v>5942</v>
      </c>
      <c r="RJ8" s="1680" t="s">
        <v>5849</v>
      </c>
      <c r="RK8" s="1680" t="s">
        <v>5991</v>
      </c>
      <c r="RL8" s="1680" t="s">
        <v>5923</v>
      </c>
      <c r="RM8" s="1664" t="s">
        <v>6065</v>
      </c>
      <c r="RN8" s="1680" t="s">
        <v>5822</v>
      </c>
      <c r="RO8" s="1680" t="s">
        <v>5983</v>
      </c>
      <c r="RP8" s="1680" t="s">
        <v>6134</v>
      </c>
      <c r="RQ8" s="1680" t="s">
        <v>6491</v>
      </c>
      <c r="RR8" s="1680" t="s">
        <v>6491</v>
      </c>
      <c r="RS8" s="1680" t="s">
        <v>6491</v>
      </c>
      <c r="RT8" s="1680" t="s">
        <v>6491</v>
      </c>
      <c r="RU8" s="1680" t="s">
        <v>6491</v>
      </c>
      <c r="RV8" s="1680" t="s">
        <v>6491</v>
      </c>
      <c r="RW8" s="1680" t="s">
        <v>6432</v>
      </c>
      <c r="RX8" s="1680" t="s">
        <v>6492</v>
      </c>
      <c r="RY8" s="1680" t="s">
        <v>6493</v>
      </c>
      <c r="RZ8" s="1664" t="s">
        <v>6494</v>
      </c>
      <c r="SA8" s="1680" t="s">
        <v>6494</v>
      </c>
      <c r="SB8" s="1680" t="s">
        <v>6495</v>
      </c>
      <c r="SC8" s="1664" t="s">
        <v>6314</v>
      </c>
      <c r="SD8" s="1680" t="s">
        <v>6494</v>
      </c>
      <c r="SE8" s="1680" t="s">
        <v>6494</v>
      </c>
      <c r="SF8" s="1680" t="s">
        <v>6496</v>
      </c>
      <c r="SG8" s="1680" t="s">
        <v>6497</v>
      </c>
      <c r="SH8" s="1680" t="s">
        <v>6170</v>
      </c>
      <c r="SI8" s="1680" t="s">
        <v>5954</v>
      </c>
      <c r="SJ8" s="1680" t="s">
        <v>6498</v>
      </c>
      <c r="SK8" s="1680" t="s">
        <v>6499</v>
      </c>
      <c r="SL8" s="1680" t="s">
        <v>6500</v>
      </c>
    </row>
    <row r="9" ht="15.75" customHeight="1">
      <c r="A9" s="1517"/>
      <c r="B9" s="293" t="s">
        <v>6501</v>
      </c>
      <c r="C9" s="293" t="s">
        <v>6501</v>
      </c>
      <c r="D9" s="293" t="s">
        <v>6173</v>
      </c>
      <c r="E9" s="1671" t="s">
        <v>6502</v>
      </c>
      <c r="F9" s="1671" t="s">
        <v>6502</v>
      </c>
      <c r="G9" s="1671" t="s">
        <v>6069</v>
      </c>
      <c r="H9" s="1672" t="s">
        <v>6502</v>
      </c>
      <c r="I9" s="1672" t="s">
        <v>6502</v>
      </c>
      <c r="J9" s="1672" t="s">
        <v>6070</v>
      </c>
      <c r="K9" s="293"/>
      <c r="L9" s="293"/>
      <c r="M9" s="420" t="s">
        <v>6503</v>
      </c>
      <c r="N9" s="1673"/>
      <c r="O9" s="364"/>
      <c r="P9" s="364" t="s">
        <v>6504</v>
      </c>
      <c r="Q9" s="1673" t="s">
        <v>6505</v>
      </c>
      <c r="R9" s="1673" t="s">
        <v>6505</v>
      </c>
      <c r="S9" s="1673" t="s">
        <v>5849</v>
      </c>
      <c r="T9" s="464" t="s">
        <v>6506</v>
      </c>
      <c r="U9" s="1673" t="s">
        <v>6179</v>
      </c>
      <c r="V9" s="1673" t="s">
        <v>6507</v>
      </c>
      <c r="W9" s="1673" t="s">
        <v>5836</v>
      </c>
      <c r="X9" s="464" t="s">
        <v>6508</v>
      </c>
      <c r="Y9" s="464" t="s">
        <v>6075</v>
      </c>
      <c r="Z9" s="364" t="s">
        <v>6509</v>
      </c>
      <c r="AA9" s="364" t="s">
        <v>5942</v>
      </c>
      <c r="AB9" s="364" t="s">
        <v>6510</v>
      </c>
      <c r="AC9" s="364" t="s">
        <v>6510</v>
      </c>
      <c r="AD9" s="1672" t="s">
        <v>6511</v>
      </c>
      <c r="AE9" s="1672" t="s">
        <v>6511</v>
      </c>
      <c r="AF9" s="1672" t="s">
        <v>5824</v>
      </c>
      <c r="AG9" s="464" t="s">
        <v>6511</v>
      </c>
      <c r="AH9" s="464" t="s">
        <v>6511</v>
      </c>
      <c r="AI9" s="464" t="s">
        <v>5824</v>
      </c>
      <c r="AJ9" s="1674" t="s">
        <v>6336</v>
      </c>
      <c r="AK9" s="1674" t="s">
        <v>5982</v>
      </c>
      <c r="AL9" s="1673" t="s">
        <v>6512</v>
      </c>
      <c r="AM9" s="364" t="s">
        <v>6061</v>
      </c>
      <c r="AN9" s="1674" t="s">
        <v>6513</v>
      </c>
      <c r="AO9" s="1674" t="s">
        <v>5883</v>
      </c>
      <c r="AP9" s="464" t="s">
        <v>6514</v>
      </c>
      <c r="AQ9" s="464" t="s">
        <v>6337</v>
      </c>
      <c r="AR9" s="1672" t="s">
        <v>6340</v>
      </c>
      <c r="AS9" s="1672" t="s">
        <v>6340</v>
      </c>
      <c r="AT9" s="1671" t="s">
        <v>6515</v>
      </c>
      <c r="AU9" s="1671" t="s">
        <v>6516</v>
      </c>
      <c r="AV9" s="1671" t="s">
        <v>6340</v>
      </c>
      <c r="AW9" s="464" t="s">
        <v>6362</v>
      </c>
      <c r="AX9" s="464" t="s">
        <v>6341</v>
      </c>
      <c r="AY9" s="1673" t="s">
        <v>6313</v>
      </c>
      <c r="AZ9" s="1673" t="s">
        <v>6313</v>
      </c>
      <c r="BA9" s="364" t="s">
        <v>6517</v>
      </c>
      <c r="BB9" s="364" t="s">
        <v>6342</v>
      </c>
      <c r="BC9" s="364" t="s">
        <v>6517</v>
      </c>
      <c r="BD9" s="1672" t="s">
        <v>6162</v>
      </c>
      <c r="BE9" s="1673" t="s">
        <v>6518</v>
      </c>
      <c r="BF9" s="1673" t="s">
        <v>6518</v>
      </c>
      <c r="BG9" s="1673" t="s">
        <v>6519</v>
      </c>
      <c r="BH9" s="1673" t="s">
        <v>5924</v>
      </c>
      <c r="BI9" s="1672" t="s">
        <v>6520</v>
      </c>
      <c r="BJ9" s="1672" t="s">
        <v>6520</v>
      </c>
      <c r="BK9" s="1672" t="s">
        <v>6110</v>
      </c>
      <c r="BL9" s="1673"/>
      <c r="BM9" s="1673" t="s">
        <v>6521</v>
      </c>
      <c r="BN9" s="1673" t="s">
        <v>5823</v>
      </c>
      <c r="BO9" s="1675" t="s">
        <v>6522</v>
      </c>
      <c r="BP9" s="1675" t="s">
        <v>6522</v>
      </c>
      <c r="BQ9" s="1675" t="s">
        <v>6193</v>
      </c>
      <c r="BR9" s="293" t="s">
        <v>6340</v>
      </c>
      <c r="BS9" s="293" t="s">
        <v>6340</v>
      </c>
      <c r="BT9" s="293" t="s">
        <v>6523</v>
      </c>
      <c r="BU9" s="1672" t="s">
        <v>6524</v>
      </c>
      <c r="BV9" s="1672" t="s">
        <v>6524</v>
      </c>
      <c r="BW9" s="1673" t="s">
        <v>6525</v>
      </c>
      <c r="BX9" s="1673" t="s">
        <v>6525</v>
      </c>
      <c r="BY9" s="1673" t="s">
        <v>5870</v>
      </c>
      <c r="BZ9" s="364" t="s">
        <v>6526</v>
      </c>
      <c r="CA9" s="364" t="s">
        <v>5942</v>
      </c>
      <c r="CB9" s="1674" t="s">
        <v>6527</v>
      </c>
      <c r="CC9" s="1674" t="s">
        <v>6527</v>
      </c>
      <c r="CD9" s="1675" t="s">
        <v>6528</v>
      </c>
      <c r="CE9" s="1675" t="s">
        <v>6528</v>
      </c>
      <c r="CF9" s="1673" t="s">
        <v>6529</v>
      </c>
      <c r="CG9" s="1673" t="s">
        <v>6530</v>
      </c>
      <c r="CH9" s="1673" t="s">
        <v>6198</v>
      </c>
      <c r="CI9" s="254" t="s">
        <v>6531</v>
      </c>
      <c r="CJ9" s="254" t="s">
        <v>6531</v>
      </c>
      <c r="CK9" s="464" t="s">
        <v>6451</v>
      </c>
      <c r="CL9" s="464" t="s">
        <v>6200</v>
      </c>
      <c r="CM9" s="464" t="s">
        <v>6532</v>
      </c>
      <c r="CN9" s="464" t="s">
        <v>6533</v>
      </c>
      <c r="CO9" s="464" t="s">
        <v>6286</v>
      </c>
      <c r="CP9" s="464" t="s">
        <v>6286</v>
      </c>
      <c r="CQ9" s="464" t="s">
        <v>6286</v>
      </c>
      <c r="CR9" s="1675" t="s">
        <v>6263</v>
      </c>
      <c r="CS9" s="364" t="s">
        <v>6534</v>
      </c>
      <c r="CT9" s="364" t="s">
        <v>6201</v>
      </c>
      <c r="CU9" s="1671" t="s">
        <v>6535</v>
      </c>
      <c r="CV9" s="1671" t="s">
        <v>5822</v>
      </c>
      <c r="CW9" s="1671" t="s">
        <v>6536</v>
      </c>
      <c r="CX9" s="1671" t="s">
        <v>6536</v>
      </c>
      <c r="CY9" s="1674" t="s">
        <v>6537</v>
      </c>
      <c r="CZ9" s="364" t="s">
        <v>6538</v>
      </c>
      <c r="DA9" s="1673" t="s">
        <v>6539</v>
      </c>
      <c r="DB9" s="1673" t="s">
        <v>6539</v>
      </c>
      <c r="DC9" s="1673" t="s">
        <v>6540</v>
      </c>
      <c r="DD9" s="1673" t="s">
        <v>6541</v>
      </c>
      <c r="DE9" s="1674" t="s">
        <v>6542</v>
      </c>
      <c r="DF9" s="464" t="s">
        <v>6543</v>
      </c>
      <c r="DG9" s="464" t="s">
        <v>6366</v>
      </c>
      <c r="DH9" s="1675" t="s">
        <v>6544</v>
      </c>
      <c r="DI9" s="1675" t="s">
        <v>6313</v>
      </c>
      <c r="DJ9" s="1674" t="s">
        <v>5834</v>
      </c>
      <c r="DK9" s="1672" t="s">
        <v>6253</v>
      </c>
      <c r="DL9" s="1673" t="s">
        <v>6545</v>
      </c>
      <c r="DM9" s="1672" t="s">
        <v>6457</v>
      </c>
      <c r="DN9" s="1672" t="s">
        <v>6274</v>
      </c>
      <c r="DO9" s="1671" t="s">
        <v>6372</v>
      </c>
      <c r="DP9" s="1671" t="s">
        <v>6021</v>
      </c>
      <c r="DQ9" s="1673" t="s">
        <v>6546</v>
      </c>
      <c r="DR9" s="464" t="s">
        <v>5910</v>
      </c>
      <c r="DS9" s="1674" t="s">
        <v>6482</v>
      </c>
      <c r="DT9" s="293" t="s">
        <v>6547</v>
      </c>
      <c r="DU9" s="1671" t="s">
        <v>6548</v>
      </c>
      <c r="DV9" s="364" t="s">
        <v>6549</v>
      </c>
      <c r="DW9" s="1671" t="s">
        <v>6512</v>
      </c>
      <c r="DX9" s="1673" t="s">
        <v>6257</v>
      </c>
      <c r="DY9" s="1673" t="s">
        <v>6441</v>
      </c>
      <c r="DZ9" s="1671"/>
      <c r="EA9" s="1672" t="s">
        <v>6550</v>
      </c>
      <c r="EB9" s="1672" t="s">
        <v>6551</v>
      </c>
      <c r="EC9" s="464"/>
      <c r="ED9" s="1673" t="s">
        <v>6552</v>
      </c>
      <c r="EE9" s="1672" t="s">
        <v>5894</v>
      </c>
      <c r="EF9" s="364" t="s">
        <v>5832</v>
      </c>
      <c r="EG9" s="1671" t="s">
        <v>5840</v>
      </c>
      <c r="EH9" s="1674" t="s">
        <v>6553</v>
      </c>
      <c r="EI9" s="1672" t="s">
        <v>6554</v>
      </c>
      <c r="EJ9" s="1672" t="s">
        <v>6217</v>
      </c>
      <c r="EK9" s="1673" t="s">
        <v>6376</v>
      </c>
      <c r="EL9" s="1673" t="s">
        <v>6377</v>
      </c>
      <c r="EM9" s="464" t="s">
        <v>6064</v>
      </c>
      <c r="EN9" s="1676" t="s">
        <v>6555</v>
      </c>
      <c r="EO9" s="1672" t="s">
        <v>6150</v>
      </c>
      <c r="EP9" s="364" t="s">
        <v>6150</v>
      </c>
      <c r="EQ9" s="364" t="s">
        <v>6150</v>
      </c>
      <c r="ER9" s="1672" t="s">
        <v>6556</v>
      </c>
      <c r="ES9" s="1672" t="s">
        <v>6556</v>
      </c>
      <c r="ET9" s="1673" t="s">
        <v>6100</v>
      </c>
      <c r="EU9" s="464" t="s">
        <v>6557</v>
      </c>
      <c r="EV9" s="1674" t="s">
        <v>6558</v>
      </c>
      <c r="EW9" s="293" t="s">
        <v>6559</v>
      </c>
      <c r="EX9" s="293" t="s">
        <v>6559</v>
      </c>
      <c r="EY9" s="293" t="s">
        <v>6221</v>
      </c>
      <c r="EZ9" s="364" t="s">
        <v>6560</v>
      </c>
      <c r="FA9" s="364" t="s">
        <v>6561</v>
      </c>
      <c r="FB9" s="364" t="s">
        <v>6069</v>
      </c>
      <c r="FC9" s="1672" t="s">
        <v>6562</v>
      </c>
      <c r="FD9" s="1672" t="s">
        <v>6562</v>
      </c>
      <c r="FE9" s="1672" t="s">
        <v>6223</v>
      </c>
      <c r="FF9" s="1673" t="s">
        <v>6563</v>
      </c>
      <c r="FG9" s="1673" t="s">
        <v>6344</v>
      </c>
      <c r="FH9" s="1673" t="s">
        <v>6343</v>
      </c>
      <c r="FI9" s="1673" t="s">
        <v>6025</v>
      </c>
      <c r="FJ9" s="1671" t="s">
        <v>6564</v>
      </c>
      <c r="FK9" s="1671" t="s">
        <v>6224</v>
      </c>
      <c r="FL9" s="1669" t="s">
        <v>6565</v>
      </c>
      <c r="FM9" s="1671" t="s">
        <v>6387</v>
      </c>
      <c r="FN9" s="464" t="s">
        <v>6179</v>
      </c>
      <c r="FO9" s="1672" t="s">
        <v>6566</v>
      </c>
      <c r="FP9" s="1672" t="s">
        <v>6566</v>
      </c>
      <c r="FQ9" s="364" t="s">
        <v>6567</v>
      </c>
      <c r="FR9" s="1674" t="s">
        <v>6277</v>
      </c>
      <c r="FS9" s="1674" t="s">
        <v>6388</v>
      </c>
      <c r="FT9" s="254" t="s">
        <v>6568</v>
      </c>
      <c r="FU9" s="253" t="s">
        <v>6389</v>
      </c>
      <c r="FV9" s="1669" t="s">
        <v>6569</v>
      </c>
      <c r="FW9" s="293" t="s">
        <v>6390</v>
      </c>
      <c r="FX9" s="253" t="s">
        <v>6570</v>
      </c>
      <c r="FY9" s="1674" t="s">
        <v>6570</v>
      </c>
      <c r="FZ9" s="364" t="s">
        <v>5834</v>
      </c>
      <c r="GA9" s="293" t="s">
        <v>5974</v>
      </c>
      <c r="GB9" s="1672" t="s">
        <v>6571</v>
      </c>
      <c r="GC9" s="1672" t="s">
        <v>5851</v>
      </c>
      <c r="GD9" s="1673" t="s">
        <v>6572</v>
      </c>
      <c r="GE9" s="293" t="s">
        <v>5968</v>
      </c>
      <c r="GF9" s="1674" t="s">
        <v>6573</v>
      </c>
      <c r="GG9" s="293" t="s">
        <v>6573</v>
      </c>
      <c r="GH9" s="1672" t="s">
        <v>6573</v>
      </c>
      <c r="GI9" s="464" t="s">
        <v>6574</v>
      </c>
      <c r="GJ9" s="364" t="s">
        <v>6575</v>
      </c>
      <c r="GK9" s="364" t="s">
        <v>6304</v>
      </c>
      <c r="GL9" s="1671" t="s">
        <v>6397</v>
      </c>
      <c r="GM9" s="1672" t="s">
        <v>6526</v>
      </c>
      <c r="GN9" s="1672" t="s">
        <v>6526</v>
      </c>
      <c r="GO9" s="464" t="s">
        <v>5823</v>
      </c>
      <c r="GP9" s="1676" t="s">
        <v>5981</v>
      </c>
      <c r="GQ9" s="1676" t="s">
        <v>6576</v>
      </c>
      <c r="GR9" s="1674" t="s">
        <v>6056</v>
      </c>
      <c r="GS9" s="1675" t="s">
        <v>6577</v>
      </c>
      <c r="GT9" s="1677" t="s">
        <v>6578</v>
      </c>
      <c r="GU9" s="1672" t="s">
        <v>6293</v>
      </c>
      <c r="GV9" s="364" t="s">
        <v>5823</v>
      </c>
      <c r="GW9" s="1675" t="s">
        <v>6579</v>
      </c>
      <c r="GX9" s="464" t="s">
        <v>6579</v>
      </c>
      <c r="GY9" s="364" t="s">
        <v>6429</v>
      </c>
      <c r="GZ9" s="464" t="s">
        <v>6580</v>
      </c>
      <c r="HA9" s="1675" t="s">
        <v>5822</v>
      </c>
      <c r="HB9" s="1674" t="s">
        <v>6064</v>
      </c>
      <c r="HC9" s="464" t="s">
        <v>6064</v>
      </c>
      <c r="HD9" s="1675" t="s">
        <v>6581</v>
      </c>
      <c r="HE9" s="1671" t="s">
        <v>6547</v>
      </c>
      <c r="HF9" s="364" t="s">
        <v>6582</v>
      </c>
      <c r="HG9" s="1672" t="s">
        <v>5836</v>
      </c>
      <c r="HH9" s="1676" t="s">
        <v>6583</v>
      </c>
      <c r="HI9" s="1673" t="s">
        <v>6584</v>
      </c>
      <c r="HJ9" s="1673" t="s">
        <v>6584</v>
      </c>
      <c r="HK9" s="1671" t="s">
        <v>6585</v>
      </c>
      <c r="HL9" s="1671" t="s">
        <v>6585</v>
      </c>
      <c r="HM9" s="1673" t="s">
        <v>6285</v>
      </c>
      <c r="HN9" s="1673" t="s">
        <v>6405</v>
      </c>
      <c r="HO9" s="1674" t="s">
        <v>6586</v>
      </c>
      <c r="HP9" s="1675" t="s">
        <v>6587</v>
      </c>
      <c r="HQ9" s="1671" t="s">
        <v>6116</v>
      </c>
      <c r="HR9" s="1671" t="s">
        <v>6588</v>
      </c>
      <c r="HS9" s="464" t="s">
        <v>6163</v>
      </c>
      <c r="HT9" s="1675" t="s">
        <v>6589</v>
      </c>
      <c r="HU9" s="1676" t="s">
        <v>6590</v>
      </c>
      <c r="HV9" s="1676" t="s">
        <v>6409</v>
      </c>
      <c r="HW9" s="1672" t="s">
        <v>6155</v>
      </c>
      <c r="HX9" s="1672" t="s">
        <v>6266</v>
      </c>
      <c r="HY9" s="1675" t="s">
        <v>6132</v>
      </c>
      <c r="HZ9" s="1671" t="s">
        <v>6553</v>
      </c>
      <c r="IA9" s="1673" t="s">
        <v>6544</v>
      </c>
      <c r="IB9" s="253" t="s">
        <v>6591</v>
      </c>
      <c r="IC9" s="464" t="s">
        <v>6020</v>
      </c>
      <c r="ID9" s="1673" t="s">
        <v>6364</v>
      </c>
      <c r="IE9" s="1674" t="s">
        <v>6592</v>
      </c>
      <c r="IF9" s="364" t="s">
        <v>6549</v>
      </c>
      <c r="IG9" s="1671" t="s">
        <v>6512</v>
      </c>
      <c r="IH9" s="1674" t="s">
        <v>6593</v>
      </c>
      <c r="II9" s="1674" t="s">
        <v>5834</v>
      </c>
      <c r="IJ9" s="364" t="s">
        <v>6594</v>
      </c>
      <c r="IK9" s="1673" t="s">
        <v>6595</v>
      </c>
      <c r="IL9" s="1672" t="s">
        <v>6596</v>
      </c>
      <c r="IM9" s="293" t="s">
        <v>6597</v>
      </c>
      <c r="IN9" s="1675" t="s">
        <v>6597</v>
      </c>
      <c r="IO9" s="293" t="s">
        <v>5845</v>
      </c>
      <c r="IP9" s="253" t="s">
        <v>6598</v>
      </c>
      <c r="IQ9" s="1671" t="s">
        <v>6598</v>
      </c>
      <c r="IR9" s="293" t="s">
        <v>6599</v>
      </c>
      <c r="IS9" s="293" t="s">
        <v>6600</v>
      </c>
      <c r="IT9" s="293" t="s">
        <v>6600</v>
      </c>
      <c r="IU9" s="293" t="s">
        <v>6122</v>
      </c>
      <c r="IV9" s="1671" t="s">
        <v>6601</v>
      </c>
      <c r="IW9" s="1671" t="s">
        <v>6602</v>
      </c>
      <c r="IX9" s="1671" t="s">
        <v>6251</v>
      </c>
      <c r="IY9" s="1672" t="s">
        <v>6603</v>
      </c>
      <c r="IZ9" s="1672" t="s">
        <v>6417</v>
      </c>
      <c r="JA9" s="1672" t="s">
        <v>6070</v>
      </c>
      <c r="JB9" s="1675" t="s">
        <v>6604</v>
      </c>
      <c r="JC9" s="1675" t="s">
        <v>5817</v>
      </c>
      <c r="JD9" s="1673" t="s">
        <v>6418</v>
      </c>
      <c r="JE9" s="253" t="s">
        <v>5942</v>
      </c>
      <c r="JF9" s="1671"/>
      <c r="JG9" s="253"/>
      <c r="JH9" s="364" t="s">
        <v>6605</v>
      </c>
      <c r="JI9" s="464"/>
      <c r="JJ9" s="293" t="s">
        <v>6606</v>
      </c>
      <c r="JK9" s="293" t="s">
        <v>6607</v>
      </c>
      <c r="JL9" s="293" t="s">
        <v>6422</v>
      </c>
      <c r="JM9" s="293" t="s">
        <v>6608</v>
      </c>
      <c r="JN9" s="1673" t="s">
        <v>6609</v>
      </c>
      <c r="JO9" s="1673" t="s">
        <v>6610</v>
      </c>
      <c r="JP9" s="1673" t="s">
        <v>5923</v>
      </c>
      <c r="JQ9" s="1672" t="s">
        <v>6611</v>
      </c>
      <c r="JR9" s="1672" t="s">
        <v>6257</v>
      </c>
      <c r="JS9" s="253" t="s">
        <v>6349</v>
      </c>
      <c r="JT9" s="364" t="s">
        <v>6189</v>
      </c>
      <c r="JU9" s="254" t="s">
        <v>6612</v>
      </c>
      <c r="JV9" s="254" t="s">
        <v>6612</v>
      </c>
      <c r="JW9" s="253" t="s">
        <v>6065</v>
      </c>
      <c r="JX9" s="1672" t="s">
        <v>6613</v>
      </c>
      <c r="JY9" s="1672" t="s">
        <v>5886</v>
      </c>
      <c r="JZ9" s="1673" t="s">
        <v>6614</v>
      </c>
      <c r="KA9" s="293" t="s">
        <v>6427</v>
      </c>
      <c r="KB9" s="1673" t="s">
        <v>6615</v>
      </c>
      <c r="KC9" s="253" t="s">
        <v>6616</v>
      </c>
      <c r="KD9" s="1673" t="s">
        <v>6615</v>
      </c>
      <c r="KE9" s="1675" t="s">
        <v>6479</v>
      </c>
      <c r="KF9" s="364" t="s">
        <v>6479</v>
      </c>
      <c r="KG9" s="1673" t="s">
        <v>6479</v>
      </c>
      <c r="KH9" s="1674" t="s">
        <v>6429</v>
      </c>
      <c r="KI9" s="1672" t="s">
        <v>6542</v>
      </c>
      <c r="KJ9" s="1672" t="s">
        <v>6129</v>
      </c>
      <c r="KK9" s="364" t="s">
        <v>6617</v>
      </c>
      <c r="KL9" s="1673" t="s">
        <v>6342</v>
      </c>
      <c r="KM9" s="1672" t="s">
        <v>6618</v>
      </c>
      <c r="KN9" s="1675" t="s">
        <v>6473</v>
      </c>
      <c r="KO9" s="1674" t="s">
        <v>6619</v>
      </c>
      <c r="KP9" s="464" t="s">
        <v>5842</v>
      </c>
      <c r="KQ9" s="464" t="s">
        <v>6467</v>
      </c>
      <c r="KR9" s="1676" t="s">
        <v>6620</v>
      </c>
      <c r="KS9" s="1675" t="s">
        <v>6621</v>
      </c>
      <c r="KT9" s="1675" t="s">
        <v>6621</v>
      </c>
      <c r="KU9" s="1675" t="s">
        <v>6132</v>
      </c>
      <c r="KV9" s="1672" t="s">
        <v>6622</v>
      </c>
      <c r="KW9" s="1671" t="s">
        <v>6133</v>
      </c>
      <c r="KX9" s="293" t="s">
        <v>6257</v>
      </c>
      <c r="KY9" s="364" t="s">
        <v>6257</v>
      </c>
      <c r="KZ9" s="364" t="s">
        <v>6623</v>
      </c>
      <c r="LA9" s="364" t="s">
        <v>6623</v>
      </c>
      <c r="LB9" s="1675" t="s">
        <v>6624</v>
      </c>
      <c r="LC9" s="464" t="s">
        <v>6421</v>
      </c>
      <c r="LD9" s="293" t="s">
        <v>6471</v>
      </c>
      <c r="LE9" s="293" t="s">
        <v>6625</v>
      </c>
      <c r="LF9" s="464" t="s">
        <v>6272</v>
      </c>
      <c r="LG9" s="1671" t="s">
        <v>6604</v>
      </c>
      <c r="LH9" s="1672" t="s">
        <v>6126</v>
      </c>
      <c r="LI9" s="1672" t="s">
        <v>6626</v>
      </c>
      <c r="LJ9" s="1672" t="s">
        <v>6626</v>
      </c>
      <c r="LK9" s="364" t="s">
        <v>6627</v>
      </c>
      <c r="LL9" s="1671" t="s">
        <v>6627</v>
      </c>
      <c r="LM9" s="1673" t="s">
        <v>6628</v>
      </c>
      <c r="LN9" s="1676" t="s">
        <v>6629</v>
      </c>
      <c r="LO9" s="464" t="s">
        <v>6629</v>
      </c>
      <c r="LP9" s="1673" t="s">
        <v>6454</v>
      </c>
      <c r="LQ9" s="1673" t="s">
        <v>6280</v>
      </c>
      <c r="LR9" s="293" t="s">
        <v>6630</v>
      </c>
      <c r="LS9" s="293" t="s">
        <v>6280</v>
      </c>
      <c r="LT9" s="293" t="s">
        <v>6631</v>
      </c>
      <c r="LU9" s="293" t="s">
        <v>6631</v>
      </c>
      <c r="LV9" s="1672" t="s">
        <v>6632</v>
      </c>
      <c r="LW9" s="1672" t="s">
        <v>6440</v>
      </c>
      <c r="LX9" s="253" t="s">
        <v>6633</v>
      </c>
      <c r="LY9" s="1676" t="s">
        <v>6622</v>
      </c>
      <c r="LZ9" s="364" t="s">
        <v>6634</v>
      </c>
      <c r="MA9" s="1671" t="s">
        <v>6635</v>
      </c>
      <c r="MB9" s="1675" t="s">
        <v>6636</v>
      </c>
      <c r="MC9" s="1672" t="s">
        <v>6155</v>
      </c>
      <c r="MD9" s="1671" t="s">
        <v>6637</v>
      </c>
      <c r="ME9" s="1671" t="s">
        <v>6637</v>
      </c>
      <c r="MF9" s="1673" t="s">
        <v>6621</v>
      </c>
      <c r="MG9" s="1676" t="s">
        <v>6280</v>
      </c>
      <c r="MH9" s="464" t="s">
        <v>6558</v>
      </c>
      <c r="MI9" s="293" t="s">
        <v>6447</v>
      </c>
      <c r="MJ9" s="1675" t="s">
        <v>6638</v>
      </c>
      <c r="MK9" s="1675" t="s">
        <v>6448</v>
      </c>
      <c r="ML9" s="1673"/>
      <c r="MM9" s="1674" t="s">
        <v>6336</v>
      </c>
      <c r="MN9" s="253" t="s">
        <v>6639</v>
      </c>
      <c r="MO9" s="293" t="s">
        <v>6640</v>
      </c>
      <c r="MP9" s="1676" t="s">
        <v>6641</v>
      </c>
      <c r="MQ9" s="1676" t="s">
        <v>6641</v>
      </c>
      <c r="MR9" s="1676" t="s">
        <v>6642</v>
      </c>
      <c r="MS9" s="1676" t="s">
        <v>5836</v>
      </c>
      <c r="MT9" s="293" t="s">
        <v>6247</v>
      </c>
      <c r="MU9" s="1672" t="s">
        <v>6527</v>
      </c>
      <c r="MV9" s="253" t="s">
        <v>6441</v>
      </c>
      <c r="MW9" s="1672" t="s">
        <v>6643</v>
      </c>
      <c r="MX9" s="1675" t="s">
        <v>6644</v>
      </c>
      <c r="MY9" s="1675" t="s">
        <v>6134</v>
      </c>
      <c r="MZ9" s="1672" t="s">
        <v>6623</v>
      </c>
      <c r="NA9" s="1672" t="s">
        <v>6623</v>
      </c>
      <c r="NB9" s="1672" t="s">
        <v>6331</v>
      </c>
      <c r="NC9" s="1672" t="s">
        <v>6645</v>
      </c>
      <c r="ND9" s="1672" t="s">
        <v>6646</v>
      </c>
      <c r="NE9" s="1674" t="s">
        <v>6646</v>
      </c>
      <c r="NF9" s="1675" t="s">
        <v>6150</v>
      </c>
      <c r="NG9" s="1674" t="s">
        <v>6647</v>
      </c>
      <c r="NH9" s="1672" t="s">
        <v>6457</v>
      </c>
      <c r="NI9" s="253" t="s">
        <v>6614</v>
      </c>
      <c r="NJ9" s="1672" t="s">
        <v>6217</v>
      </c>
      <c r="NK9" s="1672"/>
      <c r="NL9" s="1672" t="s">
        <v>6648</v>
      </c>
      <c r="NM9" s="1672" t="s">
        <v>5972</v>
      </c>
      <c r="NN9" s="1673" t="s">
        <v>6649</v>
      </c>
      <c r="NO9" s="1672" t="s">
        <v>6649</v>
      </c>
      <c r="NP9" s="1675" t="s">
        <v>6649</v>
      </c>
      <c r="NQ9" s="1671" t="s">
        <v>6650</v>
      </c>
      <c r="NR9" s="1672" t="s">
        <v>6651</v>
      </c>
      <c r="NS9" s="1672" t="s">
        <v>6652</v>
      </c>
      <c r="NT9" s="1671" t="s">
        <v>6653</v>
      </c>
      <c r="NU9" s="293" t="s">
        <v>6654</v>
      </c>
      <c r="NV9" s="364" t="s">
        <v>6368</v>
      </c>
      <c r="NW9" s="1671" t="s">
        <v>6655</v>
      </c>
      <c r="NX9" s="1671" t="s">
        <v>6655</v>
      </c>
      <c r="NY9" s="1671" t="s">
        <v>6656</v>
      </c>
      <c r="NZ9" s="1671" t="s">
        <v>6655</v>
      </c>
      <c r="OA9" s="293" t="s">
        <v>6657</v>
      </c>
      <c r="OB9" s="293" t="s">
        <v>6657</v>
      </c>
      <c r="OC9" s="293" t="s">
        <v>6122</v>
      </c>
      <c r="OD9" s="1673" t="s">
        <v>6560</v>
      </c>
      <c r="OE9" s="1673" t="s">
        <v>6658</v>
      </c>
      <c r="OF9" s="1673" t="s">
        <v>6300</v>
      </c>
      <c r="OG9" s="1672" t="s">
        <v>6603</v>
      </c>
      <c r="OH9" s="1672" t="s">
        <v>6603</v>
      </c>
      <c r="OI9" s="1672" t="s">
        <v>6151</v>
      </c>
      <c r="OJ9" s="1673" t="s">
        <v>6659</v>
      </c>
      <c r="OK9" s="1673" t="s">
        <v>6659</v>
      </c>
      <c r="OL9" s="1673" t="s">
        <v>6302</v>
      </c>
      <c r="OM9" s="1673" t="s">
        <v>6660</v>
      </c>
      <c r="ON9" s="1673" t="s">
        <v>6469</v>
      </c>
      <c r="OO9" s="1671"/>
      <c r="OP9" s="1671" t="s">
        <v>5999</v>
      </c>
      <c r="OQ9" s="1672" t="s">
        <v>6661</v>
      </c>
      <c r="OR9" s="1672" t="s">
        <v>6661</v>
      </c>
      <c r="OS9" s="1672" t="s">
        <v>6470</v>
      </c>
      <c r="OT9" s="293" t="s">
        <v>6662</v>
      </c>
      <c r="OU9" s="293" t="s">
        <v>6663</v>
      </c>
      <c r="OV9" s="1672" t="s">
        <v>6664</v>
      </c>
      <c r="OW9" s="1672" t="s">
        <v>6472</v>
      </c>
      <c r="OX9" s="1675" t="s">
        <v>6665</v>
      </c>
      <c r="OY9" s="1675" t="s">
        <v>6472</v>
      </c>
      <c r="OZ9" s="293"/>
      <c r="PA9" s="293" t="s">
        <v>6028</v>
      </c>
      <c r="PB9" s="364" t="s">
        <v>6028</v>
      </c>
      <c r="PC9" s="1674" t="s">
        <v>6062</v>
      </c>
      <c r="PD9" s="364" t="s">
        <v>6666</v>
      </c>
      <c r="PE9" s="364"/>
      <c r="PF9" s="364" t="s">
        <v>6061</v>
      </c>
      <c r="PG9" s="253" t="s">
        <v>6667</v>
      </c>
      <c r="PH9" s="1673" t="s">
        <v>6668</v>
      </c>
      <c r="PI9" s="1673" t="s">
        <v>6668</v>
      </c>
      <c r="PJ9" s="1674" t="s">
        <v>6669</v>
      </c>
      <c r="PK9" s="1674" t="s">
        <v>6475</v>
      </c>
      <c r="PL9" s="464" t="s">
        <v>6670</v>
      </c>
      <c r="PM9" s="464" t="s">
        <v>6670</v>
      </c>
      <c r="PN9" s="464" t="s">
        <v>6574</v>
      </c>
      <c r="PO9" s="464" t="s">
        <v>6671</v>
      </c>
      <c r="PP9" s="464" t="s">
        <v>6477</v>
      </c>
      <c r="PQ9" s="1673" t="s">
        <v>6257</v>
      </c>
      <c r="PR9" s="1673" t="s">
        <v>6025</v>
      </c>
      <c r="PS9" s="464" t="s">
        <v>5834</v>
      </c>
      <c r="PT9" s="1676" t="s">
        <v>6672</v>
      </c>
      <c r="PU9" s="1675" t="s">
        <v>6410</v>
      </c>
      <c r="PV9" s="1675" t="s">
        <v>6410</v>
      </c>
      <c r="PW9" s="364" t="s">
        <v>6673</v>
      </c>
      <c r="PX9" s="464" t="s">
        <v>6674</v>
      </c>
      <c r="PY9" s="464" t="s">
        <v>6674</v>
      </c>
      <c r="PZ9" s="293" t="s">
        <v>6675</v>
      </c>
      <c r="QA9" s="293" t="s">
        <v>6270</v>
      </c>
      <c r="QB9" s="1673" t="s">
        <v>6572</v>
      </c>
      <c r="QC9" s="1674" t="s">
        <v>6676</v>
      </c>
      <c r="QD9" s="1674" t="s">
        <v>6677</v>
      </c>
      <c r="QE9" s="1676" t="s">
        <v>6678</v>
      </c>
      <c r="QF9" s="464" t="s">
        <v>6410</v>
      </c>
      <c r="QG9" s="1672" t="s">
        <v>6484</v>
      </c>
      <c r="QH9" s="1672" t="s">
        <v>6556</v>
      </c>
      <c r="QI9" s="1672" t="s">
        <v>6484</v>
      </c>
      <c r="QJ9" s="1676" t="s">
        <v>6555</v>
      </c>
      <c r="QK9" s="1672" t="s">
        <v>6679</v>
      </c>
      <c r="QL9" s="1672" t="s">
        <v>6679</v>
      </c>
      <c r="QM9" s="1673" t="s">
        <v>6680</v>
      </c>
      <c r="QN9" s="1673" t="s">
        <v>5849</v>
      </c>
      <c r="QO9" s="464" t="s">
        <v>6681</v>
      </c>
      <c r="QP9" s="464" t="s">
        <v>5836</v>
      </c>
      <c r="QQ9" s="1672" t="s">
        <v>6682</v>
      </c>
      <c r="QR9" s="1672" t="s">
        <v>6488</v>
      </c>
      <c r="QS9" s="293" t="s">
        <v>6683</v>
      </c>
      <c r="QT9" s="1672" t="s">
        <v>6684</v>
      </c>
      <c r="QU9" s="1672" t="s">
        <v>6162</v>
      </c>
      <c r="QV9" s="1672" t="s">
        <v>6307</v>
      </c>
      <c r="QW9" s="253" t="s">
        <v>6685</v>
      </c>
      <c r="QX9" s="253" t="s">
        <v>6490</v>
      </c>
      <c r="QY9" s="1676" t="s">
        <v>5836</v>
      </c>
      <c r="QZ9" s="1675" t="s">
        <v>6109</v>
      </c>
      <c r="RA9" s="1674" t="s">
        <v>6542</v>
      </c>
      <c r="RB9" s="1675" t="s">
        <v>6313</v>
      </c>
      <c r="RC9" s="1672" t="s">
        <v>6176</v>
      </c>
      <c r="RD9" s="364" t="s">
        <v>5832</v>
      </c>
      <c r="RE9" s="1671" t="s">
        <v>6370</v>
      </c>
      <c r="RF9" s="253" t="s">
        <v>6686</v>
      </c>
      <c r="RG9" s="293" t="s">
        <v>6134</v>
      </c>
      <c r="RH9" s="293" t="s">
        <v>5853</v>
      </c>
      <c r="RI9" s="1672" t="s">
        <v>5853</v>
      </c>
      <c r="RJ9" s="464" t="s">
        <v>5822</v>
      </c>
      <c r="RK9" s="1673" t="s">
        <v>6132</v>
      </c>
      <c r="RL9" s="1671" t="s">
        <v>6089</v>
      </c>
      <c r="RM9" s="253" t="s">
        <v>6687</v>
      </c>
      <c r="RN9" s="1675" t="s">
        <v>6131</v>
      </c>
      <c r="RO9" s="1676" t="s">
        <v>5836</v>
      </c>
      <c r="RP9" s="254" t="s">
        <v>6289</v>
      </c>
      <c r="RQ9" s="1671" t="s">
        <v>6374</v>
      </c>
      <c r="RR9" s="1671" t="s">
        <v>6374</v>
      </c>
      <c r="RS9" s="1671" t="s">
        <v>6374</v>
      </c>
      <c r="RT9" s="1671" t="s">
        <v>6374</v>
      </c>
      <c r="RU9" s="1671" t="s">
        <v>6374</v>
      </c>
      <c r="RV9" s="1671" t="s">
        <v>6374</v>
      </c>
      <c r="RW9" s="364" t="s">
        <v>6688</v>
      </c>
      <c r="RX9" s="1674" t="s">
        <v>6688</v>
      </c>
      <c r="RY9" s="1672" t="s">
        <v>6688</v>
      </c>
      <c r="RZ9" s="253" t="s">
        <v>6689</v>
      </c>
      <c r="SA9" s="464" t="s">
        <v>6689</v>
      </c>
      <c r="SB9" s="1673" t="s">
        <v>6690</v>
      </c>
      <c r="SC9" s="253" t="s">
        <v>6691</v>
      </c>
      <c r="SD9" s="1676" t="s">
        <v>6692</v>
      </c>
      <c r="SE9" s="1676" t="s">
        <v>6692</v>
      </c>
      <c r="SF9" s="364" t="s">
        <v>6693</v>
      </c>
      <c r="SG9" s="1672" t="s">
        <v>6694</v>
      </c>
      <c r="SH9" s="1672" t="s">
        <v>6322</v>
      </c>
      <c r="SI9" s="1676" t="s">
        <v>6178</v>
      </c>
      <c r="SJ9" s="293" t="s">
        <v>6695</v>
      </c>
      <c r="SK9" s="293" t="s">
        <v>6695</v>
      </c>
      <c r="SL9" s="1675" t="s">
        <v>6222</v>
      </c>
    </row>
    <row r="10" ht="15.75" customHeight="1">
      <c r="A10" s="1517"/>
      <c r="B10" s="1680" t="s">
        <v>6696</v>
      </c>
      <c r="C10" s="1680" t="s">
        <v>6696</v>
      </c>
      <c r="D10" s="1680" t="s">
        <v>6324</v>
      </c>
      <c r="E10" s="1680" t="s">
        <v>6697</v>
      </c>
      <c r="F10" s="1680" t="s">
        <v>6698</v>
      </c>
      <c r="G10" s="1680" t="s">
        <v>6174</v>
      </c>
      <c r="H10" s="1680" t="s">
        <v>6699</v>
      </c>
      <c r="I10" s="1680" t="s">
        <v>6700</v>
      </c>
      <c r="J10" s="1680" t="s">
        <v>6175</v>
      </c>
      <c r="K10" s="1680"/>
      <c r="L10" s="1680"/>
      <c r="M10" s="1680" t="s">
        <v>6421</v>
      </c>
      <c r="N10" s="1680"/>
      <c r="O10" s="1680"/>
      <c r="P10" s="1680" t="s">
        <v>6701</v>
      </c>
      <c r="Q10" s="1680" t="s">
        <v>6702</v>
      </c>
      <c r="R10" s="1680" t="s">
        <v>6702</v>
      </c>
      <c r="S10" s="1680" t="s">
        <v>5898</v>
      </c>
      <c r="T10" s="1680" t="s">
        <v>6703</v>
      </c>
      <c r="U10" s="1680" t="s">
        <v>6274</v>
      </c>
      <c r="V10" s="1680" t="s">
        <v>6704</v>
      </c>
      <c r="W10" s="1680" t="s">
        <v>6180</v>
      </c>
      <c r="X10" s="1680" t="s">
        <v>6705</v>
      </c>
      <c r="Y10" s="1680" t="s">
        <v>6179</v>
      </c>
      <c r="Z10" s="1680" t="s">
        <v>6549</v>
      </c>
      <c r="AA10" s="1680" t="s">
        <v>5886</v>
      </c>
      <c r="AB10" s="1680" t="s">
        <v>6706</v>
      </c>
      <c r="AC10" s="1680" t="s">
        <v>6706</v>
      </c>
      <c r="AD10" s="1680" t="s">
        <v>6707</v>
      </c>
      <c r="AE10" s="1680" t="s">
        <v>6707</v>
      </c>
      <c r="AF10" s="1680" t="s">
        <v>6708</v>
      </c>
      <c r="AG10" s="1680" t="s">
        <v>6707</v>
      </c>
      <c r="AH10" s="1680" t="s">
        <v>6707</v>
      </c>
      <c r="AI10" s="1680" t="s">
        <v>6709</v>
      </c>
      <c r="AJ10" s="1680" t="s">
        <v>6710</v>
      </c>
      <c r="AK10" s="1680" t="s">
        <v>6711</v>
      </c>
      <c r="AL10" s="1680" t="s">
        <v>6712</v>
      </c>
      <c r="AM10" s="1680" t="s">
        <v>6293</v>
      </c>
      <c r="AN10" s="1686" t="s">
        <v>6365</v>
      </c>
      <c r="AO10" s="1680" t="s">
        <v>6076</v>
      </c>
      <c r="AP10" s="1680" t="s">
        <v>6713</v>
      </c>
      <c r="AQ10" s="1680" t="s">
        <v>6514</v>
      </c>
      <c r="AR10" s="1680" t="s">
        <v>6188</v>
      </c>
      <c r="AS10" s="1680" t="s">
        <v>6188</v>
      </c>
      <c r="AT10" s="1662" t="s">
        <v>6714</v>
      </c>
      <c r="AU10" s="1680" t="s">
        <v>6715</v>
      </c>
      <c r="AV10" s="1680" t="s">
        <v>6516</v>
      </c>
      <c r="AW10" s="1680" t="s">
        <v>6716</v>
      </c>
      <c r="AX10" s="1680" t="s">
        <v>6362</v>
      </c>
      <c r="AY10" s="1680" t="s">
        <v>6436</v>
      </c>
      <c r="AZ10" s="1680" t="s">
        <v>6436</v>
      </c>
      <c r="BA10" s="1680" t="s">
        <v>6717</v>
      </c>
      <c r="BB10" s="1680" t="s">
        <v>6517</v>
      </c>
      <c r="BC10" s="1680" t="s">
        <v>6283</v>
      </c>
      <c r="BD10" s="1680" t="s">
        <v>6343</v>
      </c>
      <c r="BE10" s="1680" t="s">
        <v>6718</v>
      </c>
      <c r="BF10" s="1680" t="s">
        <v>6719</v>
      </c>
      <c r="BG10" s="1680" t="s">
        <v>6475</v>
      </c>
      <c r="BH10" s="1680" t="s">
        <v>5925</v>
      </c>
      <c r="BI10" s="1680" t="s">
        <v>6720</v>
      </c>
      <c r="BJ10" s="1680" t="s">
        <v>6720</v>
      </c>
      <c r="BK10" s="1680" t="s">
        <v>6018</v>
      </c>
      <c r="BL10" s="1680"/>
      <c r="BM10" s="1680" t="s">
        <v>6721</v>
      </c>
      <c r="BN10" s="1680" t="s">
        <v>6346</v>
      </c>
      <c r="BO10" s="1680" t="s">
        <v>6722</v>
      </c>
      <c r="BP10" s="1680" t="s">
        <v>6722</v>
      </c>
      <c r="BQ10" s="1680" t="s">
        <v>6347</v>
      </c>
      <c r="BR10" s="1680" t="s">
        <v>6188</v>
      </c>
      <c r="BS10" s="1680" t="s">
        <v>6188</v>
      </c>
      <c r="BT10" s="1680" t="s">
        <v>5861</v>
      </c>
      <c r="BU10" s="1680" t="s">
        <v>6723</v>
      </c>
      <c r="BV10" s="1680" t="s">
        <v>6723</v>
      </c>
      <c r="BW10" s="1680" t="s">
        <v>6724</v>
      </c>
      <c r="BX10" s="1680" t="s">
        <v>6724</v>
      </c>
      <c r="BY10" s="1680" t="s">
        <v>6197</v>
      </c>
      <c r="BZ10" s="1680" t="s">
        <v>6725</v>
      </c>
      <c r="CA10" s="1680" t="s">
        <v>6138</v>
      </c>
      <c r="CB10" s="1680" t="s">
        <v>6365</v>
      </c>
      <c r="CC10" s="1680" t="s">
        <v>6365</v>
      </c>
      <c r="CD10" s="1680" t="s">
        <v>6726</v>
      </c>
      <c r="CE10" s="1680" t="s">
        <v>6726</v>
      </c>
      <c r="CF10" s="1680" t="s">
        <v>6727</v>
      </c>
      <c r="CG10" s="1680" t="s">
        <v>6728</v>
      </c>
      <c r="CH10" s="1680" t="s">
        <v>6354</v>
      </c>
      <c r="CI10" s="1682" t="s">
        <v>6729</v>
      </c>
      <c r="CJ10" s="1682" t="s">
        <v>6729</v>
      </c>
      <c r="CK10" s="1680" t="s">
        <v>6730</v>
      </c>
      <c r="CL10" s="1680" t="s">
        <v>6280</v>
      </c>
      <c r="CM10" s="1680" t="s">
        <v>6731</v>
      </c>
      <c r="CN10" s="1680" t="s">
        <v>6732</v>
      </c>
      <c r="CO10" s="1680" t="s">
        <v>6733</v>
      </c>
      <c r="CP10" s="1680" t="s">
        <v>6733</v>
      </c>
      <c r="CQ10" s="1680" t="s">
        <v>6733</v>
      </c>
      <c r="CR10" s="1680" t="s">
        <v>6313</v>
      </c>
      <c r="CS10" s="1680" t="s">
        <v>6734</v>
      </c>
      <c r="CT10" s="1680" t="s">
        <v>6343</v>
      </c>
      <c r="CU10" s="1680" t="s">
        <v>6497</v>
      </c>
      <c r="CV10" s="1680" t="s">
        <v>6202</v>
      </c>
      <c r="CW10" s="1680" t="s">
        <v>6735</v>
      </c>
      <c r="CX10" s="1680" t="s">
        <v>6735</v>
      </c>
      <c r="CY10" s="1680" t="s">
        <v>6736</v>
      </c>
      <c r="CZ10" s="1680" t="s">
        <v>6737</v>
      </c>
      <c r="DA10" s="1680" t="s">
        <v>6738</v>
      </c>
      <c r="DB10" s="1680" t="s">
        <v>6738</v>
      </c>
      <c r="DC10" s="1680" t="s">
        <v>6541</v>
      </c>
      <c r="DD10" s="1680" t="s">
        <v>6739</v>
      </c>
      <c r="DE10" s="1680" t="s">
        <v>6740</v>
      </c>
      <c r="DF10" s="1680" t="s">
        <v>6741</v>
      </c>
      <c r="DG10" s="1680" t="s">
        <v>6543</v>
      </c>
      <c r="DH10" s="1680" t="s">
        <v>6742</v>
      </c>
      <c r="DI10" s="1680" t="s">
        <v>6544</v>
      </c>
      <c r="DJ10" s="1680" t="s">
        <v>6743</v>
      </c>
      <c r="DK10" s="1680" t="s">
        <v>6503</v>
      </c>
      <c r="DL10" s="1680" t="s">
        <v>6744</v>
      </c>
      <c r="DM10" s="1680" t="s">
        <v>6745</v>
      </c>
      <c r="DN10" s="1680" t="s">
        <v>6457</v>
      </c>
      <c r="DO10" s="1680" t="s">
        <v>6746</v>
      </c>
      <c r="DP10" s="1680" t="s">
        <v>6372</v>
      </c>
      <c r="DQ10" s="1680" t="s">
        <v>6747</v>
      </c>
      <c r="DR10" s="1680" t="s">
        <v>6748</v>
      </c>
      <c r="DS10" s="1680" t="s">
        <v>6676</v>
      </c>
      <c r="DT10" s="1680" t="s">
        <v>6749</v>
      </c>
      <c r="DU10" s="1680" t="s">
        <v>6750</v>
      </c>
      <c r="DV10" s="1680" t="s">
        <v>6751</v>
      </c>
      <c r="DW10" s="1680" t="s">
        <v>6752</v>
      </c>
      <c r="DX10" s="1680" t="s">
        <v>6516</v>
      </c>
      <c r="DY10" s="1680" t="s">
        <v>6544</v>
      </c>
      <c r="DZ10" s="1680"/>
      <c r="EA10" s="1680" t="s">
        <v>6753</v>
      </c>
      <c r="EB10" s="1680" t="s">
        <v>6349</v>
      </c>
      <c r="EC10" s="1680"/>
      <c r="ED10" s="1680" t="s">
        <v>6754</v>
      </c>
      <c r="EE10" s="1680" t="s">
        <v>6754</v>
      </c>
      <c r="EF10" s="1680" t="s">
        <v>6754</v>
      </c>
      <c r="EG10" s="1680" t="s">
        <v>6754</v>
      </c>
      <c r="EH10" s="1680" t="s">
        <v>6755</v>
      </c>
      <c r="EI10" s="1680" t="s">
        <v>6756</v>
      </c>
      <c r="EJ10" s="1680" t="s">
        <v>6376</v>
      </c>
      <c r="EK10" s="1680" t="s">
        <v>6554</v>
      </c>
      <c r="EL10" s="1680" t="s">
        <v>6376</v>
      </c>
      <c r="EM10" s="1680" t="s">
        <v>6757</v>
      </c>
      <c r="EN10" s="1680" t="s">
        <v>6758</v>
      </c>
      <c r="EO10" s="1680" t="s">
        <v>6759</v>
      </c>
      <c r="EP10" s="1680" t="s">
        <v>6760</v>
      </c>
      <c r="EQ10" s="1680" t="s">
        <v>6761</v>
      </c>
      <c r="ER10" s="1680" t="s">
        <v>6762</v>
      </c>
      <c r="ES10" s="1680" t="s">
        <v>6762</v>
      </c>
      <c r="ET10" s="1680" t="s">
        <v>6219</v>
      </c>
      <c r="EU10" s="1680" t="s">
        <v>6763</v>
      </c>
      <c r="EV10" s="1680" t="s">
        <v>6764</v>
      </c>
      <c r="EW10" s="1680" t="s">
        <v>6765</v>
      </c>
      <c r="EX10" s="1680" t="s">
        <v>6766</v>
      </c>
      <c r="EY10" s="1680" t="s">
        <v>6384</v>
      </c>
      <c r="EZ10" s="1680" t="s">
        <v>6767</v>
      </c>
      <c r="FA10" s="1680" t="s">
        <v>6768</v>
      </c>
      <c r="FB10" s="1680" t="s">
        <v>6174</v>
      </c>
      <c r="FC10" s="1680" t="s">
        <v>6769</v>
      </c>
      <c r="FD10" s="1680" t="s">
        <v>6769</v>
      </c>
      <c r="FE10" s="1680" t="s">
        <v>6386</v>
      </c>
      <c r="FF10" s="1680" t="s">
        <v>6770</v>
      </c>
      <c r="FG10" s="1680" t="s">
        <v>6563</v>
      </c>
      <c r="FH10" s="1680" t="s">
        <v>6771</v>
      </c>
      <c r="FI10" s="1680" t="s">
        <v>5828</v>
      </c>
      <c r="FJ10" s="1680" t="s">
        <v>6772</v>
      </c>
      <c r="FK10" s="1680" t="s">
        <v>6225</v>
      </c>
      <c r="FL10" s="1681" t="s">
        <v>6773</v>
      </c>
      <c r="FM10" s="1662" t="s">
        <v>6565</v>
      </c>
      <c r="FN10" s="1680" t="s">
        <v>6337</v>
      </c>
      <c r="FO10" s="1680" t="s">
        <v>6713</v>
      </c>
      <c r="FP10" s="1680" t="s">
        <v>6713</v>
      </c>
      <c r="FQ10" s="1680" t="s">
        <v>6774</v>
      </c>
      <c r="FR10" s="1680" t="s">
        <v>6775</v>
      </c>
      <c r="FS10" s="1686" t="s">
        <v>6775</v>
      </c>
      <c r="FT10" s="1682" t="s">
        <v>6486</v>
      </c>
      <c r="FU10" s="1664" t="s">
        <v>6568</v>
      </c>
      <c r="FV10" s="1681" t="s">
        <v>6776</v>
      </c>
      <c r="FW10" s="1662" t="s">
        <v>6569</v>
      </c>
      <c r="FX10" s="1664" t="s">
        <v>6777</v>
      </c>
      <c r="FY10" s="1680" t="s">
        <v>6778</v>
      </c>
      <c r="FZ10" s="1680" t="s">
        <v>6109</v>
      </c>
      <c r="GA10" s="1680" t="s">
        <v>6339</v>
      </c>
      <c r="GB10" s="1680" t="s">
        <v>6779</v>
      </c>
      <c r="GC10" s="1680" t="s">
        <v>6392</v>
      </c>
      <c r="GD10" s="1680" t="s">
        <v>6780</v>
      </c>
      <c r="GE10" s="1680" t="s">
        <v>6781</v>
      </c>
      <c r="GF10" s="1665" t="s">
        <v>6782</v>
      </c>
      <c r="GG10" s="1666" t="s">
        <v>6782</v>
      </c>
      <c r="GH10" s="1667" t="s">
        <v>6782</v>
      </c>
      <c r="GI10" s="1680" t="s">
        <v>6600</v>
      </c>
      <c r="GJ10" s="1680" t="s">
        <v>6783</v>
      </c>
      <c r="GK10" s="1680" t="s">
        <v>6575</v>
      </c>
      <c r="GL10" s="1680" t="s">
        <v>6421</v>
      </c>
      <c r="GM10" s="1680" t="s">
        <v>6784</v>
      </c>
      <c r="GN10" s="1680" t="s">
        <v>6784</v>
      </c>
      <c r="GO10" s="1680" t="s">
        <v>6754</v>
      </c>
      <c r="GP10" s="1680" t="s">
        <v>6754</v>
      </c>
      <c r="GQ10" s="1680" t="s">
        <v>6785</v>
      </c>
      <c r="GR10" s="1680" t="s">
        <v>6155</v>
      </c>
      <c r="GS10" s="1680" t="s">
        <v>6786</v>
      </c>
      <c r="GT10" s="1681"/>
      <c r="GU10" s="1680" t="s">
        <v>5976</v>
      </c>
      <c r="GV10" s="1680" t="s">
        <v>6787</v>
      </c>
      <c r="GW10" s="1680" t="s">
        <v>6788</v>
      </c>
      <c r="GX10" s="1680" t="s">
        <v>6788</v>
      </c>
      <c r="GY10" s="1680" t="s">
        <v>6789</v>
      </c>
      <c r="GZ10" s="1680" t="s">
        <v>6397</v>
      </c>
      <c r="HA10" s="1680" t="s">
        <v>5983</v>
      </c>
      <c r="HB10" s="1680" t="s">
        <v>6743</v>
      </c>
      <c r="HC10" s="1680" t="s">
        <v>6743</v>
      </c>
      <c r="HD10" s="1680" t="s">
        <v>6790</v>
      </c>
      <c r="HE10" s="1680" t="s">
        <v>6749</v>
      </c>
      <c r="HF10" s="1680" t="s">
        <v>6791</v>
      </c>
      <c r="HG10" s="1680" t="s">
        <v>5879</v>
      </c>
      <c r="HH10" s="1680" t="s">
        <v>6792</v>
      </c>
      <c r="HI10" s="1680" t="s">
        <v>6793</v>
      </c>
      <c r="HJ10" s="1680" t="s">
        <v>6793</v>
      </c>
      <c r="HK10" s="1680" t="s">
        <v>6794</v>
      </c>
      <c r="HL10" s="1680" t="s">
        <v>6794</v>
      </c>
      <c r="HM10" s="1680" t="s">
        <v>6795</v>
      </c>
      <c r="HN10" s="1680" t="s">
        <v>6285</v>
      </c>
      <c r="HO10" s="1680" t="s">
        <v>6796</v>
      </c>
      <c r="HP10" s="1680" t="s">
        <v>6797</v>
      </c>
      <c r="HQ10" s="1680" t="s">
        <v>6244</v>
      </c>
      <c r="HR10" s="1680" t="s">
        <v>6798</v>
      </c>
      <c r="HS10" s="1680" t="s">
        <v>6021</v>
      </c>
      <c r="HT10" s="1680" t="s">
        <v>6632</v>
      </c>
      <c r="HU10" s="1680" t="s">
        <v>6799</v>
      </c>
      <c r="HV10" s="1680" t="s">
        <v>6590</v>
      </c>
      <c r="HW10" s="1680" t="s">
        <v>6274</v>
      </c>
      <c r="HX10" s="1680" t="s">
        <v>6626</v>
      </c>
      <c r="HY10" s="1680" t="s">
        <v>6266</v>
      </c>
      <c r="HZ10" s="1680" t="s">
        <v>6755</v>
      </c>
      <c r="IA10" s="1680" t="s">
        <v>6800</v>
      </c>
      <c r="IB10" s="1664" t="s">
        <v>6801</v>
      </c>
      <c r="IC10" s="1680" t="s">
        <v>6034</v>
      </c>
      <c r="ID10" s="1680" t="s">
        <v>6541</v>
      </c>
      <c r="IE10" s="1680" t="s">
        <v>6802</v>
      </c>
      <c r="IF10" s="1680" t="s">
        <v>6751</v>
      </c>
      <c r="IG10" s="1680" t="s">
        <v>6752</v>
      </c>
      <c r="IH10" s="1680" t="s">
        <v>6803</v>
      </c>
      <c r="II10" s="1680" t="s">
        <v>6743</v>
      </c>
      <c r="IJ10" s="1680" t="s">
        <v>6257</v>
      </c>
      <c r="IK10" s="1680" t="s">
        <v>6437</v>
      </c>
      <c r="IL10" s="1680" t="s">
        <v>6001</v>
      </c>
      <c r="IM10" s="1680" t="s">
        <v>6525</v>
      </c>
      <c r="IN10" s="1680" t="s">
        <v>6525</v>
      </c>
      <c r="IO10" s="1680" t="s">
        <v>6248</v>
      </c>
      <c r="IP10" s="1664" t="s">
        <v>6804</v>
      </c>
      <c r="IQ10" s="1680" t="s">
        <v>6804</v>
      </c>
      <c r="IR10" s="1680" t="s">
        <v>6805</v>
      </c>
      <c r="IS10" s="1680" t="s">
        <v>6806</v>
      </c>
      <c r="IT10" s="1680" t="s">
        <v>6807</v>
      </c>
      <c r="IU10" s="1680" t="s">
        <v>6250</v>
      </c>
      <c r="IV10" s="1680" t="s">
        <v>6808</v>
      </c>
      <c r="IW10" s="1680" t="s">
        <v>6809</v>
      </c>
      <c r="IX10" s="1680" t="s">
        <v>6416</v>
      </c>
      <c r="IY10" s="1680" t="s">
        <v>6810</v>
      </c>
      <c r="IZ10" s="1680" t="s">
        <v>6603</v>
      </c>
      <c r="JA10" s="1680" t="s">
        <v>6252</v>
      </c>
      <c r="JB10" s="1680" t="s">
        <v>6811</v>
      </c>
      <c r="JC10" s="1680" t="s">
        <v>6036</v>
      </c>
      <c r="JD10" s="1680" t="s">
        <v>6812</v>
      </c>
      <c r="JE10" s="1664" t="s">
        <v>5849</v>
      </c>
      <c r="JF10" s="1680"/>
      <c r="JG10" s="1664"/>
      <c r="JH10" s="1680" t="s">
        <v>6813</v>
      </c>
      <c r="JI10" s="1680"/>
      <c r="JJ10" s="1680" t="s">
        <v>6814</v>
      </c>
      <c r="JK10" s="1680" t="s">
        <v>6815</v>
      </c>
      <c r="JL10" s="1680" t="s">
        <v>6607</v>
      </c>
      <c r="JM10" s="1680"/>
      <c r="JN10" s="1680" t="s">
        <v>6816</v>
      </c>
      <c r="JO10" s="1680" t="s">
        <v>6817</v>
      </c>
      <c r="JP10" s="1680" t="s">
        <v>6818</v>
      </c>
      <c r="JQ10" s="1680" t="s">
        <v>6819</v>
      </c>
      <c r="JR10" s="1680" t="s">
        <v>6397</v>
      </c>
      <c r="JS10" s="1664" t="s">
        <v>6820</v>
      </c>
      <c r="JT10" s="1680" t="s">
        <v>6337</v>
      </c>
      <c r="JU10" s="1690" t="s">
        <v>6821</v>
      </c>
      <c r="JV10" s="1691" t="s">
        <v>6821</v>
      </c>
      <c r="JW10" s="1664" t="s">
        <v>6425</v>
      </c>
      <c r="JX10" s="1680" t="s">
        <v>6822</v>
      </c>
      <c r="JY10" s="1680" t="s">
        <v>6238</v>
      </c>
      <c r="JZ10" s="1680" t="s">
        <v>6823</v>
      </c>
      <c r="KA10" s="1680" t="s">
        <v>6614</v>
      </c>
      <c r="KB10" s="1680" t="s">
        <v>6824</v>
      </c>
      <c r="KC10" s="1664" t="s">
        <v>6825</v>
      </c>
      <c r="KD10" s="1680" t="s">
        <v>6824</v>
      </c>
      <c r="KE10" s="1680" t="s">
        <v>6826</v>
      </c>
      <c r="KF10" s="1680" t="s">
        <v>6827</v>
      </c>
      <c r="KG10" s="1680" t="s">
        <v>6828</v>
      </c>
      <c r="KH10" s="1680" t="s">
        <v>6542</v>
      </c>
      <c r="KI10" s="1680" t="s">
        <v>6829</v>
      </c>
      <c r="KJ10" s="1680" t="s">
        <v>6261</v>
      </c>
      <c r="KK10" s="1680" t="s">
        <v>6830</v>
      </c>
      <c r="KL10" s="1680" t="s">
        <v>6617</v>
      </c>
      <c r="KM10" s="1680" t="s">
        <v>6831</v>
      </c>
      <c r="KN10" s="1680" t="s">
        <v>6832</v>
      </c>
      <c r="KO10" s="1680" t="s">
        <v>6277</v>
      </c>
      <c r="KP10" s="1680" t="s">
        <v>6833</v>
      </c>
      <c r="KQ10" s="1680" t="s">
        <v>6834</v>
      </c>
      <c r="KR10" s="1680" t="s">
        <v>6835</v>
      </c>
      <c r="KS10" s="1680" t="s">
        <v>6836</v>
      </c>
      <c r="KT10" s="1680" t="s">
        <v>6836</v>
      </c>
      <c r="KU10" s="1680" t="s">
        <v>6266</v>
      </c>
      <c r="KV10" s="1680" t="s">
        <v>6837</v>
      </c>
      <c r="KW10" s="1680" t="s">
        <v>6267</v>
      </c>
      <c r="KX10" s="1680" t="s">
        <v>6473</v>
      </c>
      <c r="KY10" s="1680" t="s">
        <v>6473</v>
      </c>
      <c r="KZ10" s="1680" t="s">
        <v>6838</v>
      </c>
      <c r="LA10" s="1680" t="s">
        <v>6838</v>
      </c>
      <c r="LB10" s="1680" t="s">
        <v>6839</v>
      </c>
      <c r="LC10" s="1662" t="s">
        <v>6840</v>
      </c>
      <c r="LD10" s="1680" t="s">
        <v>6662</v>
      </c>
      <c r="LE10" s="1680" t="s">
        <v>6841</v>
      </c>
      <c r="LF10" s="1680" t="s">
        <v>6435</v>
      </c>
      <c r="LG10" s="1680" t="s">
        <v>6842</v>
      </c>
      <c r="LH10" s="1680" t="s">
        <v>6377</v>
      </c>
      <c r="LI10" s="1680" t="s">
        <v>6349</v>
      </c>
      <c r="LJ10" s="1680" t="s">
        <v>6349</v>
      </c>
      <c r="LK10" s="1680" t="s">
        <v>6843</v>
      </c>
      <c r="LL10" s="1680" t="s">
        <v>6843</v>
      </c>
      <c r="LM10" s="1680" t="s">
        <v>6725</v>
      </c>
      <c r="LN10" s="1680" t="s">
        <v>6844</v>
      </c>
      <c r="LO10" s="1680" t="s">
        <v>6844</v>
      </c>
      <c r="LP10" s="1680" t="s">
        <v>6410</v>
      </c>
      <c r="LQ10" s="1680" t="s">
        <v>6630</v>
      </c>
      <c r="LR10" s="1680" t="s">
        <v>6845</v>
      </c>
      <c r="LS10" s="1680" t="s">
        <v>6630</v>
      </c>
      <c r="LT10" s="1680" t="s">
        <v>6715</v>
      </c>
      <c r="LU10" s="1680" t="s">
        <v>6715</v>
      </c>
      <c r="LV10" s="1680" t="s">
        <v>6643</v>
      </c>
      <c r="LW10" s="1680" t="s">
        <v>6632</v>
      </c>
      <c r="LX10" s="1664" t="s">
        <v>6846</v>
      </c>
      <c r="LY10" s="1680" t="s">
        <v>6842</v>
      </c>
      <c r="LZ10" s="1680" t="s">
        <v>6635</v>
      </c>
      <c r="MA10" s="1680" t="s">
        <v>6481</v>
      </c>
      <c r="MB10" s="1680" t="s">
        <v>6847</v>
      </c>
      <c r="MC10" s="1680" t="s">
        <v>6444</v>
      </c>
      <c r="MD10" s="1680" t="s">
        <v>6497</v>
      </c>
      <c r="ME10" s="1680" t="s">
        <v>6497</v>
      </c>
      <c r="MF10" s="1680" t="s">
        <v>6346</v>
      </c>
      <c r="MG10" s="1680" t="s">
        <v>6446</v>
      </c>
      <c r="MH10" s="1680" t="s">
        <v>6848</v>
      </c>
      <c r="MI10" s="1680" t="s">
        <v>6558</v>
      </c>
      <c r="MJ10" s="1680" t="s">
        <v>6447</v>
      </c>
      <c r="MK10" s="1680" t="s">
        <v>6638</v>
      </c>
      <c r="ML10" s="1680"/>
      <c r="MM10" s="1680" t="s">
        <v>6849</v>
      </c>
      <c r="MN10" s="1664" t="s">
        <v>6850</v>
      </c>
      <c r="MO10" s="1680" t="s">
        <v>6851</v>
      </c>
      <c r="MP10" s="1680" t="s">
        <v>6752</v>
      </c>
      <c r="MQ10" s="1680" t="s">
        <v>6752</v>
      </c>
      <c r="MR10" s="1680" t="s">
        <v>6701</v>
      </c>
      <c r="MS10" s="1680" t="s">
        <v>6048</v>
      </c>
      <c r="MT10" s="1680" t="s">
        <v>6852</v>
      </c>
      <c r="MU10" s="1680" t="s">
        <v>6673</v>
      </c>
      <c r="MV10" s="1664" t="s">
        <v>6853</v>
      </c>
      <c r="MW10" s="1680" t="s">
        <v>6854</v>
      </c>
      <c r="MX10" s="1680" t="s">
        <v>6855</v>
      </c>
      <c r="MY10" s="1680" t="s">
        <v>6289</v>
      </c>
      <c r="MZ10" s="1680" t="s">
        <v>6856</v>
      </c>
      <c r="NA10" s="1680" t="s">
        <v>6856</v>
      </c>
      <c r="NB10" s="1680" t="s">
        <v>6623</v>
      </c>
      <c r="NC10" s="1680"/>
      <c r="ND10" s="1680" t="s">
        <v>6857</v>
      </c>
      <c r="NE10" s="1680" t="s">
        <v>6858</v>
      </c>
      <c r="NF10" s="1680" t="s">
        <v>6859</v>
      </c>
      <c r="NG10" s="1680" t="s">
        <v>6847</v>
      </c>
      <c r="NH10" s="1680" t="s">
        <v>6614</v>
      </c>
      <c r="NI10" s="1664" t="s">
        <v>6860</v>
      </c>
      <c r="NJ10" s="1680" t="s">
        <v>6457</v>
      </c>
      <c r="NK10" s="1680"/>
      <c r="NL10" s="1680" t="s">
        <v>5823</v>
      </c>
      <c r="NM10" s="1680" t="s">
        <v>6290</v>
      </c>
      <c r="NN10" s="1680" t="s">
        <v>6861</v>
      </c>
      <c r="NO10" s="1680" t="s">
        <v>6861</v>
      </c>
      <c r="NP10" s="1680" t="s">
        <v>6861</v>
      </c>
      <c r="NQ10" s="1680" t="s">
        <v>6862</v>
      </c>
      <c r="NR10" s="1680" t="s">
        <v>6862</v>
      </c>
      <c r="NS10" s="1680" t="s">
        <v>6863</v>
      </c>
      <c r="NT10" s="1680" t="s">
        <v>6864</v>
      </c>
      <c r="NU10" s="1680" t="s">
        <v>6865</v>
      </c>
      <c r="NV10" s="1680" t="s">
        <v>6866</v>
      </c>
      <c r="NW10" s="1680" t="s">
        <v>6867</v>
      </c>
      <c r="NX10" s="1680" t="s">
        <v>6867</v>
      </c>
      <c r="NY10" s="1680" t="s">
        <v>6867</v>
      </c>
      <c r="NZ10" s="1680" t="s">
        <v>6867</v>
      </c>
      <c r="OA10" s="1680" t="s">
        <v>6868</v>
      </c>
      <c r="OB10" s="1686" t="s">
        <v>6868</v>
      </c>
      <c r="OC10" s="1680" t="s">
        <v>6299</v>
      </c>
      <c r="OD10" s="1680" t="s">
        <v>6869</v>
      </c>
      <c r="OE10" s="1680" t="s">
        <v>6768</v>
      </c>
      <c r="OF10" s="1680" t="s">
        <v>6467</v>
      </c>
      <c r="OG10" s="1680" t="s">
        <v>6870</v>
      </c>
      <c r="OH10" s="1680" t="s">
        <v>6871</v>
      </c>
      <c r="OI10" s="1680" t="s">
        <v>6872</v>
      </c>
      <c r="OJ10" s="1680" t="s">
        <v>6873</v>
      </c>
      <c r="OK10" s="1680" t="s">
        <v>6874</v>
      </c>
      <c r="OL10" s="1680" t="s">
        <v>6468</v>
      </c>
      <c r="OM10" s="1680" t="s">
        <v>6875</v>
      </c>
      <c r="ON10" s="1680" t="s">
        <v>6660</v>
      </c>
      <c r="OO10" s="1680"/>
      <c r="OP10" s="1680" t="s">
        <v>6876</v>
      </c>
      <c r="OQ10" s="1680" t="s">
        <v>6877</v>
      </c>
      <c r="OR10" s="1680" t="s">
        <v>6878</v>
      </c>
      <c r="OS10" s="1680" t="s">
        <v>6661</v>
      </c>
      <c r="OT10" s="1680" t="s">
        <v>6879</v>
      </c>
      <c r="OU10" s="1680"/>
      <c r="OV10" s="1680" t="s">
        <v>6880</v>
      </c>
      <c r="OW10" s="1680" t="s">
        <v>6664</v>
      </c>
      <c r="OX10" s="1680" t="s">
        <v>6880</v>
      </c>
      <c r="OY10" s="1680" t="s">
        <v>6665</v>
      </c>
      <c r="OZ10" s="1680"/>
      <c r="PA10" s="1680" t="s">
        <v>6881</v>
      </c>
      <c r="PB10" s="1680" t="s">
        <v>6882</v>
      </c>
      <c r="PC10" s="1680" t="s">
        <v>6028</v>
      </c>
      <c r="PD10" s="1680" t="s">
        <v>6883</v>
      </c>
      <c r="PE10" s="1680"/>
      <c r="PF10" s="1680" t="s">
        <v>6884</v>
      </c>
      <c r="PG10" s="1664" t="s">
        <v>6778</v>
      </c>
      <c r="PH10" s="1680" t="s">
        <v>6701</v>
      </c>
      <c r="PI10" s="1680" t="s">
        <v>6701</v>
      </c>
      <c r="PJ10" s="1680" t="s">
        <v>6885</v>
      </c>
      <c r="PK10" s="1680" t="s">
        <v>6669</v>
      </c>
      <c r="PL10" s="1680" t="s">
        <v>6886</v>
      </c>
      <c r="PM10" s="1680" t="s">
        <v>6886</v>
      </c>
      <c r="PN10" s="1680" t="s">
        <v>6600</v>
      </c>
      <c r="PO10" s="1680" t="s">
        <v>6887</v>
      </c>
      <c r="PP10" s="1680" t="s">
        <v>6671</v>
      </c>
      <c r="PQ10" s="1680" t="s">
        <v>6888</v>
      </c>
      <c r="PR10" s="1680" t="s">
        <v>6478</v>
      </c>
      <c r="PS10" s="1680" t="s">
        <v>5910</v>
      </c>
      <c r="PT10" s="1680" t="s">
        <v>6889</v>
      </c>
      <c r="PU10" s="1680" t="s">
        <v>6890</v>
      </c>
      <c r="PV10" s="1680" t="s">
        <v>6890</v>
      </c>
      <c r="PW10" s="1662" t="s">
        <v>6891</v>
      </c>
      <c r="PX10" s="1680" t="s">
        <v>6892</v>
      </c>
      <c r="PY10" s="1680" t="s">
        <v>6892</v>
      </c>
      <c r="PZ10" s="1680" t="s">
        <v>6893</v>
      </c>
      <c r="QA10" s="1680" t="s">
        <v>6481</v>
      </c>
      <c r="QB10" s="1680" t="s">
        <v>6780</v>
      </c>
      <c r="QC10" s="1680" t="s">
        <v>6520</v>
      </c>
      <c r="QD10" s="1680"/>
      <c r="QE10" s="1680" t="s">
        <v>6702</v>
      </c>
      <c r="QF10" s="1680" t="s">
        <v>6894</v>
      </c>
      <c r="QG10" s="1680" t="s">
        <v>6556</v>
      </c>
      <c r="QH10" s="1680" t="s">
        <v>6895</v>
      </c>
      <c r="QI10" s="1680" t="s">
        <v>6556</v>
      </c>
      <c r="QJ10" s="1680" t="s">
        <v>6758</v>
      </c>
      <c r="QK10" s="1680" t="s">
        <v>6896</v>
      </c>
      <c r="QL10" s="1680" t="s">
        <v>6896</v>
      </c>
      <c r="QM10" s="1680" t="s">
        <v>6897</v>
      </c>
      <c r="QN10" s="1680" t="s">
        <v>6179</v>
      </c>
      <c r="QO10" s="1680" t="s">
        <v>6624</v>
      </c>
      <c r="QP10" s="1680" t="s">
        <v>6314</v>
      </c>
      <c r="QQ10" s="1680" t="s">
        <v>6506</v>
      </c>
      <c r="QR10" s="1680" t="s">
        <v>6682</v>
      </c>
      <c r="QS10" s="1680" t="s">
        <v>6898</v>
      </c>
      <c r="QT10" s="1680" t="s">
        <v>6899</v>
      </c>
      <c r="QU10" s="1680" t="s">
        <v>6316</v>
      </c>
      <c r="QV10" s="1680" t="s">
        <v>6397</v>
      </c>
      <c r="QW10" s="1664" t="s">
        <v>6715</v>
      </c>
      <c r="QX10" s="1664" t="s">
        <v>6685</v>
      </c>
      <c r="QY10" s="1680" t="s">
        <v>5944</v>
      </c>
      <c r="QZ10" s="1680" t="s">
        <v>6352</v>
      </c>
      <c r="RA10" s="1680" t="s">
        <v>6740</v>
      </c>
      <c r="RB10" s="1680" t="s">
        <v>6544</v>
      </c>
      <c r="RC10" s="1680" t="s">
        <v>6253</v>
      </c>
      <c r="RD10" s="1680" t="s">
        <v>6213</v>
      </c>
      <c r="RE10" s="1680" t="s">
        <v>6512</v>
      </c>
      <c r="RF10" s="1664"/>
      <c r="RG10" s="1680" t="s">
        <v>6395</v>
      </c>
      <c r="RH10" s="1665" t="s">
        <v>6900</v>
      </c>
      <c r="RI10" s="1667" t="s">
        <v>6901</v>
      </c>
      <c r="RJ10" s="1680" t="s">
        <v>6142</v>
      </c>
      <c r="RK10" s="1680" t="s">
        <v>6405</v>
      </c>
      <c r="RL10" s="1680" t="s">
        <v>6553</v>
      </c>
      <c r="RM10" s="1664" t="s">
        <v>6876</v>
      </c>
      <c r="RN10" s="1680" t="s">
        <v>6263</v>
      </c>
      <c r="RO10" s="1680" t="s">
        <v>6048</v>
      </c>
      <c r="RP10" s="1680" t="s">
        <v>6453</v>
      </c>
      <c r="RQ10" s="1680" t="s">
        <v>6902</v>
      </c>
      <c r="RR10" s="1680" t="s">
        <v>6902</v>
      </c>
      <c r="RS10" s="1680" t="s">
        <v>6902</v>
      </c>
      <c r="RT10" s="1680" t="s">
        <v>6902</v>
      </c>
      <c r="RU10" s="1680" t="s">
        <v>6902</v>
      </c>
      <c r="RV10" s="1680" t="s">
        <v>6902</v>
      </c>
      <c r="RW10" s="1680" t="s">
        <v>6903</v>
      </c>
      <c r="RX10" s="1680" t="s">
        <v>6904</v>
      </c>
      <c r="RY10" s="1680" t="s">
        <v>6905</v>
      </c>
      <c r="RZ10" s="1664" t="s">
        <v>6906</v>
      </c>
      <c r="SA10" s="1680" t="s">
        <v>6907</v>
      </c>
      <c r="SB10" s="1680" t="s">
        <v>6908</v>
      </c>
      <c r="SC10" s="1664" t="s">
        <v>6659</v>
      </c>
      <c r="SD10" s="1680" t="s">
        <v>6909</v>
      </c>
      <c r="SE10" s="1680" t="s">
        <v>6909</v>
      </c>
      <c r="SF10" s="1680" t="s">
        <v>6910</v>
      </c>
      <c r="SG10" s="1680" t="s">
        <v>6911</v>
      </c>
      <c r="SH10" s="1680" t="s">
        <v>6497</v>
      </c>
      <c r="SI10" s="1680" t="s">
        <v>6410</v>
      </c>
      <c r="SJ10" s="1680" t="s">
        <v>6912</v>
      </c>
      <c r="SK10" s="1680" t="s">
        <v>6912</v>
      </c>
      <c r="SL10" s="1680" t="s">
        <v>6913</v>
      </c>
    </row>
    <row r="11" ht="15.75" customHeight="1">
      <c r="A11" s="1517"/>
      <c r="B11" s="293" t="s">
        <v>6625</v>
      </c>
      <c r="C11" s="293" t="s">
        <v>6669</v>
      </c>
      <c r="D11" s="293" t="s">
        <v>6501</v>
      </c>
      <c r="E11" s="1671" t="s">
        <v>6914</v>
      </c>
      <c r="F11" s="1671" t="s">
        <v>6915</v>
      </c>
      <c r="G11" s="1671" t="s">
        <v>6325</v>
      </c>
      <c r="H11" s="1672" t="s">
        <v>6916</v>
      </c>
      <c r="I11" s="1672" t="s">
        <v>6917</v>
      </c>
      <c r="J11" s="1672" t="s">
        <v>6326</v>
      </c>
      <c r="K11" s="293"/>
      <c r="L11" s="293"/>
      <c r="M11" s="420" t="s">
        <v>6776</v>
      </c>
      <c r="N11" s="1673"/>
      <c r="O11" s="364"/>
      <c r="P11" s="364" t="s">
        <v>6918</v>
      </c>
      <c r="Q11" s="1673" t="s">
        <v>6919</v>
      </c>
      <c r="R11" s="1673" t="s">
        <v>6920</v>
      </c>
      <c r="S11" s="1673" t="s">
        <v>6178</v>
      </c>
      <c r="T11" s="464" t="s">
        <v>6921</v>
      </c>
      <c r="U11" s="1673" t="s">
        <v>6506</v>
      </c>
      <c r="V11" s="1673" t="s">
        <v>6922</v>
      </c>
      <c r="W11" s="1673" t="s">
        <v>6329</v>
      </c>
      <c r="X11" s="464" t="s">
        <v>6923</v>
      </c>
      <c r="Y11" s="464" t="s">
        <v>6330</v>
      </c>
      <c r="Z11" s="364" t="s">
        <v>6924</v>
      </c>
      <c r="AA11" s="364" t="s">
        <v>6925</v>
      </c>
      <c r="AB11" s="364" t="s">
        <v>6749</v>
      </c>
      <c r="AC11" s="364" t="s">
        <v>6749</v>
      </c>
      <c r="AD11" s="1672" t="s">
        <v>6644</v>
      </c>
      <c r="AE11" s="1672" t="s">
        <v>6644</v>
      </c>
      <c r="AF11" s="1672" t="s">
        <v>6926</v>
      </c>
      <c r="AG11" s="464" t="s">
        <v>6927</v>
      </c>
      <c r="AH11" s="464" t="s">
        <v>6927</v>
      </c>
      <c r="AI11" s="464" t="s">
        <v>6926</v>
      </c>
      <c r="AJ11" s="1674" t="s">
        <v>6928</v>
      </c>
      <c r="AK11" s="1674"/>
      <c r="AL11" s="1673" t="s">
        <v>6929</v>
      </c>
      <c r="AM11" s="364"/>
      <c r="AN11" s="1692" t="s">
        <v>6930</v>
      </c>
      <c r="AO11" s="1674" t="s">
        <v>6931</v>
      </c>
      <c r="AP11" s="464" t="s">
        <v>6776</v>
      </c>
      <c r="AQ11" s="464" t="s">
        <v>6713</v>
      </c>
      <c r="AR11" s="1672" t="s">
        <v>6607</v>
      </c>
      <c r="AS11" s="1672" t="s">
        <v>6607</v>
      </c>
      <c r="AT11" s="1671" t="s">
        <v>6932</v>
      </c>
      <c r="AU11" s="1671" t="s">
        <v>6933</v>
      </c>
      <c r="AV11" s="1671" t="s">
        <v>6715</v>
      </c>
      <c r="AW11" s="464" t="s">
        <v>6934</v>
      </c>
      <c r="AX11" s="464" t="s">
        <v>6716</v>
      </c>
      <c r="AY11" s="1673" t="s">
        <v>6935</v>
      </c>
      <c r="AZ11" s="1673" t="s">
        <v>6935</v>
      </c>
      <c r="BA11" s="364" t="s">
        <v>6936</v>
      </c>
      <c r="BB11" s="364" t="s">
        <v>6717</v>
      </c>
      <c r="BC11" s="364" t="s">
        <v>6855</v>
      </c>
      <c r="BD11" s="1672" t="s">
        <v>6517</v>
      </c>
      <c r="BE11" s="1673" t="s">
        <v>6600</v>
      </c>
      <c r="BF11" s="1673" t="s">
        <v>6600</v>
      </c>
      <c r="BG11" s="1673" t="s">
        <v>6937</v>
      </c>
      <c r="BH11" s="1673" t="s">
        <v>6938</v>
      </c>
      <c r="BI11" s="1672" t="s">
        <v>6797</v>
      </c>
      <c r="BJ11" s="1672" t="s">
        <v>6797</v>
      </c>
      <c r="BK11" s="1672" t="s">
        <v>6076</v>
      </c>
      <c r="BL11" s="1673"/>
      <c r="BM11" s="1673" t="s">
        <v>6939</v>
      </c>
      <c r="BN11" s="1673" t="s">
        <v>6521</v>
      </c>
      <c r="BO11" s="1675" t="s">
        <v>6940</v>
      </c>
      <c r="BP11" s="1675" t="s">
        <v>6940</v>
      </c>
      <c r="BQ11" s="1675" t="s">
        <v>6522</v>
      </c>
      <c r="BR11" s="293" t="s">
        <v>6783</v>
      </c>
      <c r="BS11" s="293" t="s">
        <v>6783</v>
      </c>
      <c r="BT11" s="293" t="s">
        <v>6941</v>
      </c>
      <c r="BU11" s="1672" t="s">
        <v>6942</v>
      </c>
      <c r="BV11" s="1672" t="s">
        <v>6942</v>
      </c>
      <c r="BW11" s="1673" t="s">
        <v>6943</v>
      </c>
      <c r="BX11" s="1673" t="s">
        <v>6943</v>
      </c>
      <c r="BY11" s="1673" t="s">
        <v>6350</v>
      </c>
      <c r="BZ11" s="364" t="s">
        <v>6897</v>
      </c>
      <c r="CA11" s="364" t="s">
        <v>6351</v>
      </c>
      <c r="CB11" s="1674" t="s">
        <v>6614</v>
      </c>
      <c r="CC11" s="1674" t="s">
        <v>6614</v>
      </c>
      <c r="CD11" s="1675" t="s">
        <v>6944</v>
      </c>
      <c r="CE11" s="1675" t="s">
        <v>6944</v>
      </c>
      <c r="CF11" s="1673" t="s">
        <v>6945</v>
      </c>
      <c r="CG11" s="1673" t="s">
        <v>6946</v>
      </c>
      <c r="CH11" s="1673" t="s">
        <v>6530</v>
      </c>
      <c r="CI11" s="254" t="s">
        <v>6382</v>
      </c>
      <c r="CJ11" s="254" t="s">
        <v>6382</v>
      </c>
      <c r="CK11" s="464" t="s">
        <v>6947</v>
      </c>
      <c r="CL11" s="464" t="s">
        <v>6451</v>
      </c>
      <c r="CM11" s="464" t="s">
        <v>6948</v>
      </c>
      <c r="CN11" s="464" t="s">
        <v>6949</v>
      </c>
      <c r="CO11" s="464" t="s">
        <v>6950</v>
      </c>
      <c r="CP11" s="464" t="s">
        <v>6950</v>
      </c>
      <c r="CQ11" s="464" t="s">
        <v>6950</v>
      </c>
      <c r="CR11" s="1675" t="s">
        <v>6621</v>
      </c>
      <c r="CS11" s="364" t="s">
        <v>6606</v>
      </c>
      <c r="CT11" s="364" t="s">
        <v>6534</v>
      </c>
      <c r="CU11" s="1671" t="s">
        <v>6951</v>
      </c>
      <c r="CV11" s="1671" t="s">
        <v>6360</v>
      </c>
      <c r="CW11" s="1671" t="s">
        <v>6839</v>
      </c>
      <c r="CX11" s="1671" t="s">
        <v>6839</v>
      </c>
      <c r="CY11" s="1674" t="s">
        <v>6952</v>
      </c>
      <c r="CZ11" s="364" t="s">
        <v>6953</v>
      </c>
      <c r="DA11" s="1673" t="s">
        <v>6744</v>
      </c>
      <c r="DB11" s="1673" t="s">
        <v>6744</v>
      </c>
      <c r="DC11" s="1673" t="s">
        <v>6954</v>
      </c>
      <c r="DD11" s="1673" t="s">
        <v>6955</v>
      </c>
      <c r="DE11" s="1674" t="s">
        <v>6956</v>
      </c>
      <c r="DF11" s="464" t="s">
        <v>6957</v>
      </c>
      <c r="DG11" s="464" t="s">
        <v>6741</v>
      </c>
      <c r="DH11" s="1675" t="s">
        <v>6943</v>
      </c>
      <c r="DI11" s="1675" t="s">
        <v>6742</v>
      </c>
      <c r="DJ11" s="1674" t="s">
        <v>6483</v>
      </c>
      <c r="DK11" s="1672" t="s">
        <v>6958</v>
      </c>
      <c r="DL11" s="1673" t="s">
        <v>6860</v>
      </c>
      <c r="DM11" s="1672" t="s">
        <v>6959</v>
      </c>
      <c r="DN11" s="1672" t="s">
        <v>6745</v>
      </c>
      <c r="DO11" s="1671" t="s">
        <v>6349</v>
      </c>
      <c r="DP11" s="1671" t="s">
        <v>6746</v>
      </c>
      <c r="DQ11" s="1673" t="s">
        <v>6283</v>
      </c>
      <c r="DR11" s="464"/>
      <c r="DS11" s="1674" t="s">
        <v>6520</v>
      </c>
      <c r="DT11" s="293" t="s">
        <v>6960</v>
      </c>
      <c r="DU11" s="1671" t="s">
        <v>6802</v>
      </c>
      <c r="DV11" s="364" t="s">
        <v>6961</v>
      </c>
      <c r="DW11" s="1671" t="s">
        <v>6962</v>
      </c>
      <c r="DX11" s="1673" t="s">
        <v>6963</v>
      </c>
      <c r="DY11" s="1673" t="s">
        <v>6964</v>
      </c>
      <c r="DZ11" s="1671"/>
      <c r="EA11" s="1672" t="s">
        <v>6965</v>
      </c>
      <c r="EB11" s="1672" t="s">
        <v>6966</v>
      </c>
      <c r="EC11" s="464"/>
      <c r="ED11" s="1673" t="s">
        <v>6257</v>
      </c>
      <c r="EE11" s="1672" t="s">
        <v>6257</v>
      </c>
      <c r="EF11" s="364" t="s">
        <v>6257</v>
      </c>
      <c r="EG11" s="1671" t="s">
        <v>6257</v>
      </c>
      <c r="EH11" s="1674" t="s">
        <v>6967</v>
      </c>
      <c r="EI11" s="1672" t="s">
        <v>6942</v>
      </c>
      <c r="EJ11" s="1672" t="s">
        <v>6554</v>
      </c>
      <c r="EK11" s="1673" t="s">
        <v>6968</v>
      </c>
      <c r="EL11" s="1673" t="s">
        <v>6554</v>
      </c>
      <c r="EM11" s="464" t="s">
        <v>6969</v>
      </c>
      <c r="EN11" s="1676" t="s">
        <v>6903</v>
      </c>
      <c r="EO11" s="1672" t="s">
        <v>6970</v>
      </c>
      <c r="EP11" s="364" t="s">
        <v>6971</v>
      </c>
      <c r="EQ11" s="364" t="s">
        <v>6972</v>
      </c>
      <c r="ER11" s="1672" t="s">
        <v>6973</v>
      </c>
      <c r="ES11" s="1672" t="s">
        <v>6973</v>
      </c>
      <c r="ET11" s="1673" t="s">
        <v>6382</v>
      </c>
      <c r="EU11" s="464" t="s">
        <v>6974</v>
      </c>
      <c r="EV11" s="1674" t="s">
        <v>6975</v>
      </c>
      <c r="EW11" s="293" t="s">
        <v>6976</v>
      </c>
      <c r="EX11" s="293" t="s">
        <v>6977</v>
      </c>
      <c r="EY11" s="293" t="s">
        <v>6559</v>
      </c>
      <c r="EZ11" s="364" t="s">
        <v>6978</v>
      </c>
      <c r="FA11" s="364" t="s">
        <v>6979</v>
      </c>
      <c r="FB11" s="364" t="s">
        <v>6385</v>
      </c>
      <c r="FC11" s="1672" t="s">
        <v>6980</v>
      </c>
      <c r="FD11" s="1672" t="s">
        <v>6981</v>
      </c>
      <c r="FE11" s="1672" t="s">
        <v>6562</v>
      </c>
      <c r="FF11" s="1673" t="s">
        <v>6982</v>
      </c>
      <c r="FG11" s="1673" t="s">
        <v>6770</v>
      </c>
      <c r="FH11" s="1673" t="s">
        <v>6983</v>
      </c>
      <c r="FI11" s="1673" t="s">
        <v>6191</v>
      </c>
      <c r="FJ11" s="1671" t="s">
        <v>6984</v>
      </c>
      <c r="FK11" s="1671" t="s">
        <v>6564</v>
      </c>
      <c r="FL11" s="293" t="s">
        <v>6692</v>
      </c>
      <c r="FM11" s="1671" t="s">
        <v>6773</v>
      </c>
      <c r="FN11" s="464" t="s">
        <v>6514</v>
      </c>
      <c r="FO11" s="1672" t="s">
        <v>6839</v>
      </c>
      <c r="FP11" s="1672" t="s">
        <v>6839</v>
      </c>
      <c r="FQ11" s="364" t="s">
        <v>6985</v>
      </c>
      <c r="FR11" s="1674" t="s">
        <v>6986</v>
      </c>
      <c r="FS11" s="1692" t="s">
        <v>6930</v>
      </c>
      <c r="FT11" s="254" t="s">
        <v>6987</v>
      </c>
      <c r="FU11" s="253" t="s">
        <v>6486</v>
      </c>
      <c r="FV11" s="293" t="s">
        <v>6988</v>
      </c>
      <c r="FW11" s="293" t="s">
        <v>6776</v>
      </c>
      <c r="FX11" s="253" t="s">
        <v>6989</v>
      </c>
      <c r="FY11" s="1674" t="s">
        <v>6990</v>
      </c>
      <c r="FZ11" s="364" t="s">
        <v>6229</v>
      </c>
      <c r="GA11" s="293" t="s">
        <v>5978</v>
      </c>
      <c r="GB11" s="1672" t="s">
        <v>6991</v>
      </c>
      <c r="GC11" s="1672" t="s">
        <v>6571</v>
      </c>
      <c r="GD11" s="1673" t="s">
        <v>6992</v>
      </c>
      <c r="GE11" s="293" t="s">
        <v>6993</v>
      </c>
      <c r="GF11" s="1674" t="s">
        <v>6607</v>
      </c>
      <c r="GG11" s="293" t="s">
        <v>6607</v>
      </c>
      <c r="GH11" s="1672" t="s">
        <v>6607</v>
      </c>
      <c r="GI11" s="464" t="s">
        <v>6994</v>
      </c>
      <c r="GJ11" s="364" t="s">
        <v>6879</v>
      </c>
      <c r="GK11" s="364" t="s">
        <v>6783</v>
      </c>
      <c r="GL11" s="1671" t="s">
        <v>6995</v>
      </c>
      <c r="GM11" s="1672" t="s">
        <v>6996</v>
      </c>
      <c r="GN11" s="1672" t="s">
        <v>6996</v>
      </c>
      <c r="GO11" s="464" t="s">
        <v>6257</v>
      </c>
      <c r="GP11" s="1676" t="s">
        <v>6257</v>
      </c>
      <c r="GQ11" s="1676" t="s">
        <v>6997</v>
      </c>
      <c r="GR11" s="1674" t="s">
        <v>6527</v>
      </c>
      <c r="GS11" s="1675" t="s">
        <v>6998</v>
      </c>
      <c r="GT11" s="1676"/>
      <c r="GU11" s="1672"/>
      <c r="GV11" s="364" t="s">
        <v>6999</v>
      </c>
      <c r="GW11" s="1675" t="s">
        <v>7000</v>
      </c>
      <c r="GX11" s="464" t="s">
        <v>7000</v>
      </c>
      <c r="GY11" s="364" t="s">
        <v>6875</v>
      </c>
      <c r="GZ11" s="464" t="s">
        <v>7001</v>
      </c>
      <c r="HA11" s="1675" t="s">
        <v>6359</v>
      </c>
      <c r="HB11" s="1674" t="s">
        <v>7002</v>
      </c>
      <c r="HC11" s="464" t="s">
        <v>7002</v>
      </c>
      <c r="HD11" s="1675" t="s">
        <v>7003</v>
      </c>
      <c r="HE11" s="1671" t="s">
        <v>6960</v>
      </c>
      <c r="HF11" s="364" t="s">
        <v>6653</v>
      </c>
      <c r="HG11" s="1672" t="s">
        <v>6161</v>
      </c>
      <c r="HH11" s="1676" t="s">
        <v>7004</v>
      </c>
      <c r="HI11" s="1673" t="s">
        <v>7005</v>
      </c>
      <c r="HJ11" s="1673" t="s">
        <v>7005</v>
      </c>
      <c r="HK11" s="1671" t="s">
        <v>7006</v>
      </c>
      <c r="HL11" s="1671" t="s">
        <v>7006</v>
      </c>
      <c r="HM11" s="1673" t="s">
        <v>7001</v>
      </c>
      <c r="HN11" s="1673" t="s">
        <v>7007</v>
      </c>
      <c r="HO11" s="1674" t="s">
        <v>6847</v>
      </c>
      <c r="HP11" s="1675" t="s">
        <v>6918</v>
      </c>
      <c r="HQ11" s="1671" t="s">
        <v>6407</v>
      </c>
      <c r="HR11" s="1671" t="s">
        <v>7008</v>
      </c>
      <c r="HS11" s="464" t="s">
        <v>6374</v>
      </c>
      <c r="HT11" s="1675" t="s">
        <v>6924</v>
      </c>
      <c r="HU11" s="1676" t="s">
        <v>7009</v>
      </c>
      <c r="HV11" s="1676" t="s">
        <v>6799</v>
      </c>
      <c r="HW11" s="1672" t="s">
        <v>6457</v>
      </c>
      <c r="HX11" s="1672" t="s">
        <v>6525</v>
      </c>
      <c r="HY11" s="1675" t="s">
        <v>6626</v>
      </c>
      <c r="HZ11" s="1671" t="s">
        <v>6967</v>
      </c>
      <c r="IA11" s="1673" t="s">
        <v>7010</v>
      </c>
      <c r="IB11" s="253" t="s">
        <v>7011</v>
      </c>
      <c r="IC11" s="464"/>
      <c r="ID11" s="1673" t="s">
        <v>7012</v>
      </c>
      <c r="IE11" s="1674" t="s">
        <v>7013</v>
      </c>
      <c r="IF11" s="364" t="s">
        <v>6961</v>
      </c>
      <c r="IG11" s="1671" t="s">
        <v>6962</v>
      </c>
      <c r="IH11" s="1674" t="s">
        <v>6708</v>
      </c>
      <c r="II11" s="1674" t="s">
        <v>6483</v>
      </c>
      <c r="IJ11" s="364" t="s">
        <v>7014</v>
      </c>
      <c r="IK11" s="1673" t="s">
        <v>7015</v>
      </c>
      <c r="IL11" s="1672" t="s">
        <v>6496</v>
      </c>
      <c r="IM11" s="293" t="s">
        <v>7016</v>
      </c>
      <c r="IN11" s="1675" t="s">
        <v>7016</v>
      </c>
      <c r="IO11" s="293" t="s">
        <v>6180</v>
      </c>
      <c r="IP11" s="253" t="s">
        <v>7017</v>
      </c>
      <c r="IQ11" s="1671" t="s">
        <v>7017</v>
      </c>
      <c r="IR11" s="293" t="s">
        <v>7018</v>
      </c>
      <c r="IS11" s="293" t="s">
        <v>7019</v>
      </c>
      <c r="IT11" s="293" t="s">
        <v>6971</v>
      </c>
      <c r="IU11" s="293" t="s">
        <v>6415</v>
      </c>
      <c r="IV11" s="1671" t="s">
        <v>7020</v>
      </c>
      <c r="IW11" s="1671" t="s">
        <v>7021</v>
      </c>
      <c r="IX11" s="1671" t="s">
        <v>6602</v>
      </c>
      <c r="IY11" s="1672" t="s">
        <v>7022</v>
      </c>
      <c r="IZ11" s="1672" t="s">
        <v>7001</v>
      </c>
      <c r="JA11" s="1672" t="s">
        <v>6417</v>
      </c>
      <c r="JB11" s="1675" t="s">
        <v>7023</v>
      </c>
      <c r="JC11" s="1675" t="s">
        <v>5849</v>
      </c>
      <c r="JD11" s="1673" t="s">
        <v>7024</v>
      </c>
      <c r="JE11" s="253" t="s">
        <v>6420</v>
      </c>
      <c r="JF11" s="1671"/>
      <c r="JG11" s="253"/>
      <c r="JH11" s="364" t="s">
        <v>7025</v>
      </c>
      <c r="JI11" s="464"/>
      <c r="JJ11" s="293" t="s">
        <v>7026</v>
      </c>
      <c r="JK11" s="293" t="s">
        <v>6959</v>
      </c>
      <c r="JL11" s="293" t="s">
        <v>6383</v>
      </c>
      <c r="JM11" s="293"/>
      <c r="JN11" s="1673" t="s">
        <v>7027</v>
      </c>
      <c r="JO11" s="1673" t="s">
        <v>7028</v>
      </c>
      <c r="JP11" s="1673" t="s">
        <v>7029</v>
      </c>
      <c r="JQ11" s="1672" t="s">
        <v>7030</v>
      </c>
      <c r="JR11" s="1672" t="s">
        <v>6611</v>
      </c>
      <c r="JS11" s="253" t="s">
        <v>6887</v>
      </c>
      <c r="JT11" s="364" t="s">
        <v>6349</v>
      </c>
      <c r="JU11" s="253" t="s">
        <v>7031</v>
      </c>
      <c r="JV11" s="253" t="s">
        <v>7031</v>
      </c>
      <c r="JW11" s="254" t="s">
        <v>7032</v>
      </c>
      <c r="JX11" s="1672" t="s">
        <v>6971</v>
      </c>
      <c r="JY11" s="1672" t="s">
        <v>6426</v>
      </c>
      <c r="JZ11" s="1673" t="s">
        <v>6952</v>
      </c>
      <c r="KA11" s="293" t="s">
        <v>6823</v>
      </c>
      <c r="KB11" s="1673" t="s">
        <v>7033</v>
      </c>
      <c r="KC11" s="253" t="s">
        <v>7034</v>
      </c>
      <c r="KD11" s="1673" t="s">
        <v>7033</v>
      </c>
      <c r="KE11" s="1675" t="s">
        <v>7035</v>
      </c>
      <c r="KF11" s="364" t="s">
        <v>7035</v>
      </c>
      <c r="KG11" s="1673" t="s">
        <v>7035</v>
      </c>
      <c r="KH11" s="1674" t="s">
        <v>6829</v>
      </c>
      <c r="KI11" s="1672" t="s">
        <v>6373</v>
      </c>
      <c r="KJ11" s="1672" t="s">
        <v>6429</v>
      </c>
      <c r="KK11" s="364" t="s">
        <v>7036</v>
      </c>
      <c r="KL11" s="1673" t="s">
        <v>6830</v>
      </c>
      <c r="KM11" s="1672" t="s">
        <v>7037</v>
      </c>
      <c r="KN11" s="1675" t="s">
        <v>7038</v>
      </c>
      <c r="KO11" s="1674" t="s">
        <v>6513</v>
      </c>
      <c r="KP11" s="464" t="s">
        <v>6076</v>
      </c>
      <c r="KQ11" s="464" t="s">
        <v>7039</v>
      </c>
      <c r="KR11" s="1676" t="s">
        <v>6935</v>
      </c>
      <c r="KS11" s="1675" t="s">
        <v>6968</v>
      </c>
      <c r="KT11" s="1675" t="s">
        <v>6968</v>
      </c>
      <c r="KU11" s="1675" t="s">
        <v>6431</v>
      </c>
      <c r="KV11" s="1672" t="s">
        <v>7040</v>
      </c>
      <c r="KW11" s="1671" t="s">
        <v>6432</v>
      </c>
      <c r="KX11" s="293" t="s">
        <v>7041</v>
      </c>
      <c r="KY11" s="364" t="s">
        <v>7041</v>
      </c>
      <c r="KZ11" s="364" t="s">
        <v>7042</v>
      </c>
      <c r="LA11" s="364" t="s">
        <v>7043</v>
      </c>
      <c r="LB11" s="1675" t="s">
        <v>7044</v>
      </c>
      <c r="LC11" s="464" t="s">
        <v>7044</v>
      </c>
      <c r="LD11" s="293" t="s">
        <v>7045</v>
      </c>
      <c r="LE11" s="293" t="s">
        <v>7046</v>
      </c>
      <c r="LF11" s="464" t="s">
        <v>6625</v>
      </c>
      <c r="LG11" s="1671" t="s">
        <v>7023</v>
      </c>
      <c r="LH11" s="1672" t="s">
        <v>6604</v>
      </c>
      <c r="LI11" s="1672" t="s">
        <v>7047</v>
      </c>
      <c r="LJ11" s="1672" t="s">
        <v>7047</v>
      </c>
      <c r="LK11" s="364" t="s">
        <v>7048</v>
      </c>
      <c r="LL11" s="1671" t="s">
        <v>7048</v>
      </c>
      <c r="LM11" s="1673" t="s">
        <v>7049</v>
      </c>
      <c r="LN11" s="1676" t="s">
        <v>7050</v>
      </c>
      <c r="LO11" s="464" t="s">
        <v>7050</v>
      </c>
      <c r="LP11" s="1673" t="s">
        <v>7051</v>
      </c>
      <c r="LQ11" s="1673" t="s">
        <v>6845</v>
      </c>
      <c r="LR11" s="293" t="s">
        <v>6829</v>
      </c>
      <c r="LS11" s="293" t="s">
        <v>6845</v>
      </c>
      <c r="LT11" s="293" t="s">
        <v>6615</v>
      </c>
      <c r="LU11" s="293" t="s">
        <v>6615</v>
      </c>
      <c r="LV11" s="1672" t="s">
        <v>7052</v>
      </c>
      <c r="LW11" s="1672" t="s">
        <v>6643</v>
      </c>
      <c r="LX11" s="253" t="s">
        <v>7053</v>
      </c>
      <c r="LY11" s="1676" t="s">
        <v>7054</v>
      </c>
      <c r="LZ11" s="364" t="s">
        <v>6481</v>
      </c>
      <c r="MA11" s="1671" t="s">
        <v>7055</v>
      </c>
      <c r="MB11" s="1675" t="s">
        <v>6943</v>
      </c>
      <c r="MC11" s="1672" t="s">
        <v>6636</v>
      </c>
      <c r="MD11" s="1671" t="s">
        <v>7056</v>
      </c>
      <c r="ME11" s="1671" t="s">
        <v>7056</v>
      </c>
      <c r="MF11" s="1673" t="s">
        <v>7057</v>
      </c>
      <c r="MG11" s="1676" t="s">
        <v>6621</v>
      </c>
      <c r="MH11" s="464" t="s">
        <v>7058</v>
      </c>
      <c r="MI11" s="293" t="s">
        <v>6848</v>
      </c>
      <c r="MJ11" s="1675" t="s">
        <v>7059</v>
      </c>
      <c r="MK11" s="1675" t="s">
        <v>6447</v>
      </c>
      <c r="ML11" s="1673"/>
      <c r="MM11" s="1674" t="s">
        <v>6349</v>
      </c>
      <c r="MN11" s="253" t="s">
        <v>7060</v>
      </c>
      <c r="MO11" s="293" t="s">
        <v>7061</v>
      </c>
      <c r="MP11" s="1676" t="s">
        <v>6615</v>
      </c>
      <c r="MQ11" s="1676" t="s">
        <v>6615</v>
      </c>
      <c r="MR11" s="1676" t="s">
        <v>7062</v>
      </c>
      <c r="MS11" s="1676" t="s">
        <v>6148</v>
      </c>
      <c r="MT11" s="293" t="s">
        <v>7063</v>
      </c>
      <c r="MU11" s="1672" t="s">
        <v>7064</v>
      </c>
      <c r="MV11" s="253" t="s">
        <v>7041</v>
      </c>
      <c r="MW11" s="1672"/>
      <c r="MX11" s="1675" t="s">
        <v>7065</v>
      </c>
      <c r="MY11" s="1675" t="s">
        <v>6453</v>
      </c>
      <c r="MZ11" s="1672" t="s">
        <v>6847</v>
      </c>
      <c r="NA11" s="1672" t="s">
        <v>6847</v>
      </c>
      <c r="NB11" s="1672" t="s">
        <v>6856</v>
      </c>
      <c r="NC11" s="1672"/>
      <c r="ND11" s="1672" t="s">
        <v>7066</v>
      </c>
      <c r="NE11" s="1674" t="s">
        <v>7066</v>
      </c>
      <c r="NF11" s="1675" t="s">
        <v>7067</v>
      </c>
      <c r="NG11" s="1674" t="s">
        <v>7068</v>
      </c>
      <c r="NH11" s="1672" t="s">
        <v>6860</v>
      </c>
      <c r="NI11" s="253" t="s">
        <v>7069</v>
      </c>
      <c r="NJ11" s="1672" t="s">
        <v>6614</v>
      </c>
      <c r="NK11" s="1672"/>
      <c r="NL11" s="1672" t="s">
        <v>6364</v>
      </c>
      <c r="NM11" s="1672" t="s">
        <v>6648</v>
      </c>
      <c r="NN11" s="1673" t="s">
        <v>7070</v>
      </c>
      <c r="NO11" s="1672" t="s">
        <v>7070</v>
      </c>
      <c r="NP11" s="1675" t="s">
        <v>7070</v>
      </c>
      <c r="NQ11" s="1671" t="s">
        <v>7071</v>
      </c>
      <c r="NR11" s="1672" t="s">
        <v>7071</v>
      </c>
      <c r="NS11" s="1672" t="s">
        <v>7072</v>
      </c>
      <c r="NT11" s="1671" t="s">
        <v>7073</v>
      </c>
      <c r="NU11" s="293" t="s">
        <v>7074</v>
      </c>
      <c r="NV11" s="364" t="s">
        <v>7075</v>
      </c>
      <c r="NW11" s="1671" t="s">
        <v>7076</v>
      </c>
      <c r="NX11" s="1671" t="s">
        <v>7077</v>
      </c>
      <c r="NY11" s="1671" t="s">
        <v>7076</v>
      </c>
      <c r="NZ11" s="1671" t="s">
        <v>7078</v>
      </c>
      <c r="OA11" s="293" t="s">
        <v>7079</v>
      </c>
      <c r="OB11" s="1669" t="s">
        <v>7080</v>
      </c>
      <c r="OC11" s="293" t="s">
        <v>6466</v>
      </c>
      <c r="OD11" s="1673" t="s">
        <v>7081</v>
      </c>
      <c r="OE11" s="1673" t="s">
        <v>7082</v>
      </c>
      <c r="OF11" s="1673" t="s">
        <v>6658</v>
      </c>
      <c r="OG11" s="1672" t="s">
        <v>7083</v>
      </c>
      <c r="OH11" s="1672" t="s">
        <v>6797</v>
      </c>
      <c r="OI11" s="1672" t="s">
        <v>6416</v>
      </c>
      <c r="OJ11" s="1673" t="s">
        <v>7084</v>
      </c>
      <c r="OK11" s="1673" t="s">
        <v>7085</v>
      </c>
      <c r="OL11" s="1673" t="s">
        <v>6659</v>
      </c>
      <c r="OM11" s="1673" t="s">
        <v>7086</v>
      </c>
      <c r="ON11" s="1673" t="s">
        <v>7003</v>
      </c>
      <c r="OO11" s="1671"/>
      <c r="OP11" s="1671" t="s">
        <v>7087</v>
      </c>
      <c r="OQ11" s="1672" t="s">
        <v>7088</v>
      </c>
      <c r="OR11" s="1672" t="s">
        <v>6205</v>
      </c>
      <c r="OS11" s="1672" t="s">
        <v>6878</v>
      </c>
      <c r="OT11" s="293" t="s">
        <v>7089</v>
      </c>
      <c r="OU11" s="293"/>
      <c r="OV11" s="1672" t="s">
        <v>7090</v>
      </c>
      <c r="OW11" s="1672" t="s">
        <v>6880</v>
      </c>
      <c r="OX11" s="1675" t="s">
        <v>7091</v>
      </c>
      <c r="OY11" s="1675" t="s">
        <v>6880</v>
      </c>
      <c r="OZ11" s="293"/>
      <c r="PA11" s="293" t="s">
        <v>6883</v>
      </c>
      <c r="PB11" s="364" t="s">
        <v>6883</v>
      </c>
      <c r="PC11" s="1674" t="s">
        <v>7092</v>
      </c>
      <c r="PD11" s="364" t="s">
        <v>7093</v>
      </c>
      <c r="PE11" s="364"/>
      <c r="PF11" s="364" t="s">
        <v>6305</v>
      </c>
      <c r="PG11" s="253" t="s">
        <v>7094</v>
      </c>
      <c r="PH11" s="1673" t="s">
        <v>7095</v>
      </c>
      <c r="PI11" s="1673" t="s">
        <v>7095</v>
      </c>
      <c r="PJ11" s="1674" t="s">
        <v>7096</v>
      </c>
      <c r="PK11" s="1674" t="s">
        <v>6885</v>
      </c>
      <c r="PL11" s="464" t="s">
        <v>7097</v>
      </c>
      <c r="PM11" s="464" t="s">
        <v>7097</v>
      </c>
      <c r="PN11" s="464" t="s">
        <v>6994</v>
      </c>
      <c r="PO11" s="464" t="s">
        <v>7098</v>
      </c>
      <c r="PP11" s="464" t="s">
        <v>6887</v>
      </c>
      <c r="PQ11" s="1673" t="s">
        <v>7099</v>
      </c>
      <c r="PR11" s="1673" t="s">
        <v>6257</v>
      </c>
      <c r="PS11" s="464" t="s">
        <v>6147</v>
      </c>
      <c r="PT11" s="1676" t="s">
        <v>7100</v>
      </c>
      <c r="PU11" s="1675" t="s">
        <v>6935</v>
      </c>
      <c r="PV11" s="1675" t="s">
        <v>6935</v>
      </c>
      <c r="PW11" s="364" t="s">
        <v>6897</v>
      </c>
      <c r="PX11" s="464" t="s">
        <v>7101</v>
      </c>
      <c r="PY11" s="464" t="s">
        <v>7101</v>
      </c>
      <c r="PZ11" s="293" t="s">
        <v>6615</v>
      </c>
      <c r="QA11" s="293" t="s">
        <v>6675</v>
      </c>
      <c r="QB11" s="1673" t="s">
        <v>6992</v>
      </c>
      <c r="QC11" s="1674" t="s">
        <v>7102</v>
      </c>
      <c r="QD11" s="1674"/>
      <c r="QE11" s="1676" t="s">
        <v>7103</v>
      </c>
      <c r="QF11" s="464" t="s">
        <v>6752</v>
      </c>
      <c r="QG11" s="1672" t="s">
        <v>6895</v>
      </c>
      <c r="QH11" s="1672" t="s">
        <v>7104</v>
      </c>
      <c r="QI11" s="1672" t="s">
        <v>6895</v>
      </c>
      <c r="QJ11" s="1676" t="s">
        <v>7105</v>
      </c>
      <c r="QK11" s="1672" t="s">
        <v>6622</v>
      </c>
      <c r="QL11" s="1672" t="s">
        <v>6622</v>
      </c>
      <c r="QM11" s="1673" t="s">
        <v>7106</v>
      </c>
      <c r="QN11" s="1673" t="s">
        <v>6486</v>
      </c>
      <c r="QO11" s="464" t="s">
        <v>7107</v>
      </c>
      <c r="QP11" s="464" t="s">
        <v>6487</v>
      </c>
      <c r="QQ11" s="1672" t="s">
        <v>6935</v>
      </c>
      <c r="QR11" s="1672" t="s">
        <v>6506</v>
      </c>
      <c r="QS11" s="293" t="s">
        <v>7108</v>
      </c>
      <c r="QT11" s="1672" t="s">
        <v>7109</v>
      </c>
      <c r="QU11" s="1672" t="s">
        <v>6489</v>
      </c>
      <c r="QV11" s="1672" t="s">
        <v>6614</v>
      </c>
      <c r="QW11" s="253" t="s">
        <v>7004</v>
      </c>
      <c r="QX11" s="253" t="s">
        <v>6715</v>
      </c>
      <c r="QY11" s="1676" t="s">
        <v>6183</v>
      </c>
      <c r="QZ11" s="1675" t="s">
        <v>6528</v>
      </c>
      <c r="RA11" s="1674" t="s">
        <v>6956</v>
      </c>
      <c r="RB11" s="1675" t="s">
        <v>6742</v>
      </c>
      <c r="RC11" s="1672" t="s">
        <v>6503</v>
      </c>
      <c r="RD11" s="364" t="s">
        <v>6369</v>
      </c>
      <c r="RE11" s="1671" t="s">
        <v>6752</v>
      </c>
      <c r="RF11" s="253"/>
      <c r="RG11" s="293" t="s">
        <v>7110</v>
      </c>
      <c r="RH11" s="293" t="s">
        <v>6754</v>
      </c>
      <c r="RI11" s="1672" t="s">
        <v>6754</v>
      </c>
      <c r="RJ11" s="464" t="s">
        <v>6278</v>
      </c>
      <c r="RK11" s="1673" t="s">
        <v>6285</v>
      </c>
      <c r="RL11" s="1671" t="s">
        <v>6755</v>
      </c>
      <c r="RM11" s="253" t="s">
        <v>7111</v>
      </c>
      <c r="RN11" s="1675" t="s">
        <v>6430</v>
      </c>
      <c r="RO11" s="1676" t="s">
        <v>6148</v>
      </c>
      <c r="RP11" s="254" t="s">
        <v>7112</v>
      </c>
      <c r="RQ11" s="1671" t="s">
        <v>7113</v>
      </c>
      <c r="RR11" s="1671" t="s">
        <v>7113</v>
      </c>
      <c r="RS11" s="1671" t="s">
        <v>7113</v>
      </c>
      <c r="RT11" s="1671" t="s">
        <v>7113</v>
      </c>
      <c r="RU11" s="1671" t="s">
        <v>7113</v>
      </c>
      <c r="RV11" s="1671" t="s">
        <v>7113</v>
      </c>
      <c r="RW11" s="364" t="s">
        <v>7114</v>
      </c>
      <c r="RX11" s="1674" t="s">
        <v>7114</v>
      </c>
      <c r="RY11" s="1672" t="s">
        <v>7114</v>
      </c>
      <c r="RZ11" s="253" t="s">
        <v>7115</v>
      </c>
      <c r="SA11" s="464" t="s">
        <v>7115</v>
      </c>
      <c r="SB11" s="1673" t="s">
        <v>7116</v>
      </c>
      <c r="SC11" s="253" t="s">
        <v>7117</v>
      </c>
      <c r="SD11" s="1676" t="s">
        <v>7115</v>
      </c>
      <c r="SE11" s="1676" t="s">
        <v>7115</v>
      </c>
      <c r="SF11" s="364" t="s">
        <v>7118</v>
      </c>
      <c r="SG11" s="1672" t="s">
        <v>7119</v>
      </c>
      <c r="SH11" s="1672" t="s">
        <v>6694</v>
      </c>
      <c r="SI11" s="1676" t="s">
        <v>7120</v>
      </c>
      <c r="SJ11" s="293" t="s">
        <v>7121</v>
      </c>
      <c r="SK11" s="293" t="s">
        <v>7121</v>
      </c>
      <c r="SL11" s="1675" t="s">
        <v>7122</v>
      </c>
    </row>
    <row r="12" ht="15.75" customHeight="1">
      <c r="A12" s="1517"/>
      <c r="B12" s="1680" t="s">
        <v>7123</v>
      </c>
      <c r="C12" s="1680" t="s">
        <v>7124</v>
      </c>
      <c r="D12" s="1680" t="s">
        <v>6696</v>
      </c>
      <c r="E12" s="1680" t="s">
        <v>6825</v>
      </c>
      <c r="F12" s="1680" t="s">
        <v>7125</v>
      </c>
      <c r="G12" s="1680" t="s">
        <v>6502</v>
      </c>
      <c r="H12" s="1680" t="s">
        <v>7126</v>
      </c>
      <c r="I12" s="1680" t="s">
        <v>6911</v>
      </c>
      <c r="J12" s="1680" t="s">
        <v>6502</v>
      </c>
      <c r="K12" s="1680"/>
      <c r="L12" s="1680"/>
      <c r="M12" s="1680" t="s">
        <v>7127</v>
      </c>
      <c r="N12" s="1680"/>
      <c r="O12" s="1680"/>
      <c r="P12" s="1680" t="s">
        <v>7128</v>
      </c>
      <c r="Q12" s="1680" t="s">
        <v>7129</v>
      </c>
      <c r="R12" s="1680" t="s">
        <v>7130</v>
      </c>
      <c r="S12" s="1680" t="s">
        <v>6328</v>
      </c>
      <c r="T12" s="1680" t="s">
        <v>7131</v>
      </c>
      <c r="U12" s="1680" t="s">
        <v>6703</v>
      </c>
      <c r="V12" s="1680" t="s">
        <v>7132</v>
      </c>
      <c r="W12" s="1680" t="s">
        <v>6507</v>
      </c>
      <c r="X12" s="1680" t="s">
        <v>7133</v>
      </c>
      <c r="Y12" s="1680" t="s">
        <v>6508</v>
      </c>
      <c r="Z12" s="1680" t="s">
        <v>7134</v>
      </c>
      <c r="AA12" s="1680"/>
      <c r="AB12" s="1680" t="s">
        <v>7008</v>
      </c>
      <c r="AC12" s="1680" t="s">
        <v>7008</v>
      </c>
      <c r="AD12" s="1680" t="s">
        <v>7135</v>
      </c>
      <c r="AE12" s="1680" t="s">
        <v>7136</v>
      </c>
      <c r="AF12" s="1680" t="s">
        <v>7137</v>
      </c>
      <c r="AG12" s="1680" t="s">
        <v>7135</v>
      </c>
      <c r="AH12" s="1680" t="s">
        <v>7136</v>
      </c>
      <c r="AI12" s="1680" t="s">
        <v>7137</v>
      </c>
      <c r="AJ12" s="1662" t="s">
        <v>6930</v>
      </c>
      <c r="AK12" s="1680"/>
      <c r="AL12" s="1680" t="s">
        <v>7138</v>
      </c>
      <c r="AM12" s="1680"/>
      <c r="AN12" s="1681" t="s">
        <v>7139</v>
      </c>
      <c r="AO12" s="1662" t="s">
        <v>7140</v>
      </c>
      <c r="AP12" s="1680" t="s">
        <v>7141</v>
      </c>
      <c r="AQ12" s="1680" t="s">
        <v>6776</v>
      </c>
      <c r="AR12" s="1686" t="s">
        <v>7142</v>
      </c>
      <c r="AS12" s="1686" t="s">
        <v>7142</v>
      </c>
      <c r="AT12" s="1680" t="s">
        <v>7143</v>
      </c>
      <c r="AU12" s="1680" t="s">
        <v>6910</v>
      </c>
      <c r="AV12" s="1680" t="s">
        <v>6933</v>
      </c>
      <c r="AW12" s="1680" t="s">
        <v>7144</v>
      </c>
      <c r="AX12" s="1680" t="s">
        <v>6934</v>
      </c>
      <c r="AY12" s="1680" t="s">
        <v>7145</v>
      </c>
      <c r="AZ12" s="1680" t="s">
        <v>7145</v>
      </c>
      <c r="BA12" s="1680" t="s">
        <v>7138</v>
      </c>
      <c r="BB12" s="1680" t="s">
        <v>7146</v>
      </c>
      <c r="BC12" s="1680" t="s">
        <v>7147</v>
      </c>
      <c r="BD12" s="1680" t="s">
        <v>6283</v>
      </c>
      <c r="BE12" s="1680" t="s">
        <v>7148</v>
      </c>
      <c r="BF12" s="1680" t="s">
        <v>7148</v>
      </c>
      <c r="BG12" s="1680" t="s">
        <v>7149</v>
      </c>
      <c r="BH12" s="1680" t="s">
        <v>7150</v>
      </c>
      <c r="BI12" s="1680" t="s">
        <v>7151</v>
      </c>
      <c r="BJ12" s="1680" t="s">
        <v>7151</v>
      </c>
      <c r="BK12" s="1680" t="s">
        <v>7152</v>
      </c>
      <c r="BL12" s="1680"/>
      <c r="BM12" s="1680" t="s">
        <v>7153</v>
      </c>
      <c r="BN12" s="1680" t="s">
        <v>6721</v>
      </c>
      <c r="BO12" s="1680" t="s">
        <v>7154</v>
      </c>
      <c r="BP12" s="1680" t="s">
        <v>7154</v>
      </c>
      <c r="BQ12" s="1680" t="s">
        <v>6722</v>
      </c>
      <c r="BR12" s="1680" t="s">
        <v>7155</v>
      </c>
      <c r="BS12" s="1680" t="s">
        <v>7155</v>
      </c>
      <c r="BT12" s="1680" t="s">
        <v>5974</v>
      </c>
      <c r="BU12" s="1680" t="s">
        <v>7156</v>
      </c>
      <c r="BV12" s="1680" t="s">
        <v>7156</v>
      </c>
      <c r="BW12" s="1680" t="s">
        <v>7157</v>
      </c>
      <c r="BX12" s="1680" t="s">
        <v>7157</v>
      </c>
      <c r="BY12" s="1680" t="s">
        <v>6525</v>
      </c>
      <c r="BZ12" s="1680" t="s">
        <v>7158</v>
      </c>
      <c r="CA12" s="1680" t="s">
        <v>6526</v>
      </c>
      <c r="CB12" s="1680" t="s">
        <v>7159</v>
      </c>
      <c r="CC12" s="1680" t="s">
        <v>7159</v>
      </c>
      <c r="CD12" s="1680" t="s">
        <v>7160</v>
      </c>
      <c r="CE12" s="1680" t="s">
        <v>7160</v>
      </c>
      <c r="CF12" s="1680" t="s">
        <v>6960</v>
      </c>
      <c r="CG12" s="1680" t="s">
        <v>6206</v>
      </c>
      <c r="CH12" s="1680" t="s">
        <v>6728</v>
      </c>
      <c r="CI12" s="1682" t="s">
        <v>7161</v>
      </c>
      <c r="CJ12" s="1682" t="s">
        <v>7161</v>
      </c>
      <c r="CK12" s="1680" t="s">
        <v>7162</v>
      </c>
      <c r="CL12" s="1680" t="s">
        <v>6730</v>
      </c>
      <c r="CM12" s="1680" t="s">
        <v>6959</v>
      </c>
      <c r="CN12" s="1680" t="s">
        <v>7163</v>
      </c>
      <c r="CO12" s="1680" t="s">
        <v>6671</v>
      </c>
      <c r="CP12" s="1680" t="s">
        <v>6671</v>
      </c>
      <c r="CQ12" s="1680" t="s">
        <v>6671</v>
      </c>
      <c r="CR12" s="1680" t="s">
        <v>6744</v>
      </c>
      <c r="CS12" s="1680" t="s">
        <v>6363</v>
      </c>
      <c r="CT12" s="1680" t="s">
        <v>6734</v>
      </c>
      <c r="CU12" s="1680" t="s">
        <v>7164</v>
      </c>
      <c r="CV12" s="1680" t="s">
        <v>6535</v>
      </c>
      <c r="CW12" s="1680" t="s">
        <v>7165</v>
      </c>
      <c r="CX12" s="1680" t="s">
        <v>7165</v>
      </c>
      <c r="CY12" s="1680" t="s">
        <v>6823</v>
      </c>
      <c r="CZ12" s="1680" t="s">
        <v>6663</v>
      </c>
      <c r="DA12" s="1680" t="s">
        <v>7166</v>
      </c>
      <c r="DB12" s="1680" t="s">
        <v>7166</v>
      </c>
      <c r="DC12" s="1680" t="s">
        <v>7167</v>
      </c>
      <c r="DD12" s="1680" t="s">
        <v>7168</v>
      </c>
      <c r="DE12" s="1680" t="s">
        <v>7169</v>
      </c>
      <c r="DF12" s="1680" t="s">
        <v>7170</v>
      </c>
      <c r="DG12" s="1680" t="s">
        <v>6957</v>
      </c>
      <c r="DH12" s="1680" t="s">
        <v>7171</v>
      </c>
      <c r="DI12" s="1680" t="s">
        <v>6943</v>
      </c>
      <c r="DJ12" s="1680" t="s">
        <v>7172</v>
      </c>
      <c r="DK12" s="1680" t="s">
        <v>7173</v>
      </c>
      <c r="DL12" s="1680" t="s">
        <v>7174</v>
      </c>
      <c r="DM12" s="1680" t="s">
        <v>7175</v>
      </c>
      <c r="DN12" s="1680" t="s">
        <v>6959</v>
      </c>
      <c r="DO12" s="1680" t="s">
        <v>7176</v>
      </c>
      <c r="DP12" s="1680" t="s">
        <v>6349</v>
      </c>
      <c r="DQ12" s="1680" t="s">
        <v>7177</v>
      </c>
      <c r="DR12" s="1680"/>
      <c r="DS12" s="1680" t="s">
        <v>7102</v>
      </c>
      <c r="DT12" s="1680" t="s">
        <v>7178</v>
      </c>
      <c r="DU12" s="1680" t="s">
        <v>7013</v>
      </c>
      <c r="DV12" s="1680" t="s">
        <v>7179</v>
      </c>
      <c r="DW12" s="1680" t="s">
        <v>7180</v>
      </c>
      <c r="DX12" s="1680" t="s">
        <v>7181</v>
      </c>
      <c r="DY12" s="1680" t="s">
        <v>7182</v>
      </c>
      <c r="DZ12" s="1680"/>
      <c r="EA12" s="1680" t="s">
        <v>7183</v>
      </c>
      <c r="EB12" s="1680" t="s">
        <v>7184</v>
      </c>
      <c r="EC12" s="1680"/>
      <c r="ED12" s="1680" t="s">
        <v>7185</v>
      </c>
      <c r="EE12" s="1680" t="s">
        <v>7186</v>
      </c>
      <c r="EF12" s="1680" t="s">
        <v>7187</v>
      </c>
      <c r="EG12" s="1680" t="s">
        <v>6590</v>
      </c>
      <c r="EH12" s="1680" t="s">
        <v>6777</v>
      </c>
      <c r="EI12" s="1680" t="s">
        <v>7188</v>
      </c>
      <c r="EJ12" s="1680" t="s">
        <v>6756</v>
      </c>
      <c r="EK12" s="1680" t="s">
        <v>7189</v>
      </c>
      <c r="EL12" s="1680" t="s">
        <v>6968</v>
      </c>
      <c r="EM12" s="1680" t="s">
        <v>7190</v>
      </c>
      <c r="EN12" s="1680" t="s">
        <v>7191</v>
      </c>
      <c r="EO12" s="1680" t="s">
        <v>7192</v>
      </c>
      <c r="EP12" s="1680" t="s">
        <v>7193</v>
      </c>
      <c r="EQ12" s="1680" t="s">
        <v>7194</v>
      </c>
      <c r="ER12" s="1680" t="s">
        <v>7195</v>
      </c>
      <c r="ES12" s="1680" t="s">
        <v>7195</v>
      </c>
      <c r="ET12" s="1680" t="s">
        <v>6556</v>
      </c>
      <c r="EU12" s="1680" t="s">
        <v>7196</v>
      </c>
      <c r="EV12" s="1680" t="s">
        <v>7197</v>
      </c>
      <c r="EW12" s="1662" t="s">
        <v>7198</v>
      </c>
      <c r="EX12" s="1686" t="s">
        <v>7199</v>
      </c>
      <c r="EY12" s="1680" t="s">
        <v>6766</v>
      </c>
      <c r="EZ12" s="1680" t="s">
        <v>7200</v>
      </c>
      <c r="FA12" s="1680" t="s">
        <v>7201</v>
      </c>
      <c r="FB12" s="1680" t="s">
        <v>6561</v>
      </c>
      <c r="FC12" s="1680" t="s">
        <v>7202</v>
      </c>
      <c r="FD12" s="1680" t="s">
        <v>7203</v>
      </c>
      <c r="FE12" s="1680" t="s">
        <v>6769</v>
      </c>
      <c r="FF12" s="1686" t="s">
        <v>7204</v>
      </c>
      <c r="FG12" s="1680" t="s">
        <v>6982</v>
      </c>
      <c r="FH12" s="1680" t="s">
        <v>7089</v>
      </c>
      <c r="FI12" s="1680" t="s">
        <v>6343</v>
      </c>
      <c r="FJ12" s="1680" t="s">
        <v>7205</v>
      </c>
      <c r="FK12" s="1680" t="s">
        <v>6772</v>
      </c>
      <c r="FL12" s="1680" t="s">
        <v>7206</v>
      </c>
      <c r="FM12" s="1680" t="s">
        <v>6692</v>
      </c>
      <c r="FN12" s="1680" t="s">
        <v>6713</v>
      </c>
      <c r="FO12" s="1680" t="s">
        <v>7207</v>
      </c>
      <c r="FP12" s="1680" t="s">
        <v>7207</v>
      </c>
      <c r="FQ12" s="1680"/>
      <c r="FR12" s="1662" t="s">
        <v>6930</v>
      </c>
      <c r="FS12" s="1681"/>
      <c r="FT12" s="1693" t="s">
        <v>6930</v>
      </c>
      <c r="FU12" s="1694" t="s">
        <v>6987</v>
      </c>
      <c r="FV12" s="1680" t="s">
        <v>7180</v>
      </c>
      <c r="FW12" s="1680" t="s">
        <v>6988</v>
      </c>
      <c r="FX12" s="1664" t="s">
        <v>7171</v>
      </c>
      <c r="FY12" s="1680" t="s">
        <v>7208</v>
      </c>
      <c r="FZ12" s="1680" t="s">
        <v>6391</v>
      </c>
      <c r="GA12" s="1686" t="s">
        <v>7209</v>
      </c>
      <c r="GB12" s="1680" t="s">
        <v>7003</v>
      </c>
      <c r="GC12" s="1680" t="s">
        <v>6779</v>
      </c>
      <c r="GD12" s="1680" t="s">
        <v>7210</v>
      </c>
      <c r="GE12" s="1680" t="s">
        <v>7211</v>
      </c>
      <c r="GF12" s="1680" t="s">
        <v>6716</v>
      </c>
      <c r="GG12" s="1680" t="s">
        <v>6716</v>
      </c>
      <c r="GH12" s="1680" t="s">
        <v>6716</v>
      </c>
      <c r="GI12" s="1680" t="s">
        <v>7212</v>
      </c>
      <c r="GJ12" s="1680" t="s">
        <v>7213</v>
      </c>
      <c r="GK12" s="1680" t="s">
        <v>6879</v>
      </c>
      <c r="GL12" s="1680" t="s">
        <v>6887</v>
      </c>
      <c r="GM12" s="1680" t="s">
        <v>6843</v>
      </c>
      <c r="GN12" s="1680" t="s">
        <v>6843</v>
      </c>
      <c r="GO12" s="1680" t="s">
        <v>6438</v>
      </c>
      <c r="GP12" s="1680" t="s">
        <v>7214</v>
      </c>
      <c r="GQ12" s="1680" t="s">
        <v>7215</v>
      </c>
      <c r="GR12" s="1680" t="s">
        <v>6365</v>
      </c>
      <c r="GS12" s="1686" t="s">
        <v>6989</v>
      </c>
      <c r="GT12" s="1680"/>
      <c r="GU12" s="1680"/>
      <c r="GV12" s="1680" t="s">
        <v>7216</v>
      </c>
      <c r="GW12" s="1680" t="s">
        <v>7217</v>
      </c>
      <c r="GX12" s="1680" t="s">
        <v>7217</v>
      </c>
      <c r="GY12" s="1680" t="s">
        <v>7057</v>
      </c>
      <c r="GZ12" s="1680" t="s">
        <v>6615</v>
      </c>
      <c r="HA12" s="1680" t="s">
        <v>6263</v>
      </c>
      <c r="HB12" s="1680" t="s">
        <v>7218</v>
      </c>
      <c r="HC12" s="1680" t="s">
        <v>7218</v>
      </c>
      <c r="HD12" s="1680" t="s">
        <v>7219</v>
      </c>
      <c r="HE12" s="1680" t="s">
        <v>7220</v>
      </c>
      <c r="HF12" s="1680" t="s">
        <v>7221</v>
      </c>
      <c r="HG12" s="1680" t="s">
        <v>7222</v>
      </c>
      <c r="HH12" s="1680" t="s">
        <v>7223</v>
      </c>
      <c r="HI12" s="1680" t="s">
        <v>7224</v>
      </c>
      <c r="HJ12" s="1680" t="s">
        <v>7225</v>
      </c>
      <c r="HK12" s="1680" t="s">
        <v>7226</v>
      </c>
      <c r="HL12" s="1680" t="s">
        <v>7226</v>
      </c>
      <c r="HM12" s="1680" t="s">
        <v>7227</v>
      </c>
      <c r="HN12" s="1680" t="s">
        <v>7001</v>
      </c>
      <c r="HO12" s="1680" t="s">
        <v>7228</v>
      </c>
      <c r="HP12" s="1680" t="s">
        <v>7229</v>
      </c>
      <c r="HQ12" s="1680" t="s">
        <v>6587</v>
      </c>
      <c r="HR12" s="1662" t="s">
        <v>7230</v>
      </c>
      <c r="HS12" s="1680" t="s">
        <v>6307</v>
      </c>
      <c r="HT12" s="1680" t="s">
        <v>7231</v>
      </c>
      <c r="HU12" s="1680" t="s">
        <v>7232</v>
      </c>
      <c r="HV12" s="1680" t="s">
        <v>7009</v>
      </c>
      <c r="HW12" s="1680" t="s">
        <v>6745</v>
      </c>
      <c r="HX12" s="1680" t="s">
        <v>7233</v>
      </c>
      <c r="HY12" s="1680" t="s">
        <v>6525</v>
      </c>
      <c r="HZ12" s="1680" t="s">
        <v>6777</v>
      </c>
      <c r="IA12" s="1680" t="s">
        <v>7234</v>
      </c>
      <c r="IB12" s="1664" t="s">
        <v>7235</v>
      </c>
      <c r="IC12" s="1680"/>
      <c r="ID12" s="1680" t="s">
        <v>7236</v>
      </c>
      <c r="IE12" s="1686" t="s">
        <v>7237</v>
      </c>
      <c r="IF12" s="1680" t="s">
        <v>7179</v>
      </c>
      <c r="IG12" s="1680" t="s">
        <v>7180</v>
      </c>
      <c r="IH12" s="1680" t="s">
        <v>7238</v>
      </c>
      <c r="II12" s="1680" t="s">
        <v>7172</v>
      </c>
      <c r="IJ12" s="1680" t="s">
        <v>6977</v>
      </c>
      <c r="IK12" s="1680" t="s">
        <v>7239</v>
      </c>
      <c r="IL12" s="1680" t="s">
        <v>7240</v>
      </c>
      <c r="IM12" s="1680" t="s">
        <v>6968</v>
      </c>
      <c r="IN12" s="1680" t="s">
        <v>6968</v>
      </c>
      <c r="IO12" s="1680" t="s">
        <v>6597</v>
      </c>
      <c r="IP12" s="1664" t="s">
        <v>7070</v>
      </c>
      <c r="IQ12" s="1680" t="s">
        <v>7070</v>
      </c>
      <c r="IR12" s="1680" t="s">
        <v>6912</v>
      </c>
      <c r="IS12" s="1680" t="s">
        <v>7241</v>
      </c>
      <c r="IT12" s="1680" t="s">
        <v>7242</v>
      </c>
      <c r="IU12" s="1680" t="s">
        <v>6600</v>
      </c>
      <c r="IV12" s="1680" t="s">
        <v>7243</v>
      </c>
      <c r="IW12" s="1680" t="s">
        <v>7244</v>
      </c>
      <c r="IX12" s="1680" t="s">
        <v>6809</v>
      </c>
      <c r="IY12" s="1680" t="s">
        <v>7245</v>
      </c>
      <c r="IZ12" s="1680" t="s">
        <v>7246</v>
      </c>
      <c r="JA12" s="1680" t="s">
        <v>6603</v>
      </c>
      <c r="JB12" s="1680" t="s">
        <v>7247</v>
      </c>
      <c r="JC12" s="1680" t="s">
        <v>6179</v>
      </c>
      <c r="JD12" s="1680" t="s">
        <v>7248</v>
      </c>
      <c r="JE12" s="1664" t="s">
        <v>6418</v>
      </c>
      <c r="JF12" s="1680"/>
      <c r="JG12" s="1664"/>
      <c r="JH12" s="1680" t="s">
        <v>7249</v>
      </c>
      <c r="JI12" s="1680"/>
      <c r="JJ12" s="1680" t="s">
        <v>7249</v>
      </c>
      <c r="JK12" s="1680" t="s">
        <v>7242</v>
      </c>
      <c r="JL12" s="1680" t="s">
        <v>6792</v>
      </c>
      <c r="JM12" s="1680"/>
      <c r="JN12" s="1680" t="s">
        <v>7250</v>
      </c>
      <c r="JO12" s="1680" t="s">
        <v>7215</v>
      </c>
      <c r="JP12" s="1680"/>
      <c r="JQ12" s="1680" t="s">
        <v>7251</v>
      </c>
      <c r="JR12" s="1680" t="s">
        <v>6819</v>
      </c>
      <c r="JS12" s="1664" t="s">
        <v>7252</v>
      </c>
      <c r="JT12" s="1680" t="s">
        <v>6820</v>
      </c>
      <c r="JU12" s="1664" t="s">
        <v>7253</v>
      </c>
      <c r="JV12" s="1664" t="s">
        <v>7253</v>
      </c>
      <c r="JW12" s="1688" t="s">
        <v>6821</v>
      </c>
      <c r="JX12" s="1680" t="s">
        <v>6814</v>
      </c>
      <c r="JY12" s="1680" t="s">
        <v>7254</v>
      </c>
      <c r="JZ12" s="1680" t="s">
        <v>6933</v>
      </c>
      <c r="KA12" s="1680" t="s">
        <v>6952</v>
      </c>
      <c r="KB12" s="1680" t="s">
        <v>7255</v>
      </c>
      <c r="KC12" s="1664" t="s">
        <v>7256</v>
      </c>
      <c r="KD12" s="1680" t="s">
        <v>7255</v>
      </c>
      <c r="KE12" s="1680" t="s">
        <v>7257</v>
      </c>
      <c r="KF12" s="1680" t="s">
        <v>7257</v>
      </c>
      <c r="KG12" s="1680" t="s">
        <v>7257</v>
      </c>
      <c r="KH12" s="1680" t="s">
        <v>7258</v>
      </c>
      <c r="KI12" s="1680" t="s">
        <v>7259</v>
      </c>
      <c r="KJ12" s="1680" t="s">
        <v>6542</v>
      </c>
      <c r="KK12" s="1680" t="s">
        <v>7260</v>
      </c>
      <c r="KL12" s="1680" t="s">
        <v>7036</v>
      </c>
      <c r="KM12" s="1680" t="s">
        <v>7261</v>
      </c>
      <c r="KN12" s="1680" t="s">
        <v>7262</v>
      </c>
      <c r="KO12" s="1680" t="s">
        <v>6577</v>
      </c>
      <c r="KP12" s="1680"/>
      <c r="KQ12" s="1680" t="s">
        <v>7263</v>
      </c>
      <c r="KR12" s="1680" t="s">
        <v>7264</v>
      </c>
      <c r="KS12" s="1680" t="s">
        <v>7265</v>
      </c>
      <c r="KT12" s="1680" t="s">
        <v>7265</v>
      </c>
      <c r="KU12" s="1680" t="s">
        <v>6621</v>
      </c>
      <c r="KV12" s="1680" t="s">
        <v>7266</v>
      </c>
      <c r="KW12" s="1680" t="s">
        <v>6622</v>
      </c>
      <c r="KX12" s="1680" t="s">
        <v>7160</v>
      </c>
      <c r="KY12" s="1680" t="s">
        <v>7160</v>
      </c>
      <c r="KZ12" s="1680" t="s">
        <v>7231</v>
      </c>
      <c r="LA12" s="1680" t="s">
        <v>7231</v>
      </c>
      <c r="LB12" s="1680" t="s">
        <v>7267</v>
      </c>
      <c r="LC12" s="1680" t="s">
        <v>7268</v>
      </c>
      <c r="LD12" s="1686" t="s">
        <v>7269</v>
      </c>
      <c r="LE12" s="1680" t="s">
        <v>7270</v>
      </c>
      <c r="LF12" s="1680" t="s">
        <v>6841</v>
      </c>
      <c r="LG12" s="1680" t="s">
        <v>7271</v>
      </c>
      <c r="LH12" s="1680" t="s">
        <v>6842</v>
      </c>
      <c r="LI12" s="1680" t="s">
        <v>7272</v>
      </c>
      <c r="LJ12" s="1680" t="s">
        <v>7272</v>
      </c>
      <c r="LK12" s="1680" t="s">
        <v>7273</v>
      </c>
      <c r="LL12" s="1680" t="s">
        <v>7273</v>
      </c>
      <c r="LM12" s="1680" t="s">
        <v>7274</v>
      </c>
      <c r="LN12" s="1680" t="s">
        <v>7275</v>
      </c>
      <c r="LO12" s="1680" t="s">
        <v>7275</v>
      </c>
      <c r="LP12" s="1680" t="s">
        <v>7276</v>
      </c>
      <c r="LQ12" s="1680" t="s">
        <v>7145</v>
      </c>
      <c r="LR12" s="1680" t="s">
        <v>7277</v>
      </c>
      <c r="LS12" s="1680" t="s">
        <v>6829</v>
      </c>
      <c r="LT12" s="1680" t="s">
        <v>7278</v>
      </c>
      <c r="LU12" s="1680" t="s">
        <v>7278</v>
      </c>
      <c r="LV12" s="1680" t="s">
        <v>7279</v>
      </c>
      <c r="LW12" s="1680" t="s">
        <v>7052</v>
      </c>
      <c r="LX12" s="1664" t="s">
        <v>7280</v>
      </c>
      <c r="LY12" s="1680" t="s">
        <v>7281</v>
      </c>
      <c r="LZ12" s="1680" t="s">
        <v>7055</v>
      </c>
      <c r="MA12" s="1680" t="s">
        <v>7282</v>
      </c>
      <c r="MB12" s="1680" t="s">
        <v>6654</v>
      </c>
      <c r="MC12" s="1680" t="s">
        <v>6847</v>
      </c>
      <c r="MD12" s="1680" t="s">
        <v>7283</v>
      </c>
      <c r="ME12" s="1680" t="s">
        <v>7283</v>
      </c>
      <c r="MF12" s="1680" t="s">
        <v>7258</v>
      </c>
      <c r="MG12" s="1680" t="s">
        <v>6346</v>
      </c>
      <c r="MH12" s="1680" t="s">
        <v>7284</v>
      </c>
      <c r="MI12" s="1680" t="s">
        <v>7058</v>
      </c>
      <c r="MJ12" s="1680" t="s">
        <v>6848</v>
      </c>
      <c r="MK12" s="1680" t="s">
        <v>7059</v>
      </c>
      <c r="ML12" s="1680"/>
      <c r="MM12" s="1680" t="s">
        <v>7285</v>
      </c>
      <c r="MN12" s="1664" t="s">
        <v>7286</v>
      </c>
      <c r="MO12" s="1680" t="s">
        <v>6674</v>
      </c>
      <c r="MP12" s="1680" t="s">
        <v>7287</v>
      </c>
      <c r="MQ12" s="1680" t="s">
        <v>7287</v>
      </c>
      <c r="MR12" s="1680" t="s">
        <v>7288</v>
      </c>
      <c r="MS12" s="1680" t="s">
        <v>6287</v>
      </c>
      <c r="MT12" s="1680" t="s">
        <v>7289</v>
      </c>
      <c r="MU12" s="1680" t="s">
        <v>6897</v>
      </c>
      <c r="MV12" s="1664" t="s">
        <v>7290</v>
      </c>
      <c r="MW12" s="1680"/>
      <c r="MX12" s="1680" t="s">
        <v>7291</v>
      </c>
      <c r="MY12" s="1680" t="s">
        <v>6644</v>
      </c>
      <c r="MZ12" s="1680" t="s">
        <v>6756</v>
      </c>
      <c r="NA12" s="1680" t="s">
        <v>6756</v>
      </c>
      <c r="NB12" s="1680" t="s">
        <v>6847</v>
      </c>
      <c r="NC12" s="1680"/>
      <c r="ND12" s="1680" t="s">
        <v>7292</v>
      </c>
      <c r="NE12" s="1680" t="s">
        <v>7292</v>
      </c>
      <c r="NF12" s="1680" t="s">
        <v>7293</v>
      </c>
      <c r="NG12" s="1680" t="s">
        <v>7294</v>
      </c>
      <c r="NH12" s="1680" t="s">
        <v>7069</v>
      </c>
      <c r="NI12" s="1664" t="s">
        <v>7295</v>
      </c>
      <c r="NJ12" s="1680" t="s">
        <v>6860</v>
      </c>
      <c r="NK12" s="1680"/>
      <c r="NL12" s="1680" t="s">
        <v>7296</v>
      </c>
      <c r="NM12" s="1680" t="s">
        <v>5823</v>
      </c>
      <c r="NN12" s="1680" t="s">
        <v>7297</v>
      </c>
      <c r="NO12" s="1680" t="s">
        <v>6975</v>
      </c>
      <c r="NP12" s="1680" t="s">
        <v>7297</v>
      </c>
      <c r="NQ12" s="1680" t="s">
        <v>7275</v>
      </c>
      <c r="NR12" s="1680" t="s">
        <v>7275</v>
      </c>
      <c r="NS12" s="1680" t="s">
        <v>7298</v>
      </c>
      <c r="NT12" s="1680" t="s">
        <v>7299</v>
      </c>
      <c r="NU12" s="1680" t="s">
        <v>7300</v>
      </c>
      <c r="NV12" s="1680" t="s">
        <v>6862</v>
      </c>
      <c r="NW12" s="1680" t="s">
        <v>7301</v>
      </c>
      <c r="NX12" s="1680" t="s">
        <v>7301</v>
      </c>
      <c r="NY12" s="1680" t="s">
        <v>7301</v>
      </c>
      <c r="NZ12" s="1680" t="s">
        <v>7301</v>
      </c>
      <c r="OA12" s="1680" t="s">
        <v>7302</v>
      </c>
      <c r="OB12" s="1681" t="s">
        <v>7303</v>
      </c>
      <c r="OC12" s="1680" t="s">
        <v>6657</v>
      </c>
      <c r="OD12" s="1680" t="s">
        <v>7304</v>
      </c>
      <c r="OE12" s="1680" t="s">
        <v>7305</v>
      </c>
      <c r="OF12" s="1680" t="s">
        <v>6768</v>
      </c>
      <c r="OG12" s="1680" t="s">
        <v>7306</v>
      </c>
      <c r="OH12" s="1680" t="s">
        <v>7307</v>
      </c>
      <c r="OI12" s="1680" t="s">
        <v>7308</v>
      </c>
      <c r="OJ12" s="1680" t="s">
        <v>7309</v>
      </c>
      <c r="OK12" s="1680" t="s">
        <v>7310</v>
      </c>
      <c r="OL12" s="1680" t="s">
        <v>6874</v>
      </c>
      <c r="OM12" s="1680" t="s">
        <v>7245</v>
      </c>
      <c r="ON12" s="1680" t="s">
        <v>6903</v>
      </c>
      <c r="OO12" s="1680"/>
      <c r="OP12" s="1680" t="s">
        <v>7311</v>
      </c>
      <c r="OQ12" s="1680" t="s">
        <v>7312</v>
      </c>
      <c r="OR12" s="1680" t="s">
        <v>7313</v>
      </c>
      <c r="OS12" s="1680" t="s">
        <v>6205</v>
      </c>
      <c r="OT12" s="1680"/>
      <c r="OU12" s="1680"/>
      <c r="OV12" s="1680" t="s">
        <v>7314</v>
      </c>
      <c r="OW12" s="1680" t="s">
        <v>7090</v>
      </c>
      <c r="OX12" s="1680" t="s">
        <v>7314</v>
      </c>
      <c r="OY12" s="1680" t="s">
        <v>7091</v>
      </c>
      <c r="OZ12" s="1680"/>
      <c r="PA12" s="1680" t="s">
        <v>7093</v>
      </c>
      <c r="PB12" s="1680" t="s">
        <v>7093</v>
      </c>
      <c r="PC12" s="1680" t="s">
        <v>6883</v>
      </c>
      <c r="PD12" s="1680" t="s">
        <v>7315</v>
      </c>
      <c r="PE12" s="1680"/>
      <c r="PF12" s="1680" t="s">
        <v>6674</v>
      </c>
      <c r="PG12" s="1664" t="s">
        <v>7316</v>
      </c>
      <c r="PH12" s="1680" t="s">
        <v>7317</v>
      </c>
      <c r="PI12" s="1680" t="s">
        <v>7317</v>
      </c>
      <c r="PJ12" s="1680" t="s">
        <v>7318</v>
      </c>
      <c r="PK12" s="1680" t="s">
        <v>7096</v>
      </c>
      <c r="PL12" s="1680" t="s">
        <v>7319</v>
      </c>
      <c r="PM12" s="1680" t="s">
        <v>7319</v>
      </c>
      <c r="PN12" s="1680" t="s">
        <v>7212</v>
      </c>
      <c r="PO12" s="1680" t="s">
        <v>7320</v>
      </c>
      <c r="PP12" s="1680" t="s">
        <v>7098</v>
      </c>
      <c r="PQ12" s="1680" t="s">
        <v>7321</v>
      </c>
      <c r="PR12" s="1680" t="s">
        <v>7322</v>
      </c>
      <c r="PS12" s="1686" t="s">
        <v>5936</v>
      </c>
      <c r="PT12" s="1680" t="s">
        <v>7323</v>
      </c>
      <c r="PU12" s="1680" t="s">
        <v>7324</v>
      </c>
      <c r="PV12" s="1680" t="s">
        <v>7324</v>
      </c>
      <c r="PW12" s="1680" t="s">
        <v>7325</v>
      </c>
      <c r="PX12" s="1680" t="s">
        <v>6910</v>
      </c>
      <c r="PY12" s="1680" t="s">
        <v>6910</v>
      </c>
      <c r="PZ12" s="1680" t="s">
        <v>7326</v>
      </c>
      <c r="QA12" s="1680" t="s">
        <v>6893</v>
      </c>
      <c r="QB12" s="1680" t="s">
        <v>7210</v>
      </c>
      <c r="QC12" s="1680" t="s">
        <v>7210</v>
      </c>
      <c r="QD12" s="1680"/>
      <c r="QE12" s="1680" t="s">
        <v>7327</v>
      </c>
      <c r="QF12" s="1680" t="s">
        <v>6988</v>
      </c>
      <c r="QG12" s="1680" t="s">
        <v>7104</v>
      </c>
      <c r="QH12" s="1680" t="s">
        <v>7328</v>
      </c>
      <c r="QI12" s="1680" t="s">
        <v>7104</v>
      </c>
      <c r="QJ12" s="1680" t="s">
        <v>7191</v>
      </c>
      <c r="QK12" s="1680" t="s">
        <v>7329</v>
      </c>
      <c r="QL12" s="1680" t="s">
        <v>6945</v>
      </c>
      <c r="QM12" s="1680" t="s">
        <v>7330</v>
      </c>
      <c r="QN12" s="1680" t="s">
        <v>6680</v>
      </c>
      <c r="QO12" s="1680" t="s">
        <v>7331</v>
      </c>
      <c r="QP12" s="1680" t="s">
        <v>6681</v>
      </c>
      <c r="QQ12" s="1680" t="s">
        <v>7280</v>
      </c>
      <c r="QR12" s="1680" t="s">
        <v>6935</v>
      </c>
      <c r="QS12" s="1680" t="s">
        <v>7138</v>
      </c>
      <c r="QT12" s="1680" t="s">
        <v>7332</v>
      </c>
      <c r="QU12" s="1680" t="s">
        <v>6684</v>
      </c>
      <c r="QV12" s="1680" t="s">
        <v>6959</v>
      </c>
      <c r="QW12" s="1664" t="s">
        <v>7333</v>
      </c>
      <c r="QX12" s="1664" t="s">
        <v>7004</v>
      </c>
      <c r="QY12" s="1680" t="s">
        <v>6402</v>
      </c>
      <c r="QZ12" s="1680" t="s">
        <v>6726</v>
      </c>
      <c r="RA12" s="1680" t="s">
        <v>7169</v>
      </c>
      <c r="RB12" s="1680" t="s">
        <v>6943</v>
      </c>
      <c r="RC12" s="1680" t="s">
        <v>6958</v>
      </c>
      <c r="RD12" s="1680" t="s">
        <v>6549</v>
      </c>
      <c r="RE12" s="1680" t="s">
        <v>6962</v>
      </c>
      <c r="RF12" s="1664"/>
      <c r="RG12" s="1680" t="s">
        <v>6421</v>
      </c>
      <c r="RH12" s="1680" t="s">
        <v>6257</v>
      </c>
      <c r="RI12" s="1680" t="s">
        <v>6257</v>
      </c>
      <c r="RJ12" s="1680" t="s">
        <v>6580</v>
      </c>
      <c r="RK12" s="1680" t="s">
        <v>7007</v>
      </c>
      <c r="RL12" s="1680" t="s">
        <v>6967</v>
      </c>
      <c r="RM12" s="1664" t="s">
        <v>7053</v>
      </c>
      <c r="RN12" s="1680" t="s">
        <v>6473</v>
      </c>
      <c r="RO12" s="1680" t="s">
        <v>6287</v>
      </c>
      <c r="RP12" s="1680" t="s">
        <v>7334</v>
      </c>
      <c r="RQ12" s="1680" t="s">
        <v>6671</v>
      </c>
      <c r="RR12" s="1680" t="s">
        <v>6671</v>
      </c>
      <c r="RS12" s="1680" t="s">
        <v>6671</v>
      </c>
      <c r="RT12" s="1680" t="s">
        <v>6671</v>
      </c>
      <c r="RU12" s="1680" t="s">
        <v>6671</v>
      </c>
      <c r="RV12" s="1680" t="s">
        <v>6671</v>
      </c>
      <c r="RW12" s="1680" t="s">
        <v>7335</v>
      </c>
      <c r="RX12" s="1680" t="s">
        <v>7335</v>
      </c>
      <c r="RY12" s="1680" t="s">
        <v>7335</v>
      </c>
      <c r="RZ12" s="1664" t="s">
        <v>7074</v>
      </c>
      <c r="SA12" s="1680" t="s">
        <v>7074</v>
      </c>
      <c r="SB12" s="1680" t="s">
        <v>7336</v>
      </c>
      <c r="SC12" s="1664" t="s">
        <v>7337</v>
      </c>
      <c r="SD12" s="1680" t="s">
        <v>7338</v>
      </c>
      <c r="SE12" s="1680" t="s">
        <v>7338</v>
      </c>
      <c r="SF12" s="1680" t="s">
        <v>7339</v>
      </c>
      <c r="SG12" s="1680" t="s">
        <v>7340</v>
      </c>
      <c r="SH12" s="1680" t="s">
        <v>6911</v>
      </c>
      <c r="SI12" s="1680" t="s">
        <v>7341</v>
      </c>
      <c r="SJ12" s="1680" t="s">
        <v>7342</v>
      </c>
      <c r="SK12" s="1680" t="s">
        <v>7342</v>
      </c>
      <c r="SL12" s="1680" t="s">
        <v>6295</v>
      </c>
    </row>
    <row r="13" ht="15.75" customHeight="1">
      <c r="A13" s="1517"/>
      <c r="B13" s="293" t="s">
        <v>7343</v>
      </c>
      <c r="C13" s="293" t="s">
        <v>7171</v>
      </c>
      <c r="D13" s="293" t="s">
        <v>6669</v>
      </c>
      <c r="E13" s="1671" t="s">
        <v>7344</v>
      </c>
      <c r="F13" s="1671" t="s">
        <v>7328</v>
      </c>
      <c r="G13" s="1671" t="s">
        <v>6698</v>
      </c>
      <c r="H13" s="1672" t="s">
        <v>7345</v>
      </c>
      <c r="I13" s="1672" t="s">
        <v>7346</v>
      </c>
      <c r="J13" s="1672" t="s">
        <v>6700</v>
      </c>
      <c r="K13" s="293"/>
      <c r="L13" s="293"/>
      <c r="M13" s="420" t="s">
        <v>7347</v>
      </c>
      <c r="N13" s="1673"/>
      <c r="O13" s="364"/>
      <c r="P13" s="364" t="s">
        <v>7348</v>
      </c>
      <c r="Q13" s="1673" t="s">
        <v>7349</v>
      </c>
      <c r="R13" s="1673" t="s">
        <v>7350</v>
      </c>
      <c r="S13" s="1673" t="s">
        <v>6505</v>
      </c>
      <c r="T13" s="464" t="s">
        <v>7295</v>
      </c>
      <c r="U13" s="1673" t="s">
        <v>6921</v>
      </c>
      <c r="V13" s="1673" t="s">
        <v>7351</v>
      </c>
      <c r="W13" s="1673" t="s">
        <v>6704</v>
      </c>
      <c r="X13" s="464" t="s">
        <v>7352</v>
      </c>
      <c r="Y13" s="464" t="s">
        <v>6705</v>
      </c>
      <c r="Z13" s="364" t="s">
        <v>7353</v>
      </c>
      <c r="AA13" s="364"/>
      <c r="AB13" s="364" t="s">
        <v>7354</v>
      </c>
      <c r="AC13" s="364" t="s">
        <v>7354</v>
      </c>
      <c r="AD13" s="1672" t="s">
        <v>7355</v>
      </c>
      <c r="AE13" s="1672" t="s">
        <v>7356</v>
      </c>
      <c r="AF13" s="1672" t="s">
        <v>7357</v>
      </c>
      <c r="AG13" s="464" t="s">
        <v>7355</v>
      </c>
      <c r="AH13" s="464" t="s">
        <v>7356</v>
      </c>
      <c r="AI13" s="464" t="s">
        <v>7358</v>
      </c>
      <c r="AJ13" s="1674" t="s">
        <v>7359</v>
      </c>
      <c r="AK13" s="1674"/>
      <c r="AL13" s="1673" t="s">
        <v>7259</v>
      </c>
      <c r="AM13" s="364"/>
      <c r="AN13" s="1674" t="s">
        <v>7360</v>
      </c>
      <c r="AO13" s="1674"/>
      <c r="AP13" s="464" t="s">
        <v>7361</v>
      </c>
      <c r="AQ13" s="464" t="s">
        <v>7141</v>
      </c>
      <c r="AR13" s="1695" t="s">
        <v>7362</v>
      </c>
      <c r="AS13" s="1696" t="s">
        <v>7362</v>
      </c>
      <c r="AT13" s="1671" t="s">
        <v>7363</v>
      </c>
      <c r="AU13" s="1671" t="s">
        <v>7364</v>
      </c>
      <c r="AV13" s="1671" t="s">
        <v>6910</v>
      </c>
      <c r="AW13" s="464" t="s">
        <v>6998</v>
      </c>
      <c r="AX13" s="464" t="s">
        <v>7144</v>
      </c>
      <c r="AY13" s="1673" t="s">
        <v>7365</v>
      </c>
      <c r="AZ13" s="1673" t="s">
        <v>7365</v>
      </c>
      <c r="BA13" s="364" t="s">
        <v>7366</v>
      </c>
      <c r="BB13" s="364" t="s">
        <v>7138</v>
      </c>
      <c r="BC13" s="364" t="s">
        <v>7367</v>
      </c>
      <c r="BD13" s="1672" t="s">
        <v>6855</v>
      </c>
      <c r="BE13" s="1673" t="s">
        <v>7368</v>
      </c>
      <c r="BF13" s="1673" t="s">
        <v>7368</v>
      </c>
      <c r="BG13" s="1673" t="s">
        <v>7234</v>
      </c>
      <c r="BH13" s="1673" t="s">
        <v>7369</v>
      </c>
      <c r="BI13" s="1672" t="s">
        <v>7370</v>
      </c>
      <c r="BJ13" s="1672" t="s">
        <v>7370</v>
      </c>
      <c r="BK13" s="1672" t="s">
        <v>7371</v>
      </c>
      <c r="BL13" s="1673"/>
      <c r="BM13" s="1673" t="s">
        <v>7372</v>
      </c>
      <c r="BN13" s="1673" t="s">
        <v>6939</v>
      </c>
      <c r="BO13" s="1675" t="s">
        <v>7373</v>
      </c>
      <c r="BP13" s="1675" t="s">
        <v>7373</v>
      </c>
      <c r="BQ13" s="1675" t="s">
        <v>6940</v>
      </c>
      <c r="BR13" s="293" t="s">
        <v>7374</v>
      </c>
      <c r="BS13" s="293" t="s">
        <v>7374</v>
      </c>
      <c r="BT13" s="293" t="s">
        <v>6125</v>
      </c>
      <c r="BU13" s="1672" t="s">
        <v>7375</v>
      </c>
      <c r="BV13" s="1672" t="s">
        <v>7375</v>
      </c>
      <c r="BW13" s="1673" t="s">
        <v>7376</v>
      </c>
      <c r="BX13" s="1673" t="s">
        <v>7377</v>
      </c>
      <c r="BY13" s="1673" t="s">
        <v>6724</v>
      </c>
      <c r="BZ13" s="364" t="s">
        <v>7251</v>
      </c>
      <c r="CA13" s="364" t="s">
        <v>6725</v>
      </c>
      <c r="CB13" s="1674" t="s">
        <v>7378</v>
      </c>
      <c r="CC13" s="1674" t="s">
        <v>7378</v>
      </c>
      <c r="CD13" s="1675" t="s">
        <v>7379</v>
      </c>
      <c r="CE13" s="1675" t="s">
        <v>7379</v>
      </c>
      <c r="CF13" s="1673" t="s">
        <v>6887</v>
      </c>
      <c r="CG13" s="1673" t="s">
        <v>7380</v>
      </c>
      <c r="CH13" s="1673" t="s">
        <v>6946</v>
      </c>
      <c r="CI13" s="254" t="s">
        <v>7381</v>
      </c>
      <c r="CJ13" s="254" t="s">
        <v>7381</v>
      </c>
      <c r="CK13" s="464" t="s">
        <v>7382</v>
      </c>
      <c r="CL13" s="464" t="s">
        <v>6947</v>
      </c>
      <c r="CM13" s="464" t="s">
        <v>7383</v>
      </c>
      <c r="CN13" s="464" t="s">
        <v>7384</v>
      </c>
      <c r="CO13" s="464" t="s">
        <v>7049</v>
      </c>
      <c r="CP13" s="464" t="s">
        <v>7049</v>
      </c>
      <c r="CQ13" s="464" t="s">
        <v>7049</v>
      </c>
      <c r="CR13" s="1675" t="s">
        <v>7385</v>
      </c>
      <c r="CS13" s="364" t="s">
        <v>7386</v>
      </c>
      <c r="CT13" s="364" t="s">
        <v>6606</v>
      </c>
      <c r="CU13" s="1671" t="s">
        <v>7387</v>
      </c>
      <c r="CV13" s="1671" t="s">
        <v>6497</v>
      </c>
      <c r="CW13" s="1671" t="s">
        <v>7388</v>
      </c>
      <c r="CX13" s="1671" t="s">
        <v>7388</v>
      </c>
      <c r="CY13" s="1674" t="s">
        <v>7389</v>
      </c>
      <c r="CZ13" s="364"/>
      <c r="DA13" s="1673" t="s">
        <v>7390</v>
      </c>
      <c r="DB13" s="1673" t="s">
        <v>7390</v>
      </c>
      <c r="DC13" s="1673" t="s">
        <v>7391</v>
      </c>
      <c r="DD13" s="1673" t="s">
        <v>7392</v>
      </c>
      <c r="DE13" s="1674" t="s">
        <v>7393</v>
      </c>
      <c r="DF13" s="464" t="s">
        <v>7377</v>
      </c>
      <c r="DG13" s="464" t="s">
        <v>7170</v>
      </c>
      <c r="DH13" s="1675" t="s">
        <v>7394</v>
      </c>
      <c r="DI13" s="1675" t="s">
        <v>7171</v>
      </c>
      <c r="DJ13" s="1674" t="s">
        <v>7395</v>
      </c>
      <c r="DK13" s="1672" t="s">
        <v>7396</v>
      </c>
      <c r="DL13" s="1673" t="s">
        <v>7397</v>
      </c>
      <c r="DM13" s="1672" t="s">
        <v>7398</v>
      </c>
      <c r="DN13" s="1672" t="s">
        <v>7175</v>
      </c>
      <c r="DO13" s="1671" t="s">
        <v>7399</v>
      </c>
      <c r="DP13" s="1671" t="s">
        <v>7176</v>
      </c>
      <c r="DQ13" s="1673" t="s">
        <v>7207</v>
      </c>
      <c r="DR13" s="464"/>
      <c r="DS13" s="1674" t="s">
        <v>7210</v>
      </c>
      <c r="DT13" s="293" t="s">
        <v>6910</v>
      </c>
      <c r="DU13" s="1671" t="s">
        <v>7237</v>
      </c>
      <c r="DV13" s="364" t="s">
        <v>6541</v>
      </c>
      <c r="DW13" s="1671" t="s">
        <v>6541</v>
      </c>
      <c r="DX13" s="1673" t="s">
        <v>7400</v>
      </c>
      <c r="DY13" s="1673" t="s">
        <v>7401</v>
      </c>
      <c r="DZ13" s="1671"/>
      <c r="EA13" s="1672" t="s">
        <v>7402</v>
      </c>
      <c r="EB13" s="1672" t="s">
        <v>7403</v>
      </c>
      <c r="EC13" s="464"/>
      <c r="ED13" s="1673" t="s">
        <v>7404</v>
      </c>
      <c r="EE13" s="1672" t="s">
        <v>6847</v>
      </c>
      <c r="EF13" s="364" t="s">
        <v>7405</v>
      </c>
      <c r="EG13" s="1671" t="s">
        <v>6799</v>
      </c>
      <c r="EH13" s="1674" t="s">
        <v>7406</v>
      </c>
      <c r="EI13" s="1672" t="s">
        <v>7407</v>
      </c>
      <c r="EJ13" s="1672" t="s">
        <v>6942</v>
      </c>
      <c r="EK13" s="1673" t="s">
        <v>7188</v>
      </c>
      <c r="EL13" s="1673" t="s">
        <v>7189</v>
      </c>
      <c r="EM13" s="464" t="s">
        <v>7408</v>
      </c>
      <c r="EN13" s="1676" t="s">
        <v>7409</v>
      </c>
      <c r="EO13" s="1672" t="s">
        <v>7410</v>
      </c>
      <c r="EP13" s="364" t="s">
        <v>7411</v>
      </c>
      <c r="EQ13" s="364" t="s">
        <v>7412</v>
      </c>
      <c r="ER13" s="1672" t="s">
        <v>7413</v>
      </c>
      <c r="ES13" s="1672" t="s">
        <v>7413</v>
      </c>
      <c r="ET13" s="1673" t="s">
        <v>6762</v>
      </c>
      <c r="EU13" s="464" t="s">
        <v>7266</v>
      </c>
      <c r="EV13" s="1674" t="s">
        <v>7414</v>
      </c>
      <c r="EW13" s="293" t="s">
        <v>7415</v>
      </c>
      <c r="EX13" s="1669" t="s">
        <v>7416</v>
      </c>
      <c r="EY13" s="293" t="s">
        <v>6977</v>
      </c>
      <c r="EZ13" s="364" t="s">
        <v>7078</v>
      </c>
      <c r="FA13" s="364" t="s">
        <v>7417</v>
      </c>
      <c r="FB13" s="364" t="s">
        <v>6768</v>
      </c>
      <c r="FC13" s="1672" t="s">
        <v>7418</v>
      </c>
      <c r="FD13" s="1672" t="s">
        <v>7295</v>
      </c>
      <c r="FE13" s="1672" t="s">
        <v>6981</v>
      </c>
      <c r="FF13" s="1697" t="s">
        <v>7419</v>
      </c>
      <c r="FG13" s="1673" t="s">
        <v>7420</v>
      </c>
      <c r="FH13" s="1673" t="s">
        <v>7421</v>
      </c>
      <c r="FI13" s="1673" t="s">
        <v>6771</v>
      </c>
      <c r="FJ13" s="1671" t="s">
        <v>7422</v>
      </c>
      <c r="FK13" s="1671" t="s">
        <v>6984</v>
      </c>
      <c r="FL13" s="293" t="s">
        <v>7423</v>
      </c>
      <c r="FM13" s="1671" t="s">
        <v>7206</v>
      </c>
      <c r="FN13" s="464" t="s">
        <v>6776</v>
      </c>
      <c r="FO13" s="1672" t="s">
        <v>7267</v>
      </c>
      <c r="FP13" s="1672" t="s">
        <v>7267</v>
      </c>
      <c r="FQ13" s="364"/>
      <c r="FR13" s="1674"/>
      <c r="FS13" s="1674"/>
      <c r="FT13" s="254" t="s">
        <v>7424</v>
      </c>
      <c r="FU13" s="158" t="s">
        <v>6930</v>
      </c>
      <c r="FV13" s="293" t="s">
        <v>7425</v>
      </c>
      <c r="FW13" s="293" t="s">
        <v>7180</v>
      </c>
      <c r="FX13" s="253" t="s">
        <v>7426</v>
      </c>
      <c r="FY13" s="1674" t="s">
        <v>7427</v>
      </c>
      <c r="FZ13" s="364" t="s">
        <v>6570</v>
      </c>
      <c r="GA13" s="1669" t="s">
        <v>6714</v>
      </c>
      <c r="GB13" s="1672" t="s">
        <v>7135</v>
      </c>
      <c r="GC13" s="1672" t="s">
        <v>6991</v>
      </c>
      <c r="GD13" s="1673" t="s">
        <v>7428</v>
      </c>
      <c r="GE13" s="293"/>
      <c r="GF13" s="1674" t="s">
        <v>6934</v>
      </c>
      <c r="GG13" s="293" t="s">
        <v>6934</v>
      </c>
      <c r="GH13" s="1672" t="s">
        <v>6934</v>
      </c>
      <c r="GI13" s="464" t="s">
        <v>7316</v>
      </c>
      <c r="GJ13" s="364" t="s">
        <v>7429</v>
      </c>
      <c r="GK13" s="364" t="s">
        <v>7213</v>
      </c>
      <c r="GL13" s="1671" t="s">
        <v>7430</v>
      </c>
      <c r="GM13" s="1672" t="s">
        <v>7431</v>
      </c>
      <c r="GN13" s="1672" t="s">
        <v>7245</v>
      </c>
      <c r="GO13" s="464" t="s">
        <v>6346</v>
      </c>
      <c r="GP13" s="1676" t="s">
        <v>6935</v>
      </c>
      <c r="GQ13" s="1676" t="s">
        <v>7351</v>
      </c>
      <c r="GR13" s="1674" t="s">
        <v>6614</v>
      </c>
      <c r="GS13" s="1678" t="s">
        <v>7432</v>
      </c>
      <c r="GT13" s="1676"/>
      <c r="GU13" s="1672"/>
      <c r="GV13" s="364" t="s">
        <v>7433</v>
      </c>
      <c r="GW13" s="1675" t="s">
        <v>7434</v>
      </c>
      <c r="GX13" s="464" t="s">
        <v>7434</v>
      </c>
      <c r="GY13" s="364" t="s">
        <v>7191</v>
      </c>
      <c r="GZ13" s="464" t="s">
        <v>6910</v>
      </c>
      <c r="HA13" s="1675" t="s">
        <v>6313</v>
      </c>
      <c r="HB13" s="1674" t="s">
        <v>7435</v>
      </c>
      <c r="HC13" s="464" t="s">
        <v>7435</v>
      </c>
      <c r="HD13" s="1675" t="s">
        <v>7355</v>
      </c>
      <c r="HE13" s="1671" t="s">
        <v>6910</v>
      </c>
      <c r="HF13" s="364" t="s">
        <v>7226</v>
      </c>
      <c r="HG13" s="1672" t="s">
        <v>7436</v>
      </c>
      <c r="HH13" s="1676" t="s">
        <v>7251</v>
      </c>
      <c r="HI13" s="1673" t="s">
        <v>7366</v>
      </c>
      <c r="HJ13" s="1673" t="s">
        <v>7366</v>
      </c>
      <c r="HK13" s="1671" t="s">
        <v>7033</v>
      </c>
      <c r="HL13" s="1671" t="s">
        <v>7033</v>
      </c>
      <c r="HM13" s="1673" t="s">
        <v>7437</v>
      </c>
      <c r="HN13" s="1673" t="s">
        <v>7227</v>
      </c>
      <c r="HO13" s="1674" t="s">
        <v>7438</v>
      </c>
      <c r="HP13" s="1675" t="s">
        <v>7439</v>
      </c>
      <c r="HQ13" s="1671" t="s">
        <v>6797</v>
      </c>
      <c r="HR13" s="1671" t="s">
        <v>7440</v>
      </c>
      <c r="HS13" s="464" t="s">
        <v>6397</v>
      </c>
      <c r="HT13" s="1675" t="s">
        <v>7441</v>
      </c>
      <c r="HU13" s="1676" t="s">
        <v>7442</v>
      </c>
      <c r="HV13" s="1676" t="s">
        <v>7232</v>
      </c>
      <c r="HW13" s="1672" t="s">
        <v>6959</v>
      </c>
      <c r="HX13" s="1672" t="s">
        <v>7173</v>
      </c>
      <c r="HY13" s="1675" t="s">
        <v>7443</v>
      </c>
      <c r="HZ13" s="1671" t="s">
        <v>7406</v>
      </c>
      <c r="IA13" s="1673" t="s">
        <v>7444</v>
      </c>
      <c r="IB13" s="253" t="s">
        <v>7445</v>
      </c>
      <c r="IC13" s="464"/>
      <c r="ID13" s="1673" t="s">
        <v>7391</v>
      </c>
      <c r="IE13" s="1692" t="s">
        <v>7446</v>
      </c>
      <c r="IF13" s="364" t="s">
        <v>6541</v>
      </c>
      <c r="IG13" s="1671" t="s">
        <v>6541</v>
      </c>
      <c r="IH13" s="1674" t="s">
        <v>7447</v>
      </c>
      <c r="II13" s="1674" t="s">
        <v>7395</v>
      </c>
      <c r="IJ13" s="364" t="s">
        <v>7247</v>
      </c>
      <c r="IK13" s="1673" t="s">
        <v>7448</v>
      </c>
      <c r="IL13" s="1672" t="s">
        <v>7050</v>
      </c>
      <c r="IM13" s="293" t="s">
        <v>7449</v>
      </c>
      <c r="IN13" s="1675" t="s">
        <v>7449</v>
      </c>
      <c r="IO13" s="293" t="s">
        <v>6525</v>
      </c>
      <c r="IP13" s="253" t="s">
        <v>7450</v>
      </c>
      <c r="IQ13" s="1671" t="s">
        <v>7450</v>
      </c>
      <c r="IR13" s="293" t="s">
        <v>7451</v>
      </c>
      <c r="IS13" s="293" t="s">
        <v>7452</v>
      </c>
      <c r="IT13" s="293" t="s">
        <v>7453</v>
      </c>
      <c r="IU13" s="293" t="s">
        <v>6807</v>
      </c>
      <c r="IV13" s="1671" t="s">
        <v>7454</v>
      </c>
      <c r="IW13" s="1671" t="s">
        <v>7455</v>
      </c>
      <c r="IX13" s="1671" t="s">
        <v>7021</v>
      </c>
      <c r="IY13" s="1672" t="s">
        <v>7346</v>
      </c>
      <c r="IZ13" s="1672" t="s">
        <v>7456</v>
      </c>
      <c r="JA13" s="1672" t="s">
        <v>7001</v>
      </c>
      <c r="JB13" s="1675" t="s">
        <v>7457</v>
      </c>
      <c r="JC13" s="1675" t="s">
        <v>6418</v>
      </c>
      <c r="JD13" s="1673" t="s">
        <v>7458</v>
      </c>
      <c r="JE13" s="253" t="s">
        <v>6812</v>
      </c>
      <c r="JF13" s="1671"/>
      <c r="JG13" s="253"/>
      <c r="JH13" s="364" t="s">
        <v>7459</v>
      </c>
      <c r="JI13" s="464"/>
      <c r="JJ13" s="293" t="s">
        <v>7460</v>
      </c>
      <c r="JK13" s="293" t="s">
        <v>7319</v>
      </c>
      <c r="JL13" s="293" t="s">
        <v>7461</v>
      </c>
      <c r="JM13" s="293"/>
      <c r="JN13" s="1673"/>
      <c r="JO13" s="1673" t="s">
        <v>7462</v>
      </c>
      <c r="JP13" s="1673"/>
      <c r="JQ13" s="1672" t="s">
        <v>7463</v>
      </c>
      <c r="JR13" s="1672" t="s">
        <v>7201</v>
      </c>
      <c r="JS13" s="253" t="s">
        <v>7464</v>
      </c>
      <c r="JT13" s="364" t="s">
        <v>6887</v>
      </c>
      <c r="JU13" s="253" t="s">
        <v>7465</v>
      </c>
      <c r="JV13" s="253" t="s">
        <v>7466</v>
      </c>
      <c r="JW13" s="253" t="s">
        <v>7031</v>
      </c>
      <c r="JX13" s="1672" t="s">
        <v>7467</v>
      </c>
      <c r="JY13" s="1672" t="s">
        <v>6822</v>
      </c>
      <c r="JZ13" s="1673" t="s">
        <v>7468</v>
      </c>
      <c r="KA13" s="293" t="s">
        <v>6933</v>
      </c>
      <c r="KB13" s="1673" t="s">
        <v>7469</v>
      </c>
      <c r="KC13" s="253" t="s">
        <v>7469</v>
      </c>
      <c r="KD13" s="1673" t="s">
        <v>7469</v>
      </c>
      <c r="KE13" s="1675" t="s">
        <v>7470</v>
      </c>
      <c r="KF13" s="364" t="s">
        <v>7471</v>
      </c>
      <c r="KG13" s="1673" t="s">
        <v>7472</v>
      </c>
      <c r="KH13" s="1674" t="s">
        <v>7473</v>
      </c>
      <c r="KI13" s="1672" t="s">
        <v>7474</v>
      </c>
      <c r="KJ13" s="1672" t="s">
        <v>6829</v>
      </c>
      <c r="KK13" s="364" t="s">
        <v>7475</v>
      </c>
      <c r="KL13" s="1673" t="s">
        <v>7260</v>
      </c>
      <c r="KM13" s="1672" t="s">
        <v>7476</v>
      </c>
      <c r="KN13" s="1675" t="s">
        <v>7426</v>
      </c>
      <c r="KO13" s="1674" t="s">
        <v>7477</v>
      </c>
      <c r="KP13" s="464"/>
      <c r="KQ13" s="464" t="s">
        <v>7478</v>
      </c>
      <c r="KR13" s="1676" t="s">
        <v>7271</v>
      </c>
      <c r="KS13" s="1675" t="s">
        <v>7479</v>
      </c>
      <c r="KT13" s="1675" t="s">
        <v>7480</v>
      </c>
      <c r="KU13" s="1675" t="s">
        <v>6836</v>
      </c>
      <c r="KV13" s="1672" t="s">
        <v>7481</v>
      </c>
      <c r="KW13" s="1671" t="s">
        <v>6837</v>
      </c>
      <c r="KX13" s="293" t="s">
        <v>7265</v>
      </c>
      <c r="KY13" s="364" t="s">
        <v>7265</v>
      </c>
      <c r="KZ13" s="364" t="s">
        <v>7482</v>
      </c>
      <c r="LA13" s="364" t="s">
        <v>7482</v>
      </c>
      <c r="LB13" s="1675" t="s">
        <v>7483</v>
      </c>
      <c r="LC13" s="464" t="s">
        <v>7484</v>
      </c>
      <c r="LD13" s="1669" t="s">
        <v>7485</v>
      </c>
      <c r="LE13" s="293" t="s">
        <v>7486</v>
      </c>
      <c r="LF13" s="464" t="s">
        <v>7046</v>
      </c>
      <c r="LG13" s="1671" t="s">
        <v>7487</v>
      </c>
      <c r="LH13" s="1672" t="s">
        <v>7023</v>
      </c>
      <c r="LI13" s="1672" t="s">
        <v>7488</v>
      </c>
      <c r="LJ13" s="1672" t="s">
        <v>7488</v>
      </c>
      <c r="LK13" s="364" t="s">
        <v>7489</v>
      </c>
      <c r="LL13" s="1671" t="s">
        <v>7489</v>
      </c>
      <c r="LM13" s="1673" t="s">
        <v>7490</v>
      </c>
      <c r="LN13" s="1676" t="s">
        <v>7491</v>
      </c>
      <c r="LO13" s="464" t="s">
        <v>7491</v>
      </c>
      <c r="LP13" s="1673" t="s">
        <v>7492</v>
      </c>
      <c r="LQ13" s="1673" t="s">
        <v>7202</v>
      </c>
      <c r="LR13" s="293" t="s">
        <v>7439</v>
      </c>
      <c r="LS13" s="293" t="s">
        <v>7277</v>
      </c>
      <c r="LT13" s="293" t="s">
        <v>7493</v>
      </c>
      <c r="LU13" s="293" t="s">
        <v>7493</v>
      </c>
      <c r="LV13" s="1672" t="s">
        <v>7325</v>
      </c>
      <c r="LW13" s="1672" t="s">
        <v>7279</v>
      </c>
      <c r="LX13" s="253" t="s">
        <v>7494</v>
      </c>
      <c r="LY13" s="1676" t="s">
        <v>7495</v>
      </c>
      <c r="LZ13" s="364" t="s">
        <v>7282</v>
      </c>
      <c r="MA13" s="1671" t="s">
        <v>7496</v>
      </c>
      <c r="MB13" s="1675" t="s">
        <v>7497</v>
      </c>
      <c r="MC13" s="1672" t="s">
        <v>6943</v>
      </c>
      <c r="MD13" s="1671" t="s">
        <v>7498</v>
      </c>
      <c r="ME13" s="1671" t="s">
        <v>7498</v>
      </c>
      <c r="MF13" s="1673" t="s">
        <v>7499</v>
      </c>
      <c r="MG13" s="1676" t="s">
        <v>7057</v>
      </c>
      <c r="MH13" s="464" t="s">
        <v>7500</v>
      </c>
      <c r="MI13" s="293" t="s">
        <v>7284</v>
      </c>
      <c r="MJ13" s="1675" t="s">
        <v>7501</v>
      </c>
      <c r="MK13" s="1675" t="s">
        <v>6848</v>
      </c>
      <c r="ML13" s="1673"/>
      <c r="MM13" s="1674" t="s">
        <v>7010</v>
      </c>
      <c r="MN13" s="253" t="s">
        <v>7502</v>
      </c>
      <c r="MO13" s="293" t="s">
        <v>6935</v>
      </c>
      <c r="MP13" s="1676" t="s">
        <v>7503</v>
      </c>
      <c r="MQ13" s="1676" t="s">
        <v>7503</v>
      </c>
      <c r="MR13" s="1676" t="s">
        <v>7489</v>
      </c>
      <c r="MS13" s="1676" t="s">
        <v>6452</v>
      </c>
      <c r="MT13" s="293" t="s">
        <v>7504</v>
      </c>
      <c r="MU13" s="1672" t="s">
        <v>7325</v>
      </c>
      <c r="MV13" s="253" t="s">
        <v>6910</v>
      </c>
      <c r="MW13" s="1672"/>
      <c r="MX13" s="1675" t="s">
        <v>7505</v>
      </c>
      <c r="MY13" s="1675" t="s">
        <v>6855</v>
      </c>
      <c r="MZ13" s="1672" t="s">
        <v>7274</v>
      </c>
      <c r="NA13" s="1672" t="s">
        <v>7274</v>
      </c>
      <c r="NB13" s="1672" t="s">
        <v>6756</v>
      </c>
      <c r="NC13" s="1672"/>
      <c r="ND13" s="1672" t="s">
        <v>7506</v>
      </c>
      <c r="NE13" s="1674" t="s">
        <v>7507</v>
      </c>
      <c r="NF13" s="1675" t="s">
        <v>7456</v>
      </c>
      <c r="NG13" s="1674" t="s">
        <v>7508</v>
      </c>
      <c r="NH13" s="1672" t="s">
        <v>7295</v>
      </c>
      <c r="NI13" s="253" t="s">
        <v>7509</v>
      </c>
      <c r="NJ13" s="1672" t="s">
        <v>7069</v>
      </c>
      <c r="NK13" s="1672"/>
      <c r="NL13" s="1672" t="s">
        <v>7510</v>
      </c>
      <c r="NM13" s="1672" t="s">
        <v>6364</v>
      </c>
      <c r="NN13" s="1673" t="s">
        <v>7511</v>
      </c>
      <c r="NO13" s="1672" t="s">
        <v>7511</v>
      </c>
      <c r="NP13" s="1675" t="s">
        <v>6975</v>
      </c>
      <c r="NQ13" s="1671" t="s">
        <v>7512</v>
      </c>
      <c r="NR13" s="1672" t="s">
        <v>7512</v>
      </c>
      <c r="NS13" s="1672" t="s">
        <v>7513</v>
      </c>
      <c r="NT13" s="1671" t="s">
        <v>7514</v>
      </c>
      <c r="NU13" s="293" t="s">
        <v>7515</v>
      </c>
      <c r="NV13" s="364" t="s">
        <v>6904</v>
      </c>
      <c r="NW13" s="1671" t="s">
        <v>7516</v>
      </c>
      <c r="NX13" s="1671" t="s">
        <v>7516</v>
      </c>
      <c r="NY13" s="1671" t="s">
        <v>7516</v>
      </c>
      <c r="NZ13" s="1671" t="s">
        <v>7516</v>
      </c>
      <c r="OA13" s="293" t="s">
        <v>7517</v>
      </c>
      <c r="OB13" s="293" t="s">
        <v>7518</v>
      </c>
      <c r="OC13" s="293" t="s">
        <v>6868</v>
      </c>
      <c r="OD13" s="1673" t="s">
        <v>7519</v>
      </c>
      <c r="OE13" s="1673" t="s">
        <v>7520</v>
      </c>
      <c r="OF13" s="1673" t="s">
        <v>7082</v>
      </c>
      <c r="OG13" s="1672" t="s">
        <v>7521</v>
      </c>
      <c r="OH13" s="1672" t="s">
        <v>7522</v>
      </c>
      <c r="OI13" s="1672" t="s">
        <v>6871</v>
      </c>
      <c r="OJ13" s="1673" t="s">
        <v>7523</v>
      </c>
      <c r="OK13" s="1673" t="s">
        <v>7524</v>
      </c>
      <c r="OL13" s="1673" t="s">
        <v>7085</v>
      </c>
      <c r="OM13" s="1673" t="s">
        <v>7525</v>
      </c>
      <c r="ON13" s="1673" t="s">
        <v>7247</v>
      </c>
      <c r="OO13" s="1671"/>
      <c r="OP13" s="1671" t="s">
        <v>7526</v>
      </c>
      <c r="OQ13" s="1672" t="s">
        <v>7065</v>
      </c>
      <c r="OR13" s="1672" t="s">
        <v>7527</v>
      </c>
      <c r="OS13" s="1672" t="s">
        <v>7313</v>
      </c>
      <c r="OT13" s="293"/>
      <c r="OU13" s="293"/>
      <c r="OV13" s="1672" t="s">
        <v>7528</v>
      </c>
      <c r="OW13" s="1672" t="s">
        <v>7314</v>
      </c>
      <c r="OX13" s="1675" t="s">
        <v>7529</v>
      </c>
      <c r="OY13" s="1675" t="s">
        <v>7314</v>
      </c>
      <c r="OZ13" s="293"/>
      <c r="PA13" s="293" t="s">
        <v>7530</v>
      </c>
      <c r="PB13" s="364" t="s">
        <v>7531</v>
      </c>
      <c r="PC13" s="1674" t="s">
        <v>7093</v>
      </c>
      <c r="PD13" s="364" t="s">
        <v>7532</v>
      </c>
      <c r="PE13" s="364"/>
      <c r="PF13" s="364" t="s">
        <v>7533</v>
      </c>
      <c r="PG13" s="253" t="s">
        <v>7426</v>
      </c>
      <c r="PH13" s="1673" t="s">
        <v>7534</v>
      </c>
      <c r="PI13" s="1673" t="s">
        <v>7535</v>
      </c>
      <c r="PJ13" s="1674" t="s">
        <v>7536</v>
      </c>
      <c r="PK13" s="1674" t="s">
        <v>7537</v>
      </c>
      <c r="PL13" s="464" t="s">
        <v>7538</v>
      </c>
      <c r="PM13" s="464" t="s">
        <v>7538</v>
      </c>
      <c r="PN13" s="464" t="s">
        <v>7316</v>
      </c>
      <c r="PO13" s="464" t="s">
        <v>7539</v>
      </c>
      <c r="PP13" s="464" t="s">
        <v>7320</v>
      </c>
      <c r="PQ13" s="1673" t="s">
        <v>6764</v>
      </c>
      <c r="PR13" s="1673" t="s">
        <v>7099</v>
      </c>
      <c r="PS13" s="1698" t="s">
        <v>7140</v>
      </c>
      <c r="PT13" s="1676" t="s">
        <v>7540</v>
      </c>
      <c r="PU13" s="1675" t="s">
        <v>6910</v>
      </c>
      <c r="PV13" s="1675" t="s">
        <v>6910</v>
      </c>
      <c r="PW13" s="364"/>
      <c r="PX13" s="464" t="s">
        <v>7541</v>
      </c>
      <c r="PY13" s="464" t="s">
        <v>7541</v>
      </c>
      <c r="PZ13" s="293" t="s">
        <v>7542</v>
      </c>
      <c r="QA13" s="293" t="s">
        <v>6615</v>
      </c>
      <c r="QB13" s="1673" t="s">
        <v>7138</v>
      </c>
      <c r="QC13" s="1674" t="s">
        <v>7109</v>
      </c>
      <c r="QD13" s="1674"/>
      <c r="QE13" s="1676" t="s">
        <v>7543</v>
      </c>
      <c r="QF13" s="464" t="s">
        <v>7544</v>
      </c>
      <c r="QG13" s="1672" t="s">
        <v>7545</v>
      </c>
      <c r="QH13" s="1672" t="s">
        <v>7546</v>
      </c>
      <c r="QI13" s="1672" t="s">
        <v>7328</v>
      </c>
      <c r="QJ13" s="1676" t="s">
        <v>7547</v>
      </c>
      <c r="QK13" s="1672" t="s">
        <v>7548</v>
      </c>
      <c r="QL13" s="1672" t="s">
        <v>7549</v>
      </c>
      <c r="QM13" s="1673" t="s">
        <v>7255</v>
      </c>
      <c r="QN13" s="1673" t="s">
        <v>6897</v>
      </c>
      <c r="QO13" s="464" t="s">
        <v>7550</v>
      </c>
      <c r="QP13" s="464" t="s">
        <v>6624</v>
      </c>
      <c r="QQ13" s="1672" t="s">
        <v>7448</v>
      </c>
      <c r="QR13" s="1672" t="s">
        <v>7280</v>
      </c>
      <c r="QS13" s="293" t="s">
        <v>7551</v>
      </c>
      <c r="QT13" s="1672" t="s">
        <v>7552</v>
      </c>
      <c r="QU13" s="1672" t="s">
        <v>6899</v>
      </c>
      <c r="QV13" s="1672" t="s">
        <v>7553</v>
      </c>
      <c r="QW13" s="253" t="s">
        <v>7554</v>
      </c>
      <c r="QX13" s="253" t="s">
        <v>7333</v>
      </c>
      <c r="QY13" s="1676" t="s">
        <v>6583</v>
      </c>
      <c r="QZ13" s="1675" t="s">
        <v>6944</v>
      </c>
      <c r="RA13" s="1674" t="s">
        <v>7393</v>
      </c>
      <c r="RB13" s="1675" t="s">
        <v>7171</v>
      </c>
      <c r="RC13" s="1672" t="s">
        <v>7173</v>
      </c>
      <c r="RD13" s="364" t="s">
        <v>6751</v>
      </c>
      <c r="RE13" s="1671" t="s">
        <v>7180</v>
      </c>
      <c r="RF13" s="253"/>
      <c r="RG13" s="293" t="s">
        <v>6995</v>
      </c>
      <c r="RH13" s="293" t="s">
        <v>7555</v>
      </c>
      <c r="RI13" s="1672" t="s">
        <v>7556</v>
      </c>
      <c r="RJ13" s="464" t="s">
        <v>6397</v>
      </c>
      <c r="RK13" s="1673" t="s">
        <v>7001</v>
      </c>
      <c r="RL13" s="1671" t="s">
        <v>6777</v>
      </c>
      <c r="RM13" s="253" t="s">
        <v>6819</v>
      </c>
      <c r="RN13" s="1675" t="s">
        <v>6832</v>
      </c>
      <c r="RO13" s="1676" t="s">
        <v>6452</v>
      </c>
      <c r="RP13" s="254" t="s">
        <v>7557</v>
      </c>
      <c r="RQ13" s="1671" t="s">
        <v>7558</v>
      </c>
      <c r="RR13" s="1671" t="s">
        <v>7558</v>
      </c>
      <c r="RS13" s="1671" t="s">
        <v>7558</v>
      </c>
      <c r="RT13" s="1671" t="s">
        <v>7558</v>
      </c>
      <c r="RU13" s="1671" t="s">
        <v>7558</v>
      </c>
      <c r="RV13" s="1671" t="s">
        <v>7558</v>
      </c>
      <c r="RW13" s="364" t="s">
        <v>7559</v>
      </c>
      <c r="RX13" s="1674" t="s">
        <v>7559</v>
      </c>
      <c r="RY13" s="1672" t="s">
        <v>7559</v>
      </c>
      <c r="RZ13" s="253" t="s">
        <v>7560</v>
      </c>
      <c r="SA13" s="464" t="s">
        <v>7561</v>
      </c>
      <c r="SB13" s="1673" t="s">
        <v>7562</v>
      </c>
      <c r="SC13" s="253" t="s">
        <v>7335</v>
      </c>
      <c r="SD13" s="1676" t="s">
        <v>7563</v>
      </c>
      <c r="SE13" s="1676" t="s">
        <v>7563</v>
      </c>
      <c r="SF13" s="364" t="s">
        <v>7301</v>
      </c>
      <c r="SG13" s="1672" t="s">
        <v>7564</v>
      </c>
      <c r="SH13" s="1672" t="s">
        <v>7119</v>
      </c>
      <c r="SI13" s="1676" t="s">
        <v>7565</v>
      </c>
      <c r="SJ13" s="293" t="s">
        <v>7566</v>
      </c>
      <c r="SK13" s="293" t="s">
        <v>7566</v>
      </c>
      <c r="SL13" s="1675" t="s">
        <v>7567</v>
      </c>
    </row>
    <row r="14" ht="15.75" customHeight="1">
      <c r="A14" s="1517"/>
      <c r="B14" s="1680" t="s">
        <v>7270</v>
      </c>
      <c r="C14" s="1680" t="s">
        <v>7568</v>
      </c>
      <c r="D14" s="1680" t="s">
        <v>7124</v>
      </c>
      <c r="E14" s="1680" t="s">
        <v>7569</v>
      </c>
      <c r="F14" s="1680" t="s">
        <v>7570</v>
      </c>
      <c r="G14" s="1680" t="s">
        <v>6915</v>
      </c>
      <c r="H14" s="1680" t="s">
        <v>7571</v>
      </c>
      <c r="I14" s="1680" t="s">
        <v>7298</v>
      </c>
      <c r="J14" s="1680" t="s">
        <v>6917</v>
      </c>
      <c r="K14" s="1680"/>
      <c r="L14" s="1680"/>
      <c r="M14" s="1680" t="s">
        <v>7572</v>
      </c>
      <c r="N14" s="1680"/>
      <c r="O14" s="1680"/>
      <c r="P14" s="1686" t="s">
        <v>7573</v>
      </c>
      <c r="Q14" s="1680" t="s">
        <v>7574</v>
      </c>
      <c r="R14" s="1680" t="s">
        <v>7575</v>
      </c>
      <c r="S14" s="1680" t="s">
        <v>6702</v>
      </c>
      <c r="T14" s="1680" t="s">
        <v>7576</v>
      </c>
      <c r="U14" s="1680" t="s">
        <v>7577</v>
      </c>
      <c r="V14" s="1680" t="s">
        <v>7578</v>
      </c>
      <c r="W14" s="1680" t="s">
        <v>6922</v>
      </c>
      <c r="X14" s="1680" t="s">
        <v>7579</v>
      </c>
      <c r="Y14" s="1680" t="s">
        <v>6923</v>
      </c>
      <c r="Z14" s="1680" t="s">
        <v>7241</v>
      </c>
      <c r="AA14" s="1680"/>
      <c r="AB14" s="1680" t="s">
        <v>7580</v>
      </c>
      <c r="AC14" s="1680" t="s">
        <v>7580</v>
      </c>
      <c r="AD14" s="1680" t="s">
        <v>7581</v>
      </c>
      <c r="AE14" s="1680" t="s">
        <v>7582</v>
      </c>
      <c r="AF14" s="1680"/>
      <c r="AG14" s="1680" t="s">
        <v>7581</v>
      </c>
      <c r="AH14" s="1680" t="s">
        <v>7582</v>
      </c>
      <c r="AI14" s="1680"/>
      <c r="AJ14" s="1680" t="s">
        <v>7360</v>
      </c>
      <c r="AK14" s="1680"/>
      <c r="AL14" s="1680" t="s">
        <v>7583</v>
      </c>
      <c r="AM14" s="1680"/>
      <c r="AN14" s="1680" t="s">
        <v>7584</v>
      </c>
      <c r="AO14" s="1680"/>
      <c r="AP14" s="1680" t="s">
        <v>7585</v>
      </c>
      <c r="AQ14" s="1680" t="s">
        <v>7247</v>
      </c>
      <c r="AR14" s="1681" t="s">
        <v>7586</v>
      </c>
      <c r="AS14" s="1681" t="s">
        <v>7587</v>
      </c>
      <c r="AT14" s="1680"/>
      <c r="AU14" s="1680" t="s">
        <v>7588</v>
      </c>
      <c r="AV14" s="1680" t="s">
        <v>7589</v>
      </c>
      <c r="AW14" s="1680" t="s">
        <v>7590</v>
      </c>
      <c r="AX14" s="1680" t="s">
        <v>6998</v>
      </c>
      <c r="AY14" s="1680" t="s">
        <v>7591</v>
      </c>
      <c r="AZ14" s="1680" t="s">
        <v>7591</v>
      </c>
      <c r="BA14" s="1680" t="s">
        <v>7592</v>
      </c>
      <c r="BB14" s="1680" t="s">
        <v>7366</v>
      </c>
      <c r="BC14" s="1680" t="s">
        <v>7593</v>
      </c>
      <c r="BD14" s="1680" t="s">
        <v>7147</v>
      </c>
      <c r="BE14" s="1680" t="s">
        <v>7594</v>
      </c>
      <c r="BF14" s="1680" t="s">
        <v>7594</v>
      </c>
      <c r="BG14" s="1680" t="s">
        <v>7595</v>
      </c>
      <c r="BH14" s="1680"/>
      <c r="BI14" s="1680" t="s">
        <v>7596</v>
      </c>
      <c r="BJ14" s="1680" t="s">
        <v>7597</v>
      </c>
      <c r="BK14" s="1686" t="s">
        <v>7598</v>
      </c>
      <c r="BL14" s="1680"/>
      <c r="BM14" s="1680" t="s">
        <v>7599</v>
      </c>
      <c r="BN14" s="1680" t="s">
        <v>7153</v>
      </c>
      <c r="BO14" s="1680" t="s">
        <v>7600</v>
      </c>
      <c r="BP14" s="1680" t="s">
        <v>7600</v>
      </c>
      <c r="BQ14" s="1680" t="s">
        <v>7154</v>
      </c>
      <c r="BR14" s="1680" t="s">
        <v>7361</v>
      </c>
      <c r="BS14" s="1680" t="s">
        <v>7601</v>
      </c>
      <c r="BT14" s="1680" t="s">
        <v>7602</v>
      </c>
      <c r="BU14" s="1680" t="s">
        <v>7603</v>
      </c>
      <c r="BV14" s="1680" t="s">
        <v>7604</v>
      </c>
      <c r="BW14" s="1680" t="s">
        <v>7605</v>
      </c>
      <c r="BX14" s="1680" t="s">
        <v>7606</v>
      </c>
      <c r="BY14" s="1680" t="s">
        <v>6943</v>
      </c>
      <c r="BZ14" s="1680" t="s">
        <v>7607</v>
      </c>
      <c r="CA14" s="1680" t="s">
        <v>6897</v>
      </c>
      <c r="CB14" s="1680" t="s">
        <v>7317</v>
      </c>
      <c r="CC14" s="1680" t="s">
        <v>7317</v>
      </c>
      <c r="CD14" s="1680" t="s">
        <v>7608</v>
      </c>
      <c r="CE14" s="1680" t="s">
        <v>7608</v>
      </c>
      <c r="CF14" s="1680" t="s">
        <v>6910</v>
      </c>
      <c r="CG14" s="1680" t="s">
        <v>7609</v>
      </c>
      <c r="CH14" s="1680" t="s">
        <v>6206</v>
      </c>
      <c r="CI14" s="1682" t="s">
        <v>7610</v>
      </c>
      <c r="CJ14" s="1682" t="s">
        <v>7610</v>
      </c>
      <c r="CK14" s="1680" t="s">
        <v>7611</v>
      </c>
      <c r="CL14" s="1680" t="s">
        <v>7162</v>
      </c>
      <c r="CM14" s="1680" t="s">
        <v>7612</v>
      </c>
      <c r="CN14" s="1680" t="s">
        <v>7613</v>
      </c>
      <c r="CO14" s="1680" t="s">
        <v>7365</v>
      </c>
      <c r="CP14" s="1680" t="s">
        <v>7365</v>
      </c>
      <c r="CQ14" s="1680" t="s">
        <v>7365</v>
      </c>
      <c r="CR14" s="1680" t="s">
        <v>7104</v>
      </c>
      <c r="CS14" s="1680" t="s">
        <v>7614</v>
      </c>
      <c r="CT14" s="1680" t="s">
        <v>6363</v>
      </c>
      <c r="CU14" s="1680" t="s">
        <v>7346</v>
      </c>
      <c r="CV14" s="1680" t="s">
        <v>6951</v>
      </c>
      <c r="CW14" s="1680" t="s">
        <v>7615</v>
      </c>
      <c r="CX14" s="1680" t="s">
        <v>7615</v>
      </c>
      <c r="CY14" s="1680" t="s">
        <v>7259</v>
      </c>
      <c r="CZ14" s="1680"/>
      <c r="DA14" s="1680" t="s">
        <v>7616</v>
      </c>
      <c r="DB14" s="1680" t="s">
        <v>7616</v>
      </c>
      <c r="DC14" s="1680" t="s">
        <v>7617</v>
      </c>
      <c r="DD14" s="1680" t="s">
        <v>7391</v>
      </c>
      <c r="DE14" s="1680" t="s">
        <v>7618</v>
      </c>
      <c r="DF14" s="1686" t="s">
        <v>7619</v>
      </c>
      <c r="DG14" s="1680" t="s">
        <v>7377</v>
      </c>
      <c r="DH14" s="1680" t="s">
        <v>7620</v>
      </c>
      <c r="DI14" s="1680" t="s">
        <v>7394</v>
      </c>
      <c r="DJ14" s="1680" t="s">
        <v>7621</v>
      </c>
      <c r="DK14" s="1680" t="s">
        <v>7622</v>
      </c>
      <c r="DL14" s="1680" t="s">
        <v>7620</v>
      </c>
      <c r="DM14" s="1680" t="s">
        <v>7578</v>
      </c>
      <c r="DN14" s="1680" t="s">
        <v>7398</v>
      </c>
      <c r="DO14" s="1680" t="s">
        <v>7623</v>
      </c>
      <c r="DP14" s="1680" t="s">
        <v>7399</v>
      </c>
      <c r="DQ14" s="1680" t="s">
        <v>7326</v>
      </c>
      <c r="DR14" s="1680"/>
      <c r="DS14" s="1680" t="s">
        <v>7109</v>
      </c>
      <c r="DT14" s="1680" t="s">
        <v>7541</v>
      </c>
      <c r="DU14" s="1662" t="s">
        <v>7446</v>
      </c>
      <c r="DV14" s="1680" t="s">
        <v>7624</v>
      </c>
      <c r="DW14" s="1680" t="s">
        <v>7625</v>
      </c>
      <c r="DX14" s="1680" t="s">
        <v>6541</v>
      </c>
      <c r="DY14" s="1680" t="s">
        <v>7208</v>
      </c>
      <c r="DZ14" s="1680"/>
      <c r="EA14" s="1680" t="s">
        <v>7626</v>
      </c>
      <c r="EB14" s="1680" t="s">
        <v>7627</v>
      </c>
      <c r="EC14" s="1680"/>
      <c r="ED14" s="1680" t="s">
        <v>7628</v>
      </c>
      <c r="EE14" s="1680" t="s">
        <v>6756</v>
      </c>
      <c r="EF14" s="1680" t="s">
        <v>7629</v>
      </c>
      <c r="EG14" s="1686" t="s">
        <v>7630</v>
      </c>
      <c r="EH14" s="1680" t="s">
        <v>7631</v>
      </c>
      <c r="EI14" s="1680" t="s">
        <v>7603</v>
      </c>
      <c r="EJ14" s="1680" t="s">
        <v>7188</v>
      </c>
      <c r="EK14" s="1680" t="s">
        <v>7632</v>
      </c>
      <c r="EL14" s="1680" t="s">
        <v>7188</v>
      </c>
      <c r="EM14" s="1680" t="s">
        <v>7295</v>
      </c>
      <c r="EN14" s="1680" t="s">
        <v>7633</v>
      </c>
      <c r="EO14" s="1680" t="s">
        <v>7634</v>
      </c>
      <c r="EP14" s="1680" t="s">
        <v>7634</v>
      </c>
      <c r="EQ14" s="1680" t="s">
        <v>7635</v>
      </c>
      <c r="ER14" s="1680" t="s">
        <v>7636</v>
      </c>
      <c r="ES14" s="1680" t="s">
        <v>7637</v>
      </c>
      <c r="ET14" s="1680" t="s">
        <v>6973</v>
      </c>
      <c r="EU14" s="1680" t="s">
        <v>7638</v>
      </c>
      <c r="EV14" s="1680" t="s">
        <v>7639</v>
      </c>
      <c r="EW14" s="1680" t="s">
        <v>7568</v>
      </c>
      <c r="EX14" s="1681" t="s">
        <v>7640</v>
      </c>
      <c r="EY14" s="1686" t="s">
        <v>7199</v>
      </c>
      <c r="EZ14" s="1680" t="s">
        <v>7641</v>
      </c>
      <c r="FA14" s="1680" t="s">
        <v>7642</v>
      </c>
      <c r="FB14" s="1680" t="s">
        <v>6979</v>
      </c>
      <c r="FC14" s="1686" t="s">
        <v>7643</v>
      </c>
      <c r="FD14" s="1680" t="s">
        <v>6965</v>
      </c>
      <c r="FE14" s="1680" t="s">
        <v>7203</v>
      </c>
      <c r="FF14" s="1699" t="s">
        <v>7644</v>
      </c>
      <c r="FG14" s="1686" t="s">
        <v>6653</v>
      </c>
      <c r="FH14" s="1680" t="s">
        <v>7349</v>
      </c>
      <c r="FI14" s="1680" t="s">
        <v>6983</v>
      </c>
      <c r="FJ14" s="1680" t="s">
        <v>7645</v>
      </c>
      <c r="FK14" s="1680" t="s">
        <v>7205</v>
      </c>
      <c r="FL14" s="1680" t="s">
        <v>7495</v>
      </c>
      <c r="FM14" s="1680" t="s">
        <v>7646</v>
      </c>
      <c r="FN14" s="1680" t="s">
        <v>7141</v>
      </c>
      <c r="FO14" s="1680" t="s">
        <v>7615</v>
      </c>
      <c r="FP14" s="1680" t="s">
        <v>7427</v>
      </c>
      <c r="FQ14" s="1680"/>
      <c r="FR14" s="1680"/>
      <c r="FS14" s="1680"/>
      <c r="FT14" s="1682" t="s">
        <v>7647</v>
      </c>
      <c r="FU14" s="1664" t="s">
        <v>7424</v>
      </c>
      <c r="FV14" s="1680" t="s">
        <v>7648</v>
      </c>
      <c r="FW14" s="1680" t="s">
        <v>7649</v>
      </c>
      <c r="FX14" s="1664" t="s">
        <v>7650</v>
      </c>
      <c r="FY14" s="1680" t="s">
        <v>7651</v>
      </c>
      <c r="FZ14" s="1680" t="s">
        <v>6778</v>
      </c>
      <c r="GA14" s="1681" t="s">
        <v>6932</v>
      </c>
      <c r="GB14" s="1680" t="s">
        <v>7652</v>
      </c>
      <c r="GC14" s="1680" t="s">
        <v>7003</v>
      </c>
      <c r="GD14" s="1680" t="s">
        <v>7138</v>
      </c>
      <c r="GE14" s="1680"/>
      <c r="GF14" s="1680" t="s">
        <v>7144</v>
      </c>
      <c r="GG14" s="1680" t="s">
        <v>7144</v>
      </c>
      <c r="GH14" s="1680" t="s">
        <v>7144</v>
      </c>
      <c r="GI14" s="1680" t="s">
        <v>7653</v>
      </c>
      <c r="GJ14" s="1680" t="s">
        <v>7309</v>
      </c>
      <c r="GK14" s="1680" t="s">
        <v>7429</v>
      </c>
      <c r="GL14" s="1680" t="s">
        <v>7654</v>
      </c>
      <c r="GM14" s="1680" t="s">
        <v>7655</v>
      </c>
      <c r="GN14" s="1680" t="s">
        <v>7656</v>
      </c>
      <c r="GO14" s="1680" t="s">
        <v>7231</v>
      </c>
      <c r="GP14" s="1680" t="s">
        <v>6921</v>
      </c>
      <c r="GQ14" s="1680" t="s">
        <v>7657</v>
      </c>
      <c r="GR14" s="1680" t="s">
        <v>7159</v>
      </c>
      <c r="GS14" s="1681" t="s">
        <v>7046</v>
      </c>
      <c r="GT14" s="1680"/>
      <c r="GU14" s="1680"/>
      <c r="GV14" s="1680" t="s">
        <v>6946</v>
      </c>
      <c r="GW14" s="1680" t="s">
        <v>7658</v>
      </c>
      <c r="GX14" s="1680" t="s">
        <v>7658</v>
      </c>
      <c r="GY14" s="1680" t="s">
        <v>7659</v>
      </c>
      <c r="GZ14" s="1680" t="s">
        <v>7660</v>
      </c>
      <c r="HA14" s="1680" t="s">
        <v>6621</v>
      </c>
      <c r="HB14" s="1680" t="s">
        <v>6614</v>
      </c>
      <c r="HC14" s="1680" t="s">
        <v>6614</v>
      </c>
      <c r="HD14" s="1680" t="s">
        <v>7547</v>
      </c>
      <c r="HE14" s="1680" t="s">
        <v>7541</v>
      </c>
      <c r="HF14" s="1680" t="s">
        <v>7661</v>
      </c>
      <c r="HG14" s="1680" t="s">
        <v>6624</v>
      </c>
      <c r="HH14" s="1680" t="s">
        <v>7662</v>
      </c>
      <c r="HI14" s="1680" t="s">
        <v>7592</v>
      </c>
      <c r="HJ14" s="1680" t="s">
        <v>7592</v>
      </c>
      <c r="HK14" s="1680" t="s">
        <v>7299</v>
      </c>
      <c r="HL14" s="1680" t="s">
        <v>7299</v>
      </c>
      <c r="HM14" s="1680" t="s">
        <v>7554</v>
      </c>
      <c r="HN14" s="1680" t="s">
        <v>7437</v>
      </c>
      <c r="HO14" s="1680" t="s">
        <v>7663</v>
      </c>
      <c r="HP14" s="1680" t="s">
        <v>7664</v>
      </c>
      <c r="HQ14" s="1680" t="s">
        <v>6918</v>
      </c>
      <c r="HR14" s="1680" t="s">
        <v>7665</v>
      </c>
      <c r="HS14" s="1680" t="s">
        <v>6614</v>
      </c>
      <c r="HT14" s="1680" t="s">
        <v>6949</v>
      </c>
      <c r="HU14" s="1680" t="s">
        <v>7666</v>
      </c>
      <c r="HV14" s="1680" t="s">
        <v>7442</v>
      </c>
      <c r="HW14" s="1680" t="s">
        <v>7175</v>
      </c>
      <c r="HX14" s="1680" t="s">
        <v>7667</v>
      </c>
      <c r="HY14" s="1680" t="s">
        <v>6921</v>
      </c>
      <c r="HZ14" s="1680" t="s">
        <v>7631</v>
      </c>
      <c r="IA14" s="1680" t="s">
        <v>7528</v>
      </c>
      <c r="IB14" s="1664" t="s">
        <v>7668</v>
      </c>
      <c r="IC14" s="1680"/>
      <c r="ID14" s="1680" t="s">
        <v>7669</v>
      </c>
      <c r="IE14" s="1681" t="s">
        <v>7670</v>
      </c>
      <c r="IF14" s="1680" t="s">
        <v>7624</v>
      </c>
      <c r="IG14" s="1680" t="s">
        <v>7625</v>
      </c>
      <c r="IH14" s="1680" t="s">
        <v>7671</v>
      </c>
      <c r="II14" s="1680" t="s">
        <v>7621</v>
      </c>
      <c r="IJ14" s="1680" t="s">
        <v>7672</v>
      </c>
      <c r="IK14" s="1680" t="s">
        <v>7673</v>
      </c>
      <c r="IL14" s="1680" t="s">
        <v>6753</v>
      </c>
      <c r="IM14" s="1680" t="s">
        <v>7295</v>
      </c>
      <c r="IN14" s="1680" t="s">
        <v>7295</v>
      </c>
      <c r="IO14" s="1680" t="s">
        <v>7016</v>
      </c>
      <c r="IP14" s="1664" t="s">
        <v>7674</v>
      </c>
      <c r="IQ14" s="1680" t="s">
        <v>7674</v>
      </c>
      <c r="IR14" s="1680" t="s">
        <v>7675</v>
      </c>
      <c r="IS14" s="1680" t="s">
        <v>7676</v>
      </c>
      <c r="IT14" s="1680" t="s">
        <v>7677</v>
      </c>
      <c r="IU14" s="1680" t="s">
        <v>6971</v>
      </c>
      <c r="IV14" s="1680" t="s">
        <v>7678</v>
      </c>
      <c r="IW14" s="1680" t="s">
        <v>7679</v>
      </c>
      <c r="IX14" s="1680" t="s">
        <v>7244</v>
      </c>
      <c r="IY14" s="1680" t="s">
        <v>7680</v>
      </c>
      <c r="IZ14" s="1680" t="s">
        <v>7418</v>
      </c>
      <c r="JA14" s="1680" t="s">
        <v>7246</v>
      </c>
      <c r="JB14" s="1680" t="s">
        <v>7681</v>
      </c>
      <c r="JC14" s="1680" t="s">
        <v>6604</v>
      </c>
      <c r="JD14" s="1680" t="s">
        <v>7208</v>
      </c>
      <c r="JE14" s="1664" t="s">
        <v>6792</v>
      </c>
      <c r="JF14" s="1680"/>
      <c r="JG14" s="1664"/>
      <c r="JH14" s="1686" t="s">
        <v>7682</v>
      </c>
      <c r="JI14" s="1680"/>
      <c r="JJ14" s="1680" t="s">
        <v>7683</v>
      </c>
      <c r="JK14" s="1680" t="s">
        <v>7684</v>
      </c>
      <c r="JL14" s="1680" t="s">
        <v>7058</v>
      </c>
      <c r="JM14" s="1680"/>
      <c r="JN14" s="1680"/>
      <c r="JO14" s="1680" t="s">
        <v>7685</v>
      </c>
      <c r="JP14" s="1680"/>
      <c r="JQ14" s="1680" t="s">
        <v>7686</v>
      </c>
      <c r="JR14" s="1680" t="s">
        <v>7574</v>
      </c>
      <c r="JS14" s="1664" t="s">
        <v>7687</v>
      </c>
      <c r="JT14" s="1680" t="s">
        <v>7688</v>
      </c>
      <c r="JU14" s="1664" t="s">
        <v>7689</v>
      </c>
      <c r="JV14" s="1664" t="s">
        <v>7690</v>
      </c>
      <c r="JW14" s="1664" t="s">
        <v>7253</v>
      </c>
      <c r="JX14" s="1680" t="s">
        <v>7691</v>
      </c>
      <c r="JY14" s="1680" t="s">
        <v>6971</v>
      </c>
      <c r="JZ14" s="1680" t="s">
        <v>7318</v>
      </c>
      <c r="KA14" s="1680" t="s">
        <v>7468</v>
      </c>
      <c r="KB14" s="1680" t="s">
        <v>7692</v>
      </c>
      <c r="KC14" s="1664" t="s">
        <v>7692</v>
      </c>
      <c r="KD14" s="1680" t="s">
        <v>7693</v>
      </c>
      <c r="KE14" s="1680" t="s">
        <v>7694</v>
      </c>
      <c r="KF14" s="1680" t="s">
        <v>7695</v>
      </c>
      <c r="KG14" s="1680" t="s">
        <v>7696</v>
      </c>
      <c r="KH14" s="1680" t="s">
        <v>7697</v>
      </c>
      <c r="KI14" s="1680" t="s">
        <v>7698</v>
      </c>
      <c r="KJ14" s="1680" t="s">
        <v>6373</v>
      </c>
      <c r="KK14" s="1680" t="s">
        <v>7699</v>
      </c>
      <c r="KL14" s="1680" t="s">
        <v>7475</v>
      </c>
      <c r="KM14" s="1680" t="s">
        <v>7700</v>
      </c>
      <c r="KN14" s="1680" t="s">
        <v>7701</v>
      </c>
      <c r="KO14" s="1680" t="s">
        <v>7702</v>
      </c>
      <c r="KP14" s="1680"/>
      <c r="KQ14" s="1680" t="s">
        <v>7703</v>
      </c>
      <c r="KR14" s="1680" t="s">
        <v>7704</v>
      </c>
      <c r="KS14" s="1680" t="s">
        <v>7536</v>
      </c>
      <c r="KT14" s="1680" t="s">
        <v>7705</v>
      </c>
      <c r="KU14" s="1680" t="s">
        <v>6968</v>
      </c>
      <c r="KV14" s="1680" t="s">
        <v>7706</v>
      </c>
      <c r="KW14" s="1680" t="s">
        <v>7040</v>
      </c>
      <c r="KX14" s="1680" t="s">
        <v>7707</v>
      </c>
      <c r="KY14" s="1680" t="s">
        <v>7707</v>
      </c>
      <c r="KZ14" s="1680" t="s">
        <v>7426</v>
      </c>
      <c r="LA14" s="1680" t="s">
        <v>7426</v>
      </c>
      <c r="LB14" s="1680" t="s">
        <v>7708</v>
      </c>
      <c r="LC14" s="1686" t="s">
        <v>7709</v>
      </c>
      <c r="LD14" s="1681" t="s">
        <v>7710</v>
      </c>
      <c r="LE14" s="1680" t="s">
        <v>7711</v>
      </c>
      <c r="LF14" s="1680" t="s">
        <v>7712</v>
      </c>
      <c r="LG14" s="1680" t="s">
        <v>7713</v>
      </c>
      <c r="LH14" s="1680" t="s">
        <v>7271</v>
      </c>
      <c r="LI14" s="1680" t="s">
        <v>7714</v>
      </c>
      <c r="LJ14" s="1680" t="s">
        <v>7714</v>
      </c>
      <c r="LK14" s="1680" t="s">
        <v>7715</v>
      </c>
      <c r="LL14" s="1680" t="s">
        <v>7715</v>
      </c>
      <c r="LM14" s="1680" t="s">
        <v>7407</v>
      </c>
      <c r="LN14" s="1680" t="s">
        <v>7650</v>
      </c>
      <c r="LO14" s="1680" t="s">
        <v>7650</v>
      </c>
      <c r="LP14" s="1680" t="s">
        <v>7716</v>
      </c>
      <c r="LQ14" s="1680" t="s">
        <v>7439</v>
      </c>
      <c r="LR14" s="1680" t="s">
        <v>7717</v>
      </c>
      <c r="LS14" s="1680" t="s">
        <v>7439</v>
      </c>
      <c r="LT14" s="1680" t="s">
        <v>7718</v>
      </c>
      <c r="LU14" s="1680" t="s">
        <v>7718</v>
      </c>
      <c r="LV14" s="1680" t="s">
        <v>7719</v>
      </c>
      <c r="LW14" s="1680" t="s">
        <v>7325</v>
      </c>
      <c r="LX14" s="1664" t="s">
        <v>7720</v>
      </c>
      <c r="LY14" s="1680" t="s">
        <v>7721</v>
      </c>
      <c r="LZ14" s="1680" t="s">
        <v>7689</v>
      </c>
      <c r="MA14" s="1680" t="s">
        <v>7722</v>
      </c>
      <c r="MB14" s="1680" t="s">
        <v>7317</v>
      </c>
      <c r="MC14" s="1680" t="s">
        <v>6654</v>
      </c>
      <c r="MD14" s="1680" t="s">
        <v>7723</v>
      </c>
      <c r="ME14" s="1680" t="s">
        <v>7723</v>
      </c>
      <c r="MF14" s="1680" t="s">
        <v>7538</v>
      </c>
      <c r="MG14" s="1680" t="s">
        <v>7258</v>
      </c>
      <c r="MH14" s="1680" t="s">
        <v>7724</v>
      </c>
      <c r="MI14" s="1680" t="s">
        <v>7725</v>
      </c>
      <c r="MJ14" s="1680" t="s">
        <v>7726</v>
      </c>
      <c r="MK14" s="1680" t="s">
        <v>7501</v>
      </c>
      <c r="ML14" s="1680"/>
      <c r="MM14" s="1680" t="s">
        <v>7727</v>
      </c>
      <c r="MN14" s="1664" t="s">
        <v>7728</v>
      </c>
      <c r="MO14" s="1680" t="s">
        <v>7127</v>
      </c>
      <c r="MP14" s="1680" t="s">
        <v>7729</v>
      </c>
      <c r="MQ14" s="1680" t="s">
        <v>7729</v>
      </c>
      <c r="MR14" s="1680" t="s">
        <v>7730</v>
      </c>
      <c r="MS14" s="1680" t="s">
        <v>6642</v>
      </c>
      <c r="MT14" s="1680" t="s">
        <v>7731</v>
      </c>
      <c r="MU14" s="1680" t="s">
        <v>7491</v>
      </c>
      <c r="MV14" s="1664" t="s">
        <v>7541</v>
      </c>
      <c r="MW14" s="1680"/>
      <c r="MX14" s="1680" t="s">
        <v>7732</v>
      </c>
      <c r="MY14" s="1680" t="s">
        <v>7065</v>
      </c>
      <c r="MZ14" s="1680" t="s">
        <v>7733</v>
      </c>
      <c r="NA14" s="1680" t="s">
        <v>7734</v>
      </c>
      <c r="NB14" s="1680" t="s">
        <v>7274</v>
      </c>
      <c r="NC14" s="1680"/>
      <c r="ND14" s="1680" t="s">
        <v>7735</v>
      </c>
      <c r="NE14" s="1680" t="s">
        <v>7603</v>
      </c>
      <c r="NF14" s="1680" t="s">
        <v>7736</v>
      </c>
      <c r="NG14" s="1680" t="s">
        <v>7737</v>
      </c>
      <c r="NH14" s="1680" t="s">
        <v>7509</v>
      </c>
      <c r="NI14" s="1664" t="s">
        <v>7708</v>
      </c>
      <c r="NJ14" s="1680" t="s">
        <v>7295</v>
      </c>
      <c r="NK14" s="1680"/>
      <c r="NL14" s="1680" t="s">
        <v>7738</v>
      </c>
      <c r="NM14" s="1680" t="s">
        <v>7296</v>
      </c>
      <c r="NN14" s="1680" t="s">
        <v>7739</v>
      </c>
      <c r="NO14" s="1680" t="s">
        <v>7739</v>
      </c>
      <c r="NP14" s="1680" t="s">
        <v>7511</v>
      </c>
      <c r="NQ14" s="1680" t="s">
        <v>7740</v>
      </c>
      <c r="NR14" s="1680" t="s">
        <v>7740</v>
      </c>
      <c r="NS14" s="1680" t="s">
        <v>7741</v>
      </c>
      <c r="NT14" s="1680" t="s">
        <v>7742</v>
      </c>
      <c r="NU14" s="1680" t="s">
        <v>7743</v>
      </c>
      <c r="NV14" s="1680" t="s">
        <v>7378</v>
      </c>
      <c r="NW14" s="1680" t="s">
        <v>7744</v>
      </c>
      <c r="NX14" s="1680" t="s">
        <v>7744</v>
      </c>
      <c r="NY14" s="1680" t="s">
        <v>7745</v>
      </c>
      <c r="NZ14" s="1680" t="s">
        <v>7746</v>
      </c>
      <c r="OA14" s="1680" t="s">
        <v>7747</v>
      </c>
      <c r="OB14" s="1680" t="s">
        <v>7748</v>
      </c>
      <c r="OC14" s="1680" t="s">
        <v>7749</v>
      </c>
      <c r="OD14" s="1680" t="s">
        <v>7750</v>
      </c>
      <c r="OE14" s="1680" t="s">
        <v>7391</v>
      </c>
      <c r="OF14" s="1680" t="s">
        <v>7305</v>
      </c>
      <c r="OG14" s="1680" t="s">
        <v>7751</v>
      </c>
      <c r="OH14" s="1680" t="s">
        <v>7752</v>
      </c>
      <c r="OI14" s="1680" t="s">
        <v>6797</v>
      </c>
      <c r="OJ14" s="1680" t="s">
        <v>7680</v>
      </c>
      <c r="OK14" s="1680" t="s">
        <v>7753</v>
      </c>
      <c r="OL14" s="1680" t="s">
        <v>7310</v>
      </c>
      <c r="OM14" s="1680" t="s">
        <v>7754</v>
      </c>
      <c r="ON14" s="1680" t="s">
        <v>7418</v>
      </c>
      <c r="OO14" s="1680"/>
      <c r="OP14" s="1680" t="s">
        <v>7755</v>
      </c>
      <c r="OQ14" s="1680" t="s">
        <v>7756</v>
      </c>
      <c r="OR14" s="1680" t="s">
        <v>7757</v>
      </c>
      <c r="OS14" s="1680" t="s">
        <v>7527</v>
      </c>
      <c r="OT14" s="1680"/>
      <c r="OU14" s="1680"/>
      <c r="OV14" s="1680" t="s">
        <v>7758</v>
      </c>
      <c r="OW14" s="1680" t="s">
        <v>7528</v>
      </c>
      <c r="OX14" s="1680" t="s">
        <v>7759</v>
      </c>
      <c r="OY14" s="1680" t="s">
        <v>7529</v>
      </c>
      <c r="OZ14" s="1680"/>
      <c r="PA14" s="1680" t="s">
        <v>7760</v>
      </c>
      <c r="PB14" s="1700" t="s">
        <v>7761</v>
      </c>
      <c r="PC14" s="1700" t="s">
        <v>7762</v>
      </c>
      <c r="PD14" s="1680" t="s">
        <v>7763</v>
      </c>
      <c r="PE14" s="1680"/>
      <c r="PF14" s="1680" t="s">
        <v>7764</v>
      </c>
      <c r="PG14" s="1664" t="s">
        <v>7609</v>
      </c>
      <c r="PH14" s="1680" t="s">
        <v>7765</v>
      </c>
      <c r="PI14" s="1680" t="s">
        <v>7766</v>
      </c>
      <c r="PJ14" s="1680" t="s">
        <v>7767</v>
      </c>
      <c r="PK14" s="1680" t="s">
        <v>7768</v>
      </c>
      <c r="PL14" s="1680" t="s">
        <v>7603</v>
      </c>
      <c r="PM14" s="1680" t="s">
        <v>7769</v>
      </c>
      <c r="PN14" s="1680" t="s">
        <v>7653</v>
      </c>
      <c r="PO14" s="1680" t="s">
        <v>7770</v>
      </c>
      <c r="PP14" s="1680" t="s">
        <v>7539</v>
      </c>
      <c r="PQ14" s="1680" t="s">
        <v>7397</v>
      </c>
      <c r="PR14" s="1680" t="s">
        <v>7321</v>
      </c>
      <c r="PS14" s="1681"/>
      <c r="PT14" s="1680"/>
      <c r="PU14" s="1680" t="s">
        <v>7771</v>
      </c>
      <c r="PV14" s="1680" t="s">
        <v>7771</v>
      </c>
      <c r="PW14" s="1680"/>
      <c r="PX14" s="1680" t="s">
        <v>7772</v>
      </c>
      <c r="PY14" s="1680" t="s">
        <v>7772</v>
      </c>
      <c r="PZ14" s="1680" t="s">
        <v>7528</v>
      </c>
      <c r="QA14" s="1680" t="s">
        <v>7326</v>
      </c>
      <c r="QB14" s="1680" t="s">
        <v>7773</v>
      </c>
      <c r="QC14" s="1680" t="s">
        <v>7774</v>
      </c>
      <c r="QD14" s="1680"/>
      <c r="QE14" s="1680" t="s">
        <v>7775</v>
      </c>
      <c r="QF14" s="1680" t="s">
        <v>7503</v>
      </c>
      <c r="QG14" s="1680" t="s">
        <v>7776</v>
      </c>
      <c r="QH14" s="1680" t="s">
        <v>7777</v>
      </c>
      <c r="QI14" s="1680" t="s">
        <v>7546</v>
      </c>
      <c r="QJ14" s="1680" t="s">
        <v>7778</v>
      </c>
      <c r="QK14" s="1680" t="s">
        <v>7030</v>
      </c>
      <c r="QL14" s="1680" t="s">
        <v>7779</v>
      </c>
      <c r="QM14" s="1680" t="s">
        <v>7780</v>
      </c>
      <c r="QN14" s="1680" t="s">
        <v>7106</v>
      </c>
      <c r="QO14" s="1680" t="s">
        <v>7696</v>
      </c>
      <c r="QP14" s="1680" t="s">
        <v>7107</v>
      </c>
      <c r="QQ14" s="1680" t="s">
        <v>7591</v>
      </c>
      <c r="QR14" s="1680" t="s">
        <v>7448</v>
      </c>
      <c r="QS14" s="1680" t="s">
        <v>7781</v>
      </c>
      <c r="QT14" s="1680" t="s">
        <v>7782</v>
      </c>
      <c r="QU14" s="1680" t="s">
        <v>7109</v>
      </c>
      <c r="QV14" s="1680" t="s">
        <v>7208</v>
      </c>
      <c r="QW14" s="1664" t="s">
        <v>7783</v>
      </c>
      <c r="QX14" s="1664" t="s">
        <v>7554</v>
      </c>
      <c r="QY14" s="1680" t="s">
        <v>6792</v>
      </c>
      <c r="QZ14" s="1680" t="s">
        <v>7160</v>
      </c>
      <c r="RA14" s="1680" t="s">
        <v>7618</v>
      </c>
      <c r="RB14" s="1680" t="s">
        <v>7394</v>
      </c>
      <c r="RC14" s="1680" t="s">
        <v>7396</v>
      </c>
      <c r="RD14" s="1680" t="s">
        <v>6961</v>
      </c>
      <c r="RE14" s="1680" t="s">
        <v>6541</v>
      </c>
      <c r="RF14" s="1664"/>
      <c r="RG14" s="1680" t="s">
        <v>6887</v>
      </c>
      <c r="RH14" s="1680" t="s">
        <v>7784</v>
      </c>
      <c r="RI14" s="1680" t="s">
        <v>7785</v>
      </c>
      <c r="RJ14" s="1680" t="s">
        <v>7001</v>
      </c>
      <c r="RK14" s="1680" t="s">
        <v>7227</v>
      </c>
      <c r="RL14" s="1680" t="s">
        <v>7406</v>
      </c>
      <c r="RM14" s="1664" t="s">
        <v>7126</v>
      </c>
      <c r="RN14" s="1680" t="s">
        <v>7038</v>
      </c>
      <c r="RO14" s="1680" t="s">
        <v>6642</v>
      </c>
      <c r="RP14" s="1680" t="s">
        <v>7786</v>
      </c>
      <c r="RQ14" s="1680" t="s">
        <v>7787</v>
      </c>
      <c r="RR14" s="1680" t="s">
        <v>7787</v>
      </c>
      <c r="RS14" s="1680" t="s">
        <v>7787</v>
      </c>
      <c r="RT14" s="1680" t="s">
        <v>7787</v>
      </c>
      <c r="RU14" s="1680" t="s">
        <v>7787</v>
      </c>
      <c r="RV14" s="1680" t="s">
        <v>7787</v>
      </c>
      <c r="RW14" s="1680" t="s">
        <v>7788</v>
      </c>
      <c r="RX14" s="1680" t="s">
        <v>7789</v>
      </c>
      <c r="RY14" s="1680" t="s">
        <v>7790</v>
      </c>
      <c r="RZ14" s="1664" t="s">
        <v>7791</v>
      </c>
      <c r="SA14" s="1680" t="s">
        <v>7791</v>
      </c>
      <c r="SB14" s="1680" t="s">
        <v>7792</v>
      </c>
      <c r="SC14" s="1664" t="s">
        <v>7793</v>
      </c>
      <c r="SD14" s="1680" t="s">
        <v>7791</v>
      </c>
      <c r="SE14" s="1680" t="s">
        <v>7791</v>
      </c>
      <c r="SF14" s="1680" t="s">
        <v>7794</v>
      </c>
      <c r="SG14" s="1680" t="s">
        <v>7795</v>
      </c>
      <c r="SH14" s="1680" t="s">
        <v>7340</v>
      </c>
      <c r="SI14" s="1680" t="s">
        <v>7796</v>
      </c>
      <c r="SJ14" s="1680" t="s">
        <v>7792</v>
      </c>
      <c r="SK14" s="1680" t="s">
        <v>7797</v>
      </c>
      <c r="SL14" s="1680" t="s">
        <v>7798</v>
      </c>
    </row>
    <row r="15" ht="15.75" customHeight="1">
      <c r="A15" s="1517"/>
      <c r="B15" s="293" t="s">
        <v>7530</v>
      </c>
      <c r="C15" s="293" t="s">
        <v>7769</v>
      </c>
      <c r="D15" s="293" t="s">
        <v>7171</v>
      </c>
      <c r="E15" s="1671" t="s">
        <v>7799</v>
      </c>
      <c r="F15" s="1671" t="s">
        <v>7777</v>
      </c>
      <c r="G15" s="1671" t="s">
        <v>7125</v>
      </c>
      <c r="H15" s="1672" t="s">
        <v>7800</v>
      </c>
      <c r="I15" s="1672" t="s">
        <v>7801</v>
      </c>
      <c r="J15" s="1672" t="s">
        <v>6911</v>
      </c>
      <c r="K15" s="293"/>
      <c r="L15" s="293"/>
      <c r="M15" s="420" t="s">
        <v>7802</v>
      </c>
      <c r="N15" s="1673"/>
      <c r="O15" s="364"/>
      <c r="P15" s="1701" t="s">
        <v>7803</v>
      </c>
      <c r="Q15" s="1673" t="s">
        <v>7804</v>
      </c>
      <c r="R15" s="1673" t="s">
        <v>7805</v>
      </c>
      <c r="S15" s="1673" t="s">
        <v>6920</v>
      </c>
      <c r="T15" s="464" t="s">
        <v>7806</v>
      </c>
      <c r="U15" s="1673" t="s">
        <v>7807</v>
      </c>
      <c r="V15" s="1673" t="s">
        <v>7808</v>
      </c>
      <c r="W15" s="1673" t="s">
        <v>7809</v>
      </c>
      <c r="X15" s="464" t="s">
        <v>7810</v>
      </c>
      <c r="Y15" s="464" t="s">
        <v>7247</v>
      </c>
      <c r="Z15" s="364" t="s">
        <v>7811</v>
      </c>
      <c r="AA15" s="364"/>
      <c r="AB15" s="364" t="s">
        <v>7366</v>
      </c>
      <c r="AC15" s="364" t="s">
        <v>7494</v>
      </c>
      <c r="AD15" s="1672" t="s">
        <v>7812</v>
      </c>
      <c r="AE15" s="1672" t="s">
        <v>7813</v>
      </c>
      <c r="AF15" s="1672"/>
      <c r="AG15" s="464" t="s">
        <v>7812</v>
      </c>
      <c r="AH15" s="464" t="s">
        <v>7813</v>
      </c>
      <c r="AI15" s="464"/>
      <c r="AJ15" s="1674" t="s">
        <v>7814</v>
      </c>
      <c r="AK15" s="1674"/>
      <c r="AL15" s="1673" t="s">
        <v>7552</v>
      </c>
      <c r="AM15" s="364"/>
      <c r="AN15" s="1674" t="s">
        <v>7815</v>
      </c>
      <c r="AO15" s="1674"/>
      <c r="AP15" s="464" t="s">
        <v>7607</v>
      </c>
      <c r="AQ15" s="464" t="s">
        <v>7601</v>
      </c>
      <c r="AR15" s="1672" t="s">
        <v>7318</v>
      </c>
      <c r="AS15" s="1672" t="s">
        <v>7816</v>
      </c>
      <c r="AT15" s="1671"/>
      <c r="AU15" s="1671" t="s">
        <v>7817</v>
      </c>
      <c r="AV15" s="1671" t="s">
        <v>7818</v>
      </c>
      <c r="AW15" s="464" t="s">
        <v>7819</v>
      </c>
      <c r="AX15" s="464" t="s">
        <v>7590</v>
      </c>
      <c r="AY15" s="1673" t="s">
        <v>7820</v>
      </c>
      <c r="AZ15" s="1673" t="s">
        <v>7821</v>
      </c>
      <c r="BA15" s="364" t="s">
        <v>7822</v>
      </c>
      <c r="BB15" s="364" t="s">
        <v>7592</v>
      </c>
      <c r="BC15" s="364" t="s">
        <v>7782</v>
      </c>
      <c r="BD15" s="1672" t="s">
        <v>7367</v>
      </c>
      <c r="BE15" s="1673" t="s">
        <v>7823</v>
      </c>
      <c r="BF15" s="1673" t="s">
        <v>7823</v>
      </c>
      <c r="BG15" s="1673" t="s">
        <v>7251</v>
      </c>
      <c r="BH15" s="1673"/>
      <c r="BI15" s="1672" t="s">
        <v>7824</v>
      </c>
      <c r="BJ15" s="1672" t="s">
        <v>7825</v>
      </c>
      <c r="BK15" s="1702" t="s">
        <v>7826</v>
      </c>
      <c r="BL15" s="1673"/>
      <c r="BM15" s="1673" t="s">
        <v>7827</v>
      </c>
      <c r="BN15" s="1673" t="s">
        <v>7372</v>
      </c>
      <c r="BO15" s="1675" t="s">
        <v>7828</v>
      </c>
      <c r="BP15" s="1675" t="s">
        <v>7793</v>
      </c>
      <c r="BQ15" s="1675" t="s">
        <v>7373</v>
      </c>
      <c r="BR15" s="293" t="s">
        <v>7829</v>
      </c>
      <c r="BS15" s="293" t="s">
        <v>7582</v>
      </c>
      <c r="BT15" s="293" t="s">
        <v>7830</v>
      </c>
      <c r="BU15" s="1672" t="s">
        <v>7831</v>
      </c>
      <c r="BV15" s="1672" t="s">
        <v>7832</v>
      </c>
      <c r="BW15" s="1673" t="s">
        <v>7833</v>
      </c>
      <c r="BX15" s="1673" t="s">
        <v>7834</v>
      </c>
      <c r="BY15" s="1673" t="s">
        <v>7157</v>
      </c>
      <c r="BZ15" s="364" t="s">
        <v>7835</v>
      </c>
      <c r="CA15" s="364" t="s">
        <v>7158</v>
      </c>
      <c r="CB15" s="1674" t="s">
        <v>7836</v>
      </c>
      <c r="CC15" s="1674" t="s">
        <v>7836</v>
      </c>
      <c r="CD15" s="1675" t="s">
        <v>7624</v>
      </c>
      <c r="CE15" s="1675" t="s">
        <v>7624</v>
      </c>
      <c r="CF15" s="1673" t="s">
        <v>7541</v>
      </c>
      <c r="CG15" s="1673" t="s">
        <v>7837</v>
      </c>
      <c r="CH15" s="1673" t="s">
        <v>7380</v>
      </c>
      <c r="CI15" s="254" t="s">
        <v>7838</v>
      </c>
      <c r="CJ15" s="254" t="s">
        <v>7838</v>
      </c>
      <c r="CK15" s="464" t="s">
        <v>7375</v>
      </c>
      <c r="CL15" s="464" t="s">
        <v>7382</v>
      </c>
      <c r="CM15" s="464" t="s">
        <v>7839</v>
      </c>
      <c r="CN15" s="464"/>
      <c r="CO15" s="464" t="s">
        <v>7770</v>
      </c>
      <c r="CP15" s="464" t="s">
        <v>7840</v>
      </c>
      <c r="CQ15" s="464" t="s">
        <v>7840</v>
      </c>
      <c r="CR15" s="1675" t="s">
        <v>7376</v>
      </c>
      <c r="CS15" s="364" t="s">
        <v>7841</v>
      </c>
      <c r="CT15" s="364" t="s">
        <v>7386</v>
      </c>
      <c r="CU15" s="1671" t="s">
        <v>7842</v>
      </c>
      <c r="CV15" s="1671" t="s">
        <v>7164</v>
      </c>
      <c r="CW15" s="1671" t="s">
        <v>7460</v>
      </c>
      <c r="CX15" s="1671" t="s">
        <v>7843</v>
      </c>
      <c r="CY15" s="1674" t="s">
        <v>7844</v>
      </c>
      <c r="CZ15" s="364"/>
      <c r="DA15" s="1673" t="s">
        <v>7845</v>
      </c>
      <c r="DB15" s="1673" t="s">
        <v>7846</v>
      </c>
      <c r="DC15" s="1673" t="s">
        <v>7847</v>
      </c>
      <c r="DD15" s="1673" t="s">
        <v>7669</v>
      </c>
      <c r="DE15" s="1674" t="s">
        <v>7848</v>
      </c>
      <c r="DF15" s="1698" t="s">
        <v>7849</v>
      </c>
      <c r="DG15" s="464" t="s">
        <v>7619</v>
      </c>
      <c r="DH15" s="1675" t="s">
        <v>7850</v>
      </c>
      <c r="DI15" s="1675" t="s">
        <v>7620</v>
      </c>
      <c r="DJ15" s="1674" t="s">
        <v>7162</v>
      </c>
      <c r="DK15" s="1672" t="s">
        <v>7851</v>
      </c>
      <c r="DL15" s="1673" t="s">
        <v>7255</v>
      </c>
      <c r="DM15" s="1672" t="s">
        <v>7603</v>
      </c>
      <c r="DN15" s="1672" t="s">
        <v>7578</v>
      </c>
      <c r="DO15" s="1671" t="s">
        <v>7251</v>
      </c>
      <c r="DP15" s="1671" t="s">
        <v>7623</v>
      </c>
      <c r="DQ15" s="1673" t="s">
        <v>7852</v>
      </c>
      <c r="DR15" s="464"/>
      <c r="DS15" s="1674" t="s">
        <v>7774</v>
      </c>
      <c r="DT15" s="293" t="s">
        <v>7853</v>
      </c>
      <c r="DU15" s="1671" t="s">
        <v>7670</v>
      </c>
      <c r="DV15" s="364" t="s">
        <v>7854</v>
      </c>
      <c r="DW15" s="1671" t="s">
        <v>7855</v>
      </c>
      <c r="DX15" s="1673" t="s">
        <v>7573</v>
      </c>
      <c r="DY15" s="1673" t="s">
        <v>7509</v>
      </c>
      <c r="DZ15" s="1671"/>
      <c r="EA15" s="1672" t="s">
        <v>7856</v>
      </c>
      <c r="EB15" s="1672" t="s">
        <v>7857</v>
      </c>
      <c r="EC15" s="464"/>
      <c r="ED15" s="1673" t="s">
        <v>7858</v>
      </c>
      <c r="EE15" s="1672" t="s">
        <v>6907</v>
      </c>
      <c r="EF15" s="364" t="s">
        <v>7704</v>
      </c>
      <c r="EG15" s="1703" t="s">
        <v>7859</v>
      </c>
      <c r="EH15" s="1674" t="s">
        <v>7860</v>
      </c>
      <c r="EI15" s="1672" t="s">
        <v>7861</v>
      </c>
      <c r="EJ15" s="1672" t="s">
        <v>7407</v>
      </c>
      <c r="EK15" s="1673" t="s">
        <v>7862</v>
      </c>
      <c r="EL15" s="1673" t="s">
        <v>7632</v>
      </c>
      <c r="EM15" s="464" t="s">
        <v>7863</v>
      </c>
      <c r="EN15" s="1676" t="s">
        <v>7864</v>
      </c>
      <c r="EO15" s="1672" t="s">
        <v>7865</v>
      </c>
      <c r="EP15" s="364" t="s">
        <v>7866</v>
      </c>
      <c r="EQ15" s="364" t="s">
        <v>7867</v>
      </c>
      <c r="ER15" s="1672" t="s">
        <v>7868</v>
      </c>
      <c r="ES15" s="1672" t="s">
        <v>7869</v>
      </c>
      <c r="ET15" s="1673" t="s">
        <v>7195</v>
      </c>
      <c r="EU15" s="464" t="s">
        <v>7870</v>
      </c>
      <c r="EV15" s="1674" t="s">
        <v>7871</v>
      </c>
      <c r="EW15" s="293" t="s">
        <v>7872</v>
      </c>
      <c r="EX15" s="293" t="s">
        <v>7873</v>
      </c>
      <c r="EY15" s="1669" t="s">
        <v>7416</v>
      </c>
      <c r="EZ15" s="364" t="s">
        <v>7874</v>
      </c>
      <c r="FA15" s="364" t="s">
        <v>7875</v>
      </c>
      <c r="FB15" s="364" t="s">
        <v>7201</v>
      </c>
      <c r="FC15" s="1702" t="s">
        <v>7876</v>
      </c>
      <c r="FD15" s="1672" t="s">
        <v>7877</v>
      </c>
      <c r="FE15" s="1672" t="s">
        <v>7295</v>
      </c>
      <c r="FF15" s="1673" t="s">
        <v>6975</v>
      </c>
      <c r="FG15" s="1697" t="s">
        <v>7859</v>
      </c>
      <c r="FH15" s="1673" t="s">
        <v>7878</v>
      </c>
      <c r="FI15" s="1673" t="s">
        <v>7089</v>
      </c>
      <c r="FJ15" s="1671" t="s">
        <v>7879</v>
      </c>
      <c r="FK15" s="1671" t="s">
        <v>7422</v>
      </c>
      <c r="FL15" s="293" t="s">
        <v>7880</v>
      </c>
      <c r="FM15" s="1671" t="s">
        <v>7881</v>
      </c>
      <c r="FN15" s="464" t="s">
        <v>7247</v>
      </c>
      <c r="FO15" s="1672" t="s">
        <v>7882</v>
      </c>
      <c r="FP15" s="1672" t="s">
        <v>7883</v>
      </c>
      <c r="FQ15" s="364"/>
      <c r="FR15" s="1674"/>
      <c r="FS15" s="1674"/>
      <c r="FT15" s="254" t="s">
        <v>7884</v>
      </c>
      <c r="FU15" s="253" t="s">
        <v>7647</v>
      </c>
      <c r="FV15" s="293" t="s">
        <v>7885</v>
      </c>
      <c r="FW15" s="293" t="s">
        <v>7886</v>
      </c>
      <c r="FX15" s="253" t="s">
        <v>7887</v>
      </c>
      <c r="FY15" s="1674" t="s">
        <v>7888</v>
      </c>
      <c r="FZ15" s="364" t="s">
        <v>6990</v>
      </c>
      <c r="GA15" s="293" t="s">
        <v>7143</v>
      </c>
      <c r="GB15" s="1672" t="s">
        <v>7889</v>
      </c>
      <c r="GC15" s="1672" t="s">
        <v>7890</v>
      </c>
      <c r="GD15" s="1673" t="s">
        <v>7773</v>
      </c>
      <c r="GE15" s="293"/>
      <c r="GF15" s="1674" t="s">
        <v>6736</v>
      </c>
      <c r="GG15" s="293" t="s">
        <v>6736</v>
      </c>
      <c r="GH15" s="1672" t="s">
        <v>6736</v>
      </c>
      <c r="GI15" s="464" t="s">
        <v>7891</v>
      </c>
      <c r="GJ15" s="364" t="s">
        <v>7892</v>
      </c>
      <c r="GK15" s="364" t="s">
        <v>7893</v>
      </c>
      <c r="GL15" s="1671" t="s">
        <v>7609</v>
      </c>
      <c r="GM15" s="1672" t="s">
        <v>7894</v>
      </c>
      <c r="GN15" s="1672" t="s">
        <v>7255</v>
      </c>
      <c r="GO15" s="464" t="s">
        <v>7114</v>
      </c>
      <c r="GP15" s="1676" t="s">
        <v>7180</v>
      </c>
      <c r="GQ15" s="1676" t="s">
        <v>7895</v>
      </c>
      <c r="GR15" s="1674" t="s">
        <v>7378</v>
      </c>
      <c r="GS15" s="1675" t="s">
        <v>7770</v>
      </c>
      <c r="GT15" s="1676"/>
      <c r="GU15" s="1672"/>
      <c r="GV15" s="364" t="s">
        <v>6206</v>
      </c>
      <c r="GW15" s="1675" t="s">
        <v>7896</v>
      </c>
      <c r="GX15" s="464" t="s">
        <v>7896</v>
      </c>
      <c r="GY15" s="364" t="s">
        <v>7897</v>
      </c>
      <c r="GZ15" s="464" t="s">
        <v>7898</v>
      </c>
      <c r="HA15" s="1675" t="s">
        <v>6744</v>
      </c>
      <c r="HB15" s="1674" t="s">
        <v>7899</v>
      </c>
      <c r="HC15" s="464" t="s">
        <v>7899</v>
      </c>
      <c r="HD15" s="1675" t="s">
        <v>7900</v>
      </c>
      <c r="HE15" s="1671" t="s">
        <v>7853</v>
      </c>
      <c r="HF15" s="364" t="s">
        <v>7901</v>
      </c>
      <c r="HG15" s="1672" t="s">
        <v>7902</v>
      </c>
      <c r="HH15" s="1676" t="s">
        <v>7903</v>
      </c>
      <c r="HI15" s="1673" t="s">
        <v>7656</v>
      </c>
      <c r="HJ15" s="1673" t="s">
        <v>7656</v>
      </c>
      <c r="HK15" s="1671" t="s">
        <v>7904</v>
      </c>
      <c r="HL15" s="1671" t="s">
        <v>7905</v>
      </c>
      <c r="HM15" s="1673" t="s">
        <v>7536</v>
      </c>
      <c r="HN15" s="1673" t="s">
        <v>7554</v>
      </c>
      <c r="HO15" s="1674" t="s">
        <v>7906</v>
      </c>
      <c r="HP15" s="1675" t="s">
        <v>7907</v>
      </c>
      <c r="HQ15" s="1671" t="s">
        <v>7908</v>
      </c>
      <c r="HR15" s="1671" t="s">
        <v>7909</v>
      </c>
      <c r="HS15" s="464" t="s">
        <v>6959</v>
      </c>
      <c r="HT15" s="1675" t="s">
        <v>7910</v>
      </c>
      <c r="HU15" s="1676" t="s">
        <v>7620</v>
      </c>
      <c r="HV15" s="1676" t="s">
        <v>7911</v>
      </c>
      <c r="HW15" s="1672" t="s">
        <v>7398</v>
      </c>
      <c r="HX15" s="1672" t="s">
        <v>7208</v>
      </c>
      <c r="HY15" s="1675" t="s">
        <v>7667</v>
      </c>
      <c r="HZ15" s="1671" t="s">
        <v>7860</v>
      </c>
      <c r="IA15" s="1673" t="s">
        <v>7912</v>
      </c>
      <c r="IB15" s="253" t="s">
        <v>7913</v>
      </c>
      <c r="IC15" s="464"/>
      <c r="ID15" s="1673" t="s">
        <v>7847</v>
      </c>
      <c r="IE15" s="1674" t="s">
        <v>7914</v>
      </c>
      <c r="IF15" s="364" t="s">
        <v>7915</v>
      </c>
      <c r="IG15" s="1671" t="s">
        <v>7916</v>
      </c>
      <c r="IH15" s="1674" t="s">
        <v>7917</v>
      </c>
      <c r="II15" s="1674" t="s">
        <v>7162</v>
      </c>
      <c r="IJ15" s="364" t="s">
        <v>7918</v>
      </c>
      <c r="IK15" s="1673" t="s">
        <v>7919</v>
      </c>
      <c r="IL15" s="1672" t="s">
        <v>7634</v>
      </c>
      <c r="IM15" s="293" t="s">
        <v>7718</v>
      </c>
      <c r="IN15" s="1675" t="s">
        <v>7718</v>
      </c>
      <c r="IO15" s="293" t="s">
        <v>6968</v>
      </c>
      <c r="IP15" s="253" t="s">
        <v>7920</v>
      </c>
      <c r="IQ15" s="1671" t="s">
        <v>7920</v>
      </c>
      <c r="IR15" s="293" t="s">
        <v>7920</v>
      </c>
      <c r="IS15" s="293" t="s">
        <v>7760</v>
      </c>
      <c r="IT15" s="293" t="s">
        <v>7921</v>
      </c>
      <c r="IU15" s="293" t="s">
        <v>7242</v>
      </c>
      <c r="IV15" s="1671" t="s">
        <v>7922</v>
      </c>
      <c r="IW15" s="1671" t="s">
        <v>7905</v>
      </c>
      <c r="IX15" s="1671" t="s">
        <v>7455</v>
      </c>
      <c r="IY15" s="1672" t="s">
        <v>7761</v>
      </c>
      <c r="IZ15" s="1672" t="s">
        <v>7708</v>
      </c>
      <c r="JA15" s="1672" t="s">
        <v>7456</v>
      </c>
      <c r="JB15" s="1675" t="s">
        <v>7923</v>
      </c>
      <c r="JC15" s="1675" t="s">
        <v>6811</v>
      </c>
      <c r="JD15" s="1673" t="s">
        <v>7924</v>
      </c>
      <c r="JE15" s="253" t="s">
        <v>7248</v>
      </c>
      <c r="JF15" s="1671"/>
      <c r="JG15" s="253"/>
      <c r="JH15" s="1704" t="s">
        <v>7925</v>
      </c>
      <c r="JI15" s="464"/>
      <c r="JJ15" s="293" t="s">
        <v>7926</v>
      </c>
      <c r="JK15" s="293" t="s">
        <v>7927</v>
      </c>
      <c r="JL15" s="293" t="s">
        <v>7928</v>
      </c>
      <c r="JM15" s="293"/>
      <c r="JN15" s="1673"/>
      <c r="JO15" s="1673" t="s">
        <v>7929</v>
      </c>
      <c r="JP15" s="1673"/>
      <c r="JQ15" s="1672" t="s">
        <v>7930</v>
      </c>
      <c r="JR15" s="1672" t="s">
        <v>7931</v>
      </c>
      <c r="JS15" s="253" t="s">
        <v>7686</v>
      </c>
      <c r="JT15" s="364" t="s">
        <v>7932</v>
      </c>
      <c r="JU15" s="254" t="s">
        <v>7933</v>
      </c>
      <c r="JV15" s="254" t="s">
        <v>7934</v>
      </c>
      <c r="JW15" s="253" t="s">
        <v>7466</v>
      </c>
      <c r="JX15" s="1672" t="s">
        <v>7935</v>
      </c>
      <c r="JY15" s="1672" t="s">
        <v>6814</v>
      </c>
      <c r="JZ15" s="1673" t="s">
        <v>7588</v>
      </c>
      <c r="KA15" s="293" t="s">
        <v>7936</v>
      </c>
      <c r="KB15" s="1673" t="s">
        <v>7937</v>
      </c>
      <c r="KC15" s="253" t="s">
        <v>7938</v>
      </c>
      <c r="KD15" s="1673" t="s">
        <v>7692</v>
      </c>
      <c r="KE15" s="1675" t="s">
        <v>7939</v>
      </c>
      <c r="KF15" s="364" t="s">
        <v>7940</v>
      </c>
      <c r="KG15" s="1673" t="s">
        <v>7941</v>
      </c>
      <c r="KH15" s="1674" t="s">
        <v>7942</v>
      </c>
      <c r="KI15" s="1672" t="s">
        <v>7943</v>
      </c>
      <c r="KJ15" s="1672" t="s">
        <v>7259</v>
      </c>
      <c r="KK15" s="364" t="s">
        <v>7944</v>
      </c>
      <c r="KL15" s="1673" t="s">
        <v>7699</v>
      </c>
      <c r="KM15" s="1672"/>
      <c r="KN15" s="1675" t="s">
        <v>7945</v>
      </c>
      <c r="KO15" s="1674" t="s">
        <v>7946</v>
      </c>
      <c r="KP15" s="464"/>
      <c r="KQ15" s="464" t="s">
        <v>7947</v>
      </c>
      <c r="KR15" s="1676" t="s">
        <v>7125</v>
      </c>
      <c r="KS15" s="1675" t="s">
        <v>7948</v>
      </c>
      <c r="KT15" s="1675" t="s">
        <v>7949</v>
      </c>
      <c r="KU15" s="1675" t="s">
        <v>7265</v>
      </c>
      <c r="KV15" s="1672" t="s">
        <v>7950</v>
      </c>
      <c r="KW15" s="1671" t="s">
        <v>7266</v>
      </c>
      <c r="KX15" s="293" t="s">
        <v>7951</v>
      </c>
      <c r="KY15" s="364" t="s">
        <v>7951</v>
      </c>
      <c r="KZ15" s="364" t="s">
        <v>7952</v>
      </c>
      <c r="LA15" s="364" t="s">
        <v>7952</v>
      </c>
      <c r="LB15" s="1675" t="s">
        <v>7953</v>
      </c>
      <c r="LC15" s="1698" t="s">
        <v>7954</v>
      </c>
      <c r="LD15" s="293" t="s">
        <v>7550</v>
      </c>
      <c r="LE15" s="293" t="s">
        <v>7955</v>
      </c>
      <c r="LF15" s="464" t="s">
        <v>7956</v>
      </c>
      <c r="LG15" s="1671" t="s">
        <v>7957</v>
      </c>
      <c r="LH15" s="1672" t="s">
        <v>7487</v>
      </c>
      <c r="LI15" s="1672" t="s">
        <v>7924</v>
      </c>
      <c r="LJ15" s="1672" t="s">
        <v>7924</v>
      </c>
      <c r="LK15" s="364" t="s">
        <v>7905</v>
      </c>
      <c r="LL15" s="1671" t="s">
        <v>7958</v>
      </c>
      <c r="LM15" s="1673" t="s">
        <v>7959</v>
      </c>
      <c r="LN15" s="1676" t="s">
        <v>7960</v>
      </c>
      <c r="LO15" s="464" t="s">
        <v>7960</v>
      </c>
      <c r="LP15" s="1673" t="s">
        <v>7961</v>
      </c>
      <c r="LQ15" s="1673" t="s">
        <v>7959</v>
      </c>
      <c r="LR15" s="293" t="s">
        <v>7959</v>
      </c>
      <c r="LS15" s="293" t="s">
        <v>7717</v>
      </c>
      <c r="LT15" s="293" t="s">
        <v>7962</v>
      </c>
      <c r="LU15" s="293" t="s">
        <v>7962</v>
      </c>
      <c r="LV15" s="1672" t="s">
        <v>7536</v>
      </c>
      <c r="LW15" s="1672" t="s">
        <v>7719</v>
      </c>
      <c r="LX15" s="253" t="s">
        <v>7963</v>
      </c>
      <c r="LY15" s="1676" t="s">
        <v>7964</v>
      </c>
      <c r="LZ15" s="364" t="s">
        <v>7722</v>
      </c>
      <c r="MA15" s="1671" t="s">
        <v>7965</v>
      </c>
      <c r="MB15" s="1675" t="s">
        <v>7538</v>
      </c>
      <c r="MC15" s="1672" t="s">
        <v>7497</v>
      </c>
      <c r="MD15" s="1671" t="s">
        <v>7966</v>
      </c>
      <c r="ME15" s="1671" t="s">
        <v>7966</v>
      </c>
      <c r="MF15" s="1673" t="s">
        <v>7967</v>
      </c>
      <c r="MG15" s="1676" t="s">
        <v>7499</v>
      </c>
      <c r="MH15" s="464" t="s">
        <v>7968</v>
      </c>
      <c r="MI15" s="293" t="s">
        <v>6926</v>
      </c>
      <c r="MJ15" s="1675" t="s">
        <v>7969</v>
      </c>
      <c r="MK15" s="1675" t="s">
        <v>7726</v>
      </c>
      <c r="ML15" s="1673"/>
      <c r="MM15" s="1674" t="s">
        <v>7970</v>
      </c>
      <c r="MN15" s="253" t="s">
        <v>7971</v>
      </c>
      <c r="MO15" s="293" t="s">
        <v>6910</v>
      </c>
      <c r="MP15" s="1676" t="s">
        <v>7972</v>
      </c>
      <c r="MQ15" s="1676" t="s">
        <v>7972</v>
      </c>
      <c r="MR15" s="1676" t="s">
        <v>7973</v>
      </c>
      <c r="MS15" s="1676" t="s">
        <v>6701</v>
      </c>
      <c r="MT15" s="293" t="s">
        <v>7974</v>
      </c>
      <c r="MU15" s="1672" t="s">
        <v>7975</v>
      </c>
      <c r="MV15" s="253" t="s">
        <v>7720</v>
      </c>
      <c r="MW15" s="1672"/>
      <c r="MX15" s="1675" t="s">
        <v>7976</v>
      </c>
      <c r="MY15" s="1675" t="s">
        <v>7291</v>
      </c>
      <c r="MZ15" s="1672" t="s">
        <v>7977</v>
      </c>
      <c r="NA15" s="1672" t="s">
        <v>7978</v>
      </c>
      <c r="NB15" s="1672" t="s">
        <v>7734</v>
      </c>
      <c r="NC15" s="1672"/>
      <c r="ND15" s="1672" t="s">
        <v>7402</v>
      </c>
      <c r="NE15" s="1674" t="s">
        <v>7979</v>
      </c>
      <c r="NF15" s="1675" t="s">
        <v>7413</v>
      </c>
      <c r="NG15" s="1674" t="s">
        <v>7715</v>
      </c>
      <c r="NH15" s="1672" t="s">
        <v>7980</v>
      </c>
      <c r="NI15" s="253" t="s">
        <v>7183</v>
      </c>
      <c r="NJ15" s="1672" t="s">
        <v>7509</v>
      </c>
      <c r="NK15" s="1672"/>
      <c r="NL15" s="1672" t="s">
        <v>7981</v>
      </c>
      <c r="NM15" s="1672" t="s">
        <v>7510</v>
      </c>
      <c r="NN15" s="1673" t="s">
        <v>7982</v>
      </c>
      <c r="NO15" s="1672" t="s">
        <v>7982</v>
      </c>
      <c r="NP15" s="1675" t="s">
        <v>7739</v>
      </c>
      <c r="NQ15" s="1671" t="s">
        <v>7516</v>
      </c>
      <c r="NR15" s="1672" t="s">
        <v>7516</v>
      </c>
      <c r="NS15" s="1672" t="s">
        <v>7983</v>
      </c>
      <c r="NT15" s="1671" t="s">
        <v>7984</v>
      </c>
      <c r="NU15" s="293" t="s">
        <v>7985</v>
      </c>
      <c r="NV15" s="364" t="s">
        <v>7986</v>
      </c>
      <c r="NW15" s="1671" t="s">
        <v>7987</v>
      </c>
      <c r="NX15" s="1671" t="s">
        <v>7988</v>
      </c>
      <c r="NY15" s="1671" t="s">
        <v>7989</v>
      </c>
      <c r="NZ15" s="1671" t="s">
        <v>7987</v>
      </c>
      <c r="OA15" s="293" t="s">
        <v>7990</v>
      </c>
      <c r="OB15" s="293" t="s">
        <v>7991</v>
      </c>
      <c r="OC15" s="293" t="s">
        <v>7303</v>
      </c>
      <c r="OD15" s="1673" t="s">
        <v>7874</v>
      </c>
      <c r="OE15" s="1673" t="s">
        <v>7847</v>
      </c>
      <c r="OF15" s="1673" t="s">
        <v>7520</v>
      </c>
      <c r="OG15" s="1672" t="s">
        <v>7992</v>
      </c>
      <c r="OH15" s="1672" t="s">
        <v>7993</v>
      </c>
      <c r="OI15" s="1672" t="s">
        <v>7307</v>
      </c>
      <c r="OJ15" s="1673" t="s">
        <v>7994</v>
      </c>
      <c r="OK15" s="1673" t="s">
        <v>7995</v>
      </c>
      <c r="OL15" s="1673" t="s">
        <v>7524</v>
      </c>
      <c r="OM15" s="1673" t="s">
        <v>7996</v>
      </c>
      <c r="ON15" s="1673" t="s">
        <v>7705</v>
      </c>
      <c r="OO15" s="1671"/>
      <c r="OP15" s="1671" t="s">
        <v>7545</v>
      </c>
      <c r="OQ15" s="1672" t="s">
        <v>7997</v>
      </c>
      <c r="OR15" s="1672" t="s">
        <v>7998</v>
      </c>
      <c r="OS15" s="1672" t="s">
        <v>7757</v>
      </c>
      <c r="OT15" s="293"/>
      <c r="OU15" s="293"/>
      <c r="OV15" s="1672" t="s">
        <v>7991</v>
      </c>
      <c r="OW15" s="1672" t="s">
        <v>7999</v>
      </c>
      <c r="OX15" s="1675" t="s">
        <v>8000</v>
      </c>
      <c r="OY15" s="1675" t="s">
        <v>8001</v>
      </c>
      <c r="OZ15" s="293"/>
      <c r="PA15" s="293" t="s">
        <v>7763</v>
      </c>
      <c r="PB15" s="364" t="s">
        <v>7763</v>
      </c>
      <c r="PC15" s="1674" t="s">
        <v>7738</v>
      </c>
      <c r="PD15" s="364" t="s">
        <v>7797</v>
      </c>
      <c r="PE15" s="364"/>
      <c r="PF15" s="364" t="s">
        <v>8002</v>
      </c>
      <c r="PG15" s="253" t="s">
        <v>8003</v>
      </c>
      <c r="PH15" s="1673" t="s">
        <v>8004</v>
      </c>
      <c r="PI15" s="1673" t="s">
        <v>8005</v>
      </c>
      <c r="PJ15" s="1674" t="s">
        <v>7566</v>
      </c>
      <c r="PK15" s="1674" t="s">
        <v>7705</v>
      </c>
      <c r="PL15" s="464" t="s">
        <v>8006</v>
      </c>
      <c r="PM15" s="464" t="s">
        <v>7604</v>
      </c>
      <c r="PN15" s="464" t="s">
        <v>7891</v>
      </c>
      <c r="PO15" s="464" t="s">
        <v>8007</v>
      </c>
      <c r="PP15" s="464" t="s">
        <v>7770</v>
      </c>
      <c r="PQ15" s="1673" t="s">
        <v>7578</v>
      </c>
      <c r="PR15" s="1673" t="s">
        <v>6764</v>
      </c>
      <c r="PS15" s="464"/>
      <c r="PT15" s="1676"/>
      <c r="PU15" s="1675" t="s">
        <v>7963</v>
      </c>
      <c r="PV15" s="1675" t="s">
        <v>7963</v>
      </c>
      <c r="PW15" s="364"/>
      <c r="PX15" s="464" t="s">
        <v>8008</v>
      </c>
      <c r="PY15" s="464" t="s">
        <v>8008</v>
      </c>
      <c r="PZ15" s="293" t="s">
        <v>8009</v>
      </c>
      <c r="QA15" s="293" t="s">
        <v>7542</v>
      </c>
      <c r="QB15" s="1673" t="s">
        <v>8010</v>
      </c>
      <c r="QC15" s="1674" t="s">
        <v>8011</v>
      </c>
      <c r="QD15" s="1674"/>
      <c r="QE15" s="1676" t="s">
        <v>8012</v>
      </c>
      <c r="QF15" s="464" t="s">
        <v>7729</v>
      </c>
      <c r="QG15" s="1672" t="s">
        <v>7980</v>
      </c>
      <c r="QH15" s="1672" t="s">
        <v>8013</v>
      </c>
      <c r="QI15" s="1672" t="s">
        <v>7777</v>
      </c>
      <c r="QJ15" s="1676" t="s">
        <v>8014</v>
      </c>
      <c r="QK15" s="1672" t="s">
        <v>7295</v>
      </c>
      <c r="QL15" s="1672" t="s">
        <v>7295</v>
      </c>
      <c r="QM15" s="1673" t="s">
        <v>8015</v>
      </c>
      <c r="QN15" s="1673" t="s">
        <v>7330</v>
      </c>
      <c r="QO15" s="464" t="s">
        <v>8016</v>
      </c>
      <c r="QP15" s="464" t="s">
        <v>7331</v>
      </c>
      <c r="QQ15" s="1672" t="s">
        <v>7375</v>
      </c>
      <c r="QR15" s="1672" t="s">
        <v>7591</v>
      </c>
      <c r="QS15" s="293" t="s">
        <v>8017</v>
      </c>
      <c r="QT15" s="1672" t="s">
        <v>8018</v>
      </c>
      <c r="QU15" s="1672" t="s">
        <v>7332</v>
      </c>
      <c r="QV15" s="1672" t="s">
        <v>7578</v>
      </c>
      <c r="QW15" s="253" t="s">
        <v>8019</v>
      </c>
      <c r="QX15" s="253" t="s">
        <v>7783</v>
      </c>
      <c r="QY15" s="1676" t="s">
        <v>7004</v>
      </c>
      <c r="QZ15" s="1675" t="s">
        <v>7379</v>
      </c>
      <c r="RA15" s="1674" t="s">
        <v>7848</v>
      </c>
      <c r="RB15" s="1675" t="s">
        <v>7620</v>
      </c>
      <c r="RC15" s="1672" t="s">
        <v>7622</v>
      </c>
      <c r="RD15" s="364" t="s">
        <v>7179</v>
      </c>
      <c r="RE15" s="1671" t="s">
        <v>7625</v>
      </c>
      <c r="RF15" s="253"/>
      <c r="RG15" s="293" t="s">
        <v>7430</v>
      </c>
      <c r="RH15" s="293" t="s">
        <v>7253</v>
      </c>
      <c r="RI15" s="1672" t="s">
        <v>7004</v>
      </c>
      <c r="RJ15" s="464" t="s">
        <v>6615</v>
      </c>
      <c r="RK15" s="1673" t="s">
        <v>7437</v>
      </c>
      <c r="RL15" s="1671" t="s">
        <v>8020</v>
      </c>
      <c r="RM15" s="253" t="s">
        <v>7528</v>
      </c>
      <c r="RN15" s="1675" t="s">
        <v>7262</v>
      </c>
      <c r="RO15" s="1676" t="s">
        <v>6701</v>
      </c>
      <c r="RP15" s="254" t="s">
        <v>7505</v>
      </c>
      <c r="RQ15" s="1671" t="s">
        <v>8021</v>
      </c>
      <c r="RR15" s="1671" t="s">
        <v>8021</v>
      </c>
      <c r="RS15" s="1671" t="s">
        <v>8021</v>
      </c>
      <c r="RT15" s="1671" t="s">
        <v>8021</v>
      </c>
      <c r="RU15" s="1671" t="s">
        <v>8021</v>
      </c>
      <c r="RV15" s="1671" t="s">
        <v>8021</v>
      </c>
      <c r="RW15" s="364" t="s">
        <v>8022</v>
      </c>
      <c r="RX15" s="1674" t="s">
        <v>8022</v>
      </c>
      <c r="RY15" s="1672" t="s">
        <v>8022</v>
      </c>
      <c r="RZ15" s="253" t="s">
        <v>8023</v>
      </c>
      <c r="SA15" s="464" t="s">
        <v>8023</v>
      </c>
      <c r="SB15" s="1673" t="s">
        <v>8024</v>
      </c>
      <c r="SC15" s="253" t="s">
        <v>8025</v>
      </c>
      <c r="SD15" s="1676" t="s">
        <v>8023</v>
      </c>
      <c r="SE15" s="1676" t="s">
        <v>8023</v>
      </c>
      <c r="SF15" s="364" t="s">
        <v>8026</v>
      </c>
      <c r="SG15" s="1672" t="s">
        <v>8027</v>
      </c>
      <c r="SH15" s="1672" t="s">
        <v>7564</v>
      </c>
      <c r="SI15" s="1676" t="s">
        <v>8028</v>
      </c>
      <c r="SJ15" s="293" t="s">
        <v>8029</v>
      </c>
      <c r="SK15" s="293" t="s">
        <v>8029</v>
      </c>
      <c r="SL15" s="1675" t="s">
        <v>8030</v>
      </c>
    </row>
    <row r="16" ht="15.75" customHeight="1">
      <c r="A16" s="1517"/>
      <c r="B16" s="1680" t="s">
        <v>8031</v>
      </c>
      <c r="C16" s="1680" t="s">
        <v>8032</v>
      </c>
      <c r="D16" s="1680" t="s">
        <v>7568</v>
      </c>
      <c r="E16" s="1680" t="s">
        <v>8033</v>
      </c>
      <c r="F16" s="1680" t="s">
        <v>8034</v>
      </c>
      <c r="G16" s="1680" t="s">
        <v>7328</v>
      </c>
      <c r="H16" s="1680" t="s">
        <v>8035</v>
      </c>
      <c r="I16" s="1680" t="s">
        <v>8036</v>
      </c>
      <c r="J16" s="1680" t="s">
        <v>7346</v>
      </c>
      <c r="K16" s="1680"/>
      <c r="L16" s="1680"/>
      <c r="M16" s="1680" t="s">
        <v>8037</v>
      </c>
      <c r="N16" s="1680"/>
      <c r="O16" s="1680"/>
      <c r="P16" s="1699" t="s">
        <v>8038</v>
      </c>
      <c r="Q16" s="1680" t="s">
        <v>8039</v>
      </c>
      <c r="R16" s="1680" t="s">
        <v>8040</v>
      </c>
      <c r="S16" s="1680" t="s">
        <v>7130</v>
      </c>
      <c r="T16" s="1680" t="s">
        <v>8041</v>
      </c>
      <c r="U16" s="1680" t="s">
        <v>7330</v>
      </c>
      <c r="V16" s="1680" t="s">
        <v>8042</v>
      </c>
      <c r="W16" s="1680" t="s">
        <v>8043</v>
      </c>
      <c r="X16" s="1680" t="s">
        <v>8044</v>
      </c>
      <c r="Y16" s="1680" t="s">
        <v>7277</v>
      </c>
      <c r="Z16" s="1680" t="s">
        <v>7891</v>
      </c>
      <c r="AA16" s="1680"/>
      <c r="AB16" s="1680" t="s">
        <v>7592</v>
      </c>
      <c r="AC16" s="1680" t="s">
        <v>7545</v>
      </c>
      <c r="AD16" s="1680" t="s">
        <v>7732</v>
      </c>
      <c r="AE16" s="1680" t="s">
        <v>7402</v>
      </c>
      <c r="AF16" s="1680"/>
      <c r="AG16" s="1680" t="s">
        <v>8045</v>
      </c>
      <c r="AH16" s="1680" t="s">
        <v>8046</v>
      </c>
      <c r="AI16" s="1680"/>
      <c r="AJ16" s="1680" t="s">
        <v>8047</v>
      </c>
      <c r="AK16" s="1680"/>
      <c r="AL16" s="1680" t="s">
        <v>8048</v>
      </c>
      <c r="AM16" s="1680"/>
      <c r="AN16" s="1680" t="s">
        <v>8049</v>
      </c>
      <c r="AO16" s="1680"/>
      <c r="AP16" s="1680" t="s">
        <v>7686</v>
      </c>
      <c r="AQ16" s="1680" t="s">
        <v>8050</v>
      </c>
      <c r="AR16" s="1680" t="s">
        <v>8008</v>
      </c>
      <c r="AS16" s="1680" t="s">
        <v>8051</v>
      </c>
      <c r="AT16" s="1680"/>
      <c r="AU16" s="1680" t="s">
        <v>8052</v>
      </c>
      <c r="AV16" s="1680" t="s">
        <v>8053</v>
      </c>
      <c r="AW16" s="1680" t="s">
        <v>7528</v>
      </c>
      <c r="AX16" s="1680" t="s">
        <v>7819</v>
      </c>
      <c r="AY16" s="1680" t="s">
        <v>7959</v>
      </c>
      <c r="AZ16" s="1680" t="s">
        <v>7863</v>
      </c>
      <c r="BA16" s="1680" t="s">
        <v>8054</v>
      </c>
      <c r="BB16" s="1680" t="s">
        <v>7822</v>
      </c>
      <c r="BC16" s="1680" t="s">
        <v>8055</v>
      </c>
      <c r="BD16" s="1680" t="s">
        <v>7593</v>
      </c>
      <c r="BE16" s="1680" t="s">
        <v>8056</v>
      </c>
      <c r="BF16" s="1680" t="s">
        <v>8057</v>
      </c>
      <c r="BG16" s="1680" t="s">
        <v>8058</v>
      </c>
      <c r="BH16" s="1680"/>
      <c r="BI16" s="1680" t="s">
        <v>8059</v>
      </c>
      <c r="BJ16" s="1680" t="s">
        <v>8060</v>
      </c>
      <c r="BK16" s="1681"/>
      <c r="BL16" s="1680"/>
      <c r="BM16" s="1680" t="s">
        <v>8061</v>
      </c>
      <c r="BN16" s="1680" t="s">
        <v>7599</v>
      </c>
      <c r="BO16" s="1680" t="s">
        <v>8062</v>
      </c>
      <c r="BP16" s="1680" t="s">
        <v>8063</v>
      </c>
      <c r="BQ16" s="1680" t="s">
        <v>7600</v>
      </c>
      <c r="BR16" s="1680" t="s">
        <v>7783</v>
      </c>
      <c r="BS16" s="1680" t="s">
        <v>7817</v>
      </c>
      <c r="BT16" s="1680" t="s">
        <v>6663</v>
      </c>
      <c r="BU16" s="1680" t="s">
        <v>8064</v>
      </c>
      <c r="BV16" s="1680" t="s">
        <v>8065</v>
      </c>
      <c r="BW16" s="1680" t="s">
        <v>8066</v>
      </c>
      <c r="BX16" s="1680" t="s">
        <v>8067</v>
      </c>
      <c r="BY16" s="1680" t="s">
        <v>7377</v>
      </c>
      <c r="BZ16" s="1680" t="s">
        <v>8068</v>
      </c>
      <c r="CA16" s="1680" t="s">
        <v>7251</v>
      </c>
      <c r="CB16" s="1680" t="s">
        <v>7725</v>
      </c>
      <c r="CC16" s="1680" t="s">
        <v>7725</v>
      </c>
      <c r="CD16" s="1680" t="s">
        <v>8069</v>
      </c>
      <c r="CE16" s="1680" t="s">
        <v>8070</v>
      </c>
      <c r="CF16" s="1680" t="s">
        <v>8071</v>
      </c>
      <c r="CG16" s="1680" t="s">
        <v>8072</v>
      </c>
      <c r="CH16" s="1680" t="s">
        <v>7609</v>
      </c>
      <c r="CI16" s="1682" t="s">
        <v>7317</v>
      </c>
      <c r="CJ16" s="1682" t="s">
        <v>7317</v>
      </c>
      <c r="CK16" s="1680" t="s">
        <v>8073</v>
      </c>
      <c r="CL16" s="1680" t="s">
        <v>7611</v>
      </c>
      <c r="CM16" s="1680" t="s">
        <v>7571</v>
      </c>
      <c r="CN16" s="1680"/>
      <c r="CO16" s="1680" t="s">
        <v>7718</v>
      </c>
      <c r="CP16" s="1680" t="s">
        <v>8074</v>
      </c>
      <c r="CQ16" s="1680" t="s">
        <v>8074</v>
      </c>
      <c r="CR16" s="1680" t="s">
        <v>8075</v>
      </c>
      <c r="CS16" s="1680" t="s">
        <v>8076</v>
      </c>
      <c r="CT16" s="1680" t="s">
        <v>7614</v>
      </c>
      <c r="CU16" s="1680" t="s">
        <v>8077</v>
      </c>
      <c r="CV16" s="1680" t="s">
        <v>7387</v>
      </c>
      <c r="CW16" s="1680" t="s">
        <v>8078</v>
      </c>
      <c r="CX16" s="1680" t="s">
        <v>8079</v>
      </c>
      <c r="CY16" s="1680" t="s">
        <v>8080</v>
      </c>
      <c r="CZ16" s="1680"/>
      <c r="DA16" s="1680" t="s">
        <v>8081</v>
      </c>
      <c r="DB16" s="1680" t="s">
        <v>8082</v>
      </c>
      <c r="DC16" s="1680" t="s">
        <v>8083</v>
      </c>
      <c r="DD16" s="1680" t="s">
        <v>7847</v>
      </c>
      <c r="DE16" s="1680" t="s">
        <v>7516</v>
      </c>
      <c r="DF16" s="1681" t="s">
        <v>8084</v>
      </c>
      <c r="DG16" s="1662" t="s">
        <v>7849</v>
      </c>
      <c r="DH16" s="1680" t="s">
        <v>8085</v>
      </c>
      <c r="DI16" s="1680" t="s">
        <v>7850</v>
      </c>
      <c r="DJ16" s="1680" t="s">
        <v>8086</v>
      </c>
      <c r="DK16" s="1680" t="s">
        <v>8087</v>
      </c>
      <c r="DL16" s="1680" t="s">
        <v>8088</v>
      </c>
      <c r="DM16" s="1680" t="s">
        <v>8089</v>
      </c>
      <c r="DN16" s="1680" t="s">
        <v>7603</v>
      </c>
      <c r="DO16" s="1680" t="s">
        <v>7894</v>
      </c>
      <c r="DP16" s="1680" t="s">
        <v>7251</v>
      </c>
      <c r="DQ16" s="1680" t="s">
        <v>8090</v>
      </c>
      <c r="DR16" s="1680"/>
      <c r="DS16" s="1680" t="s">
        <v>8011</v>
      </c>
      <c r="DT16" s="1680" t="s">
        <v>8091</v>
      </c>
      <c r="DU16" s="1680" t="s">
        <v>7614</v>
      </c>
      <c r="DV16" s="1680" t="s">
        <v>8092</v>
      </c>
      <c r="DW16" s="1680" t="s">
        <v>8092</v>
      </c>
      <c r="DX16" s="1680" t="s">
        <v>8093</v>
      </c>
      <c r="DY16" s="1680" t="s">
        <v>7255</v>
      </c>
      <c r="DZ16" s="1680"/>
      <c r="EA16" s="1680" t="s">
        <v>6608</v>
      </c>
      <c r="EB16" s="1680" t="s">
        <v>7636</v>
      </c>
      <c r="EC16" s="1680"/>
      <c r="ED16" s="1680" t="s">
        <v>7208</v>
      </c>
      <c r="EE16" s="1686" t="s">
        <v>8094</v>
      </c>
      <c r="EF16" s="1686" t="s">
        <v>7426</v>
      </c>
      <c r="EG16" s="1684" t="s">
        <v>7490</v>
      </c>
      <c r="EH16" s="1680" t="s">
        <v>7624</v>
      </c>
      <c r="EI16" s="1686" t="s">
        <v>8095</v>
      </c>
      <c r="EJ16" s="1680" t="s">
        <v>8096</v>
      </c>
      <c r="EK16" s="1680" t="s">
        <v>8097</v>
      </c>
      <c r="EL16" s="1680" t="s">
        <v>8098</v>
      </c>
      <c r="EM16" s="1680" t="s">
        <v>8099</v>
      </c>
      <c r="EN16" s="1680" t="s">
        <v>8014</v>
      </c>
      <c r="EO16" s="1680" t="s">
        <v>8100</v>
      </c>
      <c r="EP16" s="1680" t="s">
        <v>8101</v>
      </c>
      <c r="EQ16" s="1680" t="s">
        <v>8102</v>
      </c>
      <c r="ER16" s="1680" t="s">
        <v>8103</v>
      </c>
      <c r="ES16" s="1680" t="s">
        <v>8104</v>
      </c>
      <c r="ET16" s="1680" t="s">
        <v>7413</v>
      </c>
      <c r="EU16" s="1680" t="s">
        <v>7674</v>
      </c>
      <c r="EV16" s="1680" t="s">
        <v>8105</v>
      </c>
      <c r="EW16" s="1662" t="s">
        <v>8106</v>
      </c>
      <c r="EX16" s="1686" t="s">
        <v>8006</v>
      </c>
      <c r="EY16" s="1681" t="s">
        <v>7640</v>
      </c>
      <c r="EZ16" s="1680" t="s">
        <v>8107</v>
      </c>
      <c r="FA16" s="1680" t="s">
        <v>8108</v>
      </c>
      <c r="FB16" s="1680" t="s">
        <v>7417</v>
      </c>
      <c r="FC16" s="1681" t="s">
        <v>8109</v>
      </c>
      <c r="FD16" s="1662" t="s">
        <v>8110</v>
      </c>
      <c r="FE16" s="1680" t="s">
        <v>6965</v>
      </c>
      <c r="FF16" s="1680" t="s">
        <v>8111</v>
      </c>
      <c r="FG16" s="1699" t="s">
        <v>8112</v>
      </c>
      <c r="FH16" s="1680" t="s">
        <v>7675</v>
      </c>
      <c r="FI16" s="1680" t="s">
        <v>8113</v>
      </c>
      <c r="FJ16" s="1680" t="s">
        <v>8114</v>
      </c>
      <c r="FK16" s="1680" t="s">
        <v>8115</v>
      </c>
      <c r="FL16" s="1680" t="s">
        <v>8116</v>
      </c>
      <c r="FM16" s="1680" t="s">
        <v>8117</v>
      </c>
      <c r="FN16" s="1680" t="s">
        <v>7601</v>
      </c>
      <c r="FO16" s="1680" t="s">
        <v>7953</v>
      </c>
      <c r="FP16" s="1680" t="s">
        <v>8118</v>
      </c>
      <c r="FQ16" s="1680"/>
      <c r="FR16" s="1680"/>
      <c r="FS16" s="1680"/>
      <c r="FT16" s="1682" t="s">
        <v>8119</v>
      </c>
      <c r="FU16" s="1664" t="s">
        <v>8120</v>
      </c>
      <c r="FV16" s="1680" t="s">
        <v>8121</v>
      </c>
      <c r="FW16" s="1680" t="s">
        <v>7675</v>
      </c>
      <c r="FX16" s="1664" t="s">
        <v>8122</v>
      </c>
      <c r="FY16" s="1680" t="s">
        <v>8123</v>
      </c>
      <c r="FZ16" s="1680" t="s">
        <v>7208</v>
      </c>
      <c r="GA16" s="1680" t="s">
        <v>8124</v>
      </c>
      <c r="GB16" s="1680" t="s">
        <v>8125</v>
      </c>
      <c r="GC16" s="1680" t="s">
        <v>7136</v>
      </c>
      <c r="GD16" s="1680" t="s">
        <v>8010</v>
      </c>
      <c r="GE16" s="1680"/>
      <c r="GF16" s="1680" t="s">
        <v>8126</v>
      </c>
      <c r="GG16" s="1680" t="s">
        <v>8127</v>
      </c>
      <c r="GH16" s="1680" t="s">
        <v>8127</v>
      </c>
      <c r="GI16" s="1680" t="s">
        <v>8128</v>
      </c>
      <c r="GJ16" s="1680" t="s">
        <v>8129</v>
      </c>
      <c r="GK16" s="1680" t="s">
        <v>7892</v>
      </c>
      <c r="GL16" s="1680" t="s">
        <v>8130</v>
      </c>
      <c r="GM16" s="1680" t="s">
        <v>7833</v>
      </c>
      <c r="GN16" s="1680" t="s">
        <v>8131</v>
      </c>
      <c r="GO16" s="1705" t="s">
        <v>8132</v>
      </c>
      <c r="GP16" s="1706" t="s">
        <v>8133</v>
      </c>
      <c r="GQ16" s="1680" t="s">
        <v>8134</v>
      </c>
      <c r="GR16" s="1680" t="s">
        <v>7317</v>
      </c>
      <c r="GS16" s="1680" t="s">
        <v>8135</v>
      </c>
      <c r="GT16" s="1680"/>
      <c r="GU16" s="1680"/>
      <c r="GV16" s="1680" t="s">
        <v>7543</v>
      </c>
      <c r="GW16" s="1680" t="s">
        <v>7793</v>
      </c>
      <c r="GX16" s="1680" t="s">
        <v>7793</v>
      </c>
      <c r="GY16" s="1680" t="s">
        <v>8136</v>
      </c>
      <c r="GZ16" s="1680" t="s">
        <v>7915</v>
      </c>
      <c r="HA16" s="1680" t="s">
        <v>7385</v>
      </c>
      <c r="HB16" s="1680" t="s">
        <v>8137</v>
      </c>
      <c r="HC16" s="1680" t="s">
        <v>8137</v>
      </c>
      <c r="HD16" s="1680" t="s">
        <v>7582</v>
      </c>
      <c r="HE16" s="1680" t="s">
        <v>8091</v>
      </c>
      <c r="HF16" s="1680" t="s">
        <v>8138</v>
      </c>
      <c r="HG16" s="1680" t="s">
        <v>8139</v>
      </c>
      <c r="HH16" s="1686" t="s">
        <v>8140</v>
      </c>
      <c r="HI16" s="1680" t="s">
        <v>8141</v>
      </c>
      <c r="HJ16" s="1680" t="s">
        <v>8142</v>
      </c>
      <c r="HK16" s="1665" t="s">
        <v>8143</v>
      </c>
      <c r="HL16" s="1667" t="s">
        <v>8144</v>
      </c>
      <c r="HM16" s="1680" t="s">
        <v>8145</v>
      </c>
      <c r="HN16" s="1680" t="s">
        <v>7536</v>
      </c>
      <c r="HO16" s="1680" t="s">
        <v>8007</v>
      </c>
      <c r="HP16" s="1680" t="s">
        <v>8146</v>
      </c>
      <c r="HQ16" s="1680" t="s">
        <v>7398</v>
      </c>
      <c r="HR16" s="1662" t="s">
        <v>8147</v>
      </c>
      <c r="HS16" s="1680" t="s">
        <v>7553</v>
      </c>
      <c r="HT16" s="1680" t="s">
        <v>7575</v>
      </c>
      <c r="HU16" s="1680" t="s">
        <v>8148</v>
      </c>
      <c r="HV16" s="1680" t="s">
        <v>7732</v>
      </c>
      <c r="HW16" s="1680" t="s">
        <v>7578</v>
      </c>
      <c r="HX16" s="1680" t="s">
        <v>7632</v>
      </c>
      <c r="HY16" s="1680" t="s">
        <v>8149</v>
      </c>
      <c r="HZ16" s="1680" t="s">
        <v>7624</v>
      </c>
      <c r="IA16" s="1680" t="s">
        <v>8150</v>
      </c>
      <c r="IB16" s="1664" t="s">
        <v>8151</v>
      </c>
      <c r="IC16" s="1680"/>
      <c r="ID16" s="1680" t="s">
        <v>8152</v>
      </c>
      <c r="IE16" s="1680" t="s">
        <v>7664</v>
      </c>
      <c r="IF16" s="1680" t="s">
        <v>8153</v>
      </c>
      <c r="IG16" s="1680" t="s">
        <v>8153</v>
      </c>
      <c r="IH16" s="1680" t="s">
        <v>8154</v>
      </c>
      <c r="II16" s="1680" t="s">
        <v>8086</v>
      </c>
      <c r="IJ16" s="1680" t="s">
        <v>8155</v>
      </c>
      <c r="IK16" s="1680" t="s">
        <v>8155</v>
      </c>
      <c r="IL16" s="1680" t="s">
        <v>8155</v>
      </c>
      <c r="IM16" s="1680" t="s">
        <v>8156</v>
      </c>
      <c r="IN16" s="1680" t="s">
        <v>8157</v>
      </c>
      <c r="IO16" s="1680" t="s">
        <v>7449</v>
      </c>
      <c r="IP16" s="1664" t="s">
        <v>7741</v>
      </c>
      <c r="IQ16" s="1680" t="s">
        <v>7742</v>
      </c>
      <c r="IR16" s="1680" t="s">
        <v>8158</v>
      </c>
      <c r="IS16" s="1680" t="s">
        <v>7402</v>
      </c>
      <c r="IT16" s="1680" t="s">
        <v>8159</v>
      </c>
      <c r="IU16" s="1680" t="s">
        <v>7453</v>
      </c>
      <c r="IV16" s="1680" t="s">
        <v>8160</v>
      </c>
      <c r="IW16" s="1680" t="s">
        <v>8161</v>
      </c>
      <c r="IX16" s="1680" t="s">
        <v>7679</v>
      </c>
      <c r="IY16" s="1680" t="s">
        <v>8162</v>
      </c>
      <c r="IZ16" s="1680" t="s">
        <v>7753</v>
      </c>
      <c r="JA16" s="1680" t="s">
        <v>7418</v>
      </c>
      <c r="JB16" s="1680" t="s">
        <v>8163</v>
      </c>
      <c r="JC16" s="1680" t="s">
        <v>7023</v>
      </c>
      <c r="JD16" s="1680" t="s">
        <v>8164</v>
      </c>
      <c r="JE16" s="1664" t="s">
        <v>6825</v>
      </c>
      <c r="JF16" s="1680"/>
      <c r="JG16" s="1664"/>
      <c r="JH16" s="1681" t="s">
        <v>8165</v>
      </c>
      <c r="JI16" s="1680"/>
      <c r="JJ16" s="1680" t="s">
        <v>8166</v>
      </c>
      <c r="JK16" s="1680" t="s">
        <v>7566</v>
      </c>
      <c r="JL16" s="1680" t="s">
        <v>8167</v>
      </c>
      <c r="JM16" s="1680"/>
      <c r="JN16" s="1680"/>
      <c r="JO16" s="1680" t="s">
        <v>7875</v>
      </c>
      <c r="JP16" s="1680"/>
      <c r="JQ16" s="1680" t="s">
        <v>8168</v>
      </c>
      <c r="JR16" s="1680" t="s">
        <v>8169</v>
      </c>
      <c r="JS16" s="1664" t="s">
        <v>8170</v>
      </c>
      <c r="JT16" s="1680" t="s">
        <v>8171</v>
      </c>
      <c r="JU16" s="1690" t="s">
        <v>8172</v>
      </c>
      <c r="JV16" s="1691" t="s">
        <v>8173</v>
      </c>
      <c r="JW16" s="1664" t="s">
        <v>7690</v>
      </c>
      <c r="JX16" s="1680" t="s">
        <v>8174</v>
      </c>
      <c r="JY16" s="1680" t="s">
        <v>8175</v>
      </c>
      <c r="JZ16" s="1680" t="s">
        <v>8176</v>
      </c>
      <c r="KA16" s="1680" t="s">
        <v>8177</v>
      </c>
      <c r="KB16" s="1680" t="s">
        <v>8178</v>
      </c>
      <c r="KC16" s="1664" t="s">
        <v>8178</v>
      </c>
      <c r="KD16" s="1680" t="s">
        <v>7937</v>
      </c>
      <c r="KE16" s="1680" t="s">
        <v>8179</v>
      </c>
      <c r="KF16" s="1680" t="s">
        <v>6825</v>
      </c>
      <c r="KG16" s="1680" t="s">
        <v>8180</v>
      </c>
      <c r="KH16" s="1680" t="s">
        <v>8181</v>
      </c>
      <c r="KI16" s="1680" t="s">
        <v>8182</v>
      </c>
      <c r="KJ16" s="1680" t="s">
        <v>7474</v>
      </c>
      <c r="KK16" s="1680" t="s">
        <v>8183</v>
      </c>
      <c r="KL16" s="1680" t="s">
        <v>8184</v>
      </c>
      <c r="KM16" s="1680"/>
      <c r="KN16" s="1680" t="s">
        <v>8122</v>
      </c>
      <c r="KO16" s="1680" t="s">
        <v>7138</v>
      </c>
      <c r="KP16" s="1680"/>
      <c r="KQ16" s="1680" t="s">
        <v>8017</v>
      </c>
      <c r="KR16" s="1680" t="s">
        <v>7479</v>
      </c>
      <c r="KS16" s="1680" t="s">
        <v>7560</v>
      </c>
      <c r="KT16" s="1680" t="s">
        <v>8185</v>
      </c>
      <c r="KU16" s="1680" t="s">
        <v>7480</v>
      </c>
      <c r="KV16" s="1680" t="s">
        <v>8186</v>
      </c>
      <c r="KW16" s="1680" t="s">
        <v>7481</v>
      </c>
      <c r="KX16" s="1680" t="s">
        <v>8187</v>
      </c>
      <c r="KY16" s="1680" t="s">
        <v>8187</v>
      </c>
      <c r="KZ16" s="1680" t="s">
        <v>8188</v>
      </c>
      <c r="LA16" s="1680" t="s">
        <v>8189</v>
      </c>
      <c r="LB16" s="1680" t="s">
        <v>8190</v>
      </c>
      <c r="LC16" s="1681" t="s">
        <v>8190</v>
      </c>
      <c r="LD16" s="1680" t="s">
        <v>7816</v>
      </c>
      <c r="LE16" s="1680" t="s">
        <v>8191</v>
      </c>
      <c r="LF16" s="1680" t="s">
        <v>8051</v>
      </c>
      <c r="LG16" s="1680" t="s">
        <v>8192</v>
      </c>
      <c r="LH16" s="1680" t="s">
        <v>7713</v>
      </c>
      <c r="LI16" s="1680" t="s">
        <v>8193</v>
      </c>
      <c r="LJ16" s="1680" t="s">
        <v>8193</v>
      </c>
      <c r="LK16" s="1680" t="s">
        <v>8194</v>
      </c>
      <c r="LL16" s="1680" t="s">
        <v>8195</v>
      </c>
      <c r="LM16" s="1680" t="s">
        <v>7905</v>
      </c>
      <c r="LN16" s="1680" t="s">
        <v>8196</v>
      </c>
      <c r="LO16" s="1680" t="s">
        <v>8196</v>
      </c>
      <c r="LP16" s="1680" t="s">
        <v>8197</v>
      </c>
      <c r="LQ16" s="1680" t="s">
        <v>8198</v>
      </c>
      <c r="LR16" s="1680" t="s">
        <v>8198</v>
      </c>
      <c r="LS16" s="1680" t="s">
        <v>7959</v>
      </c>
      <c r="LT16" s="1680" t="s">
        <v>8199</v>
      </c>
      <c r="LU16" s="1680" t="s">
        <v>8200</v>
      </c>
      <c r="LV16" s="1680" t="s">
        <v>8201</v>
      </c>
      <c r="LW16" s="1680" t="s">
        <v>7536</v>
      </c>
      <c r="LX16" s="1664" t="s">
        <v>8202</v>
      </c>
      <c r="LY16" s="1680" t="s">
        <v>8203</v>
      </c>
      <c r="LZ16" s="1680" t="s">
        <v>7965</v>
      </c>
      <c r="MA16" s="1680" t="s">
        <v>8204</v>
      </c>
      <c r="MB16" s="1680" t="s">
        <v>7603</v>
      </c>
      <c r="MC16" s="1680" t="s">
        <v>7317</v>
      </c>
      <c r="MD16" s="1680" t="s">
        <v>8167</v>
      </c>
      <c r="ME16" s="1680" t="s">
        <v>8205</v>
      </c>
      <c r="MF16" s="1680" t="s">
        <v>8206</v>
      </c>
      <c r="MG16" s="1680" t="s">
        <v>7538</v>
      </c>
      <c r="MH16" s="1680" t="s">
        <v>8207</v>
      </c>
      <c r="MI16" s="1680" t="s">
        <v>8208</v>
      </c>
      <c r="MJ16" s="1680" t="s">
        <v>7877</v>
      </c>
      <c r="MK16" s="1680" t="s">
        <v>7939</v>
      </c>
      <c r="ML16" s="1680"/>
      <c r="MM16" s="1680" t="s">
        <v>8209</v>
      </c>
      <c r="MN16" s="1664" t="s">
        <v>8210</v>
      </c>
      <c r="MO16" s="1680" t="s">
        <v>7188</v>
      </c>
      <c r="MP16" s="1680" t="s">
        <v>8199</v>
      </c>
      <c r="MQ16" s="1680" t="s">
        <v>8211</v>
      </c>
      <c r="MR16" s="1680" t="s">
        <v>8212</v>
      </c>
      <c r="MS16" s="1680" t="s">
        <v>7062</v>
      </c>
      <c r="MT16" s="1680" t="s">
        <v>8213</v>
      </c>
      <c r="MU16" s="1680" t="s">
        <v>7636</v>
      </c>
      <c r="MV16" s="1664" t="s">
        <v>8214</v>
      </c>
      <c r="MW16" s="1680"/>
      <c r="MX16" s="1680" t="s">
        <v>8215</v>
      </c>
      <c r="MY16" s="1680" t="s">
        <v>7505</v>
      </c>
      <c r="MZ16" s="1680" t="s">
        <v>8216</v>
      </c>
      <c r="NA16" s="1680" t="s">
        <v>8217</v>
      </c>
      <c r="NB16" s="1680" t="s">
        <v>7978</v>
      </c>
      <c r="NC16" s="1680"/>
      <c r="ND16" s="1680" t="s">
        <v>8218</v>
      </c>
      <c r="NE16" s="1680" t="s">
        <v>8218</v>
      </c>
      <c r="NF16" s="1680" t="s">
        <v>7960</v>
      </c>
      <c r="NG16" s="1686" t="s">
        <v>8219</v>
      </c>
      <c r="NH16" s="1680" t="s">
        <v>7300</v>
      </c>
      <c r="NI16" s="1664" t="s">
        <v>8220</v>
      </c>
      <c r="NJ16" s="1680" t="s">
        <v>7708</v>
      </c>
      <c r="NK16" s="1680"/>
      <c r="NL16" s="1680" t="s">
        <v>7639</v>
      </c>
      <c r="NM16" s="1680" t="s">
        <v>7738</v>
      </c>
      <c r="NN16" s="1680" t="s">
        <v>8221</v>
      </c>
      <c r="NO16" s="1680" t="s">
        <v>8222</v>
      </c>
      <c r="NP16" s="1680" t="s">
        <v>7982</v>
      </c>
      <c r="NQ16" s="1680" t="s">
        <v>8223</v>
      </c>
      <c r="NR16" s="1680" t="s">
        <v>8223</v>
      </c>
      <c r="NS16" s="1680" t="s">
        <v>8224</v>
      </c>
      <c r="NT16" s="1680" t="s">
        <v>8225</v>
      </c>
      <c r="NU16" s="1680" t="s">
        <v>8226</v>
      </c>
      <c r="NV16" s="1680" t="s">
        <v>8227</v>
      </c>
      <c r="NW16" s="1680" t="s">
        <v>8228</v>
      </c>
      <c r="NX16" s="1680" t="s">
        <v>8228</v>
      </c>
      <c r="NY16" s="1680" t="s">
        <v>7987</v>
      </c>
      <c r="NZ16" s="1680" t="s">
        <v>8228</v>
      </c>
      <c r="OA16" s="1680" t="s">
        <v>8229</v>
      </c>
      <c r="OB16" s="1680" t="s">
        <v>8230</v>
      </c>
      <c r="OC16" s="1680" t="s">
        <v>7518</v>
      </c>
      <c r="OD16" s="1680" t="s">
        <v>7780</v>
      </c>
      <c r="OE16" s="1680" t="s">
        <v>8231</v>
      </c>
      <c r="OF16" s="1680" t="s">
        <v>7391</v>
      </c>
      <c r="OG16" s="1680" t="s">
        <v>8232</v>
      </c>
      <c r="OH16" s="1680" t="s">
        <v>8233</v>
      </c>
      <c r="OI16" s="1680" t="s">
        <v>7522</v>
      </c>
      <c r="OJ16" s="1680" t="s">
        <v>8234</v>
      </c>
      <c r="OK16" s="1680" t="s">
        <v>8235</v>
      </c>
      <c r="OL16" s="1680" t="s">
        <v>8236</v>
      </c>
      <c r="OM16" s="1680" t="s">
        <v>8237</v>
      </c>
      <c r="ON16" s="1680" t="s">
        <v>8238</v>
      </c>
      <c r="OO16" s="1680"/>
      <c r="OP16" s="1680" t="s">
        <v>7495</v>
      </c>
      <c r="OQ16" s="1680" t="s">
        <v>7330</v>
      </c>
      <c r="OR16" s="1680" t="s">
        <v>7799</v>
      </c>
      <c r="OS16" s="1680" t="s">
        <v>7998</v>
      </c>
      <c r="OT16" s="1680"/>
      <c r="OU16" s="1680"/>
      <c r="OV16" s="1680" t="s">
        <v>8239</v>
      </c>
      <c r="OW16" s="1680" t="s">
        <v>7915</v>
      </c>
      <c r="OX16" s="1680" t="s">
        <v>8240</v>
      </c>
      <c r="OY16" s="1680" t="s">
        <v>8241</v>
      </c>
      <c r="OZ16" s="1680"/>
      <c r="PA16" s="1680" t="s">
        <v>8242</v>
      </c>
      <c r="PB16" s="1680" t="s">
        <v>8242</v>
      </c>
      <c r="PC16" s="1680" t="s">
        <v>7763</v>
      </c>
      <c r="PD16" s="1680" t="s">
        <v>8243</v>
      </c>
      <c r="PE16" s="1680"/>
      <c r="PF16" s="1680" t="s">
        <v>8244</v>
      </c>
      <c r="PG16" s="1664" t="s">
        <v>8245</v>
      </c>
      <c r="PH16" s="1680" t="s">
        <v>8246</v>
      </c>
      <c r="PI16" s="1680" t="s">
        <v>8247</v>
      </c>
      <c r="PJ16" s="1680" t="s">
        <v>8248</v>
      </c>
      <c r="PK16" s="1680" t="s">
        <v>8249</v>
      </c>
      <c r="PL16" s="1680" t="s">
        <v>8152</v>
      </c>
      <c r="PM16" s="1680" t="s">
        <v>8250</v>
      </c>
      <c r="PN16" s="1680" t="s">
        <v>8128</v>
      </c>
      <c r="PO16" s="1662" t="s">
        <v>8251</v>
      </c>
      <c r="PP16" s="1686" t="s">
        <v>8252</v>
      </c>
      <c r="PQ16" s="1680" t="s">
        <v>8253</v>
      </c>
      <c r="PR16" s="1680" t="s">
        <v>7397</v>
      </c>
      <c r="PS16" s="1680"/>
      <c r="PT16" s="1680"/>
      <c r="PU16" s="1680" t="s">
        <v>8254</v>
      </c>
      <c r="PV16" s="1680" t="s">
        <v>8254</v>
      </c>
      <c r="PW16" s="1680"/>
      <c r="PX16" s="1662" t="s">
        <v>8255</v>
      </c>
      <c r="PY16" s="1680" t="s">
        <v>7964</v>
      </c>
      <c r="PZ16" s="1680" t="s">
        <v>8256</v>
      </c>
      <c r="QA16" s="1680" t="s">
        <v>7528</v>
      </c>
      <c r="QB16" s="1680" t="s">
        <v>8001</v>
      </c>
      <c r="QC16" s="1680" t="s">
        <v>8257</v>
      </c>
      <c r="QD16" s="1680"/>
      <c r="QE16" s="1680" t="s">
        <v>8258</v>
      </c>
      <c r="QF16" s="1680" t="s">
        <v>8048</v>
      </c>
      <c r="QG16" s="1680" t="s">
        <v>8259</v>
      </c>
      <c r="QH16" s="1680" t="s">
        <v>8260</v>
      </c>
      <c r="QI16" s="1680" t="s">
        <v>8013</v>
      </c>
      <c r="QJ16" s="1680" t="s">
        <v>8076</v>
      </c>
      <c r="QK16" s="1680" t="s">
        <v>8261</v>
      </c>
      <c r="QL16" s="1680" t="s">
        <v>7933</v>
      </c>
      <c r="QM16" s="1680" t="s">
        <v>8262</v>
      </c>
      <c r="QN16" s="1680" t="s">
        <v>7255</v>
      </c>
      <c r="QO16" s="1680" t="s">
        <v>8263</v>
      </c>
      <c r="QP16" s="1680" t="s">
        <v>7550</v>
      </c>
      <c r="QQ16" s="1680" t="s">
        <v>8264</v>
      </c>
      <c r="QR16" s="1680" t="s">
        <v>7375</v>
      </c>
      <c r="QS16" s="1680" t="s">
        <v>8265</v>
      </c>
      <c r="QT16" s="1680" t="s">
        <v>8266</v>
      </c>
      <c r="QU16" s="1680" t="s">
        <v>7552</v>
      </c>
      <c r="QV16" s="1680" t="s">
        <v>7686</v>
      </c>
      <c r="QW16" s="1664" t="s">
        <v>8267</v>
      </c>
      <c r="QX16" s="1664" t="s">
        <v>8019</v>
      </c>
      <c r="QY16" s="1680" t="s">
        <v>7223</v>
      </c>
      <c r="QZ16" s="1680" t="s">
        <v>7608</v>
      </c>
      <c r="RA16" s="1680" t="s">
        <v>7516</v>
      </c>
      <c r="RB16" s="1680" t="s">
        <v>7850</v>
      </c>
      <c r="RC16" s="1680" t="s">
        <v>7851</v>
      </c>
      <c r="RD16" s="1680" t="s">
        <v>6541</v>
      </c>
      <c r="RE16" s="1680" t="s">
        <v>7855</v>
      </c>
      <c r="RF16" s="1664"/>
      <c r="RG16" s="1680" t="s">
        <v>7654</v>
      </c>
      <c r="RH16" s="1680" t="s">
        <v>8268</v>
      </c>
      <c r="RI16" s="1686" t="s">
        <v>7271</v>
      </c>
      <c r="RJ16" s="1680" t="s">
        <v>7541</v>
      </c>
      <c r="RK16" s="1680" t="s">
        <v>7554</v>
      </c>
      <c r="RL16" s="1680" t="s">
        <v>7860</v>
      </c>
      <c r="RM16" s="1664" t="s">
        <v>7996</v>
      </c>
      <c r="RN16" s="1680" t="s">
        <v>7426</v>
      </c>
      <c r="RO16" s="1680" t="s">
        <v>7062</v>
      </c>
      <c r="RP16" s="1680" t="s">
        <v>8269</v>
      </c>
      <c r="RQ16" s="1680" t="s">
        <v>8270</v>
      </c>
      <c r="RR16" s="1680" t="s">
        <v>8270</v>
      </c>
      <c r="RS16" s="1680" t="s">
        <v>8270</v>
      </c>
      <c r="RT16" s="1680" t="s">
        <v>8270</v>
      </c>
      <c r="RU16" s="1680" t="s">
        <v>8270</v>
      </c>
      <c r="RV16" s="1680" t="s">
        <v>8270</v>
      </c>
      <c r="RW16" s="1680" t="s">
        <v>8271</v>
      </c>
      <c r="RX16" s="1680" t="s">
        <v>8272</v>
      </c>
      <c r="RY16" s="1680" t="s">
        <v>7871</v>
      </c>
      <c r="RZ16" s="1664" t="s">
        <v>8273</v>
      </c>
      <c r="SA16" s="1680" t="s">
        <v>8274</v>
      </c>
      <c r="SB16" s="1680" t="s">
        <v>8275</v>
      </c>
      <c r="SC16" s="1664" t="s">
        <v>8276</v>
      </c>
      <c r="SD16" s="1680" t="s">
        <v>8277</v>
      </c>
      <c r="SE16" s="1680" t="s">
        <v>8277</v>
      </c>
      <c r="SF16" s="1680" t="s">
        <v>8278</v>
      </c>
      <c r="SG16" s="1686" t="s">
        <v>8279</v>
      </c>
      <c r="SH16" s="1680" t="s">
        <v>7795</v>
      </c>
      <c r="SI16" s="1680" t="s">
        <v>8199</v>
      </c>
      <c r="SJ16" s="1680" t="s">
        <v>8280</v>
      </c>
      <c r="SK16" s="1680" t="s">
        <v>8280</v>
      </c>
      <c r="SL16" s="1680" t="s">
        <v>8281</v>
      </c>
    </row>
    <row r="17" ht="15.75" customHeight="1">
      <c r="A17" s="1517"/>
      <c r="B17" s="293" t="s">
        <v>8282</v>
      </c>
      <c r="C17" s="293" t="s">
        <v>8283</v>
      </c>
      <c r="D17" s="293" t="s">
        <v>7769</v>
      </c>
      <c r="E17" s="1671" t="s">
        <v>8284</v>
      </c>
      <c r="F17" s="1671" t="s">
        <v>8285</v>
      </c>
      <c r="G17" s="1671" t="s">
        <v>7570</v>
      </c>
      <c r="H17" s="1672" t="s">
        <v>8286</v>
      </c>
      <c r="I17" s="1672" t="s">
        <v>8287</v>
      </c>
      <c r="J17" s="1672" t="s">
        <v>7298</v>
      </c>
      <c r="K17" s="293"/>
      <c r="L17" s="293"/>
      <c r="M17" s="420" t="s">
        <v>8254</v>
      </c>
      <c r="N17" s="1673"/>
      <c r="O17" s="364"/>
      <c r="P17" s="364" t="s">
        <v>8288</v>
      </c>
      <c r="Q17" s="1673" t="s">
        <v>7926</v>
      </c>
      <c r="R17" s="1673" t="s">
        <v>8289</v>
      </c>
      <c r="S17" s="1673" t="s">
        <v>7350</v>
      </c>
      <c r="T17" s="464" t="s">
        <v>8290</v>
      </c>
      <c r="U17" s="1673" t="s">
        <v>8291</v>
      </c>
      <c r="V17" s="1673" t="s">
        <v>8292</v>
      </c>
      <c r="W17" s="1673" t="s">
        <v>7575</v>
      </c>
      <c r="X17" s="464" t="s">
        <v>8293</v>
      </c>
      <c r="Y17" s="464" t="s">
        <v>8294</v>
      </c>
      <c r="Z17" s="364" t="s">
        <v>8295</v>
      </c>
      <c r="AA17" s="364"/>
      <c r="AB17" s="364" t="s">
        <v>7694</v>
      </c>
      <c r="AC17" s="364" t="s">
        <v>7495</v>
      </c>
      <c r="AD17" s="1672" t="s">
        <v>8296</v>
      </c>
      <c r="AE17" s="1672" t="s">
        <v>8297</v>
      </c>
      <c r="AF17" s="1672"/>
      <c r="AG17" s="464" t="s">
        <v>8296</v>
      </c>
      <c r="AH17" s="464" t="s">
        <v>8297</v>
      </c>
      <c r="AI17" s="464"/>
      <c r="AJ17" s="1674" t="s">
        <v>7499</v>
      </c>
      <c r="AK17" s="1674"/>
      <c r="AL17" s="1673" t="s">
        <v>8298</v>
      </c>
      <c r="AM17" s="364"/>
      <c r="AN17" s="1674" t="s">
        <v>8299</v>
      </c>
      <c r="AO17" s="1674"/>
      <c r="AP17" s="464" t="s">
        <v>8300</v>
      </c>
      <c r="AQ17" s="464" t="s">
        <v>8301</v>
      </c>
      <c r="AR17" s="1672" t="s">
        <v>8201</v>
      </c>
      <c r="AS17" s="1672" t="s">
        <v>8302</v>
      </c>
      <c r="AT17" s="1671"/>
      <c r="AU17" s="1671" t="s">
        <v>8303</v>
      </c>
      <c r="AV17" s="1671" t="s">
        <v>8304</v>
      </c>
      <c r="AW17" s="464" t="s">
        <v>8305</v>
      </c>
      <c r="AX17" s="464" t="s">
        <v>7528</v>
      </c>
      <c r="AY17" s="1673" t="s">
        <v>8306</v>
      </c>
      <c r="AZ17" s="1673" t="s">
        <v>7724</v>
      </c>
      <c r="BA17" s="364" t="s">
        <v>8298</v>
      </c>
      <c r="BB17" s="364" t="s">
        <v>7650</v>
      </c>
      <c r="BC17" s="364" t="s">
        <v>8307</v>
      </c>
      <c r="BD17" s="1672" t="s">
        <v>7782</v>
      </c>
      <c r="BE17" s="1673" t="s">
        <v>8160</v>
      </c>
      <c r="BF17" s="1673" t="s">
        <v>8308</v>
      </c>
      <c r="BG17" s="1673" t="s">
        <v>7957</v>
      </c>
      <c r="BH17" s="1673"/>
      <c r="BI17" s="1672" t="s">
        <v>8309</v>
      </c>
      <c r="BJ17" s="1672" t="s">
        <v>8310</v>
      </c>
      <c r="BK17" s="1672"/>
      <c r="BL17" s="1673"/>
      <c r="BM17" s="1673" t="s">
        <v>8311</v>
      </c>
      <c r="BN17" s="1673" t="s">
        <v>7827</v>
      </c>
      <c r="BO17" s="1675" t="s">
        <v>8312</v>
      </c>
      <c r="BP17" s="1675" t="s">
        <v>8313</v>
      </c>
      <c r="BQ17" s="1675" t="s">
        <v>7793</v>
      </c>
      <c r="BR17" s="293" t="s">
        <v>8093</v>
      </c>
      <c r="BS17" s="293" t="s">
        <v>8314</v>
      </c>
      <c r="BT17" s="293"/>
      <c r="BU17" s="1672" t="s">
        <v>8315</v>
      </c>
      <c r="BV17" s="1672" t="s">
        <v>8316</v>
      </c>
      <c r="BW17" s="1673" t="s">
        <v>8317</v>
      </c>
      <c r="BX17" s="1673" t="s">
        <v>8318</v>
      </c>
      <c r="BY17" s="1673" t="s">
        <v>7606</v>
      </c>
      <c r="BZ17" s="364" t="s">
        <v>8319</v>
      </c>
      <c r="CA17" s="364" t="s">
        <v>7607</v>
      </c>
      <c r="CB17" s="1674" t="s">
        <v>8320</v>
      </c>
      <c r="CC17" s="1674" t="s">
        <v>8321</v>
      </c>
      <c r="CD17" s="1675" t="s">
        <v>8140</v>
      </c>
      <c r="CE17" s="1675" t="s">
        <v>8256</v>
      </c>
      <c r="CF17" s="1673" t="s">
        <v>8322</v>
      </c>
      <c r="CG17" s="1673" t="s">
        <v>8323</v>
      </c>
      <c r="CH17" s="1673" t="s">
        <v>7837</v>
      </c>
      <c r="CI17" s="254" t="s">
        <v>8324</v>
      </c>
      <c r="CJ17" s="254" t="s">
        <v>8324</v>
      </c>
      <c r="CK17" s="464" t="s">
        <v>8140</v>
      </c>
      <c r="CL17" s="464" t="s">
        <v>7375</v>
      </c>
      <c r="CM17" s="464" t="s">
        <v>7976</v>
      </c>
      <c r="CN17" s="464"/>
      <c r="CO17" s="464" t="s">
        <v>8325</v>
      </c>
      <c r="CP17" s="464" t="s">
        <v>7793</v>
      </c>
      <c r="CQ17" s="464" t="s">
        <v>7793</v>
      </c>
      <c r="CR17" s="1675" t="s">
        <v>7915</v>
      </c>
      <c r="CS17" s="364" t="s">
        <v>8326</v>
      </c>
      <c r="CT17" s="364" t="s">
        <v>7841</v>
      </c>
      <c r="CU17" s="1671" t="s">
        <v>8327</v>
      </c>
      <c r="CV17" s="1671" t="s">
        <v>7346</v>
      </c>
      <c r="CW17" s="1671" t="s">
        <v>8328</v>
      </c>
      <c r="CX17" s="1671" t="s">
        <v>8329</v>
      </c>
      <c r="CY17" s="1674" t="s">
        <v>8330</v>
      </c>
      <c r="CZ17" s="364"/>
      <c r="DA17" s="1673" t="s">
        <v>8331</v>
      </c>
      <c r="DB17" s="1673" t="s">
        <v>8332</v>
      </c>
      <c r="DC17" s="1673" t="s">
        <v>8333</v>
      </c>
      <c r="DD17" s="1673" t="s">
        <v>8152</v>
      </c>
      <c r="DE17" s="1674" t="s">
        <v>8230</v>
      </c>
      <c r="DF17" s="464" t="s">
        <v>8334</v>
      </c>
      <c r="DG17" s="464" t="s">
        <v>8084</v>
      </c>
      <c r="DH17" s="1675" t="s">
        <v>8335</v>
      </c>
      <c r="DI17" s="1675" t="s">
        <v>8085</v>
      </c>
      <c r="DJ17" s="1674" t="s">
        <v>8336</v>
      </c>
      <c r="DK17" s="1672" t="s">
        <v>7414</v>
      </c>
      <c r="DL17" s="1673" t="s">
        <v>8337</v>
      </c>
      <c r="DM17" s="1672" t="s">
        <v>7888</v>
      </c>
      <c r="DN17" s="1672" t="s">
        <v>8033</v>
      </c>
      <c r="DO17" s="1671" t="s">
        <v>7735</v>
      </c>
      <c r="DP17" s="1671" t="s">
        <v>7894</v>
      </c>
      <c r="DQ17" s="1673" t="s">
        <v>8338</v>
      </c>
      <c r="DR17" s="464"/>
      <c r="DS17" s="1674" t="s">
        <v>8257</v>
      </c>
      <c r="DT17" s="293" t="s">
        <v>8339</v>
      </c>
      <c r="DU17" s="1671" t="s">
        <v>8340</v>
      </c>
      <c r="DV17" s="364" t="s">
        <v>8123</v>
      </c>
      <c r="DW17" s="1671" t="s">
        <v>8341</v>
      </c>
      <c r="DX17" s="1673" t="s">
        <v>8342</v>
      </c>
      <c r="DY17" s="1673" t="s">
        <v>8343</v>
      </c>
      <c r="DZ17" s="1671"/>
      <c r="EA17" s="1672" t="s">
        <v>8344</v>
      </c>
      <c r="EB17" s="1672" t="s">
        <v>8089</v>
      </c>
      <c r="EC17" s="464"/>
      <c r="ED17" s="1673" t="s">
        <v>8345</v>
      </c>
      <c r="EE17" s="1695" t="s">
        <v>8346</v>
      </c>
      <c r="EF17" s="1707" t="s">
        <v>8346</v>
      </c>
      <c r="EG17" s="1708" t="s">
        <v>8347</v>
      </c>
      <c r="EH17" s="1674" t="s">
        <v>8348</v>
      </c>
      <c r="EI17" s="1702" t="s">
        <v>8349</v>
      </c>
      <c r="EJ17" s="1672" t="s">
        <v>7604</v>
      </c>
      <c r="EK17" s="1673" t="s">
        <v>8350</v>
      </c>
      <c r="EL17" s="1673" t="s">
        <v>8351</v>
      </c>
      <c r="EM17" s="464" t="s">
        <v>8352</v>
      </c>
      <c r="EN17" s="1676" t="s">
        <v>8076</v>
      </c>
      <c r="EO17" s="1672" t="s">
        <v>8353</v>
      </c>
      <c r="EP17" s="364" t="s">
        <v>8353</v>
      </c>
      <c r="EQ17" s="364" t="s">
        <v>8353</v>
      </c>
      <c r="ER17" s="1672" t="s">
        <v>8354</v>
      </c>
      <c r="ES17" s="1672" t="s">
        <v>8355</v>
      </c>
      <c r="ET17" s="1673" t="s">
        <v>7637</v>
      </c>
      <c r="EU17" s="464" t="s">
        <v>8356</v>
      </c>
      <c r="EV17" s="1674" t="s">
        <v>8357</v>
      </c>
      <c r="EW17" s="293" t="s">
        <v>8358</v>
      </c>
      <c r="EX17" s="1669" t="s">
        <v>8359</v>
      </c>
      <c r="EY17" s="293" t="s">
        <v>7873</v>
      </c>
      <c r="EZ17" s="364" t="s">
        <v>8360</v>
      </c>
      <c r="FA17" s="364" t="s">
        <v>8361</v>
      </c>
      <c r="FB17" s="364" t="s">
        <v>7642</v>
      </c>
      <c r="FC17" s="1672" t="s">
        <v>8362</v>
      </c>
      <c r="FD17" s="1672" t="s">
        <v>8064</v>
      </c>
      <c r="FE17" s="1672" t="s">
        <v>8363</v>
      </c>
      <c r="FF17" s="1673" t="s">
        <v>8364</v>
      </c>
      <c r="FG17" s="1673" t="s">
        <v>7500</v>
      </c>
      <c r="FH17" s="1673" t="s">
        <v>8076</v>
      </c>
      <c r="FI17" s="1673" t="s">
        <v>8365</v>
      </c>
      <c r="FJ17" s="1671" t="s">
        <v>8017</v>
      </c>
      <c r="FK17" s="1671" t="s">
        <v>8366</v>
      </c>
      <c r="FL17" s="293" t="s">
        <v>8367</v>
      </c>
      <c r="FM17" s="1671" t="s">
        <v>8368</v>
      </c>
      <c r="FN17" s="464" t="s">
        <v>8050</v>
      </c>
      <c r="FO17" s="1672" t="s">
        <v>8369</v>
      </c>
      <c r="FP17" s="1672" t="s">
        <v>8370</v>
      </c>
      <c r="FQ17" s="364"/>
      <c r="FR17" s="1674"/>
      <c r="FS17" s="1674"/>
      <c r="FT17" s="254" t="s">
        <v>8371</v>
      </c>
      <c r="FU17" s="253" t="s">
        <v>7884</v>
      </c>
      <c r="FV17" s="293" t="s">
        <v>8372</v>
      </c>
      <c r="FW17" s="293" t="s">
        <v>8373</v>
      </c>
      <c r="FX17" s="253" t="s">
        <v>8374</v>
      </c>
      <c r="FY17" s="1674" t="s">
        <v>8375</v>
      </c>
      <c r="FZ17" s="364" t="s">
        <v>7427</v>
      </c>
      <c r="GA17" s="293"/>
      <c r="GB17" s="1672" t="s">
        <v>8376</v>
      </c>
      <c r="GC17" s="1672" t="s">
        <v>7245</v>
      </c>
      <c r="GD17" s="1673" t="s">
        <v>8001</v>
      </c>
      <c r="GE17" s="293"/>
      <c r="GF17" s="1674" t="s">
        <v>8377</v>
      </c>
      <c r="GG17" s="293" t="s">
        <v>8378</v>
      </c>
      <c r="GH17" s="1672" t="s">
        <v>8378</v>
      </c>
      <c r="GI17" s="464" t="s">
        <v>8379</v>
      </c>
      <c r="GJ17" s="364" t="s">
        <v>7559</v>
      </c>
      <c r="GK17" s="364" t="s">
        <v>8129</v>
      </c>
      <c r="GL17" s="1671" t="s">
        <v>8380</v>
      </c>
      <c r="GM17" s="1672" t="s">
        <v>8063</v>
      </c>
      <c r="GN17" s="1672" t="s">
        <v>7692</v>
      </c>
      <c r="GO17" s="1709" t="s">
        <v>8381</v>
      </c>
      <c r="GP17" s="1710" t="s">
        <v>8347</v>
      </c>
      <c r="GQ17" s="1676" t="s">
        <v>6889</v>
      </c>
      <c r="GR17" s="1674" t="s">
        <v>8261</v>
      </c>
      <c r="GS17" s="1675" t="s">
        <v>8382</v>
      </c>
      <c r="GT17" s="1676"/>
      <c r="GU17" s="1672"/>
      <c r="GV17" s="364" t="s">
        <v>7528</v>
      </c>
      <c r="GW17" s="1675" t="s">
        <v>8383</v>
      </c>
      <c r="GX17" s="464" t="s">
        <v>8384</v>
      </c>
      <c r="GY17" s="364" t="s">
        <v>8385</v>
      </c>
      <c r="GZ17" s="464" t="s">
        <v>8386</v>
      </c>
      <c r="HA17" s="1675" t="s">
        <v>7104</v>
      </c>
      <c r="HB17" s="1674" t="s">
        <v>8387</v>
      </c>
      <c r="HC17" s="464" t="s">
        <v>8388</v>
      </c>
      <c r="HD17" s="1675" t="s">
        <v>8389</v>
      </c>
      <c r="HE17" s="1671" t="s">
        <v>8390</v>
      </c>
      <c r="HF17" s="364" t="s">
        <v>8391</v>
      </c>
      <c r="HG17" s="1672" t="s">
        <v>8392</v>
      </c>
      <c r="HH17" s="1711" t="s">
        <v>8393</v>
      </c>
      <c r="HI17" s="1673" t="s">
        <v>8394</v>
      </c>
      <c r="HJ17" s="1673" t="s">
        <v>8395</v>
      </c>
      <c r="HK17" s="1671" t="s">
        <v>8396</v>
      </c>
      <c r="HL17" s="1671" t="s">
        <v>8397</v>
      </c>
      <c r="HM17" s="1673" t="s">
        <v>8067</v>
      </c>
      <c r="HN17" s="1673" t="s">
        <v>8145</v>
      </c>
      <c r="HO17" s="1674" t="s">
        <v>8398</v>
      </c>
      <c r="HP17" s="1675" t="s">
        <v>8399</v>
      </c>
      <c r="HQ17" s="1671" t="s">
        <v>8400</v>
      </c>
      <c r="HR17" s="1671" t="s">
        <v>8401</v>
      </c>
      <c r="HS17" s="464" t="s">
        <v>7208</v>
      </c>
      <c r="HT17" s="1675" t="s">
        <v>8306</v>
      </c>
      <c r="HU17" s="1676" t="s">
        <v>8402</v>
      </c>
      <c r="HV17" s="1676" t="s">
        <v>7905</v>
      </c>
      <c r="HW17" s="1672" t="s">
        <v>7603</v>
      </c>
      <c r="HX17" s="1672" t="s">
        <v>8188</v>
      </c>
      <c r="HY17" s="1675" t="s">
        <v>8403</v>
      </c>
      <c r="HZ17" s="1671" t="s">
        <v>8348</v>
      </c>
      <c r="IA17" s="1673" t="s">
        <v>8404</v>
      </c>
      <c r="IB17" s="253" t="s">
        <v>8405</v>
      </c>
      <c r="IC17" s="464"/>
      <c r="ID17" s="1673" t="s">
        <v>8406</v>
      </c>
      <c r="IE17" s="1674" t="s">
        <v>8407</v>
      </c>
      <c r="IF17" s="364" t="s">
        <v>8118</v>
      </c>
      <c r="IG17" s="1671" t="s">
        <v>8408</v>
      </c>
      <c r="IH17" s="1674" t="s">
        <v>8409</v>
      </c>
      <c r="II17" s="1674" t="s">
        <v>8336</v>
      </c>
      <c r="IJ17" s="364" t="s">
        <v>8286</v>
      </c>
      <c r="IK17" s="1673" t="s">
        <v>7742</v>
      </c>
      <c r="IL17" s="1672" t="s">
        <v>7741</v>
      </c>
      <c r="IM17" s="293" t="s">
        <v>8067</v>
      </c>
      <c r="IN17" s="1675" t="s">
        <v>8410</v>
      </c>
      <c r="IO17" s="293" t="s">
        <v>7295</v>
      </c>
      <c r="IP17" s="253" t="s">
        <v>8411</v>
      </c>
      <c r="IQ17" s="1671" t="s">
        <v>8412</v>
      </c>
      <c r="IR17" s="293" t="s">
        <v>8413</v>
      </c>
      <c r="IS17" s="293" t="s">
        <v>8414</v>
      </c>
      <c r="IT17" s="293" t="s">
        <v>8415</v>
      </c>
      <c r="IU17" s="293" t="s">
        <v>7677</v>
      </c>
      <c r="IV17" s="1671" t="s">
        <v>8416</v>
      </c>
      <c r="IW17" s="1671" t="s">
        <v>8417</v>
      </c>
      <c r="IX17" s="1671" t="s">
        <v>7905</v>
      </c>
      <c r="IY17" s="1672" t="s">
        <v>8418</v>
      </c>
      <c r="IZ17" s="1672" t="s">
        <v>8410</v>
      </c>
      <c r="JA17" s="1672" t="s">
        <v>7708</v>
      </c>
      <c r="JB17" s="1675" t="s">
        <v>8419</v>
      </c>
      <c r="JC17" s="1675" t="s">
        <v>7202</v>
      </c>
      <c r="JD17" s="1673" t="s">
        <v>8420</v>
      </c>
      <c r="JE17" s="253" t="s">
        <v>8136</v>
      </c>
      <c r="JF17" s="1671"/>
      <c r="JG17" s="253"/>
      <c r="JH17" s="364" t="s">
        <v>8421</v>
      </c>
      <c r="JI17" s="464"/>
      <c r="JJ17" s="293" t="s">
        <v>8421</v>
      </c>
      <c r="JK17" s="293"/>
      <c r="JL17" s="293" t="s">
        <v>8422</v>
      </c>
      <c r="JM17" s="293"/>
      <c r="JN17" s="1673"/>
      <c r="JO17" s="1673"/>
      <c r="JP17" s="1673"/>
      <c r="JQ17" s="1672" t="s">
        <v>8423</v>
      </c>
      <c r="JR17" s="1672" t="s">
        <v>8424</v>
      </c>
      <c r="JS17" s="253" t="s">
        <v>8425</v>
      </c>
      <c r="JT17" s="364" t="s">
        <v>8426</v>
      </c>
      <c r="JU17" s="253" t="s">
        <v>8427</v>
      </c>
      <c r="JV17" s="253" t="s">
        <v>8428</v>
      </c>
      <c r="JW17" s="253" t="s">
        <v>8429</v>
      </c>
      <c r="JX17" s="1672" t="s">
        <v>8430</v>
      </c>
      <c r="JY17" s="1672" t="s">
        <v>6908</v>
      </c>
      <c r="JZ17" s="1673" t="s">
        <v>8431</v>
      </c>
      <c r="KA17" s="293" t="s">
        <v>8432</v>
      </c>
      <c r="KB17" s="1673"/>
      <c r="KC17" s="253" t="s">
        <v>8433</v>
      </c>
      <c r="KD17" s="1673" t="s">
        <v>8178</v>
      </c>
      <c r="KE17" s="1675" t="s">
        <v>8434</v>
      </c>
      <c r="KF17" s="364" t="s">
        <v>8435</v>
      </c>
      <c r="KG17" s="1673" t="s">
        <v>8436</v>
      </c>
      <c r="KH17" s="1674" t="s">
        <v>8437</v>
      </c>
      <c r="KI17" s="1672" t="s">
        <v>8438</v>
      </c>
      <c r="KJ17" s="1672" t="s">
        <v>7698</v>
      </c>
      <c r="KK17" s="364" t="s">
        <v>8439</v>
      </c>
      <c r="KL17" s="1673" t="s">
        <v>8440</v>
      </c>
      <c r="KM17" s="1672"/>
      <c r="KN17" s="1675" t="s">
        <v>8441</v>
      </c>
      <c r="KO17" s="1674" t="s">
        <v>8299</v>
      </c>
      <c r="KP17" s="464"/>
      <c r="KQ17" s="464" t="s">
        <v>7941</v>
      </c>
      <c r="KR17" s="1676" t="s">
        <v>7620</v>
      </c>
      <c r="KS17" s="1675" t="s">
        <v>8442</v>
      </c>
      <c r="KT17" s="1675" t="s">
        <v>8443</v>
      </c>
      <c r="KU17" s="1675" t="s">
        <v>7705</v>
      </c>
      <c r="KV17" s="1672" t="s">
        <v>8444</v>
      </c>
      <c r="KW17" s="1671" t="s">
        <v>7706</v>
      </c>
      <c r="KX17" s="293" t="s">
        <v>7998</v>
      </c>
      <c r="KY17" s="364" t="s">
        <v>8445</v>
      </c>
      <c r="KZ17" s="364" t="s">
        <v>8122</v>
      </c>
      <c r="LA17" s="364" t="s">
        <v>8122</v>
      </c>
      <c r="LB17" s="1675" t="s">
        <v>8446</v>
      </c>
      <c r="LC17" s="464" t="s">
        <v>8446</v>
      </c>
      <c r="LD17" s="293" t="s">
        <v>7873</v>
      </c>
      <c r="LE17" s="293" t="s">
        <v>8447</v>
      </c>
      <c r="LF17" s="464" t="s">
        <v>8448</v>
      </c>
      <c r="LG17" s="1671" t="s">
        <v>8419</v>
      </c>
      <c r="LH17" s="1672" t="s">
        <v>8098</v>
      </c>
      <c r="LI17" s="1672" t="s">
        <v>7516</v>
      </c>
      <c r="LJ17" s="1672" t="s">
        <v>7516</v>
      </c>
      <c r="LK17" s="364" t="s">
        <v>8449</v>
      </c>
      <c r="LL17" s="1671" t="s">
        <v>8450</v>
      </c>
      <c r="LM17" s="1673" t="s">
        <v>8442</v>
      </c>
      <c r="LN17" s="1676" t="s">
        <v>8451</v>
      </c>
      <c r="LO17" s="464" t="s">
        <v>8451</v>
      </c>
      <c r="LP17" s="1673" t="s">
        <v>7927</v>
      </c>
      <c r="LQ17" s="1673" t="s">
        <v>8015</v>
      </c>
      <c r="LR17" s="293" t="s">
        <v>8015</v>
      </c>
      <c r="LS17" s="293" t="s">
        <v>8198</v>
      </c>
      <c r="LT17" s="293" t="s">
        <v>8452</v>
      </c>
      <c r="LU17" s="293" t="s">
        <v>8046</v>
      </c>
      <c r="LV17" s="1672" t="s">
        <v>8453</v>
      </c>
      <c r="LW17" s="1672" t="s">
        <v>8201</v>
      </c>
      <c r="LX17" s="253" t="s">
        <v>8386</v>
      </c>
      <c r="LY17" s="1676" t="s">
        <v>8454</v>
      </c>
      <c r="LZ17" s="364" t="s">
        <v>8455</v>
      </c>
      <c r="MA17" s="1671" t="s">
        <v>8456</v>
      </c>
      <c r="MB17" s="1675" t="s">
        <v>7920</v>
      </c>
      <c r="MC17" s="1672" t="s">
        <v>7538</v>
      </c>
      <c r="MD17" s="1671" t="s">
        <v>8457</v>
      </c>
      <c r="ME17" s="1671" t="s">
        <v>8458</v>
      </c>
      <c r="MF17" s="1673" t="s">
        <v>8061</v>
      </c>
      <c r="MG17" s="1676" t="s">
        <v>7967</v>
      </c>
      <c r="MH17" s="464" t="s">
        <v>8459</v>
      </c>
      <c r="MI17" s="293" t="s">
        <v>8460</v>
      </c>
      <c r="MJ17" s="1675" t="s">
        <v>8461</v>
      </c>
      <c r="MK17" s="1675" t="s">
        <v>8462</v>
      </c>
      <c r="ML17" s="1673"/>
      <c r="MM17" s="1674" t="s">
        <v>8463</v>
      </c>
      <c r="MN17" s="253"/>
      <c r="MO17" s="293" t="s">
        <v>8197</v>
      </c>
      <c r="MP17" s="1676" t="s">
        <v>8464</v>
      </c>
      <c r="MQ17" s="1676" t="s">
        <v>8046</v>
      </c>
      <c r="MR17" s="1676" t="s">
        <v>8465</v>
      </c>
      <c r="MS17" s="1676" t="s">
        <v>7288</v>
      </c>
      <c r="MT17" s="293" t="s">
        <v>8466</v>
      </c>
      <c r="MU17" s="1672" t="s">
        <v>8320</v>
      </c>
      <c r="MV17" s="253" t="s">
        <v>8202</v>
      </c>
      <c r="MW17" s="1672"/>
      <c r="MX17" s="1675" t="s">
        <v>8467</v>
      </c>
      <c r="MY17" s="1675" t="s">
        <v>7732</v>
      </c>
      <c r="MZ17" s="1672" t="s">
        <v>8340</v>
      </c>
      <c r="NA17" s="1672" t="s">
        <v>8468</v>
      </c>
      <c r="NB17" s="1672" t="s">
        <v>8217</v>
      </c>
      <c r="NC17" s="1672"/>
      <c r="ND17" s="1672" t="s">
        <v>6748</v>
      </c>
      <c r="NE17" s="1674" t="s">
        <v>6748</v>
      </c>
      <c r="NF17" s="1675" t="s">
        <v>7516</v>
      </c>
      <c r="NG17" s="1692" t="s">
        <v>8469</v>
      </c>
      <c r="NH17" s="1672" t="s">
        <v>8408</v>
      </c>
      <c r="NI17" s="253" t="s">
        <v>8470</v>
      </c>
      <c r="NJ17" s="1672" t="s">
        <v>7183</v>
      </c>
      <c r="NK17" s="1672"/>
      <c r="NL17" s="1672" t="s">
        <v>8471</v>
      </c>
      <c r="NM17" s="1672" t="s">
        <v>7981</v>
      </c>
      <c r="NN17" s="1673" t="s">
        <v>8472</v>
      </c>
      <c r="NO17" s="1672" t="s">
        <v>8278</v>
      </c>
      <c r="NP17" s="1675" t="s">
        <v>8473</v>
      </c>
      <c r="NQ17" s="1671" t="s">
        <v>8474</v>
      </c>
      <c r="NR17" s="1672" t="s">
        <v>8474</v>
      </c>
      <c r="NS17" s="1672" t="s">
        <v>8475</v>
      </c>
      <c r="NT17" s="1671" t="s">
        <v>8476</v>
      </c>
      <c r="NU17" s="293"/>
      <c r="NV17" s="364" t="s">
        <v>7562</v>
      </c>
      <c r="NW17" s="1671" t="s">
        <v>8226</v>
      </c>
      <c r="NX17" s="1671" t="s">
        <v>8226</v>
      </c>
      <c r="NY17" s="1671" t="s">
        <v>8228</v>
      </c>
      <c r="NZ17" s="1671" t="s">
        <v>8477</v>
      </c>
      <c r="OA17" s="293" t="s">
        <v>8478</v>
      </c>
      <c r="OB17" s="293" t="s">
        <v>8479</v>
      </c>
      <c r="OC17" s="293" t="s">
        <v>7748</v>
      </c>
      <c r="OD17" s="1673" t="s">
        <v>8284</v>
      </c>
      <c r="OE17" s="1673" t="s">
        <v>8480</v>
      </c>
      <c r="OF17" s="1673" t="s">
        <v>7847</v>
      </c>
      <c r="OG17" s="1672" t="s">
        <v>8481</v>
      </c>
      <c r="OH17" s="1672" t="s">
        <v>8482</v>
      </c>
      <c r="OI17" s="1672" t="s">
        <v>7752</v>
      </c>
      <c r="OJ17" s="1673" t="s">
        <v>8483</v>
      </c>
      <c r="OK17" s="1673" t="s">
        <v>8484</v>
      </c>
      <c r="OL17" s="1673" t="s">
        <v>8485</v>
      </c>
      <c r="OM17" s="1673" t="s">
        <v>8486</v>
      </c>
      <c r="ON17" s="1673" t="s">
        <v>8487</v>
      </c>
      <c r="OO17" s="1671"/>
      <c r="OP17" s="1671" t="s">
        <v>7573</v>
      </c>
      <c r="OQ17" s="1672" t="s">
        <v>8488</v>
      </c>
      <c r="OR17" s="1672" t="s">
        <v>7693</v>
      </c>
      <c r="OS17" s="1672" t="s">
        <v>7991</v>
      </c>
      <c r="OT17" s="293"/>
      <c r="OU17" s="293"/>
      <c r="OV17" s="1672" t="s">
        <v>8489</v>
      </c>
      <c r="OW17" s="1672" t="s">
        <v>7402</v>
      </c>
      <c r="OX17" s="1675" t="s">
        <v>8490</v>
      </c>
      <c r="OY17" s="1675" t="s">
        <v>8491</v>
      </c>
      <c r="OZ17" s="293"/>
      <c r="PA17" s="293" t="s">
        <v>8243</v>
      </c>
      <c r="PB17" s="364" t="s">
        <v>8243</v>
      </c>
      <c r="PC17" s="1674" t="s">
        <v>8242</v>
      </c>
      <c r="PD17" s="364" t="s">
        <v>8492</v>
      </c>
      <c r="PE17" s="364"/>
      <c r="PF17" s="364" t="s">
        <v>7649</v>
      </c>
      <c r="PG17" s="253" t="s">
        <v>8493</v>
      </c>
      <c r="PH17" s="1673" t="s">
        <v>8494</v>
      </c>
      <c r="PI17" s="1673" t="s">
        <v>8471</v>
      </c>
      <c r="PJ17" s="1674" t="s">
        <v>8495</v>
      </c>
      <c r="PK17" s="1674" t="s">
        <v>8159</v>
      </c>
      <c r="PL17" s="464" t="s">
        <v>8496</v>
      </c>
      <c r="PM17" s="464" t="s">
        <v>8497</v>
      </c>
      <c r="PN17" s="464" t="s">
        <v>8379</v>
      </c>
      <c r="PO17" s="464" t="s">
        <v>8498</v>
      </c>
      <c r="PP17" s="1698" t="s">
        <v>8499</v>
      </c>
      <c r="PQ17" s="1673" t="s">
        <v>8500</v>
      </c>
      <c r="PR17" s="1673" t="s">
        <v>7578</v>
      </c>
      <c r="PS17" s="464"/>
      <c r="PT17" s="1676"/>
      <c r="PU17" s="1675" t="s">
        <v>8501</v>
      </c>
      <c r="PV17" s="1675" t="s">
        <v>7929</v>
      </c>
      <c r="PW17" s="364"/>
      <c r="PX17" s="464" t="s">
        <v>8502</v>
      </c>
      <c r="PY17" s="464" t="s">
        <v>7874</v>
      </c>
      <c r="PZ17" s="293" t="s">
        <v>8503</v>
      </c>
      <c r="QA17" s="293" t="s">
        <v>8009</v>
      </c>
      <c r="QB17" s="1673" t="s">
        <v>8504</v>
      </c>
      <c r="QC17" s="1674" t="s">
        <v>8505</v>
      </c>
      <c r="QD17" s="1674"/>
      <c r="QE17" s="1676" t="s">
        <v>8506</v>
      </c>
      <c r="QF17" s="464" t="s">
        <v>8199</v>
      </c>
      <c r="QG17" s="1672" t="s">
        <v>8507</v>
      </c>
      <c r="QH17" s="1672" t="s">
        <v>8508</v>
      </c>
      <c r="QI17" s="1672" t="s">
        <v>8260</v>
      </c>
      <c r="QJ17" s="1676" t="s">
        <v>8509</v>
      </c>
      <c r="QK17" s="1672" t="s">
        <v>8142</v>
      </c>
      <c r="QL17" s="1672" t="s">
        <v>8510</v>
      </c>
      <c r="QM17" s="1673" t="s">
        <v>8511</v>
      </c>
      <c r="QN17" s="1673" t="s">
        <v>8512</v>
      </c>
      <c r="QO17" s="464" t="s">
        <v>8513</v>
      </c>
      <c r="QP17" s="464" t="s">
        <v>7696</v>
      </c>
      <c r="QQ17" s="1672" t="s">
        <v>8514</v>
      </c>
      <c r="QR17" s="1672" t="s">
        <v>8264</v>
      </c>
      <c r="QS17" s="293" t="s">
        <v>8515</v>
      </c>
      <c r="QT17" s="1672" t="s">
        <v>8516</v>
      </c>
      <c r="QU17" s="1672" t="s">
        <v>7782</v>
      </c>
      <c r="QV17" s="1672" t="s">
        <v>7564</v>
      </c>
      <c r="QW17" s="254" t="s">
        <v>8517</v>
      </c>
      <c r="QX17" s="253" t="s">
        <v>8267</v>
      </c>
      <c r="QY17" s="1676" t="s">
        <v>8518</v>
      </c>
      <c r="QZ17" s="1675" t="s">
        <v>7624</v>
      </c>
      <c r="RA17" s="1674" t="s">
        <v>8230</v>
      </c>
      <c r="RB17" s="1675" t="s">
        <v>8085</v>
      </c>
      <c r="RC17" s="1672" t="s">
        <v>8087</v>
      </c>
      <c r="RD17" s="364" t="s">
        <v>7624</v>
      </c>
      <c r="RE17" s="1671" t="s">
        <v>8092</v>
      </c>
      <c r="RF17" s="253"/>
      <c r="RG17" s="293" t="s">
        <v>7609</v>
      </c>
      <c r="RH17" s="293" t="s">
        <v>7518</v>
      </c>
      <c r="RI17" s="1712" t="s">
        <v>8519</v>
      </c>
      <c r="RJ17" s="464" t="s">
        <v>7660</v>
      </c>
      <c r="RK17" s="1673" t="s">
        <v>7536</v>
      </c>
      <c r="RL17" s="1671" t="s">
        <v>7624</v>
      </c>
      <c r="RM17" s="253" t="s">
        <v>8520</v>
      </c>
      <c r="RN17" s="1675" t="s">
        <v>7701</v>
      </c>
      <c r="RO17" s="1676" t="s">
        <v>7288</v>
      </c>
      <c r="RP17" s="254" t="s">
        <v>8521</v>
      </c>
      <c r="RQ17" s="1671" t="s">
        <v>8295</v>
      </c>
      <c r="RR17" s="1671" t="s">
        <v>8295</v>
      </c>
      <c r="RS17" s="1671" t="s">
        <v>8295</v>
      </c>
      <c r="RT17" s="1671" t="s">
        <v>8295</v>
      </c>
      <c r="RU17" s="1671" t="s">
        <v>8295</v>
      </c>
      <c r="RV17" s="1671" t="s">
        <v>8295</v>
      </c>
      <c r="RW17" s="364" t="s">
        <v>8522</v>
      </c>
      <c r="RX17" s="1674" t="s">
        <v>8522</v>
      </c>
      <c r="RY17" s="1672" t="s">
        <v>8522</v>
      </c>
      <c r="RZ17" s="253" t="s">
        <v>8523</v>
      </c>
      <c r="SA17" s="464" t="s">
        <v>8524</v>
      </c>
      <c r="SB17" s="1673" t="s">
        <v>8525</v>
      </c>
      <c r="SC17" s="253" t="s">
        <v>8526</v>
      </c>
      <c r="SD17" s="1676" t="s">
        <v>8527</v>
      </c>
      <c r="SE17" s="1676" t="s">
        <v>8527</v>
      </c>
      <c r="SF17" s="364" t="s">
        <v>8528</v>
      </c>
      <c r="SG17" s="1702" t="s">
        <v>8529</v>
      </c>
      <c r="SH17" s="1672" t="s">
        <v>8027</v>
      </c>
      <c r="SI17" s="1676" t="s">
        <v>8530</v>
      </c>
      <c r="SJ17" s="293" t="s">
        <v>8531</v>
      </c>
      <c r="SK17" s="293" t="s">
        <v>8531</v>
      </c>
      <c r="SL17" s="1675" t="s">
        <v>8532</v>
      </c>
    </row>
    <row r="18" ht="15.75" customHeight="1">
      <c r="A18" s="1517"/>
      <c r="B18" s="1680" t="s">
        <v>8533</v>
      </c>
      <c r="C18" s="1680" t="s">
        <v>8534</v>
      </c>
      <c r="D18" s="1680" t="s">
        <v>8535</v>
      </c>
      <c r="E18" s="1680" t="s">
        <v>8536</v>
      </c>
      <c r="F18" s="1680" t="s">
        <v>8537</v>
      </c>
      <c r="G18" s="1680" t="s">
        <v>7777</v>
      </c>
      <c r="H18" s="1680" t="s">
        <v>8538</v>
      </c>
      <c r="I18" s="1680" t="s">
        <v>8279</v>
      </c>
      <c r="J18" s="1680" t="s">
        <v>7801</v>
      </c>
      <c r="K18" s="1680"/>
      <c r="L18" s="1680"/>
      <c r="M18" s="1680" t="s">
        <v>8320</v>
      </c>
      <c r="N18" s="1680"/>
      <c r="O18" s="1680"/>
      <c r="P18" s="1680" t="s">
        <v>8246</v>
      </c>
      <c r="Q18" s="1680" t="s">
        <v>8539</v>
      </c>
      <c r="R18" s="1680" t="s">
        <v>8540</v>
      </c>
      <c r="S18" s="1680" t="s">
        <v>7575</v>
      </c>
      <c r="T18" s="1680" t="s">
        <v>8541</v>
      </c>
      <c r="U18" s="1680" t="s">
        <v>8542</v>
      </c>
      <c r="V18" s="1680" t="s">
        <v>8543</v>
      </c>
      <c r="W18" s="1680" t="s">
        <v>8544</v>
      </c>
      <c r="X18" s="1680" t="s">
        <v>8300</v>
      </c>
      <c r="Y18" s="1680" t="s">
        <v>7778</v>
      </c>
      <c r="Z18" s="1680" t="s">
        <v>8545</v>
      </c>
      <c r="AA18" s="1680"/>
      <c r="AB18" s="1680" t="s">
        <v>8546</v>
      </c>
      <c r="AC18" s="1680" t="s">
        <v>8385</v>
      </c>
      <c r="AD18" s="1680" t="s">
        <v>8547</v>
      </c>
      <c r="AE18" s="1680" t="s">
        <v>8548</v>
      </c>
      <c r="AF18" s="1680"/>
      <c r="AG18" s="1680" t="s">
        <v>8547</v>
      </c>
      <c r="AH18" s="1680" t="s">
        <v>8548</v>
      </c>
      <c r="AI18" s="1680"/>
      <c r="AJ18" s="1680" t="s">
        <v>7914</v>
      </c>
      <c r="AK18" s="1680"/>
      <c r="AL18" s="1680" t="s">
        <v>8549</v>
      </c>
      <c r="AM18" s="1680"/>
      <c r="AN18" s="1680" t="s">
        <v>8550</v>
      </c>
      <c r="AO18" s="1680"/>
      <c r="AP18" s="1680" t="s">
        <v>8444</v>
      </c>
      <c r="AQ18" s="1680" t="s">
        <v>8169</v>
      </c>
      <c r="AR18" s="1680" t="s">
        <v>7831</v>
      </c>
      <c r="AS18" s="1680" t="s">
        <v>8551</v>
      </c>
      <c r="AT18" s="1680"/>
      <c r="AU18" s="1680" t="s">
        <v>8315</v>
      </c>
      <c r="AV18" s="1680" t="s">
        <v>8552</v>
      </c>
      <c r="AW18" s="1680" t="s">
        <v>8430</v>
      </c>
      <c r="AX18" s="1680" t="s">
        <v>8305</v>
      </c>
      <c r="AY18" s="1680" t="s">
        <v>8507</v>
      </c>
      <c r="AZ18" s="1680" t="s">
        <v>8553</v>
      </c>
      <c r="BA18" s="1680" t="s">
        <v>8554</v>
      </c>
      <c r="BB18" s="1680" t="s">
        <v>8054</v>
      </c>
      <c r="BC18" s="1680" t="s">
        <v>8555</v>
      </c>
      <c r="BD18" s="1662" t="s">
        <v>8556</v>
      </c>
      <c r="BE18" s="1680" t="s">
        <v>7847</v>
      </c>
      <c r="BF18" s="1680" t="s">
        <v>8557</v>
      </c>
      <c r="BG18" s="1680" t="s">
        <v>8558</v>
      </c>
      <c r="BH18" s="1680"/>
      <c r="BI18" s="1680" t="s">
        <v>8399</v>
      </c>
      <c r="BJ18" s="1680" t="s">
        <v>6608</v>
      </c>
      <c r="BK18" s="1680"/>
      <c r="BL18" s="1680"/>
      <c r="BM18" s="1680" t="s">
        <v>8559</v>
      </c>
      <c r="BN18" s="1680" t="s">
        <v>8061</v>
      </c>
      <c r="BO18" s="1680" t="s">
        <v>8560</v>
      </c>
      <c r="BP18" s="1680" t="s">
        <v>8561</v>
      </c>
      <c r="BQ18" s="1680" t="s">
        <v>8063</v>
      </c>
      <c r="BR18" s="1680" t="s">
        <v>8562</v>
      </c>
      <c r="BS18" s="1680" t="s">
        <v>8563</v>
      </c>
      <c r="BT18" s="1680"/>
      <c r="BU18" s="1680" t="s">
        <v>8564</v>
      </c>
      <c r="BV18" s="1680" t="s">
        <v>8565</v>
      </c>
      <c r="BW18" s="1680" t="s">
        <v>8566</v>
      </c>
      <c r="BX18" s="1680" t="s">
        <v>8567</v>
      </c>
      <c r="BY18" s="1680" t="s">
        <v>7834</v>
      </c>
      <c r="BZ18" s="1686" t="s">
        <v>8568</v>
      </c>
      <c r="CA18" s="1680" t="s">
        <v>7835</v>
      </c>
      <c r="CB18" s="1680" t="s">
        <v>8569</v>
      </c>
      <c r="CC18" s="1680" t="s">
        <v>7979</v>
      </c>
      <c r="CD18" s="1680" t="s">
        <v>8118</v>
      </c>
      <c r="CE18" s="1680" t="s">
        <v>8064</v>
      </c>
      <c r="CF18" s="1680" t="s">
        <v>7964</v>
      </c>
      <c r="CG18" s="1680" t="s">
        <v>8570</v>
      </c>
      <c r="CH18" s="1680" t="s">
        <v>8571</v>
      </c>
      <c r="CI18" s="1682" t="s">
        <v>7715</v>
      </c>
      <c r="CJ18" s="1682" t="s">
        <v>7715</v>
      </c>
      <c r="CK18" s="1680" t="s">
        <v>8454</v>
      </c>
      <c r="CL18" s="1680" t="s">
        <v>8073</v>
      </c>
      <c r="CM18" s="1680" t="s">
        <v>8572</v>
      </c>
      <c r="CN18" s="1680"/>
      <c r="CO18" s="1680" t="s">
        <v>8573</v>
      </c>
      <c r="CP18" s="1680" t="s">
        <v>7831</v>
      </c>
      <c r="CQ18" s="1680" t="s">
        <v>7831</v>
      </c>
      <c r="CR18" s="1680" t="s">
        <v>8574</v>
      </c>
      <c r="CS18" s="1680" t="s">
        <v>8575</v>
      </c>
      <c r="CT18" s="1680" t="s">
        <v>8076</v>
      </c>
      <c r="CU18" s="1680" t="s">
        <v>8576</v>
      </c>
      <c r="CV18" s="1662" t="s">
        <v>8577</v>
      </c>
      <c r="CW18" s="1680" t="s">
        <v>8578</v>
      </c>
      <c r="CX18" s="1680" t="s">
        <v>8579</v>
      </c>
      <c r="CY18" s="1680" t="s">
        <v>8055</v>
      </c>
      <c r="CZ18" s="1680"/>
      <c r="DA18" s="1680" t="s">
        <v>8580</v>
      </c>
      <c r="DB18" s="1680" t="s">
        <v>8581</v>
      </c>
      <c r="DC18" s="1680" t="s">
        <v>8582</v>
      </c>
      <c r="DD18" s="1680" t="s">
        <v>8583</v>
      </c>
      <c r="DE18" s="1680" t="s">
        <v>8584</v>
      </c>
      <c r="DF18" s="1662" t="s">
        <v>8585</v>
      </c>
      <c r="DG18" s="1680" t="s">
        <v>8586</v>
      </c>
      <c r="DH18" s="1680" t="s">
        <v>8449</v>
      </c>
      <c r="DI18" s="1680" t="s">
        <v>8587</v>
      </c>
      <c r="DJ18" s="1680" t="s">
        <v>8588</v>
      </c>
      <c r="DK18" s="1680" t="s">
        <v>8589</v>
      </c>
      <c r="DL18" s="1680" t="s">
        <v>8590</v>
      </c>
      <c r="DM18" s="1680" t="s">
        <v>8104</v>
      </c>
      <c r="DN18" s="1680" t="s">
        <v>8591</v>
      </c>
      <c r="DO18" s="1680" t="s">
        <v>8097</v>
      </c>
      <c r="DP18" s="1680" t="s">
        <v>7735</v>
      </c>
      <c r="DQ18" s="1680" t="s">
        <v>8592</v>
      </c>
      <c r="DR18" s="1680"/>
      <c r="DS18" s="1680" t="s">
        <v>8505</v>
      </c>
      <c r="DT18" s="1680" t="s">
        <v>8386</v>
      </c>
      <c r="DU18" s="1680" t="s">
        <v>8593</v>
      </c>
      <c r="DV18" s="1686" t="s">
        <v>8594</v>
      </c>
      <c r="DW18" s="1686" t="s">
        <v>8595</v>
      </c>
      <c r="DX18" s="1680" t="s">
        <v>8520</v>
      </c>
      <c r="DY18" s="1680" t="s">
        <v>8596</v>
      </c>
      <c r="DZ18" s="1680"/>
      <c r="EA18" s="1680" t="s">
        <v>8597</v>
      </c>
      <c r="EB18" s="1680" t="s">
        <v>8598</v>
      </c>
      <c r="EC18" s="1680"/>
      <c r="ED18" s="1680" t="s">
        <v>8188</v>
      </c>
      <c r="EE18" s="1681" t="s">
        <v>8599</v>
      </c>
      <c r="EF18" s="1681" t="s">
        <v>7575</v>
      </c>
      <c r="EG18" s="1681" t="s">
        <v>7980</v>
      </c>
      <c r="EH18" s="1680" t="s">
        <v>8600</v>
      </c>
      <c r="EI18" s="1681" t="s">
        <v>8601</v>
      </c>
      <c r="EJ18" s="1680" t="s">
        <v>8602</v>
      </c>
      <c r="EK18" s="1680" t="s">
        <v>8603</v>
      </c>
      <c r="EL18" s="1680" t="s">
        <v>8604</v>
      </c>
      <c r="EM18" s="1680" t="s">
        <v>8456</v>
      </c>
      <c r="EN18" s="1680" t="s">
        <v>8605</v>
      </c>
      <c r="EO18" s="1680" t="s">
        <v>8606</v>
      </c>
      <c r="EP18" s="1680" t="s">
        <v>8607</v>
      </c>
      <c r="EQ18" s="1680" t="s">
        <v>8606</v>
      </c>
      <c r="ER18" s="1680" t="s">
        <v>8608</v>
      </c>
      <c r="ES18" s="1680" t="s">
        <v>8609</v>
      </c>
      <c r="ET18" s="1680" t="s">
        <v>7869</v>
      </c>
      <c r="EU18" s="1680" t="s">
        <v>8610</v>
      </c>
      <c r="EV18" s="1680"/>
      <c r="EW18" s="1680" t="s">
        <v>8611</v>
      </c>
      <c r="EX18" s="1681" t="s">
        <v>8612</v>
      </c>
      <c r="EY18" s="1680" t="s">
        <v>8535</v>
      </c>
      <c r="EZ18" s="1680" t="s">
        <v>8613</v>
      </c>
      <c r="FA18" s="1680" t="s">
        <v>8511</v>
      </c>
      <c r="FB18" s="1680" t="s">
        <v>7875</v>
      </c>
      <c r="FC18" s="1680" t="s">
        <v>7626</v>
      </c>
      <c r="FD18" s="1680" t="s">
        <v>8614</v>
      </c>
      <c r="FE18" s="1686" t="s">
        <v>8306</v>
      </c>
      <c r="FF18" s="1662" t="s">
        <v>8615</v>
      </c>
      <c r="FG18" s="1680" t="s">
        <v>8616</v>
      </c>
      <c r="FH18" s="1680" t="s">
        <v>8617</v>
      </c>
      <c r="FI18" s="1680" t="s">
        <v>8618</v>
      </c>
      <c r="FJ18" s="1680" t="s">
        <v>8363</v>
      </c>
      <c r="FK18" s="1680" t="s">
        <v>8619</v>
      </c>
      <c r="FL18" s="1680" t="s">
        <v>8620</v>
      </c>
      <c r="FM18" s="1680" t="s">
        <v>8263</v>
      </c>
      <c r="FN18" s="1680" t="s">
        <v>8301</v>
      </c>
      <c r="FO18" s="1680" t="s">
        <v>8621</v>
      </c>
      <c r="FP18" s="1680" t="s">
        <v>8622</v>
      </c>
      <c r="FQ18" s="1680"/>
      <c r="FR18" s="1680"/>
      <c r="FS18" s="1680"/>
      <c r="FT18" s="1683" t="s">
        <v>8619</v>
      </c>
      <c r="FU18" s="1664" t="s">
        <v>8119</v>
      </c>
      <c r="FV18" s="1680" t="s">
        <v>8623</v>
      </c>
      <c r="FW18" s="1680" t="s">
        <v>8624</v>
      </c>
      <c r="FX18" s="1664" t="s">
        <v>8625</v>
      </c>
      <c r="FY18" s="1680" t="s">
        <v>8626</v>
      </c>
      <c r="FZ18" s="1680" t="s">
        <v>7074</v>
      </c>
      <c r="GA18" s="1680"/>
      <c r="GB18" s="1680" t="s">
        <v>8627</v>
      </c>
      <c r="GC18" s="1680" t="s">
        <v>8628</v>
      </c>
      <c r="GD18" s="1680" t="s">
        <v>8504</v>
      </c>
      <c r="GE18" s="1680"/>
      <c r="GF18" s="1686" t="s">
        <v>8629</v>
      </c>
      <c r="GG18" s="1686" t="s">
        <v>7768</v>
      </c>
      <c r="GH18" s="1686" t="s">
        <v>7768</v>
      </c>
      <c r="GI18" s="1680" t="s">
        <v>8630</v>
      </c>
      <c r="GJ18" s="1680" t="s">
        <v>8631</v>
      </c>
      <c r="GK18" s="1680" t="s">
        <v>7559</v>
      </c>
      <c r="GL18" s="1680" t="s">
        <v>8632</v>
      </c>
      <c r="GM18" s="1680" t="s">
        <v>8569</v>
      </c>
      <c r="GN18" s="1680" t="s">
        <v>8633</v>
      </c>
      <c r="GO18" s="1681" t="s">
        <v>8634</v>
      </c>
      <c r="GP18" s="1713" t="s">
        <v>8635</v>
      </c>
      <c r="GQ18" s="1680" t="s">
        <v>8636</v>
      </c>
      <c r="GR18" s="1680" t="s">
        <v>8637</v>
      </c>
      <c r="GS18" s="1680" t="s">
        <v>8638</v>
      </c>
      <c r="GT18" s="1680"/>
      <c r="GU18" s="1680"/>
      <c r="GV18" s="1680" t="s">
        <v>8639</v>
      </c>
      <c r="GW18" s="1680" t="s">
        <v>8640</v>
      </c>
      <c r="GX18" s="1680" t="s">
        <v>8641</v>
      </c>
      <c r="GY18" s="1680" t="s">
        <v>8642</v>
      </c>
      <c r="GZ18" s="1680" t="s">
        <v>8507</v>
      </c>
      <c r="HA18" s="1680" t="s">
        <v>8643</v>
      </c>
      <c r="HB18" s="1680" t="s">
        <v>7620</v>
      </c>
      <c r="HC18" s="1680" t="s">
        <v>7732</v>
      </c>
      <c r="HD18" s="1680" t="s">
        <v>8644</v>
      </c>
      <c r="HE18" s="1680" t="s">
        <v>8386</v>
      </c>
      <c r="HF18" s="1680" t="s">
        <v>8645</v>
      </c>
      <c r="HG18" s="1680" t="s">
        <v>8093</v>
      </c>
      <c r="HH18" s="1681" t="s">
        <v>8646</v>
      </c>
      <c r="HI18" s="1680" t="s">
        <v>8647</v>
      </c>
      <c r="HJ18" s="1680" t="s">
        <v>8648</v>
      </c>
      <c r="HK18" s="1680" t="s">
        <v>7987</v>
      </c>
      <c r="HL18" s="1680" t="s">
        <v>8649</v>
      </c>
      <c r="HM18" s="1680" t="s">
        <v>8650</v>
      </c>
      <c r="HN18" s="1680" t="s">
        <v>8651</v>
      </c>
      <c r="HO18" s="1680" t="s">
        <v>7861</v>
      </c>
      <c r="HP18" s="1680" t="s">
        <v>8652</v>
      </c>
      <c r="HQ18" s="1680" t="s">
        <v>8653</v>
      </c>
      <c r="HR18" s="1680" t="s">
        <v>8654</v>
      </c>
      <c r="HS18" s="1680" t="s">
        <v>7578</v>
      </c>
      <c r="HT18" s="1680" t="s">
        <v>8557</v>
      </c>
      <c r="HU18" s="1680" t="s">
        <v>8655</v>
      </c>
      <c r="HV18" s="1680" t="s">
        <v>8656</v>
      </c>
      <c r="HW18" s="1680" t="s">
        <v>8033</v>
      </c>
      <c r="HX18" s="1680" t="s">
        <v>7790</v>
      </c>
      <c r="HY18" s="1680" t="s">
        <v>8657</v>
      </c>
      <c r="HZ18" s="1680" t="s">
        <v>8600</v>
      </c>
      <c r="IA18" s="1680" t="s">
        <v>8658</v>
      </c>
      <c r="IB18" s="1664" t="s">
        <v>8659</v>
      </c>
      <c r="IC18" s="1680"/>
      <c r="ID18" s="1680" t="s">
        <v>8660</v>
      </c>
      <c r="IE18" s="1680" t="s">
        <v>8326</v>
      </c>
      <c r="IF18" s="1686" t="s">
        <v>8661</v>
      </c>
      <c r="IG18" s="1686" t="s">
        <v>8662</v>
      </c>
      <c r="IH18" s="1680" t="s">
        <v>8663</v>
      </c>
      <c r="II18" s="1680" t="s">
        <v>8588</v>
      </c>
      <c r="IJ18" s="1680" t="s">
        <v>8664</v>
      </c>
      <c r="IK18" s="1680" t="s">
        <v>8664</v>
      </c>
      <c r="IL18" s="1680" t="s">
        <v>8664</v>
      </c>
      <c r="IM18" s="1680" t="s">
        <v>8337</v>
      </c>
      <c r="IN18" s="1680" t="s">
        <v>8608</v>
      </c>
      <c r="IO18" s="1680" t="s">
        <v>7718</v>
      </c>
      <c r="IP18" s="1664" t="s">
        <v>8665</v>
      </c>
      <c r="IQ18" s="1680" t="s">
        <v>8666</v>
      </c>
      <c r="IR18" s="1680" t="s">
        <v>8667</v>
      </c>
      <c r="IS18" s="1680" t="s">
        <v>8668</v>
      </c>
      <c r="IT18" s="1680" t="s">
        <v>8669</v>
      </c>
      <c r="IU18" s="1680" t="s">
        <v>7921</v>
      </c>
      <c r="IV18" s="1680" t="s">
        <v>8670</v>
      </c>
      <c r="IW18" s="1680" t="s">
        <v>8671</v>
      </c>
      <c r="IX18" s="1680" t="s">
        <v>8672</v>
      </c>
      <c r="IY18" s="1680" t="s">
        <v>8538</v>
      </c>
      <c r="IZ18" s="1680" t="s">
        <v>8673</v>
      </c>
      <c r="JA18" s="1680" t="s">
        <v>7753</v>
      </c>
      <c r="JB18" s="1680" t="s">
        <v>8674</v>
      </c>
      <c r="JC18" s="1680" t="s">
        <v>8675</v>
      </c>
      <c r="JD18" s="1680" t="s">
        <v>8581</v>
      </c>
      <c r="JE18" s="1664" t="s">
        <v>7960</v>
      </c>
      <c r="JF18" s="1680"/>
      <c r="JG18" s="1664"/>
      <c r="JH18" s="1662" t="s">
        <v>8676</v>
      </c>
      <c r="JI18" s="1680"/>
      <c r="JJ18" s="1662" t="s">
        <v>8676</v>
      </c>
      <c r="JK18" s="1680"/>
      <c r="JL18" s="1680" t="s">
        <v>8677</v>
      </c>
      <c r="JM18" s="1680"/>
      <c r="JN18" s="1680"/>
      <c r="JO18" s="1680"/>
      <c r="JP18" s="1680"/>
      <c r="JQ18" s="1680"/>
      <c r="JR18" s="1680" t="s">
        <v>8678</v>
      </c>
      <c r="JS18" s="1664" t="s">
        <v>8679</v>
      </c>
      <c r="JT18" s="1680" t="s">
        <v>8680</v>
      </c>
      <c r="JU18" s="1664" t="s">
        <v>8681</v>
      </c>
      <c r="JV18" s="1664" t="s">
        <v>8682</v>
      </c>
      <c r="JW18" s="1664" t="s">
        <v>6711</v>
      </c>
      <c r="JX18" s="1680" t="s">
        <v>8683</v>
      </c>
      <c r="JY18" s="1680" t="s">
        <v>8684</v>
      </c>
      <c r="JZ18" s="1680" t="s">
        <v>8685</v>
      </c>
      <c r="KA18" s="1680" t="s">
        <v>8686</v>
      </c>
      <c r="KB18" s="1680"/>
      <c r="KC18" s="1664"/>
      <c r="KD18" s="1680" t="s">
        <v>8687</v>
      </c>
      <c r="KE18" s="1680"/>
      <c r="KF18" s="1680" t="s">
        <v>8688</v>
      </c>
      <c r="KG18" s="1680" t="s">
        <v>8689</v>
      </c>
      <c r="KH18" s="1680" t="s">
        <v>8690</v>
      </c>
      <c r="KI18" s="1680" t="s">
        <v>8691</v>
      </c>
      <c r="KJ18" s="1680" t="s">
        <v>7943</v>
      </c>
      <c r="KK18" s="1680" t="s">
        <v>8692</v>
      </c>
      <c r="KL18" s="1680" t="s">
        <v>8693</v>
      </c>
      <c r="KM18" s="1680"/>
      <c r="KN18" s="1680" t="s">
        <v>8694</v>
      </c>
      <c r="KO18" s="1680" t="s">
        <v>7496</v>
      </c>
      <c r="KP18" s="1680"/>
      <c r="KQ18" s="1680" t="s">
        <v>8076</v>
      </c>
      <c r="KR18" s="1680" t="s">
        <v>8695</v>
      </c>
      <c r="KS18" s="1680" t="s">
        <v>8566</v>
      </c>
      <c r="KT18" s="1680" t="s">
        <v>8224</v>
      </c>
      <c r="KU18" s="1680" t="s">
        <v>7949</v>
      </c>
      <c r="KV18" s="1680" t="s">
        <v>8696</v>
      </c>
      <c r="KW18" s="1680" t="s">
        <v>7950</v>
      </c>
      <c r="KX18" s="1680" t="s">
        <v>8295</v>
      </c>
      <c r="KY18" s="1680" t="s">
        <v>8697</v>
      </c>
      <c r="KZ18" s="1680" t="s">
        <v>8698</v>
      </c>
      <c r="LA18" s="1680" t="s">
        <v>8698</v>
      </c>
      <c r="LB18" s="1680" t="s">
        <v>8699</v>
      </c>
      <c r="LC18" s="1680" t="s">
        <v>8699</v>
      </c>
      <c r="LD18" s="1680" t="s">
        <v>8700</v>
      </c>
      <c r="LE18" s="1680" t="s">
        <v>8701</v>
      </c>
      <c r="LF18" s="1680" t="s">
        <v>8702</v>
      </c>
      <c r="LG18" s="1680" t="s">
        <v>8703</v>
      </c>
      <c r="LH18" s="1680" t="s">
        <v>8351</v>
      </c>
      <c r="LI18" s="1680" t="s">
        <v>8230</v>
      </c>
      <c r="LJ18" s="1680" t="s">
        <v>8704</v>
      </c>
      <c r="LK18" s="1680" t="s">
        <v>8705</v>
      </c>
      <c r="LL18" s="1680" t="s">
        <v>8706</v>
      </c>
      <c r="LM18" s="1680" t="s">
        <v>8707</v>
      </c>
      <c r="LN18" s="1680" t="s">
        <v>8320</v>
      </c>
      <c r="LO18" s="1680" t="s">
        <v>6423</v>
      </c>
      <c r="LP18" s="1680" t="s">
        <v>8186</v>
      </c>
      <c r="LQ18" s="1680" t="s">
        <v>8708</v>
      </c>
      <c r="LR18" s="1680" t="s">
        <v>8709</v>
      </c>
      <c r="LS18" s="1680" t="s">
        <v>8015</v>
      </c>
      <c r="LT18" s="1680" t="s">
        <v>8710</v>
      </c>
      <c r="LU18" s="1680" t="s">
        <v>8207</v>
      </c>
      <c r="LV18" s="1680" t="s">
        <v>8711</v>
      </c>
      <c r="LW18" s="1680" t="s">
        <v>8453</v>
      </c>
      <c r="LX18" s="1664" t="s">
        <v>8712</v>
      </c>
      <c r="LY18" s="1680" t="s">
        <v>8713</v>
      </c>
      <c r="LZ18" s="1680" t="s">
        <v>8714</v>
      </c>
      <c r="MA18" s="1680" t="s">
        <v>8595</v>
      </c>
      <c r="MB18" s="1680" t="s">
        <v>8507</v>
      </c>
      <c r="MC18" s="1680" t="s">
        <v>8715</v>
      </c>
      <c r="MD18" s="1680" t="s">
        <v>8034</v>
      </c>
      <c r="ME18" s="1680" t="s">
        <v>8716</v>
      </c>
      <c r="MF18" s="1680" t="s">
        <v>8717</v>
      </c>
      <c r="MG18" s="1680" t="s">
        <v>8718</v>
      </c>
      <c r="MH18" s="1680" t="s">
        <v>8719</v>
      </c>
      <c r="MI18" s="1680" t="s">
        <v>8720</v>
      </c>
      <c r="MJ18" s="1680" t="s">
        <v>8721</v>
      </c>
      <c r="MK18" s="1680" t="s">
        <v>8722</v>
      </c>
      <c r="ML18" s="1680"/>
      <c r="MM18" s="1686" t="s">
        <v>8723</v>
      </c>
      <c r="MN18" s="1664"/>
      <c r="MO18" s="1680" t="s">
        <v>8724</v>
      </c>
      <c r="MP18" s="1680" t="s">
        <v>8725</v>
      </c>
      <c r="MQ18" s="1680" t="s">
        <v>8726</v>
      </c>
      <c r="MR18" s="1680" t="s">
        <v>8727</v>
      </c>
      <c r="MS18" s="1680" t="s">
        <v>7489</v>
      </c>
      <c r="MT18" s="1680" t="s">
        <v>8728</v>
      </c>
      <c r="MU18" s="1680" t="s">
        <v>8729</v>
      </c>
      <c r="MV18" s="1664" t="s">
        <v>8730</v>
      </c>
      <c r="MW18" s="1680"/>
      <c r="MX18" s="1680" t="s">
        <v>8731</v>
      </c>
      <c r="MY18" s="1661" t="s">
        <v>8732</v>
      </c>
      <c r="MZ18" s="1680" t="s">
        <v>7561</v>
      </c>
      <c r="NA18" s="1680" t="s">
        <v>7865</v>
      </c>
      <c r="NB18" s="1680" t="s">
        <v>8468</v>
      </c>
      <c r="NC18" s="1680"/>
      <c r="ND18" s="1680" t="s">
        <v>8733</v>
      </c>
      <c r="NE18" s="1680" t="s">
        <v>8734</v>
      </c>
      <c r="NF18" s="1680" t="s">
        <v>8650</v>
      </c>
      <c r="NG18" s="1681" t="s">
        <v>8735</v>
      </c>
      <c r="NH18" s="1680" t="s">
        <v>8736</v>
      </c>
      <c r="NI18" s="1664" t="s">
        <v>8737</v>
      </c>
      <c r="NJ18" s="1680" t="s">
        <v>8220</v>
      </c>
      <c r="NK18" s="1680"/>
      <c r="NL18" s="1680" t="s">
        <v>8738</v>
      </c>
      <c r="NM18" s="1680" t="s">
        <v>7639</v>
      </c>
      <c r="NN18" s="1680" t="s">
        <v>8739</v>
      </c>
      <c r="NO18" s="1680" t="s">
        <v>8739</v>
      </c>
      <c r="NP18" s="1680" t="s">
        <v>8740</v>
      </c>
      <c r="NQ18" s="1680" t="s">
        <v>8277</v>
      </c>
      <c r="NR18" s="1680" t="s">
        <v>8277</v>
      </c>
      <c r="NS18" s="1680"/>
      <c r="NT18" s="1680"/>
      <c r="NU18" s="1680"/>
      <c r="NV18" s="1680" t="s">
        <v>8741</v>
      </c>
      <c r="NW18" s="1680"/>
      <c r="NX18" s="1680"/>
      <c r="NY18" s="1680" t="s">
        <v>8742</v>
      </c>
      <c r="NZ18" s="1680"/>
      <c r="OA18" s="1680" t="s">
        <v>8743</v>
      </c>
      <c r="OB18" s="1680" t="s">
        <v>8744</v>
      </c>
      <c r="OC18" s="1680" t="s">
        <v>8745</v>
      </c>
      <c r="OD18" s="1680" t="s">
        <v>8746</v>
      </c>
      <c r="OE18" s="1680" t="s">
        <v>8747</v>
      </c>
      <c r="OF18" s="1680" t="s">
        <v>8748</v>
      </c>
      <c r="OG18" s="1680" t="s">
        <v>8538</v>
      </c>
      <c r="OH18" s="1680" t="s">
        <v>8749</v>
      </c>
      <c r="OI18" s="1680" t="s">
        <v>7993</v>
      </c>
      <c r="OJ18" s="1680" t="s">
        <v>8750</v>
      </c>
      <c r="OK18" s="1680" t="s">
        <v>8751</v>
      </c>
      <c r="OL18" s="1680" t="s">
        <v>8752</v>
      </c>
      <c r="OM18" s="1680" t="s">
        <v>8753</v>
      </c>
      <c r="ON18" s="1680" t="s">
        <v>7989</v>
      </c>
      <c r="OO18" s="1680"/>
      <c r="OP18" s="1680" t="s">
        <v>7915</v>
      </c>
      <c r="OQ18" s="1680" t="s">
        <v>8545</v>
      </c>
      <c r="OR18" s="1680" t="s">
        <v>8661</v>
      </c>
      <c r="OS18" s="1680" t="s">
        <v>8754</v>
      </c>
      <c r="OT18" s="1680"/>
      <c r="OU18" s="1680"/>
      <c r="OV18" s="1680" t="s">
        <v>8472</v>
      </c>
      <c r="OW18" s="1680" t="s">
        <v>8755</v>
      </c>
      <c r="OX18" s="1680" t="s">
        <v>8472</v>
      </c>
      <c r="OY18" s="1680" t="s">
        <v>8756</v>
      </c>
      <c r="OZ18" s="1680"/>
      <c r="PA18" s="1680" t="s">
        <v>8492</v>
      </c>
      <c r="PB18" s="1700" t="s">
        <v>8492</v>
      </c>
      <c r="PC18" s="1680" t="s">
        <v>8243</v>
      </c>
      <c r="PD18" s="1686" t="s">
        <v>8757</v>
      </c>
      <c r="PE18" s="1680"/>
      <c r="PF18" s="1680" t="s">
        <v>7486</v>
      </c>
      <c r="PG18" s="1664" t="s">
        <v>8758</v>
      </c>
      <c r="PH18" s="1680" t="s">
        <v>8564</v>
      </c>
      <c r="PI18" s="1680" t="s">
        <v>8759</v>
      </c>
      <c r="PJ18" s="1680" t="s">
        <v>8760</v>
      </c>
      <c r="PK18" s="1680" t="s">
        <v>8761</v>
      </c>
      <c r="PL18" s="1680" t="s">
        <v>8762</v>
      </c>
      <c r="PM18" s="1680" t="s">
        <v>8763</v>
      </c>
      <c r="PN18" s="1680" t="s">
        <v>8630</v>
      </c>
      <c r="PO18" s="1680" t="s">
        <v>8698</v>
      </c>
      <c r="PP18" s="1681" t="s">
        <v>8729</v>
      </c>
      <c r="PQ18" s="1680" t="s">
        <v>8650</v>
      </c>
      <c r="PR18" s="1680" t="s">
        <v>8253</v>
      </c>
      <c r="PS18" s="1680"/>
      <c r="PT18" s="1680"/>
      <c r="PU18" s="1680" t="s">
        <v>8764</v>
      </c>
      <c r="PV18" s="1680" t="s">
        <v>8765</v>
      </c>
      <c r="PW18" s="1680"/>
      <c r="PX18" s="1680" t="s">
        <v>8766</v>
      </c>
      <c r="PY18" s="1680" t="s">
        <v>8767</v>
      </c>
      <c r="PZ18" s="1680" t="s">
        <v>8768</v>
      </c>
      <c r="QA18" s="1680" t="s">
        <v>8769</v>
      </c>
      <c r="QB18" s="1680" t="s">
        <v>8770</v>
      </c>
      <c r="QC18" s="1680" t="s">
        <v>8055</v>
      </c>
      <c r="QD18" s="1680"/>
      <c r="QE18" s="1680" t="s">
        <v>8771</v>
      </c>
      <c r="QF18" s="1680" t="s">
        <v>8772</v>
      </c>
      <c r="QG18" s="1680" t="s">
        <v>8736</v>
      </c>
      <c r="QH18" s="1680" t="s">
        <v>8773</v>
      </c>
      <c r="QI18" s="1680" t="s">
        <v>8508</v>
      </c>
      <c r="QJ18" s="1680" t="s">
        <v>8774</v>
      </c>
      <c r="QK18" s="1680"/>
      <c r="QL18" s="1680" t="s">
        <v>8730</v>
      </c>
      <c r="QM18" s="1680" t="s">
        <v>8775</v>
      </c>
      <c r="QN18" s="1680" t="s">
        <v>8776</v>
      </c>
      <c r="QO18" s="1680" t="s">
        <v>8777</v>
      </c>
      <c r="QP18" s="1680" t="s">
        <v>8778</v>
      </c>
      <c r="QQ18" s="1680" t="s">
        <v>8779</v>
      </c>
      <c r="QR18" s="1680" t="s">
        <v>8780</v>
      </c>
      <c r="QS18" s="1680" t="s">
        <v>8781</v>
      </c>
      <c r="QT18" s="1680" t="s">
        <v>8782</v>
      </c>
      <c r="QU18" s="1680" t="s">
        <v>8783</v>
      </c>
      <c r="QV18" s="1680" t="s">
        <v>8496</v>
      </c>
      <c r="QW18" s="1688" t="s">
        <v>8784</v>
      </c>
      <c r="QX18" s="1694" t="s">
        <v>8517</v>
      </c>
      <c r="QY18" s="1680" t="s">
        <v>8588</v>
      </c>
      <c r="QZ18" s="1680" t="s">
        <v>8256</v>
      </c>
      <c r="RA18" s="1680" t="s">
        <v>8584</v>
      </c>
      <c r="RB18" s="1680" t="s">
        <v>8587</v>
      </c>
      <c r="RC18" s="1680" t="s">
        <v>7414</v>
      </c>
      <c r="RD18" s="1680" t="s">
        <v>7854</v>
      </c>
      <c r="RE18" s="1680" t="s">
        <v>8341</v>
      </c>
      <c r="RF18" s="1664"/>
      <c r="RG18" s="1680" t="s">
        <v>8130</v>
      </c>
      <c r="RH18" s="1665" t="s">
        <v>8785</v>
      </c>
      <c r="RI18" s="1714" t="s">
        <v>8346</v>
      </c>
      <c r="RJ18" s="1680" t="s">
        <v>7898</v>
      </c>
      <c r="RK18" s="1680" t="s">
        <v>8145</v>
      </c>
      <c r="RL18" s="1680" t="s">
        <v>8348</v>
      </c>
      <c r="RM18" s="1664" t="s">
        <v>8786</v>
      </c>
      <c r="RN18" s="1680" t="s">
        <v>7945</v>
      </c>
      <c r="RO18" s="1680" t="s">
        <v>7489</v>
      </c>
      <c r="RP18" s="1680" t="s">
        <v>7865</v>
      </c>
      <c r="RQ18" s="1680" t="s">
        <v>8787</v>
      </c>
      <c r="RR18" s="1680" t="s">
        <v>8787</v>
      </c>
      <c r="RS18" s="1680" t="s">
        <v>8787</v>
      </c>
      <c r="RT18" s="1680" t="s">
        <v>8787</v>
      </c>
      <c r="RU18" s="1680" t="s">
        <v>8787</v>
      </c>
      <c r="RV18" s="1680" t="s">
        <v>8787</v>
      </c>
      <c r="RW18" s="1680" t="s">
        <v>8788</v>
      </c>
      <c r="RX18" s="1680" t="s">
        <v>8788</v>
      </c>
      <c r="RY18" s="1680" t="s">
        <v>8788</v>
      </c>
      <c r="RZ18" s="1664"/>
      <c r="SA18" s="1680"/>
      <c r="SB18" s="1680"/>
      <c r="SC18" s="1664" t="s">
        <v>8739</v>
      </c>
      <c r="SD18" s="1680"/>
      <c r="SE18" s="1680"/>
      <c r="SF18" s="1680" t="s">
        <v>8789</v>
      </c>
      <c r="SG18" s="1681"/>
      <c r="SH18" s="1686" t="s">
        <v>8279</v>
      </c>
      <c r="SI18" s="1680" t="s">
        <v>7871</v>
      </c>
      <c r="SJ18" s="1680"/>
      <c r="SK18" s="1680"/>
      <c r="SL18" s="1680" t="s">
        <v>8790</v>
      </c>
    </row>
    <row r="19" ht="15.75" customHeight="1">
      <c r="A19" s="1517"/>
      <c r="B19" s="293" t="s">
        <v>8791</v>
      </c>
      <c r="C19" s="293" t="s">
        <v>8792</v>
      </c>
      <c r="D19" s="293" t="s">
        <v>8793</v>
      </c>
      <c r="E19" s="1671" t="s">
        <v>8794</v>
      </c>
      <c r="F19" s="1671" t="s">
        <v>8795</v>
      </c>
      <c r="G19" s="1671" t="s">
        <v>8796</v>
      </c>
      <c r="H19" s="1672" t="s">
        <v>8797</v>
      </c>
      <c r="I19" s="1672" t="s">
        <v>8798</v>
      </c>
      <c r="J19" s="1672" t="s">
        <v>8799</v>
      </c>
      <c r="K19" s="293"/>
      <c r="L19" s="293"/>
      <c r="M19" s="420" t="s">
        <v>8800</v>
      </c>
      <c r="N19" s="1673"/>
      <c r="O19" s="364"/>
      <c r="P19" s="364" t="s">
        <v>8541</v>
      </c>
      <c r="Q19" s="1673" t="s">
        <v>8801</v>
      </c>
      <c r="R19" s="1673" t="s">
        <v>8802</v>
      </c>
      <c r="S19" s="1673" t="s">
        <v>7805</v>
      </c>
      <c r="T19" s="464" t="s">
        <v>8803</v>
      </c>
      <c r="U19" s="1673" t="s">
        <v>8804</v>
      </c>
      <c r="V19" s="1673" t="s">
        <v>8705</v>
      </c>
      <c r="W19" s="1673" t="s">
        <v>8805</v>
      </c>
      <c r="X19" s="464" t="s">
        <v>8779</v>
      </c>
      <c r="Y19" s="464" t="s">
        <v>8806</v>
      </c>
      <c r="Z19" s="364" t="s">
        <v>8807</v>
      </c>
      <c r="AA19" s="364"/>
      <c r="AB19" s="364" t="s">
        <v>8263</v>
      </c>
      <c r="AC19" s="364" t="s">
        <v>8383</v>
      </c>
      <c r="AD19" s="1672" t="s">
        <v>8808</v>
      </c>
      <c r="AE19" s="1672" t="s">
        <v>8733</v>
      </c>
      <c r="AF19" s="1672"/>
      <c r="AG19" s="464" t="s">
        <v>8809</v>
      </c>
      <c r="AH19" s="464" t="s">
        <v>8810</v>
      </c>
      <c r="AI19" s="464"/>
      <c r="AJ19" s="1674" t="s">
        <v>8811</v>
      </c>
      <c r="AK19" s="1674"/>
      <c r="AL19" s="1673" t="s">
        <v>8812</v>
      </c>
      <c r="AM19" s="364"/>
      <c r="AN19" s="1674" t="s">
        <v>8813</v>
      </c>
      <c r="AO19" s="1674"/>
      <c r="AP19" s="464" t="s">
        <v>8710</v>
      </c>
      <c r="AQ19" s="464" t="s">
        <v>8814</v>
      </c>
      <c r="AR19" s="1672" t="s">
        <v>8815</v>
      </c>
      <c r="AS19" s="1672" t="s">
        <v>8816</v>
      </c>
      <c r="AT19" s="1671"/>
      <c r="AU19" s="1671" t="s">
        <v>8817</v>
      </c>
      <c r="AV19" s="1671" t="s">
        <v>8818</v>
      </c>
      <c r="AW19" s="464" t="s">
        <v>8326</v>
      </c>
      <c r="AX19" s="464" t="s">
        <v>8819</v>
      </c>
      <c r="AY19" s="1673" t="s">
        <v>8820</v>
      </c>
      <c r="AZ19" s="1673" t="s">
        <v>8821</v>
      </c>
      <c r="BA19" s="364" t="s">
        <v>8822</v>
      </c>
      <c r="BB19" s="364" t="s">
        <v>8498</v>
      </c>
      <c r="BC19" s="364" t="s">
        <v>8271</v>
      </c>
      <c r="BD19" s="1672" t="s">
        <v>8320</v>
      </c>
      <c r="BE19" s="1673" t="s">
        <v>8823</v>
      </c>
      <c r="BF19" s="1673" t="s">
        <v>8824</v>
      </c>
      <c r="BG19" s="1673" t="s">
        <v>8549</v>
      </c>
      <c r="BH19" s="1673"/>
      <c r="BI19" s="1672"/>
      <c r="BJ19" s="1672"/>
      <c r="BK19" s="1672"/>
      <c r="BL19" s="1673"/>
      <c r="BM19" s="1673" t="s">
        <v>8825</v>
      </c>
      <c r="BN19" s="1673" t="s">
        <v>8826</v>
      </c>
      <c r="BO19" s="1675" t="s">
        <v>8827</v>
      </c>
      <c r="BP19" s="1675" t="s">
        <v>8828</v>
      </c>
      <c r="BQ19" s="1675" t="s">
        <v>8313</v>
      </c>
      <c r="BR19" s="293" t="s">
        <v>8829</v>
      </c>
      <c r="BS19" s="293" t="s">
        <v>8830</v>
      </c>
      <c r="BT19" s="293"/>
      <c r="BU19" s="1672" t="s">
        <v>8831</v>
      </c>
      <c r="BV19" s="1672" t="s">
        <v>8832</v>
      </c>
      <c r="BW19" s="1673" t="s">
        <v>8833</v>
      </c>
      <c r="BX19" s="1673" t="s">
        <v>8224</v>
      </c>
      <c r="BY19" s="1673" t="s">
        <v>8067</v>
      </c>
      <c r="BZ19" s="1704" t="s">
        <v>8834</v>
      </c>
      <c r="CA19" s="364" t="s">
        <v>8068</v>
      </c>
      <c r="CB19" s="1674" t="s">
        <v>8835</v>
      </c>
      <c r="CC19" s="1674" t="s">
        <v>8836</v>
      </c>
      <c r="CD19" s="1675" t="s">
        <v>8837</v>
      </c>
      <c r="CE19" s="1675" t="s">
        <v>8123</v>
      </c>
      <c r="CF19" s="1673" t="s">
        <v>8838</v>
      </c>
      <c r="CG19" s="1673" t="s">
        <v>8839</v>
      </c>
      <c r="CH19" s="1673" t="s">
        <v>8840</v>
      </c>
      <c r="CI19" s="254" t="s">
        <v>8841</v>
      </c>
      <c r="CJ19" s="254" t="s">
        <v>8841</v>
      </c>
      <c r="CK19" s="464" t="s">
        <v>8762</v>
      </c>
      <c r="CL19" s="464" t="s">
        <v>8140</v>
      </c>
      <c r="CM19" s="464" t="s">
        <v>8842</v>
      </c>
      <c r="CN19" s="464"/>
      <c r="CO19" s="464" t="s">
        <v>8334</v>
      </c>
      <c r="CP19" s="464" t="s">
        <v>8843</v>
      </c>
      <c r="CQ19" s="464" t="s">
        <v>8843</v>
      </c>
      <c r="CR19" s="1675" t="s">
        <v>8204</v>
      </c>
      <c r="CS19" s="364" t="s">
        <v>8844</v>
      </c>
      <c r="CT19" s="364" t="s">
        <v>8326</v>
      </c>
      <c r="CU19" s="1671" t="s">
        <v>8471</v>
      </c>
      <c r="CV19" s="1671" t="s">
        <v>8657</v>
      </c>
      <c r="CW19" s="1671" t="s">
        <v>8845</v>
      </c>
      <c r="CX19" s="1671" t="s">
        <v>8846</v>
      </c>
      <c r="CY19" s="1674" t="s">
        <v>8847</v>
      </c>
      <c r="CZ19" s="364"/>
      <c r="DA19" s="1673" t="s">
        <v>8848</v>
      </c>
      <c r="DB19" s="1673" t="s">
        <v>8668</v>
      </c>
      <c r="DC19" s="1673" t="s">
        <v>8849</v>
      </c>
      <c r="DD19" s="1673" t="s">
        <v>8850</v>
      </c>
      <c r="DE19" s="1674" t="s">
        <v>8851</v>
      </c>
      <c r="DF19" s="464" t="s">
        <v>8579</v>
      </c>
      <c r="DG19" s="464" t="s">
        <v>8656</v>
      </c>
      <c r="DH19" s="1675" t="s">
        <v>8833</v>
      </c>
      <c r="DI19" s="1675" t="s">
        <v>8852</v>
      </c>
      <c r="DJ19" s="1674" t="s">
        <v>8853</v>
      </c>
      <c r="DK19" s="1672" t="s">
        <v>8854</v>
      </c>
      <c r="DL19" s="1673" t="s">
        <v>8855</v>
      </c>
      <c r="DM19" s="1672" t="s">
        <v>8608</v>
      </c>
      <c r="DN19" s="1672" t="s">
        <v>8856</v>
      </c>
      <c r="DO19" s="1671" t="s">
        <v>8598</v>
      </c>
      <c r="DP19" s="1671" t="s">
        <v>8314</v>
      </c>
      <c r="DQ19" s="1673" t="s">
        <v>8857</v>
      </c>
      <c r="DR19" s="464"/>
      <c r="DS19" s="1674" t="s">
        <v>8055</v>
      </c>
      <c r="DT19" s="293" t="s">
        <v>8858</v>
      </c>
      <c r="DU19" s="1671" t="s">
        <v>8396</v>
      </c>
      <c r="DV19" s="1715" t="s">
        <v>8859</v>
      </c>
      <c r="DW19" s="1708" t="s">
        <v>8860</v>
      </c>
      <c r="DX19" s="1673" t="s">
        <v>8861</v>
      </c>
      <c r="DY19" s="1673" t="s">
        <v>8848</v>
      </c>
      <c r="DZ19" s="1671"/>
      <c r="EA19" s="1672" t="s">
        <v>8862</v>
      </c>
      <c r="EB19" s="1672" t="s">
        <v>8465</v>
      </c>
      <c r="EC19" s="464"/>
      <c r="ED19" s="1673" t="s">
        <v>8041</v>
      </c>
      <c r="EE19" s="1672" t="s">
        <v>8863</v>
      </c>
      <c r="EF19" s="364" t="s">
        <v>8122</v>
      </c>
      <c r="EG19" s="1671" t="s">
        <v>7905</v>
      </c>
      <c r="EH19" s="1674" t="s">
        <v>8118</v>
      </c>
      <c r="EI19" s="1672" t="s">
        <v>8274</v>
      </c>
      <c r="EJ19" s="1672" t="s">
        <v>8854</v>
      </c>
      <c r="EK19" s="1673" t="s">
        <v>8830</v>
      </c>
      <c r="EL19" s="1673" t="s">
        <v>8391</v>
      </c>
      <c r="EM19" s="464" t="s">
        <v>7137</v>
      </c>
      <c r="EN19" s="1676" t="s">
        <v>8864</v>
      </c>
      <c r="EO19" s="1672" t="s">
        <v>8865</v>
      </c>
      <c r="EP19" s="364" t="s">
        <v>8866</v>
      </c>
      <c r="EQ19" s="364" t="s">
        <v>8867</v>
      </c>
      <c r="ER19" s="1672" t="s">
        <v>8868</v>
      </c>
      <c r="ES19" s="1672" t="s">
        <v>8869</v>
      </c>
      <c r="ET19" s="1673" t="s">
        <v>8104</v>
      </c>
      <c r="EU19" s="464" t="s">
        <v>7639</v>
      </c>
      <c r="EV19" s="1674"/>
      <c r="EW19" s="293" t="s">
        <v>8870</v>
      </c>
      <c r="EX19" s="293" t="s">
        <v>8871</v>
      </c>
      <c r="EY19" s="293" t="s">
        <v>8872</v>
      </c>
      <c r="EZ19" s="364" t="s">
        <v>8873</v>
      </c>
      <c r="FA19" s="364" t="s">
        <v>8874</v>
      </c>
      <c r="FB19" s="364" t="s">
        <v>8875</v>
      </c>
      <c r="FC19" s="1672" t="s">
        <v>8876</v>
      </c>
      <c r="FD19" s="1672" t="s">
        <v>8877</v>
      </c>
      <c r="FE19" s="1702" t="s">
        <v>8878</v>
      </c>
      <c r="FF19" s="1673" t="s">
        <v>8879</v>
      </c>
      <c r="FG19" s="1673" t="s">
        <v>8880</v>
      </c>
      <c r="FH19" s="1673" t="s">
        <v>8881</v>
      </c>
      <c r="FI19" s="1673" t="s">
        <v>8320</v>
      </c>
      <c r="FJ19" s="1671" t="s">
        <v>8882</v>
      </c>
      <c r="FK19" s="1671" t="s">
        <v>8093</v>
      </c>
      <c r="FL19" s="293" t="s">
        <v>8304</v>
      </c>
      <c r="FM19" s="1671" t="s">
        <v>8779</v>
      </c>
      <c r="FN19" s="464" t="s">
        <v>8169</v>
      </c>
      <c r="FO19" s="1672" t="s">
        <v>8883</v>
      </c>
      <c r="FP19" s="1672" t="s">
        <v>8884</v>
      </c>
      <c r="FQ19" s="364"/>
      <c r="FR19" s="1674"/>
      <c r="FS19" s="1674"/>
      <c r="FT19" s="158" t="s">
        <v>8885</v>
      </c>
      <c r="FU19" s="253" t="s">
        <v>8371</v>
      </c>
      <c r="FV19" s="293" t="s">
        <v>8886</v>
      </c>
      <c r="FW19" s="293" t="s">
        <v>8887</v>
      </c>
      <c r="FX19" s="253" t="s">
        <v>8888</v>
      </c>
      <c r="FY19" s="1674" t="s">
        <v>8889</v>
      </c>
      <c r="FZ19" s="364" t="s">
        <v>8890</v>
      </c>
      <c r="GA19" s="293"/>
      <c r="GB19" s="1672" t="s">
        <v>8891</v>
      </c>
      <c r="GC19" s="1672" t="s">
        <v>8892</v>
      </c>
      <c r="GD19" s="1673" t="s">
        <v>8770</v>
      </c>
      <c r="GE19" s="293"/>
      <c r="GF19" s="1716" t="s">
        <v>8893</v>
      </c>
      <c r="GG19" s="1717" t="s">
        <v>8894</v>
      </c>
      <c r="GH19" s="1696" t="s">
        <v>8147</v>
      </c>
      <c r="GI19" s="464" t="s">
        <v>8895</v>
      </c>
      <c r="GJ19" s="364" t="s">
        <v>6926</v>
      </c>
      <c r="GK19" s="364" t="s">
        <v>8535</v>
      </c>
      <c r="GL19" s="1671" t="s">
        <v>8896</v>
      </c>
      <c r="GM19" s="1672" t="s">
        <v>8897</v>
      </c>
      <c r="GN19" s="1672" t="s">
        <v>8898</v>
      </c>
      <c r="GO19" s="464" t="s">
        <v>8320</v>
      </c>
      <c r="GP19" s="1676" t="s">
        <v>8199</v>
      </c>
      <c r="GQ19" s="1676" t="s">
        <v>8899</v>
      </c>
      <c r="GR19" s="1674" t="s">
        <v>8320</v>
      </c>
      <c r="GS19" s="1675" t="s">
        <v>7651</v>
      </c>
      <c r="GT19" s="1676"/>
      <c r="GU19" s="1672"/>
      <c r="GV19" s="364" t="s">
        <v>7991</v>
      </c>
      <c r="GW19" s="1675" t="s">
        <v>8578</v>
      </c>
      <c r="GX19" s="464" t="s">
        <v>8900</v>
      </c>
      <c r="GY19" s="364" t="s">
        <v>8901</v>
      </c>
      <c r="GZ19" s="464" t="s">
        <v>8902</v>
      </c>
      <c r="HA19" s="1675" t="s">
        <v>8075</v>
      </c>
      <c r="HB19" s="1674" t="s">
        <v>8903</v>
      </c>
      <c r="HC19" s="464" t="s">
        <v>8238</v>
      </c>
      <c r="HD19" s="1675" t="s">
        <v>8904</v>
      </c>
      <c r="HE19" s="1671" t="s">
        <v>8858</v>
      </c>
      <c r="HF19" s="364" t="s">
        <v>8023</v>
      </c>
      <c r="HG19" s="1672" t="s">
        <v>8905</v>
      </c>
      <c r="HH19" s="1676" t="s">
        <v>8906</v>
      </c>
      <c r="HI19" s="1673" t="s">
        <v>8605</v>
      </c>
      <c r="HJ19" s="1673" t="s">
        <v>8907</v>
      </c>
      <c r="HK19" s="1671" t="s">
        <v>8908</v>
      </c>
      <c r="HL19" s="1671" t="s">
        <v>8909</v>
      </c>
      <c r="HM19" s="1673" t="s">
        <v>8910</v>
      </c>
      <c r="HN19" s="1673" t="s">
        <v>8131</v>
      </c>
      <c r="HO19" s="1674" t="s">
        <v>8911</v>
      </c>
      <c r="HP19" s="1675" t="s">
        <v>8912</v>
      </c>
      <c r="HQ19" s="1671" t="s">
        <v>8913</v>
      </c>
      <c r="HR19" s="1671" t="s">
        <v>8555</v>
      </c>
      <c r="HS19" s="464" t="s">
        <v>7686</v>
      </c>
      <c r="HT19" s="1675" t="s">
        <v>8914</v>
      </c>
      <c r="HU19" s="1676" t="s">
        <v>8710</v>
      </c>
      <c r="HV19" s="1676" t="s">
        <v>8915</v>
      </c>
      <c r="HW19" s="1672" t="s">
        <v>8591</v>
      </c>
      <c r="HX19" s="1672" t="s">
        <v>8916</v>
      </c>
      <c r="HY19" s="1675" t="s">
        <v>7777</v>
      </c>
      <c r="HZ19" s="1671" t="s">
        <v>8118</v>
      </c>
      <c r="IA19" s="1673" t="s">
        <v>6993</v>
      </c>
      <c r="IB19" s="253" t="s">
        <v>8917</v>
      </c>
      <c r="IC19" s="464"/>
      <c r="ID19" s="1673" t="s">
        <v>8918</v>
      </c>
      <c r="IE19" s="1674" t="s">
        <v>8919</v>
      </c>
      <c r="IF19" s="1715" t="s">
        <v>8920</v>
      </c>
      <c r="IG19" s="1708" t="s">
        <v>8921</v>
      </c>
      <c r="IH19" s="1674"/>
      <c r="II19" s="1674" t="s">
        <v>8853</v>
      </c>
      <c r="IJ19" s="364" t="s">
        <v>8922</v>
      </c>
      <c r="IK19" s="1673" t="s">
        <v>8923</v>
      </c>
      <c r="IL19" s="1672" t="s">
        <v>8924</v>
      </c>
      <c r="IM19" s="293" t="s">
        <v>8694</v>
      </c>
      <c r="IN19" s="1675" t="s">
        <v>8925</v>
      </c>
      <c r="IO19" s="293" t="s">
        <v>8157</v>
      </c>
      <c r="IP19" s="253" t="s">
        <v>8926</v>
      </c>
      <c r="IQ19" s="1671" t="s">
        <v>8926</v>
      </c>
      <c r="IR19" s="293" t="s">
        <v>8927</v>
      </c>
      <c r="IS19" s="293" t="s">
        <v>7029</v>
      </c>
      <c r="IT19" s="293" t="s">
        <v>8928</v>
      </c>
      <c r="IU19" s="293" t="s">
        <v>8929</v>
      </c>
      <c r="IV19" s="1671" t="s">
        <v>8930</v>
      </c>
      <c r="IW19" s="1671" t="s">
        <v>8739</v>
      </c>
      <c r="IX19" s="1671" t="s">
        <v>8931</v>
      </c>
      <c r="IY19" s="1672" t="s">
        <v>8932</v>
      </c>
      <c r="IZ19" s="1672" t="s">
        <v>8933</v>
      </c>
      <c r="JA19" s="1672" t="s">
        <v>8587</v>
      </c>
      <c r="JB19" s="1675" t="s">
        <v>8855</v>
      </c>
      <c r="JC19" s="1675" t="s">
        <v>7972</v>
      </c>
      <c r="JD19" s="1673" t="s">
        <v>8934</v>
      </c>
      <c r="JE19" s="253" t="s">
        <v>8282</v>
      </c>
      <c r="JF19" s="1671"/>
      <c r="JG19" s="253"/>
      <c r="JH19" s="364"/>
      <c r="JI19" s="464"/>
      <c r="JJ19" s="293"/>
      <c r="JK19" s="293"/>
      <c r="JL19" s="293" t="s">
        <v>6608</v>
      </c>
      <c r="JM19" s="293"/>
      <c r="JN19" s="1673"/>
      <c r="JO19" s="1673"/>
      <c r="JP19" s="1673"/>
      <c r="JQ19" s="1672"/>
      <c r="JR19" s="1672" t="s">
        <v>8935</v>
      </c>
      <c r="JS19" s="253" t="s">
        <v>8936</v>
      </c>
      <c r="JT19" s="364" t="s">
        <v>7804</v>
      </c>
      <c r="JU19" s="253" t="s">
        <v>8937</v>
      </c>
      <c r="JV19" s="253" t="s">
        <v>8938</v>
      </c>
      <c r="JW19" s="253" t="s">
        <v>8939</v>
      </c>
      <c r="JX19" s="1672"/>
      <c r="JY19" s="1672" t="s">
        <v>8940</v>
      </c>
      <c r="JZ19" s="1673" t="s">
        <v>8941</v>
      </c>
      <c r="KA19" s="293" t="s">
        <v>8942</v>
      </c>
      <c r="KB19" s="1673"/>
      <c r="KC19" s="253"/>
      <c r="KD19" s="1673" t="s">
        <v>8943</v>
      </c>
      <c r="KE19" s="1675"/>
      <c r="KF19" s="364" t="s">
        <v>7939</v>
      </c>
      <c r="KG19" s="1673"/>
      <c r="KH19" s="1674" t="s">
        <v>8541</v>
      </c>
      <c r="KI19" s="1672" t="s">
        <v>8944</v>
      </c>
      <c r="KJ19" s="1672" t="s">
        <v>8182</v>
      </c>
      <c r="KK19" s="364" t="s">
        <v>8945</v>
      </c>
      <c r="KL19" s="1673" t="s">
        <v>8092</v>
      </c>
      <c r="KM19" s="1672"/>
      <c r="KN19" s="1675" t="s">
        <v>8946</v>
      </c>
      <c r="KO19" s="1674" t="s">
        <v>7506</v>
      </c>
      <c r="KP19" s="464"/>
      <c r="KQ19" s="464" t="s">
        <v>8947</v>
      </c>
      <c r="KR19" s="1676" t="s">
        <v>7801</v>
      </c>
      <c r="KS19" s="1675" t="s">
        <v>8948</v>
      </c>
      <c r="KT19" s="1675" t="s">
        <v>8949</v>
      </c>
      <c r="KU19" s="1675" t="s">
        <v>8185</v>
      </c>
      <c r="KV19" s="1672" t="s">
        <v>8950</v>
      </c>
      <c r="KW19" s="1671" t="s">
        <v>8951</v>
      </c>
      <c r="KX19" s="293" t="s">
        <v>8203</v>
      </c>
      <c r="KY19" s="364" t="s">
        <v>8766</v>
      </c>
      <c r="KZ19" s="364" t="s">
        <v>8679</v>
      </c>
      <c r="LA19" s="364" t="s">
        <v>8679</v>
      </c>
      <c r="LB19" s="1675" t="s">
        <v>8952</v>
      </c>
      <c r="LC19" s="464" t="s">
        <v>8952</v>
      </c>
      <c r="LD19" s="293" t="s">
        <v>8953</v>
      </c>
      <c r="LE19" s="293" t="s">
        <v>8954</v>
      </c>
      <c r="LF19" s="464" t="s">
        <v>8955</v>
      </c>
      <c r="LG19" s="1671" t="s">
        <v>8956</v>
      </c>
      <c r="LH19" s="1672" t="s">
        <v>7991</v>
      </c>
      <c r="LI19" s="1672" t="s">
        <v>8735</v>
      </c>
      <c r="LJ19" s="1672" t="s">
        <v>8957</v>
      </c>
      <c r="LK19" s="364"/>
      <c r="LL19" s="1671" t="s">
        <v>8511</v>
      </c>
      <c r="LM19" s="1673" t="s">
        <v>8958</v>
      </c>
      <c r="LN19" s="1676" t="s">
        <v>8959</v>
      </c>
      <c r="LO19" s="464" t="s">
        <v>7979</v>
      </c>
      <c r="LP19" s="1673" t="s">
        <v>8319</v>
      </c>
      <c r="LQ19" s="1673" t="s">
        <v>8960</v>
      </c>
      <c r="LR19" s="293" t="s">
        <v>8961</v>
      </c>
      <c r="LS19" s="293" t="s">
        <v>8709</v>
      </c>
      <c r="LT19" s="293" t="s">
        <v>8962</v>
      </c>
      <c r="LU19" s="293" t="s">
        <v>8963</v>
      </c>
      <c r="LV19" s="1672" t="s">
        <v>8964</v>
      </c>
      <c r="LW19" s="1672" t="s">
        <v>8965</v>
      </c>
      <c r="LX19" s="253" t="s">
        <v>8966</v>
      </c>
      <c r="LY19" s="1676" t="s">
        <v>8967</v>
      </c>
      <c r="LZ19" s="364" t="s">
        <v>8968</v>
      </c>
      <c r="MA19" s="1671" t="s">
        <v>8969</v>
      </c>
      <c r="MB19" s="1675" t="s">
        <v>8104</v>
      </c>
      <c r="MC19" s="1672" t="s">
        <v>8970</v>
      </c>
      <c r="MD19" s="1671" t="s">
        <v>8971</v>
      </c>
      <c r="ME19" s="1671" t="s">
        <v>8972</v>
      </c>
      <c r="MF19" s="1673" t="s">
        <v>8973</v>
      </c>
      <c r="MG19" s="1676" t="s">
        <v>8974</v>
      </c>
      <c r="MH19" s="464" t="s">
        <v>8975</v>
      </c>
      <c r="MI19" s="293" t="s">
        <v>8976</v>
      </c>
      <c r="MJ19" s="1675" t="s">
        <v>8977</v>
      </c>
      <c r="MK19" s="1675" t="s">
        <v>8978</v>
      </c>
      <c r="ML19" s="1673"/>
      <c r="MM19" s="1692" t="s">
        <v>8979</v>
      </c>
      <c r="MN19" s="253"/>
      <c r="MO19" s="293" t="s">
        <v>7563</v>
      </c>
      <c r="MP19" s="1676" t="s">
        <v>8980</v>
      </c>
      <c r="MQ19" s="1676" t="s">
        <v>8981</v>
      </c>
      <c r="MR19" s="1676"/>
      <c r="MS19" s="1676" t="s">
        <v>7730</v>
      </c>
      <c r="MT19" s="293" t="s">
        <v>8982</v>
      </c>
      <c r="MU19" s="1672" t="s">
        <v>8566</v>
      </c>
      <c r="MV19" s="253" t="s">
        <v>8779</v>
      </c>
      <c r="MW19" s="1672"/>
      <c r="MX19" s="1675" t="s">
        <v>8983</v>
      </c>
      <c r="MY19" s="1718" t="s">
        <v>8984</v>
      </c>
      <c r="MZ19" s="1672" t="s">
        <v>8985</v>
      </c>
      <c r="NA19" s="1672" t="s">
        <v>8986</v>
      </c>
      <c r="NB19" s="1672" t="s">
        <v>7865</v>
      </c>
      <c r="NC19" s="1672"/>
      <c r="ND19" s="1672" t="s">
        <v>8987</v>
      </c>
      <c r="NE19" s="1674" t="s">
        <v>8987</v>
      </c>
      <c r="NF19" s="1675" t="s">
        <v>8694</v>
      </c>
      <c r="NG19" s="1674" t="s">
        <v>6993</v>
      </c>
      <c r="NH19" s="1672" t="s">
        <v>8705</v>
      </c>
      <c r="NI19" s="253" t="s">
        <v>8988</v>
      </c>
      <c r="NJ19" s="1672" t="s">
        <v>8470</v>
      </c>
      <c r="NK19" s="1672"/>
      <c r="NL19" s="1672" t="s">
        <v>8989</v>
      </c>
      <c r="NM19" s="1672" t="s">
        <v>8471</v>
      </c>
      <c r="NN19" s="1673" t="s">
        <v>8226</v>
      </c>
      <c r="NO19" s="1672" t="s">
        <v>8226</v>
      </c>
      <c r="NP19" s="1675" t="s">
        <v>8990</v>
      </c>
      <c r="NQ19" s="1671" t="s">
        <v>8991</v>
      </c>
      <c r="NR19" s="1672" t="s">
        <v>8991</v>
      </c>
      <c r="NS19" s="1672"/>
      <c r="NT19" s="1671"/>
      <c r="NU19" s="293"/>
      <c r="NV19" s="364" t="s">
        <v>8534</v>
      </c>
      <c r="NW19" s="1671"/>
      <c r="NX19" s="1671"/>
      <c r="NY19" s="1671" t="s">
        <v>8992</v>
      </c>
      <c r="NZ19" s="1671"/>
      <c r="OA19" s="293"/>
      <c r="OB19" s="293" t="s">
        <v>8993</v>
      </c>
      <c r="OC19" s="293" t="s">
        <v>8203</v>
      </c>
      <c r="OD19" s="1673"/>
      <c r="OE19" s="1673" t="s">
        <v>8874</v>
      </c>
      <c r="OF19" s="1673" t="s">
        <v>8994</v>
      </c>
      <c r="OG19" s="1672"/>
      <c r="OH19" s="1672" t="s">
        <v>8798</v>
      </c>
      <c r="OI19" s="1672" t="s">
        <v>8995</v>
      </c>
      <c r="OJ19" s="1673"/>
      <c r="OK19" s="1673"/>
      <c r="OL19" s="1673" t="s">
        <v>8996</v>
      </c>
      <c r="OM19" s="1673" t="s">
        <v>8750</v>
      </c>
      <c r="ON19" s="1673" t="s">
        <v>8997</v>
      </c>
      <c r="OO19" s="1671"/>
      <c r="OP19" s="1671" t="s">
        <v>8097</v>
      </c>
      <c r="OQ19" s="1672" t="s">
        <v>8998</v>
      </c>
      <c r="OR19" s="1672" t="s">
        <v>8999</v>
      </c>
      <c r="OS19" s="1672" t="s">
        <v>9000</v>
      </c>
      <c r="OT19" s="293"/>
      <c r="OU19" s="293"/>
      <c r="OV19" s="1672" t="s">
        <v>9001</v>
      </c>
      <c r="OW19" s="1672" t="s">
        <v>9002</v>
      </c>
      <c r="OX19" s="1675" t="s">
        <v>9003</v>
      </c>
      <c r="OY19" s="1675" t="s">
        <v>9004</v>
      </c>
      <c r="OZ19" s="293"/>
      <c r="PA19" s="293" t="s">
        <v>9005</v>
      </c>
      <c r="PB19" s="364" t="s">
        <v>9005</v>
      </c>
      <c r="PC19" s="1674" t="s">
        <v>8492</v>
      </c>
      <c r="PD19" s="1704" t="s">
        <v>9006</v>
      </c>
      <c r="PE19" s="364"/>
      <c r="PF19" s="364" t="s">
        <v>7651</v>
      </c>
      <c r="PG19" s="253" t="s">
        <v>8808</v>
      </c>
      <c r="PH19" s="1673"/>
      <c r="PI19" s="1673" t="s">
        <v>8884</v>
      </c>
      <c r="PJ19" s="1674"/>
      <c r="PK19" s="1674" t="s">
        <v>9007</v>
      </c>
      <c r="PL19" s="464" t="s">
        <v>9008</v>
      </c>
      <c r="PM19" s="464" t="s">
        <v>9009</v>
      </c>
      <c r="PN19" s="464" t="s">
        <v>8895</v>
      </c>
      <c r="PO19" s="464" t="s">
        <v>9010</v>
      </c>
      <c r="PP19" s="464" t="s">
        <v>9011</v>
      </c>
      <c r="PQ19" s="1673" t="s">
        <v>8568</v>
      </c>
      <c r="PR19" s="1673" t="s">
        <v>8500</v>
      </c>
      <c r="PS19" s="464"/>
      <c r="PT19" s="1676"/>
      <c r="PU19" s="1675" t="s">
        <v>9012</v>
      </c>
      <c r="PV19" s="1675" t="s">
        <v>8822</v>
      </c>
      <c r="PW19" s="364"/>
      <c r="PX19" s="464" t="s">
        <v>9013</v>
      </c>
      <c r="PY19" s="464" t="s">
        <v>8907</v>
      </c>
      <c r="PZ19" s="293" t="s">
        <v>9014</v>
      </c>
      <c r="QA19" s="293" t="s">
        <v>9015</v>
      </c>
      <c r="QB19" s="1673" t="s">
        <v>8804</v>
      </c>
      <c r="QC19" s="1674" t="s">
        <v>9016</v>
      </c>
      <c r="QD19" s="1674"/>
      <c r="QE19" s="1676" t="s">
        <v>9017</v>
      </c>
      <c r="QF19" s="464" t="s">
        <v>8820</v>
      </c>
      <c r="QG19" s="1672" t="s">
        <v>9002</v>
      </c>
      <c r="QH19" s="1672" t="s">
        <v>9018</v>
      </c>
      <c r="QI19" s="1672" t="s">
        <v>9019</v>
      </c>
      <c r="QJ19" s="1676" t="s">
        <v>9020</v>
      </c>
      <c r="QK19" s="1672"/>
      <c r="QL19" s="1672" t="s">
        <v>9021</v>
      </c>
      <c r="QM19" s="1673" t="s">
        <v>7357</v>
      </c>
      <c r="QN19" s="1673" t="s">
        <v>9022</v>
      </c>
      <c r="QO19" s="464" t="s">
        <v>9023</v>
      </c>
      <c r="QP19" s="464" t="s">
        <v>9024</v>
      </c>
      <c r="QQ19" s="1672" t="s">
        <v>9025</v>
      </c>
      <c r="QR19" s="1672" t="s">
        <v>9026</v>
      </c>
      <c r="QS19" s="293" t="s">
        <v>9027</v>
      </c>
      <c r="QT19" s="1672" t="s">
        <v>9028</v>
      </c>
      <c r="QU19" s="1672" t="s">
        <v>9029</v>
      </c>
      <c r="QV19" s="1672" t="s">
        <v>8568</v>
      </c>
      <c r="QW19" s="253" t="s">
        <v>9030</v>
      </c>
      <c r="QX19" s="158" t="s">
        <v>9031</v>
      </c>
      <c r="QY19" s="1676" t="s">
        <v>9032</v>
      </c>
      <c r="QZ19" s="1675" t="s">
        <v>8064</v>
      </c>
      <c r="RA19" s="1674" t="s">
        <v>8851</v>
      </c>
      <c r="RB19" s="1675" t="s">
        <v>8852</v>
      </c>
      <c r="RC19" s="1672" t="s">
        <v>8589</v>
      </c>
      <c r="RD19" s="364" t="s">
        <v>8092</v>
      </c>
      <c r="RE19" s="1671" t="s">
        <v>8595</v>
      </c>
      <c r="RF19" s="253"/>
      <c r="RG19" s="293" t="s">
        <v>8380</v>
      </c>
      <c r="RH19" s="293" t="s">
        <v>8778</v>
      </c>
      <c r="RI19" s="1672" t="s">
        <v>9033</v>
      </c>
      <c r="RJ19" s="464" t="s">
        <v>7915</v>
      </c>
      <c r="RK19" s="1673" t="s">
        <v>9034</v>
      </c>
      <c r="RL19" s="1671" t="s">
        <v>8600</v>
      </c>
      <c r="RM19" s="253" t="s">
        <v>9035</v>
      </c>
      <c r="RN19" s="1675" t="s">
        <v>8122</v>
      </c>
      <c r="RO19" s="1676" t="s">
        <v>7730</v>
      </c>
      <c r="RP19" s="254" t="s">
        <v>9036</v>
      </c>
      <c r="RQ19" s="1671" t="s">
        <v>9037</v>
      </c>
      <c r="RR19" s="1671" t="s">
        <v>9037</v>
      </c>
      <c r="RS19" s="1671" t="s">
        <v>9037</v>
      </c>
      <c r="RT19" s="1671" t="s">
        <v>9037</v>
      </c>
      <c r="RU19" s="1671" t="s">
        <v>9037</v>
      </c>
      <c r="RV19" s="1671" t="s">
        <v>9037</v>
      </c>
      <c r="RW19" s="364"/>
      <c r="RX19" s="1674"/>
      <c r="RY19" s="1672"/>
      <c r="RZ19" s="253"/>
      <c r="SA19" s="464"/>
      <c r="SB19" s="1673"/>
      <c r="SC19" s="253" t="s">
        <v>9038</v>
      </c>
      <c r="SD19" s="1676"/>
      <c r="SE19" s="1676"/>
      <c r="SF19" s="364"/>
      <c r="SG19" s="1672"/>
      <c r="SH19" s="1702" t="s">
        <v>8529</v>
      </c>
      <c r="SI19" s="1676" t="s">
        <v>9039</v>
      </c>
      <c r="SJ19" s="293"/>
      <c r="SK19" s="293"/>
      <c r="SL19" s="1675" t="s">
        <v>9040</v>
      </c>
    </row>
    <row r="20" ht="15.75" customHeight="1">
      <c r="A20" s="1517"/>
      <c r="B20" s="1680" t="s">
        <v>7029</v>
      </c>
      <c r="C20" s="1680" t="s">
        <v>9041</v>
      </c>
      <c r="D20" s="1680" t="s">
        <v>9042</v>
      </c>
      <c r="E20" s="1680"/>
      <c r="F20" s="1680" t="s">
        <v>7369</v>
      </c>
      <c r="G20" s="1680" t="s">
        <v>8907</v>
      </c>
      <c r="H20" s="1680"/>
      <c r="I20" s="1680" t="s">
        <v>9043</v>
      </c>
      <c r="J20" s="1680" t="s">
        <v>9044</v>
      </c>
      <c r="K20" s="1680"/>
      <c r="L20" s="1680"/>
      <c r="M20" s="1680" t="s">
        <v>8543</v>
      </c>
      <c r="N20" s="1680"/>
      <c r="O20" s="1680"/>
      <c r="P20" s="1686" t="s">
        <v>8608</v>
      </c>
      <c r="Q20" s="1680" t="s">
        <v>9045</v>
      </c>
      <c r="R20" s="1680" t="s">
        <v>7540</v>
      </c>
      <c r="S20" s="1680" t="s">
        <v>9046</v>
      </c>
      <c r="T20" s="1680"/>
      <c r="U20" s="1680" t="s">
        <v>7938</v>
      </c>
      <c r="V20" s="1662" t="s">
        <v>9047</v>
      </c>
      <c r="W20" s="1680" t="s">
        <v>9048</v>
      </c>
      <c r="X20" s="1680" t="s">
        <v>9049</v>
      </c>
      <c r="Y20" s="1680" t="s">
        <v>9050</v>
      </c>
      <c r="Z20" s="1680" t="s">
        <v>9051</v>
      </c>
      <c r="AA20" s="1680"/>
      <c r="AB20" s="1680" t="s">
        <v>9052</v>
      </c>
      <c r="AC20" s="1680" t="s">
        <v>9053</v>
      </c>
      <c r="AD20" s="1680"/>
      <c r="AE20" s="1680"/>
      <c r="AF20" s="1680"/>
      <c r="AG20" s="1680"/>
      <c r="AH20" s="1680"/>
      <c r="AI20" s="1680"/>
      <c r="AJ20" s="1680" t="s">
        <v>8635</v>
      </c>
      <c r="AK20" s="1680"/>
      <c r="AL20" s="1680" t="s">
        <v>9054</v>
      </c>
      <c r="AM20" s="1680"/>
      <c r="AN20" s="1662" t="s">
        <v>8885</v>
      </c>
      <c r="AO20" s="1680"/>
      <c r="AP20" s="1680" t="s">
        <v>8678</v>
      </c>
      <c r="AQ20" s="1680" t="s">
        <v>9055</v>
      </c>
      <c r="AR20" s="1680" t="s">
        <v>9056</v>
      </c>
      <c r="AS20" s="1680" t="s">
        <v>7143</v>
      </c>
      <c r="AT20" s="1680"/>
      <c r="AU20" s="1680" t="s">
        <v>9057</v>
      </c>
      <c r="AV20" s="1680" t="s">
        <v>9058</v>
      </c>
      <c r="AW20" s="1680" t="s">
        <v>9059</v>
      </c>
      <c r="AX20" s="1680" t="s">
        <v>9060</v>
      </c>
      <c r="AY20" s="1680" t="s">
        <v>9061</v>
      </c>
      <c r="AZ20" s="1680" t="s">
        <v>8776</v>
      </c>
      <c r="BA20" s="1680" t="s">
        <v>9062</v>
      </c>
      <c r="BB20" s="1680" t="s">
        <v>8158</v>
      </c>
      <c r="BC20" s="1680" t="s">
        <v>9063</v>
      </c>
      <c r="BD20" s="1680" t="s">
        <v>9064</v>
      </c>
      <c r="BE20" s="1680" t="s">
        <v>9065</v>
      </c>
      <c r="BF20" s="1680" t="s">
        <v>9066</v>
      </c>
      <c r="BG20" s="1680" t="s">
        <v>9067</v>
      </c>
      <c r="BH20" s="1680"/>
      <c r="BI20" s="1680"/>
      <c r="BJ20" s="1680"/>
      <c r="BK20" s="1680"/>
      <c r="BL20" s="1680"/>
      <c r="BM20" s="1680" t="s">
        <v>9068</v>
      </c>
      <c r="BN20" s="1680" t="s">
        <v>8559</v>
      </c>
      <c r="BO20" s="1680" t="s">
        <v>9069</v>
      </c>
      <c r="BP20" s="1680" t="s">
        <v>9070</v>
      </c>
      <c r="BQ20" s="1680" t="s">
        <v>8561</v>
      </c>
      <c r="BR20" s="1680" t="s">
        <v>9071</v>
      </c>
      <c r="BS20" s="1680" t="s">
        <v>9072</v>
      </c>
      <c r="BT20" s="1680"/>
      <c r="BU20" s="1680"/>
      <c r="BV20" s="1680"/>
      <c r="BW20" s="1680" t="s">
        <v>9073</v>
      </c>
      <c r="BX20" s="1680" t="s">
        <v>9074</v>
      </c>
      <c r="BY20" s="1680" t="s">
        <v>8318</v>
      </c>
      <c r="BZ20" s="1681" t="s">
        <v>9075</v>
      </c>
      <c r="CA20" s="1680" t="s">
        <v>9076</v>
      </c>
      <c r="CB20" s="1680" t="s">
        <v>8559</v>
      </c>
      <c r="CC20" s="1680" t="s">
        <v>9077</v>
      </c>
      <c r="CD20" s="1680" t="s">
        <v>9078</v>
      </c>
      <c r="CE20" s="1680" t="s">
        <v>9079</v>
      </c>
      <c r="CF20" s="1680" t="s">
        <v>9080</v>
      </c>
      <c r="CG20" s="1680" t="s">
        <v>9081</v>
      </c>
      <c r="CH20" s="1680" t="s">
        <v>9082</v>
      </c>
      <c r="CI20" s="1682" t="s">
        <v>8358</v>
      </c>
      <c r="CJ20" s="1682" t="s">
        <v>7513</v>
      </c>
      <c r="CK20" s="1680" t="s">
        <v>8980</v>
      </c>
      <c r="CL20" s="1680" t="s">
        <v>9083</v>
      </c>
      <c r="CM20" s="1680"/>
      <c r="CN20" s="1680"/>
      <c r="CO20" s="1680" t="s">
        <v>9084</v>
      </c>
      <c r="CP20" s="1680" t="s">
        <v>9085</v>
      </c>
      <c r="CQ20" s="1680" t="s">
        <v>9085</v>
      </c>
      <c r="CR20" s="1680" t="s">
        <v>8566</v>
      </c>
      <c r="CS20" s="1680" t="s">
        <v>9086</v>
      </c>
      <c r="CT20" s="1680" t="s">
        <v>8575</v>
      </c>
      <c r="CU20" s="1680" t="s">
        <v>8492</v>
      </c>
      <c r="CV20" s="1680" t="s">
        <v>9087</v>
      </c>
      <c r="CW20" s="1680" t="s">
        <v>9088</v>
      </c>
      <c r="CX20" s="1680" t="s">
        <v>9089</v>
      </c>
      <c r="CY20" s="1680" t="s">
        <v>9090</v>
      </c>
      <c r="CZ20" s="1680"/>
      <c r="DA20" s="1680" t="s">
        <v>9091</v>
      </c>
      <c r="DB20" s="1680" t="s">
        <v>9092</v>
      </c>
      <c r="DC20" s="1680" t="s">
        <v>9093</v>
      </c>
      <c r="DD20" s="1680" t="s">
        <v>9094</v>
      </c>
      <c r="DE20" s="1680" t="s">
        <v>8669</v>
      </c>
      <c r="DF20" s="1680" t="s">
        <v>9095</v>
      </c>
      <c r="DG20" s="1662" t="s">
        <v>9096</v>
      </c>
      <c r="DH20" s="1680" t="s">
        <v>8508</v>
      </c>
      <c r="DI20" s="1680" t="s">
        <v>8260</v>
      </c>
      <c r="DJ20" s="1680" t="s">
        <v>7753</v>
      </c>
      <c r="DK20" s="1680" t="s">
        <v>8830</v>
      </c>
      <c r="DL20" s="1680" t="s">
        <v>8224</v>
      </c>
      <c r="DM20" s="1680" t="s">
        <v>8274</v>
      </c>
      <c r="DN20" s="1680" t="s">
        <v>9097</v>
      </c>
      <c r="DO20" s="1680" t="s">
        <v>8568</v>
      </c>
      <c r="DP20" s="1680" t="s">
        <v>8406</v>
      </c>
      <c r="DQ20" s="1680" t="s">
        <v>9098</v>
      </c>
      <c r="DR20" s="1680"/>
      <c r="DS20" s="1680" t="s">
        <v>9016</v>
      </c>
      <c r="DT20" s="1680" t="s">
        <v>9099</v>
      </c>
      <c r="DU20" s="1680" t="s">
        <v>9100</v>
      </c>
      <c r="DV20" s="1681" t="s">
        <v>8889</v>
      </c>
      <c r="DW20" s="1681" t="s">
        <v>9101</v>
      </c>
      <c r="DX20" s="1662" t="s">
        <v>9102</v>
      </c>
      <c r="DY20" s="1686" t="s">
        <v>8705</v>
      </c>
      <c r="DZ20" s="1680"/>
      <c r="EA20" s="1680"/>
      <c r="EB20" s="1680" t="s">
        <v>8856</v>
      </c>
      <c r="EC20" s="1680"/>
      <c r="ED20" s="1680" t="s">
        <v>9103</v>
      </c>
      <c r="EE20" s="1680" t="s">
        <v>9104</v>
      </c>
      <c r="EF20" s="1680" t="s">
        <v>9105</v>
      </c>
      <c r="EG20" s="1662" t="s">
        <v>9106</v>
      </c>
      <c r="EH20" s="1680" t="s">
        <v>9107</v>
      </c>
      <c r="EI20" s="1680" t="s">
        <v>9108</v>
      </c>
      <c r="EJ20" s="1662" t="s">
        <v>9109</v>
      </c>
      <c r="EK20" s="1680" t="s">
        <v>9110</v>
      </c>
      <c r="EL20" s="1680" t="s">
        <v>9111</v>
      </c>
      <c r="EM20" s="1686" t="s">
        <v>9112</v>
      </c>
      <c r="EN20" s="1680" t="s">
        <v>9020</v>
      </c>
      <c r="EO20" s="1680"/>
      <c r="EP20" s="1680"/>
      <c r="EQ20" s="1680"/>
      <c r="ER20" s="1680"/>
      <c r="ES20" s="1680"/>
      <c r="ET20" s="1680" t="s">
        <v>8355</v>
      </c>
      <c r="EU20" s="1680" t="s">
        <v>9113</v>
      </c>
      <c r="EV20" s="1680"/>
      <c r="EW20" s="1680" t="s">
        <v>7029</v>
      </c>
      <c r="EX20" s="1680" t="s">
        <v>9041</v>
      </c>
      <c r="EY20" s="1662" t="s">
        <v>9114</v>
      </c>
      <c r="EZ20" s="1680"/>
      <c r="FA20" s="1680" t="s">
        <v>9115</v>
      </c>
      <c r="FB20" s="1680" t="s">
        <v>8470</v>
      </c>
      <c r="FC20" s="1680" t="s">
        <v>6608</v>
      </c>
      <c r="FD20" s="1680" t="s">
        <v>9116</v>
      </c>
      <c r="FE20" s="1681" t="s">
        <v>9117</v>
      </c>
      <c r="FF20" s="1680" t="s">
        <v>9118</v>
      </c>
      <c r="FG20" s="1662" t="s">
        <v>9119</v>
      </c>
      <c r="FH20" s="1680" t="s">
        <v>9120</v>
      </c>
      <c r="FI20" s="1680" t="s">
        <v>9121</v>
      </c>
      <c r="FJ20" s="1680" t="s">
        <v>8190</v>
      </c>
      <c r="FK20" s="1680" t="s">
        <v>8234</v>
      </c>
      <c r="FL20" s="1680" t="s">
        <v>8679</v>
      </c>
      <c r="FM20" s="1680" t="s">
        <v>9122</v>
      </c>
      <c r="FN20" s="1680" t="s">
        <v>8814</v>
      </c>
      <c r="FO20" s="1680" t="s">
        <v>9123</v>
      </c>
      <c r="FP20" s="1680" t="s">
        <v>9124</v>
      </c>
      <c r="FQ20" s="1680"/>
      <c r="FR20" s="1680"/>
      <c r="FS20" s="1680"/>
      <c r="FT20" s="1687" t="s">
        <v>9125</v>
      </c>
      <c r="FU20" s="1694" t="s">
        <v>8619</v>
      </c>
      <c r="FV20" s="1680" t="s">
        <v>9126</v>
      </c>
      <c r="FW20" s="1680" t="s">
        <v>9127</v>
      </c>
      <c r="FX20" s="1664"/>
      <c r="FY20" s="1680"/>
      <c r="FZ20" s="1680" t="s">
        <v>8591</v>
      </c>
      <c r="GA20" s="1680"/>
      <c r="GB20" s="1680" t="s">
        <v>9128</v>
      </c>
      <c r="GC20" s="1680" t="s">
        <v>9129</v>
      </c>
      <c r="GD20" s="1680" t="s">
        <v>8804</v>
      </c>
      <c r="GE20" s="1680"/>
      <c r="GF20" s="1681" t="s">
        <v>9130</v>
      </c>
      <c r="GG20" s="1681" t="s">
        <v>9131</v>
      </c>
      <c r="GH20" s="1681" t="s">
        <v>9132</v>
      </c>
      <c r="GI20" s="1680" t="s">
        <v>9133</v>
      </c>
      <c r="GJ20" s="1680" t="s">
        <v>8360</v>
      </c>
      <c r="GK20" s="1680" t="s">
        <v>6926</v>
      </c>
      <c r="GL20" s="1680" t="s">
        <v>9134</v>
      </c>
      <c r="GM20" s="1680" t="s">
        <v>9135</v>
      </c>
      <c r="GN20" s="1680" t="s">
        <v>9136</v>
      </c>
      <c r="GO20" s="1665" t="s">
        <v>9137</v>
      </c>
      <c r="GP20" s="1719" t="s">
        <v>9138</v>
      </c>
      <c r="GQ20" s="1680"/>
      <c r="GR20" s="1680" t="s">
        <v>9139</v>
      </c>
      <c r="GS20" s="1662" t="s">
        <v>8173</v>
      </c>
      <c r="GT20" s="1680"/>
      <c r="GU20" s="1680"/>
      <c r="GV20" s="1680" t="s">
        <v>8326</v>
      </c>
      <c r="GW20" s="1680" t="s">
        <v>8443</v>
      </c>
      <c r="GX20" s="1680" t="s">
        <v>8567</v>
      </c>
      <c r="GY20" s="1680" t="s">
        <v>9140</v>
      </c>
      <c r="GZ20" s="1680" t="s">
        <v>8967</v>
      </c>
      <c r="HA20" s="1680" t="s">
        <v>7915</v>
      </c>
      <c r="HB20" s="1680" t="s">
        <v>9141</v>
      </c>
      <c r="HC20" s="1680" t="s">
        <v>9142</v>
      </c>
      <c r="HD20" s="1680" t="s">
        <v>9143</v>
      </c>
      <c r="HE20" s="1680" t="s">
        <v>8848</v>
      </c>
      <c r="HF20" s="1680" t="s">
        <v>9144</v>
      </c>
      <c r="HG20" s="1680" t="s">
        <v>9143</v>
      </c>
      <c r="HH20" s="1680" t="s">
        <v>9145</v>
      </c>
      <c r="HI20" s="1680" t="s">
        <v>9146</v>
      </c>
      <c r="HJ20" s="1680" t="s">
        <v>8851</v>
      </c>
      <c r="HK20" s="1680" t="s">
        <v>9147</v>
      </c>
      <c r="HL20" s="1680" t="s">
        <v>9148</v>
      </c>
      <c r="HM20" s="1680" t="s">
        <v>8958</v>
      </c>
      <c r="HN20" s="1680" t="s">
        <v>9146</v>
      </c>
      <c r="HO20" s="1680" t="s">
        <v>9149</v>
      </c>
      <c r="HP20" s="1680" t="s">
        <v>9150</v>
      </c>
      <c r="HQ20" s="1680" t="s">
        <v>8470</v>
      </c>
      <c r="HR20" s="1686" t="s">
        <v>9151</v>
      </c>
      <c r="HS20" s="1680" t="s">
        <v>7564</v>
      </c>
      <c r="HT20" s="1686" t="s">
        <v>9099</v>
      </c>
      <c r="HU20" s="1680"/>
      <c r="HV20" s="1680" t="s">
        <v>9152</v>
      </c>
      <c r="HW20" s="1680" t="s">
        <v>8856</v>
      </c>
      <c r="HX20" s="1680" t="s">
        <v>8566</v>
      </c>
      <c r="HY20" s="1680" t="s">
        <v>8410</v>
      </c>
      <c r="HZ20" s="1680" t="s">
        <v>9107</v>
      </c>
      <c r="IA20" s="1680" t="s">
        <v>9153</v>
      </c>
      <c r="IB20" s="1664" t="s">
        <v>9154</v>
      </c>
      <c r="IC20" s="1680"/>
      <c r="ID20" s="1680" t="s">
        <v>9155</v>
      </c>
      <c r="IE20" s="1680" t="s">
        <v>9156</v>
      </c>
      <c r="IF20" s="1681" t="s">
        <v>8922</v>
      </c>
      <c r="IG20" s="1681" t="s">
        <v>9075</v>
      </c>
      <c r="IH20" s="1680"/>
      <c r="II20" s="1680" t="s">
        <v>7753</v>
      </c>
      <c r="IJ20" s="1680" t="s">
        <v>8357</v>
      </c>
      <c r="IK20" s="1680" t="s">
        <v>9157</v>
      </c>
      <c r="IL20" s="1680" t="s">
        <v>9158</v>
      </c>
      <c r="IM20" s="1680" t="s">
        <v>9159</v>
      </c>
      <c r="IN20" s="1680" t="s">
        <v>8862</v>
      </c>
      <c r="IO20" s="1680" t="s">
        <v>8410</v>
      </c>
      <c r="IP20" s="1664"/>
      <c r="IQ20" s="1680"/>
      <c r="IR20" s="1680"/>
      <c r="IS20" s="1680"/>
      <c r="IT20" s="1680" t="s">
        <v>9160</v>
      </c>
      <c r="IU20" s="1680" t="s">
        <v>8207</v>
      </c>
      <c r="IV20" s="1680" t="s">
        <v>9161</v>
      </c>
      <c r="IW20" s="1680" t="s">
        <v>9162</v>
      </c>
      <c r="IX20" s="1680" t="s">
        <v>9163</v>
      </c>
      <c r="IY20" s="1680"/>
      <c r="IZ20" s="1680" t="s">
        <v>8798</v>
      </c>
      <c r="JA20" s="1680" t="s">
        <v>8015</v>
      </c>
      <c r="JB20" s="1680"/>
      <c r="JC20" s="1680" t="s">
        <v>9164</v>
      </c>
      <c r="JD20" s="1680"/>
      <c r="JE20" s="1664" t="s">
        <v>9165</v>
      </c>
      <c r="JF20" s="1680"/>
      <c r="JG20" s="1664"/>
      <c r="JH20" s="1680"/>
      <c r="JI20" s="1680"/>
      <c r="JJ20" s="1680"/>
      <c r="JK20" s="1680"/>
      <c r="JL20" s="1680"/>
      <c r="JM20" s="1680"/>
      <c r="JN20" s="1680"/>
      <c r="JO20" s="1680"/>
      <c r="JP20" s="1680"/>
      <c r="JQ20" s="1680"/>
      <c r="JR20" s="1680"/>
      <c r="JS20" s="1664"/>
      <c r="JT20" s="1680" t="s">
        <v>8838</v>
      </c>
      <c r="JU20" s="1664" t="s">
        <v>8559</v>
      </c>
      <c r="JV20" s="1664" t="s">
        <v>9166</v>
      </c>
      <c r="JW20" s="1664" t="s">
        <v>9005</v>
      </c>
      <c r="JX20" s="1680"/>
      <c r="JY20" s="1680" t="s">
        <v>9167</v>
      </c>
      <c r="JZ20" s="1680" t="s">
        <v>8760</v>
      </c>
      <c r="KA20" s="1680" t="s">
        <v>9168</v>
      </c>
      <c r="KB20" s="1680"/>
      <c r="KC20" s="1664"/>
      <c r="KD20" s="1680" t="s">
        <v>9169</v>
      </c>
      <c r="KE20" s="1680"/>
      <c r="KF20" s="1680" t="s">
        <v>9170</v>
      </c>
      <c r="KG20" s="1680"/>
      <c r="KH20" s="1680"/>
      <c r="KI20" s="1680"/>
      <c r="KJ20" s="1680" t="s">
        <v>8438</v>
      </c>
      <c r="KK20" s="1680" t="s">
        <v>9171</v>
      </c>
      <c r="KL20" s="1680" t="s">
        <v>9172</v>
      </c>
      <c r="KM20" s="1680"/>
      <c r="KN20" s="1686" t="s">
        <v>9173</v>
      </c>
      <c r="KO20" s="1680" t="s">
        <v>9174</v>
      </c>
      <c r="KP20" s="1680"/>
      <c r="KQ20" s="1680" t="s">
        <v>8779</v>
      </c>
      <c r="KR20" s="1680" t="s">
        <v>8779</v>
      </c>
      <c r="KS20" s="1680" t="s">
        <v>9175</v>
      </c>
      <c r="KT20" s="1680" t="s">
        <v>9176</v>
      </c>
      <c r="KU20" s="1680" t="s">
        <v>9177</v>
      </c>
      <c r="KV20" s="1680" t="s">
        <v>9178</v>
      </c>
      <c r="KW20" s="1680" t="s">
        <v>8446</v>
      </c>
      <c r="KX20" s="1680" t="s">
        <v>9179</v>
      </c>
      <c r="KY20" s="1680" t="s">
        <v>9180</v>
      </c>
      <c r="KZ20" s="1680" t="s">
        <v>8803</v>
      </c>
      <c r="LA20" s="1680" t="s">
        <v>9181</v>
      </c>
      <c r="LB20" s="1680" t="s">
        <v>8988</v>
      </c>
      <c r="LC20" s="1680" t="s">
        <v>9182</v>
      </c>
      <c r="LD20" s="1680" t="s">
        <v>9183</v>
      </c>
      <c r="LE20" s="1680" t="s">
        <v>9184</v>
      </c>
      <c r="LF20" s="1680" t="s">
        <v>9185</v>
      </c>
      <c r="LG20" s="1680" t="s">
        <v>8274</v>
      </c>
      <c r="LH20" s="1680" t="s">
        <v>9186</v>
      </c>
      <c r="LI20" s="1680" t="s">
        <v>6993</v>
      </c>
      <c r="LJ20" s="1700" t="s">
        <v>9187</v>
      </c>
      <c r="LK20" s="1680"/>
      <c r="LL20" s="1680" t="s">
        <v>9188</v>
      </c>
      <c r="LM20" s="1680" t="s">
        <v>9189</v>
      </c>
      <c r="LN20" s="1680" t="s">
        <v>8568</v>
      </c>
      <c r="LO20" s="1680" t="s">
        <v>9190</v>
      </c>
      <c r="LP20" s="1680" t="s">
        <v>9191</v>
      </c>
      <c r="LQ20" s="1680" t="s">
        <v>8775</v>
      </c>
      <c r="LR20" s="1680" t="s">
        <v>9192</v>
      </c>
      <c r="LS20" s="1680" t="s">
        <v>9193</v>
      </c>
      <c r="LT20" s="1680" t="s">
        <v>9194</v>
      </c>
      <c r="LU20" s="1680" t="s">
        <v>9195</v>
      </c>
      <c r="LV20" s="1686" t="s">
        <v>9196</v>
      </c>
      <c r="LW20" s="1680" t="s">
        <v>7626</v>
      </c>
      <c r="LX20" s="1664" t="s">
        <v>9197</v>
      </c>
      <c r="LY20" s="1662" t="s">
        <v>9198</v>
      </c>
      <c r="LZ20" s="1680" t="s">
        <v>9199</v>
      </c>
      <c r="MA20" s="1680" t="s">
        <v>9200</v>
      </c>
      <c r="MB20" s="1680" t="s">
        <v>8564</v>
      </c>
      <c r="MC20" s="1680" t="s">
        <v>8372</v>
      </c>
      <c r="MD20" s="1680" t="s">
        <v>9201</v>
      </c>
      <c r="ME20" s="1680" t="s">
        <v>9202</v>
      </c>
      <c r="MF20" s="1680" t="s">
        <v>9203</v>
      </c>
      <c r="MG20" s="1680" t="s">
        <v>9204</v>
      </c>
      <c r="MH20" s="1680" t="s">
        <v>9205</v>
      </c>
      <c r="MI20" s="1680" t="s">
        <v>9206</v>
      </c>
      <c r="MJ20" s="1680" t="s">
        <v>9207</v>
      </c>
      <c r="MK20" s="1680" t="s">
        <v>9208</v>
      </c>
      <c r="ML20" s="1680"/>
      <c r="MM20" s="1681" t="s">
        <v>9209</v>
      </c>
      <c r="MN20" s="1664"/>
      <c r="MO20" s="1680" t="s">
        <v>8064</v>
      </c>
      <c r="MP20" s="1680" t="s">
        <v>9210</v>
      </c>
      <c r="MQ20" s="1680" t="s">
        <v>9211</v>
      </c>
      <c r="MR20" s="1680"/>
      <c r="MS20" s="1680" t="s">
        <v>9212</v>
      </c>
      <c r="MT20" s="1680" t="s">
        <v>9213</v>
      </c>
      <c r="MU20" s="1680" t="s">
        <v>9214</v>
      </c>
      <c r="MV20" s="1664" t="s">
        <v>9215</v>
      </c>
      <c r="MW20" s="1680"/>
      <c r="MX20" s="1680"/>
      <c r="MY20" s="1681" t="s">
        <v>9216</v>
      </c>
      <c r="MZ20" s="1680" t="s">
        <v>9217</v>
      </c>
      <c r="NA20" s="1680" t="s">
        <v>9020</v>
      </c>
      <c r="NB20" s="1680" t="s">
        <v>8986</v>
      </c>
      <c r="NC20" s="1680"/>
      <c r="ND20" s="1680"/>
      <c r="NE20" s="1680"/>
      <c r="NF20" s="1680" t="s">
        <v>8958</v>
      </c>
      <c r="NG20" s="1680" t="s">
        <v>9218</v>
      </c>
      <c r="NH20" s="1680" t="s">
        <v>8274</v>
      </c>
      <c r="NI20" s="1664" t="s">
        <v>9219</v>
      </c>
      <c r="NJ20" s="1680" t="s">
        <v>8737</v>
      </c>
      <c r="NK20" s="1680"/>
      <c r="NL20" s="1680" t="s">
        <v>8226</v>
      </c>
      <c r="NM20" s="1680" t="s">
        <v>8738</v>
      </c>
      <c r="NN20" s="1680"/>
      <c r="NO20" s="1680"/>
      <c r="NP20" s="1680" t="s">
        <v>8739</v>
      </c>
      <c r="NQ20" s="1680"/>
      <c r="NR20" s="1680"/>
      <c r="NS20" s="1680"/>
      <c r="NT20" s="1680"/>
      <c r="NU20" s="1680"/>
      <c r="NV20" s="1680" t="s">
        <v>9220</v>
      </c>
      <c r="NW20" s="1680"/>
      <c r="NX20" s="1680"/>
      <c r="NY20" s="1680"/>
      <c r="NZ20" s="1680"/>
      <c r="OA20" s="1680"/>
      <c r="OB20" s="1680"/>
      <c r="OC20" s="1680" t="s">
        <v>8396</v>
      </c>
      <c r="OD20" s="1680"/>
      <c r="OE20" s="1680"/>
      <c r="OF20" s="1680" t="s">
        <v>8537</v>
      </c>
      <c r="OG20" s="1680"/>
      <c r="OH20" s="1680"/>
      <c r="OI20" s="1680" t="s">
        <v>8516</v>
      </c>
      <c r="OJ20" s="1680"/>
      <c r="OK20" s="1680"/>
      <c r="OL20" s="1680" t="s">
        <v>9221</v>
      </c>
      <c r="OM20" s="1680"/>
      <c r="ON20" s="1680" t="s">
        <v>9222</v>
      </c>
      <c r="OO20" s="1680"/>
      <c r="OP20" s="1680" t="s">
        <v>8712</v>
      </c>
      <c r="OQ20" s="1686" t="s">
        <v>9223</v>
      </c>
      <c r="OR20" s="1686" t="s">
        <v>9224</v>
      </c>
      <c r="OS20" s="1680" t="s">
        <v>9225</v>
      </c>
      <c r="OT20" s="1680"/>
      <c r="OU20" s="1680"/>
      <c r="OV20" s="1680" t="s">
        <v>9226</v>
      </c>
      <c r="OW20" s="1680" t="s">
        <v>9227</v>
      </c>
      <c r="OX20" s="1662" t="s">
        <v>9228</v>
      </c>
      <c r="OY20" s="1680" t="s">
        <v>9227</v>
      </c>
      <c r="OZ20" s="1680"/>
      <c r="PA20" s="1680" t="s">
        <v>8927</v>
      </c>
      <c r="PB20" s="1680" t="s">
        <v>9229</v>
      </c>
      <c r="PC20" s="1680" t="s">
        <v>9005</v>
      </c>
      <c r="PD20" s="1681"/>
      <c r="PE20" s="1680"/>
      <c r="PF20" s="1680" t="s">
        <v>7671</v>
      </c>
      <c r="PG20" s="1664" t="s">
        <v>8888</v>
      </c>
      <c r="PH20" s="1680"/>
      <c r="PI20" s="1680"/>
      <c r="PJ20" s="1680"/>
      <c r="PK20" s="1680" t="s">
        <v>9041</v>
      </c>
      <c r="PL20" s="1680" t="s">
        <v>9214</v>
      </c>
      <c r="PM20" s="1680" t="s">
        <v>9230</v>
      </c>
      <c r="PN20" s="1680" t="s">
        <v>9133</v>
      </c>
      <c r="PO20" s="1662" t="s">
        <v>9231</v>
      </c>
      <c r="PP20" s="1686" t="s">
        <v>9232</v>
      </c>
      <c r="PQ20" s="1680" t="s">
        <v>9233</v>
      </c>
      <c r="PR20" s="1680" t="s">
        <v>8650</v>
      </c>
      <c r="PS20" s="1680"/>
      <c r="PT20" s="1680"/>
      <c r="PU20" s="1680" t="s">
        <v>8855</v>
      </c>
      <c r="PV20" s="1680" t="s">
        <v>9234</v>
      </c>
      <c r="PW20" s="1680"/>
      <c r="PX20" s="1680" t="s">
        <v>9235</v>
      </c>
      <c r="PY20" s="1680" t="s">
        <v>9236</v>
      </c>
      <c r="PZ20" s="1680" t="s">
        <v>9237</v>
      </c>
      <c r="QA20" s="1680" t="s">
        <v>8741</v>
      </c>
      <c r="QB20" s="1680"/>
      <c r="QC20" s="1680" t="s">
        <v>9238</v>
      </c>
      <c r="QD20" s="1680"/>
      <c r="QE20" s="1686" t="s">
        <v>9086</v>
      </c>
      <c r="QF20" s="1680" t="s">
        <v>9239</v>
      </c>
      <c r="QG20" s="1680" t="s">
        <v>8275</v>
      </c>
      <c r="QH20" s="1680" t="s">
        <v>9240</v>
      </c>
      <c r="QI20" s="1680" t="s">
        <v>9241</v>
      </c>
      <c r="QJ20" s="1680" t="s">
        <v>9242</v>
      </c>
      <c r="QK20" s="1680"/>
      <c r="QL20" s="1680" t="s">
        <v>9243</v>
      </c>
      <c r="QM20" s="1680"/>
      <c r="QN20" s="1680" t="s">
        <v>9244</v>
      </c>
      <c r="QO20" s="1680" t="s">
        <v>9245</v>
      </c>
      <c r="QP20" s="1680" t="s">
        <v>9163</v>
      </c>
      <c r="QQ20" s="1680" t="s">
        <v>9236</v>
      </c>
      <c r="QR20" s="1680" t="s">
        <v>9246</v>
      </c>
      <c r="QS20" s="1680" t="s">
        <v>8605</v>
      </c>
      <c r="QT20" s="1662" t="s">
        <v>9247</v>
      </c>
      <c r="QU20" s="1680" t="s">
        <v>9248</v>
      </c>
      <c r="QV20" s="1680" t="s">
        <v>8289</v>
      </c>
      <c r="QW20" s="1664" t="s">
        <v>9249</v>
      </c>
      <c r="QX20" s="1664" t="s">
        <v>8983</v>
      </c>
      <c r="QY20" s="1680" t="s">
        <v>8140</v>
      </c>
      <c r="QZ20" s="1680" t="s">
        <v>8123</v>
      </c>
      <c r="RA20" s="1680" t="s">
        <v>8669</v>
      </c>
      <c r="RB20" s="1680" t="s">
        <v>8260</v>
      </c>
      <c r="RC20" s="1680" t="s">
        <v>8854</v>
      </c>
      <c r="RD20" s="1680" t="s">
        <v>8123</v>
      </c>
      <c r="RE20" s="1662" t="s">
        <v>8860</v>
      </c>
      <c r="RF20" s="1664"/>
      <c r="RG20" s="1680" t="s">
        <v>9250</v>
      </c>
      <c r="RH20" s="1686" t="s">
        <v>9251</v>
      </c>
      <c r="RI20" s="1686" t="s">
        <v>7865</v>
      </c>
      <c r="RJ20" s="1680" t="s">
        <v>8386</v>
      </c>
      <c r="RK20" s="1680" t="s">
        <v>8131</v>
      </c>
      <c r="RL20" s="1680" t="s">
        <v>8118</v>
      </c>
      <c r="RM20" s="1664" t="s">
        <v>9252</v>
      </c>
      <c r="RN20" s="1680" t="s">
        <v>8441</v>
      </c>
      <c r="RO20" s="1680" t="s">
        <v>9212</v>
      </c>
      <c r="RP20" s="1680" t="s">
        <v>9253</v>
      </c>
      <c r="RQ20" s="1680" t="s">
        <v>9254</v>
      </c>
      <c r="RR20" s="1680" t="s">
        <v>9254</v>
      </c>
      <c r="RS20" s="1680" t="s">
        <v>9254</v>
      </c>
      <c r="RT20" s="1680" t="s">
        <v>9254</v>
      </c>
      <c r="RU20" s="1680" t="s">
        <v>9254</v>
      </c>
      <c r="RV20" s="1680" t="s">
        <v>9254</v>
      </c>
      <c r="RW20" s="1680"/>
      <c r="RX20" s="1680"/>
      <c r="RY20" s="1680"/>
      <c r="RZ20" s="1664"/>
      <c r="SA20" s="1680"/>
      <c r="SB20" s="1680"/>
      <c r="SC20" s="1664"/>
      <c r="SD20" s="1680"/>
      <c r="SE20" s="1680"/>
      <c r="SF20" s="1680"/>
      <c r="SG20" s="1680"/>
      <c r="SH20" s="1681"/>
      <c r="SI20" s="1680" t="s">
        <v>9255</v>
      </c>
      <c r="SJ20" s="1680"/>
      <c r="SK20" s="1680"/>
      <c r="SL20" s="1680" t="s">
        <v>7987</v>
      </c>
    </row>
    <row r="21" ht="15.75" customHeight="1">
      <c r="A21" s="1517"/>
      <c r="B21" s="293"/>
      <c r="C21" s="293" t="s">
        <v>9160</v>
      </c>
      <c r="D21" s="293" t="s">
        <v>9242</v>
      </c>
      <c r="E21" s="1671"/>
      <c r="F21" s="1671"/>
      <c r="G21" s="1671" t="s">
        <v>9256</v>
      </c>
      <c r="H21" s="1672"/>
      <c r="I21" s="1672"/>
      <c r="J21" s="1672" t="s">
        <v>9257</v>
      </c>
      <c r="K21" s="293"/>
      <c r="L21" s="293"/>
      <c r="M21" s="420" t="s">
        <v>9258</v>
      </c>
      <c r="N21" s="1673"/>
      <c r="O21" s="364"/>
      <c r="P21" s="1704" t="s">
        <v>9259</v>
      </c>
      <c r="Q21" s="1673"/>
      <c r="R21" s="1673"/>
      <c r="S21" s="1673" t="s">
        <v>9260</v>
      </c>
      <c r="T21" s="464"/>
      <c r="U21" s="1673" t="s">
        <v>8944</v>
      </c>
      <c r="V21" s="1673"/>
      <c r="W21" s="1673" t="s">
        <v>9261</v>
      </c>
      <c r="X21" s="464"/>
      <c r="Y21" s="464" t="s">
        <v>8447</v>
      </c>
      <c r="Z21" s="364"/>
      <c r="AA21" s="364"/>
      <c r="AB21" s="364" t="s">
        <v>8570</v>
      </c>
      <c r="AC21" s="364" t="s">
        <v>8776</v>
      </c>
      <c r="AD21" s="1672"/>
      <c r="AE21" s="1672"/>
      <c r="AF21" s="1672"/>
      <c r="AG21" s="464"/>
      <c r="AH21" s="464"/>
      <c r="AI21" s="464"/>
      <c r="AJ21" s="1674" t="s">
        <v>9262</v>
      </c>
      <c r="AK21" s="1674"/>
      <c r="AL21" s="1673" t="s">
        <v>8689</v>
      </c>
      <c r="AM21" s="364"/>
      <c r="AN21" s="1674" t="s">
        <v>9263</v>
      </c>
      <c r="AO21" s="1674"/>
      <c r="AP21" s="464"/>
      <c r="AQ21" s="464" t="s">
        <v>9264</v>
      </c>
      <c r="AR21" s="1672"/>
      <c r="AS21" s="1672"/>
      <c r="AT21" s="1671"/>
      <c r="AU21" s="1671"/>
      <c r="AV21" s="1671" t="s">
        <v>9265</v>
      </c>
      <c r="AW21" s="464"/>
      <c r="AX21" s="464" t="s">
        <v>7639</v>
      </c>
      <c r="AY21" s="1673"/>
      <c r="AZ21" s="1673" t="s">
        <v>9266</v>
      </c>
      <c r="BA21" s="364" t="s">
        <v>9267</v>
      </c>
      <c r="BB21" s="364" t="s">
        <v>8699</v>
      </c>
      <c r="BC21" s="364" t="s">
        <v>8565</v>
      </c>
      <c r="BD21" s="1672" t="s">
        <v>8887</v>
      </c>
      <c r="BE21" s="1673" t="s">
        <v>9268</v>
      </c>
      <c r="BF21" s="1673" t="s">
        <v>9269</v>
      </c>
      <c r="BG21" s="1673" t="s">
        <v>8613</v>
      </c>
      <c r="BH21" s="1673"/>
      <c r="BI21" s="1672"/>
      <c r="BJ21" s="1672"/>
      <c r="BK21" s="1672"/>
      <c r="BL21" s="1673"/>
      <c r="BM21" s="1673"/>
      <c r="BN21" s="1673" t="s">
        <v>8825</v>
      </c>
      <c r="BO21" s="1675" t="s">
        <v>9270</v>
      </c>
      <c r="BP21" s="1675" t="s">
        <v>9271</v>
      </c>
      <c r="BQ21" s="1675" t="s">
        <v>8828</v>
      </c>
      <c r="BR21" s="293"/>
      <c r="BS21" s="293"/>
      <c r="BT21" s="293"/>
      <c r="BU21" s="1672"/>
      <c r="BV21" s="1672"/>
      <c r="BW21" s="1673"/>
      <c r="BX21" s="1673" t="s">
        <v>9272</v>
      </c>
      <c r="BY21" s="1673" t="s">
        <v>8567</v>
      </c>
      <c r="BZ21" s="364"/>
      <c r="CA21" s="364" t="s">
        <v>8360</v>
      </c>
      <c r="CB21" s="1674" t="s">
        <v>9203</v>
      </c>
      <c r="CC21" s="1674" t="s">
        <v>9273</v>
      </c>
      <c r="CD21" s="1675" t="s">
        <v>9274</v>
      </c>
      <c r="CE21" s="1675" t="s">
        <v>9275</v>
      </c>
      <c r="CF21" s="1673" t="s">
        <v>9276</v>
      </c>
      <c r="CG21" s="1673" t="s">
        <v>9277</v>
      </c>
      <c r="CH21" s="1673" t="s">
        <v>9278</v>
      </c>
      <c r="CI21" s="254" t="s">
        <v>9279</v>
      </c>
      <c r="CJ21" s="254" t="s">
        <v>8358</v>
      </c>
      <c r="CK21" s="464" t="s">
        <v>9095</v>
      </c>
      <c r="CL21" s="464" t="s">
        <v>9280</v>
      </c>
      <c r="CM21" s="464"/>
      <c r="CN21" s="464"/>
      <c r="CO21" s="464" t="s">
        <v>8727</v>
      </c>
      <c r="CP21" s="464" t="s">
        <v>9281</v>
      </c>
      <c r="CQ21" s="464" t="s">
        <v>9281</v>
      </c>
      <c r="CR21" s="1675" t="s">
        <v>9282</v>
      </c>
      <c r="CS21" s="364" t="s">
        <v>9283</v>
      </c>
      <c r="CT21" s="364" t="s">
        <v>8844</v>
      </c>
      <c r="CU21" s="1671"/>
      <c r="CV21" s="1671" t="s">
        <v>9284</v>
      </c>
      <c r="CW21" s="1671" t="s">
        <v>9285</v>
      </c>
      <c r="CX21" s="1671" t="s">
        <v>9286</v>
      </c>
      <c r="CY21" s="1674" t="s">
        <v>9287</v>
      </c>
      <c r="CZ21" s="364"/>
      <c r="DA21" s="1673" t="s">
        <v>8224</v>
      </c>
      <c r="DB21" s="1673" t="s">
        <v>9288</v>
      </c>
      <c r="DC21" s="1673"/>
      <c r="DD21" s="1673" t="s">
        <v>9289</v>
      </c>
      <c r="DE21" s="1674" t="s">
        <v>8409</v>
      </c>
      <c r="DF21" s="464"/>
      <c r="DG21" s="464" t="s">
        <v>9290</v>
      </c>
      <c r="DH21" s="1675" t="s">
        <v>9116</v>
      </c>
      <c r="DI21" s="1675" t="s">
        <v>8275</v>
      </c>
      <c r="DJ21" s="1674" t="s">
        <v>8374</v>
      </c>
      <c r="DK21" s="1672" t="s">
        <v>9291</v>
      </c>
      <c r="DL21" s="1673" t="s">
        <v>9292</v>
      </c>
      <c r="DM21" s="1672"/>
      <c r="DN21" s="1672" t="s">
        <v>8987</v>
      </c>
      <c r="DO21" s="1671" t="s">
        <v>9293</v>
      </c>
      <c r="DP21" s="1671" t="s">
        <v>6993</v>
      </c>
      <c r="DQ21" s="1673" t="s">
        <v>8538</v>
      </c>
      <c r="DR21" s="464"/>
      <c r="DS21" s="1674" t="s">
        <v>9238</v>
      </c>
      <c r="DT21" s="293" t="s">
        <v>8967</v>
      </c>
      <c r="DU21" s="1671" t="s">
        <v>9294</v>
      </c>
      <c r="DV21" s="364"/>
      <c r="DW21" s="1671"/>
      <c r="DX21" s="1673" t="s">
        <v>8739</v>
      </c>
      <c r="DY21" s="1720" t="s">
        <v>9295</v>
      </c>
      <c r="DZ21" s="1671"/>
      <c r="EA21" s="1672"/>
      <c r="EB21" s="1672" t="s">
        <v>9296</v>
      </c>
      <c r="EC21" s="464"/>
      <c r="ED21" s="1673" t="s">
        <v>9297</v>
      </c>
      <c r="EE21" s="1672" t="s">
        <v>9297</v>
      </c>
      <c r="EF21" s="364" t="s">
        <v>9297</v>
      </c>
      <c r="EG21" s="1671" t="s">
        <v>9297</v>
      </c>
      <c r="EH21" s="1674" t="s">
        <v>9298</v>
      </c>
      <c r="EI21" s="1672"/>
      <c r="EJ21" s="1672" t="s">
        <v>9299</v>
      </c>
      <c r="EK21" s="1673"/>
      <c r="EL21" s="1673" t="s">
        <v>9300</v>
      </c>
      <c r="EM21" s="1698" t="s">
        <v>9301</v>
      </c>
      <c r="EN21" s="1676" t="s">
        <v>9242</v>
      </c>
      <c r="EO21" s="1672"/>
      <c r="EP21" s="364"/>
      <c r="EQ21" s="364"/>
      <c r="ER21" s="1672"/>
      <c r="ES21" s="1672"/>
      <c r="ET21" s="1673" t="s">
        <v>8609</v>
      </c>
      <c r="EU21" s="464" t="s">
        <v>9302</v>
      </c>
      <c r="EV21" s="1674"/>
      <c r="EW21" s="293"/>
      <c r="EX21" s="293" t="s">
        <v>9160</v>
      </c>
      <c r="EY21" s="293" t="s">
        <v>9303</v>
      </c>
      <c r="EZ21" s="364"/>
      <c r="FA21" s="364"/>
      <c r="FB21" s="364" t="s">
        <v>9304</v>
      </c>
      <c r="FC21" s="1672"/>
      <c r="FD21" s="1672" t="s">
        <v>9305</v>
      </c>
      <c r="FE21" s="1672" t="s">
        <v>9306</v>
      </c>
      <c r="FF21" s="1673" t="s">
        <v>9307</v>
      </c>
      <c r="FG21" s="1673" t="s">
        <v>9302</v>
      </c>
      <c r="FH21" s="1673" t="s">
        <v>8210</v>
      </c>
      <c r="FI21" s="1673" t="s">
        <v>9308</v>
      </c>
      <c r="FJ21" s="1671" t="s">
        <v>8804</v>
      </c>
      <c r="FK21" s="1671" t="s">
        <v>9309</v>
      </c>
      <c r="FL21" s="293" t="s">
        <v>9298</v>
      </c>
      <c r="FM21" s="1671" t="s">
        <v>9245</v>
      </c>
      <c r="FN21" s="464" t="s">
        <v>9055</v>
      </c>
      <c r="FO21" s="1672"/>
      <c r="FP21" s="1672"/>
      <c r="FQ21" s="364"/>
      <c r="FR21" s="1674"/>
      <c r="FS21" s="1674"/>
      <c r="FT21" s="254" t="s">
        <v>8901</v>
      </c>
      <c r="FU21" s="158" t="s">
        <v>8885</v>
      </c>
      <c r="FV21" s="293"/>
      <c r="FW21" s="293" t="s">
        <v>9310</v>
      </c>
      <c r="FX21" s="253"/>
      <c r="FY21" s="1674"/>
      <c r="FZ21" s="364" t="s">
        <v>9311</v>
      </c>
      <c r="GA21" s="293"/>
      <c r="GB21" s="1672" t="s">
        <v>8883</v>
      </c>
      <c r="GC21" s="1672" t="s">
        <v>9165</v>
      </c>
      <c r="GD21" s="1673" t="s">
        <v>8472</v>
      </c>
      <c r="GE21" s="293"/>
      <c r="GF21" s="1674" t="s">
        <v>9312</v>
      </c>
      <c r="GG21" s="293" t="s">
        <v>9313</v>
      </c>
      <c r="GH21" s="1672" t="s">
        <v>8283</v>
      </c>
      <c r="GI21" s="464" t="s">
        <v>9314</v>
      </c>
      <c r="GJ21" s="364" t="s">
        <v>9315</v>
      </c>
      <c r="GK21" s="364" t="s">
        <v>8360</v>
      </c>
      <c r="GL21" s="1671" t="s">
        <v>9316</v>
      </c>
      <c r="GM21" s="1672" t="s">
        <v>9317</v>
      </c>
      <c r="GN21" s="1672" t="s">
        <v>9318</v>
      </c>
      <c r="GO21" s="464" t="s">
        <v>9297</v>
      </c>
      <c r="GP21" s="1676" t="s">
        <v>9297</v>
      </c>
      <c r="GQ21" s="1676"/>
      <c r="GR21" s="1674" t="s">
        <v>8835</v>
      </c>
      <c r="GS21" s="1675" t="s">
        <v>8729</v>
      </c>
      <c r="GT21" s="1676"/>
      <c r="GU21" s="1672"/>
      <c r="GV21" s="364" t="s">
        <v>8218</v>
      </c>
      <c r="GW21" s="1675" t="s">
        <v>9242</v>
      </c>
      <c r="GX21" s="464" t="s">
        <v>9319</v>
      </c>
      <c r="GY21" s="364" t="s">
        <v>9320</v>
      </c>
      <c r="GZ21" s="464" t="s">
        <v>9321</v>
      </c>
      <c r="HA21" s="1675" t="s">
        <v>8203</v>
      </c>
      <c r="HB21" s="1674" t="s">
        <v>8520</v>
      </c>
      <c r="HC21" s="464" t="s">
        <v>9322</v>
      </c>
      <c r="HD21" s="1675" t="s">
        <v>9323</v>
      </c>
      <c r="HE21" s="1671" t="s">
        <v>8967</v>
      </c>
      <c r="HF21" s="364" t="s">
        <v>8925</v>
      </c>
      <c r="HG21" s="1672" t="s">
        <v>9197</v>
      </c>
      <c r="HH21" s="1676"/>
      <c r="HI21" s="1673" t="s">
        <v>9324</v>
      </c>
      <c r="HJ21" s="1673" t="s">
        <v>9325</v>
      </c>
      <c r="HK21" s="1671" t="s">
        <v>9326</v>
      </c>
      <c r="HL21" s="1671" t="s">
        <v>9327</v>
      </c>
      <c r="HM21" s="1673" t="s">
        <v>8924</v>
      </c>
      <c r="HN21" s="1673" t="s">
        <v>7613</v>
      </c>
      <c r="HO21" s="1674" t="s">
        <v>9328</v>
      </c>
      <c r="HP21" s="1675"/>
      <c r="HQ21" s="1671" t="s">
        <v>6608</v>
      </c>
      <c r="HR21" s="1703" t="s">
        <v>8676</v>
      </c>
      <c r="HS21" s="464" t="s">
        <v>8496</v>
      </c>
      <c r="HT21" s="1678" t="s">
        <v>9329</v>
      </c>
      <c r="HU21" s="1676"/>
      <c r="HV21" s="1676"/>
      <c r="HW21" s="1672" t="s">
        <v>9097</v>
      </c>
      <c r="HX21" s="1672" t="s">
        <v>9235</v>
      </c>
      <c r="HY21" s="1675" t="s">
        <v>9330</v>
      </c>
      <c r="HZ21" s="1671" t="s">
        <v>9298</v>
      </c>
      <c r="IA21" s="1673" t="s">
        <v>9331</v>
      </c>
      <c r="IB21" s="253" t="s">
        <v>9332</v>
      </c>
      <c r="IC21" s="464"/>
      <c r="ID21" s="1673"/>
      <c r="IE21" s="1674" t="s">
        <v>8983</v>
      </c>
      <c r="IF21" s="364"/>
      <c r="IG21" s="1671"/>
      <c r="IH21" s="1674"/>
      <c r="II21" s="1674" t="s">
        <v>8374</v>
      </c>
      <c r="IJ21" s="364"/>
      <c r="IK21" s="1673"/>
      <c r="IL21" s="1672"/>
      <c r="IM21" s="293"/>
      <c r="IN21" s="1675"/>
      <c r="IO21" s="293" t="s">
        <v>8608</v>
      </c>
      <c r="IP21" s="253"/>
      <c r="IQ21" s="1671"/>
      <c r="IR21" s="293"/>
      <c r="IS21" s="293"/>
      <c r="IT21" s="293"/>
      <c r="IU21" s="293" t="s">
        <v>9333</v>
      </c>
      <c r="IV21" s="1671"/>
      <c r="IW21" s="1671" t="s">
        <v>7369</v>
      </c>
      <c r="IX21" s="1671" t="s">
        <v>9334</v>
      </c>
      <c r="IY21" s="1672"/>
      <c r="IZ21" s="1672" t="s">
        <v>9335</v>
      </c>
      <c r="JA21" s="1672" t="s">
        <v>9336</v>
      </c>
      <c r="JB21" s="1675"/>
      <c r="JC21" s="1675" t="s">
        <v>8450</v>
      </c>
      <c r="JD21" s="1673"/>
      <c r="JE21" s="253" t="s">
        <v>9337</v>
      </c>
      <c r="JF21" s="1671"/>
      <c r="JG21" s="253"/>
      <c r="JH21" s="364"/>
      <c r="JI21" s="464"/>
      <c r="JJ21" s="293"/>
      <c r="JK21" s="293"/>
      <c r="JL21" s="293"/>
      <c r="JM21" s="293"/>
      <c r="JN21" s="1673"/>
      <c r="JO21" s="1673"/>
      <c r="JP21" s="1673"/>
      <c r="JQ21" s="1672"/>
      <c r="JR21" s="1672"/>
      <c r="JS21" s="253"/>
      <c r="JT21" s="364" t="s">
        <v>9338</v>
      </c>
      <c r="JU21" s="253"/>
      <c r="JV21" s="253"/>
      <c r="JW21" s="253" t="s">
        <v>9339</v>
      </c>
      <c r="JX21" s="1672"/>
      <c r="JY21" s="1672" t="s">
        <v>9320</v>
      </c>
      <c r="JZ21" s="1673"/>
      <c r="KA21" s="293" t="s">
        <v>9340</v>
      </c>
      <c r="KB21" s="1673"/>
      <c r="KC21" s="253"/>
      <c r="KD21" s="1673"/>
      <c r="KE21" s="1675"/>
      <c r="KF21" s="364" t="s">
        <v>8570</v>
      </c>
      <c r="KG21" s="1673"/>
      <c r="KH21" s="1674"/>
      <c r="KI21" s="1672"/>
      <c r="KJ21" s="1672" t="s">
        <v>9341</v>
      </c>
      <c r="KK21" s="364" t="s">
        <v>9342</v>
      </c>
      <c r="KL21" s="1673" t="s">
        <v>9343</v>
      </c>
      <c r="KM21" s="1672"/>
      <c r="KN21" s="1678" t="s">
        <v>9344</v>
      </c>
      <c r="KO21" s="1674" t="s">
        <v>9345</v>
      </c>
      <c r="KP21" s="464"/>
      <c r="KQ21" s="464" t="s">
        <v>9346</v>
      </c>
      <c r="KR21" s="1676" t="s">
        <v>9347</v>
      </c>
      <c r="KS21" s="1675" t="s">
        <v>9348</v>
      </c>
      <c r="KT21" s="1675" t="s">
        <v>9349</v>
      </c>
      <c r="KU21" s="1675" t="s">
        <v>8988</v>
      </c>
      <c r="KV21" s="1672" t="s">
        <v>9350</v>
      </c>
      <c r="KW21" s="1671" t="s">
        <v>9351</v>
      </c>
      <c r="KX21" s="293" t="s">
        <v>9352</v>
      </c>
      <c r="KY21" s="364" t="s">
        <v>9123</v>
      </c>
      <c r="KZ21" s="364" t="s">
        <v>8922</v>
      </c>
      <c r="LA21" s="364" t="s">
        <v>8922</v>
      </c>
      <c r="LB21" s="1675" t="s">
        <v>9353</v>
      </c>
      <c r="LC21" s="464" t="s">
        <v>9353</v>
      </c>
      <c r="LD21" s="293" t="s">
        <v>9354</v>
      </c>
      <c r="LE21" s="293"/>
      <c r="LF21" s="464" t="s">
        <v>8727</v>
      </c>
      <c r="LG21" s="1671"/>
      <c r="LH21" s="1672" t="s">
        <v>9355</v>
      </c>
      <c r="LI21" s="1672" t="s">
        <v>9356</v>
      </c>
      <c r="LJ21" s="1672" t="s">
        <v>9357</v>
      </c>
      <c r="LK21" s="364"/>
      <c r="LL21" s="1671" t="s">
        <v>9358</v>
      </c>
      <c r="LM21" s="1673" t="s">
        <v>9359</v>
      </c>
      <c r="LN21" s="1676" t="s">
        <v>8559</v>
      </c>
      <c r="LO21" s="464" t="s">
        <v>6993</v>
      </c>
      <c r="LP21" s="1673" t="s">
        <v>9360</v>
      </c>
      <c r="LQ21" s="1673" t="s">
        <v>9361</v>
      </c>
      <c r="LR21" s="293" t="s">
        <v>9361</v>
      </c>
      <c r="LS21" s="293" t="s">
        <v>9097</v>
      </c>
      <c r="LT21" s="293" t="s">
        <v>9362</v>
      </c>
      <c r="LU21" s="293" t="s">
        <v>9363</v>
      </c>
      <c r="LV21" s="1702" t="s">
        <v>9047</v>
      </c>
      <c r="LW21" s="1672" t="s">
        <v>8285</v>
      </c>
      <c r="LX21" s="253" t="s">
        <v>9364</v>
      </c>
      <c r="LY21" s="1676" t="s">
        <v>9108</v>
      </c>
      <c r="LZ21" s="364" t="s">
        <v>9200</v>
      </c>
      <c r="MA21" s="1671"/>
      <c r="MB21" s="1675" t="s">
        <v>9365</v>
      </c>
      <c r="MC21" s="1672" t="s">
        <v>8776</v>
      </c>
      <c r="MD21" s="1671" t="s">
        <v>8960</v>
      </c>
      <c r="ME21" s="1671" t="s">
        <v>9366</v>
      </c>
      <c r="MF21" s="1673" t="s">
        <v>9367</v>
      </c>
      <c r="MG21" s="1676" t="s">
        <v>9282</v>
      </c>
      <c r="MH21" s="464" t="s">
        <v>9368</v>
      </c>
      <c r="MI21" s="293" t="s">
        <v>9369</v>
      </c>
      <c r="MJ21" s="1675"/>
      <c r="MK21" s="1675" t="s">
        <v>9370</v>
      </c>
      <c r="ML21" s="1673"/>
      <c r="MM21" s="1674" t="s">
        <v>9371</v>
      </c>
      <c r="MN21" s="253"/>
      <c r="MO21" s="293" t="s">
        <v>9372</v>
      </c>
      <c r="MP21" s="1676" t="s">
        <v>9373</v>
      </c>
      <c r="MQ21" s="1676" t="s">
        <v>9374</v>
      </c>
      <c r="MR21" s="1676"/>
      <c r="MS21" s="1676" t="s">
        <v>9375</v>
      </c>
      <c r="MT21" s="293" t="s">
        <v>9376</v>
      </c>
      <c r="MU21" s="1672" t="s">
        <v>9377</v>
      </c>
      <c r="MV21" s="253" t="s">
        <v>9293</v>
      </c>
      <c r="MW21" s="1672"/>
      <c r="MX21" s="1675"/>
      <c r="MY21" s="1675" t="s">
        <v>9253</v>
      </c>
      <c r="MZ21" s="1672" t="s">
        <v>9378</v>
      </c>
      <c r="NA21" s="1672" t="s">
        <v>8924</v>
      </c>
      <c r="NB21" s="1672" t="s">
        <v>9341</v>
      </c>
      <c r="NC21" s="1672"/>
      <c r="ND21" s="1672"/>
      <c r="NE21" s="1674"/>
      <c r="NF21" s="1675" t="s">
        <v>8225</v>
      </c>
      <c r="NG21" s="1674" t="s">
        <v>8884</v>
      </c>
      <c r="NH21" s="1672" t="s">
        <v>9379</v>
      </c>
      <c r="NI21" s="253" t="s">
        <v>9380</v>
      </c>
      <c r="NJ21" s="1672" t="s">
        <v>8988</v>
      </c>
      <c r="NK21" s="1672"/>
      <c r="NL21" s="1672"/>
      <c r="NM21" s="1672" t="s">
        <v>9001</v>
      </c>
      <c r="NN21" s="1673"/>
      <c r="NO21" s="1672"/>
      <c r="NP21" s="1675" t="s">
        <v>8226</v>
      </c>
      <c r="NQ21" s="1671"/>
      <c r="NR21" s="1672"/>
      <c r="NS21" s="1672"/>
      <c r="NT21" s="1671"/>
      <c r="NU21" s="293"/>
      <c r="NV21" s="364" t="s">
        <v>9381</v>
      </c>
      <c r="NW21" s="1671"/>
      <c r="NX21" s="1671"/>
      <c r="NY21" s="1671"/>
      <c r="NZ21" s="1671"/>
      <c r="OA21" s="293"/>
      <c r="OB21" s="293"/>
      <c r="OC21" s="293" t="s">
        <v>9382</v>
      </c>
      <c r="OD21" s="1673"/>
      <c r="OE21" s="1673"/>
      <c r="OF21" s="1673" t="s">
        <v>9383</v>
      </c>
      <c r="OG21" s="1672"/>
      <c r="OH21" s="1672"/>
      <c r="OI21" s="1672" t="s">
        <v>9384</v>
      </c>
      <c r="OJ21" s="1673"/>
      <c r="OK21" s="1673"/>
      <c r="OL21" s="1673" t="s">
        <v>9385</v>
      </c>
      <c r="OM21" s="1673"/>
      <c r="ON21" s="1673" t="s">
        <v>8751</v>
      </c>
      <c r="OO21" s="1671"/>
      <c r="OP21" s="1671" t="s">
        <v>8625</v>
      </c>
      <c r="OQ21" s="1695" t="s">
        <v>9386</v>
      </c>
      <c r="OR21" s="1696" t="s">
        <v>9387</v>
      </c>
      <c r="OS21" s="1672" t="s">
        <v>9388</v>
      </c>
      <c r="OT21" s="293"/>
      <c r="OU21" s="293"/>
      <c r="OV21" s="1672"/>
      <c r="OW21" s="1672" t="s">
        <v>9389</v>
      </c>
      <c r="OX21" s="1675"/>
      <c r="OY21" s="1675" t="s">
        <v>9390</v>
      </c>
      <c r="OZ21" s="293"/>
      <c r="PA21" s="293"/>
      <c r="PB21" s="364"/>
      <c r="PC21" s="1674" t="s">
        <v>8773</v>
      </c>
      <c r="PD21" s="364"/>
      <c r="PE21" s="364"/>
      <c r="PF21" s="364" t="s">
        <v>9391</v>
      </c>
      <c r="PG21" s="253" t="s">
        <v>9392</v>
      </c>
      <c r="PH21" s="1673"/>
      <c r="PI21" s="1673"/>
      <c r="PJ21" s="1674"/>
      <c r="PK21" s="1674"/>
      <c r="PL21" s="464"/>
      <c r="PM21" s="464" t="s">
        <v>9393</v>
      </c>
      <c r="PN21" s="464" t="s">
        <v>9314</v>
      </c>
      <c r="PO21" s="464" t="s">
        <v>9290</v>
      </c>
      <c r="PP21" s="1698" t="s">
        <v>9394</v>
      </c>
      <c r="PQ21" s="1673" t="s">
        <v>9007</v>
      </c>
      <c r="PR21" s="1673" t="s">
        <v>8568</v>
      </c>
      <c r="PS21" s="464"/>
      <c r="PT21" s="1676"/>
      <c r="PU21" s="1675" t="s">
        <v>9189</v>
      </c>
      <c r="PV21" s="1675" t="s">
        <v>9395</v>
      </c>
      <c r="PW21" s="364"/>
      <c r="PX21" s="464" t="s">
        <v>9396</v>
      </c>
      <c r="PY21" s="464" t="s">
        <v>8178</v>
      </c>
      <c r="PZ21" s="293"/>
      <c r="QA21" s="293" t="s">
        <v>9397</v>
      </c>
      <c r="QB21" s="1673"/>
      <c r="QC21" s="1674" t="s">
        <v>9398</v>
      </c>
      <c r="QD21" s="1674"/>
      <c r="QE21" s="1711" t="s">
        <v>9399</v>
      </c>
      <c r="QF21" s="464" t="s">
        <v>9400</v>
      </c>
      <c r="QG21" s="1672" t="s">
        <v>9379</v>
      </c>
      <c r="QH21" s="1672"/>
      <c r="QI21" s="1672" t="s">
        <v>9401</v>
      </c>
      <c r="QJ21" s="1676" t="s">
        <v>9402</v>
      </c>
      <c r="QK21" s="1672"/>
      <c r="QL21" s="1672" t="s">
        <v>9343</v>
      </c>
      <c r="QM21" s="1673"/>
      <c r="QN21" s="1673" t="s">
        <v>9403</v>
      </c>
      <c r="QO21" s="464"/>
      <c r="QP21" s="464" t="s">
        <v>9404</v>
      </c>
      <c r="QQ21" s="1672" t="s">
        <v>9405</v>
      </c>
      <c r="QR21" s="1672" t="s">
        <v>9406</v>
      </c>
      <c r="QS21" s="293" t="s">
        <v>8207</v>
      </c>
      <c r="QT21" s="1672"/>
      <c r="QU21" s="1672" t="s">
        <v>9269</v>
      </c>
      <c r="QV21" s="1672" t="s">
        <v>8274</v>
      </c>
      <c r="QW21" s="253"/>
      <c r="QX21" s="253" t="s">
        <v>9407</v>
      </c>
      <c r="QY21" s="1676" t="s">
        <v>9408</v>
      </c>
      <c r="QZ21" s="1675" t="s">
        <v>9079</v>
      </c>
      <c r="RA21" s="1674" t="s">
        <v>8409</v>
      </c>
      <c r="RB21" s="1675" t="s">
        <v>8275</v>
      </c>
      <c r="RC21" s="1672" t="s">
        <v>8830</v>
      </c>
      <c r="RD21" s="364" t="s">
        <v>8594</v>
      </c>
      <c r="RE21" s="1671" t="s">
        <v>9101</v>
      </c>
      <c r="RF21" s="253"/>
      <c r="RG21" s="293" t="s">
        <v>8896</v>
      </c>
      <c r="RH21" s="1721" t="s">
        <v>9409</v>
      </c>
      <c r="RI21" s="1696" t="s">
        <v>9410</v>
      </c>
      <c r="RJ21" s="464" t="s">
        <v>8507</v>
      </c>
      <c r="RK21" s="1673" t="s">
        <v>9146</v>
      </c>
      <c r="RL21" s="1671" t="s">
        <v>9107</v>
      </c>
      <c r="RM21" s="253" t="s">
        <v>9411</v>
      </c>
      <c r="RN21" s="1675" t="s">
        <v>8694</v>
      </c>
      <c r="RO21" s="1676" t="s">
        <v>9375</v>
      </c>
      <c r="RP21" s="254" t="s">
        <v>9412</v>
      </c>
      <c r="RQ21" s="1671" t="s">
        <v>9413</v>
      </c>
      <c r="RR21" s="1671" t="s">
        <v>9413</v>
      </c>
      <c r="RS21" s="1671" t="s">
        <v>9413</v>
      </c>
      <c r="RT21" s="1671" t="s">
        <v>9413</v>
      </c>
      <c r="RU21" s="1671" t="s">
        <v>9413</v>
      </c>
      <c r="RV21" s="1671" t="s">
        <v>9413</v>
      </c>
      <c r="RW21" s="364"/>
      <c r="RX21" s="1674"/>
      <c r="RY21" s="1672"/>
      <c r="RZ21" s="253"/>
      <c r="SA21" s="464"/>
      <c r="SB21" s="1673"/>
      <c r="SC21" s="253"/>
      <c r="SD21" s="1676"/>
      <c r="SE21" s="1676"/>
      <c r="SF21" s="364"/>
      <c r="SG21" s="1672"/>
      <c r="SH21" s="1672"/>
      <c r="SI21" s="1676"/>
      <c r="SJ21" s="293"/>
      <c r="SK21" s="293"/>
      <c r="SL21" s="1675" t="s">
        <v>9414</v>
      </c>
    </row>
    <row r="22" ht="15.75" customHeight="1">
      <c r="A22" s="1517"/>
      <c r="B22" s="1680"/>
      <c r="C22" s="1680"/>
      <c r="D22" s="1680" t="s">
        <v>9415</v>
      </c>
      <c r="E22" s="1680"/>
      <c r="F22" s="1680"/>
      <c r="G22" s="1680" t="s">
        <v>9416</v>
      </c>
      <c r="H22" s="1680"/>
      <c r="I22" s="1680"/>
      <c r="J22" s="1680" t="s">
        <v>9417</v>
      </c>
      <c r="K22" s="1680"/>
      <c r="L22" s="1680"/>
      <c r="M22" s="1662" t="s">
        <v>8676</v>
      </c>
      <c r="N22" s="1680"/>
      <c r="O22" s="1680"/>
      <c r="P22" s="1681"/>
      <c r="Q22" s="1680"/>
      <c r="R22" s="1680"/>
      <c r="S22" s="1680" t="s">
        <v>9162</v>
      </c>
      <c r="T22" s="1680"/>
      <c r="U22" s="1680" t="s">
        <v>9418</v>
      </c>
      <c r="V22" s="1680"/>
      <c r="W22" s="1686" t="s">
        <v>9244</v>
      </c>
      <c r="X22" s="1680"/>
      <c r="Y22" s="1680" t="s">
        <v>8814</v>
      </c>
      <c r="Z22" s="1680"/>
      <c r="AA22" s="1680"/>
      <c r="AB22" s="1680" t="s">
        <v>9419</v>
      </c>
      <c r="AC22" s="1680" t="s">
        <v>9420</v>
      </c>
      <c r="AD22" s="1680"/>
      <c r="AE22" s="1680"/>
      <c r="AF22" s="1680"/>
      <c r="AG22" s="1680"/>
      <c r="AH22" s="1680"/>
      <c r="AI22" s="1680"/>
      <c r="AJ22" s="1680" t="s">
        <v>9421</v>
      </c>
      <c r="AK22" s="1680"/>
      <c r="AL22" s="1680" t="s">
        <v>9422</v>
      </c>
      <c r="AM22" s="1680"/>
      <c r="AN22" s="1680" t="s">
        <v>9423</v>
      </c>
      <c r="AO22" s="1680"/>
      <c r="AP22" s="1680"/>
      <c r="AQ22" s="1680" t="s">
        <v>9424</v>
      </c>
      <c r="AR22" s="1680"/>
      <c r="AS22" s="1680"/>
      <c r="AT22" s="1680"/>
      <c r="AU22" s="1680"/>
      <c r="AV22" s="1680"/>
      <c r="AW22" s="1680"/>
      <c r="AX22" s="1680" t="s">
        <v>9425</v>
      </c>
      <c r="AY22" s="1680"/>
      <c r="AZ22" s="1680" t="s">
        <v>9426</v>
      </c>
      <c r="BA22" s="1680" t="s">
        <v>8988</v>
      </c>
      <c r="BB22" s="1680" t="s">
        <v>9153</v>
      </c>
      <c r="BC22" s="1680"/>
      <c r="BD22" s="1680" t="s">
        <v>9356</v>
      </c>
      <c r="BE22" s="1680" t="s">
        <v>9097</v>
      </c>
      <c r="BF22" s="1680" t="s">
        <v>9427</v>
      </c>
      <c r="BG22" s="1680"/>
      <c r="BH22" s="1680"/>
      <c r="BI22" s="1680"/>
      <c r="BJ22" s="1680"/>
      <c r="BK22" s="1680"/>
      <c r="BL22" s="1680"/>
      <c r="BM22" s="1680"/>
      <c r="BN22" s="1686" t="s">
        <v>9068</v>
      </c>
      <c r="BO22" s="1680" t="s">
        <v>9428</v>
      </c>
      <c r="BP22" s="1680" t="s">
        <v>9429</v>
      </c>
      <c r="BQ22" s="1680" t="s">
        <v>9070</v>
      </c>
      <c r="BR22" s="1680"/>
      <c r="BS22" s="1680"/>
      <c r="BT22" s="1680"/>
      <c r="BU22" s="1680"/>
      <c r="BV22" s="1680"/>
      <c r="BW22" s="1680"/>
      <c r="BX22" s="1680"/>
      <c r="BY22" s="1680" t="s">
        <v>8224</v>
      </c>
      <c r="BZ22" s="1680"/>
      <c r="CA22" s="1686" t="s">
        <v>8671</v>
      </c>
      <c r="CB22" s="1680"/>
      <c r="CC22" s="1680" t="s">
        <v>9430</v>
      </c>
      <c r="CD22" s="1680" t="s">
        <v>9431</v>
      </c>
      <c r="CE22" s="1680" t="s">
        <v>9432</v>
      </c>
      <c r="CF22" s="1680" t="s">
        <v>8678</v>
      </c>
      <c r="CG22" s="1680"/>
      <c r="CH22" s="1680" t="s">
        <v>9433</v>
      </c>
      <c r="CI22" s="1682" t="s">
        <v>9434</v>
      </c>
      <c r="CJ22" s="1682" t="s">
        <v>9435</v>
      </c>
      <c r="CK22" s="1680"/>
      <c r="CL22" s="1680" t="s">
        <v>9436</v>
      </c>
      <c r="CM22" s="1680"/>
      <c r="CN22" s="1680"/>
      <c r="CO22" s="1680"/>
      <c r="CP22" s="1680" t="s">
        <v>9437</v>
      </c>
      <c r="CQ22" s="1686" t="s">
        <v>9437</v>
      </c>
      <c r="CR22" s="1680"/>
      <c r="CS22" s="1680" t="s">
        <v>9166</v>
      </c>
      <c r="CT22" s="1680" t="s">
        <v>9086</v>
      </c>
      <c r="CU22" s="1680"/>
      <c r="CV22" s="1680" t="s">
        <v>8415</v>
      </c>
      <c r="CW22" s="1680"/>
      <c r="CX22" s="1680"/>
      <c r="CY22" s="1680"/>
      <c r="CZ22" s="1680"/>
      <c r="DA22" s="1680" t="s">
        <v>9438</v>
      </c>
      <c r="DB22" s="1680" t="s">
        <v>8663</v>
      </c>
      <c r="DC22" s="1680"/>
      <c r="DD22" s="1680"/>
      <c r="DE22" s="1680" t="s">
        <v>9439</v>
      </c>
      <c r="DF22" s="1680"/>
      <c r="DG22" s="1680" t="s">
        <v>9440</v>
      </c>
      <c r="DH22" s="1680"/>
      <c r="DI22" s="1680" t="s">
        <v>8949</v>
      </c>
      <c r="DJ22" s="1680" t="s">
        <v>8495</v>
      </c>
      <c r="DK22" s="1680" t="s">
        <v>8993</v>
      </c>
      <c r="DL22" s="1680"/>
      <c r="DM22" s="1680"/>
      <c r="DN22" s="1680"/>
      <c r="DO22" s="1680" t="s">
        <v>8274</v>
      </c>
      <c r="DP22" s="1680" t="s">
        <v>9441</v>
      </c>
      <c r="DQ22" s="1680"/>
      <c r="DR22" s="1680"/>
      <c r="DS22" s="1680" t="s">
        <v>9398</v>
      </c>
      <c r="DT22" s="1680" t="s">
        <v>9442</v>
      </c>
      <c r="DU22" s="1680" t="s">
        <v>9443</v>
      </c>
      <c r="DV22" s="1680"/>
      <c r="DW22" s="1680"/>
      <c r="DX22" s="1680" t="s">
        <v>9444</v>
      </c>
      <c r="DY22" s="1681" t="s">
        <v>9379</v>
      </c>
      <c r="DZ22" s="1680"/>
      <c r="EA22" s="1680"/>
      <c r="EB22" s="1680" t="s">
        <v>9445</v>
      </c>
      <c r="EC22" s="1680"/>
      <c r="ED22" s="1680" t="s">
        <v>9181</v>
      </c>
      <c r="EE22" s="1680" t="s">
        <v>8564</v>
      </c>
      <c r="EF22" s="1680" t="s">
        <v>8888</v>
      </c>
      <c r="EG22" s="1680" t="s">
        <v>9446</v>
      </c>
      <c r="EH22" s="1680" t="s">
        <v>9447</v>
      </c>
      <c r="EI22" s="1680"/>
      <c r="EJ22" s="1680" t="s">
        <v>9219</v>
      </c>
      <c r="EK22" s="1680"/>
      <c r="EL22" s="1680" t="s">
        <v>9368</v>
      </c>
      <c r="EM22" s="1681" t="s">
        <v>9448</v>
      </c>
      <c r="EN22" s="1680" t="s">
        <v>9402</v>
      </c>
      <c r="EO22" s="1680"/>
      <c r="EP22" s="1680"/>
      <c r="EQ22" s="1680"/>
      <c r="ER22" s="1680"/>
      <c r="ES22" s="1680"/>
      <c r="ET22" s="1680" t="s">
        <v>8869</v>
      </c>
      <c r="EU22" s="1680" t="s">
        <v>8357</v>
      </c>
      <c r="EV22" s="1680"/>
      <c r="EW22" s="1680"/>
      <c r="EX22" s="1680"/>
      <c r="EY22" s="1680" t="s">
        <v>9058</v>
      </c>
      <c r="EZ22" s="1680"/>
      <c r="FA22" s="1680"/>
      <c r="FB22" s="1680" t="s">
        <v>8751</v>
      </c>
      <c r="FC22" s="1680"/>
      <c r="FD22" s="1680"/>
      <c r="FE22" s="1680" t="s">
        <v>9366</v>
      </c>
      <c r="FF22" s="1680"/>
      <c r="FG22" s="1680" t="s">
        <v>9449</v>
      </c>
      <c r="FH22" s="1680"/>
      <c r="FI22" s="1680" t="s">
        <v>9450</v>
      </c>
      <c r="FJ22" s="1662" t="s">
        <v>9451</v>
      </c>
      <c r="FK22" s="1680" t="s">
        <v>8709</v>
      </c>
      <c r="FL22" s="1680" t="s">
        <v>9452</v>
      </c>
      <c r="FM22" s="1680" t="s">
        <v>9453</v>
      </c>
      <c r="FN22" s="1680" t="s">
        <v>9264</v>
      </c>
      <c r="FO22" s="1680"/>
      <c r="FP22" s="1680"/>
      <c r="FQ22" s="1680"/>
      <c r="FR22" s="1680"/>
      <c r="FS22" s="1680"/>
      <c r="FT22" s="1682" t="s">
        <v>9454</v>
      </c>
      <c r="FU22" s="1664" t="s">
        <v>9125</v>
      </c>
      <c r="FV22" s="1680"/>
      <c r="FW22" s="1686" t="s">
        <v>9455</v>
      </c>
      <c r="FX22" s="1664"/>
      <c r="FY22" s="1680"/>
      <c r="FZ22" s="1680" t="s">
        <v>9456</v>
      </c>
      <c r="GA22" s="1680"/>
      <c r="GB22" s="1680"/>
      <c r="GC22" s="1680" t="s">
        <v>8705</v>
      </c>
      <c r="GD22" s="1680" t="s">
        <v>9001</v>
      </c>
      <c r="GE22" s="1680"/>
      <c r="GF22" s="1680" t="s">
        <v>8176</v>
      </c>
      <c r="GG22" s="1680" t="s">
        <v>8159</v>
      </c>
      <c r="GH22" s="1680" t="s">
        <v>9457</v>
      </c>
      <c r="GI22" s="1680" t="s">
        <v>8991</v>
      </c>
      <c r="GJ22" s="1680" t="s">
        <v>8760</v>
      </c>
      <c r="GK22" s="1680" t="s">
        <v>9315</v>
      </c>
      <c r="GL22" s="1680" t="s">
        <v>9458</v>
      </c>
      <c r="GM22" s="1680" t="s">
        <v>8649</v>
      </c>
      <c r="GN22" s="1680" t="s">
        <v>9459</v>
      </c>
      <c r="GO22" s="1680" t="s">
        <v>9460</v>
      </c>
      <c r="GP22" s="1680" t="s">
        <v>9461</v>
      </c>
      <c r="GQ22" s="1680"/>
      <c r="GR22" s="1680" t="s">
        <v>8559</v>
      </c>
      <c r="GS22" s="1680" t="s">
        <v>9462</v>
      </c>
      <c r="GT22" s="1680"/>
      <c r="GU22" s="1680"/>
      <c r="GV22" s="1680" t="s">
        <v>7743</v>
      </c>
      <c r="GW22" s="1680"/>
      <c r="GX22" s="1680" t="s">
        <v>8751</v>
      </c>
      <c r="GY22" s="1680" t="s">
        <v>9463</v>
      </c>
      <c r="GZ22" s="1680"/>
      <c r="HA22" s="1680" t="s">
        <v>8204</v>
      </c>
      <c r="HB22" s="1680" t="s">
        <v>8625</v>
      </c>
      <c r="HC22" s="1680" t="s">
        <v>9464</v>
      </c>
      <c r="HD22" s="1662" t="s">
        <v>9465</v>
      </c>
      <c r="HE22" s="1680" t="s">
        <v>9442</v>
      </c>
      <c r="HF22" s="1680"/>
      <c r="HG22" s="1680" t="s">
        <v>9466</v>
      </c>
      <c r="HH22" s="1680"/>
      <c r="HI22" s="1680" t="s">
        <v>9467</v>
      </c>
      <c r="HJ22" s="1680" t="s">
        <v>9468</v>
      </c>
      <c r="HK22" s="1680"/>
      <c r="HL22" s="1680"/>
      <c r="HM22" s="1680"/>
      <c r="HN22" s="1680" t="s">
        <v>9469</v>
      </c>
      <c r="HO22" s="1680" t="s">
        <v>8933</v>
      </c>
      <c r="HP22" s="1680"/>
      <c r="HQ22" s="1680" t="s">
        <v>9470</v>
      </c>
      <c r="HR22" s="1681" t="s">
        <v>9471</v>
      </c>
      <c r="HS22" s="1680" t="s">
        <v>8568</v>
      </c>
      <c r="HT22" s="1681" t="s">
        <v>9472</v>
      </c>
      <c r="HU22" s="1680"/>
      <c r="HV22" s="1680"/>
      <c r="HW22" s="1680" t="s">
        <v>8987</v>
      </c>
      <c r="HX22" s="1680" t="s">
        <v>9175</v>
      </c>
      <c r="HY22" s="1680" t="s">
        <v>9473</v>
      </c>
      <c r="HZ22" s="1680" t="s">
        <v>9447</v>
      </c>
      <c r="IA22" s="1680" t="s">
        <v>9244</v>
      </c>
      <c r="IB22" s="1664" t="s">
        <v>9474</v>
      </c>
      <c r="IC22" s="1680"/>
      <c r="ID22" s="1680"/>
      <c r="IE22" s="1680" t="s">
        <v>9475</v>
      </c>
      <c r="IF22" s="1680"/>
      <c r="IG22" s="1680"/>
      <c r="IH22" s="1680"/>
      <c r="II22" s="1680" t="s">
        <v>8495</v>
      </c>
      <c r="IJ22" s="1680"/>
      <c r="IK22" s="1680"/>
      <c r="IL22" s="1680"/>
      <c r="IM22" s="1680"/>
      <c r="IN22" s="1680"/>
      <c r="IO22" s="1680" t="s">
        <v>8925</v>
      </c>
      <c r="IP22" s="1664"/>
      <c r="IQ22" s="1680"/>
      <c r="IR22" s="1680"/>
      <c r="IS22" s="1680"/>
      <c r="IT22" s="1680"/>
      <c r="IU22" s="1680" t="s">
        <v>9476</v>
      </c>
      <c r="IV22" s="1680"/>
      <c r="IW22" s="1680"/>
      <c r="IX22" s="1680" t="s">
        <v>9116</v>
      </c>
      <c r="IY22" s="1680"/>
      <c r="IZ22" s="1680"/>
      <c r="JA22" s="1680" t="s">
        <v>9477</v>
      </c>
      <c r="JB22" s="1680"/>
      <c r="JC22" s="1680" t="s">
        <v>9478</v>
      </c>
      <c r="JD22" s="1680"/>
      <c r="JE22" s="1664" t="s">
        <v>8733</v>
      </c>
      <c r="JF22" s="1680"/>
      <c r="JG22" s="1664"/>
      <c r="JH22" s="1680"/>
      <c r="JI22" s="1680"/>
      <c r="JJ22" s="1680"/>
      <c r="JK22" s="1680"/>
      <c r="JL22" s="1680"/>
      <c r="JM22" s="1680"/>
      <c r="JN22" s="1680"/>
      <c r="JO22" s="1680"/>
      <c r="JP22" s="1680"/>
      <c r="JQ22" s="1680"/>
      <c r="JR22" s="1680"/>
      <c r="JS22" s="1664"/>
      <c r="JT22" s="1680" t="s">
        <v>9479</v>
      </c>
      <c r="JU22" s="1664"/>
      <c r="JV22" s="1664"/>
      <c r="JW22" s="1664" t="s">
        <v>9480</v>
      </c>
      <c r="JX22" s="1680"/>
      <c r="JY22" s="1680" t="s">
        <v>8538</v>
      </c>
      <c r="JZ22" s="1680"/>
      <c r="KA22" s="1680" t="s">
        <v>9428</v>
      </c>
      <c r="KB22" s="1680"/>
      <c r="KC22" s="1664"/>
      <c r="KD22" s="1680"/>
      <c r="KE22" s="1680"/>
      <c r="KF22" s="1680" t="s">
        <v>9481</v>
      </c>
      <c r="KG22" s="1680"/>
      <c r="KH22" s="1680"/>
      <c r="KI22" s="1680"/>
      <c r="KJ22" s="1680" t="s">
        <v>9482</v>
      </c>
      <c r="KK22" s="1680" t="s">
        <v>9483</v>
      </c>
      <c r="KL22" s="1680" t="s">
        <v>9292</v>
      </c>
      <c r="KM22" s="1680"/>
      <c r="KN22" s="1681"/>
      <c r="KO22" s="1680" t="s">
        <v>9484</v>
      </c>
      <c r="KP22" s="1680"/>
      <c r="KQ22" s="1680" t="s">
        <v>9485</v>
      </c>
      <c r="KR22" s="1680" t="s">
        <v>9486</v>
      </c>
      <c r="KS22" s="1680"/>
      <c r="KT22" s="1680"/>
      <c r="KU22" s="1680" t="s">
        <v>9487</v>
      </c>
      <c r="KV22" s="1680"/>
      <c r="KW22" s="1680" t="s">
        <v>9488</v>
      </c>
      <c r="KX22" s="1680" t="s">
        <v>8888</v>
      </c>
      <c r="KY22" s="1680" t="s">
        <v>9489</v>
      </c>
      <c r="KZ22" s="1680" t="s">
        <v>7323</v>
      </c>
      <c r="LA22" s="1680" t="s">
        <v>7323</v>
      </c>
      <c r="LB22" s="1680" t="s">
        <v>9490</v>
      </c>
      <c r="LC22" s="1680" t="s">
        <v>9490</v>
      </c>
      <c r="LD22" s="1680" t="s">
        <v>9491</v>
      </c>
      <c r="LE22" s="1680"/>
      <c r="LF22" s="1680" t="s">
        <v>9492</v>
      </c>
      <c r="LG22" s="1680"/>
      <c r="LH22" s="1680" t="s">
        <v>9493</v>
      </c>
      <c r="LI22" s="1680" t="s">
        <v>8884</v>
      </c>
      <c r="LJ22" s="1680" t="s">
        <v>9494</v>
      </c>
      <c r="LK22" s="1680"/>
      <c r="LL22" s="1680"/>
      <c r="LM22" s="1680"/>
      <c r="LN22" s="1680" t="s">
        <v>9495</v>
      </c>
      <c r="LO22" s="1680" t="s">
        <v>9273</v>
      </c>
      <c r="LP22" s="1680" t="s">
        <v>9496</v>
      </c>
      <c r="LQ22" s="1680"/>
      <c r="LR22" s="1680"/>
      <c r="LS22" s="1680" t="s">
        <v>9192</v>
      </c>
      <c r="LT22" s="1680" t="s">
        <v>9497</v>
      </c>
      <c r="LU22" s="1680" t="s">
        <v>9498</v>
      </c>
      <c r="LV22" s="1681"/>
      <c r="LW22" s="1686" t="s">
        <v>8667</v>
      </c>
      <c r="LX22" s="1664" t="s">
        <v>9499</v>
      </c>
      <c r="LY22" s="1680"/>
      <c r="LZ22" s="1680"/>
      <c r="MA22" s="1680"/>
      <c r="MB22" s="1680"/>
      <c r="MC22" s="1680" t="s">
        <v>8877</v>
      </c>
      <c r="MD22" s="1680" t="s">
        <v>9500</v>
      </c>
      <c r="ME22" s="1680" t="s">
        <v>9501</v>
      </c>
      <c r="MF22" s="1680"/>
      <c r="MG22" s="1680" t="s">
        <v>9502</v>
      </c>
      <c r="MH22" s="1680"/>
      <c r="MI22" s="1680" t="s">
        <v>9503</v>
      </c>
      <c r="MJ22" s="1680"/>
      <c r="MK22" s="1680" t="s">
        <v>9504</v>
      </c>
      <c r="ML22" s="1680"/>
      <c r="MM22" s="1680" t="s">
        <v>9303</v>
      </c>
      <c r="MN22" s="1664"/>
      <c r="MO22" s="1680" t="s">
        <v>9214</v>
      </c>
      <c r="MP22" s="1680"/>
      <c r="MQ22" s="1680" t="s">
        <v>9505</v>
      </c>
      <c r="MR22" s="1680"/>
      <c r="MS22" s="1680" t="s">
        <v>9506</v>
      </c>
      <c r="MT22" s="1662" t="s">
        <v>9399</v>
      </c>
      <c r="MU22" s="1680" t="s">
        <v>9507</v>
      </c>
      <c r="MV22" s="1664" t="s">
        <v>9508</v>
      </c>
      <c r="MW22" s="1680"/>
      <c r="MX22" s="1680"/>
      <c r="MY22" s="1680" t="s">
        <v>9412</v>
      </c>
      <c r="MZ22" s="1680"/>
      <c r="NA22" s="1680" t="s">
        <v>8865</v>
      </c>
      <c r="NB22" s="1680" t="s">
        <v>9509</v>
      </c>
      <c r="NC22" s="1680"/>
      <c r="ND22" s="1680"/>
      <c r="NE22" s="1680"/>
      <c r="NF22" s="1680" t="s">
        <v>9499</v>
      </c>
      <c r="NG22" s="1680"/>
      <c r="NH22" s="1680"/>
      <c r="NI22" s="1664"/>
      <c r="NJ22" s="1680" t="s">
        <v>9510</v>
      </c>
      <c r="NK22" s="1680"/>
      <c r="NL22" s="1680"/>
      <c r="NM22" s="1680" t="s">
        <v>9511</v>
      </c>
      <c r="NN22" s="1680"/>
      <c r="NO22" s="1680"/>
      <c r="NP22" s="1680"/>
      <c r="NQ22" s="1680"/>
      <c r="NR22" s="1680"/>
      <c r="NS22" s="1680"/>
      <c r="NT22" s="1680"/>
      <c r="NU22" s="1680"/>
      <c r="NV22" s="1680"/>
      <c r="NW22" s="1680"/>
      <c r="NX22" s="1680"/>
      <c r="NY22" s="1680"/>
      <c r="NZ22" s="1680"/>
      <c r="OA22" s="1680"/>
      <c r="OB22" s="1680"/>
      <c r="OC22" s="1680" t="s">
        <v>9512</v>
      </c>
      <c r="OD22" s="1680"/>
      <c r="OE22" s="1680"/>
      <c r="OF22" s="1680" t="s">
        <v>9513</v>
      </c>
      <c r="OG22" s="1680"/>
      <c r="OH22" s="1680"/>
      <c r="OI22" s="1680" t="s">
        <v>9514</v>
      </c>
      <c r="OJ22" s="1680"/>
      <c r="OK22" s="1680"/>
      <c r="OL22" s="1680"/>
      <c r="OM22" s="1680"/>
      <c r="ON22" s="1680"/>
      <c r="OO22" s="1680"/>
      <c r="OP22" s="1680" t="s">
        <v>8709</v>
      </c>
      <c r="OQ22" s="1681"/>
      <c r="OR22" s="1681"/>
      <c r="OS22" s="1662" t="s">
        <v>9515</v>
      </c>
      <c r="OT22" s="1680"/>
      <c r="OU22" s="1680"/>
      <c r="OV22" s="1680"/>
      <c r="OW22" s="1680" t="s">
        <v>9516</v>
      </c>
      <c r="OX22" s="1680"/>
      <c r="OY22" s="1662" t="s">
        <v>9517</v>
      </c>
      <c r="OZ22" s="1680"/>
      <c r="PA22" s="1680"/>
      <c r="PB22" s="1680"/>
      <c r="PC22" s="1680"/>
      <c r="PD22" s="1680"/>
      <c r="PE22" s="1680"/>
      <c r="PF22" s="1680" t="s">
        <v>9260</v>
      </c>
      <c r="PG22" s="1664"/>
      <c r="PH22" s="1680"/>
      <c r="PI22" s="1680"/>
      <c r="PJ22" s="1680"/>
      <c r="PK22" s="1680"/>
      <c r="PL22" s="1680"/>
      <c r="PM22" s="1680"/>
      <c r="PN22" s="1680" t="s">
        <v>8991</v>
      </c>
      <c r="PO22" s="1680"/>
      <c r="PP22" s="1681" t="s">
        <v>9200</v>
      </c>
      <c r="PQ22" s="1680"/>
      <c r="PR22" s="1680" t="s">
        <v>9233</v>
      </c>
      <c r="PS22" s="1680"/>
      <c r="PT22" s="1680"/>
      <c r="PU22" s="1680" t="s">
        <v>9518</v>
      </c>
      <c r="PV22" s="1680" t="s">
        <v>9519</v>
      </c>
      <c r="PW22" s="1680"/>
      <c r="PX22" s="1662" t="s">
        <v>9520</v>
      </c>
      <c r="PY22" s="1686" t="s">
        <v>9521</v>
      </c>
      <c r="PZ22" s="1680"/>
      <c r="QA22" s="1680" t="s">
        <v>9522</v>
      </c>
      <c r="QB22" s="1680"/>
      <c r="QC22" s="1680" t="s">
        <v>9523</v>
      </c>
      <c r="QD22" s="1680"/>
      <c r="QE22" s="1681"/>
      <c r="QF22" s="1680"/>
      <c r="QG22" s="1680"/>
      <c r="QH22" s="1680"/>
      <c r="QI22" s="1686" t="s">
        <v>9524</v>
      </c>
      <c r="QJ22" s="1680" t="s">
        <v>9418</v>
      </c>
      <c r="QK22" s="1680"/>
      <c r="QL22" s="1680" t="s">
        <v>9525</v>
      </c>
      <c r="QM22" s="1680"/>
      <c r="QN22" s="1680" t="s">
        <v>9526</v>
      </c>
      <c r="QO22" s="1680"/>
      <c r="QP22" s="1680" t="s">
        <v>9527</v>
      </c>
      <c r="QQ22" s="1680" t="s">
        <v>9528</v>
      </c>
      <c r="QR22" s="1680" t="s">
        <v>9529</v>
      </c>
      <c r="QS22" s="1680" t="s">
        <v>9530</v>
      </c>
      <c r="QT22" s="1680"/>
      <c r="QU22" s="1686" t="s">
        <v>9531</v>
      </c>
      <c r="QV22" s="1680"/>
      <c r="QW22" s="1664"/>
      <c r="QX22" s="1664"/>
      <c r="QY22" s="1680" t="s">
        <v>8646</v>
      </c>
      <c r="QZ22" s="1680" t="s">
        <v>9275</v>
      </c>
      <c r="RA22" s="1680" t="s">
        <v>9439</v>
      </c>
      <c r="RB22" s="1680" t="s">
        <v>8949</v>
      </c>
      <c r="RC22" s="1680" t="s">
        <v>9291</v>
      </c>
      <c r="RD22" s="1662" t="s">
        <v>8859</v>
      </c>
      <c r="RE22" s="1686" t="s">
        <v>9448</v>
      </c>
      <c r="RF22" s="1664"/>
      <c r="RG22" s="1680" t="s">
        <v>9134</v>
      </c>
      <c r="RH22" s="1684" t="s">
        <v>9297</v>
      </c>
      <c r="RI22" s="1681" t="s">
        <v>9297</v>
      </c>
      <c r="RJ22" s="1680" t="s">
        <v>8902</v>
      </c>
      <c r="RK22" s="1680" t="s">
        <v>7613</v>
      </c>
      <c r="RL22" s="1680" t="s">
        <v>9298</v>
      </c>
      <c r="RM22" s="1664"/>
      <c r="RN22" s="1680" t="s">
        <v>8946</v>
      </c>
      <c r="RO22" s="1680" t="s">
        <v>9506</v>
      </c>
      <c r="RP22" s="1680" t="s">
        <v>9532</v>
      </c>
      <c r="RQ22" s="1680" t="s">
        <v>9533</v>
      </c>
      <c r="RR22" s="1680" t="s">
        <v>9533</v>
      </c>
      <c r="RS22" s="1680" t="s">
        <v>9533</v>
      </c>
      <c r="RT22" s="1680" t="s">
        <v>9533</v>
      </c>
      <c r="RU22" s="1680" t="s">
        <v>9533</v>
      </c>
      <c r="RV22" s="1680" t="s">
        <v>9533</v>
      </c>
      <c r="RW22" s="1680"/>
      <c r="RX22" s="1680"/>
      <c r="RY22" s="1680"/>
      <c r="RZ22" s="1664"/>
      <c r="SA22" s="1680"/>
      <c r="SB22" s="1680"/>
      <c r="SC22" s="1664"/>
      <c r="SD22" s="1680"/>
      <c r="SE22" s="1680"/>
      <c r="SF22" s="1680"/>
      <c r="SG22" s="1680"/>
      <c r="SH22" s="1680"/>
      <c r="SI22" s="1680"/>
      <c r="SJ22" s="1680"/>
      <c r="SK22" s="1680"/>
      <c r="SL22" s="1680" t="s">
        <v>9534</v>
      </c>
    </row>
    <row r="23" ht="15.75" customHeight="1">
      <c r="A23" s="1517"/>
      <c r="B23" s="293"/>
      <c r="C23" s="293"/>
      <c r="D23" s="293" t="s">
        <v>9535</v>
      </c>
      <c r="E23" s="1671"/>
      <c r="F23" s="1671"/>
      <c r="G23" s="1671" t="s">
        <v>9536</v>
      </c>
      <c r="H23" s="1672"/>
      <c r="I23" s="1672"/>
      <c r="J23" s="1672" t="s">
        <v>9494</v>
      </c>
      <c r="K23" s="293"/>
      <c r="L23" s="293"/>
      <c r="M23" s="420"/>
      <c r="N23" s="1673"/>
      <c r="O23" s="364"/>
      <c r="P23" s="364"/>
      <c r="Q23" s="1673"/>
      <c r="R23" s="1673"/>
      <c r="S23" s="1673" t="s">
        <v>9537</v>
      </c>
      <c r="T23" s="464"/>
      <c r="U23" s="1673"/>
      <c r="V23" s="1673"/>
      <c r="W23" s="1720" t="s">
        <v>9538</v>
      </c>
      <c r="X23" s="464"/>
      <c r="Y23" s="464" t="s">
        <v>8855</v>
      </c>
      <c r="Z23" s="364"/>
      <c r="AA23" s="364"/>
      <c r="AB23" s="364" t="s">
        <v>9539</v>
      </c>
      <c r="AC23" s="364" t="s">
        <v>9540</v>
      </c>
      <c r="AD23" s="1672"/>
      <c r="AE23" s="1672"/>
      <c r="AF23" s="1672"/>
      <c r="AG23" s="464"/>
      <c r="AH23" s="464"/>
      <c r="AI23" s="464"/>
      <c r="AJ23" s="1674" t="s">
        <v>9541</v>
      </c>
      <c r="AK23" s="1674"/>
      <c r="AL23" s="1673"/>
      <c r="AM23" s="364"/>
      <c r="AN23" s="1674" t="s">
        <v>8282</v>
      </c>
      <c r="AO23" s="1674"/>
      <c r="AP23" s="464"/>
      <c r="AQ23" s="464"/>
      <c r="AR23" s="1672"/>
      <c r="AS23" s="1672"/>
      <c r="AT23" s="1671"/>
      <c r="AU23" s="1671"/>
      <c r="AV23" s="1671"/>
      <c r="AW23" s="464"/>
      <c r="AX23" s="464" t="s">
        <v>9542</v>
      </c>
      <c r="AY23" s="1673"/>
      <c r="AZ23" s="1673"/>
      <c r="BA23" s="364"/>
      <c r="BB23" s="364" t="s">
        <v>9543</v>
      </c>
      <c r="BC23" s="364"/>
      <c r="BD23" s="1672" t="s">
        <v>9544</v>
      </c>
      <c r="BE23" s="1673" t="s">
        <v>9545</v>
      </c>
      <c r="BF23" s="1673" t="s">
        <v>9546</v>
      </c>
      <c r="BG23" s="1673"/>
      <c r="BH23" s="1673"/>
      <c r="BI23" s="1672"/>
      <c r="BJ23" s="1672"/>
      <c r="BK23" s="1672"/>
      <c r="BL23" s="1673"/>
      <c r="BM23" s="1673"/>
      <c r="BN23" s="1720" t="s">
        <v>9547</v>
      </c>
      <c r="BO23" s="1675"/>
      <c r="BP23" s="1675"/>
      <c r="BQ23" s="1675" t="s">
        <v>9271</v>
      </c>
      <c r="BR23" s="293"/>
      <c r="BS23" s="293"/>
      <c r="BT23" s="293"/>
      <c r="BU23" s="1672"/>
      <c r="BV23" s="1672"/>
      <c r="BW23" s="1673"/>
      <c r="BX23" s="1673"/>
      <c r="BY23" s="1673" t="s">
        <v>9074</v>
      </c>
      <c r="BZ23" s="364"/>
      <c r="CA23" s="1704" t="s">
        <v>9548</v>
      </c>
      <c r="CB23" s="1674"/>
      <c r="CC23" s="1674"/>
      <c r="CD23" s="1675"/>
      <c r="CE23" s="1675" t="s">
        <v>9549</v>
      </c>
      <c r="CF23" s="1673" t="s">
        <v>8224</v>
      </c>
      <c r="CG23" s="1673"/>
      <c r="CH23" s="1673" t="s">
        <v>9357</v>
      </c>
      <c r="CI23" s="254" t="s">
        <v>9293</v>
      </c>
      <c r="CJ23" s="254" t="s">
        <v>9550</v>
      </c>
      <c r="CK23" s="464"/>
      <c r="CL23" s="464" t="s">
        <v>9440</v>
      </c>
      <c r="CM23" s="464"/>
      <c r="CN23" s="464"/>
      <c r="CO23" s="464"/>
      <c r="CP23" s="464"/>
      <c r="CQ23" s="1698" t="s">
        <v>9551</v>
      </c>
      <c r="CR23" s="1675"/>
      <c r="CS23" s="364"/>
      <c r="CT23" s="364" t="s">
        <v>9283</v>
      </c>
      <c r="CU23" s="1671"/>
      <c r="CV23" s="1671" t="s">
        <v>9552</v>
      </c>
      <c r="CW23" s="1671"/>
      <c r="CX23" s="1671"/>
      <c r="CY23" s="1674"/>
      <c r="CZ23" s="364"/>
      <c r="DA23" s="1673"/>
      <c r="DB23" s="1673" t="s">
        <v>9553</v>
      </c>
      <c r="DC23" s="1673"/>
      <c r="DD23" s="1673"/>
      <c r="DE23" s="1674" t="s">
        <v>9503</v>
      </c>
      <c r="DF23" s="464"/>
      <c r="DG23" s="464"/>
      <c r="DH23" s="1675"/>
      <c r="DI23" s="1675" t="s">
        <v>9554</v>
      </c>
      <c r="DJ23" s="1674" t="s">
        <v>9555</v>
      </c>
      <c r="DK23" s="1672"/>
      <c r="DL23" s="1673"/>
      <c r="DM23" s="1672"/>
      <c r="DN23" s="1672"/>
      <c r="DO23" s="1671"/>
      <c r="DP23" s="1671" t="s">
        <v>8987</v>
      </c>
      <c r="DQ23" s="1673"/>
      <c r="DR23" s="464"/>
      <c r="DS23" s="1674" t="s">
        <v>9523</v>
      </c>
      <c r="DT23" s="293" t="s">
        <v>9292</v>
      </c>
      <c r="DU23" s="1671" t="s">
        <v>9556</v>
      </c>
      <c r="DV23" s="364"/>
      <c r="DW23" s="1671"/>
      <c r="DX23" s="1673"/>
      <c r="DY23" s="1673" t="s">
        <v>9557</v>
      </c>
      <c r="DZ23" s="1671"/>
      <c r="EA23" s="1672"/>
      <c r="EB23" s="1672" t="s">
        <v>9219</v>
      </c>
      <c r="EC23" s="464"/>
      <c r="ED23" s="1673"/>
      <c r="EE23" s="1672"/>
      <c r="EF23" s="364"/>
      <c r="EG23" s="1671"/>
      <c r="EH23" s="1674" t="s">
        <v>9558</v>
      </c>
      <c r="EI23" s="1672"/>
      <c r="EJ23" s="1672" t="s">
        <v>9559</v>
      </c>
      <c r="EK23" s="1673"/>
      <c r="EL23" s="1673" t="s">
        <v>9560</v>
      </c>
      <c r="EM23" s="464" t="s">
        <v>9561</v>
      </c>
      <c r="EN23" s="1676" t="s">
        <v>9562</v>
      </c>
      <c r="EO23" s="1672"/>
      <c r="EP23" s="364"/>
      <c r="EQ23" s="364"/>
      <c r="ER23" s="1672"/>
      <c r="ES23" s="1672"/>
      <c r="ET23" s="1673" t="s">
        <v>9563</v>
      </c>
      <c r="EU23" s="464"/>
      <c r="EV23" s="1674"/>
      <c r="EW23" s="293"/>
      <c r="EX23" s="293"/>
      <c r="EY23" s="293" t="s">
        <v>9535</v>
      </c>
      <c r="EZ23" s="364"/>
      <c r="FA23" s="364"/>
      <c r="FB23" s="364" t="s">
        <v>9564</v>
      </c>
      <c r="FC23" s="1672"/>
      <c r="FD23" s="1672"/>
      <c r="FE23" s="1672" t="s">
        <v>9554</v>
      </c>
      <c r="FF23" s="1673"/>
      <c r="FG23" s="1673" t="s">
        <v>9565</v>
      </c>
      <c r="FH23" s="1673"/>
      <c r="FI23" s="1673" t="s">
        <v>9566</v>
      </c>
      <c r="FJ23" s="1671"/>
      <c r="FK23" s="1671" t="s">
        <v>8511</v>
      </c>
      <c r="FL23" s="293"/>
      <c r="FM23" s="1671" t="s">
        <v>9567</v>
      </c>
      <c r="FN23" s="464" t="s">
        <v>9424</v>
      </c>
      <c r="FO23" s="1672"/>
      <c r="FP23" s="1672"/>
      <c r="FQ23" s="364"/>
      <c r="FR23" s="1674"/>
      <c r="FS23" s="1674"/>
      <c r="FT23" s="254"/>
      <c r="FU23" s="253" t="s">
        <v>8901</v>
      </c>
      <c r="FV23" s="293"/>
      <c r="FW23" s="1669" t="s">
        <v>9568</v>
      </c>
      <c r="FX23" s="253"/>
      <c r="FY23" s="1674"/>
      <c r="FZ23" s="364" t="s">
        <v>9569</v>
      </c>
      <c r="GA23" s="293"/>
      <c r="GB23" s="1672"/>
      <c r="GC23" s="1672" t="s">
        <v>8960</v>
      </c>
      <c r="GD23" s="1673" t="s">
        <v>9226</v>
      </c>
      <c r="GE23" s="293"/>
      <c r="GF23" s="1674" t="s">
        <v>9570</v>
      </c>
      <c r="GG23" s="293" t="s">
        <v>9571</v>
      </c>
      <c r="GH23" s="1672" t="s">
        <v>8871</v>
      </c>
      <c r="GI23" s="464"/>
      <c r="GJ23" s="364" t="s">
        <v>9572</v>
      </c>
      <c r="GK23" s="364" t="s">
        <v>8760</v>
      </c>
      <c r="GL23" s="1671"/>
      <c r="GM23" s="1672"/>
      <c r="GN23" s="1672"/>
      <c r="GO23" s="464"/>
      <c r="GP23" s="1676"/>
      <c r="GQ23" s="1676"/>
      <c r="GR23" s="1674" t="s">
        <v>9203</v>
      </c>
      <c r="GS23" s="1675" t="s">
        <v>9573</v>
      </c>
      <c r="GT23" s="1676"/>
      <c r="GU23" s="1672"/>
      <c r="GV23" s="364" t="s">
        <v>9086</v>
      </c>
      <c r="GW23" s="1675"/>
      <c r="GX23" s="464" t="s">
        <v>9574</v>
      </c>
      <c r="GY23" s="364" t="s">
        <v>9172</v>
      </c>
      <c r="GZ23" s="464"/>
      <c r="HA23" s="1675" t="s">
        <v>8566</v>
      </c>
      <c r="HB23" s="1674" t="s">
        <v>8705</v>
      </c>
      <c r="HC23" s="464" t="s">
        <v>8751</v>
      </c>
      <c r="HD23" s="1675" t="s">
        <v>8565</v>
      </c>
      <c r="HE23" s="1671" t="s">
        <v>9292</v>
      </c>
      <c r="HF23" s="364"/>
      <c r="HG23" s="1672" t="s">
        <v>9575</v>
      </c>
      <c r="HH23" s="1676"/>
      <c r="HI23" s="1673" t="s">
        <v>9576</v>
      </c>
      <c r="HJ23" s="1673" t="s">
        <v>9577</v>
      </c>
      <c r="HK23" s="1671"/>
      <c r="HL23" s="1671"/>
      <c r="HM23" s="1673"/>
      <c r="HN23" s="1673" t="s">
        <v>9443</v>
      </c>
      <c r="HO23" s="1674" t="s">
        <v>9578</v>
      </c>
      <c r="HP23" s="1675"/>
      <c r="HQ23" s="1671" t="s">
        <v>8869</v>
      </c>
      <c r="HR23" s="1671"/>
      <c r="HS23" s="464" t="s">
        <v>8289</v>
      </c>
      <c r="HT23" s="1675" t="s">
        <v>9579</v>
      </c>
      <c r="HU23" s="1676"/>
      <c r="HV23" s="1676"/>
      <c r="HW23" s="1672" t="s">
        <v>9361</v>
      </c>
      <c r="HX23" s="1672"/>
      <c r="HY23" s="1675" t="s">
        <v>9580</v>
      </c>
      <c r="HZ23" s="1671" t="s">
        <v>9558</v>
      </c>
      <c r="IA23" s="1673" t="s">
        <v>9581</v>
      </c>
      <c r="IB23" s="253" t="s">
        <v>9582</v>
      </c>
      <c r="IC23" s="464"/>
      <c r="ID23" s="1673"/>
      <c r="IE23" s="1674"/>
      <c r="IF23" s="364"/>
      <c r="IG23" s="1671"/>
      <c r="IH23" s="1674"/>
      <c r="II23" s="1674" t="s">
        <v>9555</v>
      </c>
      <c r="IJ23" s="364"/>
      <c r="IK23" s="1673"/>
      <c r="IL23" s="1672"/>
      <c r="IM23" s="293"/>
      <c r="IN23" s="1675"/>
      <c r="IO23" s="293" t="s">
        <v>9583</v>
      </c>
      <c r="IP23" s="253"/>
      <c r="IQ23" s="1671"/>
      <c r="IR23" s="293"/>
      <c r="IS23" s="293"/>
      <c r="IT23" s="293"/>
      <c r="IU23" s="293" t="s">
        <v>9335</v>
      </c>
      <c r="IV23" s="1671"/>
      <c r="IW23" s="1671"/>
      <c r="IX23" s="1671" t="s">
        <v>9584</v>
      </c>
      <c r="IY23" s="1672"/>
      <c r="IZ23" s="1672"/>
      <c r="JA23" s="1672" t="s">
        <v>9494</v>
      </c>
      <c r="JB23" s="1675"/>
      <c r="JC23" s="1675" t="s">
        <v>8178</v>
      </c>
      <c r="JD23" s="1673"/>
      <c r="JE23" s="253" t="s">
        <v>9585</v>
      </c>
      <c r="JF23" s="1671"/>
      <c r="JG23" s="253"/>
      <c r="JH23" s="364"/>
      <c r="JI23" s="464"/>
      <c r="JJ23" s="293"/>
      <c r="JK23" s="293"/>
      <c r="JL23" s="293"/>
      <c r="JM23" s="293"/>
      <c r="JN23" s="1673"/>
      <c r="JO23" s="1673"/>
      <c r="JP23" s="1673"/>
      <c r="JQ23" s="1672"/>
      <c r="JR23" s="1672"/>
      <c r="JS23" s="253"/>
      <c r="JT23" s="364" t="s">
        <v>8274</v>
      </c>
      <c r="JU23" s="253"/>
      <c r="JV23" s="253"/>
      <c r="JW23" s="253"/>
      <c r="JX23" s="1672"/>
      <c r="JY23" s="1672" t="s">
        <v>9458</v>
      </c>
      <c r="JZ23" s="1673"/>
      <c r="KA23" s="293"/>
      <c r="KB23" s="1673"/>
      <c r="KC23" s="253"/>
      <c r="KD23" s="1673"/>
      <c r="KE23" s="1675"/>
      <c r="KF23" s="364" t="s">
        <v>9586</v>
      </c>
      <c r="KG23" s="1673"/>
      <c r="KH23" s="1674"/>
      <c r="KI23" s="1672"/>
      <c r="KJ23" s="1672" t="s">
        <v>9587</v>
      </c>
      <c r="KK23" s="364"/>
      <c r="KL23" s="1673" t="s">
        <v>9588</v>
      </c>
      <c r="KM23" s="1672"/>
      <c r="KN23" s="1675"/>
      <c r="KO23" s="1674" t="s">
        <v>9589</v>
      </c>
      <c r="KP23" s="464"/>
      <c r="KQ23" s="464" t="s">
        <v>9086</v>
      </c>
      <c r="KR23" s="1676" t="s">
        <v>9590</v>
      </c>
      <c r="KS23" s="1675"/>
      <c r="KT23" s="1675"/>
      <c r="KU23" s="1675" t="s">
        <v>9591</v>
      </c>
      <c r="KV23" s="1672"/>
      <c r="KW23" s="1671" t="s">
        <v>9575</v>
      </c>
      <c r="KX23" s="293"/>
      <c r="KY23" s="364"/>
      <c r="KZ23" s="364"/>
      <c r="LA23" s="364"/>
      <c r="LB23" s="1675"/>
      <c r="LC23" s="464"/>
      <c r="LD23" s="293" t="s">
        <v>9592</v>
      </c>
      <c r="LE23" s="293"/>
      <c r="LF23" s="464" t="s">
        <v>9593</v>
      </c>
      <c r="LG23" s="1671"/>
      <c r="LH23" s="1672" t="s">
        <v>9594</v>
      </c>
      <c r="LI23" s="1672" t="s">
        <v>9595</v>
      </c>
      <c r="LJ23" s="1672" t="s">
        <v>9596</v>
      </c>
      <c r="LK23" s="364"/>
      <c r="LL23" s="1671"/>
      <c r="LM23" s="1673"/>
      <c r="LN23" s="1676"/>
      <c r="LO23" s="464" t="s">
        <v>9597</v>
      </c>
      <c r="LP23" s="1673" t="s">
        <v>9598</v>
      </c>
      <c r="LQ23" s="1673"/>
      <c r="LR23" s="293"/>
      <c r="LS23" s="293" t="s">
        <v>9361</v>
      </c>
      <c r="LT23" s="293" t="s">
        <v>9505</v>
      </c>
      <c r="LU23" s="293" t="s">
        <v>9599</v>
      </c>
      <c r="LV23" s="1672"/>
      <c r="LW23" s="1702" t="s">
        <v>9600</v>
      </c>
      <c r="LX23" s="253"/>
      <c r="LY23" s="1676"/>
      <c r="LZ23" s="364"/>
      <c r="MA23" s="1671"/>
      <c r="MB23" s="1675"/>
      <c r="MC23" s="1672" t="s">
        <v>8884</v>
      </c>
      <c r="MD23" s="1671"/>
      <c r="ME23" s="1671" t="s">
        <v>9601</v>
      </c>
      <c r="MF23" s="1673"/>
      <c r="MG23" s="1676" t="s">
        <v>9430</v>
      </c>
      <c r="MH23" s="464"/>
      <c r="MI23" s="293"/>
      <c r="MJ23" s="1675"/>
      <c r="MK23" s="1675"/>
      <c r="ML23" s="1673"/>
      <c r="MM23" s="1674" t="s">
        <v>9602</v>
      </c>
      <c r="MN23" s="253"/>
      <c r="MO23" s="293" t="s">
        <v>8825</v>
      </c>
      <c r="MP23" s="1676"/>
      <c r="MQ23" s="1676"/>
      <c r="MR23" s="1676"/>
      <c r="MS23" s="1676" t="s">
        <v>8559</v>
      </c>
      <c r="MT23" s="293" t="s">
        <v>9603</v>
      </c>
      <c r="MU23" s="1672"/>
      <c r="MV23" s="253" t="s">
        <v>9199</v>
      </c>
      <c r="MW23" s="1672"/>
      <c r="MX23" s="1675"/>
      <c r="MY23" s="1675" t="s">
        <v>9532</v>
      </c>
      <c r="MZ23" s="1672"/>
      <c r="NA23" s="1672"/>
      <c r="NB23" s="1672" t="s">
        <v>9532</v>
      </c>
      <c r="NC23" s="1672"/>
      <c r="ND23" s="1672"/>
      <c r="NE23" s="1674"/>
      <c r="NF23" s="1675" t="s">
        <v>9219</v>
      </c>
      <c r="NG23" s="1674"/>
      <c r="NH23" s="1672"/>
      <c r="NI23" s="253"/>
      <c r="NJ23" s="1672" t="s">
        <v>9494</v>
      </c>
      <c r="NK23" s="1672"/>
      <c r="NL23" s="1672"/>
      <c r="NM23" s="1672" t="s">
        <v>9604</v>
      </c>
      <c r="NN23" s="1673"/>
      <c r="NO23" s="1672"/>
      <c r="NP23" s="1675"/>
      <c r="NQ23" s="1671"/>
      <c r="NR23" s="1672"/>
      <c r="NS23" s="1672"/>
      <c r="NT23" s="1671"/>
      <c r="NU23" s="293"/>
      <c r="NV23" s="364"/>
      <c r="NW23" s="1671"/>
      <c r="NX23" s="1671"/>
      <c r="NY23" s="1671"/>
      <c r="NZ23" s="1671"/>
      <c r="OA23" s="293"/>
      <c r="OB23" s="293"/>
      <c r="OC23" s="293" t="s">
        <v>9160</v>
      </c>
      <c r="OD23" s="1673"/>
      <c r="OE23" s="1673"/>
      <c r="OF23" s="1673"/>
      <c r="OG23" s="1672"/>
      <c r="OH23" s="1672"/>
      <c r="OI23" s="1672" t="s">
        <v>9494</v>
      </c>
      <c r="OJ23" s="1673"/>
      <c r="OK23" s="1673"/>
      <c r="OL23" s="1673"/>
      <c r="OM23" s="1673"/>
      <c r="ON23" s="1673"/>
      <c r="OO23" s="1671"/>
      <c r="OP23" s="1671" t="s">
        <v>9377</v>
      </c>
      <c r="OQ23" s="1672"/>
      <c r="OR23" s="1672"/>
      <c r="OS23" s="1672"/>
      <c r="OT23" s="293"/>
      <c r="OU23" s="293"/>
      <c r="OV23" s="1672"/>
      <c r="OW23" s="1672"/>
      <c r="OX23" s="1675"/>
      <c r="OY23" s="1675"/>
      <c r="OZ23" s="293"/>
      <c r="PA23" s="293"/>
      <c r="PB23" s="364"/>
      <c r="PC23" s="1674"/>
      <c r="PD23" s="364"/>
      <c r="PE23" s="364"/>
      <c r="PF23" s="364" t="s">
        <v>9373</v>
      </c>
      <c r="PG23" s="253"/>
      <c r="PH23" s="1673"/>
      <c r="PI23" s="1673"/>
      <c r="PJ23" s="1674"/>
      <c r="PK23" s="1674"/>
      <c r="PL23" s="464"/>
      <c r="PM23" s="464"/>
      <c r="PN23" s="464"/>
      <c r="PO23" s="464"/>
      <c r="PP23" s="464"/>
      <c r="PQ23" s="1673"/>
      <c r="PR23" s="1673" t="s">
        <v>9007</v>
      </c>
      <c r="PS23" s="464"/>
      <c r="PT23" s="1676"/>
      <c r="PU23" s="1675"/>
      <c r="PV23" s="1675" t="s">
        <v>9605</v>
      </c>
      <c r="PW23" s="364"/>
      <c r="PX23" s="464" t="s">
        <v>9606</v>
      </c>
      <c r="PY23" s="1698" t="s">
        <v>9607</v>
      </c>
      <c r="PZ23" s="293"/>
      <c r="QA23" s="293" t="s">
        <v>9608</v>
      </c>
      <c r="QB23" s="1673"/>
      <c r="QC23" s="1674" t="s">
        <v>9609</v>
      </c>
      <c r="QD23" s="1674"/>
      <c r="QE23" s="1676"/>
      <c r="QF23" s="464"/>
      <c r="QG23" s="1672"/>
      <c r="QH23" s="1672"/>
      <c r="QI23" s="1702" t="s">
        <v>9610</v>
      </c>
      <c r="QJ23" s="1676"/>
      <c r="QK23" s="1672"/>
      <c r="QL23" s="1672" t="s">
        <v>9611</v>
      </c>
      <c r="QM23" s="1673"/>
      <c r="QN23" s="1673"/>
      <c r="QO23" s="464"/>
      <c r="QP23" s="464" t="s">
        <v>9612</v>
      </c>
      <c r="QQ23" s="1672"/>
      <c r="QR23" s="1672" t="s">
        <v>9613</v>
      </c>
      <c r="QS23" s="293" t="s">
        <v>9614</v>
      </c>
      <c r="QT23" s="1672"/>
      <c r="QU23" s="1702" t="s">
        <v>9615</v>
      </c>
      <c r="QV23" s="1672"/>
      <c r="QW23" s="253"/>
      <c r="QX23" s="253"/>
      <c r="QY23" s="1676" t="s">
        <v>8906</v>
      </c>
      <c r="QZ23" s="1675" t="s">
        <v>9432</v>
      </c>
      <c r="RA23" s="1674" t="s">
        <v>9503</v>
      </c>
      <c r="RB23" s="1675" t="s">
        <v>9554</v>
      </c>
      <c r="RC23" s="1672" t="s">
        <v>8993</v>
      </c>
      <c r="RD23" s="364" t="s">
        <v>8889</v>
      </c>
      <c r="RE23" s="1703" t="s">
        <v>9616</v>
      </c>
      <c r="RF23" s="253"/>
      <c r="RG23" s="293" t="s">
        <v>9316</v>
      </c>
      <c r="RH23" s="1669" t="s">
        <v>9617</v>
      </c>
      <c r="RI23" s="1672" t="s">
        <v>9030</v>
      </c>
      <c r="RJ23" s="464" t="s">
        <v>8967</v>
      </c>
      <c r="RK23" s="1673" t="s">
        <v>9618</v>
      </c>
      <c r="RL23" s="1671" t="s">
        <v>9447</v>
      </c>
      <c r="RM23" s="253"/>
      <c r="RN23" s="1675" t="s">
        <v>9173</v>
      </c>
      <c r="RO23" s="1676" t="s">
        <v>8559</v>
      </c>
      <c r="RP23" s="254" t="s">
        <v>9619</v>
      </c>
      <c r="RQ23" s="1671" t="s">
        <v>9489</v>
      </c>
      <c r="RR23" s="1671" t="s">
        <v>9489</v>
      </c>
      <c r="RS23" s="1671" t="s">
        <v>9489</v>
      </c>
      <c r="RT23" s="1671" t="s">
        <v>9489</v>
      </c>
      <c r="RU23" s="1671" t="s">
        <v>9489</v>
      </c>
      <c r="RV23" s="1671" t="s">
        <v>9489</v>
      </c>
      <c r="RW23" s="364"/>
      <c r="RX23" s="1674"/>
      <c r="RY23" s="1672"/>
      <c r="RZ23" s="253"/>
      <c r="SA23" s="464"/>
      <c r="SB23" s="1673"/>
      <c r="SC23" s="253"/>
      <c r="SD23" s="1676"/>
      <c r="SE23" s="1676"/>
      <c r="SF23" s="364"/>
      <c r="SG23" s="1672"/>
      <c r="SH23" s="1672"/>
      <c r="SI23" s="1676"/>
      <c r="SJ23" s="293"/>
      <c r="SK23" s="293"/>
      <c r="SL23" s="1675" t="s">
        <v>9620</v>
      </c>
    </row>
    <row r="24" ht="15.75" customHeight="1">
      <c r="A24" s="1254"/>
      <c r="B24" s="1722"/>
      <c r="C24" s="1722"/>
      <c r="D24" s="1722" t="s">
        <v>9621</v>
      </c>
      <c r="E24" s="1722"/>
      <c r="F24" s="1722"/>
      <c r="G24" s="1722" t="s">
        <v>9622</v>
      </c>
      <c r="H24" s="1722"/>
      <c r="I24" s="1722"/>
      <c r="J24" s="1722" t="s">
        <v>9623</v>
      </c>
      <c r="K24" s="1722"/>
      <c r="L24" s="1722"/>
      <c r="M24" s="1722"/>
      <c r="N24" s="1722"/>
      <c r="O24" s="1722"/>
      <c r="P24" s="1722"/>
      <c r="Q24" s="1722"/>
      <c r="R24" s="1722"/>
      <c r="S24" s="1722" t="s">
        <v>9624</v>
      </c>
      <c r="T24" s="1722"/>
      <c r="U24" s="1722"/>
      <c r="V24" s="1722"/>
      <c r="W24" s="1723"/>
      <c r="X24" s="1722"/>
      <c r="Y24" s="1722" t="s">
        <v>9211</v>
      </c>
      <c r="Z24" s="1722"/>
      <c r="AA24" s="1722"/>
      <c r="AB24" s="1722"/>
      <c r="AC24" s="1722" t="s">
        <v>9625</v>
      </c>
      <c r="AD24" s="1722"/>
      <c r="AE24" s="1722"/>
      <c r="AF24" s="1722"/>
      <c r="AG24" s="1722"/>
      <c r="AH24" s="1722"/>
      <c r="AI24" s="1722"/>
      <c r="AJ24" s="1722" t="s">
        <v>9626</v>
      </c>
      <c r="AK24" s="1722"/>
      <c r="AL24" s="1722"/>
      <c r="AM24" s="1722"/>
      <c r="AN24" s="1722" t="s">
        <v>9627</v>
      </c>
      <c r="AO24" s="1722"/>
      <c r="AP24" s="1722"/>
      <c r="AQ24" s="1722"/>
      <c r="AR24" s="1722"/>
      <c r="AS24" s="1722"/>
      <c r="AT24" s="1722"/>
      <c r="AU24" s="1722"/>
      <c r="AV24" s="1722"/>
      <c r="AW24" s="1722"/>
      <c r="AX24" s="1722"/>
      <c r="AY24" s="1722"/>
      <c r="AZ24" s="1722"/>
      <c r="BA24" s="1722"/>
      <c r="BB24" s="1722" t="s">
        <v>9565</v>
      </c>
      <c r="BC24" s="1722"/>
      <c r="BD24" s="1722" t="s">
        <v>9494</v>
      </c>
      <c r="BE24" s="1722"/>
      <c r="BF24" s="1722" t="s">
        <v>9628</v>
      </c>
      <c r="BG24" s="1722"/>
      <c r="BH24" s="1722"/>
      <c r="BI24" s="1722"/>
      <c r="BJ24" s="1722"/>
      <c r="BK24" s="1722"/>
      <c r="BL24" s="1722"/>
      <c r="BM24" s="1722"/>
      <c r="BN24" s="1723"/>
      <c r="BO24" s="1722"/>
      <c r="BP24" s="1722"/>
      <c r="BQ24" s="1722" t="s">
        <v>9429</v>
      </c>
      <c r="BR24" s="1722"/>
      <c r="BS24" s="1722"/>
      <c r="BT24" s="1722"/>
      <c r="BU24" s="1722"/>
      <c r="BV24" s="1722"/>
      <c r="BW24" s="1722"/>
      <c r="BX24" s="1722"/>
      <c r="BY24" s="1722" t="s">
        <v>9272</v>
      </c>
      <c r="BZ24" s="1722"/>
      <c r="CA24" s="1723" t="s">
        <v>9629</v>
      </c>
      <c r="CB24" s="1722"/>
      <c r="CC24" s="1722"/>
      <c r="CD24" s="1722"/>
      <c r="CE24" s="1722"/>
      <c r="CF24" s="1662" t="s">
        <v>8859</v>
      </c>
      <c r="CG24" s="1722"/>
      <c r="CH24" s="1722" t="s">
        <v>9584</v>
      </c>
      <c r="CI24" s="1724"/>
      <c r="CJ24" s="1724" t="s">
        <v>9445</v>
      </c>
      <c r="CK24" s="1722"/>
      <c r="CL24" s="1722"/>
      <c r="CM24" s="1722"/>
      <c r="CN24" s="1722"/>
      <c r="CO24" s="1722"/>
      <c r="CP24" s="1722"/>
      <c r="CQ24" s="1723"/>
      <c r="CR24" s="1722"/>
      <c r="CS24" s="1722"/>
      <c r="CT24" s="1722" t="s">
        <v>9166</v>
      </c>
      <c r="CU24" s="1722"/>
      <c r="CV24" s="1722" t="s">
        <v>9630</v>
      </c>
      <c r="CW24" s="1722"/>
      <c r="CX24" s="1722"/>
      <c r="CY24" s="1722"/>
      <c r="CZ24" s="1722"/>
      <c r="DA24" s="1722"/>
      <c r="DB24" s="1722"/>
      <c r="DC24" s="1722"/>
      <c r="DD24" s="1722"/>
      <c r="DE24" s="1722"/>
      <c r="DF24" s="1722"/>
      <c r="DG24" s="1722"/>
      <c r="DH24" s="1722"/>
      <c r="DI24" s="1722"/>
      <c r="DJ24" s="1722" t="s">
        <v>8224</v>
      </c>
      <c r="DK24" s="1722"/>
      <c r="DL24" s="1722"/>
      <c r="DM24" s="1722"/>
      <c r="DN24" s="1722"/>
      <c r="DO24" s="1722"/>
      <c r="DP24" s="1722"/>
      <c r="DQ24" s="1722"/>
      <c r="DR24" s="1722"/>
      <c r="DS24" s="1722" t="s">
        <v>9609</v>
      </c>
      <c r="DT24" s="1722" t="s">
        <v>9252</v>
      </c>
      <c r="DU24" s="1662" t="s">
        <v>9631</v>
      </c>
      <c r="DV24" s="1722"/>
      <c r="DW24" s="1722"/>
      <c r="DX24" s="1722"/>
      <c r="DY24" s="1722"/>
      <c r="DZ24" s="1722"/>
      <c r="EA24" s="1722"/>
      <c r="EB24" s="1722" t="s">
        <v>9632</v>
      </c>
      <c r="EC24" s="1722"/>
      <c r="ED24" s="1722"/>
      <c r="EE24" s="1722"/>
      <c r="EF24" s="1722"/>
      <c r="EG24" s="1722"/>
      <c r="EH24" s="1722"/>
      <c r="EI24" s="1722"/>
      <c r="EJ24" s="1722"/>
      <c r="EK24" s="1722"/>
      <c r="EL24" s="1722" t="s">
        <v>9633</v>
      </c>
      <c r="EM24" s="1722" t="s">
        <v>9634</v>
      </c>
      <c r="EN24" s="1722"/>
      <c r="EO24" s="1722"/>
      <c r="EP24" s="1722"/>
      <c r="EQ24" s="1722"/>
      <c r="ER24" s="1722"/>
      <c r="ES24" s="1722"/>
      <c r="ET24" s="1722" t="s">
        <v>9635</v>
      </c>
      <c r="EU24" s="1722"/>
      <c r="EV24" s="1722"/>
      <c r="EW24" s="1722"/>
      <c r="EX24" s="1722"/>
      <c r="EY24" s="1722" t="s">
        <v>9621</v>
      </c>
      <c r="EZ24" s="1722"/>
      <c r="FA24" s="1722"/>
      <c r="FB24" s="1722" t="s">
        <v>9636</v>
      </c>
      <c r="FC24" s="1722"/>
      <c r="FD24" s="1722"/>
      <c r="FE24" s="1722" t="s">
        <v>9637</v>
      </c>
      <c r="FF24" s="1722"/>
      <c r="FG24" s="1722"/>
      <c r="FH24" s="1722"/>
      <c r="FI24" s="1722" t="s">
        <v>9638</v>
      </c>
      <c r="FJ24" s="1722"/>
      <c r="FK24" s="1662" t="s">
        <v>9639</v>
      </c>
      <c r="FL24" s="1722"/>
      <c r="FM24" s="1722" t="s">
        <v>7358</v>
      </c>
      <c r="FN24" s="1722"/>
      <c r="FO24" s="1722"/>
      <c r="FP24" s="1722"/>
      <c r="FQ24" s="1722"/>
      <c r="FR24" s="1722"/>
      <c r="FS24" s="1722"/>
      <c r="FT24" s="1724"/>
      <c r="FU24" s="1725" t="s">
        <v>9454</v>
      </c>
      <c r="FV24" s="1722"/>
      <c r="FW24" s="1723"/>
      <c r="FX24" s="1725"/>
      <c r="FY24" s="1722"/>
      <c r="FZ24" s="1722" t="s">
        <v>9640</v>
      </c>
      <c r="GA24" s="1722"/>
      <c r="GB24" s="1722"/>
      <c r="GC24" s="1722" t="s">
        <v>8987</v>
      </c>
      <c r="GD24" s="1722"/>
      <c r="GE24" s="1722"/>
      <c r="GF24" s="1722" t="s">
        <v>8767</v>
      </c>
      <c r="GG24" s="1722" t="s">
        <v>9641</v>
      </c>
      <c r="GH24" s="1722" t="s">
        <v>9440</v>
      </c>
      <c r="GI24" s="1722"/>
      <c r="GJ24" s="1722"/>
      <c r="GK24" s="1722" t="s">
        <v>9642</v>
      </c>
      <c r="GL24" s="1722"/>
      <c r="GM24" s="1722"/>
      <c r="GN24" s="1722"/>
      <c r="GO24" s="1722"/>
      <c r="GP24" s="1722"/>
      <c r="GQ24" s="1722"/>
      <c r="GR24" s="1662" t="s">
        <v>8860</v>
      </c>
      <c r="GS24" s="1722"/>
      <c r="GT24" s="1722"/>
      <c r="GU24" s="1722"/>
      <c r="GV24" s="1722"/>
      <c r="GW24" s="1722"/>
      <c r="GX24" s="1722" t="s">
        <v>9643</v>
      </c>
      <c r="GY24" s="1722" t="s">
        <v>7937</v>
      </c>
      <c r="GZ24" s="1722"/>
      <c r="HA24" s="1722" t="s">
        <v>9282</v>
      </c>
      <c r="HB24" s="1722"/>
      <c r="HC24" s="1722" t="s">
        <v>9546</v>
      </c>
      <c r="HD24" s="1722"/>
      <c r="HE24" s="1722" t="s">
        <v>9252</v>
      </c>
      <c r="HF24" s="1722"/>
      <c r="HG24" s="1722"/>
      <c r="HH24" s="1722"/>
      <c r="HI24" s="1722" t="s">
        <v>9244</v>
      </c>
      <c r="HJ24" s="1722" t="s">
        <v>9644</v>
      </c>
      <c r="HK24" s="1722"/>
      <c r="HL24" s="1722"/>
      <c r="HM24" s="1722"/>
      <c r="HN24" s="1722"/>
      <c r="HO24" s="1722"/>
      <c r="HP24" s="1722"/>
      <c r="HQ24" s="1722" t="s">
        <v>9645</v>
      </c>
      <c r="HR24" s="1722"/>
      <c r="HS24" s="1722" t="s">
        <v>8274</v>
      </c>
      <c r="HT24" s="1722" t="s">
        <v>9646</v>
      </c>
      <c r="HU24" s="1722"/>
      <c r="HV24" s="1722"/>
      <c r="HW24" s="1722"/>
      <c r="HX24" s="1722"/>
      <c r="HY24" s="1722" t="s">
        <v>9176</v>
      </c>
      <c r="HZ24" s="1722"/>
      <c r="IA24" s="1722"/>
      <c r="IB24" s="1725"/>
      <c r="IC24" s="1722"/>
      <c r="ID24" s="1722"/>
      <c r="IE24" s="1722"/>
      <c r="IF24" s="1722"/>
      <c r="IG24" s="1722"/>
      <c r="IH24" s="1722"/>
      <c r="II24" s="1722" t="s">
        <v>8224</v>
      </c>
      <c r="IJ24" s="1722"/>
      <c r="IK24" s="1722"/>
      <c r="IL24" s="1722"/>
      <c r="IM24" s="1722"/>
      <c r="IN24" s="1722"/>
      <c r="IO24" s="1722" t="s">
        <v>9647</v>
      </c>
      <c r="IP24" s="1725"/>
      <c r="IQ24" s="1722"/>
      <c r="IR24" s="1722"/>
      <c r="IS24" s="1722"/>
      <c r="IT24" s="1722"/>
      <c r="IU24" s="1722" t="s">
        <v>9648</v>
      </c>
      <c r="IV24" s="1722"/>
      <c r="IW24" s="1722"/>
      <c r="IX24" s="1722" t="s">
        <v>9622</v>
      </c>
      <c r="IY24" s="1722"/>
      <c r="IZ24" s="1722"/>
      <c r="JA24" s="1722" t="s">
        <v>9649</v>
      </c>
      <c r="JB24" s="1722"/>
      <c r="JC24" s="1722" t="s">
        <v>9521</v>
      </c>
      <c r="JD24" s="1722"/>
      <c r="JE24" s="1725"/>
      <c r="JF24" s="1722"/>
      <c r="JG24" s="1725"/>
      <c r="JH24" s="1722"/>
      <c r="JI24" s="1722"/>
      <c r="JJ24" s="1722"/>
      <c r="JK24" s="1722"/>
      <c r="JL24" s="1722"/>
      <c r="JM24" s="1722"/>
      <c r="JN24" s="1722"/>
      <c r="JO24" s="1722"/>
      <c r="JP24" s="1722"/>
      <c r="JQ24" s="1722"/>
      <c r="JR24" s="1722"/>
      <c r="JS24" s="1725"/>
      <c r="JT24" s="1722" t="s">
        <v>8597</v>
      </c>
      <c r="JU24" s="1725"/>
      <c r="JV24" s="1725"/>
      <c r="JW24" s="1725"/>
      <c r="JX24" s="1722"/>
      <c r="JY24" s="1722"/>
      <c r="JZ24" s="1722"/>
      <c r="KA24" s="1722"/>
      <c r="KB24" s="1722"/>
      <c r="KC24" s="1725"/>
      <c r="KD24" s="1722"/>
      <c r="KE24" s="1722"/>
      <c r="KF24" s="1662" t="s">
        <v>9650</v>
      </c>
      <c r="KG24" s="1722"/>
      <c r="KH24" s="1722"/>
      <c r="KI24" s="1722"/>
      <c r="KJ24" s="1722" t="s">
        <v>9583</v>
      </c>
      <c r="KK24" s="1722"/>
      <c r="KL24" s="1722"/>
      <c r="KM24" s="1722"/>
      <c r="KN24" s="1722"/>
      <c r="KO24" s="1722" t="s">
        <v>8319</v>
      </c>
      <c r="KP24" s="1722"/>
      <c r="KQ24" s="1722" t="s">
        <v>9651</v>
      </c>
      <c r="KR24" s="1722" t="s">
        <v>9652</v>
      </c>
      <c r="KS24" s="1722"/>
      <c r="KT24" s="1722"/>
      <c r="KU24" s="1722" t="s">
        <v>9653</v>
      </c>
      <c r="KV24" s="1722"/>
      <c r="KW24" s="1722" t="s">
        <v>9459</v>
      </c>
      <c r="KX24" s="1722"/>
      <c r="KY24" s="1722"/>
      <c r="KZ24" s="1722"/>
      <c r="LA24" s="1722"/>
      <c r="LB24" s="1722"/>
      <c r="LC24" s="1722"/>
      <c r="LD24" s="1722" t="s">
        <v>9654</v>
      </c>
      <c r="LE24" s="1722"/>
      <c r="LF24" s="1722"/>
      <c r="LG24" s="1722"/>
      <c r="LH24" s="1722" t="s">
        <v>9305</v>
      </c>
      <c r="LI24" s="1722"/>
      <c r="LJ24" s="1722"/>
      <c r="LK24" s="1722"/>
      <c r="LL24" s="1722"/>
      <c r="LM24" s="1722"/>
      <c r="LN24" s="1722"/>
      <c r="LO24" s="1722"/>
      <c r="LP24" s="1722" t="s">
        <v>9655</v>
      </c>
      <c r="LQ24" s="1722"/>
      <c r="LR24" s="1722"/>
      <c r="LS24" s="1722" t="s">
        <v>9656</v>
      </c>
      <c r="LT24" s="1722"/>
      <c r="LU24" s="1722" t="s">
        <v>9657</v>
      </c>
      <c r="LV24" s="1722"/>
      <c r="LW24" s="1723" t="s">
        <v>9658</v>
      </c>
      <c r="LX24" s="1725"/>
      <c r="LY24" s="1722"/>
      <c r="LZ24" s="1722"/>
      <c r="MA24" s="1722"/>
      <c r="MB24" s="1722"/>
      <c r="MC24" s="1722" t="s">
        <v>9625</v>
      </c>
      <c r="MD24" s="1722"/>
      <c r="ME24" s="1722"/>
      <c r="MF24" s="1722"/>
      <c r="MG24" s="1722" t="s">
        <v>9659</v>
      </c>
      <c r="MH24" s="1722"/>
      <c r="MI24" s="1722"/>
      <c r="MJ24" s="1722"/>
      <c r="MK24" s="1722"/>
      <c r="ML24" s="1722"/>
      <c r="MM24" s="1722" t="s">
        <v>8987</v>
      </c>
      <c r="MN24" s="1725"/>
      <c r="MO24" s="1722" t="s">
        <v>9499</v>
      </c>
      <c r="MP24" s="1722"/>
      <c r="MQ24" s="1722"/>
      <c r="MR24" s="1722"/>
      <c r="MS24" s="1722" t="s">
        <v>9660</v>
      </c>
      <c r="MT24" s="1722" t="s">
        <v>9160</v>
      </c>
      <c r="MU24" s="1722"/>
      <c r="MV24" s="1725" t="s">
        <v>9661</v>
      </c>
      <c r="MW24" s="1722"/>
      <c r="MX24" s="1722"/>
      <c r="MY24" s="1722" t="s">
        <v>9662</v>
      </c>
      <c r="MZ24" s="1722"/>
      <c r="NA24" s="1722"/>
      <c r="NB24" s="1722" t="s">
        <v>9663</v>
      </c>
      <c r="NC24" s="1722"/>
      <c r="ND24" s="1722"/>
      <c r="NE24" s="1722"/>
      <c r="NF24" s="1722" t="s">
        <v>9516</v>
      </c>
      <c r="NG24" s="1722"/>
      <c r="NH24" s="1722"/>
      <c r="NI24" s="1725"/>
      <c r="NJ24" s="1722" t="s">
        <v>9664</v>
      </c>
      <c r="NK24" s="1722"/>
      <c r="NL24" s="1722"/>
      <c r="NM24" s="1722"/>
      <c r="NN24" s="1722"/>
      <c r="NO24" s="1722"/>
      <c r="NP24" s="1722"/>
      <c r="NQ24" s="1722"/>
      <c r="NR24" s="1722"/>
      <c r="NS24" s="1722"/>
      <c r="NT24" s="1722"/>
      <c r="NU24" s="1722"/>
      <c r="NV24" s="1722"/>
      <c r="NW24" s="1722"/>
      <c r="NX24" s="1722"/>
      <c r="NY24" s="1722"/>
      <c r="NZ24" s="1722"/>
      <c r="OA24" s="1722"/>
      <c r="OB24" s="1722"/>
      <c r="OC24" s="1722"/>
      <c r="OD24" s="1722"/>
      <c r="OE24" s="1722"/>
      <c r="OF24" s="1722"/>
      <c r="OG24" s="1722"/>
      <c r="OH24" s="1722"/>
      <c r="OI24" s="1722"/>
      <c r="OJ24" s="1722"/>
      <c r="OK24" s="1722"/>
      <c r="OL24" s="1722"/>
      <c r="OM24" s="1722"/>
      <c r="ON24" s="1722"/>
      <c r="OO24" s="1722"/>
      <c r="OP24" s="1722" t="s">
        <v>9665</v>
      </c>
      <c r="OQ24" s="1722"/>
      <c r="OR24" s="1722"/>
      <c r="OS24" s="1722"/>
      <c r="OT24" s="1722"/>
      <c r="OU24" s="1722"/>
      <c r="OV24" s="1722"/>
      <c r="OW24" s="1722"/>
      <c r="OX24" s="1722"/>
      <c r="OY24" s="1722"/>
      <c r="OZ24" s="1722"/>
      <c r="PA24" s="1722"/>
      <c r="PB24" s="1722"/>
      <c r="PC24" s="1722"/>
      <c r="PD24" s="1722"/>
      <c r="PE24" s="1722"/>
      <c r="PF24" s="1722"/>
      <c r="PG24" s="1725"/>
      <c r="PH24" s="1722"/>
      <c r="PI24" s="1722"/>
      <c r="PJ24" s="1722"/>
      <c r="PK24" s="1722"/>
      <c r="PL24" s="1722"/>
      <c r="PM24" s="1722"/>
      <c r="PN24" s="1722"/>
      <c r="PO24" s="1722"/>
      <c r="PP24" s="1722"/>
      <c r="PQ24" s="1722"/>
      <c r="PR24" s="1722" t="s">
        <v>9666</v>
      </c>
      <c r="PS24" s="1722"/>
      <c r="PT24" s="1722"/>
      <c r="PU24" s="1722"/>
      <c r="PV24" s="1722"/>
      <c r="PW24" s="1722"/>
      <c r="PX24" s="1722"/>
      <c r="PY24" s="1723" t="s">
        <v>9667</v>
      </c>
      <c r="PZ24" s="1722"/>
      <c r="QA24" s="1722"/>
      <c r="QB24" s="1722"/>
      <c r="QC24" s="1722"/>
      <c r="QD24" s="1722"/>
      <c r="QE24" s="1722"/>
      <c r="QF24" s="1722"/>
      <c r="QG24" s="1722"/>
      <c r="QH24" s="1722"/>
      <c r="QI24" s="1723"/>
      <c r="QJ24" s="1722"/>
      <c r="QK24" s="1722"/>
      <c r="QL24" s="1722" t="s">
        <v>9668</v>
      </c>
      <c r="QM24" s="1722"/>
      <c r="QN24" s="1722"/>
      <c r="QO24" s="1722"/>
      <c r="QP24" s="1722"/>
      <c r="QQ24" s="1722"/>
      <c r="QR24" s="1722"/>
      <c r="QS24" s="1722"/>
      <c r="QT24" s="1722"/>
      <c r="QU24" s="1723"/>
      <c r="QV24" s="1722"/>
      <c r="QW24" s="1725"/>
      <c r="QX24" s="1725"/>
      <c r="QY24" s="1722" t="s">
        <v>9145</v>
      </c>
      <c r="QZ24" s="1722" t="s">
        <v>9549</v>
      </c>
      <c r="RA24" s="1722" t="s">
        <v>9669</v>
      </c>
      <c r="RB24" s="1722" t="s">
        <v>9670</v>
      </c>
      <c r="RC24" s="1722"/>
      <c r="RD24" s="1722" t="s">
        <v>9671</v>
      </c>
      <c r="RE24" s="1723"/>
      <c r="RF24" s="1725"/>
      <c r="RG24" s="1722" t="s">
        <v>9458</v>
      </c>
      <c r="RH24" s="1723"/>
      <c r="RI24" s="1722"/>
      <c r="RJ24" s="1722" t="s">
        <v>9321</v>
      </c>
      <c r="RK24" s="1722" t="s">
        <v>9443</v>
      </c>
      <c r="RL24" s="1722" t="s">
        <v>9558</v>
      </c>
      <c r="RM24" s="1725"/>
      <c r="RN24" s="1662" t="s">
        <v>9344</v>
      </c>
      <c r="RO24" s="1722" t="s">
        <v>9660</v>
      </c>
      <c r="RP24" s="1722"/>
      <c r="RQ24" s="1722"/>
      <c r="RR24" s="1722"/>
      <c r="RS24" s="1722"/>
      <c r="RT24" s="1722"/>
      <c r="RU24" s="1722"/>
      <c r="RV24" s="1722"/>
      <c r="RW24" s="1722"/>
      <c r="RX24" s="1722"/>
      <c r="RY24" s="1722"/>
      <c r="RZ24" s="1725"/>
      <c r="SA24" s="1722"/>
      <c r="SB24" s="1722"/>
      <c r="SC24" s="1725"/>
      <c r="SD24" s="1722"/>
      <c r="SE24" s="1722"/>
      <c r="SF24" s="1722"/>
      <c r="SG24" s="1722"/>
      <c r="SH24" s="1722"/>
      <c r="SI24" s="1722"/>
      <c r="SJ24" s="1722"/>
      <c r="SK24" s="1722"/>
      <c r="SL24" s="1722"/>
    </row>
    <row r="25" ht="15.75" customHeight="1">
      <c r="A25" s="1726" t="s">
        <v>9672</v>
      </c>
      <c r="B25" s="1727" t="s">
        <v>9673</v>
      </c>
      <c r="C25" s="1728" t="s">
        <v>9673</v>
      </c>
      <c r="D25" s="1728" t="s">
        <v>9673</v>
      </c>
      <c r="E25" s="1729" t="s">
        <v>9673</v>
      </c>
      <c r="F25" s="1729" t="s">
        <v>9673</v>
      </c>
      <c r="G25" s="1729" t="s">
        <v>9673</v>
      </c>
      <c r="H25" s="1730" t="s">
        <v>9673</v>
      </c>
      <c r="I25" s="1730" t="s">
        <v>9673</v>
      </c>
      <c r="J25" s="1730" t="s">
        <v>9673</v>
      </c>
      <c r="K25" s="1728" t="s">
        <v>9673</v>
      </c>
      <c r="L25" s="1728" t="s">
        <v>9673</v>
      </c>
      <c r="M25" s="139" t="s">
        <v>9673</v>
      </c>
      <c r="N25" s="1731" t="s">
        <v>9673</v>
      </c>
      <c r="O25" s="1732" t="s">
        <v>9673</v>
      </c>
      <c r="P25" s="1732" t="s">
        <v>9673</v>
      </c>
      <c r="Q25" s="1731" t="s">
        <v>9673</v>
      </c>
      <c r="R25" s="1731" t="s">
        <v>9673</v>
      </c>
      <c r="S25" s="1731" t="s">
        <v>9673</v>
      </c>
      <c r="T25" s="1733" t="s">
        <v>9673</v>
      </c>
      <c r="U25" s="1731" t="s">
        <v>9673</v>
      </c>
      <c r="V25" s="1731" t="s">
        <v>9673</v>
      </c>
      <c r="W25" s="1731" t="s">
        <v>9673</v>
      </c>
      <c r="X25" s="1733" t="s">
        <v>9673</v>
      </c>
      <c r="Y25" s="1733" t="s">
        <v>9673</v>
      </c>
      <c r="Z25" s="1732" t="s">
        <v>9673</v>
      </c>
      <c r="AA25" s="1732" t="s">
        <v>9673</v>
      </c>
      <c r="AB25" s="1732" t="s">
        <v>9673</v>
      </c>
      <c r="AC25" s="1732" t="s">
        <v>9673</v>
      </c>
      <c r="AD25" s="1730" t="s">
        <v>9673</v>
      </c>
      <c r="AE25" s="1730" t="s">
        <v>9673</v>
      </c>
      <c r="AF25" s="1730" t="s">
        <v>9673</v>
      </c>
      <c r="AG25" s="1733" t="s">
        <v>9673</v>
      </c>
      <c r="AH25" s="1733" t="s">
        <v>9673</v>
      </c>
      <c r="AI25" s="1733" t="s">
        <v>9673</v>
      </c>
      <c r="AJ25" s="1734" t="s">
        <v>9673</v>
      </c>
      <c r="AK25" s="1734" t="s">
        <v>9673</v>
      </c>
      <c r="AL25" s="1731" t="s">
        <v>9673</v>
      </c>
      <c r="AM25" s="1732" t="s">
        <v>9673</v>
      </c>
      <c r="AN25" s="1734" t="s">
        <v>9673</v>
      </c>
      <c r="AO25" s="1734" t="s">
        <v>9673</v>
      </c>
      <c r="AP25" s="1733" t="s">
        <v>9673</v>
      </c>
      <c r="AQ25" s="1733" t="s">
        <v>9673</v>
      </c>
      <c r="AR25" s="1730" t="s">
        <v>9673</v>
      </c>
      <c r="AS25" s="1730" t="s">
        <v>9673</v>
      </c>
      <c r="AT25" s="1729" t="s">
        <v>9673</v>
      </c>
      <c r="AU25" s="1729" t="s">
        <v>9673</v>
      </c>
      <c r="AV25" s="1729" t="s">
        <v>9673</v>
      </c>
      <c r="AW25" s="1733" t="s">
        <v>9673</v>
      </c>
      <c r="AX25" s="1733" t="s">
        <v>9673</v>
      </c>
      <c r="AY25" s="1731" t="s">
        <v>9673</v>
      </c>
      <c r="AZ25" s="1731" t="s">
        <v>9673</v>
      </c>
      <c r="BA25" s="1732" t="s">
        <v>9673</v>
      </c>
      <c r="BB25" s="1732" t="s">
        <v>9673</v>
      </c>
      <c r="BC25" s="1732" t="s">
        <v>9673</v>
      </c>
      <c r="BD25" s="1730" t="s">
        <v>9673</v>
      </c>
      <c r="BE25" s="1731" t="s">
        <v>9673</v>
      </c>
      <c r="BF25" s="1731" t="s">
        <v>9673</v>
      </c>
      <c r="BG25" s="1731" t="s">
        <v>9673</v>
      </c>
      <c r="BH25" s="1731" t="s">
        <v>9673</v>
      </c>
      <c r="BI25" s="1730" t="s">
        <v>9673</v>
      </c>
      <c r="BJ25" s="1730" t="s">
        <v>9673</v>
      </c>
      <c r="BK25" s="1730" t="s">
        <v>9673</v>
      </c>
      <c r="BL25" s="1731" t="s">
        <v>9673</v>
      </c>
      <c r="BM25" s="1731" t="s">
        <v>9673</v>
      </c>
      <c r="BN25" s="1731" t="s">
        <v>9673</v>
      </c>
      <c r="BO25" s="1735" t="s">
        <v>9673</v>
      </c>
      <c r="BP25" s="1735" t="s">
        <v>9673</v>
      </c>
      <c r="BQ25" s="1735" t="s">
        <v>9673</v>
      </c>
      <c r="BR25" s="1728" t="s">
        <v>9673</v>
      </c>
      <c r="BS25" s="1728" t="s">
        <v>9673</v>
      </c>
      <c r="BT25" s="1728" t="s">
        <v>9673</v>
      </c>
      <c r="BU25" s="1730" t="s">
        <v>9673</v>
      </c>
      <c r="BV25" s="1730" t="s">
        <v>9673</v>
      </c>
      <c r="BW25" s="1731" t="s">
        <v>9673</v>
      </c>
      <c r="BX25" s="1731" t="s">
        <v>9673</v>
      </c>
      <c r="BY25" s="1731" t="s">
        <v>9673</v>
      </c>
      <c r="BZ25" s="1732" t="s">
        <v>9673</v>
      </c>
      <c r="CA25" s="1732" t="s">
        <v>9673</v>
      </c>
      <c r="CB25" s="1734" t="s">
        <v>9673</v>
      </c>
      <c r="CC25" s="1734" t="s">
        <v>9673</v>
      </c>
      <c r="CD25" s="1735" t="s">
        <v>9673</v>
      </c>
      <c r="CE25" s="1735" t="s">
        <v>9673</v>
      </c>
      <c r="CF25" s="1731" t="s">
        <v>9673</v>
      </c>
      <c r="CG25" s="1731" t="s">
        <v>9673</v>
      </c>
      <c r="CH25" s="1731" t="s">
        <v>9673</v>
      </c>
      <c r="CI25" s="139" t="s">
        <v>9673</v>
      </c>
      <c r="CJ25" s="139" t="s">
        <v>9673</v>
      </c>
      <c r="CK25" s="1733" t="s">
        <v>9673</v>
      </c>
      <c r="CL25" s="1733" t="s">
        <v>9673</v>
      </c>
      <c r="CM25" s="1733" t="s">
        <v>9673</v>
      </c>
      <c r="CN25" s="1733" t="s">
        <v>9673</v>
      </c>
      <c r="CO25" s="1733" t="s">
        <v>9673</v>
      </c>
      <c r="CP25" s="1733" t="s">
        <v>9673</v>
      </c>
      <c r="CQ25" s="1733" t="s">
        <v>9673</v>
      </c>
      <c r="CR25" s="1735" t="s">
        <v>9673</v>
      </c>
      <c r="CS25" s="1732" t="s">
        <v>9673</v>
      </c>
      <c r="CT25" s="1732" t="s">
        <v>9673</v>
      </c>
      <c r="CU25" s="1729" t="s">
        <v>9673</v>
      </c>
      <c r="CV25" s="1729" t="s">
        <v>9673</v>
      </c>
      <c r="CW25" s="1729" t="s">
        <v>9673</v>
      </c>
      <c r="CX25" s="1729" t="s">
        <v>9673</v>
      </c>
      <c r="CY25" s="1734" t="s">
        <v>9673</v>
      </c>
      <c r="CZ25" s="1732" t="s">
        <v>9673</v>
      </c>
      <c r="DA25" s="1731" t="s">
        <v>9673</v>
      </c>
      <c r="DB25" s="1731" t="s">
        <v>9673</v>
      </c>
      <c r="DC25" s="1731" t="s">
        <v>9673</v>
      </c>
      <c r="DD25" s="1731" t="s">
        <v>9673</v>
      </c>
      <c r="DE25" s="1734" t="s">
        <v>9673</v>
      </c>
      <c r="DF25" s="1733" t="s">
        <v>9673</v>
      </c>
      <c r="DG25" s="1733" t="s">
        <v>9673</v>
      </c>
      <c r="DH25" s="1735" t="s">
        <v>9673</v>
      </c>
      <c r="DI25" s="1735" t="s">
        <v>9673</v>
      </c>
      <c r="DJ25" s="1734" t="s">
        <v>9673</v>
      </c>
      <c r="DK25" s="1730" t="s">
        <v>9673</v>
      </c>
      <c r="DL25" s="1731" t="s">
        <v>9673</v>
      </c>
      <c r="DM25" s="1730" t="s">
        <v>9673</v>
      </c>
      <c r="DN25" s="1730" t="s">
        <v>9673</v>
      </c>
      <c r="DO25" s="1729" t="s">
        <v>9673</v>
      </c>
      <c r="DP25" s="1729" t="s">
        <v>9673</v>
      </c>
      <c r="DQ25" s="1731" t="s">
        <v>9673</v>
      </c>
      <c r="DR25" s="1733" t="s">
        <v>9673</v>
      </c>
      <c r="DS25" s="1734" t="s">
        <v>9673</v>
      </c>
      <c r="DT25" s="1728" t="s">
        <v>9673</v>
      </c>
      <c r="DU25" s="1729" t="s">
        <v>9673</v>
      </c>
      <c r="DV25" s="1732" t="s">
        <v>9673</v>
      </c>
      <c r="DW25" s="1729" t="s">
        <v>9673</v>
      </c>
      <c r="DX25" s="1731" t="s">
        <v>9673</v>
      </c>
      <c r="DY25" s="1731" t="s">
        <v>9673</v>
      </c>
      <c r="DZ25" s="1729" t="s">
        <v>9673</v>
      </c>
      <c r="EA25" s="1730" t="s">
        <v>9673</v>
      </c>
      <c r="EB25" s="1730" t="s">
        <v>9673</v>
      </c>
      <c r="EC25" s="1733" t="s">
        <v>9673</v>
      </c>
      <c r="ED25" s="1731" t="s">
        <v>9673</v>
      </c>
      <c r="EE25" s="1730" t="s">
        <v>9673</v>
      </c>
      <c r="EF25" s="1732" t="s">
        <v>9673</v>
      </c>
      <c r="EG25" s="1729" t="s">
        <v>9673</v>
      </c>
      <c r="EH25" s="1734" t="s">
        <v>9673</v>
      </c>
      <c r="EI25" s="1730" t="s">
        <v>9673</v>
      </c>
      <c r="EJ25" s="1730" t="s">
        <v>9673</v>
      </c>
      <c r="EK25" s="1731" t="s">
        <v>9673</v>
      </c>
      <c r="EL25" s="1731" t="s">
        <v>9673</v>
      </c>
      <c r="EM25" s="1733" t="s">
        <v>9673</v>
      </c>
      <c r="EN25" s="1736" t="s">
        <v>9673</v>
      </c>
      <c r="EO25" s="1730" t="s">
        <v>9673</v>
      </c>
      <c r="EP25" s="1732" t="s">
        <v>9673</v>
      </c>
      <c r="EQ25" s="1732" t="s">
        <v>9673</v>
      </c>
      <c r="ER25" s="1730" t="s">
        <v>9673</v>
      </c>
      <c r="ES25" s="1730" t="s">
        <v>9673</v>
      </c>
      <c r="ET25" s="1731" t="s">
        <v>9673</v>
      </c>
      <c r="EU25" s="1733" t="s">
        <v>9673</v>
      </c>
      <c r="EV25" s="1734" t="s">
        <v>9673</v>
      </c>
      <c r="EW25" s="1728" t="s">
        <v>9673</v>
      </c>
      <c r="EX25" s="1728" t="s">
        <v>9673</v>
      </c>
      <c r="EY25" s="1728" t="s">
        <v>9673</v>
      </c>
      <c r="EZ25" s="1732" t="s">
        <v>9673</v>
      </c>
      <c r="FA25" s="1732" t="s">
        <v>9673</v>
      </c>
      <c r="FB25" s="1732" t="s">
        <v>9673</v>
      </c>
      <c r="FC25" s="1730" t="s">
        <v>9673</v>
      </c>
      <c r="FD25" s="1730" t="s">
        <v>9673</v>
      </c>
      <c r="FE25" s="1730" t="s">
        <v>9673</v>
      </c>
      <c r="FF25" s="1731" t="s">
        <v>9673</v>
      </c>
      <c r="FG25" s="1731" t="s">
        <v>9673</v>
      </c>
      <c r="FH25" s="1731" t="s">
        <v>9673</v>
      </c>
      <c r="FI25" s="1731" t="s">
        <v>9673</v>
      </c>
      <c r="FJ25" s="1729" t="s">
        <v>9673</v>
      </c>
      <c r="FK25" s="1729" t="s">
        <v>9673</v>
      </c>
      <c r="FL25" s="1728" t="s">
        <v>9673</v>
      </c>
      <c r="FM25" s="1729" t="s">
        <v>9673</v>
      </c>
      <c r="FN25" s="1733" t="s">
        <v>9673</v>
      </c>
      <c r="FO25" s="1730" t="s">
        <v>9673</v>
      </c>
      <c r="FP25" s="1730" t="s">
        <v>9673</v>
      </c>
      <c r="FQ25" s="1732" t="s">
        <v>9673</v>
      </c>
      <c r="FR25" s="1734" t="s">
        <v>9673</v>
      </c>
      <c r="FS25" s="1734" t="s">
        <v>9673</v>
      </c>
      <c r="FT25" s="139" t="s">
        <v>9673</v>
      </c>
      <c r="FU25" s="139" t="s">
        <v>9673</v>
      </c>
      <c r="FV25" s="1728" t="s">
        <v>9673</v>
      </c>
      <c r="FW25" s="1728" t="s">
        <v>9673</v>
      </c>
      <c r="FX25" s="139" t="s">
        <v>9673</v>
      </c>
      <c r="FY25" s="1734" t="s">
        <v>9673</v>
      </c>
      <c r="FZ25" s="1732" t="s">
        <v>9673</v>
      </c>
      <c r="GA25" s="1728" t="s">
        <v>9673</v>
      </c>
      <c r="GB25" s="1730" t="s">
        <v>9673</v>
      </c>
      <c r="GC25" s="1730" t="s">
        <v>9673</v>
      </c>
      <c r="GD25" s="1731" t="s">
        <v>9673</v>
      </c>
      <c r="GE25" s="1728" t="s">
        <v>9673</v>
      </c>
      <c r="GF25" s="1734" t="s">
        <v>9673</v>
      </c>
      <c r="GG25" s="1728" t="s">
        <v>9673</v>
      </c>
      <c r="GH25" s="1730" t="s">
        <v>9673</v>
      </c>
      <c r="GI25" s="1733" t="s">
        <v>9673</v>
      </c>
      <c r="GJ25" s="1732" t="s">
        <v>9673</v>
      </c>
      <c r="GK25" s="1732" t="s">
        <v>9673</v>
      </c>
      <c r="GL25" s="1729" t="s">
        <v>9673</v>
      </c>
      <c r="GM25" s="1730" t="s">
        <v>9673</v>
      </c>
      <c r="GN25" s="1730" t="s">
        <v>9673</v>
      </c>
      <c r="GO25" s="1733" t="s">
        <v>9673</v>
      </c>
      <c r="GP25" s="1736" t="s">
        <v>9673</v>
      </c>
      <c r="GQ25" s="1736" t="s">
        <v>9673</v>
      </c>
      <c r="GR25" s="1734" t="s">
        <v>9673</v>
      </c>
      <c r="GS25" s="1735" t="s">
        <v>9673</v>
      </c>
      <c r="GT25" s="1736" t="s">
        <v>9673</v>
      </c>
      <c r="GU25" s="1730" t="s">
        <v>9673</v>
      </c>
      <c r="GV25" s="1732" t="s">
        <v>9673</v>
      </c>
      <c r="GW25" s="1735" t="s">
        <v>9673</v>
      </c>
      <c r="GX25" s="1733" t="s">
        <v>9673</v>
      </c>
      <c r="GY25" s="1732" t="s">
        <v>9673</v>
      </c>
      <c r="GZ25" s="1733" t="s">
        <v>9673</v>
      </c>
      <c r="HA25" s="1735" t="s">
        <v>9673</v>
      </c>
      <c r="HB25" s="1734" t="s">
        <v>9673</v>
      </c>
      <c r="HC25" s="1733" t="s">
        <v>9673</v>
      </c>
      <c r="HD25" s="1735" t="s">
        <v>9673</v>
      </c>
      <c r="HE25" s="1729" t="s">
        <v>9673</v>
      </c>
      <c r="HF25" s="1732" t="s">
        <v>9673</v>
      </c>
      <c r="HG25" s="1730" t="s">
        <v>9673</v>
      </c>
      <c r="HH25" s="1736" t="s">
        <v>9673</v>
      </c>
      <c r="HI25" s="1731" t="s">
        <v>9673</v>
      </c>
      <c r="HJ25" s="1731" t="s">
        <v>9673</v>
      </c>
      <c r="HK25" s="1729" t="s">
        <v>9673</v>
      </c>
      <c r="HL25" s="1729" t="s">
        <v>9673</v>
      </c>
      <c r="HM25" s="1731" t="s">
        <v>9673</v>
      </c>
      <c r="HN25" s="1731" t="s">
        <v>9673</v>
      </c>
      <c r="HO25" s="1734" t="s">
        <v>9673</v>
      </c>
      <c r="HP25" s="1735" t="s">
        <v>9673</v>
      </c>
      <c r="HQ25" s="1729" t="s">
        <v>9673</v>
      </c>
      <c r="HR25" s="1729" t="s">
        <v>9673</v>
      </c>
      <c r="HS25" s="1733" t="s">
        <v>9673</v>
      </c>
      <c r="HT25" s="1735" t="s">
        <v>9673</v>
      </c>
      <c r="HU25" s="1736" t="s">
        <v>9673</v>
      </c>
      <c r="HV25" s="1736" t="s">
        <v>9673</v>
      </c>
      <c r="HW25" s="1730" t="s">
        <v>9673</v>
      </c>
      <c r="HX25" s="1730" t="s">
        <v>9673</v>
      </c>
      <c r="HY25" s="1735" t="s">
        <v>9673</v>
      </c>
      <c r="HZ25" s="1729" t="s">
        <v>9673</v>
      </c>
      <c r="IA25" s="1731" t="s">
        <v>9673</v>
      </c>
      <c r="IB25" s="139" t="s">
        <v>9673</v>
      </c>
      <c r="IC25" s="1733" t="s">
        <v>9673</v>
      </c>
      <c r="ID25" s="1731" t="s">
        <v>9673</v>
      </c>
      <c r="IE25" s="1734" t="s">
        <v>9673</v>
      </c>
      <c r="IF25" s="1732" t="s">
        <v>9673</v>
      </c>
      <c r="IG25" s="1729" t="s">
        <v>9673</v>
      </c>
      <c r="IH25" s="1734" t="s">
        <v>9673</v>
      </c>
      <c r="II25" s="1734" t="s">
        <v>9673</v>
      </c>
      <c r="IJ25" s="1732" t="s">
        <v>9673</v>
      </c>
      <c r="IK25" s="1731" t="s">
        <v>9673</v>
      </c>
      <c r="IL25" s="1730" t="s">
        <v>9673</v>
      </c>
      <c r="IM25" s="1728" t="s">
        <v>9673</v>
      </c>
      <c r="IN25" s="1735" t="s">
        <v>9673</v>
      </c>
      <c r="IO25" s="1728" t="s">
        <v>9673</v>
      </c>
      <c r="IP25" s="139" t="s">
        <v>9673</v>
      </c>
      <c r="IQ25" s="1729" t="s">
        <v>9673</v>
      </c>
      <c r="IR25" s="1728" t="s">
        <v>9673</v>
      </c>
      <c r="IS25" s="1728" t="s">
        <v>9673</v>
      </c>
      <c r="IT25" s="1728" t="s">
        <v>9673</v>
      </c>
      <c r="IU25" s="1728" t="s">
        <v>9673</v>
      </c>
      <c r="IV25" s="1729" t="s">
        <v>9673</v>
      </c>
      <c r="IW25" s="1729" t="s">
        <v>9673</v>
      </c>
      <c r="IX25" s="1729" t="s">
        <v>9673</v>
      </c>
      <c r="IY25" s="1730" t="s">
        <v>9673</v>
      </c>
      <c r="IZ25" s="1730" t="s">
        <v>9673</v>
      </c>
      <c r="JA25" s="1730" t="s">
        <v>9673</v>
      </c>
      <c r="JB25" s="1735" t="s">
        <v>9673</v>
      </c>
      <c r="JC25" s="1735" t="s">
        <v>9673</v>
      </c>
      <c r="JD25" s="1731" t="s">
        <v>9673</v>
      </c>
      <c r="JE25" s="139" t="s">
        <v>9673</v>
      </c>
      <c r="JF25" s="1729" t="s">
        <v>9673</v>
      </c>
      <c r="JG25" s="139" t="s">
        <v>9673</v>
      </c>
      <c r="JH25" s="1732" t="s">
        <v>9673</v>
      </c>
      <c r="JI25" s="1733" t="s">
        <v>9673</v>
      </c>
      <c r="JJ25" s="1728" t="s">
        <v>9673</v>
      </c>
      <c r="JK25" s="1728" t="s">
        <v>9673</v>
      </c>
      <c r="JL25" s="1728" t="s">
        <v>9673</v>
      </c>
      <c r="JM25" s="1728" t="s">
        <v>9673</v>
      </c>
      <c r="JN25" s="1731" t="s">
        <v>9673</v>
      </c>
      <c r="JO25" s="1731" t="s">
        <v>9673</v>
      </c>
      <c r="JP25" s="1731" t="s">
        <v>9673</v>
      </c>
      <c r="JQ25" s="1730" t="s">
        <v>9673</v>
      </c>
      <c r="JR25" s="1730" t="s">
        <v>9673</v>
      </c>
      <c r="JS25" s="139" t="s">
        <v>9673</v>
      </c>
      <c r="JT25" s="1732" t="s">
        <v>9673</v>
      </c>
      <c r="JU25" s="139" t="s">
        <v>9673</v>
      </c>
      <c r="JV25" s="139" t="s">
        <v>9673</v>
      </c>
      <c r="JW25" s="139" t="s">
        <v>9673</v>
      </c>
      <c r="JX25" s="1730" t="s">
        <v>9673</v>
      </c>
      <c r="JY25" s="1730" t="s">
        <v>9673</v>
      </c>
      <c r="JZ25" s="1731" t="s">
        <v>9673</v>
      </c>
      <c r="KA25" s="1728" t="s">
        <v>9673</v>
      </c>
      <c r="KB25" s="1731" t="s">
        <v>9673</v>
      </c>
      <c r="KC25" s="139" t="s">
        <v>9673</v>
      </c>
      <c r="KD25" s="1731" t="s">
        <v>9673</v>
      </c>
      <c r="KE25" s="1735" t="s">
        <v>9673</v>
      </c>
      <c r="KF25" s="1732" t="s">
        <v>9673</v>
      </c>
      <c r="KG25" s="1731" t="s">
        <v>9673</v>
      </c>
      <c r="KH25" s="1734" t="s">
        <v>9673</v>
      </c>
      <c r="KI25" s="1730" t="s">
        <v>9673</v>
      </c>
      <c r="KJ25" s="1730" t="s">
        <v>9673</v>
      </c>
      <c r="KK25" s="1732" t="s">
        <v>9673</v>
      </c>
      <c r="KL25" s="1731" t="s">
        <v>9673</v>
      </c>
      <c r="KM25" s="1730" t="s">
        <v>9673</v>
      </c>
      <c r="KN25" s="1735" t="s">
        <v>9673</v>
      </c>
      <c r="KO25" s="1734" t="s">
        <v>9673</v>
      </c>
      <c r="KP25" s="1733" t="s">
        <v>9673</v>
      </c>
      <c r="KQ25" s="1733" t="s">
        <v>9673</v>
      </c>
      <c r="KR25" s="1736" t="s">
        <v>9673</v>
      </c>
      <c r="KS25" s="1735" t="s">
        <v>9673</v>
      </c>
      <c r="KT25" s="1735" t="s">
        <v>9673</v>
      </c>
      <c r="KU25" s="1735" t="s">
        <v>9673</v>
      </c>
      <c r="KV25" s="1730" t="s">
        <v>9673</v>
      </c>
      <c r="KW25" s="1729" t="s">
        <v>9673</v>
      </c>
      <c r="KX25" s="1728" t="s">
        <v>9673</v>
      </c>
      <c r="KY25" s="1732" t="s">
        <v>9673</v>
      </c>
      <c r="KZ25" s="1732" t="s">
        <v>9673</v>
      </c>
      <c r="LA25" s="1732" t="s">
        <v>9673</v>
      </c>
      <c r="LB25" s="1735" t="s">
        <v>9673</v>
      </c>
      <c r="LC25" s="1733" t="s">
        <v>9673</v>
      </c>
      <c r="LD25" s="1728" t="s">
        <v>9673</v>
      </c>
      <c r="LE25" s="1728" t="s">
        <v>9673</v>
      </c>
      <c r="LF25" s="1733" t="s">
        <v>9673</v>
      </c>
      <c r="LG25" s="1729" t="s">
        <v>9673</v>
      </c>
      <c r="LH25" s="1730" t="s">
        <v>9673</v>
      </c>
      <c r="LI25" s="1730" t="s">
        <v>9673</v>
      </c>
      <c r="LJ25" s="1730" t="s">
        <v>9673</v>
      </c>
      <c r="LK25" s="1732" t="s">
        <v>9673</v>
      </c>
      <c r="LL25" s="1729" t="s">
        <v>9673</v>
      </c>
      <c r="LM25" s="1731" t="s">
        <v>9673</v>
      </c>
      <c r="LN25" s="1736" t="s">
        <v>9673</v>
      </c>
      <c r="LO25" s="1733" t="s">
        <v>9673</v>
      </c>
      <c r="LP25" s="1731" t="s">
        <v>9673</v>
      </c>
      <c r="LQ25" s="1731" t="s">
        <v>9673</v>
      </c>
      <c r="LR25" s="1728" t="s">
        <v>9673</v>
      </c>
      <c r="LS25" s="1728" t="s">
        <v>9673</v>
      </c>
      <c r="LT25" s="1728" t="s">
        <v>9673</v>
      </c>
      <c r="LU25" s="1728" t="s">
        <v>9673</v>
      </c>
      <c r="LV25" s="1730" t="s">
        <v>9673</v>
      </c>
      <c r="LW25" s="1730" t="s">
        <v>9673</v>
      </c>
      <c r="LX25" s="139" t="s">
        <v>9673</v>
      </c>
      <c r="LY25" s="1736" t="s">
        <v>9673</v>
      </c>
      <c r="LZ25" s="1732" t="s">
        <v>9673</v>
      </c>
      <c r="MA25" s="1729" t="s">
        <v>9673</v>
      </c>
      <c r="MB25" s="1735" t="s">
        <v>9673</v>
      </c>
      <c r="MC25" s="1730" t="s">
        <v>9673</v>
      </c>
      <c r="MD25" s="1729" t="s">
        <v>9673</v>
      </c>
      <c r="ME25" s="1729" t="s">
        <v>9673</v>
      </c>
      <c r="MF25" s="1731" t="s">
        <v>9673</v>
      </c>
      <c r="MG25" s="1736" t="s">
        <v>9673</v>
      </c>
      <c r="MH25" s="1733" t="s">
        <v>9673</v>
      </c>
      <c r="MI25" s="1728" t="s">
        <v>9673</v>
      </c>
      <c r="MJ25" s="1735" t="s">
        <v>9673</v>
      </c>
      <c r="MK25" s="1735" t="s">
        <v>9673</v>
      </c>
      <c r="ML25" s="1731" t="s">
        <v>9673</v>
      </c>
      <c r="MM25" s="1734" t="s">
        <v>9673</v>
      </c>
      <c r="MN25" s="139" t="s">
        <v>9673</v>
      </c>
      <c r="MO25" s="1728" t="s">
        <v>9673</v>
      </c>
      <c r="MP25" s="1736" t="s">
        <v>9673</v>
      </c>
      <c r="MQ25" s="1736" t="s">
        <v>9673</v>
      </c>
      <c r="MR25" s="1736" t="s">
        <v>9673</v>
      </c>
      <c r="MS25" s="1736" t="s">
        <v>9673</v>
      </c>
      <c r="MT25" s="1728" t="s">
        <v>9673</v>
      </c>
      <c r="MU25" s="1730" t="s">
        <v>9673</v>
      </c>
      <c r="MV25" s="139" t="s">
        <v>9673</v>
      </c>
      <c r="MW25" s="1730" t="s">
        <v>9673</v>
      </c>
      <c r="MX25" s="1735" t="s">
        <v>9673</v>
      </c>
      <c r="MY25" s="1735" t="s">
        <v>9673</v>
      </c>
      <c r="MZ25" s="1730" t="s">
        <v>9673</v>
      </c>
      <c r="NA25" s="1730" t="s">
        <v>9673</v>
      </c>
      <c r="NB25" s="1730" t="s">
        <v>9673</v>
      </c>
      <c r="NC25" s="1730" t="s">
        <v>9673</v>
      </c>
      <c r="ND25" s="1730" t="s">
        <v>9673</v>
      </c>
      <c r="NE25" s="1734" t="s">
        <v>9673</v>
      </c>
      <c r="NF25" s="1735" t="s">
        <v>9673</v>
      </c>
      <c r="NG25" s="1734" t="s">
        <v>9673</v>
      </c>
      <c r="NH25" s="1730" t="s">
        <v>9673</v>
      </c>
      <c r="NI25" s="139" t="s">
        <v>9673</v>
      </c>
      <c r="NJ25" s="1730" t="s">
        <v>9673</v>
      </c>
      <c r="NK25" s="1730" t="s">
        <v>9673</v>
      </c>
      <c r="NL25" s="1730" t="s">
        <v>9673</v>
      </c>
      <c r="NM25" s="1730" t="s">
        <v>9673</v>
      </c>
      <c r="NN25" s="1731" t="s">
        <v>9673</v>
      </c>
      <c r="NO25" s="1730" t="s">
        <v>9673</v>
      </c>
      <c r="NP25" s="1735" t="s">
        <v>9673</v>
      </c>
      <c r="NQ25" s="1729" t="s">
        <v>9673</v>
      </c>
      <c r="NR25" s="1730" t="s">
        <v>9673</v>
      </c>
      <c r="NS25" s="1730" t="s">
        <v>9673</v>
      </c>
      <c r="NT25" s="1729" t="s">
        <v>9673</v>
      </c>
      <c r="NU25" s="1728" t="s">
        <v>9673</v>
      </c>
      <c r="NV25" s="1732" t="s">
        <v>9673</v>
      </c>
      <c r="NW25" s="1729" t="s">
        <v>9673</v>
      </c>
      <c r="NX25" s="1729" t="s">
        <v>9673</v>
      </c>
      <c r="NY25" s="1729" t="s">
        <v>9673</v>
      </c>
      <c r="NZ25" s="1729" t="s">
        <v>9673</v>
      </c>
      <c r="OA25" s="1728" t="s">
        <v>9673</v>
      </c>
      <c r="OB25" s="1728" t="s">
        <v>9673</v>
      </c>
      <c r="OC25" s="1728" t="s">
        <v>9673</v>
      </c>
      <c r="OD25" s="1731" t="s">
        <v>9673</v>
      </c>
      <c r="OE25" s="1731" t="s">
        <v>9673</v>
      </c>
      <c r="OF25" s="1731" t="s">
        <v>9673</v>
      </c>
      <c r="OG25" s="1730" t="s">
        <v>9673</v>
      </c>
      <c r="OH25" s="1730" t="s">
        <v>9673</v>
      </c>
      <c r="OI25" s="1730" t="s">
        <v>9673</v>
      </c>
      <c r="OJ25" s="1731" t="s">
        <v>9673</v>
      </c>
      <c r="OK25" s="1731" t="s">
        <v>9673</v>
      </c>
      <c r="OL25" s="1731" t="s">
        <v>9673</v>
      </c>
      <c r="OM25" s="1731" t="s">
        <v>9673</v>
      </c>
      <c r="ON25" s="1731" t="s">
        <v>9673</v>
      </c>
      <c r="OO25" s="1729" t="s">
        <v>9673</v>
      </c>
      <c r="OP25" s="1729" t="s">
        <v>9673</v>
      </c>
      <c r="OQ25" s="1730" t="s">
        <v>9673</v>
      </c>
      <c r="OR25" s="1730" t="s">
        <v>9673</v>
      </c>
      <c r="OS25" s="1730" t="s">
        <v>9673</v>
      </c>
      <c r="OT25" s="1728" t="s">
        <v>9673</v>
      </c>
      <c r="OU25" s="1728" t="s">
        <v>9673</v>
      </c>
      <c r="OV25" s="1730" t="s">
        <v>9673</v>
      </c>
      <c r="OW25" s="1730" t="s">
        <v>9673</v>
      </c>
      <c r="OX25" s="1735" t="s">
        <v>9673</v>
      </c>
      <c r="OY25" s="1735" t="s">
        <v>9673</v>
      </c>
      <c r="OZ25" s="1728" t="s">
        <v>9673</v>
      </c>
      <c r="PA25" s="1728" t="s">
        <v>9673</v>
      </c>
      <c r="PB25" s="1732" t="s">
        <v>9673</v>
      </c>
      <c r="PC25" s="1734" t="s">
        <v>9673</v>
      </c>
      <c r="PD25" s="1732" t="s">
        <v>9673</v>
      </c>
      <c r="PE25" s="1732" t="s">
        <v>9673</v>
      </c>
      <c r="PF25" s="1732" t="s">
        <v>9673</v>
      </c>
      <c r="PG25" s="139" t="s">
        <v>9673</v>
      </c>
      <c r="PH25" s="1731" t="s">
        <v>9673</v>
      </c>
      <c r="PI25" s="1731" t="s">
        <v>9673</v>
      </c>
      <c r="PJ25" s="1734" t="s">
        <v>9673</v>
      </c>
      <c r="PK25" s="1734" t="s">
        <v>9673</v>
      </c>
      <c r="PL25" s="1733" t="s">
        <v>9673</v>
      </c>
      <c r="PM25" s="1733" t="s">
        <v>9673</v>
      </c>
      <c r="PN25" s="1733" t="s">
        <v>9673</v>
      </c>
      <c r="PO25" s="1733" t="s">
        <v>9673</v>
      </c>
      <c r="PP25" s="1733" t="s">
        <v>9673</v>
      </c>
      <c r="PQ25" s="1731" t="s">
        <v>9673</v>
      </c>
      <c r="PR25" s="1731" t="s">
        <v>9673</v>
      </c>
      <c r="PS25" s="1733" t="s">
        <v>9673</v>
      </c>
      <c r="PT25" s="1736" t="s">
        <v>9673</v>
      </c>
      <c r="PU25" s="1735" t="s">
        <v>9673</v>
      </c>
      <c r="PV25" s="1735" t="s">
        <v>9673</v>
      </c>
      <c r="PW25" s="1732" t="s">
        <v>9673</v>
      </c>
      <c r="PX25" s="1733" t="s">
        <v>9673</v>
      </c>
      <c r="PY25" s="1733" t="s">
        <v>9673</v>
      </c>
      <c r="PZ25" s="1728" t="s">
        <v>9673</v>
      </c>
      <c r="QA25" s="1728" t="s">
        <v>9673</v>
      </c>
      <c r="QB25" s="1731" t="s">
        <v>9673</v>
      </c>
      <c r="QC25" s="1734" t="s">
        <v>9673</v>
      </c>
      <c r="QD25" s="1734" t="s">
        <v>9673</v>
      </c>
      <c r="QE25" s="1736" t="s">
        <v>9673</v>
      </c>
      <c r="QF25" s="1733" t="s">
        <v>9673</v>
      </c>
      <c r="QG25" s="1730" t="s">
        <v>9673</v>
      </c>
      <c r="QH25" s="1730" t="s">
        <v>9673</v>
      </c>
      <c r="QI25" s="1730" t="s">
        <v>9673</v>
      </c>
      <c r="QJ25" s="1736" t="s">
        <v>9673</v>
      </c>
      <c r="QK25" s="1730" t="s">
        <v>9673</v>
      </c>
      <c r="QL25" s="1730" t="s">
        <v>9673</v>
      </c>
      <c r="QM25" s="1731" t="s">
        <v>9673</v>
      </c>
      <c r="QN25" s="1731" t="s">
        <v>9673</v>
      </c>
      <c r="QO25" s="1733" t="s">
        <v>9673</v>
      </c>
      <c r="QP25" s="1733" t="s">
        <v>9673</v>
      </c>
      <c r="QQ25" s="1730" t="s">
        <v>9673</v>
      </c>
      <c r="QR25" s="1730" t="s">
        <v>9673</v>
      </c>
      <c r="QS25" s="1728" t="s">
        <v>9673</v>
      </c>
      <c r="QT25" s="1730" t="s">
        <v>9673</v>
      </c>
      <c r="QU25" s="1730" t="s">
        <v>9673</v>
      </c>
      <c r="QV25" s="1730" t="s">
        <v>9673</v>
      </c>
      <c r="QW25" s="139" t="s">
        <v>9673</v>
      </c>
      <c r="QX25" s="139" t="s">
        <v>9673</v>
      </c>
      <c r="QY25" s="1736" t="s">
        <v>9673</v>
      </c>
      <c r="QZ25" s="1735" t="s">
        <v>9673</v>
      </c>
      <c r="RA25" s="1734" t="s">
        <v>9673</v>
      </c>
      <c r="RB25" s="1735" t="s">
        <v>9673</v>
      </c>
      <c r="RC25" s="1730" t="s">
        <v>9673</v>
      </c>
      <c r="RD25" s="1732" t="s">
        <v>9673</v>
      </c>
      <c r="RE25" s="1729" t="s">
        <v>9673</v>
      </c>
      <c r="RF25" s="139" t="s">
        <v>9673</v>
      </c>
      <c r="RG25" s="1728" t="s">
        <v>9673</v>
      </c>
      <c r="RH25" s="1728" t="s">
        <v>9673</v>
      </c>
      <c r="RI25" s="1730" t="s">
        <v>9673</v>
      </c>
      <c r="RJ25" s="1733" t="s">
        <v>9673</v>
      </c>
      <c r="RK25" s="1731" t="s">
        <v>9673</v>
      </c>
      <c r="RL25" s="1729" t="s">
        <v>9673</v>
      </c>
      <c r="RM25" s="139" t="s">
        <v>9673</v>
      </c>
      <c r="RN25" s="1735" t="s">
        <v>9673</v>
      </c>
      <c r="RO25" s="1736" t="s">
        <v>9673</v>
      </c>
      <c r="RP25" s="139" t="s">
        <v>9673</v>
      </c>
      <c r="RQ25" s="1729" t="s">
        <v>9673</v>
      </c>
      <c r="RR25" s="1729" t="s">
        <v>9673</v>
      </c>
      <c r="RS25" s="1729" t="s">
        <v>9673</v>
      </c>
      <c r="RT25" s="1729" t="s">
        <v>9673</v>
      </c>
      <c r="RU25" s="1729" t="s">
        <v>9673</v>
      </c>
      <c r="RV25" s="1729" t="s">
        <v>9673</v>
      </c>
      <c r="RW25" s="1732" t="s">
        <v>9673</v>
      </c>
      <c r="RX25" s="1734" t="s">
        <v>9673</v>
      </c>
      <c r="RY25" s="1730" t="s">
        <v>9673</v>
      </c>
      <c r="RZ25" s="139" t="s">
        <v>9673</v>
      </c>
      <c r="SA25" s="1733" t="s">
        <v>9673</v>
      </c>
      <c r="SB25" s="1731" t="s">
        <v>9673</v>
      </c>
      <c r="SC25" s="139" t="s">
        <v>9673</v>
      </c>
      <c r="SD25" s="1736" t="s">
        <v>9673</v>
      </c>
      <c r="SE25" s="1736" t="s">
        <v>9673</v>
      </c>
      <c r="SF25" s="1732" t="s">
        <v>9673</v>
      </c>
      <c r="SG25" s="1730" t="s">
        <v>9673</v>
      </c>
      <c r="SH25" s="1730" t="s">
        <v>9673</v>
      </c>
      <c r="SI25" s="1736" t="s">
        <v>9673</v>
      </c>
      <c r="SJ25" s="1728" t="s">
        <v>9673</v>
      </c>
      <c r="SK25" s="1728" t="s">
        <v>9673</v>
      </c>
      <c r="SL25" s="1735" t="s">
        <v>9673</v>
      </c>
    </row>
    <row r="26" ht="15.75" customHeight="1">
      <c r="A26" s="1517"/>
      <c r="B26" s="253" t="s">
        <v>9674</v>
      </c>
      <c r="C26" s="253" t="s">
        <v>9674</v>
      </c>
      <c r="D26" s="253" t="s">
        <v>9675</v>
      </c>
      <c r="E26" s="253" t="s">
        <v>9676</v>
      </c>
      <c r="F26" s="253" t="s">
        <v>9676</v>
      </c>
      <c r="G26" s="253" t="s">
        <v>9676</v>
      </c>
      <c r="H26" s="253" t="s">
        <v>9676</v>
      </c>
      <c r="I26" s="253" t="s">
        <v>9676</v>
      </c>
      <c r="J26" s="253" t="s">
        <v>9676</v>
      </c>
      <c r="K26" s="253" t="s">
        <v>914</v>
      </c>
      <c r="L26" s="253" t="s">
        <v>914</v>
      </c>
      <c r="M26" s="253" t="s">
        <v>9674</v>
      </c>
      <c r="N26" s="253" t="s">
        <v>914</v>
      </c>
      <c r="O26" s="253" t="s">
        <v>914</v>
      </c>
      <c r="P26" s="253" t="s">
        <v>9674</v>
      </c>
      <c r="Q26" s="253" t="s">
        <v>9674</v>
      </c>
      <c r="R26" s="253" t="s">
        <v>9674</v>
      </c>
      <c r="S26" s="253" t="s">
        <v>9674</v>
      </c>
      <c r="T26" s="253" t="s">
        <v>9674</v>
      </c>
      <c r="U26" s="253" t="s">
        <v>9675</v>
      </c>
      <c r="V26" s="253" t="s">
        <v>9674</v>
      </c>
      <c r="W26" s="253" t="s">
        <v>9674</v>
      </c>
      <c r="X26" s="253" t="s">
        <v>9674</v>
      </c>
      <c r="Y26" s="253" t="s">
        <v>9674</v>
      </c>
      <c r="Z26" s="253" t="s">
        <v>9676</v>
      </c>
      <c r="AA26" s="253" t="s">
        <v>9676</v>
      </c>
      <c r="AB26" s="253" t="s">
        <v>9676</v>
      </c>
      <c r="AC26" s="253" t="s">
        <v>9676</v>
      </c>
      <c r="AD26" s="253" t="s">
        <v>9677</v>
      </c>
      <c r="AE26" s="253" t="s">
        <v>9677</v>
      </c>
      <c r="AF26" s="253" t="s">
        <v>9676</v>
      </c>
      <c r="AG26" s="253" t="s">
        <v>9677</v>
      </c>
      <c r="AH26" s="253" t="s">
        <v>9677</v>
      </c>
      <c r="AI26" s="253" t="s">
        <v>9676</v>
      </c>
      <c r="AJ26" s="253" t="s">
        <v>9676</v>
      </c>
      <c r="AK26" s="253" t="s">
        <v>9676</v>
      </c>
      <c r="AL26" s="253" t="s">
        <v>9675</v>
      </c>
      <c r="AM26" s="253" t="s">
        <v>9678</v>
      </c>
      <c r="AN26" s="253" t="s">
        <v>9676</v>
      </c>
      <c r="AO26" s="253" t="s">
        <v>9676</v>
      </c>
      <c r="AP26" s="253" t="s">
        <v>9674</v>
      </c>
      <c r="AQ26" s="253" t="s">
        <v>9674</v>
      </c>
      <c r="AR26" s="253" t="s">
        <v>9674</v>
      </c>
      <c r="AS26" s="253" t="s">
        <v>9674</v>
      </c>
      <c r="AT26" s="253" t="s">
        <v>9674</v>
      </c>
      <c r="AU26" s="253" t="s">
        <v>9674</v>
      </c>
      <c r="AV26" s="253" t="s">
        <v>9674</v>
      </c>
      <c r="AW26" s="253" t="s">
        <v>9674</v>
      </c>
      <c r="AX26" s="253" t="s">
        <v>9674</v>
      </c>
      <c r="AY26" s="253" t="s">
        <v>9674</v>
      </c>
      <c r="AZ26" s="253" t="s">
        <v>9674</v>
      </c>
      <c r="BA26" s="253" t="s">
        <v>9677</v>
      </c>
      <c r="BB26" s="253" t="s">
        <v>9677</v>
      </c>
      <c r="BC26" s="253" t="s">
        <v>9676</v>
      </c>
      <c r="BD26" s="253" t="s">
        <v>9676</v>
      </c>
      <c r="BE26" s="253" t="s">
        <v>9676</v>
      </c>
      <c r="BF26" s="253" t="s">
        <v>9676</v>
      </c>
      <c r="BG26" s="253" t="s">
        <v>9675</v>
      </c>
      <c r="BH26" s="253" t="s">
        <v>9675</v>
      </c>
      <c r="BI26" s="253" t="s">
        <v>9677</v>
      </c>
      <c r="BJ26" s="253" t="s">
        <v>9676</v>
      </c>
      <c r="BK26" s="253" t="s">
        <v>9676</v>
      </c>
      <c r="BL26" s="253" t="s">
        <v>9676</v>
      </c>
      <c r="BM26" s="253" t="s">
        <v>9676</v>
      </c>
      <c r="BN26" s="253" t="s">
        <v>9676</v>
      </c>
      <c r="BO26" s="253" t="s">
        <v>9676</v>
      </c>
      <c r="BP26" s="253" t="s">
        <v>9676</v>
      </c>
      <c r="BQ26" s="253" t="s">
        <v>9676</v>
      </c>
      <c r="BR26" s="253" t="s">
        <v>9674</v>
      </c>
      <c r="BS26" s="253" t="s">
        <v>9674</v>
      </c>
      <c r="BT26" s="253" t="s">
        <v>9674</v>
      </c>
      <c r="BU26" s="253" t="s">
        <v>9677</v>
      </c>
      <c r="BV26" s="253" t="s">
        <v>9677</v>
      </c>
      <c r="BW26" s="253" t="s">
        <v>9676</v>
      </c>
      <c r="BX26" s="253" t="s">
        <v>9676</v>
      </c>
      <c r="BY26" s="253" t="s">
        <v>9676</v>
      </c>
      <c r="BZ26" s="253" t="s">
        <v>9674</v>
      </c>
      <c r="CA26" s="253" t="s">
        <v>9674</v>
      </c>
      <c r="CB26" s="253" t="s">
        <v>9677</v>
      </c>
      <c r="CC26" s="253" t="s">
        <v>9676</v>
      </c>
      <c r="CD26" s="253" t="s">
        <v>9674</v>
      </c>
      <c r="CE26" s="253" t="s">
        <v>9674</v>
      </c>
      <c r="CF26" s="253" t="s">
        <v>9674</v>
      </c>
      <c r="CG26" s="253" t="s">
        <v>9674</v>
      </c>
      <c r="CH26" s="253" t="s">
        <v>9674</v>
      </c>
      <c r="CI26" s="253" t="s">
        <v>9677</v>
      </c>
      <c r="CJ26" s="253" t="s">
        <v>9677</v>
      </c>
      <c r="CK26" s="253" t="s">
        <v>9674</v>
      </c>
      <c r="CL26" s="253" t="s">
        <v>9676</v>
      </c>
      <c r="CM26" s="253" t="s">
        <v>9677</v>
      </c>
      <c r="CN26" s="253" t="s">
        <v>9677</v>
      </c>
      <c r="CO26" s="253" t="s">
        <v>9674</v>
      </c>
      <c r="CP26" s="253" t="s">
        <v>9674</v>
      </c>
      <c r="CQ26" s="253" t="s">
        <v>9676</v>
      </c>
      <c r="CR26" s="253" t="s">
        <v>9675</v>
      </c>
      <c r="CS26" s="253" t="s">
        <v>9676</v>
      </c>
      <c r="CT26" s="253" t="s">
        <v>9676</v>
      </c>
      <c r="CU26" s="253" t="s">
        <v>9677</v>
      </c>
      <c r="CV26" s="253" t="s">
        <v>9677</v>
      </c>
      <c r="CW26" s="253" t="s">
        <v>9674</v>
      </c>
      <c r="CX26" s="253" t="s">
        <v>9674</v>
      </c>
      <c r="CY26" s="253" t="s">
        <v>9674</v>
      </c>
      <c r="CZ26" s="253" t="s">
        <v>9674</v>
      </c>
      <c r="DA26" s="253" t="s">
        <v>9676</v>
      </c>
      <c r="DB26" s="253" t="s">
        <v>9676</v>
      </c>
      <c r="DC26" s="253" t="s">
        <v>9676</v>
      </c>
      <c r="DD26" s="253" t="s">
        <v>9676</v>
      </c>
      <c r="DE26" s="253" t="s">
        <v>9676</v>
      </c>
      <c r="DF26" s="253" t="s">
        <v>9674</v>
      </c>
      <c r="DG26" s="253" t="s">
        <v>9674</v>
      </c>
      <c r="DH26" s="253" t="s">
        <v>9675</v>
      </c>
      <c r="DI26" s="253" t="s">
        <v>9676</v>
      </c>
      <c r="DJ26" s="253" t="s">
        <v>9676</v>
      </c>
      <c r="DK26" s="253" t="s">
        <v>9674</v>
      </c>
      <c r="DL26" s="253" t="s">
        <v>9676</v>
      </c>
      <c r="DM26" s="253" t="s">
        <v>9677</v>
      </c>
      <c r="DN26" s="253" t="s">
        <v>9677</v>
      </c>
      <c r="DO26" s="253" t="s">
        <v>9677</v>
      </c>
      <c r="DP26" s="253" t="s">
        <v>9677</v>
      </c>
      <c r="DQ26" s="253" t="s">
        <v>9677</v>
      </c>
      <c r="DR26" s="253" t="s">
        <v>9677</v>
      </c>
      <c r="DS26" s="253" t="s">
        <v>9676</v>
      </c>
      <c r="DT26" s="253" t="s">
        <v>9674</v>
      </c>
      <c r="DU26" s="253" t="s">
        <v>9676</v>
      </c>
      <c r="DV26" s="253" t="s">
        <v>9676</v>
      </c>
      <c r="DW26" s="253" t="s">
        <v>9676</v>
      </c>
      <c r="DX26" s="253" t="s">
        <v>9676</v>
      </c>
      <c r="DY26" s="253" t="s">
        <v>9677</v>
      </c>
      <c r="DZ26" s="253" t="s">
        <v>914</v>
      </c>
      <c r="EA26" s="253" t="s">
        <v>9677</v>
      </c>
      <c r="EB26" s="253" t="s">
        <v>9677</v>
      </c>
      <c r="EC26" s="253" t="s">
        <v>914</v>
      </c>
      <c r="ED26" s="253" t="s">
        <v>9674</v>
      </c>
      <c r="EE26" s="253" t="s">
        <v>9677</v>
      </c>
      <c r="EF26" s="253" t="s">
        <v>9675</v>
      </c>
      <c r="EG26" s="253" t="s">
        <v>9675</v>
      </c>
      <c r="EH26" s="253" t="s">
        <v>9674</v>
      </c>
      <c r="EI26" s="253" t="s">
        <v>9677</v>
      </c>
      <c r="EJ26" s="253" t="s">
        <v>9677</v>
      </c>
      <c r="EK26" s="253" t="s">
        <v>9677</v>
      </c>
      <c r="EL26" s="253" t="s">
        <v>9677</v>
      </c>
      <c r="EM26" s="253" t="s">
        <v>9679</v>
      </c>
      <c r="EN26" s="253" t="s">
        <v>9676</v>
      </c>
      <c r="EO26" s="253" t="s">
        <v>9677</v>
      </c>
      <c r="EP26" s="253" t="s">
        <v>9675</v>
      </c>
      <c r="EQ26" s="253" t="s">
        <v>9675</v>
      </c>
      <c r="ER26" s="253" t="s">
        <v>9677</v>
      </c>
      <c r="ES26" s="253" t="s">
        <v>9677</v>
      </c>
      <c r="ET26" s="253" t="s">
        <v>9676</v>
      </c>
      <c r="EU26" s="253" t="s">
        <v>9676</v>
      </c>
      <c r="EV26" s="253" t="s">
        <v>9680</v>
      </c>
      <c r="EW26" s="253" t="s">
        <v>9674</v>
      </c>
      <c r="EX26" s="253" t="s">
        <v>9674</v>
      </c>
      <c r="EY26" s="253" t="s">
        <v>9674</v>
      </c>
      <c r="EZ26" s="253" t="s">
        <v>9674</v>
      </c>
      <c r="FA26" s="253" t="s">
        <v>9676</v>
      </c>
      <c r="FB26" s="253" t="s">
        <v>9676</v>
      </c>
      <c r="FC26" s="253" t="s">
        <v>9676</v>
      </c>
      <c r="FD26" s="253" t="s">
        <v>9676</v>
      </c>
      <c r="FE26" s="253" t="s">
        <v>9676</v>
      </c>
      <c r="FF26" s="253" t="s">
        <v>9676</v>
      </c>
      <c r="FG26" s="253" t="s">
        <v>9676</v>
      </c>
      <c r="FH26" s="253" t="s">
        <v>9674</v>
      </c>
      <c r="FI26" s="253" t="s">
        <v>9674</v>
      </c>
      <c r="FJ26" s="253" t="s">
        <v>9676</v>
      </c>
      <c r="FK26" s="253" t="s">
        <v>9676</v>
      </c>
      <c r="FL26" s="253" t="s">
        <v>9674</v>
      </c>
      <c r="FM26" s="253" t="s">
        <v>9674</v>
      </c>
      <c r="FN26" s="253" t="s">
        <v>9674</v>
      </c>
      <c r="FO26" s="253" t="s">
        <v>9677</v>
      </c>
      <c r="FP26" s="253" t="s">
        <v>9677</v>
      </c>
      <c r="FQ26" s="253" t="s">
        <v>9674</v>
      </c>
      <c r="FR26" s="253" t="s">
        <v>9677</v>
      </c>
      <c r="FS26" s="253" t="s">
        <v>9677</v>
      </c>
      <c r="FT26" s="253" t="s">
        <v>9677</v>
      </c>
      <c r="FU26" s="253" t="s">
        <v>9676</v>
      </c>
      <c r="FV26" s="253" t="s">
        <v>9678</v>
      </c>
      <c r="FW26" s="253" t="s">
        <v>9678</v>
      </c>
      <c r="FX26" s="253" t="s">
        <v>9674</v>
      </c>
      <c r="FY26" s="253" t="s">
        <v>9676</v>
      </c>
      <c r="FZ26" s="253" t="s">
        <v>9676</v>
      </c>
      <c r="GA26" s="253" t="s">
        <v>9674</v>
      </c>
      <c r="GB26" s="253" t="s">
        <v>9676</v>
      </c>
      <c r="GC26" s="253" t="s">
        <v>9676</v>
      </c>
      <c r="GD26" s="253" t="s">
        <v>9676</v>
      </c>
      <c r="GE26" s="253" t="s">
        <v>9676</v>
      </c>
      <c r="GF26" s="253" t="s">
        <v>9674</v>
      </c>
      <c r="GG26" s="253" t="s">
        <v>9674</v>
      </c>
      <c r="GH26" s="253" t="s">
        <v>9674</v>
      </c>
      <c r="GI26" s="253" t="s">
        <v>9676</v>
      </c>
      <c r="GJ26" s="253" t="s">
        <v>9674</v>
      </c>
      <c r="GK26" s="253" t="s">
        <v>9674</v>
      </c>
      <c r="GL26" s="253" t="s">
        <v>9674</v>
      </c>
      <c r="GM26" s="253" t="s">
        <v>9677</v>
      </c>
      <c r="GN26" s="253" t="s">
        <v>9676</v>
      </c>
      <c r="GO26" s="253" t="s">
        <v>9678</v>
      </c>
      <c r="GP26" s="253" t="s">
        <v>9674</v>
      </c>
      <c r="GQ26" s="253" t="s">
        <v>9678</v>
      </c>
      <c r="GR26" s="253" t="s">
        <v>9676</v>
      </c>
      <c r="GS26" s="253" t="s">
        <v>9678</v>
      </c>
      <c r="GT26" s="253" t="s">
        <v>914</v>
      </c>
      <c r="GU26" s="253" t="s">
        <v>914</v>
      </c>
      <c r="GV26" s="253" t="s">
        <v>9678</v>
      </c>
      <c r="GW26" s="253" t="s">
        <v>9674</v>
      </c>
      <c r="GX26" s="253" t="s">
        <v>9674</v>
      </c>
      <c r="GY26" s="253" t="s">
        <v>9677</v>
      </c>
      <c r="GZ26" s="253" t="s">
        <v>9674</v>
      </c>
      <c r="HA26" s="253" t="s">
        <v>9675</v>
      </c>
      <c r="HB26" s="253" t="s">
        <v>9676</v>
      </c>
      <c r="HC26" s="253" t="s">
        <v>9676</v>
      </c>
      <c r="HD26" s="253" t="s">
        <v>9677</v>
      </c>
      <c r="HE26" s="253" t="s">
        <v>9674</v>
      </c>
      <c r="HF26" s="253" t="s">
        <v>9674</v>
      </c>
      <c r="HG26" s="253" t="s">
        <v>9676</v>
      </c>
      <c r="HH26" s="253" t="s">
        <v>9676</v>
      </c>
      <c r="HI26" s="253" t="s">
        <v>9676</v>
      </c>
      <c r="HJ26" s="253" t="s">
        <v>9676</v>
      </c>
      <c r="HK26" s="253" t="s">
        <v>9674</v>
      </c>
      <c r="HL26" s="253" t="s">
        <v>9674</v>
      </c>
      <c r="HM26" s="253" t="s">
        <v>9675</v>
      </c>
      <c r="HN26" s="253" t="s">
        <v>9675</v>
      </c>
      <c r="HO26" s="253" t="s">
        <v>9677</v>
      </c>
      <c r="HP26" s="253" t="s">
        <v>9677</v>
      </c>
      <c r="HQ26" s="253" t="s">
        <v>9677</v>
      </c>
      <c r="HR26" s="253" t="s">
        <v>9676</v>
      </c>
      <c r="HS26" s="253" t="s">
        <v>9677</v>
      </c>
      <c r="HT26" s="253" t="s">
        <v>9675</v>
      </c>
      <c r="HU26" s="253" t="s">
        <v>9675</v>
      </c>
      <c r="HV26" s="253" t="s">
        <v>9675</v>
      </c>
      <c r="HW26" s="253" t="s">
        <v>9677</v>
      </c>
      <c r="HX26" s="253" t="s">
        <v>9675</v>
      </c>
      <c r="HY26" s="253" t="s">
        <v>9675</v>
      </c>
      <c r="HZ26" s="253" t="s">
        <v>9674</v>
      </c>
      <c r="IA26" s="253" t="s">
        <v>9678</v>
      </c>
      <c r="IB26" s="253" t="s">
        <v>914</v>
      </c>
      <c r="IC26" s="253" t="s">
        <v>9674</v>
      </c>
      <c r="ID26" s="253" t="s">
        <v>9674</v>
      </c>
      <c r="IE26" s="253" t="s">
        <v>9677</v>
      </c>
      <c r="IF26" s="253" t="s">
        <v>9676</v>
      </c>
      <c r="IG26" s="253" t="s">
        <v>9676</v>
      </c>
      <c r="IH26" s="253" t="s">
        <v>9676</v>
      </c>
      <c r="II26" s="253" t="s">
        <v>9676</v>
      </c>
      <c r="IJ26" s="253" t="s">
        <v>9678</v>
      </c>
      <c r="IK26" s="253" t="s">
        <v>9678</v>
      </c>
      <c r="IL26" s="253" t="s">
        <v>9677</v>
      </c>
      <c r="IM26" s="253" t="s">
        <v>9674</v>
      </c>
      <c r="IN26" s="253" t="s">
        <v>9674</v>
      </c>
      <c r="IO26" s="253" t="s">
        <v>9676</v>
      </c>
      <c r="IP26" s="253" t="s">
        <v>9677</v>
      </c>
      <c r="IQ26" s="253" t="s">
        <v>9678</v>
      </c>
      <c r="IR26" s="253" t="s">
        <v>9677</v>
      </c>
      <c r="IS26" s="253" t="s">
        <v>9676</v>
      </c>
      <c r="IT26" s="253" t="s">
        <v>9676</v>
      </c>
      <c r="IU26" s="253" t="s">
        <v>9676</v>
      </c>
      <c r="IV26" s="253" t="s">
        <v>9674</v>
      </c>
      <c r="IW26" s="253" t="s">
        <v>9676</v>
      </c>
      <c r="IX26" s="253" t="s">
        <v>9676</v>
      </c>
      <c r="IY26" s="253" t="s">
        <v>9677</v>
      </c>
      <c r="IZ26" s="253" t="s">
        <v>9677</v>
      </c>
      <c r="JA26" s="253" t="s">
        <v>9676</v>
      </c>
      <c r="JB26" s="253" t="s">
        <v>9675</v>
      </c>
      <c r="JC26" s="253" t="s">
        <v>9675</v>
      </c>
      <c r="JD26" s="253" t="s">
        <v>9677</v>
      </c>
      <c r="JE26" s="253" t="s">
        <v>9677</v>
      </c>
      <c r="JF26" s="253" t="s">
        <v>914</v>
      </c>
      <c r="JG26" s="253" t="s">
        <v>914</v>
      </c>
      <c r="JH26" s="253" t="s">
        <v>9674</v>
      </c>
      <c r="JI26" s="253" t="s">
        <v>914</v>
      </c>
      <c r="JJ26" s="253" t="s">
        <v>9674</v>
      </c>
      <c r="JK26" s="1737" t="s">
        <v>9677</v>
      </c>
      <c r="JL26" s="1737" t="s">
        <v>9677</v>
      </c>
      <c r="JM26" s="1737" t="s">
        <v>9676</v>
      </c>
      <c r="JN26" s="1737" t="s">
        <v>9674</v>
      </c>
      <c r="JO26" s="1737" t="s">
        <v>9674</v>
      </c>
      <c r="JP26" s="1737" t="s">
        <v>9674</v>
      </c>
      <c r="JQ26" s="1737" t="s">
        <v>9674</v>
      </c>
      <c r="JR26" s="1737" t="s">
        <v>9674</v>
      </c>
      <c r="JS26" s="253" t="s">
        <v>9677</v>
      </c>
      <c r="JT26" s="253" t="s">
        <v>9677</v>
      </c>
      <c r="JU26" s="253" t="s">
        <v>9678</v>
      </c>
      <c r="JV26" s="253" t="s">
        <v>9678</v>
      </c>
      <c r="JW26" s="253" t="s">
        <v>9678</v>
      </c>
      <c r="JX26" s="1737" t="s">
        <v>9677</v>
      </c>
      <c r="JY26" s="1737" t="s">
        <v>9677</v>
      </c>
      <c r="JZ26" s="1737" t="s">
        <v>9674</v>
      </c>
      <c r="KA26" s="1737" t="s">
        <v>9676</v>
      </c>
      <c r="KB26" s="1737" t="s">
        <v>9676</v>
      </c>
      <c r="KC26" s="253" t="s">
        <v>9676</v>
      </c>
      <c r="KD26" s="1737" t="s">
        <v>9676</v>
      </c>
      <c r="KE26" s="1737" t="s">
        <v>9674</v>
      </c>
      <c r="KF26" s="253" t="s">
        <v>9674</v>
      </c>
      <c r="KG26" s="1737" t="s">
        <v>9674</v>
      </c>
      <c r="KH26" s="1737" t="s">
        <v>9677</v>
      </c>
      <c r="KI26" s="1737" t="s">
        <v>9677</v>
      </c>
      <c r="KJ26" s="253" t="s">
        <v>9677</v>
      </c>
      <c r="KK26" s="1737" t="s">
        <v>9676</v>
      </c>
      <c r="KL26" s="1737" t="s">
        <v>9676</v>
      </c>
      <c r="KM26" s="1737" t="s">
        <v>9677</v>
      </c>
      <c r="KN26" s="1737" t="s">
        <v>9674</v>
      </c>
      <c r="KO26" s="253" t="s">
        <v>9677</v>
      </c>
      <c r="KP26" s="1737" t="s">
        <v>9677</v>
      </c>
      <c r="KQ26" s="253" t="s">
        <v>9676</v>
      </c>
      <c r="KR26" s="253" t="s">
        <v>9676</v>
      </c>
      <c r="KS26" s="1737" t="s">
        <v>9677</v>
      </c>
      <c r="KT26" s="1737" t="s">
        <v>9677</v>
      </c>
      <c r="KU26" s="253" t="s">
        <v>9676</v>
      </c>
      <c r="KV26" s="1737" t="s">
        <v>9676</v>
      </c>
      <c r="KW26" s="253" t="s">
        <v>9676</v>
      </c>
      <c r="KX26" s="1737" t="s">
        <v>9675</v>
      </c>
      <c r="KY26" s="1737" t="s">
        <v>9675</v>
      </c>
      <c r="KZ26" s="1737" t="s">
        <v>9674</v>
      </c>
      <c r="LA26" s="1737" t="s">
        <v>9674</v>
      </c>
      <c r="LB26" s="1737" t="s">
        <v>9676</v>
      </c>
      <c r="LC26" s="1737" t="s">
        <v>9676</v>
      </c>
      <c r="LD26" s="253" t="s">
        <v>9674</v>
      </c>
      <c r="LE26" s="1737" t="s">
        <v>9677</v>
      </c>
      <c r="LF26" s="1737" t="s">
        <v>9677</v>
      </c>
      <c r="LG26" s="1737" t="s">
        <v>9677</v>
      </c>
      <c r="LH26" s="253" t="s">
        <v>9677</v>
      </c>
      <c r="LI26" s="1737" t="s">
        <v>9677</v>
      </c>
      <c r="LJ26" s="1737" t="s">
        <v>9677</v>
      </c>
      <c r="LK26" s="1737" t="s">
        <v>9674</v>
      </c>
      <c r="LL26" s="1737" t="s">
        <v>9675</v>
      </c>
      <c r="LM26" s="1737" t="s">
        <v>9674</v>
      </c>
      <c r="LN26" s="1737" t="s">
        <v>9678</v>
      </c>
      <c r="LO26" s="1737" t="s">
        <v>9676</v>
      </c>
      <c r="LP26" s="253" t="s">
        <v>9676</v>
      </c>
      <c r="LQ26" s="1737" t="s">
        <v>9674</v>
      </c>
      <c r="LR26" s="1737" t="s">
        <v>9674</v>
      </c>
      <c r="LS26" s="253" t="s">
        <v>9679</v>
      </c>
      <c r="LT26" s="1737" t="s">
        <v>9676</v>
      </c>
      <c r="LU26" s="253" t="s">
        <v>9676</v>
      </c>
      <c r="LV26" s="1737" t="s">
        <v>9674</v>
      </c>
      <c r="LW26" s="253" t="s">
        <v>9679</v>
      </c>
      <c r="LX26" s="253" t="s">
        <v>9676</v>
      </c>
      <c r="LY26" s="1737" t="s">
        <v>9674</v>
      </c>
      <c r="LZ26" s="1737" t="s">
        <v>9678</v>
      </c>
      <c r="MA26" s="1737" t="s">
        <v>9678</v>
      </c>
      <c r="MB26" s="1737" t="s">
        <v>9677</v>
      </c>
      <c r="MC26" s="253" t="s">
        <v>9677</v>
      </c>
      <c r="MD26" s="1737" t="s">
        <v>9677</v>
      </c>
      <c r="ME26" s="1737" t="s">
        <v>9677</v>
      </c>
      <c r="MF26" s="1737" t="s">
        <v>9678</v>
      </c>
      <c r="MG26" s="253" t="s">
        <v>9678</v>
      </c>
      <c r="MH26" s="1737" t="s">
        <v>9674</v>
      </c>
      <c r="MI26" s="1737" t="s">
        <v>9674</v>
      </c>
      <c r="MJ26" s="1737" t="s">
        <v>9677</v>
      </c>
      <c r="MK26" s="1737" t="s">
        <v>9677</v>
      </c>
      <c r="ML26" s="1737" t="s">
        <v>9677</v>
      </c>
      <c r="MM26" s="253" t="s">
        <v>9677</v>
      </c>
      <c r="MN26" s="253" t="s">
        <v>9677</v>
      </c>
      <c r="MO26" s="253" t="s">
        <v>9676</v>
      </c>
      <c r="MP26" s="1737" t="s">
        <v>9678</v>
      </c>
      <c r="MQ26" s="1737" t="s">
        <v>9678</v>
      </c>
      <c r="MR26" s="1737" t="s">
        <v>9678</v>
      </c>
      <c r="MS26" s="253" t="s">
        <v>9676</v>
      </c>
      <c r="MT26" s="253" t="s">
        <v>9675</v>
      </c>
      <c r="MU26" s="1737" t="s">
        <v>9678</v>
      </c>
      <c r="MV26" s="253" t="s">
        <v>9677</v>
      </c>
      <c r="MW26" s="1737" t="s">
        <v>914</v>
      </c>
      <c r="MX26" s="1737" t="s">
        <v>9677</v>
      </c>
      <c r="MY26" s="253" t="s">
        <v>9677</v>
      </c>
      <c r="MZ26" s="1737" t="s">
        <v>9677</v>
      </c>
      <c r="NA26" s="1737" t="s">
        <v>9677</v>
      </c>
      <c r="NB26" s="253" t="s">
        <v>9677</v>
      </c>
      <c r="NC26" s="1737" t="s">
        <v>9677</v>
      </c>
      <c r="ND26" s="1737" t="s">
        <v>9677</v>
      </c>
      <c r="NE26" s="1737" t="s">
        <v>9677</v>
      </c>
      <c r="NF26" s="253" t="s">
        <v>9677</v>
      </c>
      <c r="NG26" s="1737" t="s">
        <v>9677</v>
      </c>
      <c r="NH26" s="1737" t="s">
        <v>9679</v>
      </c>
      <c r="NI26" s="253" t="s">
        <v>9679</v>
      </c>
      <c r="NJ26" s="253" t="s">
        <v>9679</v>
      </c>
      <c r="NK26" s="1737" t="s">
        <v>914</v>
      </c>
      <c r="NL26" s="1737" t="s">
        <v>9674</v>
      </c>
      <c r="NM26" s="1737" t="s">
        <v>9674</v>
      </c>
      <c r="NN26" s="1737" t="s">
        <v>9676</v>
      </c>
      <c r="NO26" s="1737" t="s">
        <v>9676</v>
      </c>
      <c r="NP26" s="1737" t="s">
        <v>9676</v>
      </c>
      <c r="NQ26" s="1737" t="s">
        <v>9679</v>
      </c>
      <c r="NR26" s="1737" t="s">
        <v>9679</v>
      </c>
      <c r="NS26" s="1737" t="s">
        <v>9677</v>
      </c>
      <c r="NT26" s="1737" t="s">
        <v>9679</v>
      </c>
      <c r="NU26" s="1737" t="s">
        <v>9679</v>
      </c>
      <c r="NV26" s="1737" t="s">
        <v>9677</v>
      </c>
      <c r="NW26" s="1737" t="s">
        <v>9676</v>
      </c>
      <c r="NX26" s="1737" t="s">
        <v>9676</v>
      </c>
      <c r="NY26" s="1737" t="s">
        <v>9676</v>
      </c>
      <c r="NZ26" s="1737" t="s">
        <v>9676</v>
      </c>
      <c r="OA26" s="1737" t="s">
        <v>9674</v>
      </c>
      <c r="OB26" s="1737" t="s">
        <v>9674</v>
      </c>
      <c r="OC26" s="1737" t="s">
        <v>9675</v>
      </c>
      <c r="OD26" s="1737" t="s">
        <v>9676</v>
      </c>
      <c r="OE26" s="1737" t="s">
        <v>9676</v>
      </c>
      <c r="OF26" s="1737" t="s">
        <v>9676</v>
      </c>
      <c r="OG26" s="1737" t="s">
        <v>9677</v>
      </c>
      <c r="OH26" s="1737" t="s">
        <v>9677</v>
      </c>
      <c r="OI26" s="1737" t="s">
        <v>9677</v>
      </c>
      <c r="OJ26" s="1737" t="s">
        <v>9674</v>
      </c>
      <c r="OK26" s="1737" t="s">
        <v>9674</v>
      </c>
      <c r="OL26" s="1737" t="s">
        <v>9674</v>
      </c>
      <c r="OM26" s="1737" t="s">
        <v>9674</v>
      </c>
      <c r="ON26" s="1737" t="s">
        <v>9676</v>
      </c>
      <c r="OO26" s="1737" t="s">
        <v>914</v>
      </c>
      <c r="OP26" s="253" t="s">
        <v>9674</v>
      </c>
      <c r="OQ26" s="1737" t="s">
        <v>9675</v>
      </c>
      <c r="OR26" s="1737" t="s">
        <v>9675</v>
      </c>
      <c r="OS26" s="1737" t="s">
        <v>9675</v>
      </c>
      <c r="OT26" s="1737" t="s">
        <v>9674</v>
      </c>
      <c r="OU26" s="1737" t="s">
        <v>9674</v>
      </c>
      <c r="OV26" s="1737" t="s">
        <v>9675</v>
      </c>
      <c r="OW26" s="1737" t="s">
        <v>9676</v>
      </c>
      <c r="OX26" s="1737" t="s">
        <v>9675</v>
      </c>
      <c r="OY26" s="1737" t="s">
        <v>9675</v>
      </c>
      <c r="OZ26" s="1737" t="s">
        <v>914</v>
      </c>
      <c r="PA26" s="1737" t="s">
        <v>9674</v>
      </c>
      <c r="PB26" s="1737" t="s">
        <v>9674</v>
      </c>
      <c r="PC26" s="1737" t="s">
        <v>9674</v>
      </c>
      <c r="PD26" s="1737" t="s">
        <v>9674</v>
      </c>
      <c r="PE26" s="1737" t="s">
        <v>914</v>
      </c>
      <c r="PF26" s="1737" t="s">
        <v>9674</v>
      </c>
      <c r="PG26" s="253" t="s">
        <v>9674</v>
      </c>
      <c r="PH26" s="1737" t="s">
        <v>9676</v>
      </c>
      <c r="PI26" s="1737" t="s">
        <v>9676</v>
      </c>
      <c r="PJ26" s="1737" t="s">
        <v>9674</v>
      </c>
      <c r="PK26" s="1737" t="s">
        <v>9674</v>
      </c>
      <c r="PL26" s="1737" t="s">
        <v>9677</v>
      </c>
      <c r="PM26" s="1737" t="s">
        <v>9677</v>
      </c>
      <c r="PN26" s="1737" t="s">
        <v>9676</v>
      </c>
      <c r="PO26" s="1737" t="s">
        <v>9678</v>
      </c>
      <c r="PP26" s="1737" t="s">
        <v>9678</v>
      </c>
      <c r="PQ26" s="1737" t="s">
        <v>9678</v>
      </c>
      <c r="PR26" s="253" t="s">
        <v>9676</v>
      </c>
      <c r="PS26" s="1737" t="s">
        <v>9678</v>
      </c>
      <c r="PT26" s="1737" t="s">
        <v>9678</v>
      </c>
      <c r="PU26" s="1737" t="s">
        <v>9677</v>
      </c>
      <c r="PV26" s="1737" t="s">
        <v>9677</v>
      </c>
      <c r="PW26" s="1737" t="s">
        <v>9678</v>
      </c>
      <c r="PX26" s="1737" t="s">
        <v>9675</v>
      </c>
      <c r="PY26" s="253" t="s">
        <v>9675</v>
      </c>
      <c r="PZ26" s="1737" t="s">
        <v>9678</v>
      </c>
      <c r="QA26" s="1737" t="s">
        <v>9678</v>
      </c>
      <c r="QB26" s="1737" t="s">
        <v>9678</v>
      </c>
      <c r="QC26" s="1737" t="s">
        <v>9676</v>
      </c>
      <c r="QD26" s="1737" t="s">
        <v>9677</v>
      </c>
      <c r="QE26" s="1737" t="s">
        <v>9674</v>
      </c>
      <c r="QF26" s="1737" t="s">
        <v>9677</v>
      </c>
      <c r="QG26" s="1737" t="s">
        <v>9679</v>
      </c>
      <c r="QH26" s="1737" t="s">
        <v>9679</v>
      </c>
      <c r="QI26" s="1737" t="s">
        <v>9679</v>
      </c>
      <c r="QJ26" s="1737" t="s">
        <v>9676</v>
      </c>
      <c r="QK26" s="1737" t="s">
        <v>9676</v>
      </c>
      <c r="QL26" s="253" t="s">
        <v>9676</v>
      </c>
      <c r="QM26" s="1737" t="s">
        <v>9677</v>
      </c>
      <c r="QN26" s="1737" t="s">
        <v>9677</v>
      </c>
      <c r="QO26" s="1737" t="s">
        <v>9674</v>
      </c>
      <c r="QP26" s="1737" t="s">
        <v>9675</v>
      </c>
      <c r="QQ26" s="1737" t="s">
        <v>9676</v>
      </c>
      <c r="QR26" s="1737" t="s">
        <v>9676</v>
      </c>
      <c r="QS26" s="1737" t="s">
        <v>9674</v>
      </c>
      <c r="QT26" s="1737" t="s">
        <v>9677</v>
      </c>
      <c r="QU26" s="1737" t="s">
        <v>9677</v>
      </c>
      <c r="QV26" s="1737" t="s">
        <v>9677</v>
      </c>
      <c r="QW26" s="253" t="s">
        <v>9677</v>
      </c>
      <c r="QX26" s="253" t="s">
        <v>9676</v>
      </c>
      <c r="QY26" s="253" t="s">
        <v>9676</v>
      </c>
      <c r="QZ26" s="253" t="s">
        <v>9674</v>
      </c>
      <c r="RA26" s="253" t="s">
        <v>9676</v>
      </c>
      <c r="RB26" s="253" t="s">
        <v>9676</v>
      </c>
      <c r="RC26" s="1737" t="s">
        <v>9674</v>
      </c>
      <c r="RD26" s="253" t="s">
        <v>9676</v>
      </c>
      <c r="RE26" s="1737" t="s">
        <v>9676</v>
      </c>
      <c r="RF26" s="253" t="s">
        <v>9676</v>
      </c>
      <c r="RG26" s="253" t="s">
        <v>9674</v>
      </c>
      <c r="RH26" s="1737" t="s">
        <v>9675</v>
      </c>
      <c r="RI26" s="1737" t="s">
        <v>9677</v>
      </c>
      <c r="RJ26" s="253" t="s">
        <v>9674</v>
      </c>
      <c r="RK26" s="253" t="s">
        <v>9675</v>
      </c>
      <c r="RL26" s="253" t="s">
        <v>9674</v>
      </c>
      <c r="RM26" s="253" t="s">
        <v>9676</v>
      </c>
      <c r="RN26" s="253" t="s">
        <v>9674</v>
      </c>
      <c r="RO26" s="253" t="s">
        <v>9676</v>
      </c>
      <c r="RP26" s="253" t="s">
        <v>9677</v>
      </c>
      <c r="RQ26" s="1737" t="s">
        <v>9674</v>
      </c>
      <c r="RR26" s="1737" t="s">
        <v>9674</v>
      </c>
      <c r="RS26" s="1737" t="s">
        <v>9674</v>
      </c>
      <c r="RT26" s="1737" t="s">
        <v>9674</v>
      </c>
      <c r="RU26" s="1737" t="s">
        <v>9674</v>
      </c>
      <c r="RV26" s="1737" t="s">
        <v>9674</v>
      </c>
      <c r="RW26" s="1737" t="s">
        <v>9677</v>
      </c>
      <c r="RX26" s="1737" t="s">
        <v>9677</v>
      </c>
      <c r="RY26" s="1737" t="s">
        <v>9677</v>
      </c>
      <c r="RZ26" s="253" t="s">
        <v>9679</v>
      </c>
      <c r="SA26" s="1737" t="s">
        <v>9676</v>
      </c>
      <c r="SB26" s="1737" t="s">
        <v>9675</v>
      </c>
      <c r="SC26" s="253" t="s">
        <v>9676</v>
      </c>
      <c r="SD26" s="1737" t="s">
        <v>9679</v>
      </c>
      <c r="SE26" s="1737" t="s">
        <v>9679</v>
      </c>
      <c r="SF26" s="1737" t="s">
        <v>9678</v>
      </c>
      <c r="SG26" s="1737" t="s">
        <v>9677</v>
      </c>
      <c r="SH26" s="1737" t="s">
        <v>9677</v>
      </c>
      <c r="SI26" s="1737" t="s">
        <v>9676</v>
      </c>
      <c r="SJ26" s="1737" t="s">
        <v>9674</v>
      </c>
      <c r="SK26" s="1737" t="s">
        <v>9674</v>
      </c>
      <c r="SL26" s="1738" t="s">
        <v>9681</v>
      </c>
    </row>
    <row r="27" ht="15.75" customHeight="1">
      <c r="A27" s="1517"/>
      <c r="B27" s="131" t="s">
        <v>9682</v>
      </c>
      <c r="C27" s="131" t="s">
        <v>9682</v>
      </c>
      <c r="D27" s="131" t="s">
        <v>9674</v>
      </c>
      <c r="E27" s="1739" t="s">
        <v>9679</v>
      </c>
      <c r="F27" s="1739" t="s">
        <v>9679</v>
      </c>
      <c r="G27" s="1739" t="s">
        <v>9679</v>
      </c>
      <c r="H27" s="387" t="s">
        <v>9677</v>
      </c>
      <c r="I27" s="387" t="s">
        <v>9677</v>
      </c>
      <c r="J27" s="387" t="s">
        <v>9677</v>
      </c>
      <c r="K27" s="131"/>
      <c r="L27" s="131"/>
      <c r="M27" s="1740" t="s">
        <v>9683</v>
      </c>
      <c r="N27" s="1741"/>
      <c r="O27" s="339"/>
      <c r="P27" s="339" t="s">
        <v>9683</v>
      </c>
      <c r="Q27" s="1741" t="s">
        <v>9683</v>
      </c>
      <c r="R27" s="1741" t="s">
        <v>9683</v>
      </c>
      <c r="S27" s="1741" t="s">
        <v>9683</v>
      </c>
      <c r="T27" s="448" t="s">
        <v>9683</v>
      </c>
      <c r="U27" s="1741" t="s">
        <v>9674</v>
      </c>
      <c r="V27" s="1741" t="s">
        <v>9683</v>
      </c>
      <c r="W27" s="1741" t="s">
        <v>9683</v>
      </c>
      <c r="X27" s="448" t="s">
        <v>9683</v>
      </c>
      <c r="Y27" s="448" t="s">
        <v>9683</v>
      </c>
      <c r="Z27" s="339" t="s">
        <v>9674</v>
      </c>
      <c r="AA27" s="339" t="s">
        <v>9674</v>
      </c>
      <c r="AB27" s="339" t="s">
        <v>9674</v>
      </c>
      <c r="AC27" s="339" t="s">
        <v>9674</v>
      </c>
      <c r="AD27" s="387" t="s">
        <v>9674</v>
      </c>
      <c r="AE27" s="387" t="s">
        <v>9674</v>
      </c>
      <c r="AF27" s="387" t="s">
        <v>9677</v>
      </c>
      <c r="AG27" s="448" t="s">
        <v>9674</v>
      </c>
      <c r="AH27" s="448" t="s">
        <v>9674</v>
      </c>
      <c r="AI27" s="448" t="s">
        <v>9677</v>
      </c>
      <c r="AJ27" s="1742" t="s">
        <v>9677</v>
      </c>
      <c r="AK27" s="1742" t="s">
        <v>9677</v>
      </c>
      <c r="AL27" s="1741" t="s">
        <v>9674</v>
      </c>
      <c r="AM27" s="339" t="s">
        <v>9675</v>
      </c>
      <c r="AN27" s="1742" t="s">
        <v>9677</v>
      </c>
      <c r="AO27" s="1742" t="s">
        <v>9677</v>
      </c>
      <c r="AP27" s="448" t="s">
        <v>9683</v>
      </c>
      <c r="AQ27" s="448" t="s">
        <v>9683</v>
      </c>
      <c r="AR27" s="387" t="s">
        <v>9682</v>
      </c>
      <c r="AS27" s="387" t="s">
        <v>9682</v>
      </c>
      <c r="AT27" s="1739" t="s">
        <v>9682</v>
      </c>
      <c r="AU27" s="1739" t="s">
        <v>9682</v>
      </c>
      <c r="AV27" s="1739" t="s">
        <v>9682</v>
      </c>
      <c r="AW27" s="448" t="s">
        <v>9683</v>
      </c>
      <c r="AX27" s="448" t="s">
        <v>9683</v>
      </c>
      <c r="AY27" s="1741" t="s">
        <v>9683</v>
      </c>
      <c r="AZ27" s="1741" t="s">
        <v>9683</v>
      </c>
      <c r="BA27" s="339" t="s">
        <v>9674</v>
      </c>
      <c r="BB27" s="339" t="s">
        <v>9675</v>
      </c>
      <c r="BC27" s="339" t="s">
        <v>9677</v>
      </c>
      <c r="BD27" s="387" t="s">
        <v>9677</v>
      </c>
      <c r="BE27" s="1741" t="s">
        <v>9674</v>
      </c>
      <c r="BF27" s="1741" t="s">
        <v>9674</v>
      </c>
      <c r="BG27" s="1741" t="s">
        <v>9674</v>
      </c>
      <c r="BH27" s="1741" t="s">
        <v>9674</v>
      </c>
      <c r="BI27" s="387" t="s">
        <v>9674</v>
      </c>
      <c r="BJ27" s="387" t="s">
        <v>9677</v>
      </c>
      <c r="BK27" s="387" t="s">
        <v>9677</v>
      </c>
      <c r="BL27" s="1741" t="s">
        <v>9678</v>
      </c>
      <c r="BM27" s="1741" t="s">
        <v>9678</v>
      </c>
      <c r="BN27" s="1741" t="s">
        <v>9678</v>
      </c>
      <c r="BO27" s="1743" t="s">
        <v>9674</v>
      </c>
      <c r="BP27" s="1743" t="s">
        <v>9674</v>
      </c>
      <c r="BQ27" s="1743" t="s">
        <v>9674</v>
      </c>
      <c r="BR27" s="131" t="s">
        <v>9682</v>
      </c>
      <c r="BS27" s="131" t="s">
        <v>9682</v>
      </c>
      <c r="BT27" s="131" t="s">
        <v>9682</v>
      </c>
      <c r="BU27" s="387" t="s">
        <v>9674</v>
      </c>
      <c r="BV27" s="387" t="s">
        <v>9674</v>
      </c>
      <c r="BW27" s="1741" t="s">
        <v>9674</v>
      </c>
      <c r="BX27" s="1741" t="s">
        <v>9674</v>
      </c>
      <c r="BY27" s="1741" t="s">
        <v>9675</v>
      </c>
      <c r="BZ27" s="339" t="s">
        <v>9683</v>
      </c>
      <c r="CA27" s="339" t="s">
        <v>9683</v>
      </c>
      <c r="CB27" s="1742" t="s">
        <v>9678</v>
      </c>
      <c r="CC27" s="1742" t="s">
        <v>9677</v>
      </c>
      <c r="CD27" s="1743" t="s">
        <v>9683</v>
      </c>
      <c r="CE27" s="1743" t="s">
        <v>9683</v>
      </c>
      <c r="CF27" s="1741" t="s">
        <v>9683</v>
      </c>
      <c r="CG27" s="1741" t="s">
        <v>9683</v>
      </c>
      <c r="CH27" s="1741" t="s">
        <v>9683</v>
      </c>
      <c r="CI27" s="1740" t="s">
        <v>9674</v>
      </c>
      <c r="CJ27" s="1740" t="s">
        <v>9674</v>
      </c>
      <c r="CK27" s="448" t="s">
        <v>9683</v>
      </c>
      <c r="CL27" s="448" t="s">
        <v>9674</v>
      </c>
      <c r="CM27" s="448" t="s">
        <v>9674</v>
      </c>
      <c r="CN27" s="448" t="s">
        <v>9674</v>
      </c>
      <c r="CO27" s="448" t="s">
        <v>9683</v>
      </c>
      <c r="CP27" s="448" t="s">
        <v>9683</v>
      </c>
      <c r="CQ27" s="448" t="s">
        <v>9674</v>
      </c>
      <c r="CR27" s="1743" t="s">
        <v>9674</v>
      </c>
      <c r="CS27" s="339" t="s">
        <v>9678</v>
      </c>
      <c r="CT27" s="339" t="s">
        <v>9678</v>
      </c>
      <c r="CU27" s="1739" t="s">
        <v>9674</v>
      </c>
      <c r="CV27" s="1739" t="s">
        <v>9674</v>
      </c>
      <c r="CW27" s="1739" t="s">
        <v>9683</v>
      </c>
      <c r="CX27" s="1739" t="s">
        <v>9683</v>
      </c>
      <c r="CY27" s="1742" t="s">
        <v>9682</v>
      </c>
      <c r="CZ27" s="339" t="s">
        <v>9682</v>
      </c>
      <c r="DA27" s="1741" t="s">
        <v>9674</v>
      </c>
      <c r="DB27" s="1741" t="s">
        <v>9674</v>
      </c>
      <c r="DC27" s="1741" t="s">
        <v>9674</v>
      </c>
      <c r="DD27" s="1741" t="s">
        <v>9674</v>
      </c>
      <c r="DE27" s="1742" t="s">
        <v>9677</v>
      </c>
      <c r="DF27" s="448" t="s">
        <v>9683</v>
      </c>
      <c r="DG27" s="448" t="s">
        <v>9683</v>
      </c>
      <c r="DH27" s="1743" t="s">
        <v>9674</v>
      </c>
      <c r="DI27" s="1743" t="s">
        <v>9675</v>
      </c>
      <c r="DJ27" s="1742" t="s">
        <v>9677</v>
      </c>
      <c r="DK27" s="387" t="s">
        <v>9682</v>
      </c>
      <c r="DL27" s="1741" t="s">
        <v>9677</v>
      </c>
      <c r="DM27" s="387" t="s">
        <v>9674</v>
      </c>
      <c r="DN27" s="387" t="s">
        <v>9674</v>
      </c>
      <c r="DO27" s="1739" t="s">
        <v>9674</v>
      </c>
      <c r="DP27" s="1739" t="s">
        <v>9674</v>
      </c>
      <c r="DQ27" s="1741" t="s">
        <v>9674</v>
      </c>
      <c r="DR27" s="448" t="s">
        <v>9674</v>
      </c>
      <c r="DS27" s="1742" t="s">
        <v>9678</v>
      </c>
      <c r="DT27" s="131" t="s">
        <v>9683</v>
      </c>
      <c r="DU27" s="1739" t="s">
        <v>9677</v>
      </c>
      <c r="DV27" s="339" t="s">
        <v>9674</v>
      </c>
      <c r="DW27" s="1739" t="s">
        <v>9674</v>
      </c>
      <c r="DX27" s="1741" t="s">
        <v>9674</v>
      </c>
      <c r="DY27" s="1741" t="s">
        <v>9674</v>
      </c>
      <c r="DZ27" s="1739"/>
      <c r="EA27" s="387" t="s">
        <v>9675</v>
      </c>
      <c r="EB27" s="387" t="s">
        <v>9675</v>
      </c>
      <c r="EC27" s="448"/>
      <c r="ED27" s="1741" t="s">
        <v>9683</v>
      </c>
      <c r="EE27" s="387" t="s">
        <v>9675</v>
      </c>
      <c r="EF27" s="339" t="s">
        <v>9674</v>
      </c>
      <c r="EG27" s="1739" t="s">
        <v>9674</v>
      </c>
      <c r="EH27" s="1742" t="s">
        <v>9683</v>
      </c>
      <c r="EI27" s="387" t="s">
        <v>9674</v>
      </c>
      <c r="EJ27" s="387" t="s">
        <v>9674</v>
      </c>
      <c r="EK27" s="1741" t="s">
        <v>9674</v>
      </c>
      <c r="EL27" s="1741" t="s">
        <v>9674</v>
      </c>
      <c r="EM27" s="448" t="s">
        <v>9675</v>
      </c>
      <c r="EN27" s="1744" t="s">
        <v>9677</v>
      </c>
      <c r="EO27" s="387" t="s">
        <v>9675</v>
      </c>
      <c r="EP27" s="339" t="s">
        <v>9674</v>
      </c>
      <c r="EQ27" s="339" t="s">
        <v>9674</v>
      </c>
      <c r="ER27" s="387" t="s">
        <v>9674</v>
      </c>
      <c r="ES27" s="387" t="s">
        <v>9674</v>
      </c>
      <c r="ET27" s="1741" t="s">
        <v>9679</v>
      </c>
      <c r="EU27" s="448" t="s">
        <v>9677</v>
      </c>
      <c r="EV27" s="1742"/>
      <c r="EW27" s="131" t="s">
        <v>9682</v>
      </c>
      <c r="EX27" s="131" t="s">
        <v>9682</v>
      </c>
      <c r="EY27" s="131" t="s">
        <v>9682</v>
      </c>
      <c r="EZ27" s="339" t="s">
        <v>9683</v>
      </c>
      <c r="FA27" s="339" t="s">
        <v>9675</v>
      </c>
      <c r="FB27" s="339" t="s">
        <v>9675</v>
      </c>
      <c r="FC27" s="387" t="s">
        <v>9677</v>
      </c>
      <c r="FD27" s="387" t="s">
        <v>9677</v>
      </c>
      <c r="FE27" s="387" t="s">
        <v>9679</v>
      </c>
      <c r="FF27" s="1741" t="s">
        <v>9677</v>
      </c>
      <c r="FG27" s="1741" t="s">
        <v>9677</v>
      </c>
      <c r="FH27" s="1741" t="s">
        <v>9683</v>
      </c>
      <c r="FI27" s="1741" t="s">
        <v>9683</v>
      </c>
      <c r="FJ27" s="1739" t="s">
        <v>9674</v>
      </c>
      <c r="FK27" s="1739" t="s">
        <v>9674</v>
      </c>
      <c r="FL27" s="131" t="s">
        <v>9683</v>
      </c>
      <c r="FM27" s="1739" t="s">
        <v>9683</v>
      </c>
      <c r="FN27" s="448" t="s">
        <v>9683</v>
      </c>
      <c r="FO27" s="387" t="s">
        <v>9674</v>
      </c>
      <c r="FP27" s="387" t="s">
        <v>9674</v>
      </c>
      <c r="FQ27" s="339" t="s">
        <v>9683</v>
      </c>
      <c r="FR27" s="1742" t="s">
        <v>9674</v>
      </c>
      <c r="FS27" s="1742" t="s">
        <v>9674</v>
      </c>
      <c r="FT27" s="1740" t="s">
        <v>9674</v>
      </c>
      <c r="FU27" s="1740" t="s">
        <v>9677</v>
      </c>
      <c r="FV27" s="131" t="s">
        <v>9674</v>
      </c>
      <c r="FW27" s="131" t="s">
        <v>9674</v>
      </c>
      <c r="FX27" s="1740" t="s">
        <v>9683</v>
      </c>
      <c r="FY27" s="1742" t="s">
        <v>9674</v>
      </c>
      <c r="FZ27" s="339" t="s">
        <v>9674</v>
      </c>
      <c r="GA27" s="131" t="s">
        <v>9682</v>
      </c>
      <c r="GB27" s="387" t="s">
        <v>9677</v>
      </c>
      <c r="GC27" s="387" t="s">
        <v>9677</v>
      </c>
      <c r="GD27" s="1741" t="s">
        <v>9678</v>
      </c>
      <c r="GE27" s="131" t="s">
        <v>9677</v>
      </c>
      <c r="GF27" s="1742" t="s">
        <v>9682</v>
      </c>
      <c r="GG27" s="131" t="s">
        <v>9682</v>
      </c>
      <c r="GH27" s="387" t="s">
        <v>9682</v>
      </c>
      <c r="GI27" s="448" t="s">
        <v>9677</v>
      </c>
      <c r="GJ27" s="339" t="s">
        <v>9682</v>
      </c>
      <c r="GK27" s="339" t="s">
        <v>9682</v>
      </c>
      <c r="GL27" s="1739" t="s">
        <v>9683</v>
      </c>
      <c r="GM27" s="387" t="s">
        <v>9674</v>
      </c>
      <c r="GN27" s="387" t="s">
        <v>9677</v>
      </c>
      <c r="GO27" s="448" t="s">
        <v>9674</v>
      </c>
      <c r="GP27" s="1744" t="s">
        <v>9683</v>
      </c>
      <c r="GQ27" s="1744" t="s">
        <v>9674</v>
      </c>
      <c r="GR27" s="1742" t="s">
        <v>9677</v>
      </c>
      <c r="GS27" s="1743" t="s">
        <v>9674</v>
      </c>
      <c r="GT27" s="1744"/>
      <c r="GU27" s="387"/>
      <c r="GV27" s="339" t="s">
        <v>9674</v>
      </c>
      <c r="GW27" s="1743" t="s">
        <v>9683</v>
      </c>
      <c r="GX27" s="448" t="s">
        <v>9683</v>
      </c>
      <c r="GY27" s="339" t="s">
        <v>9678</v>
      </c>
      <c r="GZ27" s="448" t="s">
        <v>9683</v>
      </c>
      <c r="HA27" s="1743" t="s">
        <v>9674</v>
      </c>
      <c r="HB27" s="1742" t="s">
        <v>9677</v>
      </c>
      <c r="HC27" s="448" t="s">
        <v>9677</v>
      </c>
      <c r="HD27" s="1743" t="s">
        <v>9674</v>
      </c>
      <c r="HE27" s="1739" t="s">
        <v>9683</v>
      </c>
      <c r="HF27" s="339" t="s">
        <v>9683</v>
      </c>
      <c r="HG27" s="387" t="s">
        <v>9674</v>
      </c>
      <c r="HH27" s="1744" t="s">
        <v>9678</v>
      </c>
      <c r="HI27" s="1741" t="s">
        <v>9675</v>
      </c>
      <c r="HJ27" s="1741" t="s">
        <v>9675</v>
      </c>
      <c r="HK27" s="1739" t="s">
        <v>9683</v>
      </c>
      <c r="HL27" s="1739" t="s">
        <v>9683</v>
      </c>
      <c r="HM27" s="1741" t="s">
        <v>9674</v>
      </c>
      <c r="HN27" s="1741" t="s">
        <v>9674</v>
      </c>
      <c r="HO27" s="1742" t="s">
        <v>9678</v>
      </c>
      <c r="HP27" s="1743" t="s">
        <v>9674</v>
      </c>
      <c r="HQ27" s="1739" t="s">
        <v>9674</v>
      </c>
      <c r="HR27" s="1739" t="s">
        <v>9677</v>
      </c>
      <c r="HS27" s="448" t="s">
        <v>9674</v>
      </c>
      <c r="HT27" s="1743" t="s">
        <v>9674</v>
      </c>
      <c r="HU27" s="1744" t="s">
        <v>9674</v>
      </c>
      <c r="HV27" s="1744" t="s">
        <v>9674</v>
      </c>
      <c r="HW27" s="387" t="s">
        <v>9674</v>
      </c>
      <c r="HX27" s="387" t="s">
        <v>9674</v>
      </c>
      <c r="HY27" s="1743" t="s">
        <v>9674</v>
      </c>
      <c r="HZ27" s="1739" t="s">
        <v>9683</v>
      </c>
      <c r="IA27" s="1741" t="s">
        <v>9675</v>
      </c>
      <c r="IB27" s="1740"/>
      <c r="IC27" s="448" t="s">
        <v>9684</v>
      </c>
      <c r="ID27" s="1741" t="s">
        <v>9684</v>
      </c>
      <c r="IE27" s="1742" t="s">
        <v>9678</v>
      </c>
      <c r="IF27" s="339" t="s">
        <v>9674</v>
      </c>
      <c r="IG27" s="1739" t="s">
        <v>9674</v>
      </c>
      <c r="IH27" s="1742" t="s">
        <v>9677</v>
      </c>
      <c r="II27" s="1742" t="s">
        <v>9677</v>
      </c>
      <c r="IJ27" s="339" t="s">
        <v>9675</v>
      </c>
      <c r="IK27" s="1741" t="s">
        <v>9675</v>
      </c>
      <c r="IL27" s="387" t="s">
        <v>9678</v>
      </c>
      <c r="IM27" s="131" t="s">
        <v>9683</v>
      </c>
      <c r="IN27" s="1743" t="s">
        <v>9683</v>
      </c>
      <c r="IO27" s="131" t="s">
        <v>9679</v>
      </c>
      <c r="IP27" s="1740" t="s">
        <v>9678</v>
      </c>
      <c r="IQ27" s="1739" t="s">
        <v>9675</v>
      </c>
      <c r="IR27" s="131" t="s">
        <v>9678</v>
      </c>
      <c r="IS27" s="131" t="s">
        <v>9674</v>
      </c>
      <c r="IT27" s="131" t="s">
        <v>9674</v>
      </c>
      <c r="IU27" s="131" t="s">
        <v>9679</v>
      </c>
      <c r="IV27" s="1739" t="s">
        <v>9683</v>
      </c>
      <c r="IW27" s="1739" t="s">
        <v>9674</v>
      </c>
      <c r="IX27" s="1739" t="s">
        <v>9675</v>
      </c>
      <c r="IY27" s="387" t="s">
        <v>9674</v>
      </c>
      <c r="IZ27" s="387" t="s">
        <v>9674</v>
      </c>
      <c r="JA27" s="387" t="s">
        <v>9677</v>
      </c>
      <c r="JB27" s="1743" t="s">
        <v>9674</v>
      </c>
      <c r="JC27" s="1743" t="s">
        <v>9674</v>
      </c>
      <c r="JD27" s="1741" t="s">
        <v>9674</v>
      </c>
      <c r="JE27" s="1740" t="s">
        <v>9675</v>
      </c>
      <c r="JF27" s="1739"/>
      <c r="JG27" s="1740"/>
      <c r="JH27" s="339" t="s">
        <v>9683</v>
      </c>
      <c r="JI27" s="448"/>
      <c r="JJ27" s="131" t="s">
        <v>9683</v>
      </c>
      <c r="JK27" s="131" t="s">
        <v>9674</v>
      </c>
      <c r="JL27" s="131" t="s">
        <v>9674</v>
      </c>
      <c r="JM27" s="131" t="s">
        <v>9677</v>
      </c>
      <c r="JN27" s="1741" t="s">
        <v>9682</v>
      </c>
      <c r="JO27" s="1741" t="s">
        <v>9682</v>
      </c>
      <c r="JP27" s="1741" t="s">
        <v>9682</v>
      </c>
      <c r="JQ27" s="387" t="s">
        <v>9683</v>
      </c>
      <c r="JR27" s="387" t="s">
        <v>9683</v>
      </c>
      <c r="JS27" s="1740" t="s">
        <v>9674</v>
      </c>
      <c r="JT27" s="339" t="s">
        <v>9674</v>
      </c>
      <c r="JU27" s="1740" t="s">
        <v>9674</v>
      </c>
      <c r="JV27" s="1740" t="s">
        <v>9674</v>
      </c>
      <c r="JW27" s="1740" t="s">
        <v>9674</v>
      </c>
      <c r="JX27" s="387" t="s">
        <v>9674</v>
      </c>
      <c r="JY27" s="387" t="s">
        <v>9674</v>
      </c>
      <c r="JZ27" s="1741" t="s">
        <v>9682</v>
      </c>
      <c r="KA27" s="131" t="s">
        <v>9674</v>
      </c>
      <c r="KB27" s="1741" t="s">
        <v>9677</v>
      </c>
      <c r="KC27" s="1740" t="s">
        <v>9677</v>
      </c>
      <c r="KD27" s="1741" t="s">
        <v>9677</v>
      </c>
      <c r="KE27" s="1743" t="s">
        <v>9683</v>
      </c>
      <c r="KF27" s="339" t="s">
        <v>9683</v>
      </c>
      <c r="KG27" s="1741" t="s">
        <v>9683</v>
      </c>
      <c r="KH27" s="1742" t="s">
        <v>9675</v>
      </c>
      <c r="KI27" s="387" t="s">
        <v>9675</v>
      </c>
      <c r="KJ27" s="387" t="s">
        <v>9675</v>
      </c>
      <c r="KK27" s="339" t="s">
        <v>9674</v>
      </c>
      <c r="KL27" s="1741" t="s">
        <v>9674</v>
      </c>
      <c r="KM27" s="387" t="s">
        <v>9674</v>
      </c>
      <c r="KN27" s="1743" t="s">
        <v>9683</v>
      </c>
      <c r="KO27" s="1742" t="s">
        <v>9678</v>
      </c>
      <c r="KP27" s="448" t="s">
        <v>9678</v>
      </c>
      <c r="KQ27" s="448" t="s">
        <v>9677</v>
      </c>
      <c r="KR27" s="1744" t="s">
        <v>9674</v>
      </c>
      <c r="KS27" s="1743" t="s">
        <v>9675</v>
      </c>
      <c r="KT27" s="1743" t="s">
        <v>9675</v>
      </c>
      <c r="KU27" s="1743" t="s">
        <v>9679</v>
      </c>
      <c r="KV27" s="387" t="s">
        <v>9678</v>
      </c>
      <c r="KW27" s="1739" t="s">
        <v>9678</v>
      </c>
      <c r="KX27" s="131" t="s">
        <v>9674</v>
      </c>
      <c r="KY27" s="339" t="s">
        <v>9674</v>
      </c>
      <c r="KZ27" s="339" t="s">
        <v>9683</v>
      </c>
      <c r="LA27" s="339" t="s">
        <v>9683</v>
      </c>
      <c r="LB27" s="1743" t="s">
        <v>9677</v>
      </c>
      <c r="LC27" s="448" t="s">
        <v>9677</v>
      </c>
      <c r="LD27" s="131" t="s">
        <v>9682</v>
      </c>
      <c r="LE27" s="131" t="s">
        <v>9674</v>
      </c>
      <c r="LF27" s="448" t="s">
        <v>9674</v>
      </c>
      <c r="LG27" s="1739" t="s">
        <v>9674</v>
      </c>
      <c r="LH27" s="387" t="s">
        <v>9675</v>
      </c>
      <c r="LI27" s="387" t="s">
        <v>9675</v>
      </c>
      <c r="LJ27" s="387" t="s">
        <v>9675</v>
      </c>
      <c r="LK27" s="339" t="s">
        <v>9683</v>
      </c>
      <c r="LL27" s="1739" t="s">
        <v>9674</v>
      </c>
      <c r="LM27" s="1741" t="s">
        <v>9683</v>
      </c>
      <c r="LN27" s="1744" t="s">
        <v>9674</v>
      </c>
      <c r="LO27" s="448" t="s">
        <v>9678</v>
      </c>
      <c r="LP27" s="1741" t="s">
        <v>9677</v>
      </c>
      <c r="LQ27" s="1741" t="s">
        <v>9683</v>
      </c>
      <c r="LR27" s="131" t="s">
        <v>9683</v>
      </c>
      <c r="LS27" s="131" t="s">
        <v>9674</v>
      </c>
      <c r="LT27" s="131" t="s">
        <v>9674</v>
      </c>
      <c r="LU27" s="131" t="s">
        <v>9674</v>
      </c>
      <c r="LV27" s="387" t="s">
        <v>9683</v>
      </c>
      <c r="LW27" s="387" t="s">
        <v>9675</v>
      </c>
      <c r="LX27" s="1740" t="s">
        <v>9677</v>
      </c>
      <c r="LY27" s="1744" t="s">
        <v>9683</v>
      </c>
      <c r="LZ27" s="339" t="s">
        <v>9674</v>
      </c>
      <c r="MA27" s="1739" t="s">
        <v>9674</v>
      </c>
      <c r="MB27" s="1743" t="s">
        <v>9674</v>
      </c>
      <c r="MC27" s="387" t="s">
        <v>9674</v>
      </c>
      <c r="MD27" s="1739" t="s">
        <v>9674</v>
      </c>
      <c r="ME27" s="1739" t="s">
        <v>9674</v>
      </c>
      <c r="MF27" s="1741" t="s">
        <v>9674</v>
      </c>
      <c r="MG27" s="1744" t="s">
        <v>9674</v>
      </c>
      <c r="MH27" s="448" t="s">
        <v>9682</v>
      </c>
      <c r="MI27" s="131" t="s">
        <v>9682</v>
      </c>
      <c r="MJ27" s="1743" t="s">
        <v>9674</v>
      </c>
      <c r="MK27" s="1743" t="s">
        <v>9674</v>
      </c>
      <c r="ML27" s="1741" t="s">
        <v>9674</v>
      </c>
      <c r="MM27" s="1742" t="s">
        <v>9674</v>
      </c>
      <c r="MN27" s="1740" t="s">
        <v>9674</v>
      </c>
      <c r="MO27" s="131" t="s">
        <v>9677</v>
      </c>
      <c r="MP27" s="1744" t="s">
        <v>9674</v>
      </c>
      <c r="MQ27" s="1744" t="s">
        <v>9674</v>
      </c>
      <c r="MR27" s="1744" t="s">
        <v>9674</v>
      </c>
      <c r="MS27" s="1744" t="s">
        <v>9678</v>
      </c>
      <c r="MT27" s="131" t="s">
        <v>9674</v>
      </c>
      <c r="MU27" s="387" t="s">
        <v>9674</v>
      </c>
      <c r="MV27" s="1740" t="s">
        <v>9678</v>
      </c>
      <c r="MW27" s="387"/>
      <c r="MX27" s="1743" t="s">
        <v>9674</v>
      </c>
      <c r="MY27" s="1743" t="s">
        <v>9674</v>
      </c>
      <c r="MZ27" s="387" t="s">
        <v>9674</v>
      </c>
      <c r="NA27" s="387" t="s">
        <v>9675</v>
      </c>
      <c r="NB27" s="387" t="s">
        <v>9675</v>
      </c>
      <c r="NC27" s="387" t="s">
        <v>9674</v>
      </c>
      <c r="ND27" s="387" t="s">
        <v>9674</v>
      </c>
      <c r="NE27" s="1742" t="s">
        <v>9674</v>
      </c>
      <c r="NF27" s="1743" t="s">
        <v>9678</v>
      </c>
      <c r="NG27" s="1742" t="s">
        <v>9674</v>
      </c>
      <c r="NH27" s="387" t="s">
        <v>9675</v>
      </c>
      <c r="NI27" s="1740" t="s">
        <v>9675</v>
      </c>
      <c r="NJ27" s="387" t="s">
        <v>9675</v>
      </c>
      <c r="NK27" s="387"/>
      <c r="NL27" s="387" t="s">
        <v>9683</v>
      </c>
      <c r="NM27" s="387" t="s">
        <v>9683</v>
      </c>
      <c r="NN27" s="1741" t="s">
        <v>9674</v>
      </c>
      <c r="NO27" s="387" t="s">
        <v>9674</v>
      </c>
      <c r="NP27" s="1743" t="s">
        <v>9674</v>
      </c>
      <c r="NQ27" s="1739" t="s">
        <v>9677</v>
      </c>
      <c r="NR27" s="387" t="s">
        <v>9677</v>
      </c>
      <c r="NS27" s="387" t="s">
        <v>9678</v>
      </c>
      <c r="NT27" s="1739" t="s">
        <v>9675</v>
      </c>
      <c r="NU27" s="131" t="s">
        <v>9677</v>
      </c>
      <c r="NV27" s="339" t="s">
        <v>9678</v>
      </c>
      <c r="NW27" s="1739" t="s">
        <v>9677</v>
      </c>
      <c r="NX27" s="1739" t="s">
        <v>9677</v>
      </c>
      <c r="NY27" s="1739" t="s">
        <v>9677</v>
      </c>
      <c r="NZ27" s="1739" t="s">
        <v>9677</v>
      </c>
      <c r="OA27" s="131" t="s">
        <v>9682</v>
      </c>
      <c r="OB27" s="131" t="s">
        <v>9682</v>
      </c>
      <c r="OC27" s="131" t="s">
        <v>9674</v>
      </c>
      <c r="OD27" s="1741" t="s">
        <v>9674</v>
      </c>
      <c r="OE27" s="1741" t="s">
        <v>9674</v>
      </c>
      <c r="OF27" s="1741" t="s">
        <v>9678</v>
      </c>
      <c r="OG27" s="387" t="s">
        <v>9674</v>
      </c>
      <c r="OH27" s="387" t="s">
        <v>9674</v>
      </c>
      <c r="OI27" s="387" t="s">
        <v>9675</v>
      </c>
      <c r="OJ27" s="1741" t="s">
        <v>9683</v>
      </c>
      <c r="OK27" s="1741" t="s">
        <v>9683</v>
      </c>
      <c r="OL27" s="1741" t="s">
        <v>9683</v>
      </c>
      <c r="OM27" s="1741" t="s">
        <v>9683</v>
      </c>
      <c r="ON27" s="1741" t="s">
        <v>9677</v>
      </c>
      <c r="OO27" s="1739"/>
      <c r="OP27" s="1739" t="s">
        <v>9683</v>
      </c>
      <c r="OQ27" s="387" t="s">
        <v>9674</v>
      </c>
      <c r="OR27" s="387" t="s">
        <v>9674</v>
      </c>
      <c r="OS27" s="387" t="s">
        <v>9674</v>
      </c>
      <c r="OT27" s="131" t="s">
        <v>9682</v>
      </c>
      <c r="OU27" s="131" t="s">
        <v>9682</v>
      </c>
      <c r="OV27" s="387" t="s">
        <v>9674</v>
      </c>
      <c r="OW27" s="387" t="s">
        <v>9675</v>
      </c>
      <c r="OX27" s="1743" t="s">
        <v>9674</v>
      </c>
      <c r="OY27" s="1743" t="s">
        <v>9674</v>
      </c>
      <c r="OZ27" s="131"/>
      <c r="PA27" s="131" t="s">
        <v>9682</v>
      </c>
      <c r="PB27" s="339" t="s">
        <v>9683</v>
      </c>
      <c r="PC27" s="1742" t="s">
        <v>9683</v>
      </c>
      <c r="PD27" s="339" t="s">
        <v>9683</v>
      </c>
      <c r="PE27" s="339"/>
      <c r="PF27" s="339" t="s">
        <v>9683</v>
      </c>
      <c r="PG27" s="1740" t="s">
        <v>9683</v>
      </c>
      <c r="PH27" s="1741" t="s">
        <v>9677</v>
      </c>
      <c r="PI27" s="1741" t="s">
        <v>9677</v>
      </c>
      <c r="PJ27" s="1742" t="s">
        <v>9682</v>
      </c>
      <c r="PK27" s="1742" t="s">
        <v>9682</v>
      </c>
      <c r="PL27" s="448" t="s">
        <v>9674</v>
      </c>
      <c r="PM27" s="448" t="s">
        <v>9674</v>
      </c>
      <c r="PN27" s="448" t="s">
        <v>9677</v>
      </c>
      <c r="PO27" s="448" t="s">
        <v>9674</v>
      </c>
      <c r="PP27" s="448" t="s">
        <v>9674</v>
      </c>
      <c r="PQ27" s="1741" t="s">
        <v>9674</v>
      </c>
      <c r="PR27" s="1741" t="s">
        <v>9677</v>
      </c>
      <c r="PS27" s="448" t="s">
        <v>9674</v>
      </c>
      <c r="PT27" s="1744" t="s">
        <v>9674</v>
      </c>
      <c r="PU27" s="1743" t="s">
        <v>9674</v>
      </c>
      <c r="PV27" s="1743" t="s">
        <v>9675</v>
      </c>
      <c r="PW27" s="339" t="s">
        <v>9674</v>
      </c>
      <c r="PX27" s="448" t="s">
        <v>9674</v>
      </c>
      <c r="PY27" s="448" t="s">
        <v>9674</v>
      </c>
      <c r="PZ27" s="131" t="s">
        <v>9674</v>
      </c>
      <c r="QA27" s="131" t="s">
        <v>9674</v>
      </c>
      <c r="QB27" s="1741" t="s">
        <v>9674</v>
      </c>
      <c r="QC27" s="1742" t="s">
        <v>9678</v>
      </c>
      <c r="QD27" s="1742" t="s">
        <v>9674</v>
      </c>
      <c r="QE27" s="1744" t="s">
        <v>9683</v>
      </c>
      <c r="QF27" s="448" t="s">
        <v>9678</v>
      </c>
      <c r="QG27" s="387" t="s">
        <v>9675</v>
      </c>
      <c r="QH27" s="387" t="s">
        <v>9675</v>
      </c>
      <c r="QI27" s="387" t="s">
        <v>9675</v>
      </c>
      <c r="QJ27" s="1744" t="s">
        <v>9677</v>
      </c>
      <c r="QK27" s="387" t="s">
        <v>9675</v>
      </c>
      <c r="QL27" s="387" t="s">
        <v>9677</v>
      </c>
      <c r="QM27" s="1741" t="s">
        <v>9675</v>
      </c>
      <c r="QN27" s="1741" t="s">
        <v>9675</v>
      </c>
      <c r="QO27" s="448" t="s">
        <v>9683</v>
      </c>
      <c r="QP27" s="448" t="s">
        <v>9674</v>
      </c>
      <c r="QQ27" s="387" t="s">
        <v>9674</v>
      </c>
      <c r="QR27" s="387" t="s">
        <v>9674</v>
      </c>
      <c r="QS27" s="131" t="s">
        <v>9682</v>
      </c>
      <c r="QT27" s="387" t="s">
        <v>9674</v>
      </c>
      <c r="QU27" s="387" t="s">
        <v>9674</v>
      </c>
      <c r="QV27" s="387" t="s">
        <v>9674</v>
      </c>
      <c r="QW27" s="1740" t="s">
        <v>9674</v>
      </c>
      <c r="QX27" s="1740" t="s">
        <v>9677</v>
      </c>
      <c r="QY27" s="1744" t="s">
        <v>9678</v>
      </c>
      <c r="QZ27" s="1743" t="s">
        <v>9683</v>
      </c>
      <c r="RA27" s="1742" t="s">
        <v>9677</v>
      </c>
      <c r="RB27" s="1743" t="s">
        <v>9675</v>
      </c>
      <c r="RC27" s="387" t="s">
        <v>9682</v>
      </c>
      <c r="RD27" s="339" t="s">
        <v>9674</v>
      </c>
      <c r="RE27" s="1739" t="s">
        <v>9674</v>
      </c>
      <c r="RF27" s="1740" t="s">
        <v>9677</v>
      </c>
      <c r="RG27" s="131" t="s">
        <v>9683</v>
      </c>
      <c r="RH27" s="131" t="s">
        <v>9674</v>
      </c>
      <c r="RI27" s="387" t="s">
        <v>9675</v>
      </c>
      <c r="RJ27" s="448" t="s">
        <v>9683</v>
      </c>
      <c r="RK27" s="1741" t="s">
        <v>9674</v>
      </c>
      <c r="RL27" s="1739" t="s">
        <v>9683</v>
      </c>
      <c r="RM27" s="1740" t="s">
        <v>9678</v>
      </c>
      <c r="RN27" s="1743" t="s">
        <v>9683</v>
      </c>
      <c r="RO27" s="1744" t="s">
        <v>9678</v>
      </c>
      <c r="RP27" s="1740" t="s">
        <v>9674</v>
      </c>
      <c r="RQ27" s="1739" t="s">
        <v>9683</v>
      </c>
      <c r="RR27" s="1739" t="s">
        <v>9683</v>
      </c>
      <c r="RS27" s="1739" t="s">
        <v>9683</v>
      </c>
      <c r="RT27" s="1739" t="s">
        <v>9683</v>
      </c>
      <c r="RU27" s="1739" t="s">
        <v>9683</v>
      </c>
      <c r="RV27" s="1739" t="s">
        <v>9683</v>
      </c>
      <c r="RW27" s="339" t="s">
        <v>9678</v>
      </c>
      <c r="RX27" s="1742" t="s">
        <v>9678</v>
      </c>
      <c r="RY27" s="387" t="s">
        <v>9678</v>
      </c>
      <c r="RZ27" s="1740" t="s">
        <v>9675</v>
      </c>
      <c r="SA27" s="448" t="s">
        <v>9679</v>
      </c>
      <c r="SB27" s="1741" t="s">
        <v>9674</v>
      </c>
      <c r="SC27" s="1740" t="s">
        <v>9674</v>
      </c>
      <c r="SD27" s="1744" t="s">
        <v>9678</v>
      </c>
      <c r="SE27" s="1744" t="s">
        <v>9678</v>
      </c>
      <c r="SF27" s="339" t="s">
        <v>9674</v>
      </c>
      <c r="SG27" s="387" t="s">
        <v>9674</v>
      </c>
      <c r="SH27" s="387" t="s">
        <v>9678</v>
      </c>
      <c r="SI27" s="1744" t="s">
        <v>9678</v>
      </c>
      <c r="SJ27" s="131" t="s">
        <v>9682</v>
      </c>
      <c r="SK27" s="131" t="s">
        <v>9682</v>
      </c>
      <c r="SL27" s="1745" t="s">
        <v>9676</v>
      </c>
    </row>
    <row r="28" ht="15.75" customHeight="1">
      <c r="A28" s="1517"/>
      <c r="B28" s="148" t="s">
        <v>9683</v>
      </c>
      <c r="C28" s="148" t="s">
        <v>9683</v>
      </c>
      <c r="D28" s="148" t="s">
        <v>9682</v>
      </c>
      <c r="E28" s="148" t="s">
        <v>9674</v>
      </c>
      <c r="F28" s="148" t="s">
        <v>9674</v>
      </c>
      <c r="G28" s="148" t="s">
        <v>9675</v>
      </c>
      <c r="H28" s="148" t="s">
        <v>9674</v>
      </c>
      <c r="I28" s="148" t="s">
        <v>9674</v>
      </c>
      <c r="J28" s="148" t="s">
        <v>9675</v>
      </c>
      <c r="K28" s="148"/>
      <c r="L28" s="148"/>
      <c r="M28" s="148" t="s">
        <v>9685</v>
      </c>
      <c r="N28" s="148"/>
      <c r="O28" s="148"/>
      <c r="P28" s="148" t="s">
        <v>9685</v>
      </c>
      <c r="Q28" s="148" t="s">
        <v>9685</v>
      </c>
      <c r="R28" s="148" t="s">
        <v>9685</v>
      </c>
      <c r="S28" s="148" t="s">
        <v>9685</v>
      </c>
      <c r="T28" s="148" t="s">
        <v>9685</v>
      </c>
      <c r="U28" s="148" t="s">
        <v>9683</v>
      </c>
      <c r="V28" s="148" t="s">
        <v>9685</v>
      </c>
      <c r="W28" s="148" t="s">
        <v>9685</v>
      </c>
      <c r="X28" s="148" t="s">
        <v>9685</v>
      </c>
      <c r="Y28" s="148" t="s">
        <v>9685</v>
      </c>
      <c r="Z28" s="148" t="s">
        <v>9683</v>
      </c>
      <c r="AA28" s="148" t="s">
        <v>9683</v>
      </c>
      <c r="AB28" s="148" t="s">
        <v>9683</v>
      </c>
      <c r="AC28" s="148" t="s">
        <v>9683</v>
      </c>
      <c r="AD28" s="148" t="s">
        <v>9683</v>
      </c>
      <c r="AE28" s="148" t="s">
        <v>9683</v>
      </c>
      <c r="AF28" s="148" t="s">
        <v>9675</v>
      </c>
      <c r="AG28" s="148" t="s">
        <v>9683</v>
      </c>
      <c r="AH28" s="148" t="s">
        <v>9683</v>
      </c>
      <c r="AI28" s="148" t="s">
        <v>9675</v>
      </c>
      <c r="AJ28" s="148" t="s">
        <v>9678</v>
      </c>
      <c r="AK28" s="148" t="s">
        <v>9678</v>
      </c>
      <c r="AL28" s="148" t="s">
        <v>9683</v>
      </c>
      <c r="AM28" s="148" t="s">
        <v>9674</v>
      </c>
      <c r="AN28" s="148" t="s">
        <v>9674</v>
      </c>
      <c r="AO28" s="148" t="s">
        <v>9674</v>
      </c>
      <c r="AP28" s="148" t="s">
        <v>9685</v>
      </c>
      <c r="AQ28" s="148" t="s">
        <v>9685</v>
      </c>
      <c r="AR28" s="148" t="s">
        <v>9683</v>
      </c>
      <c r="AS28" s="148" t="s">
        <v>9683</v>
      </c>
      <c r="AT28" s="148" t="s">
        <v>9683</v>
      </c>
      <c r="AU28" s="148" t="s">
        <v>9683</v>
      </c>
      <c r="AV28" s="148" t="s">
        <v>9683</v>
      </c>
      <c r="AW28" s="148" t="s">
        <v>9685</v>
      </c>
      <c r="AX28" s="148" t="s">
        <v>9685</v>
      </c>
      <c r="AY28" s="148" t="s">
        <v>9685</v>
      </c>
      <c r="AZ28" s="148" t="s">
        <v>9685</v>
      </c>
      <c r="BA28" s="148" t="s">
        <v>9683</v>
      </c>
      <c r="BB28" s="148" t="s">
        <v>9674</v>
      </c>
      <c r="BC28" s="148" t="s">
        <v>9678</v>
      </c>
      <c r="BD28" s="148" t="s">
        <v>9678</v>
      </c>
      <c r="BE28" s="148" t="s">
        <v>9684</v>
      </c>
      <c r="BF28" s="148" t="s">
        <v>9684</v>
      </c>
      <c r="BG28" s="148" t="s">
        <v>9683</v>
      </c>
      <c r="BH28" s="148" t="s">
        <v>9683</v>
      </c>
      <c r="BI28" s="148" t="s">
        <v>9686</v>
      </c>
      <c r="BJ28" s="148" t="s">
        <v>9674</v>
      </c>
      <c r="BK28" s="148" t="s">
        <v>9674</v>
      </c>
      <c r="BL28" s="148" t="s">
        <v>9674</v>
      </c>
      <c r="BM28" s="148" t="s">
        <v>9674</v>
      </c>
      <c r="BN28" s="148" t="s">
        <v>9674</v>
      </c>
      <c r="BO28" s="148" t="s">
        <v>9684</v>
      </c>
      <c r="BP28" s="148" t="s">
        <v>9684</v>
      </c>
      <c r="BQ28" s="148" t="s">
        <v>9684</v>
      </c>
      <c r="BR28" s="148" t="s">
        <v>9683</v>
      </c>
      <c r="BS28" s="148" t="s">
        <v>9683</v>
      </c>
      <c r="BT28" s="148" t="s">
        <v>9683</v>
      </c>
      <c r="BU28" s="148" t="s">
        <v>9686</v>
      </c>
      <c r="BV28" s="148" t="s">
        <v>9686</v>
      </c>
      <c r="BW28" s="148" t="s">
        <v>9683</v>
      </c>
      <c r="BX28" s="148" t="s">
        <v>9683</v>
      </c>
      <c r="BY28" s="148" t="s">
        <v>9674</v>
      </c>
      <c r="BZ28" s="148" t="s">
        <v>9685</v>
      </c>
      <c r="CA28" s="148" t="s">
        <v>9685</v>
      </c>
      <c r="CB28" s="148" t="s">
        <v>9674</v>
      </c>
      <c r="CC28" s="148" t="s">
        <v>9678</v>
      </c>
      <c r="CD28" s="148" t="s">
        <v>9685</v>
      </c>
      <c r="CE28" s="148" t="s">
        <v>9685</v>
      </c>
      <c r="CF28" s="148" t="s">
        <v>9685</v>
      </c>
      <c r="CG28" s="148" t="s">
        <v>9685</v>
      </c>
      <c r="CH28" s="148" t="s">
        <v>9685</v>
      </c>
      <c r="CI28" s="148" t="s">
        <v>9686</v>
      </c>
      <c r="CJ28" s="148" t="s">
        <v>9686</v>
      </c>
      <c r="CK28" s="148" t="s">
        <v>9685</v>
      </c>
      <c r="CL28" s="148" t="s">
        <v>9683</v>
      </c>
      <c r="CM28" s="148" t="s">
        <v>9686</v>
      </c>
      <c r="CN28" s="148" t="s">
        <v>9686</v>
      </c>
      <c r="CO28" s="148" t="s">
        <v>9685</v>
      </c>
      <c r="CP28" s="148" t="s">
        <v>9685</v>
      </c>
      <c r="CQ28" s="148" t="s">
        <v>9683</v>
      </c>
      <c r="CR28" s="148" t="s">
        <v>9683</v>
      </c>
      <c r="CS28" s="148" t="s">
        <v>9674</v>
      </c>
      <c r="CT28" s="148" t="s">
        <v>9674</v>
      </c>
      <c r="CU28" s="148" t="s">
        <v>9686</v>
      </c>
      <c r="CV28" s="148" t="s">
        <v>9686</v>
      </c>
      <c r="CW28" s="148" t="s">
        <v>9687</v>
      </c>
      <c r="CX28" s="148" t="s">
        <v>9687</v>
      </c>
      <c r="CY28" s="148" t="s">
        <v>9683</v>
      </c>
      <c r="CZ28" s="148" t="s">
        <v>9683</v>
      </c>
      <c r="DA28" s="148" t="s">
        <v>9683</v>
      </c>
      <c r="DB28" s="148" t="s">
        <v>9683</v>
      </c>
      <c r="DC28" s="148" t="s">
        <v>9684</v>
      </c>
      <c r="DD28" s="148" t="s">
        <v>9684</v>
      </c>
      <c r="DE28" s="148" t="s">
        <v>9674</v>
      </c>
      <c r="DF28" s="148" t="s">
        <v>9685</v>
      </c>
      <c r="DG28" s="148" t="s">
        <v>9685</v>
      </c>
      <c r="DH28" s="148" t="s">
        <v>9683</v>
      </c>
      <c r="DI28" s="148" t="s">
        <v>9674</v>
      </c>
      <c r="DJ28" s="148" t="s">
        <v>9678</v>
      </c>
      <c r="DK28" s="148" t="s">
        <v>9683</v>
      </c>
      <c r="DL28" s="148" t="s">
        <v>9675</v>
      </c>
      <c r="DM28" s="148" t="s">
        <v>9686</v>
      </c>
      <c r="DN28" s="148" t="s">
        <v>9686</v>
      </c>
      <c r="DO28" s="148" t="s">
        <v>9686</v>
      </c>
      <c r="DP28" s="148" t="s">
        <v>9686</v>
      </c>
      <c r="DQ28" s="148" t="s">
        <v>9686</v>
      </c>
      <c r="DR28" s="148" t="s">
        <v>9686</v>
      </c>
      <c r="DS28" s="148" t="s">
        <v>9674</v>
      </c>
      <c r="DT28" s="148" t="s">
        <v>9685</v>
      </c>
      <c r="DU28" s="148" t="s">
        <v>9678</v>
      </c>
      <c r="DV28" s="148" t="s">
        <v>9683</v>
      </c>
      <c r="DW28" s="148" t="s">
        <v>9683</v>
      </c>
      <c r="DX28" s="148" t="s">
        <v>9684</v>
      </c>
      <c r="DY28" s="148" t="s">
        <v>9683</v>
      </c>
      <c r="DZ28" s="148"/>
      <c r="EA28" s="148" t="s">
        <v>9674</v>
      </c>
      <c r="EB28" s="148" t="s">
        <v>9674</v>
      </c>
      <c r="EC28" s="148"/>
      <c r="ED28" s="148" t="s">
        <v>9685</v>
      </c>
      <c r="EE28" s="148" t="s">
        <v>9674</v>
      </c>
      <c r="EF28" s="148" t="s">
        <v>9683</v>
      </c>
      <c r="EG28" s="148" t="s">
        <v>9683</v>
      </c>
      <c r="EH28" s="148" t="s">
        <v>9685</v>
      </c>
      <c r="EI28" s="148" t="s">
        <v>9686</v>
      </c>
      <c r="EJ28" s="148" t="s">
        <v>9686</v>
      </c>
      <c r="EK28" s="148" t="s">
        <v>9686</v>
      </c>
      <c r="EL28" s="148" t="s">
        <v>9686</v>
      </c>
      <c r="EM28" s="148" t="s">
        <v>9674</v>
      </c>
      <c r="EN28" s="148" t="s">
        <v>9674</v>
      </c>
      <c r="EO28" s="148" t="s">
        <v>9674</v>
      </c>
      <c r="EP28" s="148" t="s">
        <v>9683</v>
      </c>
      <c r="EQ28" s="148" t="s">
        <v>9683</v>
      </c>
      <c r="ER28" s="148" t="s">
        <v>9686</v>
      </c>
      <c r="ES28" s="148" t="s">
        <v>9686</v>
      </c>
      <c r="ET28" s="148" t="s">
        <v>9677</v>
      </c>
      <c r="EU28" s="148" t="s">
        <v>9678</v>
      </c>
      <c r="EV28" s="148"/>
      <c r="EW28" s="148" t="s">
        <v>9683</v>
      </c>
      <c r="EX28" s="148" t="s">
        <v>9683</v>
      </c>
      <c r="EY28" s="148" t="s">
        <v>9683</v>
      </c>
      <c r="EZ28" s="148" t="s">
        <v>9685</v>
      </c>
      <c r="FA28" s="148" t="s">
        <v>9674</v>
      </c>
      <c r="FB28" s="148" t="s">
        <v>9674</v>
      </c>
      <c r="FC28" s="148" t="s">
        <v>9674</v>
      </c>
      <c r="FD28" s="148" t="s">
        <v>9675</v>
      </c>
      <c r="FE28" s="148" t="s">
        <v>9677</v>
      </c>
      <c r="FF28" s="148" t="s">
        <v>9674</v>
      </c>
      <c r="FG28" s="148" t="s">
        <v>9674</v>
      </c>
      <c r="FH28" s="148" t="s">
        <v>9685</v>
      </c>
      <c r="FI28" s="148" t="s">
        <v>9685</v>
      </c>
      <c r="FJ28" s="148" t="s">
        <v>9683</v>
      </c>
      <c r="FK28" s="148" t="s">
        <v>9683</v>
      </c>
      <c r="FL28" s="148" t="s">
        <v>9685</v>
      </c>
      <c r="FM28" s="148" t="s">
        <v>9685</v>
      </c>
      <c r="FN28" s="148" t="s">
        <v>9685</v>
      </c>
      <c r="FO28" s="148" t="s">
        <v>9686</v>
      </c>
      <c r="FP28" s="148" t="s">
        <v>9686</v>
      </c>
      <c r="FQ28" s="148" t="s">
        <v>9688</v>
      </c>
      <c r="FR28" s="148" t="s">
        <v>9683</v>
      </c>
      <c r="FS28" s="148" t="s">
        <v>9683</v>
      </c>
      <c r="FT28" s="148" t="s">
        <v>9683</v>
      </c>
      <c r="FU28" s="148" t="s">
        <v>9674</v>
      </c>
      <c r="FV28" s="148" t="s">
        <v>9683</v>
      </c>
      <c r="FW28" s="148" t="s">
        <v>9683</v>
      </c>
      <c r="FX28" s="148" t="s">
        <v>9688</v>
      </c>
      <c r="FY28" s="148" t="s">
        <v>9683</v>
      </c>
      <c r="FZ28" s="148" t="s">
        <v>9683</v>
      </c>
      <c r="GA28" s="148" t="s">
        <v>9683</v>
      </c>
      <c r="GB28" s="148" t="s">
        <v>9674</v>
      </c>
      <c r="GC28" s="148" t="s">
        <v>9674</v>
      </c>
      <c r="GD28" s="148" t="s">
        <v>9674</v>
      </c>
      <c r="GE28" s="148" t="s">
        <v>9674</v>
      </c>
      <c r="GF28" s="148" t="s">
        <v>9683</v>
      </c>
      <c r="GG28" s="148" t="s">
        <v>9683</v>
      </c>
      <c r="GH28" s="148" t="s">
        <v>9683</v>
      </c>
      <c r="GI28" s="148" t="s">
        <v>9674</v>
      </c>
      <c r="GJ28" s="148" t="s">
        <v>9683</v>
      </c>
      <c r="GK28" s="148" t="s">
        <v>9683</v>
      </c>
      <c r="GL28" s="148" t="s">
        <v>9685</v>
      </c>
      <c r="GM28" s="148" t="s">
        <v>9686</v>
      </c>
      <c r="GN28" s="148" t="s">
        <v>9674</v>
      </c>
      <c r="GO28" s="148" t="s">
        <v>9683</v>
      </c>
      <c r="GP28" s="148" t="s">
        <v>9685</v>
      </c>
      <c r="GQ28" s="148" t="s">
        <v>9683</v>
      </c>
      <c r="GR28" s="148" t="s">
        <v>9678</v>
      </c>
      <c r="GS28" s="148" t="s">
        <v>9683</v>
      </c>
      <c r="GT28" s="148"/>
      <c r="GU28" s="148"/>
      <c r="GV28" s="148" t="s">
        <v>9683</v>
      </c>
      <c r="GW28" s="148" t="s">
        <v>9685</v>
      </c>
      <c r="GX28" s="148" t="s">
        <v>9685</v>
      </c>
      <c r="GY28" s="148" t="s">
        <v>9674</v>
      </c>
      <c r="GZ28" s="148" t="s">
        <v>9685</v>
      </c>
      <c r="HA28" s="148" t="s">
        <v>9683</v>
      </c>
      <c r="HB28" s="148" t="s">
        <v>9675</v>
      </c>
      <c r="HC28" s="148" t="s">
        <v>9675</v>
      </c>
      <c r="HD28" s="148" t="s">
        <v>9686</v>
      </c>
      <c r="HE28" s="148" t="s">
        <v>9685</v>
      </c>
      <c r="HF28" s="148" t="s">
        <v>9685</v>
      </c>
      <c r="HG28" s="148" t="s">
        <v>9684</v>
      </c>
      <c r="HH28" s="148" t="s">
        <v>9674</v>
      </c>
      <c r="HI28" s="148" t="s">
        <v>9674</v>
      </c>
      <c r="HJ28" s="148" t="s">
        <v>9674</v>
      </c>
      <c r="HK28" s="148" t="s">
        <v>9685</v>
      </c>
      <c r="HL28" s="148" t="s">
        <v>9685</v>
      </c>
      <c r="HM28" s="148" t="s">
        <v>9686</v>
      </c>
      <c r="HN28" s="148" t="s">
        <v>9686</v>
      </c>
      <c r="HO28" s="148" t="s">
        <v>9674</v>
      </c>
      <c r="HP28" s="148" t="s">
        <v>9682</v>
      </c>
      <c r="HQ28" s="148" t="s">
        <v>9682</v>
      </c>
      <c r="HR28" s="148" t="s">
        <v>9674</v>
      </c>
      <c r="HS28" s="148" t="s">
        <v>9686</v>
      </c>
      <c r="HT28" s="148" t="s">
        <v>9683</v>
      </c>
      <c r="HU28" s="148" t="s">
        <v>9683</v>
      </c>
      <c r="HV28" s="148" t="s">
        <v>9683</v>
      </c>
      <c r="HW28" s="148" t="s">
        <v>9686</v>
      </c>
      <c r="HX28" s="148" t="s">
        <v>9683</v>
      </c>
      <c r="HY28" s="148" t="s">
        <v>9683</v>
      </c>
      <c r="HZ28" s="148" t="s">
        <v>9685</v>
      </c>
      <c r="IA28" s="148" t="s">
        <v>9674</v>
      </c>
      <c r="IB28" s="148"/>
      <c r="IC28" s="148" t="s">
        <v>9683</v>
      </c>
      <c r="ID28" s="148" t="s">
        <v>9683</v>
      </c>
      <c r="IE28" s="148" t="s">
        <v>9674</v>
      </c>
      <c r="IF28" s="148" t="s">
        <v>9683</v>
      </c>
      <c r="IG28" s="148" t="s">
        <v>9683</v>
      </c>
      <c r="IH28" s="148" t="s">
        <v>9674</v>
      </c>
      <c r="II28" s="148" t="s">
        <v>9678</v>
      </c>
      <c r="IJ28" s="148" t="s">
        <v>9674</v>
      </c>
      <c r="IK28" s="148" t="s">
        <v>9674</v>
      </c>
      <c r="IL28" s="148" t="s">
        <v>9675</v>
      </c>
      <c r="IM28" s="148" t="s">
        <v>9685</v>
      </c>
      <c r="IN28" s="148" t="s">
        <v>9685</v>
      </c>
      <c r="IO28" s="148" t="s">
        <v>9677</v>
      </c>
      <c r="IP28" s="148" t="s">
        <v>9675</v>
      </c>
      <c r="IQ28" s="148" t="s">
        <v>9674</v>
      </c>
      <c r="IR28" s="148" t="s">
        <v>9674</v>
      </c>
      <c r="IS28" s="148" t="s">
        <v>9682</v>
      </c>
      <c r="IT28" s="148" t="s">
        <v>9682</v>
      </c>
      <c r="IU28" s="148" t="s">
        <v>9675</v>
      </c>
      <c r="IV28" s="148" t="s">
        <v>9685</v>
      </c>
      <c r="IW28" s="148" t="s">
        <v>9684</v>
      </c>
      <c r="IX28" s="148" t="s">
        <v>9674</v>
      </c>
      <c r="IY28" s="148" t="s">
        <v>9686</v>
      </c>
      <c r="IZ28" s="148" t="s">
        <v>9686</v>
      </c>
      <c r="JA28" s="148" t="s">
        <v>9675</v>
      </c>
      <c r="JB28" s="148" t="s">
        <v>9683</v>
      </c>
      <c r="JC28" s="148" t="s">
        <v>9683</v>
      </c>
      <c r="JD28" s="148" t="s">
        <v>9683</v>
      </c>
      <c r="JE28" s="148" t="s">
        <v>9674</v>
      </c>
      <c r="JF28" s="148"/>
      <c r="JG28" s="148"/>
      <c r="JH28" s="148" t="s">
        <v>9685</v>
      </c>
      <c r="JI28" s="148"/>
      <c r="JJ28" s="148" t="s">
        <v>9685</v>
      </c>
      <c r="JK28" s="1746" t="s">
        <v>9686</v>
      </c>
      <c r="JL28" s="1746" t="s">
        <v>9686</v>
      </c>
      <c r="JM28" s="1746" t="s">
        <v>9674</v>
      </c>
      <c r="JN28" s="1746" t="s">
        <v>9683</v>
      </c>
      <c r="JO28" s="1746" t="s">
        <v>9683</v>
      </c>
      <c r="JP28" s="1746" t="s">
        <v>9683</v>
      </c>
      <c r="JQ28" s="1746" t="s">
        <v>9685</v>
      </c>
      <c r="JR28" s="1746" t="s">
        <v>9685</v>
      </c>
      <c r="JS28" s="148" t="s">
        <v>9686</v>
      </c>
      <c r="JT28" s="148" t="s">
        <v>9686</v>
      </c>
      <c r="JU28" s="148" t="s">
        <v>9683</v>
      </c>
      <c r="JV28" s="148" t="s">
        <v>9683</v>
      </c>
      <c r="JW28" s="148" t="s">
        <v>9683</v>
      </c>
      <c r="JX28" s="1746" t="s">
        <v>9683</v>
      </c>
      <c r="JY28" s="1746" t="s">
        <v>9683</v>
      </c>
      <c r="JZ28" s="1746" t="s">
        <v>9683</v>
      </c>
      <c r="KA28" s="1746" t="s">
        <v>9684</v>
      </c>
      <c r="KB28" s="1746" t="s">
        <v>9674</v>
      </c>
      <c r="KC28" s="148" t="s">
        <v>9675</v>
      </c>
      <c r="KD28" s="1746" t="s">
        <v>9675</v>
      </c>
      <c r="KE28" s="1746" t="s">
        <v>9685</v>
      </c>
      <c r="KF28" s="148" t="s">
        <v>9685</v>
      </c>
      <c r="KG28" s="1746" t="s">
        <v>9685</v>
      </c>
      <c r="KH28" s="1746" t="s">
        <v>9674</v>
      </c>
      <c r="KI28" s="1746" t="s">
        <v>9674</v>
      </c>
      <c r="KJ28" s="148" t="s">
        <v>9674</v>
      </c>
      <c r="KK28" s="1746" t="s">
        <v>9684</v>
      </c>
      <c r="KL28" s="1746" t="s">
        <v>9684</v>
      </c>
      <c r="KM28" s="1746" t="s">
        <v>9686</v>
      </c>
      <c r="KN28" s="1746" t="s">
        <v>9685</v>
      </c>
      <c r="KO28" s="148" t="s">
        <v>9674</v>
      </c>
      <c r="KP28" s="1746" t="s">
        <v>9674</v>
      </c>
      <c r="KQ28" s="148" t="s">
        <v>9678</v>
      </c>
      <c r="KR28" s="148" t="s">
        <v>9683</v>
      </c>
      <c r="KS28" s="1746" t="s">
        <v>9674</v>
      </c>
      <c r="KT28" s="1746" t="s">
        <v>9674</v>
      </c>
      <c r="KU28" s="148" t="s">
        <v>9677</v>
      </c>
      <c r="KV28" s="1746" t="s">
        <v>9674</v>
      </c>
      <c r="KW28" s="148" t="s">
        <v>9674</v>
      </c>
      <c r="KX28" s="1746" t="s">
        <v>9683</v>
      </c>
      <c r="KY28" s="1746" t="s">
        <v>9683</v>
      </c>
      <c r="KZ28" s="1746" t="s">
        <v>9688</v>
      </c>
      <c r="LA28" s="1746" t="s">
        <v>9688</v>
      </c>
      <c r="LB28" s="1746" t="s">
        <v>9674</v>
      </c>
      <c r="LC28" s="1746" t="s">
        <v>9674</v>
      </c>
      <c r="LD28" s="148" t="s">
        <v>9683</v>
      </c>
      <c r="LE28" s="1746" t="s">
        <v>9682</v>
      </c>
      <c r="LF28" s="1746" t="s">
        <v>9682</v>
      </c>
      <c r="LG28" s="1746" t="s">
        <v>9686</v>
      </c>
      <c r="LH28" s="148" t="s">
        <v>9674</v>
      </c>
      <c r="LI28" s="1746" t="s">
        <v>9674</v>
      </c>
      <c r="LJ28" s="1746" t="s">
        <v>9674</v>
      </c>
      <c r="LK28" s="1746" t="s">
        <v>9685</v>
      </c>
      <c r="LL28" s="1746" t="s">
        <v>9683</v>
      </c>
      <c r="LM28" s="1746" t="s">
        <v>9685</v>
      </c>
      <c r="LN28" s="1746" t="s">
        <v>9683</v>
      </c>
      <c r="LO28" s="1746" t="s">
        <v>9674</v>
      </c>
      <c r="LP28" s="148" t="s">
        <v>9678</v>
      </c>
      <c r="LQ28" s="1746" t="s">
        <v>9685</v>
      </c>
      <c r="LR28" s="1746" t="s">
        <v>9685</v>
      </c>
      <c r="LS28" s="148" t="s">
        <v>9683</v>
      </c>
      <c r="LT28" s="1746" t="s">
        <v>9682</v>
      </c>
      <c r="LU28" s="148" t="s">
        <v>9682</v>
      </c>
      <c r="LV28" s="1746" t="s">
        <v>9685</v>
      </c>
      <c r="LW28" s="148" t="s">
        <v>9674</v>
      </c>
      <c r="LX28" s="148" t="s">
        <v>9675</v>
      </c>
      <c r="LY28" s="1746" t="s">
        <v>9685</v>
      </c>
      <c r="LZ28" s="1746" t="s">
        <v>9683</v>
      </c>
      <c r="MA28" s="1746" t="s">
        <v>9683</v>
      </c>
      <c r="MB28" s="1746" t="s">
        <v>9686</v>
      </c>
      <c r="MC28" s="148" t="s">
        <v>9686</v>
      </c>
      <c r="MD28" s="1746" t="s">
        <v>9686</v>
      </c>
      <c r="ME28" s="1746" t="s">
        <v>9686</v>
      </c>
      <c r="MF28" s="1746" t="s">
        <v>9683</v>
      </c>
      <c r="MG28" s="148" t="s">
        <v>9683</v>
      </c>
      <c r="MH28" s="1746" t="s">
        <v>9683</v>
      </c>
      <c r="MI28" s="1746" t="s">
        <v>9683</v>
      </c>
      <c r="MJ28" s="1746" t="s">
        <v>9683</v>
      </c>
      <c r="MK28" s="1746" t="s">
        <v>9683</v>
      </c>
      <c r="ML28" s="1746" t="s">
        <v>9686</v>
      </c>
      <c r="MM28" s="148" t="s">
        <v>9686</v>
      </c>
      <c r="MN28" s="148" t="s">
        <v>9686</v>
      </c>
      <c r="MO28" s="148" t="s">
        <v>9674</v>
      </c>
      <c r="MP28" s="1746" t="s">
        <v>9683</v>
      </c>
      <c r="MQ28" s="1746" t="s">
        <v>9683</v>
      </c>
      <c r="MR28" s="1746" t="s">
        <v>9683</v>
      </c>
      <c r="MS28" s="148" t="s">
        <v>9674</v>
      </c>
      <c r="MT28" s="148" t="s">
        <v>9682</v>
      </c>
      <c r="MU28" s="1746" t="s">
        <v>9683</v>
      </c>
      <c r="MV28" s="148" t="s">
        <v>9674</v>
      </c>
      <c r="MW28" s="1746"/>
      <c r="MX28" s="1746" t="s">
        <v>9686</v>
      </c>
      <c r="MY28" s="148" t="s">
        <v>9686</v>
      </c>
      <c r="MZ28" s="1746" t="s">
        <v>9686</v>
      </c>
      <c r="NA28" s="1746" t="s">
        <v>9674</v>
      </c>
      <c r="NB28" s="148" t="s">
        <v>9674</v>
      </c>
      <c r="NC28" s="1746" t="s">
        <v>9686</v>
      </c>
      <c r="ND28" s="1746" t="s">
        <v>9686</v>
      </c>
      <c r="NE28" s="1746" t="s">
        <v>9686</v>
      </c>
      <c r="NF28" s="148" t="s">
        <v>9674</v>
      </c>
      <c r="NG28" s="1746" t="s">
        <v>9686</v>
      </c>
      <c r="NH28" s="1746" t="s">
        <v>9674</v>
      </c>
      <c r="NI28" s="148" t="s">
        <v>9674</v>
      </c>
      <c r="NJ28" s="148" t="s">
        <v>9674</v>
      </c>
      <c r="NK28" s="1746"/>
      <c r="NL28" s="1746" t="s">
        <v>9685</v>
      </c>
      <c r="NM28" s="1746" t="s">
        <v>9685</v>
      </c>
      <c r="NN28" s="1746" t="s">
        <v>9683</v>
      </c>
      <c r="NO28" s="1746" t="s">
        <v>9686</v>
      </c>
      <c r="NP28" s="1746" t="s">
        <v>9683</v>
      </c>
      <c r="NQ28" s="1746" t="s">
        <v>9678</v>
      </c>
      <c r="NR28" s="1746" t="s">
        <v>9678</v>
      </c>
      <c r="NS28" s="1746" t="s">
        <v>9675</v>
      </c>
      <c r="NT28" s="1746" t="s">
        <v>9674</v>
      </c>
      <c r="NU28" s="1746" t="s">
        <v>9675</v>
      </c>
      <c r="NV28" s="1746" t="s">
        <v>9674</v>
      </c>
      <c r="NW28" s="1746" t="s">
        <v>9678</v>
      </c>
      <c r="NX28" s="1746" t="s">
        <v>9678</v>
      </c>
      <c r="NY28" s="1746" t="s">
        <v>9678</v>
      </c>
      <c r="NZ28" s="1746" t="s">
        <v>9678</v>
      </c>
      <c r="OA28" s="1746" t="s">
        <v>9683</v>
      </c>
      <c r="OB28" s="1746" t="s">
        <v>9683</v>
      </c>
      <c r="OC28" s="1746" t="s">
        <v>9682</v>
      </c>
      <c r="OD28" s="1746" t="s">
        <v>9684</v>
      </c>
      <c r="OE28" s="1746" t="s">
        <v>9684</v>
      </c>
      <c r="OF28" s="1746" t="s">
        <v>9675</v>
      </c>
      <c r="OG28" s="1746" t="s">
        <v>9686</v>
      </c>
      <c r="OH28" s="1746" t="s">
        <v>9686</v>
      </c>
      <c r="OI28" s="1746" t="s">
        <v>9674</v>
      </c>
      <c r="OJ28" s="1746" t="s">
        <v>9685</v>
      </c>
      <c r="OK28" s="1746" t="s">
        <v>9685</v>
      </c>
      <c r="OL28" s="1746" t="s">
        <v>9685</v>
      </c>
      <c r="OM28" s="1746" t="s">
        <v>9685</v>
      </c>
      <c r="ON28" s="1746" t="s">
        <v>9674</v>
      </c>
      <c r="OO28" s="1746"/>
      <c r="OP28" s="148" t="s">
        <v>9685</v>
      </c>
      <c r="OQ28" s="1746" t="s">
        <v>9683</v>
      </c>
      <c r="OR28" s="1746" t="s">
        <v>9683</v>
      </c>
      <c r="OS28" s="1746" t="s">
        <v>9683</v>
      </c>
      <c r="OT28" s="1746" t="s">
        <v>9683</v>
      </c>
      <c r="OU28" s="1746" t="s">
        <v>9683</v>
      </c>
      <c r="OV28" s="1746" t="s">
        <v>9683</v>
      </c>
      <c r="OW28" s="1746" t="s">
        <v>9674</v>
      </c>
      <c r="OX28" s="1746" t="s">
        <v>9683</v>
      </c>
      <c r="OY28" s="1746" t="s">
        <v>9683</v>
      </c>
      <c r="OZ28" s="1746"/>
      <c r="PA28" s="1746" t="s">
        <v>9683</v>
      </c>
      <c r="PB28" s="1746" t="s">
        <v>9685</v>
      </c>
      <c r="PC28" s="1746" t="s">
        <v>9685</v>
      </c>
      <c r="PD28" s="1746" t="s">
        <v>9685</v>
      </c>
      <c r="PE28" s="1746" t="s">
        <v>9689</v>
      </c>
      <c r="PF28" s="1746" t="s">
        <v>9685</v>
      </c>
      <c r="PG28" s="148" t="s">
        <v>9688</v>
      </c>
      <c r="PH28" s="1746" t="s">
        <v>9674</v>
      </c>
      <c r="PI28" s="1746" t="s">
        <v>9675</v>
      </c>
      <c r="PJ28" s="1746" t="s">
        <v>9683</v>
      </c>
      <c r="PK28" s="1746" t="s">
        <v>9683</v>
      </c>
      <c r="PL28" s="1746" t="s">
        <v>9686</v>
      </c>
      <c r="PM28" s="1746" t="s">
        <v>9686</v>
      </c>
      <c r="PN28" s="1746" t="s">
        <v>9674</v>
      </c>
      <c r="PO28" s="1746" t="s">
        <v>9683</v>
      </c>
      <c r="PP28" s="1746" t="s">
        <v>9683</v>
      </c>
      <c r="PQ28" s="1746" t="s">
        <v>9683</v>
      </c>
      <c r="PR28" s="148" t="s">
        <v>9674</v>
      </c>
      <c r="PS28" s="1746" t="s">
        <v>9683</v>
      </c>
      <c r="PT28" s="1746" t="s">
        <v>9683</v>
      </c>
      <c r="PU28" s="1746" t="s">
        <v>9683</v>
      </c>
      <c r="PV28" s="1746" t="s">
        <v>9674</v>
      </c>
      <c r="PW28" s="1746" t="s">
        <v>9683</v>
      </c>
      <c r="PX28" s="1746" t="s">
        <v>9683</v>
      </c>
      <c r="PY28" s="148" t="s">
        <v>9683</v>
      </c>
      <c r="PZ28" s="1746" t="s">
        <v>9683</v>
      </c>
      <c r="QA28" s="1746" t="s">
        <v>9683</v>
      </c>
      <c r="QB28" s="1746" t="s">
        <v>9683</v>
      </c>
      <c r="QC28" s="1746" t="s">
        <v>9674</v>
      </c>
      <c r="QD28" s="1746" t="s">
        <v>9686</v>
      </c>
      <c r="QE28" s="1746" t="s">
        <v>9685</v>
      </c>
      <c r="QF28" s="1746" t="s">
        <v>9674</v>
      </c>
      <c r="QG28" s="1746" t="s">
        <v>9674</v>
      </c>
      <c r="QH28" s="1746" t="s">
        <v>9674</v>
      </c>
      <c r="QI28" s="1746" t="s">
        <v>9674</v>
      </c>
      <c r="QJ28" s="1746" t="s">
        <v>9674</v>
      </c>
      <c r="QK28" s="1746" t="s">
        <v>9674</v>
      </c>
      <c r="QL28" s="148" t="s">
        <v>9678</v>
      </c>
      <c r="QM28" s="1746" t="s">
        <v>9674</v>
      </c>
      <c r="QN28" s="1746" t="s">
        <v>9674</v>
      </c>
      <c r="QO28" s="1746" t="s">
        <v>9685</v>
      </c>
      <c r="QP28" s="1746" t="s">
        <v>9683</v>
      </c>
      <c r="QQ28" s="1746" t="s">
        <v>9684</v>
      </c>
      <c r="QR28" s="1746" t="s">
        <v>9684</v>
      </c>
      <c r="QS28" s="1746" t="s">
        <v>9683</v>
      </c>
      <c r="QT28" s="1746" t="s">
        <v>9686</v>
      </c>
      <c r="QU28" s="1746" t="s">
        <v>9686</v>
      </c>
      <c r="QV28" s="1746" t="s">
        <v>9686</v>
      </c>
      <c r="QW28" s="148" t="s">
        <v>9686</v>
      </c>
      <c r="QX28" s="148" t="s">
        <v>9674</v>
      </c>
      <c r="QY28" s="148" t="s">
        <v>9674</v>
      </c>
      <c r="QZ28" s="148" t="s">
        <v>9685</v>
      </c>
      <c r="RA28" s="148" t="s">
        <v>9674</v>
      </c>
      <c r="RB28" s="148" t="s">
        <v>9674</v>
      </c>
      <c r="RC28" s="1746" t="s">
        <v>9683</v>
      </c>
      <c r="RD28" s="148" t="s">
        <v>9683</v>
      </c>
      <c r="RE28" s="1746" t="s">
        <v>9683</v>
      </c>
      <c r="RF28" s="148" t="s">
        <v>9674</v>
      </c>
      <c r="RG28" s="148" t="s">
        <v>9685</v>
      </c>
      <c r="RH28" s="1746" t="s">
        <v>9682</v>
      </c>
      <c r="RI28" s="1746" t="s">
        <v>9674</v>
      </c>
      <c r="RJ28" s="148" t="s">
        <v>9685</v>
      </c>
      <c r="RK28" s="148" t="s">
        <v>9686</v>
      </c>
      <c r="RL28" s="148" t="s">
        <v>9685</v>
      </c>
      <c r="RM28" s="148" t="s">
        <v>9674</v>
      </c>
      <c r="RN28" s="148" t="s">
        <v>9685</v>
      </c>
      <c r="RO28" s="148" t="s">
        <v>9674</v>
      </c>
      <c r="RP28" s="148" t="s">
        <v>9686</v>
      </c>
      <c r="RQ28" s="1746" t="s">
        <v>9685</v>
      </c>
      <c r="RR28" s="1746" t="s">
        <v>9685</v>
      </c>
      <c r="RS28" s="1746" t="s">
        <v>9685</v>
      </c>
      <c r="RT28" s="1746" t="s">
        <v>9685</v>
      </c>
      <c r="RU28" s="1746" t="s">
        <v>9685</v>
      </c>
      <c r="RV28" s="1746" t="s">
        <v>9685</v>
      </c>
      <c r="RW28" s="1746" t="s">
        <v>9674</v>
      </c>
      <c r="RX28" s="1746" t="s">
        <v>9674</v>
      </c>
      <c r="RY28" s="1746" t="s">
        <v>9674</v>
      </c>
      <c r="RZ28" s="148" t="s">
        <v>9674</v>
      </c>
      <c r="SA28" s="1746" t="s">
        <v>9677</v>
      </c>
      <c r="SB28" s="1746" t="s">
        <v>9683</v>
      </c>
      <c r="SC28" s="148" t="s">
        <v>9683</v>
      </c>
      <c r="SD28" s="1746" t="s">
        <v>9675</v>
      </c>
      <c r="SE28" s="1746" t="s">
        <v>9675</v>
      </c>
      <c r="SF28" s="1746" t="s">
        <v>9683</v>
      </c>
      <c r="SG28" s="1746" t="s">
        <v>9686</v>
      </c>
      <c r="SH28" s="1746" t="s">
        <v>9674</v>
      </c>
      <c r="SI28" s="1746" t="s">
        <v>9674</v>
      </c>
      <c r="SJ28" s="1746" t="s">
        <v>9683</v>
      </c>
      <c r="SK28" s="1746" t="s">
        <v>9683</v>
      </c>
      <c r="SL28" s="1747" t="s">
        <v>9684</v>
      </c>
    </row>
    <row r="29" ht="15.75" customHeight="1">
      <c r="A29" s="1517"/>
      <c r="B29" s="131" t="s">
        <v>9685</v>
      </c>
      <c r="C29" s="131" t="s">
        <v>9685</v>
      </c>
      <c r="D29" s="131" t="s">
        <v>9683</v>
      </c>
      <c r="E29" s="1739" t="s">
        <v>9683</v>
      </c>
      <c r="F29" s="1739" t="s">
        <v>9683</v>
      </c>
      <c r="G29" s="1739" t="s">
        <v>9674</v>
      </c>
      <c r="H29" s="387" t="s">
        <v>9686</v>
      </c>
      <c r="I29" s="387" t="s">
        <v>9686</v>
      </c>
      <c r="J29" s="387" t="s">
        <v>9674</v>
      </c>
      <c r="K29" s="131"/>
      <c r="L29" s="131"/>
      <c r="M29" s="1740" t="s">
        <v>9690</v>
      </c>
      <c r="N29" s="1741"/>
      <c r="O29" s="339"/>
      <c r="P29" s="339" t="s">
        <v>9690</v>
      </c>
      <c r="Q29" s="1741" t="s">
        <v>9691</v>
      </c>
      <c r="R29" s="1741" t="s">
        <v>9691</v>
      </c>
      <c r="S29" s="1741" t="s">
        <v>9690</v>
      </c>
      <c r="T29" s="448" t="s">
        <v>9687</v>
      </c>
      <c r="U29" s="1741" t="s">
        <v>9685</v>
      </c>
      <c r="V29" s="1741" t="s">
        <v>9691</v>
      </c>
      <c r="W29" s="1741" t="s">
        <v>9690</v>
      </c>
      <c r="X29" s="448" t="s">
        <v>9691</v>
      </c>
      <c r="Y29" s="448" t="s">
        <v>9690</v>
      </c>
      <c r="Z29" s="339" t="s">
        <v>9688</v>
      </c>
      <c r="AA29" s="339" t="s">
        <v>9690</v>
      </c>
      <c r="AB29" s="339" t="s">
        <v>9685</v>
      </c>
      <c r="AC29" s="339" t="s">
        <v>9685</v>
      </c>
      <c r="AD29" s="387" t="s">
        <v>9685</v>
      </c>
      <c r="AE29" s="387" t="s">
        <v>9685</v>
      </c>
      <c r="AF29" s="387" t="s">
        <v>9674</v>
      </c>
      <c r="AG29" s="448" t="s">
        <v>9685</v>
      </c>
      <c r="AH29" s="448" t="s">
        <v>9685</v>
      </c>
      <c r="AI29" s="448" t="s">
        <v>9674</v>
      </c>
      <c r="AJ29" s="1742" t="s">
        <v>9674</v>
      </c>
      <c r="AK29" s="1742" t="s">
        <v>9674</v>
      </c>
      <c r="AL29" s="1741" t="s">
        <v>9685</v>
      </c>
      <c r="AM29" s="339" t="s">
        <v>9683</v>
      </c>
      <c r="AN29" s="1742" t="s">
        <v>9683</v>
      </c>
      <c r="AO29" s="1742" t="s">
        <v>9683</v>
      </c>
      <c r="AP29" s="448" t="s">
        <v>9687</v>
      </c>
      <c r="AQ29" s="448" t="s">
        <v>9687</v>
      </c>
      <c r="AR29" s="387" t="s">
        <v>9685</v>
      </c>
      <c r="AS29" s="387" t="s">
        <v>9685</v>
      </c>
      <c r="AT29" s="1739" t="s">
        <v>9685</v>
      </c>
      <c r="AU29" s="1739" t="s">
        <v>9685</v>
      </c>
      <c r="AV29" s="1739" t="s">
        <v>9685</v>
      </c>
      <c r="AW29" s="448" t="s">
        <v>9691</v>
      </c>
      <c r="AX29" s="448" t="s">
        <v>9690</v>
      </c>
      <c r="AY29" s="1741" t="s">
        <v>9691</v>
      </c>
      <c r="AZ29" s="1741" t="s">
        <v>9690</v>
      </c>
      <c r="BA29" s="339" t="s">
        <v>9685</v>
      </c>
      <c r="BB29" s="339" t="s">
        <v>9683</v>
      </c>
      <c r="BC29" s="339" t="s">
        <v>9674</v>
      </c>
      <c r="BD29" s="387" t="s">
        <v>9674</v>
      </c>
      <c r="BE29" s="1741" t="s">
        <v>9683</v>
      </c>
      <c r="BF29" s="1741" t="s">
        <v>9683</v>
      </c>
      <c r="BG29" s="1741" t="s">
        <v>9685</v>
      </c>
      <c r="BH29" s="1741" t="s">
        <v>9685</v>
      </c>
      <c r="BI29" s="387" t="s">
        <v>9683</v>
      </c>
      <c r="BJ29" s="387" t="s">
        <v>9686</v>
      </c>
      <c r="BK29" s="387" t="s">
        <v>9686</v>
      </c>
      <c r="BL29" s="1741" t="s">
        <v>9683</v>
      </c>
      <c r="BM29" s="1741" t="s">
        <v>9683</v>
      </c>
      <c r="BN29" s="1741" t="s">
        <v>9683</v>
      </c>
      <c r="BO29" s="1743" t="s">
        <v>9683</v>
      </c>
      <c r="BP29" s="1743" t="s">
        <v>9683</v>
      </c>
      <c r="BQ29" s="1743" t="s">
        <v>9683</v>
      </c>
      <c r="BR29" s="131" t="s">
        <v>9685</v>
      </c>
      <c r="BS29" s="131" t="s">
        <v>9685</v>
      </c>
      <c r="BT29" s="131" t="s">
        <v>9685</v>
      </c>
      <c r="BU29" s="387" t="s">
        <v>9683</v>
      </c>
      <c r="BV29" s="387" t="s">
        <v>9683</v>
      </c>
      <c r="BW29" s="1741" t="s">
        <v>9685</v>
      </c>
      <c r="BX29" s="1741" t="s">
        <v>9685</v>
      </c>
      <c r="BY29" s="1741" t="s">
        <v>9683</v>
      </c>
      <c r="BZ29" s="339" t="s">
        <v>9691</v>
      </c>
      <c r="CA29" s="339" t="s">
        <v>9690</v>
      </c>
      <c r="CB29" s="1742" t="s">
        <v>9686</v>
      </c>
      <c r="CC29" s="1742" t="s">
        <v>9674</v>
      </c>
      <c r="CD29" s="1743" t="s">
        <v>9688</v>
      </c>
      <c r="CE29" s="1743" t="s">
        <v>9690</v>
      </c>
      <c r="CF29" s="1741" t="s">
        <v>9691</v>
      </c>
      <c r="CG29" s="1741" t="s">
        <v>9691</v>
      </c>
      <c r="CH29" s="1741" t="s">
        <v>9687</v>
      </c>
      <c r="CI29" s="1740" t="s">
        <v>9683</v>
      </c>
      <c r="CJ29" s="1740" t="s">
        <v>9683</v>
      </c>
      <c r="CK29" s="448" t="s">
        <v>9687</v>
      </c>
      <c r="CL29" s="448" t="s">
        <v>9685</v>
      </c>
      <c r="CM29" s="448" t="s">
        <v>9683</v>
      </c>
      <c r="CN29" s="448" t="s">
        <v>9683</v>
      </c>
      <c r="CO29" s="448" t="s">
        <v>9687</v>
      </c>
      <c r="CP29" s="448" t="s">
        <v>9687</v>
      </c>
      <c r="CQ29" s="448" t="s">
        <v>9685</v>
      </c>
      <c r="CR29" s="1743" t="s">
        <v>9685</v>
      </c>
      <c r="CS29" s="339" t="s">
        <v>9683</v>
      </c>
      <c r="CT29" s="339" t="s">
        <v>9683</v>
      </c>
      <c r="CU29" s="1739" t="s">
        <v>9683</v>
      </c>
      <c r="CV29" s="1739" t="s">
        <v>9683</v>
      </c>
      <c r="CW29" s="1739" t="s">
        <v>9688</v>
      </c>
      <c r="CX29" s="1739" t="s">
        <v>9690</v>
      </c>
      <c r="CY29" s="1742" t="s">
        <v>9685</v>
      </c>
      <c r="CZ29" s="339" t="s">
        <v>9685</v>
      </c>
      <c r="DA29" s="1741" t="s">
        <v>9685</v>
      </c>
      <c r="DB29" s="1741" t="s">
        <v>9685</v>
      </c>
      <c r="DC29" s="1741" t="s">
        <v>9683</v>
      </c>
      <c r="DD29" s="1741" t="s">
        <v>9683</v>
      </c>
      <c r="DE29" s="1742" t="s">
        <v>9683</v>
      </c>
      <c r="DF29" s="448" t="s">
        <v>9687</v>
      </c>
      <c r="DG29" s="448" t="s">
        <v>9687</v>
      </c>
      <c r="DH29" s="1743" t="s">
        <v>9685</v>
      </c>
      <c r="DI29" s="1743" t="s">
        <v>9683</v>
      </c>
      <c r="DJ29" s="1742" t="s">
        <v>9674</v>
      </c>
      <c r="DK29" s="387" t="s">
        <v>9685</v>
      </c>
      <c r="DL29" s="1741" t="s">
        <v>9674</v>
      </c>
      <c r="DM29" s="387" t="s">
        <v>9683</v>
      </c>
      <c r="DN29" s="387" t="s">
        <v>9683</v>
      </c>
      <c r="DO29" s="1739" t="s">
        <v>9683</v>
      </c>
      <c r="DP29" s="1739" t="s">
        <v>9683</v>
      </c>
      <c r="DQ29" s="1741" t="s">
        <v>9683</v>
      </c>
      <c r="DR29" s="448" t="s">
        <v>9683</v>
      </c>
      <c r="DS29" s="1742" t="s">
        <v>9683</v>
      </c>
      <c r="DT29" s="131" t="s">
        <v>9690</v>
      </c>
      <c r="DU29" s="1739" t="s">
        <v>9674</v>
      </c>
      <c r="DV29" s="339" t="s">
        <v>9690</v>
      </c>
      <c r="DW29" s="1739" t="s">
        <v>9685</v>
      </c>
      <c r="DX29" s="1741" t="s">
        <v>9683</v>
      </c>
      <c r="DY29" s="1741" t="s">
        <v>9685</v>
      </c>
      <c r="DZ29" s="1739"/>
      <c r="EA29" s="387" t="s">
        <v>9686</v>
      </c>
      <c r="EB29" s="387" t="s">
        <v>9686</v>
      </c>
      <c r="EC29" s="448"/>
      <c r="ED29" s="1741" t="s">
        <v>9691</v>
      </c>
      <c r="EE29" s="387" t="s">
        <v>9686</v>
      </c>
      <c r="EF29" s="339" t="s">
        <v>9685</v>
      </c>
      <c r="EG29" s="1739" t="s">
        <v>9685</v>
      </c>
      <c r="EH29" s="1742" t="s">
        <v>9692</v>
      </c>
      <c r="EI29" s="387" t="s">
        <v>9683</v>
      </c>
      <c r="EJ29" s="387" t="s">
        <v>9683</v>
      </c>
      <c r="EK29" s="1741" t="s">
        <v>9683</v>
      </c>
      <c r="EL29" s="1741" t="s">
        <v>9683</v>
      </c>
      <c r="EM29" s="448" t="s">
        <v>9683</v>
      </c>
      <c r="EN29" s="1744" t="s">
        <v>9683</v>
      </c>
      <c r="EO29" s="387" t="s">
        <v>9686</v>
      </c>
      <c r="EP29" s="339" t="s">
        <v>9685</v>
      </c>
      <c r="EQ29" s="339" t="s">
        <v>9685</v>
      </c>
      <c r="ER29" s="387" t="s">
        <v>9683</v>
      </c>
      <c r="ES29" s="387" t="s">
        <v>9683</v>
      </c>
      <c r="ET29" s="1741" t="s">
        <v>9675</v>
      </c>
      <c r="EU29" s="448" t="s">
        <v>9674</v>
      </c>
      <c r="EV29" s="1742"/>
      <c r="EW29" s="131" t="s">
        <v>9685</v>
      </c>
      <c r="EX29" s="131" t="s">
        <v>9685</v>
      </c>
      <c r="EY29" s="131" t="s">
        <v>9685</v>
      </c>
      <c r="EZ29" s="339" t="s">
        <v>9691</v>
      </c>
      <c r="FA29" s="339" t="s">
        <v>9683</v>
      </c>
      <c r="FB29" s="339" t="s">
        <v>9683</v>
      </c>
      <c r="FC29" s="387" t="s">
        <v>9686</v>
      </c>
      <c r="FD29" s="387" t="s">
        <v>9674</v>
      </c>
      <c r="FE29" s="387" t="s">
        <v>9675</v>
      </c>
      <c r="FF29" s="1741" t="s">
        <v>9683</v>
      </c>
      <c r="FG29" s="1741" t="s">
        <v>9683</v>
      </c>
      <c r="FH29" s="1741" t="s">
        <v>9691</v>
      </c>
      <c r="FI29" s="1741" t="s">
        <v>9690</v>
      </c>
      <c r="FJ29" s="1739" t="s">
        <v>9685</v>
      </c>
      <c r="FK29" s="1739" t="s">
        <v>9685</v>
      </c>
      <c r="FL29" s="131" t="s">
        <v>9691</v>
      </c>
      <c r="FM29" s="1739" t="s">
        <v>9690</v>
      </c>
      <c r="FN29" s="448" t="s">
        <v>9687</v>
      </c>
      <c r="FO29" s="387" t="s">
        <v>9683</v>
      </c>
      <c r="FP29" s="387" t="s">
        <v>9683</v>
      </c>
      <c r="FQ29" s="339" t="s">
        <v>9691</v>
      </c>
      <c r="FR29" s="1742" t="s">
        <v>9685</v>
      </c>
      <c r="FS29" s="1742" t="s">
        <v>9685</v>
      </c>
      <c r="FT29" s="1740" t="s">
        <v>9685</v>
      </c>
      <c r="FU29" s="1740" t="s">
        <v>9683</v>
      </c>
      <c r="FV29" s="131" t="s">
        <v>9685</v>
      </c>
      <c r="FW29" s="131" t="s">
        <v>9685</v>
      </c>
      <c r="FX29" s="1740" t="s">
        <v>9691</v>
      </c>
      <c r="FY29" s="1742" t="s">
        <v>9688</v>
      </c>
      <c r="FZ29" s="339" t="s">
        <v>9690</v>
      </c>
      <c r="GA29" s="131" t="s">
        <v>9685</v>
      </c>
      <c r="GB29" s="387" t="s">
        <v>9686</v>
      </c>
      <c r="GC29" s="387" t="s">
        <v>9686</v>
      </c>
      <c r="GD29" s="1741" t="s">
        <v>9683</v>
      </c>
      <c r="GE29" s="131" t="s">
        <v>9686</v>
      </c>
      <c r="GF29" s="1742" t="s">
        <v>9685</v>
      </c>
      <c r="GG29" s="131" t="s">
        <v>9685</v>
      </c>
      <c r="GH29" s="387" t="s">
        <v>9685</v>
      </c>
      <c r="GI29" s="448" t="s">
        <v>9683</v>
      </c>
      <c r="GJ29" s="339" t="s">
        <v>9685</v>
      </c>
      <c r="GK29" s="339" t="s">
        <v>9685</v>
      </c>
      <c r="GL29" s="1739" t="s">
        <v>9691</v>
      </c>
      <c r="GM29" s="387" t="s">
        <v>9683</v>
      </c>
      <c r="GN29" s="387" t="s">
        <v>9686</v>
      </c>
      <c r="GO29" s="448" t="s">
        <v>9685</v>
      </c>
      <c r="GP29" s="1744" t="s">
        <v>9687</v>
      </c>
      <c r="GQ29" s="1744" t="s">
        <v>9685</v>
      </c>
      <c r="GR29" s="1742" t="s">
        <v>9674</v>
      </c>
      <c r="GS29" s="1743" t="s">
        <v>9685</v>
      </c>
      <c r="GT29" s="1744"/>
      <c r="GU29" s="387"/>
      <c r="GV29" s="339" t="s">
        <v>9685</v>
      </c>
      <c r="GW29" s="1743" t="s">
        <v>9688</v>
      </c>
      <c r="GX29" s="448" t="s">
        <v>9690</v>
      </c>
      <c r="GY29" s="339" t="s">
        <v>9683</v>
      </c>
      <c r="GZ29" s="448" t="s">
        <v>9687</v>
      </c>
      <c r="HA29" s="1743" t="s">
        <v>9685</v>
      </c>
      <c r="HB29" s="1742" t="s">
        <v>9674</v>
      </c>
      <c r="HC29" s="448" t="s">
        <v>9674</v>
      </c>
      <c r="HD29" s="1743" t="s">
        <v>9683</v>
      </c>
      <c r="HE29" s="1739" t="s">
        <v>9690</v>
      </c>
      <c r="HF29" s="339" t="s">
        <v>9691</v>
      </c>
      <c r="HG29" s="387" t="s">
        <v>9683</v>
      </c>
      <c r="HH29" s="1744" t="s">
        <v>9686</v>
      </c>
      <c r="HI29" s="1741" t="s">
        <v>9684</v>
      </c>
      <c r="HJ29" s="1741" t="s">
        <v>9684</v>
      </c>
      <c r="HK29" s="1739" t="s">
        <v>9688</v>
      </c>
      <c r="HL29" s="1739" t="s">
        <v>9690</v>
      </c>
      <c r="HM29" s="1741" t="s">
        <v>9683</v>
      </c>
      <c r="HN29" s="1741" t="s">
        <v>9683</v>
      </c>
      <c r="HO29" s="1742" t="s">
        <v>9686</v>
      </c>
      <c r="HP29" s="1743" t="s">
        <v>9683</v>
      </c>
      <c r="HQ29" s="1739" t="s">
        <v>9683</v>
      </c>
      <c r="HR29" s="1739" t="s">
        <v>9686</v>
      </c>
      <c r="HS29" s="448" t="s">
        <v>9682</v>
      </c>
      <c r="HT29" s="1743" t="s">
        <v>9685</v>
      </c>
      <c r="HU29" s="1744" t="s">
        <v>9685</v>
      </c>
      <c r="HV29" s="1744" t="s">
        <v>9685</v>
      </c>
      <c r="HW29" s="387" t="s">
        <v>9683</v>
      </c>
      <c r="HX29" s="387" t="s">
        <v>9685</v>
      </c>
      <c r="HY29" s="1743" t="s">
        <v>9685</v>
      </c>
      <c r="HZ29" s="1739" t="s">
        <v>9692</v>
      </c>
      <c r="IA29" s="1741" t="s">
        <v>9683</v>
      </c>
      <c r="IB29" s="1740"/>
      <c r="IC29" s="448" t="s">
        <v>9685</v>
      </c>
      <c r="ID29" s="1741" t="s">
        <v>9685</v>
      </c>
      <c r="IE29" s="1742" t="s">
        <v>9686</v>
      </c>
      <c r="IF29" s="339" t="s">
        <v>9688</v>
      </c>
      <c r="IG29" s="1739" t="s">
        <v>9685</v>
      </c>
      <c r="IH29" s="1742" t="s">
        <v>9683</v>
      </c>
      <c r="II29" s="1742" t="s">
        <v>9674</v>
      </c>
      <c r="IJ29" s="339" t="s">
        <v>9683</v>
      </c>
      <c r="IK29" s="1741" t="s">
        <v>9683</v>
      </c>
      <c r="IL29" s="387" t="s">
        <v>9674</v>
      </c>
      <c r="IM29" s="131" t="s">
        <v>9687</v>
      </c>
      <c r="IN29" s="1743" t="s">
        <v>9687</v>
      </c>
      <c r="IO29" s="131" t="s">
        <v>9675</v>
      </c>
      <c r="IP29" s="1740" t="s">
        <v>9674</v>
      </c>
      <c r="IQ29" s="1739" t="s">
        <v>9683</v>
      </c>
      <c r="IR29" s="131" t="s">
        <v>9683</v>
      </c>
      <c r="IS29" s="131" t="s">
        <v>9683</v>
      </c>
      <c r="IT29" s="131" t="s">
        <v>9683</v>
      </c>
      <c r="IU29" s="131" t="s">
        <v>9674</v>
      </c>
      <c r="IV29" s="1739" t="s">
        <v>9691</v>
      </c>
      <c r="IW29" s="1739" t="s">
        <v>9683</v>
      </c>
      <c r="IX29" s="1739" t="s">
        <v>9684</v>
      </c>
      <c r="IY29" s="387" t="s">
        <v>9683</v>
      </c>
      <c r="IZ29" s="387" t="s">
        <v>9683</v>
      </c>
      <c r="JA29" s="387" t="s">
        <v>9674</v>
      </c>
      <c r="JB29" s="1743" t="s">
        <v>9685</v>
      </c>
      <c r="JC29" s="1743" t="s">
        <v>9685</v>
      </c>
      <c r="JD29" s="1741" t="s">
        <v>9685</v>
      </c>
      <c r="JE29" s="1740" t="s">
        <v>9683</v>
      </c>
      <c r="JF29" s="1739"/>
      <c r="JG29" s="1740"/>
      <c r="JH29" s="339" t="s">
        <v>9690</v>
      </c>
      <c r="JI29" s="448"/>
      <c r="JJ29" s="131" t="s">
        <v>9690</v>
      </c>
      <c r="JK29" s="131" t="s">
        <v>9682</v>
      </c>
      <c r="JL29" s="131" t="s">
        <v>9682</v>
      </c>
      <c r="JM29" s="131" t="s">
        <v>9686</v>
      </c>
      <c r="JN29" s="1741" t="s">
        <v>9685</v>
      </c>
      <c r="JO29" s="1741" t="s">
        <v>9685</v>
      </c>
      <c r="JP29" s="1741" t="s">
        <v>9685</v>
      </c>
      <c r="JQ29" s="387" t="s">
        <v>9691</v>
      </c>
      <c r="JR29" s="387" t="s">
        <v>9690</v>
      </c>
      <c r="JS29" s="1740" t="s">
        <v>9683</v>
      </c>
      <c r="JT29" s="339" t="s">
        <v>9683</v>
      </c>
      <c r="JU29" s="1740" t="s">
        <v>9685</v>
      </c>
      <c r="JV29" s="1740" t="s">
        <v>9685</v>
      </c>
      <c r="JW29" s="1740" t="s">
        <v>9685</v>
      </c>
      <c r="JX29" s="387" t="s">
        <v>9685</v>
      </c>
      <c r="JY29" s="387" t="s">
        <v>9685</v>
      </c>
      <c r="JZ29" s="1741" t="s">
        <v>9685</v>
      </c>
      <c r="KA29" s="131" t="s">
        <v>9682</v>
      </c>
      <c r="KB29" s="1741" t="s">
        <v>9684</v>
      </c>
      <c r="KC29" s="1740" t="s">
        <v>9674</v>
      </c>
      <c r="KD29" s="1741" t="s">
        <v>9674</v>
      </c>
      <c r="KE29" s="1743" t="s">
        <v>9691</v>
      </c>
      <c r="KF29" s="339" t="s">
        <v>9690</v>
      </c>
      <c r="KG29" s="1741" t="s">
        <v>9690</v>
      </c>
      <c r="KH29" s="1742" t="s">
        <v>9683</v>
      </c>
      <c r="KI29" s="387" t="s">
        <v>9683</v>
      </c>
      <c r="KJ29" s="387" t="s">
        <v>9683</v>
      </c>
      <c r="KK29" s="339" t="s">
        <v>9683</v>
      </c>
      <c r="KL29" s="1741" t="s">
        <v>9683</v>
      </c>
      <c r="KM29" s="387" t="s">
        <v>9683</v>
      </c>
      <c r="KN29" s="1743" t="s">
        <v>9687</v>
      </c>
      <c r="KO29" s="1742" t="s">
        <v>9683</v>
      </c>
      <c r="KP29" s="448" t="s">
        <v>9683</v>
      </c>
      <c r="KQ29" s="448" t="s">
        <v>9674</v>
      </c>
      <c r="KR29" s="1744" t="s">
        <v>9685</v>
      </c>
      <c r="KS29" s="1743" t="s">
        <v>9683</v>
      </c>
      <c r="KT29" s="1743" t="s">
        <v>9683</v>
      </c>
      <c r="KU29" s="1743" t="s">
        <v>9675</v>
      </c>
      <c r="KV29" s="387" t="s">
        <v>9684</v>
      </c>
      <c r="KW29" s="1739" t="s">
        <v>9684</v>
      </c>
      <c r="KX29" s="131" t="s">
        <v>9688</v>
      </c>
      <c r="KY29" s="339" t="s">
        <v>9690</v>
      </c>
      <c r="KZ29" s="339" t="s">
        <v>9691</v>
      </c>
      <c r="LA29" s="339" t="s">
        <v>9691</v>
      </c>
      <c r="LB29" s="1743" t="s">
        <v>9683</v>
      </c>
      <c r="LC29" s="448" t="s">
        <v>9683</v>
      </c>
      <c r="LD29" s="131" t="s">
        <v>9685</v>
      </c>
      <c r="LE29" s="131" t="s">
        <v>9683</v>
      </c>
      <c r="LF29" s="448" t="s">
        <v>9683</v>
      </c>
      <c r="LG29" s="1739" t="s">
        <v>9683</v>
      </c>
      <c r="LH29" s="387" t="s">
        <v>9686</v>
      </c>
      <c r="LI29" s="387" t="s">
        <v>9686</v>
      </c>
      <c r="LJ29" s="387" t="s">
        <v>9686</v>
      </c>
      <c r="LK29" s="339" t="s">
        <v>9691</v>
      </c>
      <c r="LL29" s="1739" t="s">
        <v>9685</v>
      </c>
      <c r="LM29" s="1741" t="s">
        <v>9690</v>
      </c>
      <c r="LN29" s="1744" t="s">
        <v>9685</v>
      </c>
      <c r="LO29" s="448" t="s">
        <v>9683</v>
      </c>
      <c r="LP29" s="1741" t="s">
        <v>9674</v>
      </c>
      <c r="LQ29" s="1741" t="s">
        <v>9690</v>
      </c>
      <c r="LR29" s="131" t="s">
        <v>9690</v>
      </c>
      <c r="LS29" s="131" t="s">
        <v>9685</v>
      </c>
      <c r="LT29" s="131" t="s">
        <v>9683</v>
      </c>
      <c r="LU29" s="131" t="s">
        <v>9683</v>
      </c>
      <c r="LV29" s="387" t="s">
        <v>9692</v>
      </c>
      <c r="LW29" s="387" t="s">
        <v>9683</v>
      </c>
      <c r="LX29" s="1740" t="s">
        <v>9674</v>
      </c>
      <c r="LY29" s="1744" t="s">
        <v>9687</v>
      </c>
      <c r="LZ29" s="339" t="s">
        <v>9692</v>
      </c>
      <c r="MA29" s="1739" t="s">
        <v>9685</v>
      </c>
      <c r="MB29" s="1743" t="s">
        <v>9683</v>
      </c>
      <c r="MC29" s="387" t="s">
        <v>9683</v>
      </c>
      <c r="MD29" s="1739" t="s">
        <v>9683</v>
      </c>
      <c r="ME29" s="1739" t="s">
        <v>9683</v>
      </c>
      <c r="MF29" s="1741" t="s">
        <v>9685</v>
      </c>
      <c r="MG29" s="1744" t="s">
        <v>9685</v>
      </c>
      <c r="MH29" s="448" t="s">
        <v>9685</v>
      </c>
      <c r="MI29" s="131" t="s">
        <v>9685</v>
      </c>
      <c r="MJ29" s="1743" t="s">
        <v>9685</v>
      </c>
      <c r="MK29" s="1743" t="s">
        <v>9685</v>
      </c>
      <c r="ML29" s="1741" t="s">
        <v>9683</v>
      </c>
      <c r="MM29" s="1742" t="s">
        <v>9683</v>
      </c>
      <c r="MN29" s="1740" t="s">
        <v>9683</v>
      </c>
      <c r="MO29" s="131" t="s">
        <v>9683</v>
      </c>
      <c r="MP29" s="1744" t="s">
        <v>9685</v>
      </c>
      <c r="MQ29" s="1744" t="s">
        <v>9685</v>
      </c>
      <c r="MR29" s="1744" t="s">
        <v>9685</v>
      </c>
      <c r="MS29" s="1744" t="s">
        <v>9683</v>
      </c>
      <c r="MT29" s="131" t="s">
        <v>9683</v>
      </c>
      <c r="MU29" s="387" t="s">
        <v>9685</v>
      </c>
      <c r="MV29" s="1740" t="s">
        <v>9686</v>
      </c>
      <c r="MW29" s="387"/>
      <c r="MX29" s="1743" t="s">
        <v>9683</v>
      </c>
      <c r="MY29" s="1743" t="s">
        <v>9683</v>
      </c>
      <c r="MZ29" s="387" t="s">
        <v>9683</v>
      </c>
      <c r="NA29" s="387" t="s">
        <v>9686</v>
      </c>
      <c r="NB29" s="387" t="s">
        <v>9686</v>
      </c>
      <c r="NC29" s="387" t="s">
        <v>9683</v>
      </c>
      <c r="ND29" s="387" t="s">
        <v>9683</v>
      </c>
      <c r="NE29" s="1742" t="s">
        <v>9683</v>
      </c>
      <c r="NF29" s="1743" t="s">
        <v>9686</v>
      </c>
      <c r="NG29" s="1742" t="s">
        <v>9683</v>
      </c>
      <c r="NH29" s="387" t="s">
        <v>9683</v>
      </c>
      <c r="NI29" s="1740" t="s">
        <v>9683</v>
      </c>
      <c r="NJ29" s="387" t="s">
        <v>9683</v>
      </c>
      <c r="NK29" s="387"/>
      <c r="NL29" s="387" t="s">
        <v>9690</v>
      </c>
      <c r="NM29" s="387" t="s">
        <v>9690</v>
      </c>
      <c r="NN29" s="1741" t="s">
        <v>9685</v>
      </c>
      <c r="NO29" s="387" t="s">
        <v>9683</v>
      </c>
      <c r="NP29" s="1743" t="s">
        <v>9685</v>
      </c>
      <c r="NQ29" s="1739" t="s">
        <v>9675</v>
      </c>
      <c r="NR29" s="387" t="s">
        <v>9675</v>
      </c>
      <c r="NS29" s="387" t="s">
        <v>9674</v>
      </c>
      <c r="NT29" s="1739" t="s">
        <v>9684</v>
      </c>
      <c r="NU29" s="131" t="s">
        <v>9674</v>
      </c>
      <c r="NV29" s="339" t="s">
        <v>9683</v>
      </c>
      <c r="NW29" s="1739" t="s">
        <v>9674</v>
      </c>
      <c r="NX29" s="1739" t="s">
        <v>9674</v>
      </c>
      <c r="NY29" s="1739" t="s">
        <v>9674</v>
      </c>
      <c r="NZ29" s="1739" t="s">
        <v>9674</v>
      </c>
      <c r="OA29" s="131" t="s">
        <v>9685</v>
      </c>
      <c r="OB29" s="131" t="s">
        <v>9685</v>
      </c>
      <c r="OC29" s="131" t="s">
        <v>9683</v>
      </c>
      <c r="OD29" s="1741" t="s">
        <v>9683</v>
      </c>
      <c r="OE29" s="1741" t="s">
        <v>9683</v>
      </c>
      <c r="OF29" s="1741" t="s">
        <v>9674</v>
      </c>
      <c r="OG29" s="387" t="s">
        <v>9683</v>
      </c>
      <c r="OH29" s="387" t="s">
        <v>9683</v>
      </c>
      <c r="OI29" s="387" t="s">
        <v>9686</v>
      </c>
      <c r="OJ29" s="1741" t="s">
        <v>9691</v>
      </c>
      <c r="OK29" s="1741" t="s">
        <v>9691</v>
      </c>
      <c r="OL29" s="1741" t="s">
        <v>9690</v>
      </c>
      <c r="OM29" s="1741" t="s">
        <v>9687</v>
      </c>
      <c r="ON29" s="1741" t="s">
        <v>9683</v>
      </c>
      <c r="OO29" s="1739"/>
      <c r="OP29" s="1739" t="s">
        <v>9690</v>
      </c>
      <c r="OQ29" s="387" t="s">
        <v>9688</v>
      </c>
      <c r="OR29" s="387" t="s">
        <v>9688</v>
      </c>
      <c r="OS29" s="387" t="s">
        <v>9690</v>
      </c>
      <c r="OT29" s="131" t="s">
        <v>9685</v>
      </c>
      <c r="OU29" s="131" t="s">
        <v>9685</v>
      </c>
      <c r="OV29" s="387" t="s">
        <v>9685</v>
      </c>
      <c r="OW29" s="387" t="s">
        <v>9683</v>
      </c>
      <c r="OX29" s="1743" t="s">
        <v>9685</v>
      </c>
      <c r="OY29" s="1743" t="s">
        <v>9685</v>
      </c>
      <c r="OZ29" s="131"/>
      <c r="PA29" s="131" t="s">
        <v>9685</v>
      </c>
      <c r="PB29" s="339" t="s">
        <v>9685</v>
      </c>
      <c r="PC29" s="1742" t="s">
        <v>9685</v>
      </c>
      <c r="PD29" s="339" t="s">
        <v>9690</v>
      </c>
      <c r="PE29" s="339"/>
      <c r="PF29" s="339" t="s">
        <v>9690</v>
      </c>
      <c r="PG29" s="1740" t="s">
        <v>9691</v>
      </c>
      <c r="PH29" s="1741" t="s">
        <v>9686</v>
      </c>
      <c r="PI29" s="1741" t="s">
        <v>9674</v>
      </c>
      <c r="PJ29" s="1742" t="s">
        <v>9685</v>
      </c>
      <c r="PK29" s="1742" t="s">
        <v>9685</v>
      </c>
      <c r="PL29" s="448" t="s">
        <v>9683</v>
      </c>
      <c r="PM29" s="448" t="s">
        <v>9683</v>
      </c>
      <c r="PN29" s="448" t="s">
        <v>9683</v>
      </c>
      <c r="PO29" s="448" t="s">
        <v>9685</v>
      </c>
      <c r="PP29" s="448" t="s">
        <v>9685</v>
      </c>
      <c r="PQ29" s="1741" t="s">
        <v>9685</v>
      </c>
      <c r="PR29" s="1741" t="s">
        <v>9683</v>
      </c>
      <c r="PS29" s="448" t="s">
        <v>9685</v>
      </c>
      <c r="PT29" s="1744" t="s">
        <v>9685</v>
      </c>
      <c r="PU29" s="1743" t="s">
        <v>9685</v>
      </c>
      <c r="PV29" s="1743" t="s">
        <v>9683</v>
      </c>
      <c r="PW29" s="339" t="s">
        <v>9685</v>
      </c>
      <c r="PX29" s="448" t="s">
        <v>9685</v>
      </c>
      <c r="PY29" s="448" t="s">
        <v>9685</v>
      </c>
      <c r="PZ29" s="131" t="s">
        <v>9685</v>
      </c>
      <c r="QA29" s="131" t="s">
        <v>9685</v>
      </c>
      <c r="QB29" s="1741" t="s">
        <v>9685</v>
      </c>
      <c r="QC29" s="1742" t="s">
        <v>9683</v>
      </c>
      <c r="QD29" s="1742" t="s">
        <v>9683</v>
      </c>
      <c r="QE29" s="1744" t="s">
        <v>9687</v>
      </c>
      <c r="QF29" s="448" t="s">
        <v>9683</v>
      </c>
      <c r="QG29" s="387" t="s">
        <v>9683</v>
      </c>
      <c r="QH29" s="387" t="s">
        <v>9683</v>
      </c>
      <c r="QI29" s="387" t="s">
        <v>9683</v>
      </c>
      <c r="QJ29" s="1744" t="s">
        <v>9683</v>
      </c>
      <c r="QK29" s="387" t="s">
        <v>9684</v>
      </c>
      <c r="QL29" s="387" t="s">
        <v>9675</v>
      </c>
      <c r="QM29" s="1741" t="s">
        <v>9683</v>
      </c>
      <c r="QN29" s="1741" t="s">
        <v>9683</v>
      </c>
      <c r="QO29" s="448" t="s">
        <v>9687</v>
      </c>
      <c r="QP29" s="448" t="s">
        <v>9685</v>
      </c>
      <c r="QQ29" s="387" t="s">
        <v>9683</v>
      </c>
      <c r="QR29" s="387" t="s">
        <v>9683</v>
      </c>
      <c r="QS29" s="131" t="s">
        <v>9685</v>
      </c>
      <c r="QT29" s="387" t="s">
        <v>9683</v>
      </c>
      <c r="QU29" s="387" t="s">
        <v>9683</v>
      </c>
      <c r="QV29" s="387" t="s">
        <v>9683</v>
      </c>
      <c r="QW29" s="1740" t="s">
        <v>9682</v>
      </c>
      <c r="QX29" s="1740" t="s">
        <v>9686</v>
      </c>
      <c r="QY29" s="1744" t="s">
        <v>9686</v>
      </c>
      <c r="QZ29" s="1743" t="s">
        <v>9690</v>
      </c>
      <c r="RA29" s="1742" t="s">
        <v>9683</v>
      </c>
      <c r="RB29" s="1743" t="s">
        <v>9683</v>
      </c>
      <c r="RC29" s="387" t="s">
        <v>9685</v>
      </c>
      <c r="RD29" s="339" t="s">
        <v>9687</v>
      </c>
      <c r="RE29" s="1739" t="s">
        <v>9685</v>
      </c>
      <c r="RF29" s="1740" t="s">
        <v>9683</v>
      </c>
      <c r="RG29" s="131" t="s">
        <v>9690</v>
      </c>
      <c r="RH29" s="131" t="s">
        <v>9683</v>
      </c>
      <c r="RI29" s="387" t="s">
        <v>9686</v>
      </c>
      <c r="RJ29" s="448" t="s">
        <v>9687</v>
      </c>
      <c r="RK29" s="1741" t="s">
        <v>9683</v>
      </c>
      <c r="RL29" s="1739" t="s">
        <v>9692</v>
      </c>
      <c r="RM29" s="1740" t="s">
        <v>9684</v>
      </c>
      <c r="RN29" s="1743" t="s">
        <v>9687</v>
      </c>
      <c r="RO29" s="1744" t="s">
        <v>9683</v>
      </c>
      <c r="RP29" s="1740" t="s">
        <v>9683</v>
      </c>
      <c r="RQ29" s="1739" t="s">
        <v>9688</v>
      </c>
      <c r="RR29" s="1739" t="s">
        <v>9688</v>
      </c>
      <c r="RS29" s="1739" t="s">
        <v>9688</v>
      </c>
      <c r="RT29" s="1739" t="s">
        <v>9688</v>
      </c>
      <c r="RU29" s="1739" t="s">
        <v>9688</v>
      </c>
      <c r="RV29" s="1739" t="s">
        <v>9688</v>
      </c>
      <c r="RW29" s="339" t="s">
        <v>9683</v>
      </c>
      <c r="RX29" s="1742" t="s">
        <v>9683</v>
      </c>
      <c r="RY29" s="387" t="s">
        <v>9683</v>
      </c>
      <c r="RZ29" s="1740" t="s">
        <v>9684</v>
      </c>
      <c r="SA29" s="448" t="s">
        <v>9675</v>
      </c>
      <c r="SB29" s="1741" t="s">
        <v>9685</v>
      </c>
      <c r="SC29" s="1740" t="s">
        <v>9685</v>
      </c>
      <c r="SD29" s="1744" t="s">
        <v>9674</v>
      </c>
      <c r="SE29" s="1744" t="s">
        <v>9674</v>
      </c>
      <c r="SF29" s="339" t="s">
        <v>9685</v>
      </c>
      <c r="SG29" s="387" t="s">
        <v>9683</v>
      </c>
      <c r="SH29" s="387" t="s">
        <v>9686</v>
      </c>
      <c r="SI29" s="1744" t="s">
        <v>9683</v>
      </c>
      <c r="SJ29" s="131" t="s">
        <v>9685</v>
      </c>
      <c r="SK29" s="131" t="s">
        <v>9685</v>
      </c>
      <c r="SL29" s="1745" t="s">
        <v>9687</v>
      </c>
    </row>
    <row r="30" ht="15.75" customHeight="1">
      <c r="A30" s="1517"/>
      <c r="B30" s="148" t="s">
        <v>9691</v>
      </c>
      <c r="C30" s="148" t="s">
        <v>9691</v>
      </c>
      <c r="D30" s="148" t="s">
        <v>9685</v>
      </c>
      <c r="E30" s="148" t="s">
        <v>9685</v>
      </c>
      <c r="F30" s="148" t="s">
        <v>9685</v>
      </c>
      <c r="G30" s="148" t="s">
        <v>9683</v>
      </c>
      <c r="H30" s="148" t="s">
        <v>9683</v>
      </c>
      <c r="I30" s="148" t="s">
        <v>9683</v>
      </c>
      <c r="J30" s="148" t="s">
        <v>9686</v>
      </c>
      <c r="K30" s="148"/>
      <c r="L30" s="148"/>
      <c r="M30" s="148" t="s">
        <v>9691</v>
      </c>
      <c r="N30" s="148"/>
      <c r="O30" s="148"/>
      <c r="P30" s="148" t="s">
        <v>9691</v>
      </c>
      <c r="Q30" s="148" t="s">
        <v>9693</v>
      </c>
      <c r="R30" s="148" t="s">
        <v>9693</v>
      </c>
      <c r="S30" s="148" t="s">
        <v>9691</v>
      </c>
      <c r="T30" s="148" t="s">
        <v>9692</v>
      </c>
      <c r="U30" s="148" t="s">
        <v>9687</v>
      </c>
      <c r="V30" s="148" t="s">
        <v>9693</v>
      </c>
      <c r="W30" s="148" t="s">
        <v>9691</v>
      </c>
      <c r="X30" s="148" t="s">
        <v>9693</v>
      </c>
      <c r="Y30" s="148" t="s">
        <v>9691</v>
      </c>
      <c r="Z30" s="148" t="s">
        <v>9691</v>
      </c>
      <c r="AA30" s="148" t="s">
        <v>9688</v>
      </c>
      <c r="AB30" s="148" t="s">
        <v>9691</v>
      </c>
      <c r="AC30" s="148" t="s">
        <v>9690</v>
      </c>
      <c r="AD30" s="148" t="s">
        <v>9692</v>
      </c>
      <c r="AE30" s="148" t="s">
        <v>9692</v>
      </c>
      <c r="AF30" s="148" t="s">
        <v>9683</v>
      </c>
      <c r="AG30" s="148" t="s">
        <v>9692</v>
      </c>
      <c r="AH30" s="148" t="s">
        <v>9692</v>
      </c>
      <c r="AI30" s="148" t="s">
        <v>9683</v>
      </c>
      <c r="AJ30" s="148" t="s">
        <v>9683</v>
      </c>
      <c r="AK30" s="148" t="s">
        <v>9683</v>
      </c>
      <c r="AL30" s="148" t="s">
        <v>9691</v>
      </c>
      <c r="AM30" s="148" t="s">
        <v>9685</v>
      </c>
      <c r="AN30" s="148" t="s">
        <v>9685</v>
      </c>
      <c r="AO30" s="148" t="s">
        <v>9685</v>
      </c>
      <c r="AP30" s="148" t="s">
        <v>9691</v>
      </c>
      <c r="AQ30" s="148" t="s">
        <v>9690</v>
      </c>
      <c r="AR30" s="148" t="s">
        <v>9691</v>
      </c>
      <c r="AS30" s="148" t="s">
        <v>9691</v>
      </c>
      <c r="AT30" s="148" t="s">
        <v>9690</v>
      </c>
      <c r="AU30" s="148" t="s">
        <v>9691</v>
      </c>
      <c r="AV30" s="148" t="s">
        <v>9690</v>
      </c>
      <c r="AW30" s="148" t="s">
        <v>9694</v>
      </c>
      <c r="AX30" s="148" t="s">
        <v>9691</v>
      </c>
      <c r="AY30" s="148" t="s">
        <v>9695</v>
      </c>
      <c r="AZ30" s="148" t="s">
        <v>9691</v>
      </c>
      <c r="BA30" s="148" t="s">
        <v>9687</v>
      </c>
      <c r="BB30" s="148" t="s">
        <v>9685</v>
      </c>
      <c r="BC30" s="148" t="s">
        <v>9686</v>
      </c>
      <c r="BD30" s="148" t="s">
        <v>9686</v>
      </c>
      <c r="BE30" s="148" t="s">
        <v>9685</v>
      </c>
      <c r="BF30" s="148" t="s">
        <v>9685</v>
      </c>
      <c r="BG30" s="148" t="s">
        <v>9691</v>
      </c>
      <c r="BH30" s="148" t="s">
        <v>9690</v>
      </c>
      <c r="BI30" s="148" t="s">
        <v>9692</v>
      </c>
      <c r="BJ30" s="148" t="s">
        <v>9683</v>
      </c>
      <c r="BK30" s="148" t="s">
        <v>9684</v>
      </c>
      <c r="BL30" s="148" t="s">
        <v>9685</v>
      </c>
      <c r="BM30" s="148" t="s">
        <v>9685</v>
      </c>
      <c r="BN30" s="148" t="s">
        <v>9685</v>
      </c>
      <c r="BO30" s="148" t="s">
        <v>9685</v>
      </c>
      <c r="BP30" s="148" t="s">
        <v>9685</v>
      </c>
      <c r="BQ30" s="148" t="s">
        <v>9685</v>
      </c>
      <c r="BR30" s="148" t="s">
        <v>9691</v>
      </c>
      <c r="BS30" s="148" t="s">
        <v>9691</v>
      </c>
      <c r="BT30" s="148" t="s">
        <v>9690</v>
      </c>
      <c r="BU30" s="148" t="s">
        <v>9692</v>
      </c>
      <c r="BV30" s="148" t="s">
        <v>9692</v>
      </c>
      <c r="BW30" s="148" t="s">
        <v>9691</v>
      </c>
      <c r="BX30" s="148" t="s">
        <v>9691</v>
      </c>
      <c r="BY30" s="148" t="s">
        <v>9685</v>
      </c>
      <c r="BZ30" s="148" t="s">
        <v>9695</v>
      </c>
      <c r="CA30" s="148" t="s">
        <v>9691</v>
      </c>
      <c r="CB30" s="148" t="s">
        <v>9683</v>
      </c>
      <c r="CC30" s="148" t="s">
        <v>9686</v>
      </c>
      <c r="CD30" s="148" t="s">
        <v>9691</v>
      </c>
      <c r="CE30" s="148" t="s">
        <v>9688</v>
      </c>
      <c r="CF30" s="148" t="s">
        <v>9695</v>
      </c>
      <c r="CG30" s="148" t="s">
        <v>9695</v>
      </c>
      <c r="CH30" s="148" t="s">
        <v>9690</v>
      </c>
      <c r="CI30" s="148" t="s">
        <v>9692</v>
      </c>
      <c r="CJ30" s="148" t="s">
        <v>9692</v>
      </c>
      <c r="CK30" s="148" t="s">
        <v>9691</v>
      </c>
      <c r="CL30" s="148" t="s">
        <v>9687</v>
      </c>
      <c r="CM30" s="148" t="s">
        <v>9692</v>
      </c>
      <c r="CN30" s="148" t="s">
        <v>9692</v>
      </c>
      <c r="CO30" s="148" t="s">
        <v>9691</v>
      </c>
      <c r="CP30" s="148" t="s">
        <v>9691</v>
      </c>
      <c r="CQ30" s="148" t="s">
        <v>9687</v>
      </c>
      <c r="CR30" s="148" t="s">
        <v>9687</v>
      </c>
      <c r="CS30" s="148" t="s">
        <v>9685</v>
      </c>
      <c r="CT30" s="148" t="s">
        <v>9685</v>
      </c>
      <c r="CU30" s="148" t="s">
        <v>9692</v>
      </c>
      <c r="CV30" s="148" t="s">
        <v>9692</v>
      </c>
      <c r="CW30" s="148" t="s">
        <v>9691</v>
      </c>
      <c r="CX30" s="148" t="s">
        <v>9688</v>
      </c>
      <c r="CY30" s="148" t="s">
        <v>9688</v>
      </c>
      <c r="CZ30" s="148" t="s">
        <v>9690</v>
      </c>
      <c r="DA30" s="148" t="s">
        <v>9692</v>
      </c>
      <c r="DB30" s="148" t="s">
        <v>9692</v>
      </c>
      <c r="DC30" s="148" t="s">
        <v>9685</v>
      </c>
      <c r="DD30" s="148" t="s">
        <v>9685</v>
      </c>
      <c r="DE30" s="148" t="s">
        <v>9685</v>
      </c>
      <c r="DF30" s="148" t="s">
        <v>9691</v>
      </c>
      <c r="DG30" s="148" t="s">
        <v>9690</v>
      </c>
      <c r="DH30" s="148" t="s">
        <v>9692</v>
      </c>
      <c r="DI30" s="148" t="s">
        <v>9685</v>
      </c>
      <c r="DJ30" s="148" t="s">
        <v>9686</v>
      </c>
      <c r="DK30" s="148" t="s">
        <v>9690</v>
      </c>
      <c r="DL30" s="148" t="s">
        <v>9686</v>
      </c>
      <c r="DM30" s="148" t="s">
        <v>9692</v>
      </c>
      <c r="DN30" s="148" t="s">
        <v>9692</v>
      </c>
      <c r="DO30" s="148" t="s">
        <v>9692</v>
      </c>
      <c r="DP30" s="148" t="s">
        <v>9692</v>
      </c>
      <c r="DQ30" s="148" t="s">
        <v>9692</v>
      </c>
      <c r="DR30" s="148" t="s">
        <v>9692</v>
      </c>
      <c r="DS30" s="148" t="s">
        <v>9685</v>
      </c>
      <c r="DT30" s="148" t="s">
        <v>9691</v>
      </c>
      <c r="DU30" s="148" t="s">
        <v>9686</v>
      </c>
      <c r="DV30" s="148" t="s">
        <v>9688</v>
      </c>
      <c r="DW30" s="148" t="s">
        <v>9690</v>
      </c>
      <c r="DX30" s="148" t="s">
        <v>9685</v>
      </c>
      <c r="DY30" s="148" t="s">
        <v>9692</v>
      </c>
      <c r="DZ30" s="148"/>
      <c r="EA30" s="148" t="s">
        <v>9683</v>
      </c>
      <c r="EB30" s="148" t="s">
        <v>9683</v>
      </c>
      <c r="EC30" s="148"/>
      <c r="ED30" s="148" t="s">
        <v>9693</v>
      </c>
      <c r="EE30" s="148" t="s">
        <v>9683</v>
      </c>
      <c r="EF30" s="148" t="s">
        <v>9690</v>
      </c>
      <c r="EG30" s="148" t="s">
        <v>9690</v>
      </c>
      <c r="EH30" s="148" t="s">
        <v>9696</v>
      </c>
      <c r="EI30" s="148" t="s">
        <v>9692</v>
      </c>
      <c r="EJ30" s="148" t="s">
        <v>9692</v>
      </c>
      <c r="EK30" s="148" t="s">
        <v>9692</v>
      </c>
      <c r="EL30" s="148" t="s">
        <v>9692</v>
      </c>
      <c r="EM30" s="148" t="s">
        <v>9685</v>
      </c>
      <c r="EN30" s="148" t="s">
        <v>9685</v>
      </c>
      <c r="EO30" s="148" t="s">
        <v>9683</v>
      </c>
      <c r="EP30" s="148" t="s">
        <v>9690</v>
      </c>
      <c r="EQ30" s="148" t="s">
        <v>9690</v>
      </c>
      <c r="ER30" s="148" t="s">
        <v>9685</v>
      </c>
      <c r="ES30" s="148" t="s">
        <v>9685</v>
      </c>
      <c r="ET30" s="148" t="s">
        <v>9674</v>
      </c>
      <c r="EU30" s="148" t="s">
        <v>9686</v>
      </c>
      <c r="EV30" s="148"/>
      <c r="EW30" s="148" t="s">
        <v>9688</v>
      </c>
      <c r="EX30" s="148" t="s">
        <v>9688</v>
      </c>
      <c r="EY30" s="148" t="s">
        <v>9690</v>
      </c>
      <c r="EZ30" s="148" t="s">
        <v>9695</v>
      </c>
      <c r="FA30" s="148" t="s">
        <v>9685</v>
      </c>
      <c r="FB30" s="148" t="s">
        <v>9685</v>
      </c>
      <c r="FC30" s="148" t="s">
        <v>9683</v>
      </c>
      <c r="FD30" s="148" t="s">
        <v>9686</v>
      </c>
      <c r="FE30" s="148" t="s">
        <v>9674</v>
      </c>
      <c r="FF30" s="148" t="s">
        <v>9685</v>
      </c>
      <c r="FG30" s="148" t="s">
        <v>9685</v>
      </c>
      <c r="FH30" s="148" t="s">
        <v>9693</v>
      </c>
      <c r="FI30" s="148" t="s">
        <v>9691</v>
      </c>
      <c r="FJ30" s="148" t="s">
        <v>9688</v>
      </c>
      <c r="FK30" s="148" t="s">
        <v>9690</v>
      </c>
      <c r="FL30" s="148" t="s">
        <v>9694</v>
      </c>
      <c r="FM30" s="148" t="s">
        <v>9691</v>
      </c>
      <c r="FN30" s="148" t="s">
        <v>9690</v>
      </c>
      <c r="FO30" s="148" t="s">
        <v>9692</v>
      </c>
      <c r="FP30" s="148" t="s">
        <v>9692</v>
      </c>
      <c r="FQ30" s="148" t="s">
        <v>9693</v>
      </c>
      <c r="FR30" s="148" t="s">
        <v>9688</v>
      </c>
      <c r="FS30" s="148" t="s">
        <v>9688</v>
      </c>
      <c r="FT30" s="148" t="s">
        <v>9688</v>
      </c>
      <c r="FU30" s="148" t="s">
        <v>9685</v>
      </c>
      <c r="FV30" s="148" t="s">
        <v>9688</v>
      </c>
      <c r="FW30" s="148" t="s">
        <v>9690</v>
      </c>
      <c r="FX30" s="148" t="s">
        <v>9693</v>
      </c>
      <c r="FY30" s="148" t="s">
        <v>9691</v>
      </c>
      <c r="FZ30" s="148" t="s">
        <v>9688</v>
      </c>
      <c r="GA30" s="148" t="s">
        <v>9690</v>
      </c>
      <c r="GB30" s="148" t="s">
        <v>9683</v>
      </c>
      <c r="GC30" s="148" t="s">
        <v>9683</v>
      </c>
      <c r="GD30" s="148" t="s">
        <v>9685</v>
      </c>
      <c r="GE30" s="148" t="s">
        <v>9683</v>
      </c>
      <c r="GF30" s="148" t="s">
        <v>9691</v>
      </c>
      <c r="GG30" s="148" t="s">
        <v>9691</v>
      </c>
      <c r="GH30" s="148" t="s">
        <v>9690</v>
      </c>
      <c r="GI30" s="148" t="s">
        <v>9685</v>
      </c>
      <c r="GJ30" s="148" t="s">
        <v>9688</v>
      </c>
      <c r="GK30" s="148" t="s">
        <v>9690</v>
      </c>
      <c r="GL30" s="148" t="s">
        <v>9694</v>
      </c>
      <c r="GM30" s="148" t="s">
        <v>9692</v>
      </c>
      <c r="GN30" s="148" t="s">
        <v>9683</v>
      </c>
      <c r="GO30" s="148" t="s">
        <v>9690</v>
      </c>
      <c r="GP30" s="148" t="s">
        <v>9690</v>
      </c>
      <c r="GQ30" s="148" t="s">
        <v>9687</v>
      </c>
      <c r="GR30" s="148" t="s">
        <v>9686</v>
      </c>
      <c r="GS30" s="148" t="s">
        <v>9687</v>
      </c>
      <c r="GT30" s="148"/>
      <c r="GU30" s="148"/>
      <c r="GV30" s="148" t="s">
        <v>9688</v>
      </c>
      <c r="GW30" s="148" t="s">
        <v>9691</v>
      </c>
      <c r="GX30" s="148" t="s">
        <v>9688</v>
      </c>
      <c r="GY30" s="148" t="s">
        <v>9685</v>
      </c>
      <c r="GZ30" s="148" t="s">
        <v>9691</v>
      </c>
      <c r="HA30" s="148" t="s">
        <v>9687</v>
      </c>
      <c r="HB30" s="148" t="s">
        <v>9684</v>
      </c>
      <c r="HC30" s="148" t="s">
        <v>9684</v>
      </c>
      <c r="HD30" s="148" t="s">
        <v>9687</v>
      </c>
      <c r="HE30" s="148" t="s">
        <v>9691</v>
      </c>
      <c r="HF30" s="148" t="s">
        <v>9697</v>
      </c>
      <c r="HG30" s="148" t="s">
        <v>9685</v>
      </c>
      <c r="HH30" s="148" t="s">
        <v>9683</v>
      </c>
      <c r="HI30" s="148" t="s">
        <v>9683</v>
      </c>
      <c r="HJ30" s="148" t="s">
        <v>9683</v>
      </c>
      <c r="HK30" s="148" t="s">
        <v>9691</v>
      </c>
      <c r="HL30" s="148" t="s">
        <v>9688</v>
      </c>
      <c r="HM30" s="148" t="s">
        <v>9692</v>
      </c>
      <c r="HN30" s="148" t="s">
        <v>9692</v>
      </c>
      <c r="HO30" s="148" t="s">
        <v>9683</v>
      </c>
      <c r="HP30" s="148" t="s">
        <v>9685</v>
      </c>
      <c r="HQ30" s="148" t="s">
        <v>9685</v>
      </c>
      <c r="HR30" s="148" t="s">
        <v>9683</v>
      </c>
      <c r="HS30" s="148" t="s">
        <v>9683</v>
      </c>
      <c r="HT30" s="148" t="s">
        <v>9687</v>
      </c>
      <c r="HU30" s="148" t="s">
        <v>9687</v>
      </c>
      <c r="HV30" s="148" t="s">
        <v>9687</v>
      </c>
      <c r="HW30" s="148" t="s">
        <v>9692</v>
      </c>
      <c r="HX30" s="148" t="s">
        <v>9691</v>
      </c>
      <c r="HY30" s="148" t="s">
        <v>9690</v>
      </c>
      <c r="HZ30" s="148" t="s">
        <v>9696</v>
      </c>
      <c r="IA30" s="148" t="s">
        <v>9685</v>
      </c>
      <c r="IB30" s="148"/>
      <c r="IC30" s="148" t="s">
        <v>9691</v>
      </c>
      <c r="ID30" s="148" t="s">
        <v>9691</v>
      </c>
      <c r="IE30" s="148" t="s">
        <v>9683</v>
      </c>
      <c r="IF30" s="148" t="s">
        <v>9691</v>
      </c>
      <c r="IG30" s="148" t="s">
        <v>9691</v>
      </c>
      <c r="IH30" s="148" t="s">
        <v>9685</v>
      </c>
      <c r="II30" s="148" t="s">
        <v>9686</v>
      </c>
      <c r="IJ30" s="148" t="s">
        <v>9685</v>
      </c>
      <c r="IK30" s="148" t="s">
        <v>9685</v>
      </c>
      <c r="IL30" s="148" t="s">
        <v>9686</v>
      </c>
      <c r="IM30" s="148" t="s">
        <v>9690</v>
      </c>
      <c r="IN30" s="148" t="s">
        <v>9690</v>
      </c>
      <c r="IO30" s="148" t="s">
        <v>9674</v>
      </c>
      <c r="IP30" s="148" t="s">
        <v>9686</v>
      </c>
      <c r="IQ30" s="148" t="s">
        <v>9685</v>
      </c>
      <c r="IR30" s="148" t="s">
        <v>9685</v>
      </c>
      <c r="IS30" s="148" t="s">
        <v>9685</v>
      </c>
      <c r="IT30" s="148" t="s">
        <v>9685</v>
      </c>
      <c r="IU30" s="148" t="s">
        <v>9682</v>
      </c>
      <c r="IV30" s="148" t="s">
        <v>9695</v>
      </c>
      <c r="IW30" s="148" t="s">
        <v>9685</v>
      </c>
      <c r="IX30" s="148" t="s">
        <v>9683</v>
      </c>
      <c r="IY30" s="148" t="s">
        <v>9692</v>
      </c>
      <c r="IZ30" s="148" t="s">
        <v>9692</v>
      </c>
      <c r="JA30" s="148" t="s">
        <v>9686</v>
      </c>
      <c r="JB30" s="148" t="s">
        <v>9687</v>
      </c>
      <c r="JC30" s="148" t="s">
        <v>9687</v>
      </c>
      <c r="JD30" s="148" t="s">
        <v>9692</v>
      </c>
      <c r="JE30" s="148" t="s">
        <v>9685</v>
      </c>
      <c r="JF30" s="148"/>
      <c r="JG30" s="148"/>
      <c r="JH30" s="148" t="s">
        <v>9691</v>
      </c>
      <c r="JI30" s="148"/>
      <c r="JJ30" s="148" t="s">
        <v>9688</v>
      </c>
      <c r="JK30" s="1746" t="s">
        <v>9683</v>
      </c>
      <c r="JL30" s="1746" t="s">
        <v>9683</v>
      </c>
      <c r="JM30" s="1746" t="s">
        <v>9682</v>
      </c>
      <c r="JN30" s="1746" t="s">
        <v>9691</v>
      </c>
      <c r="JO30" s="1746" t="s">
        <v>9690</v>
      </c>
      <c r="JP30" s="1746" t="s">
        <v>9690</v>
      </c>
      <c r="JQ30" s="1746" t="s">
        <v>9693</v>
      </c>
      <c r="JR30" s="1746" t="s">
        <v>9691</v>
      </c>
      <c r="JS30" s="148" t="s">
        <v>9692</v>
      </c>
      <c r="JT30" s="148" t="s">
        <v>9692</v>
      </c>
      <c r="JU30" s="148" t="s">
        <v>9687</v>
      </c>
      <c r="JV30" s="148" t="s">
        <v>9687</v>
      </c>
      <c r="JW30" s="148" t="s">
        <v>9687</v>
      </c>
      <c r="JX30" s="1746" t="s">
        <v>9692</v>
      </c>
      <c r="JY30" s="1746" t="s">
        <v>9692</v>
      </c>
      <c r="JZ30" s="1746" t="s">
        <v>9691</v>
      </c>
      <c r="KA30" s="1746" t="s">
        <v>9683</v>
      </c>
      <c r="KB30" s="1746" t="s">
        <v>9683</v>
      </c>
      <c r="KC30" s="148" t="s">
        <v>9684</v>
      </c>
      <c r="KD30" s="1746" t="s">
        <v>9684</v>
      </c>
      <c r="KE30" s="1746" t="s">
        <v>9694</v>
      </c>
      <c r="KF30" s="148" t="s">
        <v>9691</v>
      </c>
      <c r="KG30" s="1746" t="s">
        <v>9691</v>
      </c>
      <c r="KH30" s="1746" t="s">
        <v>9685</v>
      </c>
      <c r="KI30" s="1746" t="s">
        <v>9685</v>
      </c>
      <c r="KJ30" s="148" t="s">
        <v>9685</v>
      </c>
      <c r="KK30" s="1746" t="s">
        <v>9685</v>
      </c>
      <c r="KL30" s="1746" t="s">
        <v>9685</v>
      </c>
      <c r="KM30" s="1746" t="s">
        <v>9692</v>
      </c>
      <c r="KN30" s="1746" t="s">
        <v>9691</v>
      </c>
      <c r="KO30" s="148" t="s">
        <v>9685</v>
      </c>
      <c r="KP30" s="1746" t="s">
        <v>9685</v>
      </c>
      <c r="KQ30" s="148" t="s">
        <v>9683</v>
      </c>
      <c r="KR30" s="148" t="s">
        <v>9687</v>
      </c>
      <c r="KS30" s="1746" t="s">
        <v>9685</v>
      </c>
      <c r="KT30" s="1746" t="s">
        <v>9685</v>
      </c>
      <c r="KU30" s="148" t="s">
        <v>9674</v>
      </c>
      <c r="KV30" s="1746" t="s">
        <v>9683</v>
      </c>
      <c r="KW30" s="148" t="s">
        <v>9683</v>
      </c>
      <c r="KX30" s="1746" t="s">
        <v>9691</v>
      </c>
      <c r="KY30" s="1746" t="s">
        <v>9688</v>
      </c>
      <c r="KZ30" s="1746" t="s">
        <v>9693</v>
      </c>
      <c r="LA30" s="1746" t="s">
        <v>9693</v>
      </c>
      <c r="LB30" s="1746" t="s">
        <v>9685</v>
      </c>
      <c r="LC30" s="1746" t="s">
        <v>9685</v>
      </c>
      <c r="LD30" s="148" t="s">
        <v>9691</v>
      </c>
      <c r="LE30" s="1746" t="s">
        <v>9685</v>
      </c>
      <c r="LF30" s="1746" t="s">
        <v>9685</v>
      </c>
      <c r="LG30" s="1746" t="s">
        <v>9687</v>
      </c>
      <c r="LH30" s="148" t="s">
        <v>9683</v>
      </c>
      <c r="LI30" s="1746" t="s">
        <v>9683</v>
      </c>
      <c r="LJ30" s="1746" t="s">
        <v>9683</v>
      </c>
      <c r="LK30" s="1746" t="s">
        <v>9695</v>
      </c>
      <c r="LL30" s="1746" t="s">
        <v>9690</v>
      </c>
      <c r="LM30" s="1746" t="s">
        <v>9691</v>
      </c>
      <c r="LN30" s="1746" t="s">
        <v>9687</v>
      </c>
      <c r="LO30" s="1746" t="s">
        <v>9685</v>
      </c>
      <c r="LP30" s="148" t="s">
        <v>9683</v>
      </c>
      <c r="LQ30" s="1746" t="s">
        <v>9691</v>
      </c>
      <c r="LR30" s="1746" t="s">
        <v>9691</v>
      </c>
      <c r="LS30" s="148" t="s">
        <v>9690</v>
      </c>
      <c r="LT30" s="1746" t="s">
        <v>9685</v>
      </c>
      <c r="LU30" s="148" t="s">
        <v>9685</v>
      </c>
      <c r="LV30" s="1746" t="s">
        <v>9691</v>
      </c>
      <c r="LW30" s="148" t="s">
        <v>9685</v>
      </c>
      <c r="LX30" s="148" t="s">
        <v>9683</v>
      </c>
      <c r="LY30" s="1746" t="s">
        <v>9691</v>
      </c>
      <c r="LZ30" s="1746" t="s">
        <v>9696</v>
      </c>
      <c r="MA30" s="1746" t="s">
        <v>9690</v>
      </c>
      <c r="MB30" s="1746" t="s">
        <v>9692</v>
      </c>
      <c r="MC30" s="148" t="s">
        <v>9692</v>
      </c>
      <c r="MD30" s="1746" t="s">
        <v>9687</v>
      </c>
      <c r="ME30" s="1746" t="s">
        <v>9687</v>
      </c>
      <c r="MF30" s="1746" t="s">
        <v>9692</v>
      </c>
      <c r="MG30" s="148" t="s">
        <v>9692</v>
      </c>
      <c r="MH30" s="1746" t="s">
        <v>9691</v>
      </c>
      <c r="MI30" s="1746" t="s">
        <v>9690</v>
      </c>
      <c r="MJ30" s="1746" t="s">
        <v>9691</v>
      </c>
      <c r="MK30" s="1746" t="s">
        <v>9690</v>
      </c>
      <c r="ML30" s="1746" t="s">
        <v>9692</v>
      </c>
      <c r="MM30" s="148" t="s">
        <v>9692</v>
      </c>
      <c r="MN30" s="148" t="s">
        <v>9685</v>
      </c>
      <c r="MO30" s="148" t="s">
        <v>9685</v>
      </c>
      <c r="MP30" s="1746" t="s">
        <v>9687</v>
      </c>
      <c r="MQ30" s="1746" t="s">
        <v>9687</v>
      </c>
      <c r="MR30" s="1746" t="s">
        <v>9687</v>
      </c>
      <c r="MS30" s="148" t="s">
        <v>9685</v>
      </c>
      <c r="MT30" s="148" t="s">
        <v>9685</v>
      </c>
      <c r="MU30" s="1746" t="s">
        <v>9687</v>
      </c>
      <c r="MV30" s="148" t="s">
        <v>9683</v>
      </c>
      <c r="MW30" s="1746"/>
      <c r="MX30" s="1746" t="s">
        <v>9692</v>
      </c>
      <c r="MY30" s="148" t="s">
        <v>9687</v>
      </c>
      <c r="MZ30" s="1746" t="s">
        <v>9692</v>
      </c>
      <c r="NA30" s="1746" t="s">
        <v>9683</v>
      </c>
      <c r="NB30" s="148" t="s">
        <v>9683</v>
      </c>
      <c r="NC30" s="1746" t="s">
        <v>9692</v>
      </c>
      <c r="ND30" s="1746" t="s">
        <v>9692</v>
      </c>
      <c r="NE30" s="1746" t="s">
        <v>9692</v>
      </c>
      <c r="NF30" s="148" t="s">
        <v>9683</v>
      </c>
      <c r="NG30" s="1746" t="s">
        <v>9692</v>
      </c>
      <c r="NH30" s="1746" t="s">
        <v>9685</v>
      </c>
      <c r="NI30" s="148" t="s">
        <v>9685</v>
      </c>
      <c r="NJ30" s="148" t="s">
        <v>9685</v>
      </c>
      <c r="NK30" s="1746"/>
      <c r="NL30" s="1746" t="s">
        <v>9688</v>
      </c>
      <c r="NM30" s="1746" t="s">
        <v>9688</v>
      </c>
      <c r="NN30" s="1746" t="s">
        <v>9690</v>
      </c>
      <c r="NO30" s="1746" t="s">
        <v>9692</v>
      </c>
      <c r="NP30" s="1746" t="s">
        <v>9690</v>
      </c>
      <c r="NQ30" s="1746" t="s">
        <v>9674</v>
      </c>
      <c r="NR30" s="1746" t="s">
        <v>9674</v>
      </c>
      <c r="NS30" s="1746" t="s">
        <v>9686</v>
      </c>
      <c r="NT30" s="1746" t="s">
        <v>9683</v>
      </c>
      <c r="NU30" s="1746" t="s">
        <v>9684</v>
      </c>
      <c r="NV30" s="1746" t="s">
        <v>9685</v>
      </c>
      <c r="NW30" s="1746" t="s">
        <v>9683</v>
      </c>
      <c r="NX30" s="1746" t="s">
        <v>9683</v>
      </c>
      <c r="NY30" s="1746" t="s">
        <v>9683</v>
      </c>
      <c r="NZ30" s="1746" t="s">
        <v>9683</v>
      </c>
      <c r="OA30" s="1746" t="s">
        <v>9688</v>
      </c>
      <c r="OB30" s="1746" t="s">
        <v>9688</v>
      </c>
      <c r="OC30" s="1746" t="s">
        <v>9685</v>
      </c>
      <c r="OD30" s="1746" t="s">
        <v>9685</v>
      </c>
      <c r="OE30" s="1746" t="s">
        <v>9685</v>
      </c>
      <c r="OF30" s="1746" t="s">
        <v>9684</v>
      </c>
      <c r="OG30" s="1746" t="s">
        <v>9692</v>
      </c>
      <c r="OH30" s="1746" t="s">
        <v>9692</v>
      </c>
      <c r="OI30" s="1746" t="s">
        <v>9683</v>
      </c>
      <c r="OJ30" s="1746" t="s">
        <v>9693</v>
      </c>
      <c r="OK30" s="1746" t="s">
        <v>9693</v>
      </c>
      <c r="OL30" s="1746" t="s">
        <v>9691</v>
      </c>
      <c r="OM30" s="1746" t="s">
        <v>9692</v>
      </c>
      <c r="ON30" s="1746" t="s">
        <v>9685</v>
      </c>
      <c r="OO30" s="1746"/>
      <c r="OP30" s="148" t="s">
        <v>9691</v>
      </c>
      <c r="OQ30" s="1746" t="s">
        <v>9691</v>
      </c>
      <c r="OR30" s="1746" t="s">
        <v>9691</v>
      </c>
      <c r="OS30" s="1746" t="s">
        <v>9688</v>
      </c>
      <c r="OT30" s="1746" t="s">
        <v>9691</v>
      </c>
      <c r="OU30" s="1746" t="s">
        <v>9690</v>
      </c>
      <c r="OV30" s="1746" t="s">
        <v>9692</v>
      </c>
      <c r="OW30" s="1746" t="s">
        <v>9685</v>
      </c>
      <c r="OX30" s="1746" t="s">
        <v>9687</v>
      </c>
      <c r="OY30" s="1746" t="s">
        <v>9687</v>
      </c>
      <c r="OZ30" s="1746"/>
      <c r="PA30" s="1746" t="s">
        <v>9690</v>
      </c>
      <c r="PB30" s="1746" t="s">
        <v>9691</v>
      </c>
      <c r="PC30" s="1746" t="s">
        <v>9691</v>
      </c>
      <c r="PD30" s="1746" t="s">
        <v>9691</v>
      </c>
      <c r="PE30" s="1746"/>
      <c r="PF30" s="1746" t="s">
        <v>9691</v>
      </c>
      <c r="PG30" s="148" t="s">
        <v>9693</v>
      </c>
      <c r="PH30" s="1746" t="s">
        <v>9684</v>
      </c>
      <c r="PI30" s="1746" t="s">
        <v>9686</v>
      </c>
      <c r="PJ30" s="1746" t="s">
        <v>9691</v>
      </c>
      <c r="PK30" s="1746" t="s">
        <v>9690</v>
      </c>
      <c r="PL30" s="1746" t="s">
        <v>9692</v>
      </c>
      <c r="PM30" s="1746" t="s">
        <v>9692</v>
      </c>
      <c r="PN30" s="1746" t="s">
        <v>9685</v>
      </c>
      <c r="PO30" s="1746" t="s">
        <v>9691</v>
      </c>
      <c r="PP30" s="1746" t="s">
        <v>9691</v>
      </c>
      <c r="PQ30" s="1746" t="s">
        <v>9691</v>
      </c>
      <c r="PR30" s="148" t="s">
        <v>9685</v>
      </c>
      <c r="PS30" s="1746" t="s">
        <v>9687</v>
      </c>
      <c r="PT30" s="1746" t="s">
        <v>9687</v>
      </c>
      <c r="PU30" s="1746" t="s">
        <v>9687</v>
      </c>
      <c r="PV30" s="1746" t="s">
        <v>9685</v>
      </c>
      <c r="PW30" s="1746" t="s">
        <v>9687</v>
      </c>
      <c r="PX30" s="1746" t="s">
        <v>9687</v>
      </c>
      <c r="PY30" s="148" t="s">
        <v>9687</v>
      </c>
      <c r="PZ30" s="1746" t="s">
        <v>9688</v>
      </c>
      <c r="QA30" s="1746" t="s">
        <v>9690</v>
      </c>
      <c r="QB30" s="1746" t="s">
        <v>9691</v>
      </c>
      <c r="QC30" s="1746" t="s">
        <v>9685</v>
      </c>
      <c r="QD30" s="1746" t="s">
        <v>9685</v>
      </c>
      <c r="QE30" s="1746" t="s">
        <v>9691</v>
      </c>
      <c r="QF30" s="1746" t="s">
        <v>9685</v>
      </c>
      <c r="QG30" s="1746" t="s">
        <v>9685</v>
      </c>
      <c r="QH30" s="1746" t="s">
        <v>9685</v>
      </c>
      <c r="QI30" s="1746" t="s">
        <v>9685</v>
      </c>
      <c r="QJ30" s="1746" t="s">
        <v>9685</v>
      </c>
      <c r="QK30" s="1746" t="s">
        <v>9683</v>
      </c>
      <c r="QL30" s="148" t="s">
        <v>9674</v>
      </c>
      <c r="QM30" s="1746" t="s">
        <v>9685</v>
      </c>
      <c r="QN30" s="1746" t="s">
        <v>9685</v>
      </c>
      <c r="QO30" s="1746" t="s">
        <v>9691</v>
      </c>
      <c r="QP30" s="1746" t="s">
        <v>9687</v>
      </c>
      <c r="QQ30" s="1746" t="s">
        <v>9685</v>
      </c>
      <c r="QR30" s="1746" t="s">
        <v>9685</v>
      </c>
      <c r="QS30" s="1746" t="s">
        <v>9690</v>
      </c>
      <c r="QT30" s="1746" t="s">
        <v>9692</v>
      </c>
      <c r="QU30" s="1746" t="s">
        <v>9692</v>
      </c>
      <c r="QV30" s="1746" t="s">
        <v>9692</v>
      </c>
      <c r="QW30" s="148" t="s">
        <v>9683</v>
      </c>
      <c r="QX30" s="148" t="s">
        <v>9682</v>
      </c>
      <c r="QY30" s="148" t="s">
        <v>9683</v>
      </c>
      <c r="QZ30" s="148" t="s">
        <v>9688</v>
      </c>
      <c r="RA30" s="148" t="s">
        <v>9685</v>
      </c>
      <c r="RB30" s="148" t="s">
        <v>9685</v>
      </c>
      <c r="RC30" s="1746" t="s">
        <v>9690</v>
      </c>
      <c r="RD30" s="148" t="s">
        <v>9690</v>
      </c>
      <c r="RE30" s="1746" t="s">
        <v>9687</v>
      </c>
      <c r="RF30" s="148" t="s">
        <v>9685</v>
      </c>
      <c r="RG30" s="148" t="s">
        <v>9691</v>
      </c>
      <c r="RH30" s="1746" t="s">
        <v>9685</v>
      </c>
      <c r="RI30" s="1746" t="s">
        <v>9683</v>
      </c>
      <c r="RJ30" s="148" t="s">
        <v>9690</v>
      </c>
      <c r="RK30" s="148" t="s">
        <v>9692</v>
      </c>
      <c r="RL30" s="148" t="s">
        <v>9696</v>
      </c>
      <c r="RM30" s="148" t="s">
        <v>9683</v>
      </c>
      <c r="RN30" s="148" t="s">
        <v>9690</v>
      </c>
      <c r="RO30" s="148" t="s">
        <v>9685</v>
      </c>
      <c r="RP30" s="148" t="s">
        <v>9687</v>
      </c>
      <c r="RQ30" s="1746" t="s">
        <v>9691</v>
      </c>
      <c r="RR30" s="1746" t="s">
        <v>9691</v>
      </c>
      <c r="RS30" s="1746" t="s">
        <v>9691</v>
      </c>
      <c r="RT30" s="1746" t="s">
        <v>9691</v>
      </c>
      <c r="RU30" s="1746" t="s">
        <v>9691</v>
      </c>
      <c r="RV30" s="1746" t="s">
        <v>9691</v>
      </c>
      <c r="RW30" s="1746" t="s">
        <v>9685</v>
      </c>
      <c r="RX30" s="1746" t="s">
        <v>9685</v>
      </c>
      <c r="RY30" s="1746" t="s">
        <v>9685</v>
      </c>
      <c r="RZ30" s="148" t="s">
        <v>9683</v>
      </c>
      <c r="SA30" s="1746" t="s">
        <v>9674</v>
      </c>
      <c r="SB30" s="1746" t="s">
        <v>9687</v>
      </c>
      <c r="SC30" s="148" t="s">
        <v>9690</v>
      </c>
      <c r="SD30" s="1746" t="s">
        <v>9683</v>
      </c>
      <c r="SE30" s="1746" t="s">
        <v>9683</v>
      </c>
      <c r="SF30" s="1746" t="s">
        <v>9692</v>
      </c>
      <c r="SG30" s="1746" t="s">
        <v>9692</v>
      </c>
      <c r="SH30" s="1746" t="s">
        <v>9683</v>
      </c>
      <c r="SI30" s="1746" t="s">
        <v>9685</v>
      </c>
      <c r="SJ30" s="1746" t="s">
        <v>9690</v>
      </c>
      <c r="SK30" s="1746" t="s">
        <v>9690</v>
      </c>
      <c r="SL30" s="1747" t="s">
        <v>9698</v>
      </c>
    </row>
    <row r="31" ht="15.75" customHeight="1">
      <c r="A31" s="1517"/>
      <c r="B31" s="131" t="s">
        <v>9694</v>
      </c>
      <c r="C31" s="131" t="s">
        <v>9694</v>
      </c>
      <c r="D31" s="131" t="s">
        <v>9690</v>
      </c>
      <c r="E31" s="1739" t="s">
        <v>9691</v>
      </c>
      <c r="F31" s="1739" t="s">
        <v>9691</v>
      </c>
      <c r="G31" s="1739" t="s">
        <v>9685</v>
      </c>
      <c r="H31" s="387" t="s">
        <v>9692</v>
      </c>
      <c r="I31" s="387" t="s">
        <v>9692</v>
      </c>
      <c r="J31" s="387" t="s">
        <v>9683</v>
      </c>
      <c r="K31" s="131"/>
      <c r="L31" s="131"/>
      <c r="M31" s="1740" t="s">
        <v>9693</v>
      </c>
      <c r="N31" s="1741"/>
      <c r="O31" s="339"/>
      <c r="P31" s="339" t="s">
        <v>9694</v>
      </c>
      <c r="Q31" s="1741" t="s">
        <v>9695</v>
      </c>
      <c r="R31" s="1741" t="s">
        <v>9695</v>
      </c>
      <c r="S31" s="1741" t="s">
        <v>9693</v>
      </c>
      <c r="T31" s="448" t="s">
        <v>9696</v>
      </c>
      <c r="U31" s="1741" t="s">
        <v>9692</v>
      </c>
      <c r="V31" s="1741" t="s">
        <v>9695</v>
      </c>
      <c r="W31" s="1741" t="s">
        <v>9693</v>
      </c>
      <c r="X31" s="448" t="s">
        <v>9694</v>
      </c>
      <c r="Y31" s="448" t="s">
        <v>9693</v>
      </c>
      <c r="Z31" s="339" t="s">
        <v>9693</v>
      </c>
      <c r="AA31" s="339" t="s">
        <v>9691</v>
      </c>
      <c r="AB31" s="339" t="s">
        <v>9695</v>
      </c>
      <c r="AC31" s="339" t="s">
        <v>9691</v>
      </c>
      <c r="AD31" s="387" t="s">
        <v>9696</v>
      </c>
      <c r="AE31" s="387" t="s">
        <v>9696</v>
      </c>
      <c r="AF31" s="387" t="s">
        <v>9685</v>
      </c>
      <c r="AG31" s="448" t="s">
        <v>9696</v>
      </c>
      <c r="AH31" s="448" t="s">
        <v>9696</v>
      </c>
      <c r="AI31" s="448" t="s">
        <v>9685</v>
      </c>
      <c r="AJ31" s="1742" t="s">
        <v>9685</v>
      </c>
      <c r="AK31" s="1742" t="s">
        <v>9685</v>
      </c>
      <c r="AL31" s="1741" t="s">
        <v>9697</v>
      </c>
      <c r="AM31" s="339" t="s">
        <v>9690</v>
      </c>
      <c r="AN31" s="1742" t="s">
        <v>9692</v>
      </c>
      <c r="AO31" s="1742" t="s">
        <v>9692</v>
      </c>
      <c r="AP31" s="448" t="s">
        <v>9693</v>
      </c>
      <c r="AQ31" s="448" t="s">
        <v>9691</v>
      </c>
      <c r="AR31" s="387" t="s">
        <v>9694</v>
      </c>
      <c r="AS31" s="387" t="s">
        <v>9694</v>
      </c>
      <c r="AT31" s="1739" t="s">
        <v>9691</v>
      </c>
      <c r="AU31" s="1739" t="s">
        <v>9694</v>
      </c>
      <c r="AV31" s="1739" t="s">
        <v>9691</v>
      </c>
      <c r="AW31" s="448" t="s">
        <v>9695</v>
      </c>
      <c r="AX31" s="448" t="s">
        <v>9694</v>
      </c>
      <c r="AY31" s="1741" t="s">
        <v>9699</v>
      </c>
      <c r="AZ31" s="1741" t="s">
        <v>9695</v>
      </c>
      <c r="BA31" s="339" t="s">
        <v>9691</v>
      </c>
      <c r="BB31" s="339" t="s">
        <v>9687</v>
      </c>
      <c r="BC31" s="339" t="s">
        <v>9683</v>
      </c>
      <c r="BD31" s="387" t="s">
        <v>9683</v>
      </c>
      <c r="BE31" s="1741" t="s">
        <v>9687</v>
      </c>
      <c r="BF31" s="1741" t="s">
        <v>9687</v>
      </c>
      <c r="BG31" s="1741" t="s">
        <v>9695</v>
      </c>
      <c r="BH31" s="1741" t="s">
        <v>9691</v>
      </c>
      <c r="BI31" s="387" t="s">
        <v>9696</v>
      </c>
      <c r="BJ31" s="387" t="s">
        <v>9692</v>
      </c>
      <c r="BK31" s="387" t="s">
        <v>9683</v>
      </c>
      <c r="BL31" s="1741" t="s">
        <v>9687</v>
      </c>
      <c r="BM31" s="1741" t="s">
        <v>9687</v>
      </c>
      <c r="BN31" s="1741" t="s">
        <v>9687</v>
      </c>
      <c r="BO31" s="1743" t="s">
        <v>9691</v>
      </c>
      <c r="BP31" s="1743" t="s">
        <v>9691</v>
      </c>
      <c r="BQ31" s="1743" t="s">
        <v>9690</v>
      </c>
      <c r="BR31" s="131" t="s">
        <v>9694</v>
      </c>
      <c r="BS31" s="131" t="s">
        <v>9694</v>
      </c>
      <c r="BT31" s="131" t="s">
        <v>9691</v>
      </c>
      <c r="BU31" s="387" t="s">
        <v>9696</v>
      </c>
      <c r="BV31" s="387" t="s">
        <v>9696</v>
      </c>
      <c r="BW31" s="1741" t="s">
        <v>9695</v>
      </c>
      <c r="BX31" s="1741" t="s">
        <v>9695</v>
      </c>
      <c r="BY31" s="1741" t="s">
        <v>9690</v>
      </c>
      <c r="BZ31" s="339" t="s">
        <v>9700</v>
      </c>
      <c r="CA31" s="339" t="s">
        <v>9695</v>
      </c>
      <c r="CB31" s="1742" t="s">
        <v>9685</v>
      </c>
      <c r="CC31" s="1742" t="s">
        <v>9683</v>
      </c>
      <c r="CD31" s="1743" t="s">
        <v>9693</v>
      </c>
      <c r="CE31" s="1743" t="s">
        <v>9691</v>
      </c>
      <c r="CF31" s="1741" t="s">
        <v>9701</v>
      </c>
      <c r="CG31" s="1741" t="s">
        <v>9702</v>
      </c>
      <c r="CH31" s="1741" t="s">
        <v>9691</v>
      </c>
      <c r="CI31" s="1740" t="s">
        <v>9696</v>
      </c>
      <c r="CJ31" s="1740" t="s">
        <v>9696</v>
      </c>
      <c r="CK31" s="448" t="s">
        <v>9693</v>
      </c>
      <c r="CL31" s="448" t="s">
        <v>9690</v>
      </c>
      <c r="CM31" s="448" t="s">
        <v>9696</v>
      </c>
      <c r="CN31" s="448" t="s">
        <v>9696</v>
      </c>
      <c r="CO31" s="448" t="s">
        <v>9693</v>
      </c>
      <c r="CP31" s="448" t="s">
        <v>9693</v>
      </c>
      <c r="CQ31" s="448" t="s">
        <v>9690</v>
      </c>
      <c r="CR31" s="1743" t="s">
        <v>9691</v>
      </c>
      <c r="CS31" s="339" t="s">
        <v>9687</v>
      </c>
      <c r="CT31" s="339" t="s">
        <v>9687</v>
      </c>
      <c r="CU31" s="1739" t="s">
        <v>9696</v>
      </c>
      <c r="CV31" s="1739" t="s">
        <v>9696</v>
      </c>
      <c r="CW31" s="1739" t="s">
        <v>9693</v>
      </c>
      <c r="CX31" s="1739" t="s">
        <v>9691</v>
      </c>
      <c r="CY31" s="1742" t="s">
        <v>9691</v>
      </c>
      <c r="CZ31" s="339" t="s">
        <v>9688</v>
      </c>
      <c r="DA31" s="1741" t="s">
        <v>9696</v>
      </c>
      <c r="DB31" s="1741" t="s">
        <v>9696</v>
      </c>
      <c r="DC31" s="1741" t="s">
        <v>9691</v>
      </c>
      <c r="DD31" s="1741" t="s">
        <v>9691</v>
      </c>
      <c r="DE31" s="1742" t="s">
        <v>9692</v>
      </c>
      <c r="DF31" s="448" t="s">
        <v>9693</v>
      </c>
      <c r="DG31" s="448" t="s">
        <v>9691</v>
      </c>
      <c r="DH31" s="1743" t="s">
        <v>9696</v>
      </c>
      <c r="DI31" s="1743" t="s">
        <v>9692</v>
      </c>
      <c r="DJ31" s="1742" t="s">
        <v>9683</v>
      </c>
      <c r="DK31" s="387" t="s">
        <v>9691</v>
      </c>
      <c r="DL31" s="1741" t="s">
        <v>9683</v>
      </c>
      <c r="DM31" s="387" t="s">
        <v>9696</v>
      </c>
      <c r="DN31" s="387" t="s">
        <v>9696</v>
      </c>
      <c r="DO31" s="1739" t="s">
        <v>9696</v>
      </c>
      <c r="DP31" s="1739" t="s">
        <v>9696</v>
      </c>
      <c r="DQ31" s="1741" t="s">
        <v>9696</v>
      </c>
      <c r="DR31" s="448" t="s">
        <v>9696</v>
      </c>
      <c r="DS31" s="1742" t="s">
        <v>9687</v>
      </c>
      <c r="DT31" s="131" t="s">
        <v>9693</v>
      </c>
      <c r="DU31" s="1739" t="s">
        <v>9683</v>
      </c>
      <c r="DV31" s="339" t="s">
        <v>9691</v>
      </c>
      <c r="DW31" s="1739" t="s">
        <v>9691</v>
      </c>
      <c r="DX31" s="1741" t="s">
        <v>9690</v>
      </c>
      <c r="DY31" s="1741" t="s">
        <v>9696</v>
      </c>
      <c r="DZ31" s="1739"/>
      <c r="EA31" s="387" t="s">
        <v>9687</v>
      </c>
      <c r="EB31" s="387" t="s">
        <v>9692</v>
      </c>
      <c r="EC31" s="448"/>
      <c r="ED31" s="1741" t="s">
        <v>9695</v>
      </c>
      <c r="EE31" s="387" t="s">
        <v>9685</v>
      </c>
      <c r="EF31" s="339" t="s">
        <v>9688</v>
      </c>
      <c r="EG31" s="1739" t="s">
        <v>9691</v>
      </c>
      <c r="EH31" s="1742" t="s">
        <v>9690</v>
      </c>
      <c r="EI31" s="387" t="s">
        <v>9696</v>
      </c>
      <c r="EJ31" s="387" t="s">
        <v>9696</v>
      </c>
      <c r="EK31" s="1741" t="s">
        <v>9696</v>
      </c>
      <c r="EL31" s="1741" t="s">
        <v>9696</v>
      </c>
      <c r="EM31" s="448" t="s">
        <v>9687</v>
      </c>
      <c r="EN31" s="1744" t="s">
        <v>9692</v>
      </c>
      <c r="EO31" s="387" t="s">
        <v>9685</v>
      </c>
      <c r="EP31" s="339" t="s">
        <v>9688</v>
      </c>
      <c r="EQ31" s="339" t="s">
        <v>9691</v>
      </c>
      <c r="ER31" s="387" t="s">
        <v>9692</v>
      </c>
      <c r="ES31" s="387" t="s">
        <v>9692</v>
      </c>
      <c r="ET31" s="1741" t="s">
        <v>9686</v>
      </c>
      <c r="EU31" s="448" t="s">
        <v>9684</v>
      </c>
      <c r="EV31" s="1742"/>
      <c r="EW31" s="131" t="s">
        <v>9691</v>
      </c>
      <c r="EX31" s="131" t="s">
        <v>9691</v>
      </c>
      <c r="EY31" s="131" t="s">
        <v>9688</v>
      </c>
      <c r="EZ31" s="339" t="s">
        <v>9702</v>
      </c>
      <c r="FA31" s="339" t="s">
        <v>9691</v>
      </c>
      <c r="FB31" s="339" t="s">
        <v>9690</v>
      </c>
      <c r="FC31" s="387" t="s">
        <v>9692</v>
      </c>
      <c r="FD31" s="387" t="s">
        <v>9683</v>
      </c>
      <c r="FE31" s="387" t="s">
        <v>9686</v>
      </c>
      <c r="FF31" s="1741" t="s">
        <v>9692</v>
      </c>
      <c r="FG31" s="1741" t="s">
        <v>9692</v>
      </c>
      <c r="FH31" s="1741" t="s">
        <v>9695</v>
      </c>
      <c r="FI31" s="1741" t="s">
        <v>9693</v>
      </c>
      <c r="FJ31" s="1739" t="s">
        <v>9691</v>
      </c>
      <c r="FK31" s="1739" t="s">
        <v>9688</v>
      </c>
      <c r="FL31" s="131" t="s">
        <v>9695</v>
      </c>
      <c r="FM31" s="1739" t="s">
        <v>9694</v>
      </c>
      <c r="FN31" s="448" t="s">
        <v>9691</v>
      </c>
      <c r="FO31" s="387" t="s">
        <v>9696</v>
      </c>
      <c r="FP31" s="387" t="s">
        <v>9696</v>
      </c>
      <c r="FQ31" s="339" t="s">
        <v>9695</v>
      </c>
      <c r="FR31" s="1742" t="s">
        <v>9691</v>
      </c>
      <c r="FS31" s="1742" t="s">
        <v>9691</v>
      </c>
      <c r="FT31" s="1740" t="s">
        <v>9691</v>
      </c>
      <c r="FU31" s="1740" t="s">
        <v>9690</v>
      </c>
      <c r="FV31" s="131" t="s">
        <v>9691</v>
      </c>
      <c r="FW31" s="131" t="s">
        <v>9688</v>
      </c>
      <c r="FX31" s="1740" t="s">
        <v>9695</v>
      </c>
      <c r="FY31" s="1742" t="s">
        <v>9693</v>
      </c>
      <c r="FZ31" s="339" t="s">
        <v>9691</v>
      </c>
      <c r="GA31" s="131" t="s">
        <v>9691</v>
      </c>
      <c r="GB31" s="387" t="s">
        <v>9692</v>
      </c>
      <c r="GC31" s="387" t="s">
        <v>9692</v>
      </c>
      <c r="GD31" s="1741" t="s">
        <v>9687</v>
      </c>
      <c r="GE31" s="131" t="s">
        <v>9692</v>
      </c>
      <c r="GF31" s="1742" t="s">
        <v>9694</v>
      </c>
      <c r="GG31" s="131" t="s">
        <v>9694</v>
      </c>
      <c r="GH31" s="387" t="s">
        <v>9691</v>
      </c>
      <c r="GI31" s="448" t="s">
        <v>9687</v>
      </c>
      <c r="GJ31" s="339" t="s">
        <v>9691</v>
      </c>
      <c r="GK31" s="339" t="s">
        <v>9688</v>
      </c>
      <c r="GL31" s="1739" t="s">
        <v>9695</v>
      </c>
      <c r="GM31" s="387" t="s">
        <v>9696</v>
      </c>
      <c r="GN31" s="387" t="s">
        <v>9692</v>
      </c>
      <c r="GO31" s="448" t="s">
        <v>9688</v>
      </c>
      <c r="GP31" s="1744" t="s">
        <v>9691</v>
      </c>
      <c r="GQ31" s="1744" t="s">
        <v>9691</v>
      </c>
      <c r="GR31" s="1742" t="s">
        <v>9683</v>
      </c>
      <c r="GS31" s="1743" t="s">
        <v>9691</v>
      </c>
      <c r="GT31" s="1744"/>
      <c r="GU31" s="387"/>
      <c r="GV31" s="339" t="s">
        <v>9691</v>
      </c>
      <c r="GW31" s="1743" t="s">
        <v>9694</v>
      </c>
      <c r="GX31" s="448" t="s">
        <v>9691</v>
      </c>
      <c r="GY31" s="339" t="s">
        <v>9692</v>
      </c>
      <c r="GZ31" s="448" t="s">
        <v>9693</v>
      </c>
      <c r="HA31" s="1743" t="s">
        <v>9690</v>
      </c>
      <c r="HB31" s="1742" t="s">
        <v>9683</v>
      </c>
      <c r="HC31" s="448" t="s">
        <v>9683</v>
      </c>
      <c r="HD31" s="1743" t="s">
        <v>9692</v>
      </c>
      <c r="HE31" s="1739" t="s">
        <v>9693</v>
      </c>
      <c r="HF31" s="339" t="s">
        <v>9695</v>
      </c>
      <c r="HG31" s="387" t="s">
        <v>9690</v>
      </c>
      <c r="HH31" s="1744" t="s">
        <v>9685</v>
      </c>
      <c r="HI31" s="1741" t="s">
        <v>9685</v>
      </c>
      <c r="HJ31" s="1741" t="s">
        <v>9685</v>
      </c>
      <c r="HK31" s="1739" t="s">
        <v>9695</v>
      </c>
      <c r="HL31" s="1739" t="s">
        <v>9691</v>
      </c>
      <c r="HM31" s="1741" t="s">
        <v>9696</v>
      </c>
      <c r="HN31" s="1741" t="s">
        <v>9696</v>
      </c>
      <c r="HO31" s="1742" t="s">
        <v>9685</v>
      </c>
      <c r="HP31" s="1743" t="s">
        <v>9692</v>
      </c>
      <c r="HQ31" s="1739" t="s">
        <v>9692</v>
      </c>
      <c r="HR31" s="1739" t="s">
        <v>9692</v>
      </c>
      <c r="HS31" s="448" t="s">
        <v>9692</v>
      </c>
      <c r="HT31" s="1743" t="s">
        <v>9691</v>
      </c>
      <c r="HU31" s="1744" t="s">
        <v>9691</v>
      </c>
      <c r="HV31" s="1744" t="s">
        <v>9690</v>
      </c>
      <c r="HW31" s="387" t="s">
        <v>9696</v>
      </c>
      <c r="HX31" s="387" t="s">
        <v>9695</v>
      </c>
      <c r="HY31" s="1743" t="s">
        <v>9691</v>
      </c>
      <c r="HZ31" s="1739" t="s">
        <v>9690</v>
      </c>
      <c r="IA31" s="1741" t="s">
        <v>9688</v>
      </c>
      <c r="IB31" s="1740"/>
      <c r="IC31" s="448" t="s">
        <v>9693</v>
      </c>
      <c r="ID31" s="1741" t="s">
        <v>9693</v>
      </c>
      <c r="IE31" s="1742" t="s">
        <v>9692</v>
      </c>
      <c r="IF31" s="339" t="s">
        <v>9693</v>
      </c>
      <c r="IG31" s="1739" t="s">
        <v>9695</v>
      </c>
      <c r="IH31" s="1742" t="s">
        <v>9692</v>
      </c>
      <c r="II31" s="1742" t="s">
        <v>9683</v>
      </c>
      <c r="IJ31" s="339" t="s">
        <v>9690</v>
      </c>
      <c r="IK31" s="1741" t="s">
        <v>9690</v>
      </c>
      <c r="IL31" s="387" t="s">
        <v>9683</v>
      </c>
      <c r="IM31" s="131" t="s">
        <v>9691</v>
      </c>
      <c r="IN31" s="1743" t="s">
        <v>9691</v>
      </c>
      <c r="IO31" s="131" t="s">
        <v>9683</v>
      </c>
      <c r="IP31" s="1740" t="s">
        <v>9683</v>
      </c>
      <c r="IQ31" s="1739" t="s">
        <v>9690</v>
      </c>
      <c r="IR31" s="131" t="s">
        <v>9690</v>
      </c>
      <c r="IS31" s="131" t="s">
        <v>9691</v>
      </c>
      <c r="IT31" s="131" t="s">
        <v>9691</v>
      </c>
      <c r="IU31" s="131" t="s">
        <v>9683</v>
      </c>
      <c r="IV31" s="1739" t="s">
        <v>9702</v>
      </c>
      <c r="IW31" s="1739" t="s">
        <v>9691</v>
      </c>
      <c r="IX31" s="1739" t="s">
        <v>9685</v>
      </c>
      <c r="IY31" s="387" t="s">
        <v>9696</v>
      </c>
      <c r="IZ31" s="387" t="s">
        <v>9696</v>
      </c>
      <c r="JA31" s="387" t="s">
        <v>9683</v>
      </c>
      <c r="JB31" s="1743" t="s">
        <v>9691</v>
      </c>
      <c r="JC31" s="1743" t="s">
        <v>9690</v>
      </c>
      <c r="JD31" s="1741" t="s">
        <v>9696</v>
      </c>
      <c r="JE31" s="1740" t="s">
        <v>9692</v>
      </c>
      <c r="JF31" s="1739"/>
      <c r="JG31" s="1740"/>
      <c r="JH31" s="339" t="s">
        <v>9694</v>
      </c>
      <c r="JI31" s="448"/>
      <c r="JJ31" s="131" t="s">
        <v>9691</v>
      </c>
      <c r="JK31" s="131" t="s">
        <v>9685</v>
      </c>
      <c r="JL31" s="131" t="s">
        <v>9685</v>
      </c>
      <c r="JM31" s="131" t="s">
        <v>9683</v>
      </c>
      <c r="JN31" s="1741" t="s">
        <v>9694</v>
      </c>
      <c r="JO31" s="1741" t="s">
        <v>9691</v>
      </c>
      <c r="JP31" s="1741" t="s">
        <v>9691</v>
      </c>
      <c r="JQ31" s="387" t="s">
        <v>9695</v>
      </c>
      <c r="JR31" s="387" t="s">
        <v>9693</v>
      </c>
      <c r="JS31" s="1740" t="s">
        <v>9696</v>
      </c>
      <c r="JT31" s="339" t="s">
        <v>9696</v>
      </c>
      <c r="JU31" s="1740" t="s">
        <v>9688</v>
      </c>
      <c r="JV31" s="1740" t="s">
        <v>9688</v>
      </c>
      <c r="JW31" s="1740" t="s">
        <v>9690</v>
      </c>
      <c r="JX31" s="387" t="s">
        <v>9696</v>
      </c>
      <c r="JY31" s="387" t="s">
        <v>9696</v>
      </c>
      <c r="JZ31" s="1741" t="s">
        <v>9694</v>
      </c>
      <c r="KA31" s="131" t="s">
        <v>9685</v>
      </c>
      <c r="KB31" s="1741" t="s">
        <v>9685</v>
      </c>
      <c r="KC31" s="1740" t="s">
        <v>9683</v>
      </c>
      <c r="KD31" s="1741" t="s">
        <v>9683</v>
      </c>
      <c r="KE31" s="1743" t="s">
        <v>9695</v>
      </c>
      <c r="KF31" s="339" t="s">
        <v>9694</v>
      </c>
      <c r="KG31" s="1741" t="s">
        <v>9694</v>
      </c>
      <c r="KH31" s="1742" t="s">
        <v>9692</v>
      </c>
      <c r="KI31" s="387" t="s">
        <v>9687</v>
      </c>
      <c r="KJ31" s="387" t="s">
        <v>9687</v>
      </c>
      <c r="KK31" s="339" t="s">
        <v>9691</v>
      </c>
      <c r="KL31" s="1741" t="s">
        <v>9690</v>
      </c>
      <c r="KM31" s="387" t="s">
        <v>9696</v>
      </c>
      <c r="KN31" s="1743" t="s">
        <v>9695</v>
      </c>
      <c r="KO31" s="1742" t="s">
        <v>9692</v>
      </c>
      <c r="KP31" s="448" t="s">
        <v>9692</v>
      </c>
      <c r="KQ31" s="448" t="s">
        <v>9685</v>
      </c>
      <c r="KR31" s="1744" t="s">
        <v>9692</v>
      </c>
      <c r="KS31" s="1743" t="s">
        <v>9691</v>
      </c>
      <c r="KT31" s="1743" t="s">
        <v>9691</v>
      </c>
      <c r="KU31" s="1743" t="s">
        <v>9683</v>
      </c>
      <c r="KV31" s="387" t="s">
        <v>9685</v>
      </c>
      <c r="KW31" s="1739" t="s">
        <v>9685</v>
      </c>
      <c r="KX31" s="131" t="s">
        <v>9693</v>
      </c>
      <c r="KY31" s="339" t="s">
        <v>9691</v>
      </c>
      <c r="KZ31" s="339" t="s">
        <v>9695</v>
      </c>
      <c r="LA31" s="339" t="s">
        <v>9695</v>
      </c>
      <c r="LB31" s="1743" t="s">
        <v>9688</v>
      </c>
      <c r="LC31" s="448" t="s">
        <v>9688</v>
      </c>
      <c r="LD31" s="131" t="s">
        <v>9693</v>
      </c>
      <c r="LE31" s="131" t="s">
        <v>9692</v>
      </c>
      <c r="LF31" s="448" t="s">
        <v>9692</v>
      </c>
      <c r="LG31" s="1739" t="s">
        <v>9692</v>
      </c>
      <c r="LH31" s="387" t="s">
        <v>9687</v>
      </c>
      <c r="LI31" s="387" t="s">
        <v>9692</v>
      </c>
      <c r="LJ31" s="387" t="s">
        <v>9692</v>
      </c>
      <c r="LK31" s="339" t="s">
        <v>9699</v>
      </c>
      <c r="LL31" s="1739" t="s">
        <v>9691</v>
      </c>
      <c r="LM31" s="1741" t="s">
        <v>9695</v>
      </c>
      <c r="LN31" s="1744" t="s">
        <v>9688</v>
      </c>
      <c r="LO31" s="448" t="s">
        <v>9687</v>
      </c>
      <c r="LP31" s="1741" t="s">
        <v>9685</v>
      </c>
      <c r="LQ31" s="1741" t="s">
        <v>9694</v>
      </c>
      <c r="LR31" s="131" t="s">
        <v>9694</v>
      </c>
      <c r="LS31" s="131" t="s">
        <v>9691</v>
      </c>
      <c r="LT31" s="131" t="s">
        <v>9691</v>
      </c>
      <c r="LU31" s="131" t="s">
        <v>9690</v>
      </c>
      <c r="LV31" s="387" t="s">
        <v>9693</v>
      </c>
      <c r="LW31" s="387" t="s">
        <v>9692</v>
      </c>
      <c r="LX31" s="1740" t="s">
        <v>9685</v>
      </c>
      <c r="LY31" s="1744" t="s">
        <v>9693</v>
      </c>
      <c r="LZ31" s="339" t="s">
        <v>9690</v>
      </c>
      <c r="MA31" s="1739" t="s">
        <v>9688</v>
      </c>
      <c r="MB31" s="1743" t="s">
        <v>9696</v>
      </c>
      <c r="MC31" s="387" t="s">
        <v>9696</v>
      </c>
      <c r="MD31" s="1739" t="s">
        <v>9692</v>
      </c>
      <c r="ME31" s="1739" t="s">
        <v>9692</v>
      </c>
      <c r="MF31" s="1741" t="s">
        <v>9688</v>
      </c>
      <c r="MG31" s="1744" t="s">
        <v>9690</v>
      </c>
      <c r="MH31" s="448" t="s">
        <v>9694</v>
      </c>
      <c r="MI31" s="131" t="s">
        <v>9691</v>
      </c>
      <c r="MJ31" s="1743" t="s">
        <v>9695</v>
      </c>
      <c r="MK31" s="1743" t="s">
        <v>9691</v>
      </c>
      <c r="ML31" s="1741" t="s">
        <v>9696</v>
      </c>
      <c r="MM31" s="1742" t="s">
        <v>9696</v>
      </c>
      <c r="MN31" s="1740" t="s">
        <v>9692</v>
      </c>
      <c r="MO31" s="131" t="s">
        <v>9692</v>
      </c>
      <c r="MP31" s="1744" t="s">
        <v>9691</v>
      </c>
      <c r="MQ31" s="1744" t="s">
        <v>9690</v>
      </c>
      <c r="MR31" s="1744" t="s">
        <v>9692</v>
      </c>
      <c r="MS31" s="1744" t="s">
        <v>9687</v>
      </c>
      <c r="MT31" s="131" t="s">
        <v>9690</v>
      </c>
      <c r="MU31" s="387" t="s">
        <v>9688</v>
      </c>
      <c r="MV31" s="1740" t="s">
        <v>9685</v>
      </c>
      <c r="MW31" s="387"/>
      <c r="MX31" s="1743" t="s">
        <v>9696</v>
      </c>
      <c r="MY31" s="1743" t="s">
        <v>9692</v>
      </c>
      <c r="MZ31" s="387" t="s">
        <v>9696</v>
      </c>
      <c r="NA31" s="387" t="s">
        <v>9692</v>
      </c>
      <c r="NB31" s="387" t="s">
        <v>9692</v>
      </c>
      <c r="NC31" s="387" t="s">
        <v>9696</v>
      </c>
      <c r="ND31" s="387" t="s">
        <v>9696</v>
      </c>
      <c r="NE31" s="1742" t="s">
        <v>9696</v>
      </c>
      <c r="NF31" s="1743" t="s">
        <v>9692</v>
      </c>
      <c r="NG31" s="1742" t="s">
        <v>9696</v>
      </c>
      <c r="NH31" s="387" t="s">
        <v>9691</v>
      </c>
      <c r="NI31" s="1740" t="s">
        <v>9691</v>
      </c>
      <c r="NJ31" s="387" t="s">
        <v>9690</v>
      </c>
      <c r="NK31" s="387"/>
      <c r="NL31" s="387" t="s">
        <v>9691</v>
      </c>
      <c r="NM31" s="387" t="s">
        <v>9691</v>
      </c>
      <c r="NN31" s="1741" t="s">
        <v>9691</v>
      </c>
      <c r="NO31" s="387" t="s">
        <v>9696</v>
      </c>
      <c r="NP31" s="1743" t="s">
        <v>9691</v>
      </c>
      <c r="NQ31" s="1739" t="s">
        <v>9683</v>
      </c>
      <c r="NR31" s="387" t="s">
        <v>9683</v>
      </c>
      <c r="NS31" s="387" t="s">
        <v>9683</v>
      </c>
      <c r="NT31" s="1739" t="s">
        <v>9685</v>
      </c>
      <c r="NU31" s="131" t="s">
        <v>9683</v>
      </c>
      <c r="NV31" s="339" t="s">
        <v>9690</v>
      </c>
      <c r="NW31" s="1739" t="s">
        <v>9685</v>
      </c>
      <c r="NX31" s="1739" t="s">
        <v>9685</v>
      </c>
      <c r="NY31" s="1739" t="s">
        <v>9685</v>
      </c>
      <c r="NZ31" s="1739" t="s">
        <v>9685</v>
      </c>
      <c r="OA31" s="131" t="s">
        <v>9691</v>
      </c>
      <c r="OB31" s="131" t="s">
        <v>9691</v>
      </c>
      <c r="OC31" s="131" t="s">
        <v>9690</v>
      </c>
      <c r="OD31" s="1741" t="s">
        <v>9687</v>
      </c>
      <c r="OE31" s="1741" t="s">
        <v>9687</v>
      </c>
      <c r="OF31" s="1741" t="s">
        <v>9683</v>
      </c>
      <c r="OG31" s="387" t="s">
        <v>9696</v>
      </c>
      <c r="OH31" s="387" t="s">
        <v>9696</v>
      </c>
      <c r="OI31" s="387" t="s">
        <v>9692</v>
      </c>
      <c r="OJ31" s="1741" t="s">
        <v>9695</v>
      </c>
      <c r="OK31" s="1741" t="s">
        <v>9695</v>
      </c>
      <c r="OL31" s="1741" t="s">
        <v>9693</v>
      </c>
      <c r="OM31" s="1741" t="s">
        <v>9696</v>
      </c>
      <c r="ON31" s="1741" t="s">
        <v>9687</v>
      </c>
      <c r="OO31" s="1739"/>
      <c r="OP31" s="1739" t="s">
        <v>9693</v>
      </c>
      <c r="OQ31" s="387" t="s">
        <v>9693</v>
      </c>
      <c r="OR31" s="387" t="s">
        <v>9693</v>
      </c>
      <c r="OS31" s="387" t="s">
        <v>9691</v>
      </c>
      <c r="OT31" s="131" t="s">
        <v>9693</v>
      </c>
      <c r="OU31" s="131" t="s">
        <v>9691</v>
      </c>
      <c r="OV31" s="387" t="s">
        <v>9696</v>
      </c>
      <c r="OW31" s="387" t="s">
        <v>9692</v>
      </c>
      <c r="OX31" s="1743" t="s">
        <v>9692</v>
      </c>
      <c r="OY31" s="1743" t="s">
        <v>9692</v>
      </c>
      <c r="OZ31" s="131"/>
      <c r="PA31" s="131" t="s">
        <v>9691</v>
      </c>
      <c r="PB31" s="339" t="s">
        <v>9693</v>
      </c>
      <c r="PC31" s="1742" t="s">
        <v>9693</v>
      </c>
      <c r="PD31" s="339" t="s">
        <v>9693</v>
      </c>
      <c r="PE31" s="339"/>
      <c r="PF31" s="339" t="s">
        <v>9693</v>
      </c>
      <c r="PG31" s="1740" t="s">
        <v>9695</v>
      </c>
      <c r="PH31" s="1741" t="s">
        <v>9683</v>
      </c>
      <c r="PI31" s="1741" t="s">
        <v>9684</v>
      </c>
      <c r="PJ31" s="1742" t="s">
        <v>9694</v>
      </c>
      <c r="PK31" s="1742" t="s">
        <v>9691</v>
      </c>
      <c r="PL31" s="448" t="s">
        <v>9696</v>
      </c>
      <c r="PM31" s="448" t="s">
        <v>9696</v>
      </c>
      <c r="PN31" s="448" t="s">
        <v>9687</v>
      </c>
      <c r="PO31" s="448" t="s">
        <v>9693</v>
      </c>
      <c r="PP31" s="448" t="s">
        <v>9693</v>
      </c>
      <c r="PQ31" s="1741" t="s">
        <v>9693</v>
      </c>
      <c r="PR31" s="1741" t="s">
        <v>9692</v>
      </c>
      <c r="PS31" s="448" t="s">
        <v>9690</v>
      </c>
      <c r="PT31" s="1744" t="s">
        <v>9690</v>
      </c>
      <c r="PU31" s="1743" t="s">
        <v>9691</v>
      </c>
      <c r="PV31" s="1743" t="s">
        <v>9687</v>
      </c>
      <c r="PW31" s="339" t="s">
        <v>9688</v>
      </c>
      <c r="PX31" s="448" t="s">
        <v>9691</v>
      </c>
      <c r="PY31" s="448" t="s">
        <v>9690</v>
      </c>
      <c r="PZ31" s="131" t="s">
        <v>9691</v>
      </c>
      <c r="QA31" s="131" t="s">
        <v>9688</v>
      </c>
      <c r="QB31" s="1741" t="s">
        <v>9695</v>
      </c>
      <c r="QC31" s="1742" t="s">
        <v>9687</v>
      </c>
      <c r="QD31" s="1742" t="s">
        <v>9688</v>
      </c>
      <c r="QE31" s="1744" t="s">
        <v>9693</v>
      </c>
      <c r="QF31" s="448" t="s">
        <v>9687</v>
      </c>
      <c r="QG31" s="387" t="s">
        <v>9691</v>
      </c>
      <c r="QH31" s="387" t="s">
        <v>9691</v>
      </c>
      <c r="QI31" s="387" t="s">
        <v>9690</v>
      </c>
      <c r="QJ31" s="1744" t="s">
        <v>9692</v>
      </c>
      <c r="QK31" s="387" t="s">
        <v>9685</v>
      </c>
      <c r="QL31" s="387" t="s">
        <v>9684</v>
      </c>
      <c r="QM31" s="1741" t="s">
        <v>9691</v>
      </c>
      <c r="QN31" s="1741" t="s">
        <v>9690</v>
      </c>
      <c r="QO31" s="448" t="s">
        <v>9693</v>
      </c>
      <c r="QP31" s="448" t="s">
        <v>9690</v>
      </c>
      <c r="QQ31" s="387" t="s">
        <v>9687</v>
      </c>
      <c r="QR31" s="387" t="s">
        <v>9687</v>
      </c>
      <c r="QS31" s="131" t="s">
        <v>9691</v>
      </c>
      <c r="QT31" s="387" t="s">
        <v>9696</v>
      </c>
      <c r="QU31" s="387" t="s">
        <v>9696</v>
      </c>
      <c r="QV31" s="387" t="s">
        <v>9696</v>
      </c>
      <c r="QW31" s="1740" t="s">
        <v>9692</v>
      </c>
      <c r="QX31" s="1740" t="s">
        <v>9683</v>
      </c>
      <c r="QY31" s="1744" t="s">
        <v>9685</v>
      </c>
      <c r="QZ31" s="1743" t="s">
        <v>9691</v>
      </c>
      <c r="RA31" s="1742" t="s">
        <v>9692</v>
      </c>
      <c r="RB31" s="1743" t="s">
        <v>9692</v>
      </c>
      <c r="RC31" s="387" t="s">
        <v>9691</v>
      </c>
      <c r="RD31" s="339" t="s">
        <v>9688</v>
      </c>
      <c r="RE31" s="1739" t="s">
        <v>9690</v>
      </c>
      <c r="RF31" s="1740" t="s">
        <v>9690</v>
      </c>
      <c r="RG31" s="131" t="s">
        <v>9694</v>
      </c>
      <c r="RH31" s="131" t="s">
        <v>9690</v>
      </c>
      <c r="RI31" s="387" t="s">
        <v>9685</v>
      </c>
      <c r="RJ31" s="448" t="s">
        <v>9691</v>
      </c>
      <c r="RK31" s="1741" t="s">
        <v>9696</v>
      </c>
      <c r="RL31" s="1739" t="s">
        <v>9690</v>
      </c>
      <c r="RM31" s="1740" t="s">
        <v>9685</v>
      </c>
      <c r="RN31" s="1743" t="s">
        <v>9691</v>
      </c>
      <c r="RO31" s="1744" t="s">
        <v>9687</v>
      </c>
      <c r="RP31" s="1740" t="s">
        <v>9692</v>
      </c>
      <c r="RQ31" s="1739" t="s">
        <v>9693</v>
      </c>
      <c r="RR31" s="1739" t="s">
        <v>9693</v>
      </c>
      <c r="RS31" s="1739" t="s">
        <v>9693</v>
      </c>
      <c r="RT31" s="1739" t="s">
        <v>9693</v>
      </c>
      <c r="RU31" s="1739" t="s">
        <v>9693</v>
      </c>
      <c r="RV31" s="1739" t="s">
        <v>9693</v>
      </c>
      <c r="RW31" s="339" t="s">
        <v>9690</v>
      </c>
      <c r="RX31" s="1742" t="s">
        <v>9692</v>
      </c>
      <c r="RY31" s="387" t="s">
        <v>9687</v>
      </c>
      <c r="RZ31" s="1740" t="s">
        <v>9685</v>
      </c>
      <c r="SA31" s="448" t="s">
        <v>9686</v>
      </c>
      <c r="SB31" s="1741" t="s">
        <v>9690</v>
      </c>
      <c r="SC31" s="1740" t="s">
        <v>9693</v>
      </c>
      <c r="SD31" s="1744" t="s">
        <v>9685</v>
      </c>
      <c r="SE31" s="1744" t="s">
        <v>9685</v>
      </c>
      <c r="SF31" s="339" t="s">
        <v>9690</v>
      </c>
      <c r="SG31" s="387" t="s">
        <v>9696</v>
      </c>
      <c r="SH31" s="387" t="s">
        <v>9692</v>
      </c>
      <c r="SI31" s="1744" t="s">
        <v>9687</v>
      </c>
      <c r="SJ31" s="131" t="s">
        <v>9691</v>
      </c>
      <c r="SK31" s="131" t="s">
        <v>9691</v>
      </c>
      <c r="SL31" s="1745" t="s">
        <v>9703</v>
      </c>
    </row>
    <row r="32" ht="15.75" customHeight="1">
      <c r="A32" s="1517"/>
      <c r="B32" s="148" t="s">
        <v>9695</v>
      </c>
      <c r="C32" s="148" t="s">
        <v>9695</v>
      </c>
      <c r="D32" s="148" t="s">
        <v>9691</v>
      </c>
      <c r="E32" s="148" t="s">
        <v>9695</v>
      </c>
      <c r="F32" s="148" t="s">
        <v>9695</v>
      </c>
      <c r="G32" s="148" t="s">
        <v>9690</v>
      </c>
      <c r="H32" s="148" t="s">
        <v>9696</v>
      </c>
      <c r="I32" s="148" t="s">
        <v>9696</v>
      </c>
      <c r="J32" s="148" t="s">
        <v>9692</v>
      </c>
      <c r="K32" s="148"/>
      <c r="L32" s="148"/>
      <c r="M32" s="148" t="s">
        <v>9694</v>
      </c>
      <c r="N32" s="148"/>
      <c r="O32" s="148"/>
      <c r="P32" s="148" t="s">
        <v>9695</v>
      </c>
      <c r="Q32" s="148" t="s">
        <v>9702</v>
      </c>
      <c r="R32" s="148" t="s">
        <v>9702</v>
      </c>
      <c r="S32" s="148" t="s">
        <v>9695</v>
      </c>
      <c r="T32" s="148" t="s">
        <v>9691</v>
      </c>
      <c r="U32" s="148" t="s">
        <v>9696</v>
      </c>
      <c r="V32" s="148" t="s">
        <v>9702</v>
      </c>
      <c r="W32" s="148" t="s">
        <v>9695</v>
      </c>
      <c r="X32" s="148" t="s">
        <v>9695</v>
      </c>
      <c r="Y32" s="148" t="s">
        <v>9694</v>
      </c>
      <c r="Z32" s="148" t="s">
        <v>9695</v>
      </c>
      <c r="AA32" s="148" t="s">
        <v>9693</v>
      </c>
      <c r="AB32" s="148" t="s">
        <v>9701</v>
      </c>
      <c r="AC32" s="148" t="s">
        <v>9695</v>
      </c>
      <c r="AD32" s="148" t="s">
        <v>9691</v>
      </c>
      <c r="AE32" s="148" t="s">
        <v>9691</v>
      </c>
      <c r="AF32" s="148" t="s">
        <v>9687</v>
      </c>
      <c r="AG32" s="148" t="s">
        <v>9691</v>
      </c>
      <c r="AH32" s="148" t="s">
        <v>9691</v>
      </c>
      <c r="AI32" s="148" t="s">
        <v>9687</v>
      </c>
      <c r="AJ32" s="148" t="s">
        <v>9692</v>
      </c>
      <c r="AK32" s="148" t="s">
        <v>9692</v>
      </c>
      <c r="AL32" s="148" t="s">
        <v>9695</v>
      </c>
      <c r="AM32" s="148" t="s">
        <v>9691</v>
      </c>
      <c r="AN32" s="148" t="s">
        <v>9696</v>
      </c>
      <c r="AO32" s="148" t="s">
        <v>9696</v>
      </c>
      <c r="AP32" s="148" t="s">
        <v>9694</v>
      </c>
      <c r="AQ32" s="148" t="s">
        <v>9693</v>
      </c>
      <c r="AR32" s="148" t="s">
        <v>9695</v>
      </c>
      <c r="AS32" s="148" t="s">
        <v>9695</v>
      </c>
      <c r="AT32" s="148" t="s">
        <v>9694</v>
      </c>
      <c r="AU32" s="148" t="s">
        <v>9695</v>
      </c>
      <c r="AV32" s="148" t="s">
        <v>9694</v>
      </c>
      <c r="AW32" s="148" t="s">
        <v>9700</v>
      </c>
      <c r="AX32" s="148" t="s">
        <v>9695</v>
      </c>
      <c r="AY32" s="148" t="s">
        <v>9702</v>
      </c>
      <c r="AZ32" s="148" t="s">
        <v>9699</v>
      </c>
      <c r="BA32" s="148" t="s">
        <v>9693</v>
      </c>
      <c r="BB32" s="148" t="s">
        <v>9690</v>
      </c>
      <c r="BC32" s="148" t="s">
        <v>9692</v>
      </c>
      <c r="BD32" s="148" t="s">
        <v>9692</v>
      </c>
      <c r="BE32" s="148" t="s">
        <v>9691</v>
      </c>
      <c r="BF32" s="148" t="s">
        <v>9690</v>
      </c>
      <c r="BG32" s="148" t="s">
        <v>9701</v>
      </c>
      <c r="BH32" s="148" t="s">
        <v>9695</v>
      </c>
      <c r="BI32" s="148" t="s">
        <v>9691</v>
      </c>
      <c r="BJ32" s="148" t="s">
        <v>9696</v>
      </c>
      <c r="BK32" s="148" t="s">
        <v>9692</v>
      </c>
      <c r="BL32" s="148" t="s">
        <v>9688</v>
      </c>
      <c r="BM32" s="148" t="s">
        <v>9688</v>
      </c>
      <c r="BN32" s="148" t="s">
        <v>9690</v>
      </c>
      <c r="BO32" s="148" t="s">
        <v>9693</v>
      </c>
      <c r="BP32" s="148" t="s">
        <v>9693</v>
      </c>
      <c r="BQ32" s="148" t="s">
        <v>9691</v>
      </c>
      <c r="BR32" s="148" t="s">
        <v>9695</v>
      </c>
      <c r="BS32" s="148" t="s">
        <v>9695</v>
      </c>
      <c r="BT32" s="148" t="s">
        <v>9694</v>
      </c>
      <c r="BU32" s="148" t="s">
        <v>9691</v>
      </c>
      <c r="BV32" s="148" t="s">
        <v>9690</v>
      </c>
      <c r="BW32" s="148" t="s">
        <v>9699</v>
      </c>
      <c r="BX32" s="148" t="s">
        <v>9699</v>
      </c>
      <c r="BY32" s="148" t="s">
        <v>9691</v>
      </c>
      <c r="BZ32" s="148" t="s">
        <v>9701</v>
      </c>
      <c r="CA32" s="148" t="s">
        <v>9700</v>
      </c>
      <c r="CB32" s="148" t="s">
        <v>9692</v>
      </c>
      <c r="CC32" s="148" t="s">
        <v>9685</v>
      </c>
      <c r="CD32" s="148" t="s">
        <v>9695</v>
      </c>
      <c r="CE32" s="148" t="s">
        <v>9693</v>
      </c>
      <c r="CF32" s="148" t="s">
        <v>9702</v>
      </c>
      <c r="CG32" s="148" t="s">
        <v>9704</v>
      </c>
      <c r="CH32" s="148" t="s">
        <v>9695</v>
      </c>
      <c r="CI32" s="148" t="s">
        <v>9691</v>
      </c>
      <c r="CJ32" s="148" t="s">
        <v>9690</v>
      </c>
      <c r="CK32" s="148" t="s">
        <v>9694</v>
      </c>
      <c r="CL32" s="148" t="s">
        <v>9691</v>
      </c>
      <c r="CM32" s="148" t="s">
        <v>9691</v>
      </c>
      <c r="CN32" s="148" t="s">
        <v>9690</v>
      </c>
      <c r="CO32" s="148" t="s">
        <v>9694</v>
      </c>
      <c r="CP32" s="148" t="s">
        <v>9694</v>
      </c>
      <c r="CQ32" s="148" t="s">
        <v>9691</v>
      </c>
      <c r="CR32" s="148" t="s">
        <v>9695</v>
      </c>
      <c r="CS32" s="148" t="s">
        <v>9688</v>
      </c>
      <c r="CT32" s="148" t="s">
        <v>9690</v>
      </c>
      <c r="CU32" s="148" t="s">
        <v>9691</v>
      </c>
      <c r="CV32" s="148" t="s">
        <v>9690</v>
      </c>
      <c r="CW32" s="148" t="s">
        <v>9695</v>
      </c>
      <c r="CX32" s="148" t="s">
        <v>9693</v>
      </c>
      <c r="CY32" s="148" t="s">
        <v>9694</v>
      </c>
      <c r="CZ32" s="148" t="s">
        <v>9691</v>
      </c>
      <c r="DA32" s="148" t="s">
        <v>9691</v>
      </c>
      <c r="DB32" s="148" t="s">
        <v>9690</v>
      </c>
      <c r="DC32" s="148" t="s">
        <v>9693</v>
      </c>
      <c r="DD32" s="148" t="s">
        <v>9693</v>
      </c>
      <c r="DE32" s="148" t="s">
        <v>9696</v>
      </c>
      <c r="DF32" s="148" t="s">
        <v>9695</v>
      </c>
      <c r="DG32" s="148" t="s">
        <v>9693</v>
      </c>
      <c r="DH32" s="148" t="s">
        <v>9691</v>
      </c>
      <c r="DI32" s="148" t="s">
        <v>9696</v>
      </c>
      <c r="DJ32" s="148" t="s">
        <v>9685</v>
      </c>
      <c r="DK32" s="148" t="s">
        <v>9694</v>
      </c>
      <c r="DL32" s="148" t="s">
        <v>9685</v>
      </c>
      <c r="DM32" s="148" t="s">
        <v>9691</v>
      </c>
      <c r="DN32" s="148" t="s">
        <v>9690</v>
      </c>
      <c r="DO32" s="148" t="s">
        <v>9691</v>
      </c>
      <c r="DP32" s="148" t="s">
        <v>9690</v>
      </c>
      <c r="DQ32" s="148" t="s">
        <v>9688</v>
      </c>
      <c r="DR32" s="148" t="s">
        <v>9690</v>
      </c>
      <c r="DS32" s="148" t="s">
        <v>9690</v>
      </c>
      <c r="DT32" s="148" t="s">
        <v>9695</v>
      </c>
      <c r="DU32" s="148" t="s">
        <v>9687</v>
      </c>
      <c r="DV32" s="148" t="s">
        <v>9693</v>
      </c>
      <c r="DW32" s="148" t="s">
        <v>9695</v>
      </c>
      <c r="DX32" s="148" t="s">
        <v>9691</v>
      </c>
      <c r="DY32" s="148" t="s">
        <v>9690</v>
      </c>
      <c r="DZ32" s="148"/>
      <c r="EA32" s="148" t="s">
        <v>9692</v>
      </c>
      <c r="EB32" s="148" t="s">
        <v>9696</v>
      </c>
      <c r="EC32" s="148"/>
      <c r="ED32" s="148" t="s">
        <v>9701</v>
      </c>
      <c r="EE32" s="148" t="s">
        <v>9692</v>
      </c>
      <c r="EF32" s="148" t="s">
        <v>9691</v>
      </c>
      <c r="EG32" s="148" t="s">
        <v>9693</v>
      </c>
      <c r="EH32" s="148" t="s">
        <v>9691</v>
      </c>
      <c r="EI32" s="148" t="s">
        <v>9691</v>
      </c>
      <c r="EJ32" s="148" t="s">
        <v>9690</v>
      </c>
      <c r="EK32" s="148" t="s">
        <v>9691</v>
      </c>
      <c r="EL32" s="148" t="s">
        <v>9690</v>
      </c>
      <c r="EM32" s="148" t="s">
        <v>9690</v>
      </c>
      <c r="EN32" s="148" t="s">
        <v>9696</v>
      </c>
      <c r="EO32" s="148" t="s">
        <v>9692</v>
      </c>
      <c r="EP32" s="148" t="s">
        <v>9691</v>
      </c>
      <c r="EQ32" s="148" t="s">
        <v>9693</v>
      </c>
      <c r="ER32" s="148" t="s">
        <v>9696</v>
      </c>
      <c r="ES32" s="148" t="s">
        <v>9696</v>
      </c>
      <c r="ET32" s="148" t="s">
        <v>9683</v>
      </c>
      <c r="EU32" s="148" t="s">
        <v>9683</v>
      </c>
      <c r="EV32" s="148"/>
      <c r="EW32" s="148" t="s">
        <v>9694</v>
      </c>
      <c r="EX32" s="148" t="s">
        <v>9694</v>
      </c>
      <c r="EY32" s="148" t="s">
        <v>9691</v>
      </c>
      <c r="EZ32" s="148" t="s">
        <v>9698</v>
      </c>
      <c r="FA32" s="148" t="s">
        <v>9695</v>
      </c>
      <c r="FB32" s="148" t="s">
        <v>9691</v>
      </c>
      <c r="FC32" s="148" t="s">
        <v>9696</v>
      </c>
      <c r="FD32" s="148" t="s">
        <v>9692</v>
      </c>
      <c r="FE32" s="148" t="s">
        <v>9683</v>
      </c>
      <c r="FF32" s="148" t="s">
        <v>9691</v>
      </c>
      <c r="FG32" s="148" t="s">
        <v>9696</v>
      </c>
      <c r="FH32" s="148" t="s">
        <v>9702</v>
      </c>
      <c r="FI32" s="148" t="s">
        <v>9695</v>
      </c>
      <c r="FJ32" s="148" t="s">
        <v>9694</v>
      </c>
      <c r="FK32" s="148" t="s">
        <v>9691</v>
      </c>
      <c r="FL32" s="148" t="s">
        <v>9700</v>
      </c>
      <c r="FM32" s="148" t="s">
        <v>9695</v>
      </c>
      <c r="FN32" s="148" t="s">
        <v>9693</v>
      </c>
      <c r="FO32" s="148" t="s">
        <v>9691</v>
      </c>
      <c r="FP32" s="148" t="s">
        <v>9690</v>
      </c>
      <c r="FQ32" s="148" t="s">
        <v>9701</v>
      </c>
      <c r="FR32" s="148" t="s">
        <v>9693</v>
      </c>
      <c r="FS32" s="148" t="s">
        <v>9693</v>
      </c>
      <c r="FT32" s="148" t="s">
        <v>9693</v>
      </c>
      <c r="FU32" s="148" t="s">
        <v>9688</v>
      </c>
      <c r="FV32" s="148" t="s">
        <v>9693</v>
      </c>
      <c r="FW32" s="148" t="s">
        <v>9691</v>
      </c>
      <c r="FX32" s="148" t="s">
        <v>9701</v>
      </c>
      <c r="FY32" s="148" t="s">
        <v>9695</v>
      </c>
      <c r="FZ32" s="148" t="s">
        <v>9693</v>
      </c>
      <c r="GA32" s="148" t="s">
        <v>9694</v>
      </c>
      <c r="GB32" s="148" t="s">
        <v>9696</v>
      </c>
      <c r="GC32" s="148" t="s">
        <v>9696</v>
      </c>
      <c r="GD32" s="148" t="s">
        <v>9691</v>
      </c>
      <c r="GE32" s="148" t="s">
        <v>9696</v>
      </c>
      <c r="GF32" s="148" t="s">
        <v>9695</v>
      </c>
      <c r="GG32" s="148" t="s">
        <v>9695</v>
      </c>
      <c r="GH32" s="148" t="s">
        <v>9694</v>
      </c>
      <c r="GI32" s="148" t="s">
        <v>9691</v>
      </c>
      <c r="GJ32" s="148" t="s">
        <v>9694</v>
      </c>
      <c r="GK32" s="148" t="s">
        <v>9691</v>
      </c>
      <c r="GL32" s="148" t="s">
        <v>9700</v>
      </c>
      <c r="GM32" s="148" t="s">
        <v>9691</v>
      </c>
      <c r="GN32" s="148" t="s">
        <v>9696</v>
      </c>
      <c r="GO32" s="148" t="s">
        <v>9691</v>
      </c>
      <c r="GP32" s="148" t="s">
        <v>9693</v>
      </c>
      <c r="GQ32" s="148" t="s">
        <v>9693</v>
      </c>
      <c r="GR32" s="148" t="s">
        <v>9685</v>
      </c>
      <c r="GS32" s="148" t="s">
        <v>9693</v>
      </c>
      <c r="GT32" s="148"/>
      <c r="GU32" s="148"/>
      <c r="GV32" s="148" t="s">
        <v>9693</v>
      </c>
      <c r="GW32" s="148" t="s">
        <v>9695</v>
      </c>
      <c r="GX32" s="148" t="s">
        <v>9694</v>
      </c>
      <c r="GY32" s="148" t="s">
        <v>9696</v>
      </c>
      <c r="GZ32" s="148" t="s">
        <v>9695</v>
      </c>
      <c r="HA32" s="148" t="s">
        <v>9691</v>
      </c>
      <c r="HB32" s="148" t="s">
        <v>9685</v>
      </c>
      <c r="HC32" s="148" t="s">
        <v>9685</v>
      </c>
      <c r="HD32" s="148" t="s">
        <v>9696</v>
      </c>
      <c r="HE32" s="148" t="s">
        <v>9695</v>
      </c>
      <c r="HF32" s="148" t="s">
        <v>9699</v>
      </c>
      <c r="HG32" s="148" t="s">
        <v>9691</v>
      </c>
      <c r="HH32" s="148" t="s">
        <v>9687</v>
      </c>
      <c r="HI32" s="148" t="s">
        <v>9687</v>
      </c>
      <c r="HJ32" s="148" t="s">
        <v>9687</v>
      </c>
      <c r="HK32" s="148" t="s">
        <v>9702</v>
      </c>
      <c r="HL32" s="148" t="s">
        <v>9695</v>
      </c>
      <c r="HM32" s="148" t="s">
        <v>9688</v>
      </c>
      <c r="HN32" s="148" t="s">
        <v>9690</v>
      </c>
      <c r="HO32" s="148" t="s">
        <v>9692</v>
      </c>
      <c r="HP32" s="148" t="s">
        <v>9696</v>
      </c>
      <c r="HQ32" s="148" t="s">
        <v>9696</v>
      </c>
      <c r="HR32" s="148" t="s">
        <v>9696</v>
      </c>
      <c r="HS32" s="148" t="s">
        <v>9696</v>
      </c>
      <c r="HT32" s="148" t="s">
        <v>9695</v>
      </c>
      <c r="HU32" s="148" t="s">
        <v>9695</v>
      </c>
      <c r="HV32" s="148" t="s">
        <v>9691</v>
      </c>
      <c r="HW32" s="148" t="s">
        <v>9690</v>
      </c>
      <c r="HX32" s="148" t="s">
        <v>9701</v>
      </c>
      <c r="HY32" s="148" t="s">
        <v>9695</v>
      </c>
      <c r="HZ32" s="148" t="s">
        <v>9691</v>
      </c>
      <c r="IA32" s="148" t="s">
        <v>9691</v>
      </c>
      <c r="IB32" s="148"/>
      <c r="IC32" s="148" t="s">
        <v>9695</v>
      </c>
      <c r="ID32" s="148" t="s">
        <v>9695</v>
      </c>
      <c r="IE32" s="148" t="s">
        <v>9696</v>
      </c>
      <c r="IF32" s="148" t="s">
        <v>9695</v>
      </c>
      <c r="IG32" s="148" t="s">
        <v>9701</v>
      </c>
      <c r="IH32" s="148" t="s">
        <v>9696</v>
      </c>
      <c r="II32" s="148" t="s">
        <v>9685</v>
      </c>
      <c r="IJ32" s="148" t="s">
        <v>9688</v>
      </c>
      <c r="IK32" s="148" t="s">
        <v>9691</v>
      </c>
      <c r="IL32" s="148" t="s">
        <v>9685</v>
      </c>
      <c r="IM32" s="148" t="s">
        <v>9693</v>
      </c>
      <c r="IN32" s="148" t="s">
        <v>9693</v>
      </c>
      <c r="IO32" s="148" t="s">
        <v>9685</v>
      </c>
      <c r="IP32" s="148" t="s">
        <v>9685</v>
      </c>
      <c r="IQ32" s="148" t="s">
        <v>9688</v>
      </c>
      <c r="IR32" s="148" t="s">
        <v>9688</v>
      </c>
      <c r="IS32" s="148" t="s">
        <v>9694</v>
      </c>
      <c r="IT32" s="148" t="s">
        <v>9694</v>
      </c>
      <c r="IU32" s="148" t="s">
        <v>9685</v>
      </c>
      <c r="IV32" s="148" t="s">
        <v>9698</v>
      </c>
      <c r="IW32" s="148" t="s">
        <v>9695</v>
      </c>
      <c r="IX32" s="148" t="s">
        <v>9690</v>
      </c>
      <c r="IY32" s="148" t="s">
        <v>9691</v>
      </c>
      <c r="IZ32" s="148" t="s">
        <v>9691</v>
      </c>
      <c r="JA32" s="148" t="s">
        <v>9692</v>
      </c>
      <c r="JB32" s="148" t="s">
        <v>9693</v>
      </c>
      <c r="JC32" s="148" t="s">
        <v>9691</v>
      </c>
      <c r="JD32" s="148" t="s">
        <v>9691</v>
      </c>
      <c r="JE32" s="148" t="s">
        <v>9696</v>
      </c>
      <c r="JF32" s="148"/>
      <c r="JG32" s="148"/>
      <c r="JH32" s="148" t="s">
        <v>9697</v>
      </c>
      <c r="JI32" s="148"/>
      <c r="JJ32" s="148" t="s">
        <v>9694</v>
      </c>
      <c r="JK32" s="1746" t="s">
        <v>9692</v>
      </c>
      <c r="JL32" s="1746" t="s">
        <v>9692</v>
      </c>
      <c r="JM32" s="1746" t="s">
        <v>9685</v>
      </c>
      <c r="JN32" s="1746" t="s">
        <v>9695</v>
      </c>
      <c r="JO32" s="1746" t="s">
        <v>9694</v>
      </c>
      <c r="JP32" s="1746" t="s">
        <v>9694</v>
      </c>
      <c r="JQ32" s="1746" t="s">
        <v>9702</v>
      </c>
      <c r="JR32" s="1746" t="s">
        <v>9695</v>
      </c>
      <c r="JS32" s="148" t="s">
        <v>9691</v>
      </c>
      <c r="JT32" s="148" t="s">
        <v>9690</v>
      </c>
      <c r="JU32" s="148" t="s">
        <v>9691</v>
      </c>
      <c r="JV32" s="148" t="s">
        <v>9691</v>
      </c>
      <c r="JW32" s="148" t="s">
        <v>9688</v>
      </c>
      <c r="JX32" s="1746" t="s">
        <v>9691</v>
      </c>
      <c r="JY32" s="1746" t="s">
        <v>9690</v>
      </c>
      <c r="JZ32" s="1746" t="s">
        <v>9697</v>
      </c>
      <c r="KA32" s="1746" t="s">
        <v>9690</v>
      </c>
      <c r="KB32" s="1746" t="s">
        <v>9692</v>
      </c>
      <c r="KC32" s="148" t="s">
        <v>9685</v>
      </c>
      <c r="KD32" s="1746" t="s">
        <v>9685</v>
      </c>
      <c r="KE32" s="1746" t="s">
        <v>9700</v>
      </c>
      <c r="KF32" s="148" t="s">
        <v>9695</v>
      </c>
      <c r="KG32" s="1746" t="s">
        <v>9695</v>
      </c>
      <c r="KH32" s="1746" t="s">
        <v>9696</v>
      </c>
      <c r="KI32" s="1746" t="s">
        <v>9692</v>
      </c>
      <c r="KJ32" s="148" t="s">
        <v>9692</v>
      </c>
      <c r="KK32" s="1746" t="s">
        <v>9693</v>
      </c>
      <c r="KL32" s="1746" t="s">
        <v>9691</v>
      </c>
      <c r="KM32" s="1746" t="s">
        <v>9691</v>
      </c>
      <c r="KN32" s="1746" t="s">
        <v>9705</v>
      </c>
      <c r="KO32" s="148" t="s">
        <v>9696</v>
      </c>
      <c r="KP32" s="1746" t="s">
        <v>9696</v>
      </c>
      <c r="KQ32" s="148" t="s">
        <v>9687</v>
      </c>
      <c r="KR32" s="148" t="s">
        <v>9690</v>
      </c>
      <c r="KS32" s="1746" t="s">
        <v>9693</v>
      </c>
      <c r="KT32" s="1746" t="s">
        <v>9693</v>
      </c>
      <c r="KU32" s="148" t="s">
        <v>9685</v>
      </c>
      <c r="KV32" s="1746" t="s">
        <v>9688</v>
      </c>
      <c r="KW32" s="148" t="s">
        <v>9690</v>
      </c>
      <c r="KX32" s="1746" t="s">
        <v>9695</v>
      </c>
      <c r="KY32" s="1746" t="s">
        <v>9693</v>
      </c>
      <c r="KZ32" s="1746" t="s">
        <v>9701</v>
      </c>
      <c r="LA32" s="1746" t="s">
        <v>9701</v>
      </c>
      <c r="LB32" s="1746" t="s">
        <v>9691</v>
      </c>
      <c r="LC32" s="1746" t="s">
        <v>9691</v>
      </c>
      <c r="LD32" s="148" t="s">
        <v>9694</v>
      </c>
      <c r="LE32" s="1746" t="s">
        <v>9691</v>
      </c>
      <c r="LF32" s="1746" t="s">
        <v>9690</v>
      </c>
      <c r="LG32" s="1746" t="s">
        <v>9696</v>
      </c>
      <c r="LH32" s="148" t="s">
        <v>9692</v>
      </c>
      <c r="LI32" s="1746" t="s">
        <v>9696</v>
      </c>
      <c r="LJ32" s="1746" t="s">
        <v>9696</v>
      </c>
      <c r="LK32" s="1746" t="s">
        <v>9702</v>
      </c>
      <c r="LL32" s="1746" t="s">
        <v>9695</v>
      </c>
      <c r="LM32" s="1746" t="s">
        <v>9700</v>
      </c>
      <c r="LN32" s="1746" t="s">
        <v>9691</v>
      </c>
      <c r="LO32" s="1746" t="s">
        <v>9690</v>
      </c>
      <c r="LP32" s="148" t="s">
        <v>9691</v>
      </c>
      <c r="LQ32" s="1746" t="s">
        <v>9695</v>
      </c>
      <c r="LR32" s="1746" t="s">
        <v>9695</v>
      </c>
      <c r="LS32" s="148" t="s">
        <v>9694</v>
      </c>
      <c r="LT32" s="1746" t="s">
        <v>9694</v>
      </c>
      <c r="LU32" s="148" t="s">
        <v>9691</v>
      </c>
      <c r="LV32" s="1746" t="s">
        <v>9697</v>
      </c>
      <c r="LW32" s="148" t="s">
        <v>9690</v>
      </c>
      <c r="LX32" s="148" t="s">
        <v>9687</v>
      </c>
      <c r="LY32" s="1746" t="s">
        <v>9694</v>
      </c>
      <c r="LZ32" s="1746" t="s">
        <v>9688</v>
      </c>
      <c r="MA32" s="1746" t="s">
        <v>9691</v>
      </c>
      <c r="MB32" s="1746" t="s">
        <v>9691</v>
      </c>
      <c r="MC32" s="148" t="s">
        <v>9690</v>
      </c>
      <c r="MD32" s="1746" t="s">
        <v>9696</v>
      </c>
      <c r="ME32" s="1746" t="s">
        <v>9696</v>
      </c>
      <c r="MF32" s="1746" t="s">
        <v>9691</v>
      </c>
      <c r="MG32" s="148" t="s">
        <v>9688</v>
      </c>
      <c r="MH32" s="1746" t="s">
        <v>9695</v>
      </c>
      <c r="MI32" s="1746" t="s">
        <v>9694</v>
      </c>
      <c r="MJ32" s="1746" t="s">
        <v>9702</v>
      </c>
      <c r="MK32" s="1746" t="s">
        <v>9695</v>
      </c>
      <c r="ML32" s="1746" t="s">
        <v>9691</v>
      </c>
      <c r="MM32" s="148" t="s">
        <v>9690</v>
      </c>
      <c r="MN32" s="148" t="s">
        <v>9696</v>
      </c>
      <c r="MO32" s="148" t="s">
        <v>9696</v>
      </c>
      <c r="MP32" s="1746" t="s">
        <v>9693</v>
      </c>
      <c r="MQ32" s="1746" t="s">
        <v>9691</v>
      </c>
      <c r="MR32" s="1746" t="s">
        <v>9696</v>
      </c>
      <c r="MS32" s="148" t="s">
        <v>9692</v>
      </c>
      <c r="MT32" s="148" t="s">
        <v>9691</v>
      </c>
      <c r="MU32" s="1746" t="s">
        <v>9691</v>
      </c>
      <c r="MV32" s="148" t="s">
        <v>9687</v>
      </c>
      <c r="MW32" s="1746"/>
      <c r="MX32" s="1746" t="s">
        <v>9688</v>
      </c>
      <c r="MY32" s="148" t="s">
        <v>9696</v>
      </c>
      <c r="MZ32" s="1746" t="s">
        <v>9691</v>
      </c>
      <c r="NA32" s="1746" t="s">
        <v>9696</v>
      </c>
      <c r="NB32" s="148" t="s">
        <v>9696</v>
      </c>
      <c r="NC32" s="1746" t="s">
        <v>9691</v>
      </c>
      <c r="ND32" s="1746" t="s">
        <v>9690</v>
      </c>
      <c r="NE32" s="1746" t="s">
        <v>9690</v>
      </c>
      <c r="NF32" s="148" t="s">
        <v>9696</v>
      </c>
      <c r="NG32" s="1746" t="s">
        <v>9691</v>
      </c>
      <c r="NH32" s="1746" t="s">
        <v>9693</v>
      </c>
      <c r="NI32" s="148" t="s">
        <v>9693</v>
      </c>
      <c r="NJ32" s="148" t="s">
        <v>9691</v>
      </c>
      <c r="NK32" s="1746"/>
      <c r="NL32" s="1746" t="s">
        <v>9693</v>
      </c>
      <c r="NM32" s="1746" t="s">
        <v>9693</v>
      </c>
      <c r="NN32" s="1746" t="s">
        <v>9697</v>
      </c>
      <c r="NO32" s="1746" t="s">
        <v>9690</v>
      </c>
      <c r="NP32" s="1746" t="s">
        <v>9693</v>
      </c>
      <c r="NQ32" s="1746" t="s">
        <v>9685</v>
      </c>
      <c r="NR32" s="1746" t="s">
        <v>9685</v>
      </c>
      <c r="NS32" s="1746" t="s">
        <v>9692</v>
      </c>
      <c r="NT32" s="1746" t="s">
        <v>9690</v>
      </c>
      <c r="NU32" s="1746" t="s">
        <v>9685</v>
      </c>
      <c r="NV32" s="1746" t="s">
        <v>9688</v>
      </c>
      <c r="NW32" s="1746" t="s">
        <v>9687</v>
      </c>
      <c r="NX32" s="1746" t="s">
        <v>9687</v>
      </c>
      <c r="NY32" s="1746" t="s">
        <v>9687</v>
      </c>
      <c r="NZ32" s="1746" t="s">
        <v>9687</v>
      </c>
      <c r="OA32" s="1746" t="s">
        <v>9694</v>
      </c>
      <c r="OB32" s="1746" t="s">
        <v>9694</v>
      </c>
      <c r="OC32" s="1746" t="s">
        <v>9688</v>
      </c>
      <c r="OD32" s="1746" t="s">
        <v>9691</v>
      </c>
      <c r="OE32" s="1746" t="s">
        <v>9691</v>
      </c>
      <c r="OF32" s="1746" t="s">
        <v>9685</v>
      </c>
      <c r="OG32" s="1746" t="s">
        <v>9691</v>
      </c>
      <c r="OH32" s="1746" t="s">
        <v>9691</v>
      </c>
      <c r="OI32" s="1746" t="s">
        <v>9696</v>
      </c>
      <c r="OJ32" s="1746" t="s">
        <v>9702</v>
      </c>
      <c r="OK32" s="1746" t="s">
        <v>9702</v>
      </c>
      <c r="OL32" s="1746" t="s">
        <v>9695</v>
      </c>
      <c r="OM32" s="1746" t="s">
        <v>9691</v>
      </c>
      <c r="ON32" s="1746" t="s">
        <v>9692</v>
      </c>
      <c r="OO32" s="1746"/>
      <c r="OP32" s="148" t="s">
        <v>9695</v>
      </c>
      <c r="OQ32" s="1746" t="s">
        <v>9695</v>
      </c>
      <c r="OR32" s="1746" t="s">
        <v>9695</v>
      </c>
      <c r="OS32" s="1746" t="s">
        <v>9693</v>
      </c>
      <c r="OT32" s="1746" t="s">
        <v>9694</v>
      </c>
      <c r="OU32" s="1746" t="s">
        <v>9693</v>
      </c>
      <c r="OV32" s="1746" t="s">
        <v>9691</v>
      </c>
      <c r="OW32" s="1746" t="s">
        <v>9696</v>
      </c>
      <c r="OX32" s="1746" t="s">
        <v>9696</v>
      </c>
      <c r="OY32" s="1746" t="s">
        <v>9696</v>
      </c>
      <c r="OZ32" s="1746"/>
      <c r="PA32" s="1746" t="s">
        <v>9693</v>
      </c>
      <c r="PB32" s="1746" t="s">
        <v>9697</v>
      </c>
      <c r="PC32" s="1746" t="s">
        <v>9697</v>
      </c>
      <c r="PD32" s="1746" t="s">
        <v>9694</v>
      </c>
      <c r="PE32" s="1746"/>
      <c r="PF32" s="1746" t="s">
        <v>9695</v>
      </c>
      <c r="PG32" s="148" t="s">
        <v>9701</v>
      </c>
      <c r="PH32" s="1746" t="s">
        <v>9692</v>
      </c>
      <c r="PI32" s="1746" t="s">
        <v>9683</v>
      </c>
      <c r="PJ32" s="1746" t="s">
        <v>9697</v>
      </c>
      <c r="PK32" s="1746" t="s">
        <v>9694</v>
      </c>
      <c r="PL32" s="1746" t="s">
        <v>9691</v>
      </c>
      <c r="PM32" s="1746" t="s">
        <v>9690</v>
      </c>
      <c r="PN32" s="1746" t="s">
        <v>9690</v>
      </c>
      <c r="PO32" s="1746" t="s">
        <v>9695</v>
      </c>
      <c r="PP32" s="1746" t="s">
        <v>9695</v>
      </c>
      <c r="PQ32" s="1746" t="s">
        <v>9695</v>
      </c>
      <c r="PR32" s="148" t="s">
        <v>9696</v>
      </c>
      <c r="PS32" s="1746" t="s">
        <v>9691</v>
      </c>
      <c r="PT32" s="1746" t="s">
        <v>9691</v>
      </c>
      <c r="PU32" s="1746" t="s">
        <v>9693</v>
      </c>
      <c r="PV32" s="1746" t="s">
        <v>9690</v>
      </c>
      <c r="PW32" s="1746" t="s">
        <v>9691</v>
      </c>
      <c r="PX32" s="1746" t="s">
        <v>9693</v>
      </c>
      <c r="PY32" s="148" t="s">
        <v>9691</v>
      </c>
      <c r="PZ32" s="1746" t="s">
        <v>9693</v>
      </c>
      <c r="QA32" s="1746" t="s">
        <v>9691</v>
      </c>
      <c r="QB32" s="1746" t="s">
        <v>9702</v>
      </c>
      <c r="QC32" s="1746" t="s">
        <v>9688</v>
      </c>
      <c r="QD32" s="1746" t="s">
        <v>9691</v>
      </c>
      <c r="QE32" s="1746" t="s">
        <v>9695</v>
      </c>
      <c r="QF32" s="1746" t="s">
        <v>9690</v>
      </c>
      <c r="QG32" s="1746" t="s">
        <v>9693</v>
      </c>
      <c r="QH32" s="1746" t="s">
        <v>9693</v>
      </c>
      <c r="QI32" s="1746" t="s">
        <v>9691</v>
      </c>
      <c r="QJ32" s="1746" t="s">
        <v>9696</v>
      </c>
      <c r="QK32" s="1746" t="s">
        <v>9691</v>
      </c>
      <c r="QL32" s="148" t="s">
        <v>9683</v>
      </c>
      <c r="QM32" s="1746" t="s">
        <v>9695</v>
      </c>
      <c r="QN32" s="1746" t="s">
        <v>9691</v>
      </c>
      <c r="QO32" s="1746" t="s">
        <v>9695</v>
      </c>
      <c r="QP32" s="1746" t="s">
        <v>9691</v>
      </c>
      <c r="QQ32" s="1746" t="s">
        <v>9691</v>
      </c>
      <c r="QR32" s="1746" t="s">
        <v>9690</v>
      </c>
      <c r="QS32" s="1746" t="s">
        <v>9694</v>
      </c>
      <c r="QT32" s="1746" t="s">
        <v>9691</v>
      </c>
      <c r="QU32" s="1746" t="s">
        <v>9690</v>
      </c>
      <c r="QV32" s="1746" t="s">
        <v>9691</v>
      </c>
      <c r="QW32" s="148" t="s">
        <v>9696</v>
      </c>
      <c r="QX32" s="148" t="s">
        <v>9692</v>
      </c>
      <c r="QY32" s="148" t="s">
        <v>9687</v>
      </c>
      <c r="QZ32" s="148" t="s">
        <v>9693</v>
      </c>
      <c r="RA32" s="148" t="s">
        <v>9696</v>
      </c>
      <c r="RB32" s="148" t="s">
        <v>9696</v>
      </c>
      <c r="RC32" s="1746" t="s">
        <v>9694</v>
      </c>
      <c r="RD32" s="148" t="s">
        <v>9691</v>
      </c>
      <c r="RE32" s="1746" t="s">
        <v>9691</v>
      </c>
      <c r="RF32" s="148" t="s">
        <v>9688</v>
      </c>
      <c r="RG32" s="148" t="s">
        <v>9695</v>
      </c>
      <c r="RH32" s="1746" t="s">
        <v>9691</v>
      </c>
      <c r="RI32" s="1746" t="s">
        <v>9692</v>
      </c>
      <c r="RJ32" s="148" t="s">
        <v>9693</v>
      </c>
      <c r="RK32" s="148" t="s">
        <v>9690</v>
      </c>
      <c r="RL32" s="148" t="s">
        <v>9691</v>
      </c>
      <c r="RM32" s="148" t="s">
        <v>9687</v>
      </c>
      <c r="RN32" s="148" t="s">
        <v>9695</v>
      </c>
      <c r="RO32" s="148" t="s">
        <v>9692</v>
      </c>
      <c r="RP32" s="148" t="s">
        <v>9696</v>
      </c>
      <c r="RQ32" s="1746" t="s">
        <v>9695</v>
      </c>
      <c r="RR32" s="1746" t="s">
        <v>9695</v>
      </c>
      <c r="RS32" s="1746" t="s">
        <v>9695</v>
      </c>
      <c r="RT32" s="1746" t="s">
        <v>9695</v>
      </c>
      <c r="RU32" s="1746" t="s">
        <v>9695</v>
      </c>
      <c r="RV32" s="1746" t="s">
        <v>9695</v>
      </c>
      <c r="RW32" s="1746" t="s">
        <v>9688</v>
      </c>
      <c r="RX32" s="1746" t="s">
        <v>9696</v>
      </c>
      <c r="RY32" s="1746" t="s">
        <v>9690</v>
      </c>
      <c r="RZ32" s="148" t="s">
        <v>9692</v>
      </c>
      <c r="SA32" s="1746" t="s">
        <v>9684</v>
      </c>
      <c r="SB32" s="1746" t="s">
        <v>9691</v>
      </c>
      <c r="SC32" s="148" t="s">
        <v>9697</v>
      </c>
      <c r="SD32" s="1746" t="s">
        <v>9690</v>
      </c>
      <c r="SE32" s="1746" t="s">
        <v>9690</v>
      </c>
      <c r="SF32" s="1746" t="s">
        <v>9688</v>
      </c>
      <c r="SG32" s="1746" t="s">
        <v>9691</v>
      </c>
      <c r="SH32" s="1746" t="s">
        <v>9696</v>
      </c>
      <c r="SI32" s="1746" t="s">
        <v>9692</v>
      </c>
      <c r="SJ32" s="1746" t="s">
        <v>9694</v>
      </c>
      <c r="SK32" s="1746" t="s">
        <v>9694</v>
      </c>
      <c r="SL32" s="1747" t="s">
        <v>9706</v>
      </c>
    </row>
    <row r="33" ht="15.75" customHeight="1">
      <c r="A33" s="1517"/>
      <c r="B33" s="131" t="s">
        <v>9700</v>
      </c>
      <c r="C33" s="131" t="s">
        <v>9700</v>
      </c>
      <c r="D33" s="131" t="s">
        <v>9694</v>
      </c>
      <c r="E33" s="1739" t="s">
        <v>9701</v>
      </c>
      <c r="F33" s="1739" t="s">
        <v>9701</v>
      </c>
      <c r="G33" s="1739" t="s">
        <v>9691</v>
      </c>
      <c r="H33" s="387" t="s">
        <v>9691</v>
      </c>
      <c r="I33" s="387" t="s">
        <v>9691</v>
      </c>
      <c r="J33" s="387" t="s">
        <v>9696</v>
      </c>
      <c r="K33" s="131"/>
      <c r="L33" s="131"/>
      <c r="M33" s="1740" t="s">
        <v>9697</v>
      </c>
      <c r="N33" s="1741"/>
      <c r="O33" s="339"/>
      <c r="P33" s="339" t="s">
        <v>9700</v>
      </c>
      <c r="Q33" s="1741" t="s">
        <v>9704</v>
      </c>
      <c r="R33" s="1741" t="s">
        <v>9704</v>
      </c>
      <c r="S33" s="1741" t="s">
        <v>9702</v>
      </c>
      <c r="T33" s="448" t="s">
        <v>9693</v>
      </c>
      <c r="U33" s="1741" t="s">
        <v>9690</v>
      </c>
      <c r="V33" s="1741" t="s">
        <v>9704</v>
      </c>
      <c r="W33" s="1741" t="s">
        <v>9702</v>
      </c>
      <c r="X33" s="448" t="s">
        <v>9701</v>
      </c>
      <c r="Y33" s="448" t="s">
        <v>9695</v>
      </c>
      <c r="Z33" s="339" t="s">
        <v>9701</v>
      </c>
      <c r="AA33" s="339" t="s">
        <v>9695</v>
      </c>
      <c r="AB33" s="339" t="s">
        <v>9699</v>
      </c>
      <c r="AC33" s="339" t="s">
        <v>9701</v>
      </c>
      <c r="AD33" s="387" t="s">
        <v>9693</v>
      </c>
      <c r="AE33" s="387" t="s">
        <v>9693</v>
      </c>
      <c r="AF33" s="387" t="s">
        <v>9692</v>
      </c>
      <c r="AG33" s="448" t="s">
        <v>9693</v>
      </c>
      <c r="AH33" s="448" t="s">
        <v>9693</v>
      </c>
      <c r="AI33" s="448" t="s">
        <v>9692</v>
      </c>
      <c r="AJ33" s="1742" t="s">
        <v>9696</v>
      </c>
      <c r="AK33" s="1742" t="s">
        <v>9696</v>
      </c>
      <c r="AL33" s="1741" t="s">
        <v>9701</v>
      </c>
      <c r="AM33" s="339" t="s">
        <v>9697</v>
      </c>
      <c r="AN33" s="1742" t="s">
        <v>9688</v>
      </c>
      <c r="AO33" s="1742" t="s">
        <v>9690</v>
      </c>
      <c r="AP33" s="448" t="s">
        <v>9695</v>
      </c>
      <c r="AQ33" s="448" t="s">
        <v>9694</v>
      </c>
      <c r="AR33" s="387" t="s">
        <v>9700</v>
      </c>
      <c r="AS33" s="387" t="s">
        <v>9700</v>
      </c>
      <c r="AT33" s="1739" t="s">
        <v>9695</v>
      </c>
      <c r="AU33" s="1739" t="s">
        <v>9700</v>
      </c>
      <c r="AV33" s="1739" t="s">
        <v>9695</v>
      </c>
      <c r="AW33" s="448" t="s">
        <v>9702</v>
      </c>
      <c r="AX33" s="448" t="s">
        <v>9700</v>
      </c>
      <c r="AY33" s="1741" t="s">
        <v>9698</v>
      </c>
      <c r="AZ33" s="1741" t="s">
        <v>9702</v>
      </c>
      <c r="BA33" s="339" t="s">
        <v>9695</v>
      </c>
      <c r="BB33" s="339" t="s">
        <v>9691</v>
      </c>
      <c r="BC33" s="339" t="s">
        <v>9696</v>
      </c>
      <c r="BD33" s="387" t="s">
        <v>9696</v>
      </c>
      <c r="BE33" s="1741" t="s">
        <v>9693</v>
      </c>
      <c r="BF33" s="1741" t="s">
        <v>9691</v>
      </c>
      <c r="BG33" s="1741" t="s">
        <v>9702</v>
      </c>
      <c r="BH33" s="1741" t="s">
        <v>9700</v>
      </c>
      <c r="BI33" s="387" t="s">
        <v>9693</v>
      </c>
      <c r="BJ33" s="387" t="s">
        <v>9691</v>
      </c>
      <c r="BK33" s="387" t="s">
        <v>9696</v>
      </c>
      <c r="BL33" s="1741" t="s">
        <v>9691</v>
      </c>
      <c r="BM33" s="1741" t="s">
        <v>9691</v>
      </c>
      <c r="BN33" s="1741" t="s">
        <v>9688</v>
      </c>
      <c r="BO33" s="1743" t="s">
        <v>9695</v>
      </c>
      <c r="BP33" s="1743" t="s">
        <v>9695</v>
      </c>
      <c r="BQ33" s="1743" t="s">
        <v>9693</v>
      </c>
      <c r="BR33" s="131" t="s">
        <v>9700</v>
      </c>
      <c r="BS33" s="131" t="s">
        <v>9700</v>
      </c>
      <c r="BT33" s="131" t="s">
        <v>9695</v>
      </c>
      <c r="BU33" s="387" t="s">
        <v>9693</v>
      </c>
      <c r="BV33" s="387" t="s">
        <v>9691</v>
      </c>
      <c r="BW33" s="1741" t="s">
        <v>9702</v>
      </c>
      <c r="BX33" s="1741" t="s">
        <v>9702</v>
      </c>
      <c r="BY33" s="1741" t="s">
        <v>9695</v>
      </c>
      <c r="BZ33" s="339" t="s">
        <v>9702</v>
      </c>
      <c r="CA33" s="339" t="s">
        <v>9701</v>
      </c>
      <c r="CB33" s="1742" t="s">
        <v>9696</v>
      </c>
      <c r="CC33" s="1742" t="s">
        <v>9692</v>
      </c>
      <c r="CD33" s="1743" t="s">
        <v>9705</v>
      </c>
      <c r="CE33" s="1743" t="s">
        <v>9695</v>
      </c>
      <c r="CF33" s="1741" t="s">
        <v>9704</v>
      </c>
      <c r="CG33" s="1741" t="s">
        <v>9707</v>
      </c>
      <c r="CH33" s="1741" t="s">
        <v>9702</v>
      </c>
      <c r="CI33" s="1740" t="s">
        <v>9693</v>
      </c>
      <c r="CJ33" s="1740" t="s">
        <v>9691</v>
      </c>
      <c r="CK33" s="448" t="s">
        <v>9695</v>
      </c>
      <c r="CL33" s="448" t="s">
        <v>9693</v>
      </c>
      <c r="CM33" s="448" t="s">
        <v>9693</v>
      </c>
      <c r="CN33" s="448" t="s">
        <v>9691</v>
      </c>
      <c r="CO33" s="448" t="s">
        <v>9695</v>
      </c>
      <c r="CP33" s="448" t="s">
        <v>9695</v>
      </c>
      <c r="CQ33" s="448" t="s">
        <v>9693</v>
      </c>
      <c r="CR33" s="1743" t="s">
        <v>9701</v>
      </c>
      <c r="CS33" s="339" t="s">
        <v>9691</v>
      </c>
      <c r="CT33" s="339" t="s">
        <v>9688</v>
      </c>
      <c r="CU33" s="1739" t="s">
        <v>9693</v>
      </c>
      <c r="CV33" s="1739" t="s">
        <v>9691</v>
      </c>
      <c r="CW33" s="1739" t="s">
        <v>9705</v>
      </c>
      <c r="CX33" s="1739" t="s">
        <v>9695</v>
      </c>
      <c r="CY33" s="1742" t="s">
        <v>9695</v>
      </c>
      <c r="CZ33" s="339" t="s">
        <v>9694</v>
      </c>
      <c r="DA33" s="1741" t="s">
        <v>9695</v>
      </c>
      <c r="DB33" s="1741" t="s">
        <v>9691</v>
      </c>
      <c r="DC33" s="1741" t="s">
        <v>9695</v>
      </c>
      <c r="DD33" s="1741" t="s">
        <v>9695</v>
      </c>
      <c r="DE33" s="1742" t="s">
        <v>9690</v>
      </c>
      <c r="DF33" s="448" t="s">
        <v>9705</v>
      </c>
      <c r="DG33" s="448" t="s">
        <v>9695</v>
      </c>
      <c r="DH33" s="1743" t="s">
        <v>9693</v>
      </c>
      <c r="DI33" s="1743" t="s">
        <v>9690</v>
      </c>
      <c r="DJ33" s="1742" t="s">
        <v>9692</v>
      </c>
      <c r="DK33" s="387" t="s">
        <v>9695</v>
      </c>
      <c r="DL33" s="1741" t="s">
        <v>9692</v>
      </c>
      <c r="DM33" s="387" t="s">
        <v>9693</v>
      </c>
      <c r="DN33" s="387" t="s">
        <v>9691</v>
      </c>
      <c r="DO33" s="1739" t="s">
        <v>9693</v>
      </c>
      <c r="DP33" s="1739" t="s">
        <v>9691</v>
      </c>
      <c r="DQ33" s="1741" t="s">
        <v>9691</v>
      </c>
      <c r="DR33" s="448" t="s">
        <v>9688</v>
      </c>
      <c r="DS33" s="1742" t="s">
        <v>9688</v>
      </c>
      <c r="DT33" s="131" t="s">
        <v>9702</v>
      </c>
      <c r="DU33" s="1739" t="s">
        <v>9692</v>
      </c>
      <c r="DV33" s="339" t="s">
        <v>9695</v>
      </c>
      <c r="DW33" s="1739" t="s">
        <v>9701</v>
      </c>
      <c r="DX33" s="1741" t="s">
        <v>9693</v>
      </c>
      <c r="DY33" s="1741" t="s">
        <v>9691</v>
      </c>
      <c r="DZ33" s="1739"/>
      <c r="EA33" s="387" t="s">
        <v>9696</v>
      </c>
      <c r="EB33" s="387" t="s">
        <v>9690</v>
      </c>
      <c r="EC33" s="448"/>
      <c r="ED33" s="1741" t="s">
        <v>9702</v>
      </c>
      <c r="EE33" s="387" t="s">
        <v>9696</v>
      </c>
      <c r="EF33" s="339" t="s">
        <v>9693</v>
      </c>
      <c r="EG33" s="1739" t="s">
        <v>9695</v>
      </c>
      <c r="EH33" s="1742" t="s">
        <v>9693</v>
      </c>
      <c r="EI33" s="387" t="s">
        <v>9693</v>
      </c>
      <c r="EJ33" s="387" t="s">
        <v>9691</v>
      </c>
      <c r="EK33" s="1741" t="s">
        <v>9693</v>
      </c>
      <c r="EL33" s="1741" t="s">
        <v>9691</v>
      </c>
      <c r="EM33" s="448" t="s">
        <v>9691</v>
      </c>
      <c r="EN33" s="1744" t="s">
        <v>9690</v>
      </c>
      <c r="EO33" s="387" t="s">
        <v>9696</v>
      </c>
      <c r="EP33" s="339" t="s">
        <v>9693</v>
      </c>
      <c r="EQ33" s="339" t="s">
        <v>9697</v>
      </c>
      <c r="ER33" s="387" t="s">
        <v>9690</v>
      </c>
      <c r="ES33" s="387" t="s">
        <v>9690</v>
      </c>
      <c r="ET33" s="1741" t="s">
        <v>9685</v>
      </c>
      <c r="EU33" s="448" t="s">
        <v>9685</v>
      </c>
      <c r="EV33" s="1742"/>
      <c r="EW33" s="131" t="s">
        <v>9697</v>
      </c>
      <c r="EX33" s="131" t="s">
        <v>9697</v>
      </c>
      <c r="EY33" s="131" t="s">
        <v>9694</v>
      </c>
      <c r="EZ33" s="339" t="s">
        <v>9704</v>
      </c>
      <c r="FA33" s="339" t="s">
        <v>9702</v>
      </c>
      <c r="FB33" s="339" t="s">
        <v>9695</v>
      </c>
      <c r="FC33" s="387" t="s">
        <v>9691</v>
      </c>
      <c r="FD33" s="387" t="s">
        <v>9696</v>
      </c>
      <c r="FE33" s="387" t="s">
        <v>9692</v>
      </c>
      <c r="FF33" s="1741" t="s">
        <v>9693</v>
      </c>
      <c r="FG33" s="1741" t="s">
        <v>9690</v>
      </c>
      <c r="FH33" s="1741" t="s">
        <v>9708</v>
      </c>
      <c r="FI33" s="1741" t="s">
        <v>9702</v>
      </c>
      <c r="FJ33" s="1739" t="s">
        <v>9697</v>
      </c>
      <c r="FK33" s="1739" t="s">
        <v>9694</v>
      </c>
      <c r="FL33" s="131" t="s">
        <v>9702</v>
      </c>
      <c r="FM33" s="1739" t="s">
        <v>9700</v>
      </c>
      <c r="FN33" s="448" t="s">
        <v>9694</v>
      </c>
      <c r="FO33" s="387" t="s">
        <v>9693</v>
      </c>
      <c r="FP33" s="387" t="s">
        <v>9691</v>
      </c>
      <c r="FQ33" s="339" t="s">
        <v>9705</v>
      </c>
      <c r="FR33" s="1742" t="s">
        <v>9697</v>
      </c>
      <c r="FS33" s="1742" t="s">
        <v>9697</v>
      </c>
      <c r="FT33" s="1740" t="s">
        <v>9697</v>
      </c>
      <c r="FU33" s="1740" t="s">
        <v>9691</v>
      </c>
      <c r="FV33" s="131" t="s">
        <v>9694</v>
      </c>
      <c r="FW33" s="131" t="s">
        <v>9693</v>
      </c>
      <c r="FX33" s="1740" t="s">
        <v>9705</v>
      </c>
      <c r="FY33" s="1742" t="s">
        <v>9701</v>
      </c>
      <c r="FZ33" s="339" t="s">
        <v>9695</v>
      </c>
      <c r="GA33" s="131" t="s">
        <v>9697</v>
      </c>
      <c r="GB33" s="387" t="s">
        <v>9691</v>
      </c>
      <c r="GC33" s="387" t="s">
        <v>9690</v>
      </c>
      <c r="GD33" s="1741" t="s">
        <v>9695</v>
      </c>
      <c r="GE33" s="131" t="s">
        <v>9690</v>
      </c>
      <c r="GF33" s="1742" t="s">
        <v>9700</v>
      </c>
      <c r="GG33" s="131" t="s">
        <v>9700</v>
      </c>
      <c r="GH33" s="387" t="s">
        <v>9695</v>
      </c>
      <c r="GI33" s="448" t="s">
        <v>9693</v>
      </c>
      <c r="GJ33" s="339" t="s">
        <v>9697</v>
      </c>
      <c r="GK33" s="339" t="s">
        <v>9694</v>
      </c>
      <c r="GL33" s="1739" t="s">
        <v>9702</v>
      </c>
      <c r="GM33" s="387" t="s">
        <v>9693</v>
      </c>
      <c r="GN33" s="387" t="s">
        <v>9690</v>
      </c>
      <c r="GO33" s="448" t="s">
        <v>9693</v>
      </c>
      <c r="GP33" s="1744" t="s">
        <v>9695</v>
      </c>
      <c r="GQ33" s="1744" t="s">
        <v>9695</v>
      </c>
      <c r="GR33" s="1742" t="s">
        <v>9692</v>
      </c>
      <c r="GS33" s="1743" t="s">
        <v>9695</v>
      </c>
      <c r="GT33" s="1744"/>
      <c r="GU33" s="387"/>
      <c r="GV33" s="339" t="s">
        <v>9695</v>
      </c>
      <c r="GW33" s="1743" t="s">
        <v>9700</v>
      </c>
      <c r="GX33" s="448" t="s">
        <v>9695</v>
      </c>
      <c r="GY33" s="339" t="s">
        <v>9691</v>
      </c>
      <c r="GZ33" s="448" t="s">
        <v>9701</v>
      </c>
      <c r="HA33" s="1743" t="s">
        <v>9695</v>
      </c>
      <c r="HB33" s="1742" t="s">
        <v>9687</v>
      </c>
      <c r="HC33" s="448" t="s">
        <v>9687</v>
      </c>
      <c r="HD33" s="1743" t="s">
        <v>9691</v>
      </c>
      <c r="HE33" s="1739" t="s">
        <v>9702</v>
      </c>
      <c r="HF33" s="339" t="s">
        <v>9702</v>
      </c>
      <c r="HG33" s="387" t="s">
        <v>9693</v>
      </c>
      <c r="HH33" s="1744" t="s">
        <v>9692</v>
      </c>
      <c r="HI33" s="1741" t="s">
        <v>9691</v>
      </c>
      <c r="HJ33" s="1741" t="s">
        <v>9690</v>
      </c>
      <c r="HK33" s="1739" t="s">
        <v>9704</v>
      </c>
      <c r="HL33" s="1739" t="s">
        <v>9700</v>
      </c>
      <c r="HM33" s="1741" t="s">
        <v>9691</v>
      </c>
      <c r="HN33" s="1741" t="s">
        <v>9688</v>
      </c>
      <c r="HO33" s="1742" t="s">
        <v>9696</v>
      </c>
      <c r="HP33" s="1743" t="s">
        <v>9690</v>
      </c>
      <c r="HQ33" s="1739" t="s">
        <v>9690</v>
      </c>
      <c r="HR33" s="1739" t="s">
        <v>9691</v>
      </c>
      <c r="HS33" s="448" t="s">
        <v>9690</v>
      </c>
      <c r="HT33" s="1743" t="s">
        <v>9702</v>
      </c>
      <c r="HU33" s="1744" t="s">
        <v>9700</v>
      </c>
      <c r="HV33" s="1744" t="s">
        <v>9695</v>
      </c>
      <c r="HW33" s="387" t="s">
        <v>9691</v>
      </c>
      <c r="HX33" s="387" t="s">
        <v>9699</v>
      </c>
      <c r="HY33" s="1743" t="s">
        <v>9701</v>
      </c>
      <c r="HZ33" s="1739" t="s">
        <v>9693</v>
      </c>
      <c r="IA33" s="1741" t="s">
        <v>9693</v>
      </c>
      <c r="IB33" s="1740"/>
      <c r="IC33" s="448" t="s">
        <v>9699</v>
      </c>
      <c r="ID33" s="1741" t="s">
        <v>9699</v>
      </c>
      <c r="IE33" s="1742" t="s">
        <v>9688</v>
      </c>
      <c r="IF33" s="339" t="s">
        <v>9705</v>
      </c>
      <c r="IG33" s="1739" t="s">
        <v>9702</v>
      </c>
      <c r="IH33" s="1742" t="s">
        <v>9690</v>
      </c>
      <c r="II33" s="1742" t="s">
        <v>9692</v>
      </c>
      <c r="IJ33" s="339" t="s">
        <v>9691</v>
      </c>
      <c r="IK33" s="1741" t="s">
        <v>9693</v>
      </c>
      <c r="IL33" s="387" t="s">
        <v>9692</v>
      </c>
      <c r="IM33" s="131" t="s">
        <v>9695</v>
      </c>
      <c r="IN33" s="1743" t="s">
        <v>9695</v>
      </c>
      <c r="IO33" s="131" t="s">
        <v>9687</v>
      </c>
      <c r="IP33" s="1740" t="s">
        <v>9692</v>
      </c>
      <c r="IQ33" s="1739" t="s">
        <v>9691</v>
      </c>
      <c r="IR33" s="131" t="s">
        <v>9691</v>
      </c>
      <c r="IS33" s="131" t="s">
        <v>9697</v>
      </c>
      <c r="IT33" s="131" t="s">
        <v>9697</v>
      </c>
      <c r="IU33" s="131" t="s">
        <v>9690</v>
      </c>
      <c r="IV33" s="1739" t="s">
        <v>9704</v>
      </c>
      <c r="IW33" s="1739" t="s">
        <v>9702</v>
      </c>
      <c r="IX33" s="1739" t="s">
        <v>9691</v>
      </c>
      <c r="IY33" s="387" t="s">
        <v>9693</v>
      </c>
      <c r="IZ33" s="387" t="s">
        <v>9693</v>
      </c>
      <c r="JA33" s="387" t="s">
        <v>9696</v>
      </c>
      <c r="JB33" s="1743" t="s">
        <v>9695</v>
      </c>
      <c r="JC33" s="1743" t="s">
        <v>9693</v>
      </c>
      <c r="JD33" s="1741" t="s">
        <v>9693</v>
      </c>
      <c r="JE33" s="1740" t="s">
        <v>9690</v>
      </c>
      <c r="JF33" s="1739"/>
      <c r="JG33" s="1740"/>
      <c r="JH33" s="339" t="s">
        <v>9695</v>
      </c>
      <c r="JI33" s="448"/>
      <c r="JJ33" s="131" t="s">
        <v>9695</v>
      </c>
      <c r="JK33" s="131" t="s">
        <v>9696</v>
      </c>
      <c r="JL33" s="131" t="s">
        <v>9696</v>
      </c>
      <c r="JM33" s="131" t="s">
        <v>9692</v>
      </c>
      <c r="JN33" s="1741" t="s">
        <v>9700</v>
      </c>
      <c r="JO33" s="1741" t="s">
        <v>9695</v>
      </c>
      <c r="JP33" s="1741" t="s">
        <v>9695</v>
      </c>
      <c r="JQ33" s="387" t="s">
        <v>9704</v>
      </c>
      <c r="JR33" s="387" t="s">
        <v>9702</v>
      </c>
      <c r="JS33" s="1740" t="s">
        <v>9693</v>
      </c>
      <c r="JT33" s="339" t="s">
        <v>9691</v>
      </c>
      <c r="JU33" s="1740" t="s">
        <v>9693</v>
      </c>
      <c r="JV33" s="1740" t="s">
        <v>9693</v>
      </c>
      <c r="JW33" s="1740" t="s">
        <v>9691</v>
      </c>
      <c r="JX33" s="387" t="s">
        <v>9693</v>
      </c>
      <c r="JY33" s="387" t="s">
        <v>9691</v>
      </c>
      <c r="JZ33" s="1741" t="s">
        <v>9695</v>
      </c>
      <c r="KA33" s="131" t="s">
        <v>9691</v>
      </c>
      <c r="KB33" s="1741" t="s">
        <v>9696</v>
      </c>
      <c r="KC33" s="1740" t="s">
        <v>9687</v>
      </c>
      <c r="KD33" s="1741" t="s">
        <v>9687</v>
      </c>
      <c r="KE33" s="1743" t="s">
        <v>9702</v>
      </c>
      <c r="KF33" s="339" t="s">
        <v>9700</v>
      </c>
      <c r="KG33" s="1741" t="s">
        <v>9700</v>
      </c>
      <c r="KH33" s="1742" t="s">
        <v>9691</v>
      </c>
      <c r="KI33" s="387" t="s">
        <v>9696</v>
      </c>
      <c r="KJ33" s="387" t="s">
        <v>9696</v>
      </c>
      <c r="KK33" s="339" t="s">
        <v>9695</v>
      </c>
      <c r="KL33" s="1741" t="s">
        <v>9693</v>
      </c>
      <c r="KM33" s="387" t="s">
        <v>9693</v>
      </c>
      <c r="KN33" s="1743" t="s">
        <v>9709</v>
      </c>
      <c r="KO33" s="1742" t="s">
        <v>9691</v>
      </c>
      <c r="KP33" s="448" t="s">
        <v>9690</v>
      </c>
      <c r="KQ33" s="448" t="s">
        <v>9691</v>
      </c>
      <c r="KR33" s="1744" t="s">
        <v>9691</v>
      </c>
      <c r="KS33" s="1743" t="s">
        <v>9695</v>
      </c>
      <c r="KT33" s="1743" t="s">
        <v>9695</v>
      </c>
      <c r="KU33" s="1743" t="s">
        <v>9687</v>
      </c>
      <c r="KV33" s="387" t="s">
        <v>9691</v>
      </c>
      <c r="KW33" s="1739" t="s">
        <v>9688</v>
      </c>
      <c r="KX33" s="131" t="s">
        <v>9701</v>
      </c>
      <c r="KY33" s="339" t="s">
        <v>9695</v>
      </c>
      <c r="KZ33" s="339" t="s">
        <v>9705</v>
      </c>
      <c r="LA33" s="339" t="s">
        <v>9705</v>
      </c>
      <c r="LB33" s="1743" t="s">
        <v>9693</v>
      </c>
      <c r="LC33" s="448" t="s">
        <v>9693</v>
      </c>
      <c r="LD33" s="131" t="s">
        <v>9695</v>
      </c>
      <c r="LE33" s="131" t="s">
        <v>9693</v>
      </c>
      <c r="LF33" s="448" t="s">
        <v>9691</v>
      </c>
      <c r="LG33" s="1739" t="s">
        <v>9691</v>
      </c>
      <c r="LH33" s="387" t="s">
        <v>9696</v>
      </c>
      <c r="LI33" s="387" t="s">
        <v>9691</v>
      </c>
      <c r="LJ33" s="387" t="s">
        <v>9690</v>
      </c>
      <c r="LK33" s="339" t="s">
        <v>9698</v>
      </c>
      <c r="LL33" s="1739" t="s">
        <v>9700</v>
      </c>
      <c r="LM33" s="1741" t="s">
        <v>9701</v>
      </c>
      <c r="LN33" s="1744" t="s">
        <v>9693</v>
      </c>
      <c r="LO33" s="448" t="s">
        <v>9688</v>
      </c>
      <c r="LP33" s="1741" t="s">
        <v>9693</v>
      </c>
      <c r="LQ33" s="1741" t="s">
        <v>9700</v>
      </c>
      <c r="LR33" s="131" t="s">
        <v>9700</v>
      </c>
      <c r="LS33" s="131" t="s">
        <v>9695</v>
      </c>
      <c r="LT33" s="131" t="s">
        <v>9695</v>
      </c>
      <c r="LU33" s="131" t="s">
        <v>9694</v>
      </c>
      <c r="LV33" s="387" t="s">
        <v>9695</v>
      </c>
      <c r="LW33" s="387" t="s">
        <v>9691</v>
      </c>
      <c r="LX33" s="1740" t="s">
        <v>9692</v>
      </c>
      <c r="LY33" s="1744" t="s">
        <v>9695</v>
      </c>
      <c r="LZ33" s="339" t="s">
        <v>9691</v>
      </c>
      <c r="MA33" s="1739" t="s">
        <v>9697</v>
      </c>
      <c r="MB33" s="1743" t="s">
        <v>9693</v>
      </c>
      <c r="MC33" s="387" t="s">
        <v>9691</v>
      </c>
      <c r="MD33" s="1739" t="s">
        <v>9691</v>
      </c>
      <c r="ME33" s="1739" t="s">
        <v>9690</v>
      </c>
      <c r="MF33" s="1741" t="s">
        <v>9693</v>
      </c>
      <c r="MG33" s="1744" t="s">
        <v>9691</v>
      </c>
      <c r="MH33" s="448" t="s">
        <v>9700</v>
      </c>
      <c r="MI33" s="131" t="s">
        <v>9695</v>
      </c>
      <c r="MJ33" s="1743" t="s">
        <v>9698</v>
      </c>
      <c r="MK33" s="1743" t="s">
        <v>9701</v>
      </c>
      <c r="ML33" s="1741" t="s">
        <v>9693</v>
      </c>
      <c r="MM33" s="1742" t="s">
        <v>9691</v>
      </c>
      <c r="MN33" s="1740" t="s">
        <v>9691</v>
      </c>
      <c r="MO33" s="131" t="s">
        <v>9691</v>
      </c>
      <c r="MP33" s="1744" t="s">
        <v>9695</v>
      </c>
      <c r="MQ33" s="1744" t="s">
        <v>9693</v>
      </c>
      <c r="MR33" s="1744" t="s">
        <v>9691</v>
      </c>
      <c r="MS33" s="1744" t="s">
        <v>9696</v>
      </c>
      <c r="MT33" s="131" t="s">
        <v>9694</v>
      </c>
      <c r="MU33" s="387" t="s">
        <v>9693</v>
      </c>
      <c r="MV33" s="1740" t="s">
        <v>9692</v>
      </c>
      <c r="MW33" s="387"/>
      <c r="MX33" s="1743" t="s">
        <v>9691</v>
      </c>
      <c r="MY33" s="1743" t="s">
        <v>9690</v>
      </c>
      <c r="MZ33" s="387" t="s">
        <v>9693</v>
      </c>
      <c r="NA33" s="387" t="s">
        <v>9691</v>
      </c>
      <c r="NB33" s="387" t="s">
        <v>9690</v>
      </c>
      <c r="NC33" s="387" t="s">
        <v>9693</v>
      </c>
      <c r="ND33" s="387" t="s">
        <v>9691</v>
      </c>
      <c r="NE33" s="1742" t="s">
        <v>9691</v>
      </c>
      <c r="NF33" s="1743" t="s">
        <v>9690</v>
      </c>
      <c r="NG33" s="1742" t="s">
        <v>9693</v>
      </c>
      <c r="NH33" s="387" t="s">
        <v>9695</v>
      </c>
      <c r="NI33" s="1740" t="s">
        <v>9695</v>
      </c>
      <c r="NJ33" s="387" t="s">
        <v>9693</v>
      </c>
      <c r="NK33" s="387"/>
      <c r="NL33" s="387" t="s">
        <v>9695</v>
      </c>
      <c r="NM33" s="387" t="s">
        <v>9695</v>
      </c>
      <c r="NN33" s="1741" t="s">
        <v>9695</v>
      </c>
      <c r="NO33" s="387" t="s">
        <v>9691</v>
      </c>
      <c r="NP33" s="1743" t="s">
        <v>9697</v>
      </c>
      <c r="NQ33" s="1739" t="s">
        <v>9692</v>
      </c>
      <c r="NR33" s="387" t="s">
        <v>9692</v>
      </c>
      <c r="NS33" s="387" t="s">
        <v>9696</v>
      </c>
      <c r="NT33" s="1739" t="s">
        <v>9691</v>
      </c>
      <c r="NU33" s="131" t="s">
        <v>9692</v>
      </c>
      <c r="NV33" s="339" t="s">
        <v>9691</v>
      </c>
      <c r="NW33" s="1739" t="s">
        <v>9692</v>
      </c>
      <c r="NX33" s="1739" t="s">
        <v>9692</v>
      </c>
      <c r="NY33" s="1739" t="s">
        <v>9692</v>
      </c>
      <c r="NZ33" s="1739" t="s">
        <v>9692</v>
      </c>
      <c r="OA33" s="131" t="s">
        <v>9697</v>
      </c>
      <c r="OB33" s="131" t="s">
        <v>9697</v>
      </c>
      <c r="OC33" s="131" t="s">
        <v>9691</v>
      </c>
      <c r="OD33" s="1741" t="s">
        <v>9695</v>
      </c>
      <c r="OE33" s="1741" t="s">
        <v>9695</v>
      </c>
      <c r="OF33" s="1741" t="s">
        <v>9687</v>
      </c>
      <c r="OG33" s="387" t="s">
        <v>9693</v>
      </c>
      <c r="OH33" s="387" t="s">
        <v>9693</v>
      </c>
      <c r="OI33" s="387" t="s">
        <v>9690</v>
      </c>
      <c r="OJ33" s="1741" t="s">
        <v>9704</v>
      </c>
      <c r="OK33" s="1741" t="s">
        <v>9704</v>
      </c>
      <c r="OL33" s="1741" t="s">
        <v>9702</v>
      </c>
      <c r="OM33" s="1741" t="s">
        <v>9693</v>
      </c>
      <c r="ON33" s="1741" t="s">
        <v>9696</v>
      </c>
      <c r="OO33" s="1739"/>
      <c r="OP33" s="1739" t="s">
        <v>9702</v>
      </c>
      <c r="OQ33" s="387" t="s">
        <v>9701</v>
      </c>
      <c r="OR33" s="387" t="s">
        <v>9701</v>
      </c>
      <c r="OS33" s="387" t="s">
        <v>9695</v>
      </c>
      <c r="OT33" s="131" t="s">
        <v>9695</v>
      </c>
      <c r="OU33" s="131" t="s">
        <v>9694</v>
      </c>
      <c r="OV33" s="387" t="s">
        <v>9693</v>
      </c>
      <c r="OW33" s="387" t="s">
        <v>9690</v>
      </c>
      <c r="OX33" s="1743" t="s">
        <v>9691</v>
      </c>
      <c r="OY33" s="1743" t="s">
        <v>9690</v>
      </c>
      <c r="OZ33" s="131"/>
      <c r="PA33" s="131" t="s">
        <v>9694</v>
      </c>
      <c r="PB33" s="339" t="s">
        <v>9695</v>
      </c>
      <c r="PC33" s="1742" t="s">
        <v>9695</v>
      </c>
      <c r="PD33" s="339" t="s">
        <v>9697</v>
      </c>
      <c r="PE33" s="339"/>
      <c r="PF33" s="339" t="s">
        <v>9702</v>
      </c>
      <c r="PG33" s="1740" t="s">
        <v>9705</v>
      </c>
      <c r="PH33" s="1741" t="s">
        <v>9696</v>
      </c>
      <c r="PI33" s="1741" t="s">
        <v>9687</v>
      </c>
      <c r="PJ33" s="1742" t="s">
        <v>9695</v>
      </c>
      <c r="PK33" s="1742" t="s">
        <v>9697</v>
      </c>
      <c r="PL33" s="448" t="s">
        <v>9693</v>
      </c>
      <c r="PM33" s="448" t="s">
        <v>9691</v>
      </c>
      <c r="PN33" s="448" t="s">
        <v>9691</v>
      </c>
      <c r="PO33" s="448" t="s">
        <v>9705</v>
      </c>
      <c r="PP33" s="448" t="s">
        <v>9705</v>
      </c>
      <c r="PQ33" s="1741" t="s">
        <v>9705</v>
      </c>
      <c r="PR33" s="1741" t="s">
        <v>9690</v>
      </c>
      <c r="PS33" s="448" t="s">
        <v>9693</v>
      </c>
      <c r="PT33" s="1744" t="s">
        <v>9693</v>
      </c>
      <c r="PU33" s="1743" t="s">
        <v>9695</v>
      </c>
      <c r="PV33" s="1743" t="s">
        <v>9691</v>
      </c>
      <c r="PW33" s="339" t="s">
        <v>9693</v>
      </c>
      <c r="PX33" s="448" t="s">
        <v>9695</v>
      </c>
      <c r="PY33" s="448" t="s">
        <v>9693</v>
      </c>
      <c r="PZ33" s="131" t="s">
        <v>9697</v>
      </c>
      <c r="QA33" s="131" t="s">
        <v>9693</v>
      </c>
      <c r="QB33" s="1741" t="s">
        <v>9698</v>
      </c>
      <c r="QC33" s="1742" t="s">
        <v>9691</v>
      </c>
      <c r="QD33" s="1742" t="s">
        <v>9693</v>
      </c>
      <c r="QE33" s="1744" t="s">
        <v>9702</v>
      </c>
      <c r="QF33" s="448" t="s">
        <v>9691</v>
      </c>
      <c r="QG33" s="387" t="s">
        <v>9695</v>
      </c>
      <c r="QH33" s="387" t="s">
        <v>9695</v>
      </c>
      <c r="QI33" s="387" t="s">
        <v>9693</v>
      </c>
      <c r="QJ33" s="1744" t="s">
        <v>9691</v>
      </c>
      <c r="QK33" s="387" t="s">
        <v>9693</v>
      </c>
      <c r="QL33" s="387" t="s">
        <v>9685</v>
      </c>
      <c r="QM33" s="1741" t="s">
        <v>9701</v>
      </c>
      <c r="QN33" s="1741" t="s">
        <v>9695</v>
      </c>
      <c r="QO33" s="448" t="s">
        <v>9701</v>
      </c>
      <c r="QP33" s="448" t="s">
        <v>9693</v>
      </c>
      <c r="QQ33" s="387" t="s">
        <v>9693</v>
      </c>
      <c r="QR33" s="387" t="s">
        <v>9691</v>
      </c>
      <c r="QS33" s="131" t="s">
        <v>9695</v>
      </c>
      <c r="QT33" s="387" t="s">
        <v>9693</v>
      </c>
      <c r="QU33" s="387" t="s">
        <v>9691</v>
      </c>
      <c r="QV33" s="387" t="s">
        <v>9693</v>
      </c>
      <c r="QW33" s="1740" t="s">
        <v>9688</v>
      </c>
      <c r="QX33" s="1740" t="s">
        <v>9696</v>
      </c>
      <c r="QY33" s="1744" t="s">
        <v>9692</v>
      </c>
      <c r="QZ33" s="1743" t="s">
        <v>9695</v>
      </c>
      <c r="RA33" s="1742" t="s">
        <v>9690</v>
      </c>
      <c r="RB33" s="1743" t="s">
        <v>9690</v>
      </c>
      <c r="RC33" s="387" t="s">
        <v>9695</v>
      </c>
      <c r="RD33" s="339" t="s">
        <v>9693</v>
      </c>
      <c r="RE33" s="1739" t="s">
        <v>9695</v>
      </c>
      <c r="RF33" s="1740" t="s">
        <v>9691</v>
      </c>
      <c r="RG33" s="131" t="s">
        <v>9700</v>
      </c>
      <c r="RH33" s="131" t="s">
        <v>9693</v>
      </c>
      <c r="RI33" s="387" t="s">
        <v>9696</v>
      </c>
      <c r="RJ33" s="448" t="s">
        <v>9695</v>
      </c>
      <c r="RK33" s="1741" t="s">
        <v>9688</v>
      </c>
      <c r="RL33" s="1739" t="s">
        <v>9693</v>
      </c>
      <c r="RM33" s="1740" t="s">
        <v>9690</v>
      </c>
      <c r="RN33" s="1743" t="s">
        <v>9705</v>
      </c>
      <c r="RO33" s="1744" t="s">
        <v>9696</v>
      </c>
      <c r="RP33" s="1740" t="s">
        <v>9690</v>
      </c>
      <c r="RQ33" s="1739" t="s">
        <v>9705</v>
      </c>
      <c r="RR33" s="1739" t="s">
        <v>9705</v>
      </c>
      <c r="RS33" s="1739" t="s">
        <v>9705</v>
      </c>
      <c r="RT33" s="1739" t="s">
        <v>9705</v>
      </c>
      <c r="RU33" s="1739" t="s">
        <v>9705</v>
      </c>
      <c r="RV33" s="1739" t="s">
        <v>9705</v>
      </c>
      <c r="RW33" s="339" t="s">
        <v>9691</v>
      </c>
      <c r="RX33" s="1742" t="s">
        <v>9690</v>
      </c>
      <c r="RY33" s="387" t="s">
        <v>9688</v>
      </c>
      <c r="RZ33" s="1740" t="s">
        <v>9696</v>
      </c>
      <c r="SA33" s="448" t="s">
        <v>9683</v>
      </c>
      <c r="SB33" s="1741" t="s">
        <v>9695</v>
      </c>
      <c r="SC33" s="1740" t="s">
        <v>9695</v>
      </c>
      <c r="SD33" s="1744" t="s">
        <v>9691</v>
      </c>
      <c r="SE33" s="1744" t="s">
        <v>9691</v>
      </c>
      <c r="SF33" s="339" t="s">
        <v>9691</v>
      </c>
      <c r="SG33" s="387" t="s">
        <v>9693</v>
      </c>
      <c r="SH33" s="387" t="s">
        <v>9690</v>
      </c>
      <c r="SI33" s="1744" t="s">
        <v>9696</v>
      </c>
      <c r="SJ33" s="131" t="s">
        <v>9697</v>
      </c>
      <c r="SK33" s="131" t="s">
        <v>9697</v>
      </c>
      <c r="SL33" s="1745" t="s">
        <v>9710</v>
      </c>
    </row>
    <row r="34" ht="15.75" customHeight="1">
      <c r="A34" s="1517"/>
      <c r="B34" s="148" t="s">
        <v>9702</v>
      </c>
      <c r="C34" s="148" t="s">
        <v>9702</v>
      </c>
      <c r="D34" s="148" t="s">
        <v>9695</v>
      </c>
      <c r="E34" s="148" t="s">
        <v>9702</v>
      </c>
      <c r="F34" s="148" t="s">
        <v>9702</v>
      </c>
      <c r="G34" s="148" t="s">
        <v>9695</v>
      </c>
      <c r="H34" s="148" t="s">
        <v>9693</v>
      </c>
      <c r="I34" s="148" t="s">
        <v>9693</v>
      </c>
      <c r="J34" s="148" t="s">
        <v>9690</v>
      </c>
      <c r="K34" s="148"/>
      <c r="L34" s="148"/>
      <c r="M34" s="148" t="s">
        <v>9695</v>
      </c>
      <c r="N34" s="148"/>
      <c r="O34" s="148"/>
      <c r="P34" s="148" t="s">
        <v>9702</v>
      </c>
      <c r="Q34" s="148" t="s">
        <v>9707</v>
      </c>
      <c r="R34" s="148" t="s">
        <v>9707</v>
      </c>
      <c r="S34" s="148" t="s">
        <v>9704</v>
      </c>
      <c r="T34" s="148" t="s">
        <v>9695</v>
      </c>
      <c r="U34" s="148" t="s">
        <v>9691</v>
      </c>
      <c r="V34" s="148" t="s">
        <v>9707</v>
      </c>
      <c r="W34" s="148" t="s">
        <v>9704</v>
      </c>
      <c r="X34" s="148" t="s">
        <v>9699</v>
      </c>
      <c r="Y34" s="148" t="s">
        <v>9701</v>
      </c>
      <c r="Z34" s="148" t="s">
        <v>9705</v>
      </c>
      <c r="AA34" s="148" t="s">
        <v>9701</v>
      </c>
      <c r="AB34" s="148" t="s">
        <v>9702</v>
      </c>
      <c r="AC34" s="148" t="s">
        <v>9699</v>
      </c>
      <c r="AD34" s="148" t="s">
        <v>9695</v>
      </c>
      <c r="AE34" s="148" t="s">
        <v>9695</v>
      </c>
      <c r="AF34" s="148" t="s">
        <v>9696</v>
      </c>
      <c r="AG34" s="148" t="s">
        <v>9695</v>
      </c>
      <c r="AH34" s="148" t="s">
        <v>9695</v>
      </c>
      <c r="AI34" s="148" t="s">
        <v>9696</v>
      </c>
      <c r="AJ34" s="148" t="s">
        <v>9688</v>
      </c>
      <c r="AK34" s="148" t="s">
        <v>9690</v>
      </c>
      <c r="AL34" s="148" t="s">
        <v>9702</v>
      </c>
      <c r="AM34" s="148" t="s">
        <v>9695</v>
      </c>
      <c r="AN34" s="148" t="s">
        <v>9691</v>
      </c>
      <c r="AO34" s="148" t="s">
        <v>9688</v>
      </c>
      <c r="AP34" s="148" t="s">
        <v>9702</v>
      </c>
      <c r="AQ34" s="148" t="s">
        <v>9695</v>
      </c>
      <c r="AR34" s="148" t="s">
        <v>9702</v>
      </c>
      <c r="AS34" s="148" t="s">
        <v>9702</v>
      </c>
      <c r="AT34" s="148" t="s">
        <v>9700</v>
      </c>
      <c r="AU34" s="148" t="s">
        <v>9702</v>
      </c>
      <c r="AV34" s="148" t="s">
        <v>9700</v>
      </c>
      <c r="AW34" s="148" t="s">
        <v>9708</v>
      </c>
      <c r="AX34" s="148" t="s">
        <v>9702</v>
      </c>
      <c r="AY34" s="148" t="s">
        <v>9704</v>
      </c>
      <c r="AZ34" s="148" t="s">
        <v>9698</v>
      </c>
      <c r="BA34" s="148" t="s">
        <v>9701</v>
      </c>
      <c r="BB34" s="148" t="s">
        <v>9693</v>
      </c>
      <c r="BC34" s="148" t="s">
        <v>9691</v>
      </c>
      <c r="BD34" s="148" t="s">
        <v>9690</v>
      </c>
      <c r="BE34" s="148" t="s">
        <v>9695</v>
      </c>
      <c r="BF34" s="148" t="s">
        <v>9693</v>
      </c>
      <c r="BG34" s="148" t="s">
        <v>9698</v>
      </c>
      <c r="BH34" s="148" t="s">
        <v>9701</v>
      </c>
      <c r="BI34" s="148" t="s">
        <v>9695</v>
      </c>
      <c r="BJ34" s="148" t="s">
        <v>9693</v>
      </c>
      <c r="BK34" s="148" t="s">
        <v>9690</v>
      </c>
      <c r="BL34" s="148" t="s">
        <v>9693</v>
      </c>
      <c r="BM34" s="148" t="s">
        <v>9693</v>
      </c>
      <c r="BN34" s="148" t="s">
        <v>9691</v>
      </c>
      <c r="BO34" s="148" t="s">
        <v>9699</v>
      </c>
      <c r="BP34" s="148" t="s">
        <v>9699</v>
      </c>
      <c r="BQ34" s="148" t="s">
        <v>9695</v>
      </c>
      <c r="BR34" s="148" t="s">
        <v>9702</v>
      </c>
      <c r="BS34" s="148" t="s">
        <v>9702</v>
      </c>
      <c r="BT34" s="148" t="s">
        <v>9700</v>
      </c>
      <c r="BU34" s="148" t="s">
        <v>9694</v>
      </c>
      <c r="BV34" s="148" t="s">
        <v>9693</v>
      </c>
      <c r="BW34" s="148" t="s">
        <v>9698</v>
      </c>
      <c r="BX34" s="148" t="s">
        <v>9698</v>
      </c>
      <c r="BY34" s="148" t="s">
        <v>9699</v>
      </c>
      <c r="BZ34" s="148" t="s">
        <v>9704</v>
      </c>
      <c r="CA34" s="148" t="s">
        <v>9702</v>
      </c>
      <c r="CB34" s="148" t="s">
        <v>9688</v>
      </c>
      <c r="CC34" s="148" t="s">
        <v>9696</v>
      </c>
      <c r="CD34" s="148" t="s">
        <v>9709</v>
      </c>
      <c r="CE34" s="148" t="s">
        <v>9705</v>
      </c>
      <c r="CF34" s="148" t="s">
        <v>9707</v>
      </c>
      <c r="CG34" s="148" t="s">
        <v>9711</v>
      </c>
      <c r="CH34" s="148" t="s">
        <v>9704</v>
      </c>
      <c r="CI34" s="148" t="s">
        <v>9697</v>
      </c>
      <c r="CJ34" s="148" t="s">
        <v>9693</v>
      </c>
      <c r="CK34" s="148" t="s">
        <v>9705</v>
      </c>
      <c r="CL34" s="148" t="s">
        <v>9694</v>
      </c>
      <c r="CM34" s="148" t="s">
        <v>9695</v>
      </c>
      <c r="CN34" s="148" t="s">
        <v>9693</v>
      </c>
      <c r="CO34" s="148" t="s">
        <v>9705</v>
      </c>
      <c r="CP34" s="148" t="s">
        <v>9705</v>
      </c>
      <c r="CQ34" s="148" t="s">
        <v>9694</v>
      </c>
      <c r="CR34" s="148" t="s">
        <v>9699</v>
      </c>
      <c r="CS34" s="148" t="s">
        <v>9693</v>
      </c>
      <c r="CT34" s="148" t="s">
        <v>9691</v>
      </c>
      <c r="CU34" s="148" t="s">
        <v>9695</v>
      </c>
      <c r="CV34" s="148" t="s">
        <v>9693</v>
      </c>
      <c r="CW34" s="148" t="s">
        <v>9709</v>
      </c>
      <c r="CX34" s="148" t="s">
        <v>9705</v>
      </c>
      <c r="CY34" s="148" t="s">
        <v>9700</v>
      </c>
      <c r="CZ34" s="148" t="s">
        <v>9695</v>
      </c>
      <c r="DA34" s="148" t="s">
        <v>9701</v>
      </c>
      <c r="DB34" s="148" t="s">
        <v>9695</v>
      </c>
      <c r="DC34" s="148" t="s">
        <v>9699</v>
      </c>
      <c r="DD34" s="148" t="s">
        <v>9699</v>
      </c>
      <c r="DE34" s="148" t="s">
        <v>9691</v>
      </c>
      <c r="DF34" s="148" t="s">
        <v>9709</v>
      </c>
      <c r="DG34" s="148" t="s">
        <v>9705</v>
      </c>
      <c r="DH34" s="148" t="s">
        <v>9695</v>
      </c>
      <c r="DI34" s="148" t="s">
        <v>9691</v>
      </c>
      <c r="DJ34" s="148" t="s">
        <v>9696</v>
      </c>
      <c r="DK34" s="148" t="s">
        <v>9700</v>
      </c>
      <c r="DL34" s="148" t="s">
        <v>9696</v>
      </c>
      <c r="DM34" s="148" t="s">
        <v>9695</v>
      </c>
      <c r="DN34" s="148" t="s">
        <v>9693</v>
      </c>
      <c r="DO34" s="148" t="s">
        <v>9695</v>
      </c>
      <c r="DP34" s="148" t="s">
        <v>9693</v>
      </c>
      <c r="DQ34" s="148" t="s">
        <v>9693</v>
      </c>
      <c r="DR34" s="148" t="s">
        <v>9691</v>
      </c>
      <c r="DS34" s="148" t="s">
        <v>9691</v>
      </c>
      <c r="DT34" s="148" t="s">
        <v>9712</v>
      </c>
      <c r="DU34" s="148" t="s">
        <v>9696</v>
      </c>
      <c r="DV34" s="148" t="s">
        <v>9701</v>
      </c>
      <c r="DW34" s="148" t="s">
        <v>9702</v>
      </c>
      <c r="DX34" s="148" t="s">
        <v>9695</v>
      </c>
      <c r="DY34" s="148" t="s">
        <v>9693</v>
      </c>
      <c r="DZ34" s="148"/>
      <c r="EA34" s="148" t="s">
        <v>9690</v>
      </c>
      <c r="EB34" s="148" t="s">
        <v>9691</v>
      </c>
      <c r="EC34" s="148"/>
      <c r="ED34" s="148" t="s">
        <v>9698</v>
      </c>
      <c r="EE34" s="148" t="s">
        <v>9690</v>
      </c>
      <c r="EF34" s="148" t="s">
        <v>9695</v>
      </c>
      <c r="EG34" s="148" t="s">
        <v>9701</v>
      </c>
      <c r="EH34" s="148" t="s">
        <v>9695</v>
      </c>
      <c r="EI34" s="148" t="s">
        <v>9695</v>
      </c>
      <c r="EJ34" s="148" t="s">
        <v>9693</v>
      </c>
      <c r="EK34" s="148" t="s">
        <v>9694</v>
      </c>
      <c r="EL34" s="148" t="s">
        <v>9693</v>
      </c>
      <c r="EM34" s="148" t="s">
        <v>9693</v>
      </c>
      <c r="EN34" s="148" t="s">
        <v>9691</v>
      </c>
      <c r="EO34" s="148" t="s">
        <v>9690</v>
      </c>
      <c r="EP34" s="148" t="s">
        <v>9695</v>
      </c>
      <c r="EQ34" s="148" t="s">
        <v>9695</v>
      </c>
      <c r="ER34" s="148" t="s">
        <v>9691</v>
      </c>
      <c r="ES34" s="148" t="s">
        <v>9691</v>
      </c>
      <c r="ET34" s="148" t="s">
        <v>9692</v>
      </c>
      <c r="EU34" s="148" t="s">
        <v>9687</v>
      </c>
      <c r="EV34" s="148"/>
      <c r="EW34" s="148" t="s">
        <v>9695</v>
      </c>
      <c r="EX34" s="148" t="s">
        <v>9695</v>
      </c>
      <c r="EY34" s="148" t="s">
        <v>9697</v>
      </c>
      <c r="EZ34" s="148" t="s">
        <v>9713</v>
      </c>
      <c r="FA34" s="148" t="s">
        <v>9698</v>
      </c>
      <c r="FB34" s="148" t="s">
        <v>9700</v>
      </c>
      <c r="FC34" s="148" t="s">
        <v>9693</v>
      </c>
      <c r="FD34" s="148" t="s">
        <v>9691</v>
      </c>
      <c r="FE34" s="148" t="s">
        <v>9696</v>
      </c>
      <c r="FF34" s="148" t="s">
        <v>9695</v>
      </c>
      <c r="FG34" s="148" t="s">
        <v>9691</v>
      </c>
      <c r="FH34" s="148" t="s">
        <v>9714</v>
      </c>
      <c r="FI34" s="148" t="s">
        <v>9708</v>
      </c>
      <c r="FJ34" s="148" t="s">
        <v>9695</v>
      </c>
      <c r="FK34" s="148" t="s">
        <v>9697</v>
      </c>
      <c r="FL34" s="148" t="s">
        <v>9698</v>
      </c>
      <c r="FM34" s="148" t="s">
        <v>9702</v>
      </c>
      <c r="FN34" s="148" t="s">
        <v>9695</v>
      </c>
      <c r="FO34" s="148" t="s">
        <v>9695</v>
      </c>
      <c r="FP34" s="148" t="s">
        <v>9693</v>
      </c>
      <c r="FQ34" s="148" t="s">
        <v>9709</v>
      </c>
      <c r="FR34" s="148" t="s">
        <v>9695</v>
      </c>
      <c r="FS34" s="148" t="s">
        <v>9695</v>
      </c>
      <c r="FT34" s="148" t="s">
        <v>9695</v>
      </c>
      <c r="FU34" s="148" t="s">
        <v>9693</v>
      </c>
      <c r="FV34" s="148" t="s">
        <v>9695</v>
      </c>
      <c r="FW34" s="148" t="s">
        <v>9694</v>
      </c>
      <c r="FX34" s="148" t="s">
        <v>9709</v>
      </c>
      <c r="FY34" s="148" t="s">
        <v>9705</v>
      </c>
      <c r="FZ34" s="148" t="s">
        <v>9701</v>
      </c>
      <c r="GA34" s="148" t="s">
        <v>9695</v>
      </c>
      <c r="GB34" s="148" t="s">
        <v>9693</v>
      </c>
      <c r="GC34" s="148" t="s">
        <v>9691</v>
      </c>
      <c r="GD34" s="148" t="s">
        <v>9699</v>
      </c>
      <c r="GE34" s="148" t="s">
        <v>9691</v>
      </c>
      <c r="GF34" s="148" t="s">
        <v>9702</v>
      </c>
      <c r="GG34" s="148" t="s">
        <v>9702</v>
      </c>
      <c r="GH34" s="148" t="s">
        <v>9700</v>
      </c>
      <c r="GI34" s="148" t="s">
        <v>9695</v>
      </c>
      <c r="GJ34" s="148" t="s">
        <v>9695</v>
      </c>
      <c r="GK34" s="148" t="s">
        <v>9697</v>
      </c>
      <c r="GL34" s="148" t="s">
        <v>9708</v>
      </c>
      <c r="GM34" s="148" t="s">
        <v>9695</v>
      </c>
      <c r="GN34" s="148" t="s">
        <v>9691</v>
      </c>
      <c r="GO34" s="148" t="s">
        <v>9695</v>
      </c>
      <c r="GP34" s="148" t="s">
        <v>9701</v>
      </c>
      <c r="GQ34" s="148" t="s">
        <v>9702</v>
      </c>
      <c r="GR34" s="148" t="s">
        <v>9696</v>
      </c>
      <c r="GS34" s="148" t="s">
        <v>9705</v>
      </c>
      <c r="GT34" s="148"/>
      <c r="GU34" s="148"/>
      <c r="GV34" s="148" t="s">
        <v>9701</v>
      </c>
      <c r="GW34" s="148" t="s">
        <v>9699</v>
      </c>
      <c r="GX34" s="148" t="s">
        <v>9700</v>
      </c>
      <c r="GY34" s="148" t="s">
        <v>9693</v>
      </c>
      <c r="GZ34" s="148" t="s">
        <v>9699</v>
      </c>
      <c r="HA34" s="148" t="s">
        <v>9701</v>
      </c>
      <c r="HB34" s="148" t="s">
        <v>9691</v>
      </c>
      <c r="HC34" s="148" t="s">
        <v>9690</v>
      </c>
      <c r="HD34" s="148" t="s">
        <v>9693</v>
      </c>
      <c r="HE34" s="148" t="s">
        <v>9712</v>
      </c>
      <c r="HF34" s="148" t="s">
        <v>9698</v>
      </c>
      <c r="HG34" s="148" t="s">
        <v>9695</v>
      </c>
      <c r="HH34" s="148" t="s">
        <v>9696</v>
      </c>
      <c r="HI34" s="148" t="s">
        <v>9693</v>
      </c>
      <c r="HJ34" s="148" t="s">
        <v>9691</v>
      </c>
      <c r="HK34" s="148" t="s">
        <v>9715</v>
      </c>
      <c r="HL34" s="148" t="s">
        <v>9699</v>
      </c>
      <c r="HM34" s="148" t="s">
        <v>9693</v>
      </c>
      <c r="HN34" s="148" t="s">
        <v>9691</v>
      </c>
      <c r="HO34" s="148" t="s">
        <v>9688</v>
      </c>
      <c r="HP34" s="148" t="s">
        <v>9691</v>
      </c>
      <c r="HQ34" s="148" t="s">
        <v>9691</v>
      </c>
      <c r="HR34" s="148" t="s">
        <v>9693</v>
      </c>
      <c r="HS34" s="148" t="s">
        <v>9691</v>
      </c>
      <c r="HT34" s="148" t="s">
        <v>9704</v>
      </c>
      <c r="HU34" s="148" t="s">
        <v>9701</v>
      </c>
      <c r="HV34" s="148" t="s">
        <v>9700</v>
      </c>
      <c r="HW34" s="148" t="s">
        <v>9693</v>
      </c>
      <c r="HX34" s="148" t="s">
        <v>9702</v>
      </c>
      <c r="HY34" s="148" t="s">
        <v>9699</v>
      </c>
      <c r="HZ34" s="148" t="s">
        <v>9695</v>
      </c>
      <c r="IA34" s="148" t="s">
        <v>9695</v>
      </c>
      <c r="IB34" s="148"/>
      <c r="IC34" s="148" t="s">
        <v>9702</v>
      </c>
      <c r="ID34" s="148" t="s">
        <v>9702</v>
      </c>
      <c r="IE34" s="148" t="s">
        <v>9691</v>
      </c>
      <c r="IF34" s="148" t="s">
        <v>9709</v>
      </c>
      <c r="IG34" s="148" t="s">
        <v>9708</v>
      </c>
      <c r="IH34" s="148" t="s">
        <v>9691</v>
      </c>
      <c r="II34" s="148" t="s">
        <v>9696</v>
      </c>
      <c r="IJ34" s="148" t="s">
        <v>9693</v>
      </c>
      <c r="IK34" s="148" t="s">
        <v>9695</v>
      </c>
      <c r="IL34" s="148" t="s">
        <v>9696</v>
      </c>
      <c r="IM34" s="148" t="s">
        <v>9699</v>
      </c>
      <c r="IN34" s="148" t="s">
        <v>9699</v>
      </c>
      <c r="IO34" s="148" t="s">
        <v>9692</v>
      </c>
      <c r="IP34" s="148" t="s">
        <v>9696</v>
      </c>
      <c r="IQ34" s="148" t="s">
        <v>9693</v>
      </c>
      <c r="IR34" s="148" t="s">
        <v>9693</v>
      </c>
      <c r="IS34" s="148" t="s">
        <v>9695</v>
      </c>
      <c r="IT34" s="148" t="s">
        <v>9695</v>
      </c>
      <c r="IU34" s="148" t="s">
        <v>9691</v>
      </c>
      <c r="IV34" s="148" t="s">
        <v>9713</v>
      </c>
      <c r="IW34" s="148" t="s">
        <v>9698</v>
      </c>
      <c r="IX34" s="148" t="s">
        <v>9695</v>
      </c>
      <c r="IY34" s="148" t="s">
        <v>9695</v>
      </c>
      <c r="IZ34" s="148" t="s">
        <v>9695</v>
      </c>
      <c r="JA34" s="148" t="s">
        <v>9690</v>
      </c>
      <c r="JB34" s="148" t="s">
        <v>9701</v>
      </c>
      <c r="JC34" s="148" t="s">
        <v>9695</v>
      </c>
      <c r="JD34" s="148" t="s">
        <v>9695</v>
      </c>
      <c r="JE34" s="148" t="s">
        <v>9691</v>
      </c>
      <c r="JF34" s="148"/>
      <c r="JG34" s="148"/>
      <c r="JH34" s="148" t="s">
        <v>9700</v>
      </c>
      <c r="JI34" s="148"/>
      <c r="JJ34" s="148" t="s">
        <v>9700</v>
      </c>
      <c r="JK34" s="1746" t="s">
        <v>9691</v>
      </c>
      <c r="JL34" s="1746" t="s">
        <v>9691</v>
      </c>
      <c r="JM34" s="1746" t="s">
        <v>9696</v>
      </c>
      <c r="JN34" s="1746" t="s">
        <v>9702</v>
      </c>
      <c r="JO34" s="1746" t="s">
        <v>9700</v>
      </c>
      <c r="JP34" s="1746" t="s">
        <v>9700</v>
      </c>
      <c r="JQ34" s="1746" t="s">
        <v>9707</v>
      </c>
      <c r="JR34" s="1746" t="s">
        <v>9704</v>
      </c>
      <c r="JS34" s="148" t="s">
        <v>9695</v>
      </c>
      <c r="JT34" s="148" t="s">
        <v>9693</v>
      </c>
      <c r="JU34" s="148" t="s">
        <v>9697</v>
      </c>
      <c r="JV34" s="148" t="s">
        <v>9697</v>
      </c>
      <c r="JW34" s="148" t="s">
        <v>9693</v>
      </c>
      <c r="JX34" s="1746" t="s">
        <v>9694</v>
      </c>
      <c r="JY34" s="1746" t="s">
        <v>9693</v>
      </c>
      <c r="JZ34" s="1746" t="s">
        <v>9700</v>
      </c>
      <c r="KA34" s="1746" t="s">
        <v>9694</v>
      </c>
      <c r="KB34" s="1746" t="s">
        <v>9691</v>
      </c>
      <c r="KC34" s="148" t="s">
        <v>9692</v>
      </c>
      <c r="KD34" s="1746" t="s">
        <v>9692</v>
      </c>
      <c r="KE34" s="1746" t="s">
        <v>9698</v>
      </c>
      <c r="KF34" s="148" t="s">
        <v>9702</v>
      </c>
      <c r="KG34" s="1746" t="s">
        <v>9702</v>
      </c>
      <c r="KH34" s="1746" t="s">
        <v>9693</v>
      </c>
      <c r="KI34" s="1746" t="s">
        <v>9691</v>
      </c>
      <c r="KJ34" s="148" t="s">
        <v>9690</v>
      </c>
      <c r="KK34" s="1746" t="s">
        <v>9699</v>
      </c>
      <c r="KL34" s="1746" t="s">
        <v>9695</v>
      </c>
      <c r="KM34" s="1746" t="s">
        <v>9695</v>
      </c>
      <c r="KN34" s="1746" t="s">
        <v>9699</v>
      </c>
      <c r="KO34" s="148" t="s">
        <v>9693</v>
      </c>
      <c r="KP34" s="1746" t="s">
        <v>9691</v>
      </c>
      <c r="KQ34" s="148" t="s">
        <v>9693</v>
      </c>
      <c r="KR34" s="148" t="s">
        <v>9693</v>
      </c>
      <c r="KS34" s="1746" t="s">
        <v>9701</v>
      </c>
      <c r="KT34" s="1746" t="s">
        <v>9701</v>
      </c>
      <c r="KU34" s="148" t="s">
        <v>9692</v>
      </c>
      <c r="KV34" s="1746" t="s">
        <v>9693</v>
      </c>
      <c r="KW34" s="148" t="s">
        <v>9691</v>
      </c>
      <c r="KX34" s="1746" t="s">
        <v>9705</v>
      </c>
      <c r="KY34" s="1746" t="s">
        <v>9701</v>
      </c>
      <c r="KZ34" s="1746" t="s">
        <v>9709</v>
      </c>
      <c r="LA34" s="1746" t="s">
        <v>9709</v>
      </c>
      <c r="LB34" s="1746" t="s">
        <v>9694</v>
      </c>
      <c r="LC34" s="1746" t="s">
        <v>9694</v>
      </c>
      <c r="LD34" s="148" t="s">
        <v>9700</v>
      </c>
      <c r="LE34" s="1746" t="s">
        <v>9694</v>
      </c>
      <c r="LF34" s="1746" t="s">
        <v>9693</v>
      </c>
      <c r="LG34" s="1746" t="s">
        <v>9693</v>
      </c>
      <c r="LH34" s="148" t="s">
        <v>9690</v>
      </c>
      <c r="LI34" s="1746" t="s">
        <v>9693</v>
      </c>
      <c r="LJ34" s="1746" t="s">
        <v>9691</v>
      </c>
      <c r="LK34" s="1746" t="s">
        <v>9704</v>
      </c>
      <c r="LL34" s="1746" t="s">
        <v>9699</v>
      </c>
      <c r="LM34" s="1746" t="s">
        <v>9699</v>
      </c>
      <c r="LN34" s="1746" t="s">
        <v>9695</v>
      </c>
      <c r="LO34" s="1746" t="s">
        <v>9691</v>
      </c>
      <c r="LP34" s="148" t="s">
        <v>9697</v>
      </c>
      <c r="LQ34" s="1746" t="s">
        <v>9699</v>
      </c>
      <c r="LR34" s="1746" t="s">
        <v>9699</v>
      </c>
      <c r="LS34" s="148" t="s">
        <v>9700</v>
      </c>
      <c r="LT34" s="1746" t="s">
        <v>9700</v>
      </c>
      <c r="LU34" s="148" t="s">
        <v>9695</v>
      </c>
      <c r="LV34" s="1746" t="s">
        <v>9700</v>
      </c>
      <c r="LW34" s="148" t="s">
        <v>9693</v>
      </c>
      <c r="LX34" s="148" t="s">
        <v>9696</v>
      </c>
      <c r="LY34" s="1746" t="s">
        <v>9701</v>
      </c>
      <c r="LZ34" s="1746" t="s">
        <v>9693</v>
      </c>
      <c r="MA34" s="1746" t="s">
        <v>9695</v>
      </c>
      <c r="MB34" s="1746" t="s">
        <v>9695</v>
      </c>
      <c r="MC34" s="148" t="s">
        <v>9693</v>
      </c>
      <c r="MD34" s="1746" t="s">
        <v>9693</v>
      </c>
      <c r="ME34" s="1746" t="s">
        <v>9691</v>
      </c>
      <c r="MF34" s="1746" t="s">
        <v>9697</v>
      </c>
      <c r="MG34" s="148" t="s">
        <v>9693</v>
      </c>
      <c r="MH34" s="1746" t="s">
        <v>9702</v>
      </c>
      <c r="MI34" s="1746" t="s">
        <v>9700</v>
      </c>
      <c r="MJ34" s="1746" t="s">
        <v>9712</v>
      </c>
      <c r="MK34" s="1746" t="s">
        <v>9699</v>
      </c>
      <c r="ML34" s="1746" t="s">
        <v>9695</v>
      </c>
      <c r="MM34" s="148" t="s">
        <v>9693</v>
      </c>
      <c r="MN34" s="148" t="s">
        <v>9693</v>
      </c>
      <c r="MO34" s="148" t="s">
        <v>9693</v>
      </c>
      <c r="MP34" s="1746" t="s">
        <v>9705</v>
      </c>
      <c r="MQ34" s="1746" t="s">
        <v>9695</v>
      </c>
      <c r="MR34" s="1746" t="s">
        <v>9693</v>
      </c>
      <c r="MS34" s="148" t="s">
        <v>9690</v>
      </c>
      <c r="MT34" s="148" t="s">
        <v>9697</v>
      </c>
      <c r="MU34" s="1746" t="s">
        <v>9697</v>
      </c>
      <c r="MV34" s="148" t="s">
        <v>9696</v>
      </c>
      <c r="MW34" s="1746"/>
      <c r="MX34" s="1746" t="s">
        <v>9693</v>
      </c>
      <c r="MY34" s="148" t="s">
        <v>9688</v>
      </c>
      <c r="MZ34" s="1746" t="s">
        <v>9695</v>
      </c>
      <c r="NA34" s="1746" t="s">
        <v>9693</v>
      </c>
      <c r="NB34" s="148" t="s">
        <v>9691</v>
      </c>
      <c r="NC34" s="1746" t="s">
        <v>9695</v>
      </c>
      <c r="ND34" s="1746" t="s">
        <v>9693</v>
      </c>
      <c r="NE34" s="1746" t="s">
        <v>9693</v>
      </c>
      <c r="NF34" s="148" t="s">
        <v>9691</v>
      </c>
      <c r="NG34" s="1746" t="s">
        <v>9697</v>
      </c>
      <c r="NH34" s="1746" t="s">
        <v>9702</v>
      </c>
      <c r="NI34" s="148" t="s">
        <v>9702</v>
      </c>
      <c r="NJ34" s="148" t="s">
        <v>9695</v>
      </c>
      <c r="NK34" s="1746"/>
      <c r="NL34" s="1746" t="s">
        <v>9699</v>
      </c>
      <c r="NM34" s="1746" t="s">
        <v>9699</v>
      </c>
      <c r="NN34" s="1746" t="s">
        <v>9705</v>
      </c>
      <c r="NO34" s="1746" t="s">
        <v>9693</v>
      </c>
      <c r="NP34" s="1746" t="s">
        <v>9695</v>
      </c>
      <c r="NQ34" s="1746" t="s">
        <v>9690</v>
      </c>
      <c r="NR34" s="1746" t="s">
        <v>9690</v>
      </c>
      <c r="NS34" s="1746" t="s">
        <v>9690</v>
      </c>
      <c r="NT34" s="1746" t="s">
        <v>9697</v>
      </c>
      <c r="NU34" s="1746" t="s">
        <v>9696</v>
      </c>
      <c r="NV34" s="1746" t="s">
        <v>9693</v>
      </c>
      <c r="NW34" s="1746" t="s">
        <v>9690</v>
      </c>
      <c r="NX34" s="1746" t="s">
        <v>9690</v>
      </c>
      <c r="NY34" s="1746" t="s">
        <v>9690</v>
      </c>
      <c r="NZ34" s="1746" t="s">
        <v>9690</v>
      </c>
      <c r="OA34" s="1746" t="s">
        <v>9695</v>
      </c>
      <c r="OB34" s="1746" t="s">
        <v>9695</v>
      </c>
      <c r="OC34" s="1746" t="s">
        <v>9694</v>
      </c>
      <c r="OD34" s="1746" t="s">
        <v>9701</v>
      </c>
      <c r="OE34" s="1746" t="s">
        <v>9701</v>
      </c>
      <c r="OF34" s="1746" t="s">
        <v>9690</v>
      </c>
      <c r="OG34" s="1746" t="s">
        <v>9695</v>
      </c>
      <c r="OH34" s="1746" t="s">
        <v>9695</v>
      </c>
      <c r="OI34" s="1746" t="s">
        <v>9691</v>
      </c>
      <c r="OJ34" s="1746" t="s">
        <v>9707</v>
      </c>
      <c r="OK34" s="1746" t="s">
        <v>9707</v>
      </c>
      <c r="OL34" s="1746" t="s">
        <v>9704</v>
      </c>
      <c r="OM34" s="1746" t="s">
        <v>9695</v>
      </c>
      <c r="ON34" s="1746" t="s">
        <v>9690</v>
      </c>
      <c r="OO34" s="1746"/>
      <c r="OP34" s="148" t="s">
        <v>9712</v>
      </c>
      <c r="OQ34" s="1746" t="s">
        <v>9705</v>
      </c>
      <c r="OR34" s="1746" t="s">
        <v>9705</v>
      </c>
      <c r="OS34" s="1746" t="s">
        <v>9701</v>
      </c>
      <c r="OT34" s="1746" t="s">
        <v>9700</v>
      </c>
      <c r="OU34" s="1746" t="s">
        <v>9695</v>
      </c>
      <c r="OV34" s="1746" t="s">
        <v>9695</v>
      </c>
      <c r="OW34" s="1746" t="s">
        <v>9691</v>
      </c>
      <c r="OX34" s="1746" t="s">
        <v>9693</v>
      </c>
      <c r="OY34" s="1746" t="s">
        <v>9691</v>
      </c>
      <c r="OZ34" s="1746"/>
      <c r="PA34" s="1746" t="s">
        <v>9697</v>
      </c>
      <c r="PB34" s="1746" t="s">
        <v>9699</v>
      </c>
      <c r="PC34" s="1746" t="s">
        <v>9702</v>
      </c>
      <c r="PD34" s="1746" t="s">
        <v>9695</v>
      </c>
      <c r="PE34" s="1746"/>
      <c r="PF34" s="1746" t="s">
        <v>9704</v>
      </c>
      <c r="PG34" s="148" t="s">
        <v>9709</v>
      </c>
      <c r="PH34" s="1746" t="s">
        <v>9691</v>
      </c>
      <c r="PI34" s="1746" t="s">
        <v>9692</v>
      </c>
      <c r="PJ34" s="1746" t="s">
        <v>9700</v>
      </c>
      <c r="PK34" s="1746" t="s">
        <v>9695</v>
      </c>
      <c r="PL34" s="1746" t="s">
        <v>9695</v>
      </c>
      <c r="PM34" s="1746" t="s">
        <v>9693</v>
      </c>
      <c r="PN34" s="1746" t="s">
        <v>9693</v>
      </c>
      <c r="PO34" s="1746" t="s">
        <v>9709</v>
      </c>
      <c r="PP34" s="1746" t="s">
        <v>9709</v>
      </c>
      <c r="PQ34" s="1746" t="s">
        <v>9709</v>
      </c>
      <c r="PR34" s="148" t="s">
        <v>9691</v>
      </c>
      <c r="PS34" s="1746" t="s">
        <v>9695</v>
      </c>
      <c r="PT34" s="1746" t="s">
        <v>9695</v>
      </c>
      <c r="PU34" s="1746" t="s">
        <v>9701</v>
      </c>
      <c r="PV34" s="1746" t="s">
        <v>9693</v>
      </c>
      <c r="PW34" s="1746" t="s">
        <v>9697</v>
      </c>
      <c r="PX34" s="1746" t="s">
        <v>9701</v>
      </c>
      <c r="PY34" s="148" t="s">
        <v>9695</v>
      </c>
      <c r="PZ34" s="1746" t="s">
        <v>9695</v>
      </c>
      <c r="QA34" s="1746" t="s">
        <v>9697</v>
      </c>
      <c r="QB34" s="1746" t="s">
        <v>9712</v>
      </c>
      <c r="QC34" s="1746" t="s">
        <v>9693</v>
      </c>
      <c r="QD34" s="1746" t="s">
        <v>9697</v>
      </c>
      <c r="QE34" s="1746" t="s">
        <v>9704</v>
      </c>
      <c r="QF34" s="1746" t="s">
        <v>9693</v>
      </c>
      <c r="QG34" s="1746" t="s">
        <v>9699</v>
      </c>
      <c r="QH34" s="1746" t="s">
        <v>9701</v>
      </c>
      <c r="QI34" s="1746" t="s">
        <v>9695</v>
      </c>
      <c r="QJ34" s="1746" t="s">
        <v>9693</v>
      </c>
      <c r="QK34" s="1746" t="s">
        <v>9695</v>
      </c>
      <c r="QL34" s="148" t="s">
        <v>9690</v>
      </c>
      <c r="QM34" s="1746" t="s">
        <v>9699</v>
      </c>
      <c r="QN34" s="1746" t="s">
        <v>9701</v>
      </c>
      <c r="QO34" s="1746" t="s">
        <v>9702</v>
      </c>
      <c r="QP34" s="1746" t="s">
        <v>9695</v>
      </c>
      <c r="QQ34" s="1746" t="s">
        <v>9695</v>
      </c>
      <c r="QR34" s="1746" t="s">
        <v>9693</v>
      </c>
      <c r="QS34" s="1746" t="s">
        <v>9700</v>
      </c>
      <c r="QT34" s="1746" t="s">
        <v>9697</v>
      </c>
      <c r="QU34" s="1746" t="s">
        <v>9693</v>
      </c>
      <c r="QV34" s="1746" t="s">
        <v>9695</v>
      </c>
      <c r="QW34" s="148" t="s">
        <v>9691</v>
      </c>
      <c r="QX34" s="148" t="s">
        <v>9690</v>
      </c>
      <c r="QY34" s="148" t="s">
        <v>9696</v>
      </c>
      <c r="QZ34" s="148" t="s">
        <v>9705</v>
      </c>
      <c r="RA34" s="148" t="s">
        <v>9691</v>
      </c>
      <c r="RB34" s="148" t="s">
        <v>9691</v>
      </c>
      <c r="RC34" s="1746" t="s">
        <v>9700</v>
      </c>
      <c r="RD34" s="148" t="s">
        <v>9695</v>
      </c>
      <c r="RE34" s="1746" t="s">
        <v>9700</v>
      </c>
      <c r="RF34" s="148" t="s">
        <v>9693</v>
      </c>
      <c r="RG34" s="148" t="s">
        <v>9702</v>
      </c>
      <c r="RH34" s="1746" t="s">
        <v>9694</v>
      </c>
      <c r="RI34" s="1746" t="s">
        <v>9690</v>
      </c>
      <c r="RJ34" s="148" t="s">
        <v>9701</v>
      </c>
      <c r="RK34" s="148" t="s">
        <v>9691</v>
      </c>
      <c r="RL34" s="148" t="s">
        <v>9695</v>
      </c>
      <c r="RM34" s="148" t="s">
        <v>9688</v>
      </c>
      <c r="RN34" s="148" t="s">
        <v>9709</v>
      </c>
      <c r="RO34" s="148" t="s">
        <v>9690</v>
      </c>
      <c r="RP34" s="148" t="s">
        <v>9688</v>
      </c>
      <c r="RQ34" s="1746" t="s">
        <v>9709</v>
      </c>
      <c r="RR34" s="1746" t="s">
        <v>9709</v>
      </c>
      <c r="RS34" s="1746" t="s">
        <v>9709</v>
      </c>
      <c r="RT34" s="1746" t="s">
        <v>9709</v>
      </c>
      <c r="RU34" s="1746" t="s">
        <v>9709</v>
      </c>
      <c r="RV34" s="1746" t="s">
        <v>9709</v>
      </c>
      <c r="RW34" s="1746" t="s">
        <v>9693</v>
      </c>
      <c r="RX34" s="1746" t="s">
        <v>9688</v>
      </c>
      <c r="RY34" s="1746" t="s">
        <v>9691</v>
      </c>
      <c r="RZ34" s="148" t="s">
        <v>9690</v>
      </c>
      <c r="SA34" s="1746" t="s">
        <v>9685</v>
      </c>
      <c r="SB34" s="1746" t="s">
        <v>9700</v>
      </c>
      <c r="SC34" s="148" t="s">
        <v>9705</v>
      </c>
      <c r="SD34" s="1746" t="s">
        <v>9693</v>
      </c>
      <c r="SE34" s="1746" t="s">
        <v>9693</v>
      </c>
      <c r="SF34" s="1746" t="s">
        <v>9693</v>
      </c>
      <c r="SG34" s="1746" t="s">
        <v>9697</v>
      </c>
      <c r="SH34" s="1746" t="s">
        <v>9688</v>
      </c>
      <c r="SI34" s="1746" t="s">
        <v>9690</v>
      </c>
      <c r="SJ34" s="1746" t="s">
        <v>9695</v>
      </c>
      <c r="SK34" s="1746" t="s">
        <v>9695</v>
      </c>
      <c r="SL34" s="1747" t="s">
        <v>9716</v>
      </c>
    </row>
    <row r="35" ht="15.75" customHeight="1">
      <c r="A35" s="1517"/>
      <c r="B35" s="131" t="s">
        <v>9704</v>
      </c>
      <c r="C35" s="131" t="s">
        <v>9704</v>
      </c>
      <c r="D35" s="131" t="s">
        <v>9700</v>
      </c>
      <c r="E35" s="1739" t="s">
        <v>9698</v>
      </c>
      <c r="F35" s="1739" t="s">
        <v>9698</v>
      </c>
      <c r="G35" s="1739" t="s">
        <v>9700</v>
      </c>
      <c r="H35" s="387" t="s">
        <v>9695</v>
      </c>
      <c r="I35" s="387" t="s">
        <v>9695</v>
      </c>
      <c r="J35" s="387" t="s">
        <v>9691</v>
      </c>
      <c r="K35" s="131"/>
      <c r="L35" s="131"/>
      <c r="M35" s="1740" t="s">
        <v>9700</v>
      </c>
      <c r="N35" s="1741"/>
      <c r="O35" s="339"/>
      <c r="P35" s="339" t="s">
        <v>9712</v>
      </c>
      <c r="Q35" s="1741" t="s">
        <v>9711</v>
      </c>
      <c r="R35" s="1741" t="s">
        <v>9711</v>
      </c>
      <c r="S35" s="1741" t="s">
        <v>9707</v>
      </c>
      <c r="T35" s="448" t="s">
        <v>9701</v>
      </c>
      <c r="U35" s="1741" t="s">
        <v>9693</v>
      </c>
      <c r="V35" s="1741" t="s">
        <v>9711</v>
      </c>
      <c r="W35" s="1741" t="s">
        <v>9707</v>
      </c>
      <c r="X35" s="448" t="s">
        <v>9702</v>
      </c>
      <c r="Y35" s="448" t="s">
        <v>9699</v>
      </c>
      <c r="Z35" s="339" t="s">
        <v>9709</v>
      </c>
      <c r="AA35" s="339" t="s">
        <v>9705</v>
      </c>
      <c r="AB35" s="339" t="s">
        <v>9698</v>
      </c>
      <c r="AC35" s="339" t="s">
        <v>9702</v>
      </c>
      <c r="AD35" s="387" t="s">
        <v>9701</v>
      </c>
      <c r="AE35" s="387" t="s">
        <v>9701</v>
      </c>
      <c r="AF35" s="387" t="s">
        <v>9690</v>
      </c>
      <c r="AG35" s="448" t="s">
        <v>9701</v>
      </c>
      <c r="AH35" s="448" t="s">
        <v>9701</v>
      </c>
      <c r="AI35" s="448" t="s">
        <v>9690</v>
      </c>
      <c r="AJ35" s="1742" t="s">
        <v>9691</v>
      </c>
      <c r="AK35" s="1742" t="s">
        <v>9688</v>
      </c>
      <c r="AL35" s="1741" t="s">
        <v>9698</v>
      </c>
      <c r="AM35" s="339" t="s">
        <v>9700</v>
      </c>
      <c r="AN35" s="1742" t="s">
        <v>9693</v>
      </c>
      <c r="AO35" s="1742" t="s">
        <v>9691</v>
      </c>
      <c r="AP35" s="448" t="s">
        <v>9714</v>
      </c>
      <c r="AQ35" s="448" t="s">
        <v>9702</v>
      </c>
      <c r="AR35" s="387" t="s">
        <v>9704</v>
      </c>
      <c r="AS35" s="387" t="s">
        <v>9704</v>
      </c>
      <c r="AT35" s="1739" t="s">
        <v>9702</v>
      </c>
      <c r="AU35" s="1739" t="s">
        <v>9698</v>
      </c>
      <c r="AV35" s="1739" t="s">
        <v>9702</v>
      </c>
      <c r="AW35" s="448" t="s">
        <v>9704</v>
      </c>
      <c r="AX35" s="448" t="s">
        <v>9708</v>
      </c>
      <c r="AY35" s="1741" t="s">
        <v>9717</v>
      </c>
      <c r="AZ35" s="1741" t="s">
        <v>9704</v>
      </c>
      <c r="BA35" s="339" t="s">
        <v>9705</v>
      </c>
      <c r="BB35" s="339" t="s">
        <v>9695</v>
      </c>
      <c r="BC35" s="339" t="s">
        <v>9693</v>
      </c>
      <c r="BD35" s="387" t="s">
        <v>9691</v>
      </c>
      <c r="BE35" s="1741" t="s">
        <v>9701</v>
      </c>
      <c r="BF35" s="1741" t="s">
        <v>9695</v>
      </c>
      <c r="BG35" s="1741" t="s">
        <v>9704</v>
      </c>
      <c r="BH35" s="1741" t="s">
        <v>9702</v>
      </c>
      <c r="BI35" s="387" t="s">
        <v>9702</v>
      </c>
      <c r="BJ35" s="387" t="s">
        <v>9695</v>
      </c>
      <c r="BK35" s="387" t="s">
        <v>9691</v>
      </c>
      <c r="BL35" s="1741" t="s">
        <v>9697</v>
      </c>
      <c r="BM35" s="1741" t="s">
        <v>9697</v>
      </c>
      <c r="BN35" s="1741" t="s">
        <v>9693</v>
      </c>
      <c r="BO35" s="1743" t="s">
        <v>9702</v>
      </c>
      <c r="BP35" s="1743" t="s">
        <v>9702</v>
      </c>
      <c r="BQ35" s="1743" t="s">
        <v>9699</v>
      </c>
      <c r="BR35" s="131" t="s">
        <v>9704</v>
      </c>
      <c r="BS35" s="131" t="s">
        <v>9704</v>
      </c>
      <c r="BT35" s="131" t="s">
        <v>9702</v>
      </c>
      <c r="BU35" s="387" t="s">
        <v>9695</v>
      </c>
      <c r="BV35" s="387" t="s">
        <v>9694</v>
      </c>
      <c r="BW35" s="1741" t="s">
        <v>9712</v>
      </c>
      <c r="BX35" s="1741" t="s">
        <v>9712</v>
      </c>
      <c r="BY35" s="1741" t="s">
        <v>9702</v>
      </c>
      <c r="BZ35" s="339" t="s">
        <v>9713</v>
      </c>
      <c r="CA35" s="339" t="s">
        <v>9704</v>
      </c>
      <c r="CB35" s="1742" t="s">
        <v>9691</v>
      </c>
      <c r="CC35" s="1742" t="s">
        <v>9690</v>
      </c>
      <c r="CD35" s="1743" t="s">
        <v>9702</v>
      </c>
      <c r="CE35" s="1743" t="s">
        <v>9709</v>
      </c>
      <c r="CF35" s="1741" t="s">
        <v>9711</v>
      </c>
      <c r="CG35" s="1741" t="s">
        <v>9718</v>
      </c>
      <c r="CH35" s="1741" t="s">
        <v>9707</v>
      </c>
      <c r="CI35" s="1740" t="s">
        <v>9695</v>
      </c>
      <c r="CJ35" s="1740" t="s">
        <v>9697</v>
      </c>
      <c r="CK35" s="448" t="s">
        <v>9709</v>
      </c>
      <c r="CL35" s="448" t="s">
        <v>9695</v>
      </c>
      <c r="CM35" s="448" t="s">
        <v>9702</v>
      </c>
      <c r="CN35" s="448" t="s">
        <v>9695</v>
      </c>
      <c r="CO35" s="448" t="s">
        <v>9702</v>
      </c>
      <c r="CP35" s="448" t="s">
        <v>9702</v>
      </c>
      <c r="CQ35" s="448" t="s">
        <v>9695</v>
      </c>
      <c r="CR35" s="1743" t="s">
        <v>9702</v>
      </c>
      <c r="CS35" s="339" t="s">
        <v>9697</v>
      </c>
      <c r="CT35" s="339" t="s">
        <v>9693</v>
      </c>
      <c r="CU35" s="1739" t="s">
        <v>9702</v>
      </c>
      <c r="CV35" s="1739" t="s">
        <v>9695</v>
      </c>
      <c r="CW35" s="1739" t="s">
        <v>9702</v>
      </c>
      <c r="CX35" s="1739" t="s">
        <v>9709</v>
      </c>
      <c r="CY35" s="1742" t="s">
        <v>9702</v>
      </c>
      <c r="CZ35" s="339" t="s">
        <v>9700</v>
      </c>
      <c r="DA35" s="1741" t="s">
        <v>9699</v>
      </c>
      <c r="DB35" s="1741" t="s">
        <v>9701</v>
      </c>
      <c r="DC35" s="1741" t="s">
        <v>9702</v>
      </c>
      <c r="DD35" s="1741" t="s">
        <v>9702</v>
      </c>
      <c r="DE35" s="1742" t="s">
        <v>9693</v>
      </c>
      <c r="DF35" s="448" t="s">
        <v>9702</v>
      </c>
      <c r="DG35" s="448" t="s">
        <v>9709</v>
      </c>
      <c r="DH35" s="1743" t="s">
        <v>9701</v>
      </c>
      <c r="DI35" s="1743" t="s">
        <v>9693</v>
      </c>
      <c r="DJ35" s="1742" t="s">
        <v>9690</v>
      </c>
      <c r="DK35" s="387" t="s">
        <v>9702</v>
      </c>
      <c r="DL35" s="1741" t="s">
        <v>9690</v>
      </c>
      <c r="DM35" s="387" t="s">
        <v>9702</v>
      </c>
      <c r="DN35" s="387" t="s">
        <v>9695</v>
      </c>
      <c r="DO35" s="1739" t="s">
        <v>9702</v>
      </c>
      <c r="DP35" s="1739" t="s">
        <v>9695</v>
      </c>
      <c r="DQ35" s="1741" t="s">
        <v>9695</v>
      </c>
      <c r="DR35" s="448" t="s">
        <v>9693</v>
      </c>
      <c r="DS35" s="1742" t="s">
        <v>9693</v>
      </c>
      <c r="DT35" s="131" t="s">
        <v>9704</v>
      </c>
      <c r="DU35" s="1739" t="s">
        <v>9690</v>
      </c>
      <c r="DV35" s="339" t="s">
        <v>9705</v>
      </c>
      <c r="DW35" s="1739" t="s">
        <v>9708</v>
      </c>
      <c r="DX35" s="1741" t="s">
        <v>9699</v>
      </c>
      <c r="DY35" s="1741" t="s">
        <v>9695</v>
      </c>
      <c r="DZ35" s="1739"/>
      <c r="EA35" s="387" t="s">
        <v>9691</v>
      </c>
      <c r="EB35" s="387" t="s">
        <v>9693</v>
      </c>
      <c r="EC35" s="448"/>
      <c r="ED35" s="1741" t="s">
        <v>9714</v>
      </c>
      <c r="EE35" s="387" t="s">
        <v>9691</v>
      </c>
      <c r="EF35" s="339" t="s">
        <v>9701</v>
      </c>
      <c r="EG35" s="1739" t="s">
        <v>9702</v>
      </c>
      <c r="EH35" s="1742" t="s">
        <v>9700</v>
      </c>
      <c r="EI35" s="387" t="s">
        <v>9702</v>
      </c>
      <c r="EJ35" s="387" t="s">
        <v>9695</v>
      </c>
      <c r="EK35" s="1741" t="s">
        <v>9695</v>
      </c>
      <c r="EL35" s="1741" t="s">
        <v>9694</v>
      </c>
      <c r="EM35" s="448" t="s">
        <v>9695</v>
      </c>
      <c r="EN35" s="1744" t="s">
        <v>9693</v>
      </c>
      <c r="EO35" s="387" t="s">
        <v>9691</v>
      </c>
      <c r="EP35" s="339" t="s">
        <v>9705</v>
      </c>
      <c r="EQ35" s="339" t="s">
        <v>9700</v>
      </c>
      <c r="ER35" s="387" t="s">
        <v>9693</v>
      </c>
      <c r="ES35" s="387" t="s">
        <v>9693</v>
      </c>
      <c r="ET35" s="1741" t="s">
        <v>9696</v>
      </c>
      <c r="EU35" s="448" t="s">
        <v>9692</v>
      </c>
      <c r="EV35" s="1742"/>
      <c r="EW35" s="131" t="s">
        <v>9700</v>
      </c>
      <c r="EX35" s="131" t="s">
        <v>9700</v>
      </c>
      <c r="EY35" s="131" t="s">
        <v>9695</v>
      </c>
      <c r="EZ35" s="339" t="s">
        <v>9719</v>
      </c>
      <c r="FA35" s="339" t="s">
        <v>9712</v>
      </c>
      <c r="FB35" s="339" t="s">
        <v>9699</v>
      </c>
      <c r="FC35" s="387" t="s">
        <v>9695</v>
      </c>
      <c r="FD35" s="387" t="s">
        <v>9693</v>
      </c>
      <c r="FE35" s="387" t="s">
        <v>9690</v>
      </c>
      <c r="FF35" s="1741" t="s">
        <v>9700</v>
      </c>
      <c r="FG35" s="1741" t="s">
        <v>9693</v>
      </c>
      <c r="FH35" s="1741" t="s">
        <v>9704</v>
      </c>
      <c r="FI35" s="1741" t="s">
        <v>9714</v>
      </c>
      <c r="FJ35" s="1739" t="s">
        <v>9700</v>
      </c>
      <c r="FK35" s="1739" t="s">
        <v>9695</v>
      </c>
      <c r="FL35" s="131" t="s">
        <v>9708</v>
      </c>
      <c r="FM35" s="1739" t="s">
        <v>9698</v>
      </c>
      <c r="FN35" s="448" t="s">
        <v>9702</v>
      </c>
      <c r="FO35" s="387" t="s">
        <v>9705</v>
      </c>
      <c r="FP35" s="387" t="s">
        <v>9695</v>
      </c>
      <c r="FQ35" s="339" t="s">
        <v>9702</v>
      </c>
      <c r="FR35" s="1742" t="s">
        <v>9700</v>
      </c>
      <c r="FS35" s="1742" t="s">
        <v>9700</v>
      </c>
      <c r="FT35" s="1740" t="s">
        <v>9700</v>
      </c>
      <c r="FU35" s="1740" t="s">
        <v>9697</v>
      </c>
      <c r="FV35" s="131" t="s">
        <v>9700</v>
      </c>
      <c r="FW35" s="131" t="s">
        <v>9695</v>
      </c>
      <c r="FX35" s="1740" t="s">
        <v>9702</v>
      </c>
      <c r="FY35" s="1742" t="s">
        <v>9709</v>
      </c>
      <c r="FZ35" s="339" t="s">
        <v>9705</v>
      </c>
      <c r="GA35" s="131" t="s">
        <v>9700</v>
      </c>
      <c r="GB35" s="387" t="s">
        <v>9695</v>
      </c>
      <c r="GC35" s="387" t="s">
        <v>9693</v>
      </c>
      <c r="GD35" s="1741" t="s">
        <v>9702</v>
      </c>
      <c r="GE35" s="131" t="s">
        <v>9693</v>
      </c>
      <c r="GF35" s="1742" t="s">
        <v>9704</v>
      </c>
      <c r="GG35" s="131" t="s">
        <v>9704</v>
      </c>
      <c r="GH35" s="387" t="s">
        <v>9702</v>
      </c>
      <c r="GI35" s="448" t="s">
        <v>9700</v>
      </c>
      <c r="GJ35" s="339" t="s">
        <v>9700</v>
      </c>
      <c r="GK35" s="339" t="s">
        <v>9695</v>
      </c>
      <c r="GL35" s="1739" t="s">
        <v>9714</v>
      </c>
      <c r="GM35" s="387" t="s">
        <v>9701</v>
      </c>
      <c r="GN35" s="387" t="s">
        <v>9693</v>
      </c>
      <c r="GO35" s="448" t="s">
        <v>9701</v>
      </c>
      <c r="GP35" s="1744" t="s">
        <v>9702</v>
      </c>
      <c r="GQ35" s="1744" t="s">
        <v>9708</v>
      </c>
      <c r="GR35" s="1742" t="s">
        <v>9690</v>
      </c>
      <c r="GS35" s="1743" t="s">
        <v>9709</v>
      </c>
      <c r="GT35" s="1744"/>
      <c r="GU35" s="387"/>
      <c r="GV35" s="339" t="s">
        <v>9705</v>
      </c>
      <c r="GW35" s="1743" t="s">
        <v>9702</v>
      </c>
      <c r="GX35" s="448" t="s">
        <v>9699</v>
      </c>
      <c r="GY35" s="339" t="s">
        <v>9695</v>
      </c>
      <c r="GZ35" s="448" t="s">
        <v>9702</v>
      </c>
      <c r="HA35" s="1743" t="s">
        <v>9699</v>
      </c>
      <c r="HB35" s="1742" t="s">
        <v>9693</v>
      </c>
      <c r="HC35" s="448" t="s">
        <v>9691</v>
      </c>
      <c r="HD35" s="1743" t="s">
        <v>9695</v>
      </c>
      <c r="HE35" s="1739" t="s">
        <v>9704</v>
      </c>
      <c r="HF35" s="339" t="s">
        <v>9704</v>
      </c>
      <c r="HG35" s="387" t="s">
        <v>9699</v>
      </c>
      <c r="HH35" s="1744" t="s">
        <v>9691</v>
      </c>
      <c r="HI35" s="1741" t="s">
        <v>9695</v>
      </c>
      <c r="HJ35" s="1741" t="s">
        <v>9693</v>
      </c>
      <c r="HK35" s="1739" t="s">
        <v>9713</v>
      </c>
      <c r="HL35" s="1739" t="s">
        <v>9702</v>
      </c>
      <c r="HM35" s="1741" t="s">
        <v>9695</v>
      </c>
      <c r="HN35" s="1741" t="s">
        <v>9693</v>
      </c>
      <c r="HO35" s="1742" t="s">
        <v>9691</v>
      </c>
      <c r="HP35" s="1743" t="s">
        <v>9693</v>
      </c>
      <c r="HQ35" s="1739" t="s">
        <v>9693</v>
      </c>
      <c r="HR35" s="1739" t="s">
        <v>9695</v>
      </c>
      <c r="HS35" s="448" t="s">
        <v>9693</v>
      </c>
      <c r="HT35" s="1743" t="s">
        <v>9720</v>
      </c>
      <c r="HU35" s="1744" t="s">
        <v>9702</v>
      </c>
      <c r="HV35" s="1744" t="s">
        <v>9701</v>
      </c>
      <c r="HW35" s="387" t="s">
        <v>9695</v>
      </c>
      <c r="HX35" s="387" t="s">
        <v>9704</v>
      </c>
      <c r="HY35" s="1743" t="s">
        <v>9702</v>
      </c>
      <c r="HZ35" s="1739" t="s">
        <v>9700</v>
      </c>
      <c r="IA35" s="1741" t="s">
        <v>9700</v>
      </c>
      <c r="IB35" s="1740"/>
      <c r="IC35" s="448" t="s">
        <v>9712</v>
      </c>
      <c r="ID35" s="1741" t="s">
        <v>9698</v>
      </c>
      <c r="IE35" s="1742" t="s">
        <v>9693</v>
      </c>
      <c r="IF35" s="339" t="s">
        <v>9702</v>
      </c>
      <c r="IG35" s="1739" t="s">
        <v>9712</v>
      </c>
      <c r="IH35" s="1742" t="s">
        <v>9693</v>
      </c>
      <c r="II35" s="1742" t="s">
        <v>9690</v>
      </c>
      <c r="IJ35" s="339" t="s">
        <v>9695</v>
      </c>
      <c r="IK35" s="1741" t="s">
        <v>9700</v>
      </c>
      <c r="IL35" s="387" t="s">
        <v>9690</v>
      </c>
      <c r="IM35" s="131" t="s">
        <v>9702</v>
      </c>
      <c r="IN35" s="1743" t="s">
        <v>9702</v>
      </c>
      <c r="IO35" s="131" t="s">
        <v>9696</v>
      </c>
      <c r="IP35" s="1740" t="s">
        <v>9690</v>
      </c>
      <c r="IQ35" s="1739" t="s">
        <v>9694</v>
      </c>
      <c r="IR35" s="131" t="s">
        <v>9694</v>
      </c>
      <c r="IS35" s="131" t="s">
        <v>9700</v>
      </c>
      <c r="IT35" s="131" t="s">
        <v>9700</v>
      </c>
      <c r="IU35" s="131" t="s">
        <v>9694</v>
      </c>
      <c r="IV35" s="1739" t="s">
        <v>9719</v>
      </c>
      <c r="IW35" s="1739" t="s">
        <v>9712</v>
      </c>
      <c r="IX35" s="1739" t="s">
        <v>9700</v>
      </c>
      <c r="IY35" s="387" t="s">
        <v>9701</v>
      </c>
      <c r="IZ35" s="387" t="s">
        <v>9701</v>
      </c>
      <c r="JA35" s="387" t="s">
        <v>9691</v>
      </c>
      <c r="JB35" s="1743" t="s">
        <v>9702</v>
      </c>
      <c r="JC35" s="1743" t="s">
        <v>9701</v>
      </c>
      <c r="JD35" s="1741" t="s">
        <v>9701</v>
      </c>
      <c r="JE35" s="1740" t="s">
        <v>9693</v>
      </c>
      <c r="JF35" s="1739"/>
      <c r="JG35" s="1740"/>
      <c r="JH35" s="339" t="s">
        <v>9702</v>
      </c>
      <c r="JI35" s="448"/>
      <c r="JJ35" s="131" t="s">
        <v>9702</v>
      </c>
      <c r="JK35" s="131" t="s">
        <v>9693</v>
      </c>
      <c r="JL35" s="131" t="s">
        <v>9693</v>
      </c>
      <c r="JM35" s="131" t="s">
        <v>9690</v>
      </c>
      <c r="JN35" s="1741" t="s">
        <v>9698</v>
      </c>
      <c r="JO35" s="1741" t="s">
        <v>9702</v>
      </c>
      <c r="JP35" s="1741" t="s">
        <v>9702</v>
      </c>
      <c r="JQ35" s="387" t="s">
        <v>9711</v>
      </c>
      <c r="JR35" s="387" t="s">
        <v>9707</v>
      </c>
      <c r="JS35" s="1740" t="s">
        <v>9702</v>
      </c>
      <c r="JT35" s="339" t="s">
        <v>9695</v>
      </c>
      <c r="JU35" s="1740" t="s">
        <v>9695</v>
      </c>
      <c r="JV35" s="1740" t="s">
        <v>9695</v>
      </c>
      <c r="JW35" s="1740" t="s">
        <v>9697</v>
      </c>
      <c r="JX35" s="387" t="s">
        <v>9695</v>
      </c>
      <c r="JY35" s="387" t="s">
        <v>9694</v>
      </c>
      <c r="JZ35" s="1741" t="s">
        <v>9702</v>
      </c>
      <c r="KA35" s="131" t="s">
        <v>9697</v>
      </c>
      <c r="KB35" s="1741" t="s">
        <v>9693</v>
      </c>
      <c r="KC35" s="1740" t="s">
        <v>9696</v>
      </c>
      <c r="KD35" s="1741" t="s">
        <v>9696</v>
      </c>
      <c r="KE35" s="1743" t="s">
        <v>9714</v>
      </c>
      <c r="KF35" s="339" t="s">
        <v>9698</v>
      </c>
      <c r="KG35" s="1741" t="s">
        <v>9698</v>
      </c>
      <c r="KH35" s="1742" t="s">
        <v>9695</v>
      </c>
      <c r="KI35" s="387" t="s">
        <v>9693</v>
      </c>
      <c r="KJ35" s="387" t="s">
        <v>9691</v>
      </c>
      <c r="KK35" s="339" t="s">
        <v>9702</v>
      </c>
      <c r="KL35" s="1741" t="s">
        <v>9699</v>
      </c>
      <c r="KM35" s="387" t="s">
        <v>9701</v>
      </c>
      <c r="KN35" s="1743" t="s">
        <v>9702</v>
      </c>
      <c r="KO35" s="1742" t="s">
        <v>9697</v>
      </c>
      <c r="KP35" s="448" t="s">
        <v>9693</v>
      </c>
      <c r="KQ35" s="448" t="s">
        <v>9695</v>
      </c>
      <c r="KR35" s="1744" t="s">
        <v>9695</v>
      </c>
      <c r="KS35" s="1743" t="s">
        <v>9699</v>
      </c>
      <c r="KT35" s="1743" t="s">
        <v>9699</v>
      </c>
      <c r="KU35" s="1743" t="s">
        <v>9696</v>
      </c>
      <c r="KV35" s="387" t="s">
        <v>9695</v>
      </c>
      <c r="KW35" s="1739" t="s">
        <v>9693</v>
      </c>
      <c r="KX35" s="131" t="s">
        <v>9709</v>
      </c>
      <c r="KY35" s="339" t="s">
        <v>9705</v>
      </c>
      <c r="KZ35" s="339" t="s">
        <v>9702</v>
      </c>
      <c r="LA35" s="339" t="s">
        <v>9702</v>
      </c>
      <c r="LB35" s="1743" t="s">
        <v>9695</v>
      </c>
      <c r="LC35" s="448" t="s">
        <v>9695</v>
      </c>
      <c r="LD35" s="131" t="s">
        <v>9702</v>
      </c>
      <c r="LE35" s="131" t="s">
        <v>9695</v>
      </c>
      <c r="LF35" s="448" t="s">
        <v>9694</v>
      </c>
      <c r="LG35" s="1739" t="s">
        <v>9695</v>
      </c>
      <c r="LH35" s="387" t="s">
        <v>9691</v>
      </c>
      <c r="LI35" s="387" t="s">
        <v>9695</v>
      </c>
      <c r="LJ35" s="387" t="s">
        <v>9693</v>
      </c>
      <c r="LK35" s="339" t="s">
        <v>9713</v>
      </c>
      <c r="LL35" s="1739" t="s">
        <v>9702</v>
      </c>
      <c r="LM35" s="1741" t="s">
        <v>9702</v>
      </c>
      <c r="LN35" s="1744" t="s">
        <v>9701</v>
      </c>
      <c r="LO35" s="448" t="s">
        <v>9693</v>
      </c>
      <c r="LP35" s="1741" t="s">
        <v>9695</v>
      </c>
      <c r="LQ35" s="1741" t="s">
        <v>9702</v>
      </c>
      <c r="LR35" s="131" t="s">
        <v>9702</v>
      </c>
      <c r="LS35" s="131" t="s">
        <v>9701</v>
      </c>
      <c r="LT35" s="131" t="s">
        <v>9702</v>
      </c>
      <c r="LU35" s="131" t="s">
        <v>9700</v>
      </c>
      <c r="LV35" s="387" t="s">
        <v>9702</v>
      </c>
      <c r="LW35" s="387" t="s">
        <v>9697</v>
      </c>
      <c r="LX35" s="1740" t="s">
        <v>9691</v>
      </c>
      <c r="LY35" s="1744" t="s">
        <v>9699</v>
      </c>
      <c r="LZ35" s="339" t="s">
        <v>9697</v>
      </c>
      <c r="MA35" s="1739" t="s">
        <v>9700</v>
      </c>
      <c r="MB35" s="1743" t="s">
        <v>9699</v>
      </c>
      <c r="MC35" s="387" t="s">
        <v>9695</v>
      </c>
      <c r="MD35" s="1739" t="s">
        <v>9695</v>
      </c>
      <c r="ME35" s="1739" t="s">
        <v>9693</v>
      </c>
      <c r="MF35" s="1741" t="s">
        <v>9695</v>
      </c>
      <c r="MG35" s="1744" t="s">
        <v>9697</v>
      </c>
      <c r="MH35" s="448" t="s">
        <v>9704</v>
      </c>
      <c r="MI35" s="131" t="s">
        <v>9699</v>
      </c>
      <c r="MJ35" s="1743" t="s">
        <v>9704</v>
      </c>
      <c r="MK35" s="1743" t="s">
        <v>9702</v>
      </c>
      <c r="ML35" s="1741" t="s">
        <v>9702</v>
      </c>
      <c r="MM35" s="1742" t="s">
        <v>9697</v>
      </c>
      <c r="MN35" s="1740" t="s">
        <v>9695</v>
      </c>
      <c r="MO35" s="131" t="s">
        <v>9695</v>
      </c>
      <c r="MP35" s="1744" t="s">
        <v>9709</v>
      </c>
      <c r="MQ35" s="1744" t="s">
        <v>9705</v>
      </c>
      <c r="MR35" s="1744" t="s">
        <v>9695</v>
      </c>
      <c r="MS35" s="1744" t="s">
        <v>9691</v>
      </c>
      <c r="MT35" s="131" t="s">
        <v>9695</v>
      </c>
      <c r="MU35" s="387" t="s">
        <v>9695</v>
      </c>
      <c r="MV35" s="1740" t="s">
        <v>9690</v>
      </c>
      <c r="MW35" s="387"/>
      <c r="MX35" s="1743" t="s">
        <v>9697</v>
      </c>
      <c r="MY35" s="1743" t="s">
        <v>9691</v>
      </c>
      <c r="MZ35" s="387" t="s">
        <v>9701</v>
      </c>
      <c r="NA35" s="387" t="s">
        <v>9695</v>
      </c>
      <c r="NB35" s="387" t="s">
        <v>9693</v>
      </c>
      <c r="NC35" s="387" t="s">
        <v>9702</v>
      </c>
      <c r="ND35" s="387" t="s">
        <v>9695</v>
      </c>
      <c r="NE35" s="1742" t="s">
        <v>9697</v>
      </c>
      <c r="NF35" s="1743" t="s">
        <v>9693</v>
      </c>
      <c r="NG35" s="1742" t="s">
        <v>9695</v>
      </c>
      <c r="NH35" s="387" t="s">
        <v>9712</v>
      </c>
      <c r="NI35" s="1740" t="s">
        <v>9712</v>
      </c>
      <c r="NJ35" s="387" t="s">
        <v>9701</v>
      </c>
      <c r="NK35" s="387"/>
      <c r="NL35" s="387" t="s">
        <v>9702</v>
      </c>
      <c r="NM35" s="387" t="s">
        <v>9702</v>
      </c>
      <c r="NN35" s="1741" t="s">
        <v>9709</v>
      </c>
      <c r="NO35" s="387" t="s">
        <v>9697</v>
      </c>
      <c r="NP35" s="1743" t="s">
        <v>9705</v>
      </c>
      <c r="NQ35" s="1739" t="s">
        <v>9688</v>
      </c>
      <c r="NR35" s="387" t="s">
        <v>9688</v>
      </c>
      <c r="NS35" s="387" t="s">
        <v>9691</v>
      </c>
      <c r="NT35" s="1739" t="s">
        <v>9695</v>
      </c>
      <c r="NU35" s="131" t="s">
        <v>9690</v>
      </c>
      <c r="NV35" s="339" t="s">
        <v>9697</v>
      </c>
      <c r="NW35" s="1739" t="s">
        <v>9688</v>
      </c>
      <c r="NX35" s="1739" t="s">
        <v>9688</v>
      </c>
      <c r="NY35" s="1739" t="s">
        <v>9688</v>
      </c>
      <c r="NZ35" s="1739" t="s">
        <v>9688</v>
      </c>
      <c r="OA35" s="131" t="s">
        <v>9700</v>
      </c>
      <c r="OB35" s="131" t="s">
        <v>9700</v>
      </c>
      <c r="OC35" s="131" t="s">
        <v>9697</v>
      </c>
      <c r="OD35" s="1741" t="s">
        <v>9702</v>
      </c>
      <c r="OE35" s="1741" t="s">
        <v>9702</v>
      </c>
      <c r="OF35" s="1741" t="s">
        <v>9691</v>
      </c>
      <c r="OG35" s="387" t="s">
        <v>9702</v>
      </c>
      <c r="OH35" s="387" t="s">
        <v>9702</v>
      </c>
      <c r="OI35" s="387" t="s">
        <v>9693</v>
      </c>
      <c r="OJ35" s="1741" t="s">
        <v>9711</v>
      </c>
      <c r="OK35" s="1741" t="s">
        <v>9711</v>
      </c>
      <c r="OL35" s="1741" t="s">
        <v>9707</v>
      </c>
      <c r="OM35" s="1741" t="s">
        <v>9701</v>
      </c>
      <c r="ON35" s="1741" t="s">
        <v>9691</v>
      </c>
      <c r="OO35" s="1739"/>
      <c r="OP35" s="1739" t="s">
        <v>9704</v>
      </c>
      <c r="OQ35" s="387" t="s">
        <v>9709</v>
      </c>
      <c r="OR35" s="387" t="s">
        <v>9709</v>
      </c>
      <c r="OS35" s="387" t="s">
        <v>9705</v>
      </c>
      <c r="OT35" s="131" t="s">
        <v>9702</v>
      </c>
      <c r="OU35" s="131" t="s">
        <v>9700</v>
      </c>
      <c r="OV35" s="387" t="s">
        <v>9701</v>
      </c>
      <c r="OW35" s="387" t="s">
        <v>9693</v>
      </c>
      <c r="OX35" s="1743" t="s">
        <v>9695</v>
      </c>
      <c r="OY35" s="1743" t="s">
        <v>9693</v>
      </c>
      <c r="OZ35" s="131"/>
      <c r="PA35" s="131" t="s">
        <v>9695</v>
      </c>
      <c r="PB35" s="339" t="s">
        <v>9702</v>
      </c>
      <c r="PC35" s="1742" t="s">
        <v>9708</v>
      </c>
      <c r="PD35" s="339" t="s">
        <v>9700</v>
      </c>
      <c r="PE35" s="339"/>
      <c r="PF35" s="339" t="s">
        <v>9717</v>
      </c>
      <c r="PG35" s="1740" t="s">
        <v>9702</v>
      </c>
      <c r="PH35" s="1741" t="s">
        <v>9693</v>
      </c>
      <c r="PI35" s="1741" t="s">
        <v>9696</v>
      </c>
      <c r="PJ35" s="1742" t="s">
        <v>9702</v>
      </c>
      <c r="PK35" s="1742" t="s">
        <v>9700</v>
      </c>
      <c r="PL35" s="448" t="s">
        <v>9702</v>
      </c>
      <c r="PM35" s="448" t="s">
        <v>9695</v>
      </c>
      <c r="PN35" s="448" t="s">
        <v>9695</v>
      </c>
      <c r="PO35" s="448" t="s">
        <v>9702</v>
      </c>
      <c r="PP35" s="448" t="s">
        <v>9702</v>
      </c>
      <c r="PQ35" s="1741" t="s">
        <v>9702</v>
      </c>
      <c r="PR35" s="1741" t="s">
        <v>9693</v>
      </c>
      <c r="PS35" s="448" t="s">
        <v>9705</v>
      </c>
      <c r="PT35" s="1744" t="s">
        <v>9702</v>
      </c>
      <c r="PU35" s="1743" t="s">
        <v>9705</v>
      </c>
      <c r="PV35" s="1743" t="s">
        <v>9695</v>
      </c>
      <c r="PW35" s="339" t="s">
        <v>9695</v>
      </c>
      <c r="PX35" s="448" t="s">
        <v>9702</v>
      </c>
      <c r="PY35" s="448" t="s">
        <v>9701</v>
      </c>
      <c r="PZ35" s="131" t="s">
        <v>9700</v>
      </c>
      <c r="QA35" s="131" t="s">
        <v>9695</v>
      </c>
      <c r="QB35" s="1741" t="s">
        <v>9704</v>
      </c>
      <c r="QC35" s="1742" t="s">
        <v>9697</v>
      </c>
      <c r="QD35" s="1742" t="s">
        <v>9695</v>
      </c>
      <c r="QE35" s="1744" t="s">
        <v>9707</v>
      </c>
      <c r="QF35" s="448" t="s">
        <v>9695</v>
      </c>
      <c r="QG35" s="387" t="s">
        <v>9702</v>
      </c>
      <c r="QH35" s="387" t="s">
        <v>9699</v>
      </c>
      <c r="QI35" s="387" t="s">
        <v>9701</v>
      </c>
      <c r="QJ35" s="1744" t="s">
        <v>9695</v>
      </c>
      <c r="QK35" s="387" t="s">
        <v>9701</v>
      </c>
      <c r="QL35" s="387" t="s">
        <v>9691</v>
      </c>
      <c r="QM35" s="1741" t="s">
        <v>9702</v>
      </c>
      <c r="QN35" s="1741" t="s">
        <v>9699</v>
      </c>
      <c r="QO35" s="448" t="s">
        <v>9698</v>
      </c>
      <c r="QP35" s="448" t="s">
        <v>9701</v>
      </c>
      <c r="QQ35" s="387" t="s">
        <v>9699</v>
      </c>
      <c r="QR35" s="387" t="s">
        <v>9695</v>
      </c>
      <c r="QS35" s="131" t="s">
        <v>9702</v>
      </c>
      <c r="QT35" s="387" t="s">
        <v>9695</v>
      </c>
      <c r="QU35" s="387" t="s">
        <v>9697</v>
      </c>
      <c r="QV35" s="387" t="s">
        <v>9699</v>
      </c>
      <c r="QW35" s="1740" t="s">
        <v>9693</v>
      </c>
      <c r="QX35" s="1740" t="s">
        <v>9688</v>
      </c>
      <c r="QY35" s="1744" t="s">
        <v>9690</v>
      </c>
      <c r="QZ35" s="1743" t="s">
        <v>9709</v>
      </c>
      <c r="RA35" s="1742" t="s">
        <v>9693</v>
      </c>
      <c r="RB35" s="1743" t="s">
        <v>9693</v>
      </c>
      <c r="RC35" s="387" t="s">
        <v>9699</v>
      </c>
      <c r="RD35" s="339" t="s">
        <v>9701</v>
      </c>
      <c r="RE35" s="1739" t="s">
        <v>9701</v>
      </c>
      <c r="RF35" s="1740" t="s">
        <v>9697</v>
      </c>
      <c r="RG35" s="131" t="s">
        <v>9708</v>
      </c>
      <c r="RH35" s="131" t="s">
        <v>9695</v>
      </c>
      <c r="RI35" s="387" t="s">
        <v>9691</v>
      </c>
      <c r="RJ35" s="448" t="s">
        <v>9699</v>
      </c>
      <c r="RK35" s="1741" t="s">
        <v>9693</v>
      </c>
      <c r="RL35" s="1739" t="s">
        <v>9700</v>
      </c>
      <c r="RM35" s="1740" t="s">
        <v>9691</v>
      </c>
      <c r="RN35" s="1743" t="s">
        <v>9699</v>
      </c>
      <c r="RO35" s="1744" t="s">
        <v>9691</v>
      </c>
      <c r="RP35" s="1740" t="s">
        <v>9691</v>
      </c>
      <c r="RQ35" s="1739" t="s">
        <v>9702</v>
      </c>
      <c r="RR35" s="1739" t="s">
        <v>9702</v>
      </c>
      <c r="RS35" s="1739" t="s">
        <v>9702</v>
      </c>
      <c r="RT35" s="1739" t="s">
        <v>9702</v>
      </c>
      <c r="RU35" s="1739" t="s">
        <v>9702</v>
      </c>
      <c r="RV35" s="1739" t="s">
        <v>9702</v>
      </c>
      <c r="RW35" s="339" t="s">
        <v>9694</v>
      </c>
      <c r="RX35" s="1742" t="s">
        <v>9691</v>
      </c>
      <c r="RY35" s="387" t="s">
        <v>9693</v>
      </c>
      <c r="RZ35" s="1740" t="s">
        <v>9691</v>
      </c>
      <c r="SA35" s="448" t="s">
        <v>9692</v>
      </c>
      <c r="SB35" s="1741" t="s">
        <v>9699</v>
      </c>
      <c r="SC35" s="1740" t="s">
        <v>9709</v>
      </c>
      <c r="SD35" s="1744" t="s">
        <v>9697</v>
      </c>
      <c r="SE35" s="1744" t="s">
        <v>9697</v>
      </c>
      <c r="SF35" s="339" t="s">
        <v>9697</v>
      </c>
      <c r="SG35" s="387" t="s">
        <v>9695</v>
      </c>
      <c r="SH35" s="387" t="s">
        <v>9691</v>
      </c>
      <c r="SI35" s="1744" t="s">
        <v>9691</v>
      </c>
      <c r="SJ35" s="131" t="s">
        <v>9700</v>
      </c>
      <c r="SK35" s="131" t="s">
        <v>9700</v>
      </c>
      <c r="SL35" s="1745" t="s">
        <v>9721</v>
      </c>
    </row>
    <row r="36" ht="15.75" customHeight="1">
      <c r="A36" s="1517"/>
      <c r="B36" s="148" t="s">
        <v>9717</v>
      </c>
      <c r="C36" s="148" t="s">
        <v>9717</v>
      </c>
      <c r="D36" s="148" t="s">
        <v>9699</v>
      </c>
      <c r="E36" s="148" t="s">
        <v>9712</v>
      </c>
      <c r="F36" s="148" t="s">
        <v>9712</v>
      </c>
      <c r="G36" s="148" t="s">
        <v>9701</v>
      </c>
      <c r="H36" s="148" t="s">
        <v>9701</v>
      </c>
      <c r="I36" s="148" t="s">
        <v>9701</v>
      </c>
      <c r="J36" s="148" t="s">
        <v>9693</v>
      </c>
      <c r="K36" s="148"/>
      <c r="L36" s="148"/>
      <c r="M36" s="148" t="s">
        <v>9702</v>
      </c>
      <c r="N36" s="148"/>
      <c r="O36" s="148"/>
      <c r="P36" s="148" t="s">
        <v>9704</v>
      </c>
      <c r="Q36" s="148" t="s">
        <v>9718</v>
      </c>
      <c r="R36" s="148" t="s">
        <v>9718</v>
      </c>
      <c r="S36" s="148" t="s">
        <v>9711</v>
      </c>
      <c r="T36" s="148" t="s">
        <v>9705</v>
      </c>
      <c r="U36" s="148" t="s">
        <v>9695</v>
      </c>
      <c r="V36" s="148" t="s">
        <v>9718</v>
      </c>
      <c r="W36" s="148" t="s">
        <v>9711</v>
      </c>
      <c r="X36" s="148" t="s">
        <v>9698</v>
      </c>
      <c r="Y36" s="148" t="s">
        <v>9702</v>
      </c>
      <c r="Z36" s="148" t="s">
        <v>9702</v>
      </c>
      <c r="AA36" s="148" t="s">
        <v>9709</v>
      </c>
      <c r="AB36" s="148" t="s">
        <v>9712</v>
      </c>
      <c r="AC36" s="148" t="s">
        <v>9698</v>
      </c>
      <c r="AD36" s="148" t="s">
        <v>9705</v>
      </c>
      <c r="AE36" s="148" t="s">
        <v>9705</v>
      </c>
      <c r="AF36" s="148" t="s">
        <v>9691</v>
      </c>
      <c r="AG36" s="148" t="s">
        <v>9705</v>
      </c>
      <c r="AH36" s="148" t="s">
        <v>9705</v>
      </c>
      <c r="AI36" s="148" t="s">
        <v>9691</v>
      </c>
      <c r="AJ36" s="148" t="s">
        <v>9693</v>
      </c>
      <c r="AK36" s="148" t="s">
        <v>9691</v>
      </c>
      <c r="AL36" s="148" t="s">
        <v>9704</v>
      </c>
      <c r="AM36" s="148" t="s">
        <v>9701</v>
      </c>
      <c r="AN36" s="148" t="s">
        <v>9697</v>
      </c>
      <c r="AO36" s="148" t="s">
        <v>9693</v>
      </c>
      <c r="AP36" s="148" t="s">
        <v>9704</v>
      </c>
      <c r="AQ36" s="148" t="s">
        <v>9714</v>
      </c>
      <c r="AR36" s="148" t="s">
        <v>9717</v>
      </c>
      <c r="AS36" s="148" t="s">
        <v>9717</v>
      </c>
      <c r="AT36" s="148" t="s">
        <v>9704</v>
      </c>
      <c r="AU36" s="148" t="s">
        <v>9712</v>
      </c>
      <c r="AV36" s="148" t="s">
        <v>9698</v>
      </c>
      <c r="AW36" s="148" t="s">
        <v>9717</v>
      </c>
      <c r="AX36" s="148" t="s">
        <v>9704</v>
      </c>
      <c r="AY36" s="148" t="s">
        <v>9720</v>
      </c>
      <c r="AZ36" s="148" t="s">
        <v>9717</v>
      </c>
      <c r="BA36" s="148" t="s">
        <v>9709</v>
      </c>
      <c r="BB36" s="148" t="s">
        <v>9701</v>
      </c>
      <c r="BC36" s="148" t="s">
        <v>9695</v>
      </c>
      <c r="BD36" s="148" t="s">
        <v>9693</v>
      </c>
      <c r="BE36" s="148" t="s">
        <v>9705</v>
      </c>
      <c r="BF36" s="148" t="s">
        <v>9701</v>
      </c>
      <c r="BG36" s="148" t="s">
        <v>9713</v>
      </c>
      <c r="BH36" s="148" t="s">
        <v>9698</v>
      </c>
      <c r="BI36" s="148" t="s">
        <v>9698</v>
      </c>
      <c r="BJ36" s="148" t="s">
        <v>9699</v>
      </c>
      <c r="BK36" s="148" t="s">
        <v>9693</v>
      </c>
      <c r="BL36" s="148" t="s">
        <v>9695</v>
      </c>
      <c r="BM36" s="148" t="s">
        <v>9695</v>
      </c>
      <c r="BN36" s="148" t="s">
        <v>9697</v>
      </c>
      <c r="BO36" s="148" t="s">
        <v>9698</v>
      </c>
      <c r="BP36" s="148" t="s">
        <v>9698</v>
      </c>
      <c r="BQ36" s="148" t="s">
        <v>9702</v>
      </c>
      <c r="BR36" s="148" t="s">
        <v>9717</v>
      </c>
      <c r="BS36" s="148" t="s">
        <v>9717</v>
      </c>
      <c r="BT36" s="148" t="s">
        <v>9704</v>
      </c>
      <c r="BU36" s="148" t="s">
        <v>9702</v>
      </c>
      <c r="BV36" s="148" t="s">
        <v>9695</v>
      </c>
      <c r="BW36" s="148" t="s">
        <v>9704</v>
      </c>
      <c r="BX36" s="148" t="s">
        <v>9704</v>
      </c>
      <c r="BY36" s="148" t="s">
        <v>9698</v>
      </c>
      <c r="BZ36" s="148" t="s">
        <v>9719</v>
      </c>
      <c r="CA36" s="148" t="s">
        <v>9713</v>
      </c>
      <c r="CB36" s="148" t="s">
        <v>9693</v>
      </c>
      <c r="CC36" s="148" t="s">
        <v>9688</v>
      </c>
      <c r="CD36" s="148" t="s">
        <v>9704</v>
      </c>
      <c r="CE36" s="148" t="s">
        <v>9702</v>
      </c>
      <c r="CF36" s="148" t="s">
        <v>9718</v>
      </c>
      <c r="CG36" s="148" t="s">
        <v>9722</v>
      </c>
      <c r="CH36" s="148" t="s">
        <v>9703</v>
      </c>
      <c r="CI36" s="148" t="s">
        <v>9702</v>
      </c>
      <c r="CJ36" s="148" t="s">
        <v>9695</v>
      </c>
      <c r="CK36" s="148" t="s">
        <v>9702</v>
      </c>
      <c r="CL36" s="148" t="s">
        <v>9705</v>
      </c>
      <c r="CM36" s="148" t="s">
        <v>9704</v>
      </c>
      <c r="CN36" s="148" t="s">
        <v>9702</v>
      </c>
      <c r="CO36" s="148" t="s">
        <v>9708</v>
      </c>
      <c r="CP36" s="148" t="s">
        <v>9708</v>
      </c>
      <c r="CQ36" s="148" t="s">
        <v>9705</v>
      </c>
      <c r="CR36" s="148" t="s">
        <v>9698</v>
      </c>
      <c r="CS36" s="148" t="s">
        <v>9695</v>
      </c>
      <c r="CT36" s="148" t="s">
        <v>9697</v>
      </c>
      <c r="CU36" s="148" t="s">
        <v>9698</v>
      </c>
      <c r="CV36" s="148" t="s">
        <v>9702</v>
      </c>
      <c r="CW36" s="148" t="s">
        <v>9704</v>
      </c>
      <c r="CX36" s="148" t="s">
        <v>9702</v>
      </c>
      <c r="CY36" s="148" t="s">
        <v>9708</v>
      </c>
      <c r="CZ36" s="148" t="s">
        <v>9702</v>
      </c>
      <c r="DA36" s="148" t="s">
        <v>9702</v>
      </c>
      <c r="DB36" s="148" t="s">
        <v>9699</v>
      </c>
      <c r="DC36" s="148" t="s">
        <v>9712</v>
      </c>
      <c r="DD36" s="148" t="s">
        <v>9712</v>
      </c>
      <c r="DE36" s="148" t="s">
        <v>9695</v>
      </c>
      <c r="DF36" s="148" t="s">
        <v>9714</v>
      </c>
      <c r="DG36" s="148" t="s">
        <v>9702</v>
      </c>
      <c r="DH36" s="148" t="s">
        <v>9705</v>
      </c>
      <c r="DI36" s="148" t="s">
        <v>9695</v>
      </c>
      <c r="DJ36" s="148" t="s">
        <v>9688</v>
      </c>
      <c r="DK36" s="148" t="s">
        <v>9704</v>
      </c>
      <c r="DL36" s="148" t="s">
        <v>9691</v>
      </c>
      <c r="DM36" s="148" t="s">
        <v>9704</v>
      </c>
      <c r="DN36" s="148" t="s">
        <v>9702</v>
      </c>
      <c r="DO36" s="148" t="s">
        <v>9704</v>
      </c>
      <c r="DP36" s="148" t="s">
        <v>9702</v>
      </c>
      <c r="DQ36" s="148" t="s">
        <v>9705</v>
      </c>
      <c r="DR36" s="148" t="s">
        <v>9695</v>
      </c>
      <c r="DS36" s="148" t="s">
        <v>9697</v>
      </c>
      <c r="DT36" s="148" t="s">
        <v>9707</v>
      </c>
      <c r="DU36" s="148" t="s">
        <v>9688</v>
      </c>
      <c r="DV36" s="148" t="s">
        <v>9709</v>
      </c>
      <c r="DW36" s="148" t="s">
        <v>9712</v>
      </c>
      <c r="DX36" s="148" t="s">
        <v>9702</v>
      </c>
      <c r="DY36" s="148" t="s">
        <v>9700</v>
      </c>
      <c r="DZ36" s="148"/>
      <c r="EA36" s="148" t="s">
        <v>9693</v>
      </c>
      <c r="EB36" s="148" t="s">
        <v>9697</v>
      </c>
      <c r="EC36" s="148"/>
      <c r="ED36" s="148" t="s">
        <v>9704</v>
      </c>
      <c r="EE36" s="148" t="s">
        <v>9693</v>
      </c>
      <c r="EF36" s="148" t="s">
        <v>9705</v>
      </c>
      <c r="EG36" s="148" t="s">
        <v>9698</v>
      </c>
      <c r="EH36" s="148" t="s">
        <v>9701</v>
      </c>
      <c r="EI36" s="148" t="s">
        <v>9704</v>
      </c>
      <c r="EJ36" s="148" t="s">
        <v>9702</v>
      </c>
      <c r="EK36" s="148" t="s">
        <v>9702</v>
      </c>
      <c r="EL36" s="148" t="s">
        <v>9695</v>
      </c>
      <c r="EM36" s="148" t="s">
        <v>9701</v>
      </c>
      <c r="EN36" s="148" t="s">
        <v>9695</v>
      </c>
      <c r="EO36" s="148" t="s">
        <v>9693</v>
      </c>
      <c r="EP36" s="148" t="s">
        <v>9709</v>
      </c>
      <c r="EQ36" s="148" t="s">
        <v>9702</v>
      </c>
      <c r="ER36" s="148" t="s">
        <v>9697</v>
      </c>
      <c r="ES36" s="148" t="s">
        <v>9697</v>
      </c>
      <c r="ET36" s="148" t="s">
        <v>9690</v>
      </c>
      <c r="EU36" s="148" t="s">
        <v>9696</v>
      </c>
      <c r="EV36" s="148"/>
      <c r="EW36" s="148" t="s">
        <v>9701</v>
      </c>
      <c r="EX36" s="148" t="s">
        <v>9701</v>
      </c>
      <c r="EY36" s="148" t="s">
        <v>9700</v>
      </c>
      <c r="EZ36" s="148" t="s">
        <v>9707</v>
      </c>
      <c r="FA36" s="148" t="s">
        <v>9704</v>
      </c>
      <c r="FB36" s="148" t="s">
        <v>9702</v>
      </c>
      <c r="FC36" s="148" t="s">
        <v>9701</v>
      </c>
      <c r="FD36" s="148" t="s">
        <v>9695</v>
      </c>
      <c r="FE36" s="148" t="s">
        <v>9691</v>
      </c>
      <c r="FF36" s="148" t="s">
        <v>9701</v>
      </c>
      <c r="FG36" s="148" t="s">
        <v>9695</v>
      </c>
      <c r="FH36" s="148" t="s">
        <v>9715</v>
      </c>
      <c r="FI36" s="148" t="s">
        <v>9704</v>
      </c>
      <c r="FJ36" s="148" t="s">
        <v>9702</v>
      </c>
      <c r="FK36" s="148" t="s">
        <v>9700</v>
      </c>
      <c r="FL36" s="148" t="s">
        <v>9704</v>
      </c>
      <c r="FM36" s="148" t="s">
        <v>9708</v>
      </c>
      <c r="FN36" s="148" t="s">
        <v>9714</v>
      </c>
      <c r="FO36" s="148" t="s">
        <v>9709</v>
      </c>
      <c r="FP36" s="148" t="s">
        <v>9705</v>
      </c>
      <c r="FQ36" s="148" t="s">
        <v>9704</v>
      </c>
      <c r="FR36" s="148" t="s">
        <v>9701</v>
      </c>
      <c r="FS36" s="148" t="s">
        <v>9702</v>
      </c>
      <c r="FT36" s="148" t="s">
        <v>9702</v>
      </c>
      <c r="FU36" s="148" t="s">
        <v>9695</v>
      </c>
      <c r="FV36" s="148" t="s">
        <v>9702</v>
      </c>
      <c r="FW36" s="148" t="s">
        <v>9700</v>
      </c>
      <c r="FX36" s="148" t="s">
        <v>9704</v>
      </c>
      <c r="FY36" s="148" t="s">
        <v>9702</v>
      </c>
      <c r="FZ36" s="148" t="s">
        <v>9709</v>
      </c>
      <c r="GA36" s="148" t="s">
        <v>9702</v>
      </c>
      <c r="GB36" s="148" t="s">
        <v>9701</v>
      </c>
      <c r="GC36" s="148" t="s">
        <v>9695</v>
      </c>
      <c r="GD36" s="148" t="s">
        <v>9698</v>
      </c>
      <c r="GE36" s="148" t="s">
        <v>9695</v>
      </c>
      <c r="GF36" s="148" t="s">
        <v>9707</v>
      </c>
      <c r="GG36" s="148" t="s">
        <v>9707</v>
      </c>
      <c r="GH36" s="148" t="s">
        <v>9704</v>
      </c>
      <c r="GI36" s="148" t="s">
        <v>9701</v>
      </c>
      <c r="GJ36" s="148" t="s">
        <v>9702</v>
      </c>
      <c r="GK36" s="148" t="s">
        <v>9700</v>
      </c>
      <c r="GL36" s="148" t="s">
        <v>9704</v>
      </c>
      <c r="GM36" s="148" t="s">
        <v>9699</v>
      </c>
      <c r="GN36" s="148" t="s">
        <v>9695</v>
      </c>
      <c r="GO36" s="148" t="s">
        <v>9702</v>
      </c>
      <c r="GP36" s="148" t="s">
        <v>9698</v>
      </c>
      <c r="GQ36" s="148" t="s">
        <v>9714</v>
      </c>
      <c r="GR36" s="148" t="s">
        <v>9688</v>
      </c>
      <c r="GS36" s="148" t="s">
        <v>9702</v>
      </c>
      <c r="GT36" s="148"/>
      <c r="GU36" s="148"/>
      <c r="GV36" s="148" t="s">
        <v>9709</v>
      </c>
      <c r="GW36" s="148" t="s">
        <v>9698</v>
      </c>
      <c r="GX36" s="148" t="s">
        <v>9702</v>
      </c>
      <c r="GY36" s="148" t="s">
        <v>9700</v>
      </c>
      <c r="GZ36" s="148" t="s">
        <v>9698</v>
      </c>
      <c r="HA36" s="148" t="s">
        <v>9702</v>
      </c>
      <c r="HB36" s="148" t="s">
        <v>9695</v>
      </c>
      <c r="HC36" s="148" t="s">
        <v>9693</v>
      </c>
      <c r="HD36" s="148" t="s">
        <v>9702</v>
      </c>
      <c r="HE36" s="148" t="s">
        <v>9720</v>
      </c>
      <c r="HF36" s="148" t="s">
        <v>9717</v>
      </c>
      <c r="HG36" s="148" t="s">
        <v>9702</v>
      </c>
      <c r="HH36" s="148" t="s">
        <v>9693</v>
      </c>
      <c r="HI36" s="148" t="s">
        <v>9699</v>
      </c>
      <c r="HJ36" s="148" t="s">
        <v>9695</v>
      </c>
      <c r="HK36" s="148" t="s">
        <v>9719</v>
      </c>
      <c r="HL36" s="148" t="s">
        <v>9704</v>
      </c>
      <c r="HM36" s="148" t="s">
        <v>9699</v>
      </c>
      <c r="HN36" s="148" t="s">
        <v>9695</v>
      </c>
      <c r="HO36" s="148" t="s">
        <v>9693</v>
      </c>
      <c r="HP36" s="148" t="s">
        <v>9695</v>
      </c>
      <c r="HQ36" s="148" t="s">
        <v>9695</v>
      </c>
      <c r="HR36" s="148" t="s">
        <v>9702</v>
      </c>
      <c r="HS36" s="148" t="s">
        <v>9695</v>
      </c>
      <c r="HT36" s="148" t="s">
        <v>9723</v>
      </c>
      <c r="HU36" s="148" t="s">
        <v>9714</v>
      </c>
      <c r="HV36" s="148" t="s">
        <v>9702</v>
      </c>
      <c r="HW36" s="148" t="s">
        <v>9702</v>
      </c>
      <c r="HX36" s="148" t="s">
        <v>9720</v>
      </c>
      <c r="HY36" s="148" t="s">
        <v>9704</v>
      </c>
      <c r="HZ36" s="148" t="s">
        <v>9701</v>
      </c>
      <c r="IA36" s="148" t="s">
        <v>9701</v>
      </c>
      <c r="IB36" s="148"/>
      <c r="IC36" s="148" t="s">
        <v>9704</v>
      </c>
      <c r="ID36" s="148" t="s">
        <v>9712</v>
      </c>
      <c r="IE36" s="148" t="s">
        <v>9695</v>
      </c>
      <c r="IF36" s="148" t="s">
        <v>9708</v>
      </c>
      <c r="IG36" s="148" t="s">
        <v>9704</v>
      </c>
      <c r="IH36" s="148" t="s">
        <v>9695</v>
      </c>
      <c r="II36" s="148" t="s">
        <v>9688</v>
      </c>
      <c r="IJ36" s="148" t="s">
        <v>9701</v>
      </c>
      <c r="IK36" s="148" t="s">
        <v>9701</v>
      </c>
      <c r="IL36" s="148" t="s">
        <v>9691</v>
      </c>
      <c r="IM36" s="148" t="s">
        <v>9698</v>
      </c>
      <c r="IN36" s="148" t="s">
        <v>9698</v>
      </c>
      <c r="IO36" s="148" t="s">
        <v>9690</v>
      </c>
      <c r="IP36" s="148" t="s">
        <v>9688</v>
      </c>
      <c r="IQ36" s="148" t="s">
        <v>9697</v>
      </c>
      <c r="IR36" s="148" t="s">
        <v>9697</v>
      </c>
      <c r="IS36" s="148" t="s">
        <v>9701</v>
      </c>
      <c r="IT36" s="148" t="s">
        <v>9701</v>
      </c>
      <c r="IU36" s="148" t="s">
        <v>9697</v>
      </c>
      <c r="IV36" s="148" t="s">
        <v>9723</v>
      </c>
      <c r="IW36" s="148" t="s">
        <v>9704</v>
      </c>
      <c r="IX36" s="148" t="s">
        <v>9699</v>
      </c>
      <c r="IY36" s="148" t="s">
        <v>9702</v>
      </c>
      <c r="IZ36" s="148" t="s">
        <v>9699</v>
      </c>
      <c r="JA36" s="148" t="s">
        <v>9693</v>
      </c>
      <c r="JB36" s="148" t="s">
        <v>9698</v>
      </c>
      <c r="JC36" s="148" t="s">
        <v>9702</v>
      </c>
      <c r="JD36" s="148" t="s">
        <v>9705</v>
      </c>
      <c r="JE36" s="148" t="s">
        <v>9695</v>
      </c>
      <c r="JF36" s="148"/>
      <c r="JG36" s="148"/>
      <c r="JH36" s="148" t="s">
        <v>9708</v>
      </c>
      <c r="JI36" s="148"/>
      <c r="JJ36" s="148" t="s">
        <v>9708</v>
      </c>
      <c r="JK36" s="1746" t="s">
        <v>9694</v>
      </c>
      <c r="JL36" s="1746" t="s">
        <v>9694</v>
      </c>
      <c r="JM36" s="1746" t="s">
        <v>9691</v>
      </c>
      <c r="JN36" s="1746" t="s">
        <v>9714</v>
      </c>
      <c r="JO36" s="1746" t="s">
        <v>9698</v>
      </c>
      <c r="JP36" s="1746" t="s">
        <v>9698</v>
      </c>
      <c r="JQ36" s="1746" t="s">
        <v>9718</v>
      </c>
      <c r="JR36" s="1746" t="s">
        <v>9711</v>
      </c>
      <c r="JS36" s="148" t="s">
        <v>9704</v>
      </c>
      <c r="JT36" s="148" t="s">
        <v>9702</v>
      </c>
      <c r="JU36" s="148" t="s">
        <v>9705</v>
      </c>
      <c r="JV36" s="148" t="s">
        <v>9705</v>
      </c>
      <c r="JW36" s="148" t="s">
        <v>9695</v>
      </c>
      <c r="JX36" s="1746" t="s">
        <v>9700</v>
      </c>
      <c r="JY36" s="1746" t="s">
        <v>9695</v>
      </c>
      <c r="JZ36" s="1746" t="s">
        <v>9704</v>
      </c>
      <c r="KA36" s="1746" t="s">
        <v>9695</v>
      </c>
      <c r="KB36" s="1746" t="s">
        <v>9695</v>
      </c>
      <c r="KC36" s="148" t="s">
        <v>9691</v>
      </c>
      <c r="KD36" s="1746" t="s">
        <v>9690</v>
      </c>
      <c r="KE36" s="1746" t="s">
        <v>9704</v>
      </c>
      <c r="KF36" s="148" t="s">
        <v>9714</v>
      </c>
      <c r="KG36" s="1746" t="s">
        <v>9714</v>
      </c>
      <c r="KH36" s="1746" t="s">
        <v>9700</v>
      </c>
      <c r="KI36" s="1746" t="s">
        <v>9695</v>
      </c>
      <c r="KJ36" s="148" t="s">
        <v>9693</v>
      </c>
      <c r="KK36" s="1746" t="s">
        <v>9698</v>
      </c>
      <c r="KL36" s="1746" t="s">
        <v>9702</v>
      </c>
      <c r="KM36" s="1746" t="s">
        <v>9702</v>
      </c>
      <c r="KN36" s="1746" t="s">
        <v>9704</v>
      </c>
      <c r="KO36" s="148" t="s">
        <v>9695</v>
      </c>
      <c r="KP36" s="1746" t="s">
        <v>9697</v>
      </c>
      <c r="KQ36" s="148" t="s">
        <v>9702</v>
      </c>
      <c r="KR36" s="148" t="s">
        <v>9700</v>
      </c>
      <c r="KS36" s="1746" t="s">
        <v>9702</v>
      </c>
      <c r="KT36" s="1746" t="s">
        <v>9702</v>
      </c>
      <c r="KU36" s="148" t="s">
        <v>9690</v>
      </c>
      <c r="KV36" s="1746" t="s">
        <v>9702</v>
      </c>
      <c r="KW36" s="148" t="s">
        <v>9695</v>
      </c>
      <c r="KX36" s="1746" t="s">
        <v>9702</v>
      </c>
      <c r="KY36" s="1746" t="s">
        <v>9709</v>
      </c>
      <c r="KZ36" s="1746" t="s">
        <v>9704</v>
      </c>
      <c r="LA36" s="1746" t="s">
        <v>9704</v>
      </c>
      <c r="LB36" s="1746" t="s">
        <v>9700</v>
      </c>
      <c r="LC36" s="1746" t="s">
        <v>9700</v>
      </c>
      <c r="LD36" s="148" t="s">
        <v>9714</v>
      </c>
      <c r="LE36" s="1746" t="s">
        <v>9700</v>
      </c>
      <c r="LF36" s="1746" t="s">
        <v>9695</v>
      </c>
      <c r="LG36" s="1746" t="s">
        <v>9702</v>
      </c>
      <c r="LH36" s="148" t="s">
        <v>9693</v>
      </c>
      <c r="LI36" s="1746" t="s">
        <v>9699</v>
      </c>
      <c r="LJ36" s="1746" t="s">
        <v>9695</v>
      </c>
      <c r="LK36" s="1746" t="s">
        <v>9720</v>
      </c>
      <c r="LL36" s="1746" t="s">
        <v>9698</v>
      </c>
      <c r="LM36" s="1746" t="s">
        <v>9704</v>
      </c>
      <c r="LN36" s="1746" t="s">
        <v>9702</v>
      </c>
      <c r="LO36" s="1746" t="s">
        <v>9695</v>
      </c>
      <c r="LP36" s="148" t="s">
        <v>9702</v>
      </c>
      <c r="LQ36" s="1746" t="s">
        <v>9698</v>
      </c>
      <c r="LR36" s="1746" t="s">
        <v>9698</v>
      </c>
      <c r="LS36" s="148" t="s">
        <v>9699</v>
      </c>
      <c r="LT36" s="1746" t="s">
        <v>9712</v>
      </c>
      <c r="LU36" s="148" t="s">
        <v>9702</v>
      </c>
      <c r="LV36" s="1746" t="s">
        <v>9704</v>
      </c>
      <c r="LW36" s="148" t="s">
        <v>9695</v>
      </c>
      <c r="LX36" s="148" t="s">
        <v>9693</v>
      </c>
      <c r="LY36" s="1746" t="s">
        <v>9702</v>
      </c>
      <c r="LZ36" s="1746" t="s">
        <v>9695</v>
      </c>
      <c r="MA36" s="1746" t="s">
        <v>9699</v>
      </c>
      <c r="MB36" s="1746" t="s">
        <v>9702</v>
      </c>
      <c r="MC36" s="148" t="s">
        <v>9699</v>
      </c>
      <c r="MD36" s="1746" t="s">
        <v>9702</v>
      </c>
      <c r="ME36" s="1746" t="s">
        <v>9695</v>
      </c>
      <c r="MF36" s="1746" t="s">
        <v>9700</v>
      </c>
      <c r="MG36" s="148" t="s">
        <v>9695</v>
      </c>
      <c r="MH36" s="1746" t="s">
        <v>9717</v>
      </c>
      <c r="MI36" s="1746" t="s">
        <v>9702</v>
      </c>
      <c r="MJ36" s="1746" t="s">
        <v>9720</v>
      </c>
      <c r="MK36" s="1746" t="s">
        <v>9698</v>
      </c>
      <c r="ML36" s="1746" t="s">
        <v>9704</v>
      </c>
      <c r="MM36" s="148" t="s">
        <v>9695</v>
      </c>
      <c r="MN36" s="148" t="s">
        <v>9700</v>
      </c>
      <c r="MO36" s="148" t="s">
        <v>9700</v>
      </c>
      <c r="MP36" s="1746" t="s">
        <v>9702</v>
      </c>
      <c r="MQ36" s="1746" t="s">
        <v>9709</v>
      </c>
      <c r="MR36" s="1746" t="s">
        <v>9702</v>
      </c>
      <c r="MS36" s="148" t="s">
        <v>9693</v>
      </c>
      <c r="MT36" s="148" t="s">
        <v>9700</v>
      </c>
      <c r="MU36" s="1746" t="s">
        <v>9702</v>
      </c>
      <c r="MV36" s="148" t="s">
        <v>9691</v>
      </c>
      <c r="MW36" s="1746"/>
      <c r="MX36" s="1746" t="s">
        <v>9695</v>
      </c>
      <c r="MY36" s="148" t="s">
        <v>9693</v>
      </c>
      <c r="MZ36" s="1746" t="s">
        <v>9699</v>
      </c>
      <c r="NA36" s="1746" t="s">
        <v>9701</v>
      </c>
      <c r="NB36" s="148" t="s">
        <v>9695</v>
      </c>
      <c r="NC36" s="1746" t="s">
        <v>9704</v>
      </c>
      <c r="ND36" s="1746" t="s">
        <v>9702</v>
      </c>
      <c r="NE36" s="1746" t="s">
        <v>9695</v>
      </c>
      <c r="NF36" s="148" t="s">
        <v>9697</v>
      </c>
      <c r="NG36" s="1746" t="s">
        <v>9702</v>
      </c>
      <c r="NH36" s="1746" t="s">
        <v>9704</v>
      </c>
      <c r="NI36" s="148" t="s">
        <v>9704</v>
      </c>
      <c r="NJ36" s="148" t="s">
        <v>9699</v>
      </c>
      <c r="NK36" s="1746"/>
      <c r="NL36" s="1746" t="s">
        <v>9708</v>
      </c>
      <c r="NM36" s="1746" t="s">
        <v>9708</v>
      </c>
      <c r="NN36" s="1746" t="s">
        <v>9699</v>
      </c>
      <c r="NO36" s="1746" t="s">
        <v>9695</v>
      </c>
      <c r="NP36" s="1746" t="s">
        <v>9709</v>
      </c>
      <c r="NQ36" s="1746" t="s">
        <v>9691</v>
      </c>
      <c r="NR36" s="1746" t="s">
        <v>9691</v>
      </c>
      <c r="NS36" s="1746" t="s">
        <v>9693</v>
      </c>
      <c r="NT36" s="1746" t="s">
        <v>9700</v>
      </c>
      <c r="NU36" s="1746" t="s">
        <v>9691</v>
      </c>
      <c r="NV36" s="1746" t="s">
        <v>9695</v>
      </c>
      <c r="NW36" s="1746" t="s">
        <v>9691</v>
      </c>
      <c r="NX36" s="1746" t="s">
        <v>9691</v>
      </c>
      <c r="NY36" s="1746" t="s">
        <v>9691</v>
      </c>
      <c r="NZ36" s="1746" t="s">
        <v>9691</v>
      </c>
      <c r="OA36" s="1746" t="s">
        <v>9701</v>
      </c>
      <c r="OB36" s="1746" t="s">
        <v>9701</v>
      </c>
      <c r="OC36" s="1746" t="s">
        <v>9695</v>
      </c>
      <c r="OD36" s="1746" t="s">
        <v>9698</v>
      </c>
      <c r="OE36" s="1746" t="s">
        <v>9698</v>
      </c>
      <c r="OF36" s="1746" t="s">
        <v>9695</v>
      </c>
      <c r="OG36" s="1746" t="s">
        <v>9698</v>
      </c>
      <c r="OH36" s="1746" t="s">
        <v>9698</v>
      </c>
      <c r="OI36" s="1746" t="s">
        <v>9695</v>
      </c>
      <c r="OJ36" s="1746" t="s">
        <v>9718</v>
      </c>
      <c r="OK36" s="1746" t="s">
        <v>9718</v>
      </c>
      <c r="OL36" s="1746" t="s">
        <v>9711</v>
      </c>
      <c r="OM36" s="1746" t="s">
        <v>9705</v>
      </c>
      <c r="ON36" s="1746" t="s">
        <v>9693</v>
      </c>
      <c r="OO36" s="1746"/>
      <c r="OP36" s="148" t="s">
        <v>9707</v>
      </c>
      <c r="OQ36" s="1746" t="s">
        <v>9702</v>
      </c>
      <c r="OR36" s="1746" t="s">
        <v>9702</v>
      </c>
      <c r="OS36" s="1746" t="s">
        <v>9709</v>
      </c>
      <c r="OT36" s="1746" t="s">
        <v>9714</v>
      </c>
      <c r="OU36" s="1746" t="s">
        <v>9702</v>
      </c>
      <c r="OV36" s="1746" t="s">
        <v>9705</v>
      </c>
      <c r="OW36" s="1746" t="s">
        <v>9695</v>
      </c>
      <c r="OX36" s="1746" t="s">
        <v>9701</v>
      </c>
      <c r="OY36" s="1746" t="s">
        <v>9695</v>
      </c>
      <c r="OZ36" s="1746"/>
      <c r="PA36" s="1746" t="s">
        <v>9700</v>
      </c>
      <c r="PB36" s="1746" t="s">
        <v>9698</v>
      </c>
      <c r="PC36" s="1746" t="s">
        <v>9714</v>
      </c>
      <c r="PD36" s="1746" t="s">
        <v>9702</v>
      </c>
      <c r="PE36" s="1746"/>
      <c r="PF36" s="1746" t="s">
        <v>9707</v>
      </c>
      <c r="PG36" s="148" t="s">
        <v>9698</v>
      </c>
      <c r="PH36" s="1746" t="s">
        <v>9695</v>
      </c>
      <c r="PI36" s="1746" t="s">
        <v>9690</v>
      </c>
      <c r="PJ36" s="1746" t="s">
        <v>9704</v>
      </c>
      <c r="PK36" s="1746" t="s">
        <v>9702</v>
      </c>
      <c r="PL36" s="1746" t="s">
        <v>9704</v>
      </c>
      <c r="PM36" s="1746" t="s">
        <v>9699</v>
      </c>
      <c r="PN36" s="1746" t="s">
        <v>9700</v>
      </c>
      <c r="PO36" s="1746" t="s">
        <v>9708</v>
      </c>
      <c r="PP36" s="1746" t="s">
        <v>9708</v>
      </c>
      <c r="PQ36" s="1746" t="s">
        <v>9708</v>
      </c>
      <c r="PR36" s="148" t="s">
        <v>9695</v>
      </c>
      <c r="PS36" s="1746" t="s">
        <v>9709</v>
      </c>
      <c r="PT36" s="1746" t="s">
        <v>9708</v>
      </c>
      <c r="PU36" s="1746" t="s">
        <v>9709</v>
      </c>
      <c r="PV36" s="1746" t="s">
        <v>9701</v>
      </c>
      <c r="PW36" s="1746" t="s">
        <v>9702</v>
      </c>
      <c r="PX36" s="1746" t="s">
        <v>9698</v>
      </c>
      <c r="PY36" s="148" t="s">
        <v>9702</v>
      </c>
      <c r="PZ36" s="1746" t="s">
        <v>9699</v>
      </c>
      <c r="QA36" s="1746" t="s">
        <v>9700</v>
      </c>
      <c r="QB36" s="1746" t="s">
        <v>9720</v>
      </c>
      <c r="QC36" s="1746" t="s">
        <v>9695</v>
      </c>
      <c r="QD36" s="1746" t="s">
        <v>9700</v>
      </c>
      <c r="QE36" s="1746" t="s">
        <v>9703</v>
      </c>
      <c r="QF36" s="1746" t="s">
        <v>9702</v>
      </c>
      <c r="QG36" s="1746" t="s">
        <v>9698</v>
      </c>
      <c r="QH36" s="1746" t="s">
        <v>9702</v>
      </c>
      <c r="QI36" s="1746" t="s">
        <v>9699</v>
      </c>
      <c r="QJ36" s="1746" t="s">
        <v>9700</v>
      </c>
      <c r="QK36" s="1746" t="s">
        <v>9699</v>
      </c>
      <c r="QL36" s="148" t="s">
        <v>9693</v>
      </c>
      <c r="QM36" s="1746" t="s">
        <v>9704</v>
      </c>
      <c r="QN36" s="1746" t="s">
        <v>9702</v>
      </c>
      <c r="QO36" s="1746" t="s">
        <v>9714</v>
      </c>
      <c r="QP36" s="1746" t="s">
        <v>9699</v>
      </c>
      <c r="QQ36" s="1746" t="s">
        <v>9702</v>
      </c>
      <c r="QR36" s="1746" t="s">
        <v>9699</v>
      </c>
      <c r="QS36" s="1746" t="s">
        <v>9704</v>
      </c>
      <c r="QT36" s="1746" t="s">
        <v>9702</v>
      </c>
      <c r="QU36" s="1746" t="s">
        <v>9695</v>
      </c>
      <c r="QV36" s="1746" t="s">
        <v>9702</v>
      </c>
      <c r="QW36" s="148" t="s">
        <v>9694</v>
      </c>
      <c r="QX36" s="148" t="s">
        <v>9691</v>
      </c>
      <c r="QY36" s="148" t="s">
        <v>9691</v>
      </c>
      <c r="QZ36" s="148" t="s">
        <v>9702</v>
      </c>
      <c r="RA36" s="148" t="s">
        <v>9695</v>
      </c>
      <c r="RB36" s="148" t="s">
        <v>9695</v>
      </c>
      <c r="RC36" s="1746" t="s">
        <v>9702</v>
      </c>
      <c r="RD36" s="148" t="s">
        <v>9705</v>
      </c>
      <c r="RE36" s="1746" t="s">
        <v>9705</v>
      </c>
      <c r="RF36" s="148" t="s">
        <v>9695</v>
      </c>
      <c r="RG36" s="148" t="s">
        <v>9714</v>
      </c>
      <c r="RH36" s="1746" t="s">
        <v>9700</v>
      </c>
      <c r="RI36" s="1746" t="s">
        <v>9693</v>
      </c>
      <c r="RJ36" s="148" t="s">
        <v>9702</v>
      </c>
      <c r="RK36" s="148" t="s">
        <v>9695</v>
      </c>
      <c r="RL36" s="148" t="s">
        <v>9701</v>
      </c>
      <c r="RM36" s="148" t="s">
        <v>9693</v>
      </c>
      <c r="RN36" s="148" t="s">
        <v>9702</v>
      </c>
      <c r="RO36" s="148" t="s">
        <v>9693</v>
      </c>
      <c r="RP36" s="148" t="s">
        <v>9693</v>
      </c>
      <c r="RQ36" s="1746" t="s">
        <v>9714</v>
      </c>
      <c r="RR36" s="1746" t="s">
        <v>9714</v>
      </c>
      <c r="RS36" s="1746" t="s">
        <v>9714</v>
      </c>
      <c r="RT36" s="1746" t="s">
        <v>9714</v>
      </c>
      <c r="RU36" s="1746" t="s">
        <v>9714</v>
      </c>
      <c r="RV36" s="1746" t="s">
        <v>9714</v>
      </c>
      <c r="RW36" s="1746" t="s">
        <v>9697</v>
      </c>
      <c r="RX36" s="1746" t="s">
        <v>9693</v>
      </c>
      <c r="RY36" s="1746" t="s">
        <v>9697</v>
      </c>
      <c r="RZ36" s="148" t="s">
        <v>9693</v>
      </c>
      <c r="SA36" s="1746" t="s">
        <v>9696</v>
      </c>
      <c r="SB36" s="1746" t="s">
        <v>9702</v>
      </c>
      <c r="SC36" s="148" t="s">
        <v>9699</v>
      </c>
      <c r="SD36" s="1746" t="s">
        <v>9695</v>
      </c>
      <c r="SE36" s="1746" t="s">
        <v>9695</v>
      </c>
      <c r="SF36" s="1746" t="s">
        <v>9695</v>
      </c>
      <c r="SG36" s="1746" t="s">
        <v>9702</v>
      </c>
      <c r="SH36" s="1746" t="s">
        <v>9693</v>
      </c>
      <c r="SI36" s="1746" t="s">
        <v>9693</v>
      </c>
      <c r="SJ36" s="1746" t="s">
        <v>9702</v>
      </c>
      <c r="SK36" s="1746" t="s">
        <v>9702</v>
      </c>
      <c r="SL36" s="1747" t="s">
        <v>9724</v>
      </c>
    </row>
    <row r="37" ht="15.75" customHeight="1">
      <c r="A37" s="1517"/>
      <c r="B37" s="131" t="s">
        <v>9711</v>
      </c>
      <c r="C37" s="131" t="s">
        <v>9711</v>
      </c>
      <c r="D37" s="131" t="s">
        <v>9702</v>
      </c>
      <c r="E37" s="1739" t="s">
        <v>9704</v>
      </c>
      <c r="F37" s="1739" t="s">
        <v>9704</v>
      </c>
      <c r="G37" s="1739" t="s">
        <v>9699</v>
      </c>
      <c r="H37" s="387" t="s">
        <v>9702</v>
      </c>
      <c r="I37" s="387" t="s">
        <v>9702</v>
      </c>
      <c r="J37" s="387" t="s">
        <v>9695</v>
      </c>
      <c r="K37" s="131"/>
      <c r="L37" s="131"/>
      <c r="M37" s="1740" t="s">
        <v>9708</v>
      </c>
      <c r="N37" s="1741"/>
      <c r="O37" s="339"/>
      <c r="P37" s="339" t="s">
        <v>9717</v>
      </c>
      <c r="Q37" s="1741" t="s">
        <v>9722</v>
      </c>
      <c r="R37" s="1741" t="s">
        <v>9722</v>
      </c>
      <c r="S37" s="1741" t="s">
        <v>9718</v>
      </c>
      <c r="T37" s="448" t="s">
        <v>9709</v>
      </c>
      <c r="U37" s="1741" t="s">
        <v>9701</v>
      </c>
      <c r="V37" s="1741" t="s">
        <v>9722</v>
      </c>
      <c r="W37" s="1741" t="s">
        <v>9718</v>
      </c>
      <c r="X37" s="448" t="s">
        <v>9704</v>
      </c>
      <c r="Y37" s="448" t="s">
        <v>9698</v>
      </c>
      <c r="Z37" s="339" t="s">
        <v>9698</v>
      </c>
      <c r="AA37" s="339" t="s">
        <v>9702</v>
      </c>
      <c r="AB37" s="339" t="s">
        <v>9704</v>
      </c>
      <c r="AC37" s="339" t="s">
        <v>9712</v>
      </c>
      <c r="AD37" s="387" t="s">
        <v>9709</v>
      </c>
      <c r="AE37" s="387" t="s">
        <v>9709</v>
      </c>
      <c r="AF37" s="387" t="s">
        <v>9693</v>
      </c>
      <c r="AG37" s="448" t="s">
        <v>9709</v>
      </c>
      <c r="AH37" s="448" t="s">
        <v>9709</v>
      </c>
      <c r="AI37" s="448" t="s">
        <v>9693</v>
      </c>
      <c r="AJ37" s="1742" t="s">
        <v>9697</v>
      </c>
      <c r="AK37" s="1742" t="s">
        <v>9693</v>
      </c>
      <c r="AL37" s="1741" t="s">
        <v>9713</v>
      </c>
      <c r="AM37" s="339" t="s">
        <v>9702</v>
      </c>
      <c r="AN37" s="1742" t="s">
        <v>9695</v>
      </c>
      <c r="AO37" s="1742" t="s">
        <v>9697</v>
      </c>
      <c r="AP37" s="448" t="s">
        <v>9717</v>
      </c>
      <c r="AQ37" s="448" t="s">
        <v>9704</v>
      </c>
      <c r="AR37" s="387" t="s">
        <v>9711</v>
      </c>
      <c r="AS37" s="387" t="s">
        <v>9711</v>
      </c>
      <c r="AT37" s="1739" t="s">
        <v>9717</v>
      </c>
      <c r="AU37" s="1739" t="s">
        <v>9704</v>
      </c>
      <c r="AV37" s="1739" t="s">
        <v>9712</v>
      </c>
      <c r="AW37" s="448" t="s">
        <v>9711</v>
      </c>
      <c r="AX37" s="448" t="s">
        <v>9717</v>
      </c>
      <c r="AY37" s="1741" t="s">
        <v>9723</v>
      </c>
      <c r="AZ37" s="1741" t="s">
        <v>9720</v>
      </c>
      <c r="BA37" s="339" t="s">
        <v>9702</v>
      </c>
      <c r="BB37" s="339" t="s">
        <v>9705</v>
      </c>
      <c r="BC37" s="339" t="s">
        <v>9701</v>
      </c>
      <c r="BD37" s="387" t="s">
        <v>9695</v>
      </c>
      <c r="BE37" s="1741" t="s">
        <v>9709</v>
      </c>
      <c r="BF37" s="1741" t="s">
        <v>9705</v>
      </c>
      <c r="BG37" s="1741" t="s">
        <v>9719</v>
      </c>
      <c r="BH37" s="1741" t="s">
        <v>9704</v>
      </c>
      <c r="BI37" s="387" t="s">
        <v>9708</v>
      </c>
      <c r="BJ37" s="387" t="s">
        <v>9702</v>
      </c>
      <c r="BK37" s="387" t="s">
        <v>9695</v>
      </c>
      <c r="BL37" s="1741" t="s">
        <v>9701</v>
      </c>
      <c r="BM37" s="1741" t="s">
        <v>9701</v>
      </c>
      <c r="BN37" s="1741" t="s">
        <v>9695</v>
      </c>
      <c r="BO37" s="1743" t="s">
        <v>9712</v>
      </c>
      <c r="BP37" s="1743" t="s">
        <v>9712</v>
      </c>
      <c r="BQ37" s="1743" t="s">
        <v>9698</v>
      </c>
      <c r="BR37" s="131" t="s">
        <v>9711</v>
      </c>
      <c r="BS37" s="131" t="s">
        <v>9711</v>
      </c>
      <c r="BT37" s="131" t="s">
        <v>9717</v>
      </c>
      <c r="BU37" s="387" t="s">
        <v>9704</v>
      </c>
      <c r="BV37" s="387" t="s">
        <v>9702</v>
      </c>
      <c r="BW37" s="1741" t="s">
        <v>9713</v>
      </c>
      <c r="BX37" s="1741" t="s">
        <v>9713</v>
      </c>
      <c r="BY37" s="1741" t="s">
        <v>9712</v>
      </c>
      <c r="BZ37" s="339" t="s">
        <v>9711</v>
      </c>
      <c r="CA37" s="339" t="s">
        <v>9719</v>
      </c>
      <c r="CB37" s="1742" t="s">
        <v>9697</v>
      </c>
      <c r="CC37" s="1742" t="s">
        <v>9691</v>
      </c>
      <c r="CD37" s="1743" t="s">
        <v>9715</v>
      </c>
      <c r="CE37" s="1743" t="s">
        <v>9704</v>
      </c>
      <c r="CF37" s="1741" t="s">
        <v>9722</v>
      </c>
      <c r="CG37" s="1741" t="s">
        <v>9706</v>
      </c>
      <c r="CH37" s="1741" t="s">
        <v>9711</v>
      </c>
      <c r="CI37" s="1740" t="s">
        <v>9704</v>
      </c>
      <c r="CJ37" s="1740" t="s">
        <v>9702</v>
      </c>
      <c r="CK37" s="448" t="s">
        <v>9698</v>
      </c>
      <c r="CL37" s="448" t="s">
        <v>9709</v>
      </c>
      <c r="CM37" s="448" t="s">
        <v>9711</v>
      </c>
      <c r="CN37" s="448" t="s">
        <v>9704</v>
      </c>
      <c r="CO37" s="448" t="s">
        <v>9714</v>
      </c>
      <c r="CP37" s="448" t="s">
        <v>9714</v>
      </c>
      <c r="CQ37" s="448" t="s">
        <v>9709</v>
      </c>
      <c r="CR37" s="1743" t="s">
        <v>9704</v>
      </c>
      <c r="CS37" s="339" t="s">
        <v>9702</v>
      </c>
      <c r="CT37" s="339" t="s">
        <v>9695</v>
      </c>
      <c r="CU37" s="1739" t="s">
        <v>9712</v>
      </c>
      <c r="CV37" s="1739" t="s">
        <v>9698</v>
      </c>
      <c r="CW37" s="1739" t="s">
        <v>9725</v>
      </c>
      <c r="CX37" s="1739" t="s">
        <v>9704</v>
      </c>
      <c r="CY37" s="1742" t="s">
        <v>9704</v>
      </c>
      <c r="CZ37" s="339" t="s">
        <v>9708</v>
      </c>
      <c r="DA37" s="1741" t="s">
        <v>9698</v>
      </c>
      <c r="DB37" s="1741" t="s">
        <v>9702</v>
      </c>
      <c r="DC37" s="1741" t="s">
        <v>9704</v>
      </c>
      <c r="DD37" s="1741" t="s">
        <v>9704</v>
      </c>
      <c r="DE37" s="1742" t="s">
        <v>9700</v>
      </c>
      <c r="DF37" s="448" t="s">
        <v>9704</v>
      </c>
      <c r="DG37" s="448" t="s">
        <v>9714</v>
      </c>
      <c r="DH37" s="1743" t="s">
        <v>9709</v>
      </c>
      <c r="DI37" s="1743" t="s">
        <v>9701</v>
      </c>
      <c r="DJ37" s="1742" t="s">
        <v>9691</v>
      </c>
      <c r="DK37" s="387" t="s">
        <v>9715</v>
      </c>
      <c r="DL37" s="1741" t="s">
        <v>9693</v>
      </c>
      <c r="DM37" s="387" t="s">
        <v>9711</v>
      </c>
      <c r="DN37" s="387" t="s">
        <v>9704</v>
      </c>
      <c r="DO37" s="1739" t="s">
        <v>9711</v>
      </c>
      <c r="DP37" s="1739" t="s">
        <v>9704</v>
      </c>
      <c r="DQ37" s="1741" t="s">
        <v>9709</v>
      </c>
      <c r="DR37" s="448" t="s">
        <v>9705</v>
      </c>
      <c r="DS37" s="1742" t="s">
        <v>9695</v>
      </c>
      <c r="DT37" s="131" t="s">
        <v>9711</v>
      </c>
      <c r="DU37" s="1739" t="s">
        <v>9691</v>
      </c>
      <c r="DV37" s="339" t="s">
        <v>9702</v>
      </c>
      <c r="DW37" s="1739" t="s">
        <v>9704</v>
      </c>
      <c r="DX37" s="1741" t="s">
        <v>9698</v>
      </c>
      <c r="DY37" s="1741" t="s">
        <v>9701</v>
      </c>
      <c r="DZ37" s="1739"/>
      <c r="EA37" s="387" t="s">
        <v>9695</v>
      </c>
      <c r="EB37" s="387" t="s">
        <v>9695</v>
      </c>
      <c r="EC37" s="448"/>
      <c r="ED37" s="1741" t="s">
        <v>9711</v>
      </c>
      <c r="EE37" s="387" t="s">
        <v>9695</v>
      </c>
      <c r="EF37" s="339" t="s">
        <v>9709</v>
      </c>
      <c r="EG37" s="1739" t="s">
        <v>9714</v>
      </c>
      <c r="EH37" s="1742" t="s">
        <v>9705</v>
      </c>
      <c r="EI37" s="387" t="s">
        <v>9720</v>
      </c>
      <c r="EJ37" s="387" t="s">
        <v>9704</v>
      </c>
      <c r="EK37" s="1741" t="s">
        <v>9698</v>
      </c>
      <c r="EL37" s="1741" t="s">
        <v>9702</v>
      </c>
      <c r="EM37" s="448" t="s">
        <v>9699</v>
      </c>
      <c r="EN37" s="1744" t="s">
        <v>9700</v>
      </c>
      <c r="EO37" s="387" t="s">
        <v>9695</v>
      </c>
      <c r="EP37" s="339" t="s">
        <v>9702</v>
      </c>
      <c r="EQ37" s="339" t="s">
        <v>9704</v>
      </c>
      <c r="ER37" s="387" t="s">
        <v>9695</v>
      </c>
      <c r="ES37" s="387" t="s">
        <v>9695</v>
      </c>
      <c r="ET37" s="1741" t="s">
        <v>9691</v>
      </c>
      <c r="EU37" s="448" t="s">
        <v>9690</v>
      </c>
      <c r="EV37" s="1742"/>
      <c r="EW37" s="131" t="s">
        <v>9702</v>
      </c>
      <c r="EX37" s="131" t="s">
        <v>9702</v>
      </c>
      <c r="EY37" s="131" t="s">
        <v>9701</v>
      </c>
      <c r="EZ37" s="339" t="s">
        <v>9711</v>
      </c>
      <c r="FA37" s="339" t="s">
        <v>9713</v>
      </c>
      <c r="FB37" s="339" t="s">
        <v>9698</v>
      </c>
      <c r="FC37" s="387" t="s">
        <v>9702</v>
      </c>
      <c r="FD37" s="387" t="s">
        <v>9701</v>
      </c>
      <c r="FE37" s="387" t="s">
        <v>9693</v>
      </c>
      <c r="FF37" s="1741" t="s">
        <v>9705</v>
      </c>
      <c r="FG37" s="1741" t="s">
        <v>9700</v>
      </c>
      <c r="FH37" s="1741" t="s">
        <v>9707</v>
      </c>
      <c r="FI37" s="1741" t="s">
        <v>9715</v>
      </c>
      <c r="FJ37" s="1739" t="s">
        <v>9698</v>
      </c>
      <c r="FK37" s="1739" t="s">
        <v>9702</v>
      </c>
      <c r="FL37" s="131" t="s">
        <v>9717</v>
      </c>
      <c r="FM37" s="1739" t="s">
        <v>9704</v>
      </c>
      <c r="FN37" s="448" t="s">
        <v>9704</v>
      </c>
      <c r="FO37" s="387" t="s">
        <v>9702</v>
      </c>
      <c r="FP37" s="387" t="s">
        <v>9709</v>
      </c>
      <c r="FQ37" s="339" t="s">
        <v>9725</v>
      </c>
      <c r="FR37" s="1742" t="s">
        <v>9702</v>
      </c>
      <c r="FS37" s="1742" t="s">
        <v>9698</v>
      </c>
      <c r="FT37" s="1740" t="s">
        <v>9708</v>
      </c>
      <c r="FU37" s="1740" t="s">
        <v>9700</v>
      </c>
      <c r="FV37" s="131" t="s">
        <v>9708</v>
      </c>
      <c r="FW37" s="131" t="s">
        <v>9702</v>
      </c>
      <c r="FX37" s="1740" t="s">
        <v>9725</v>
      </c>
      <c r="FY37" s="1742" t="s">
        <v>9712</v>
      </c>
      <c r="FZ37" s="339" t="s">
        <v>9702</v>
      </c>
      <c r="GA37" s="131" t="s">
        <v>9704</v>
      </c>
      <c r="GB37" s="387" t="s">
        <v>9702</v>
      </c>
      <c r="GC37" s="387" t="s">
        <v>9701</v>
      </c>
      <c r="GD37" s="1741" t="s">
        <v>9712</v>
      </c>
      <c r="GE37" s="131" t="s">
        <v>9699</v>
      </c>
      <c r="GF37" s="1742" t="s">
        <v>9711</v>
      </c>
      <c r="GG37" s="131" t="s">
        <v>9711</v>
      </c>
      <c r="GH37" s="387" t="s">
        <v>9707</v>
      </c>
      <c r="GI37" s="448" t="s">
        <v>9705</v>
      </c>
      <c r="GJ37" s="339" t="s">
        <v>9704</v>
      </c>
      <c r="GK37" s="339" t="s">
        <v>9702</v>
      </c>
      <c r="GL37" s="1739" t="s">
        <v>9707</v>
      </c>
      <c r="GM37" s="387" t="s">
        <v>9702</v>
      </c>
      <c r="GN37" s="387" t="s">
        <v>9701</v>
      </c>
      <c r="GO37" s="448" t="s">
        <v>9698</v>
      </c>
      <c r="GP37" s="1744" t="s">
        <v>9708</v>
      </c>
      <c r="GQ37" s="1744" t="s">
        <v>9704</v>
      </c>
      <c r="GR37" s="1742" t="s">
        <v>9691</v>
      </c>
      <c r="GS37" s="1743" t="s">
        <v>9708</v>
      </c>
      <c r="GT37" s="1744"/>
      <c r="GU37" s="387"/>
      <c r="GV37" s="339" t="s">
        <v>9699</v>
      </c>
      <c r="GW37" s="1743" t="s">
        <v>9704</v>
      </c>
      <c r="GX37" s="448" t="s">
        <v>9698</v>
      </c>
      <c r="GY37" s="339" t="s">
        <v>9701</v>
      </c>
      <c r="GZ37" s="448" t="s">
        <v>9712</v>
      </c>
      <c r="HA37" s="1743" t="s">
        <v>9698</v>
      </c>
      <c r="HB37" s="1742" t="s">
        <v>9700</v>
      </c>
      <c r="HC37" s="448" t="s">
        <v>9695</v>
      </c>
      <c r="HD37" s="1743" t="s">
        <v>9714</v>
      </c>
      <c r="HE37" s="1739" t="s">
        <v>9707</v>
      </c>
      <c r="HF37" s="339" t="s">
        <v>9720</v>
      </c>
      <c r="HG37" s="387" t="s">
        <v>9698</v>
      </c>
      <c r="HH37" s="1744" t="s">
        <v>9695</v>
      </c>
      <c r="HI37" s="1741" t="s">
        <v>9702</v>
      </c>
      <c r="HJ37" s="1741" t="s">
        <v>9699</v>
      </c>
      <c r="HK37" s="1739" t="s">
        <v>9723</v>
      </c>
      <c r="HL37" s="1739" t="s">
        <v>9715</v>
      </c>
      <c r="HM37" s="1741" t="s">
        <v>9702</v>
      </c>
      <c r="HN37" s="1741" t="s">
        <v>9699</v>
      </c>
      <c r="HO37" s="1742" t="s">
        <v>9697</v>
      </c>
      <c r="HP37" s="1743" t="s">
        <v>9702</v>
      </c>
      <c r="HQ37" s="1739" t="s">
        <v>9702</v>
      </c>
      <c r="HR37" s="1739" t="s">
        <v>9712</v>
      </c>
      <c r="HS37" s="448" t="s">
        <v>9699</v>
      </c>
      <c r="HT37" s="1743" t="s">
        <v>9707</v>
      </c>
      <c r="HU37" s="1744" t="s">
        <v>9704</v>
      </c>
      <c r="HV37" s="1744" t="s">
        <v>9714</v>
      </c>
      <c r="HW37" s="387" t="s">
        <v>9704</v>
      </c>
      <c r="HX37" s="387" t="s">
        <v>9723</v>
      </c>
      <c r="HY37" s="1743" t="s">
        <v>9720</v>
      </c>
      <c r="HZ37" s="1739" t="s">
        <v>9705</v>
      </c>
      <c r="IA37" s="1741" t="s">
        <v>9705</v>
      </c>
      <c r="IB37" s="1740"/>
      <c r="IC37" s="448" t="s">
        <v>9711</v>
      </c>
      <c r="ID37" s="1741" t="s">
        <v>9704</v>
      </c>
      <c r="IE37" s="1742" t="s">
        <v>9702</v>
      </c>
      <c r="IF37" s="339" t="s">
        <v>9712</v>
      </c>
      <c r="IG37" s="1739" t="s">
        <v>9713</v>
      </c>
      <c r="IH37" s="1742" t="s">
        <v>9700</v>
      </c>
      <c r="II37" s="1742" t="s">
        <v>9691</v>
      </c>
      <c r="IJ37" s="339" t="s">
        <v>9705</v>
      </c>
      <c r="IK37" s="1741" t="s">
        <v>9702</v>
      </c>
      <c r="IL37" s="387" t="s">
        <v>9693</v>
      </c>
      <c r="IM37" s="131" t="s">
        <v>9712</v>
      </c>
      <c r="IN37" s="1743" t="s">
        <v>9712</v>
      </c>
      <c r="IO37" s="131" t="s">
        <v>9691</v>
      </c>
      <c r="IP37" s="1740" t="s">
        <v>9691</v>
      </c>
      <c r="IQ37" s="1739" t="s">
        <v>9695</v>
      </c>
      <c r="IR37" s="131" t="s">
        <v>9695</v>
      </c>
      <c r="IS37" s="131" t="s">
        <v>9702</v>
      </c>
      <c r="IT37" s="131" t="s">
        <v>9702</v>
      </c>
      <c r="IU37" s="131" t="s">
        <v>9695</v>
      </c>
      <c r="IV37" s="1739" t="s">
        <v>9707</v>
      </c>
      <c r="IW37" s="1739" t="s">
        <v>9713</v>
      </c>
      <c r="IX37" s="1739" t="s">
        <v>9702</v>
      </c>
      <c r="IY37" s="387" t="s">
        <v>9698</v>
      </c>
      <c r="IZ37" s="387" t="s">
        <v>9702</v>
      </c>
      <c r="JA37" s="387" t="s">
        <v>9695</v>
      </c>
      <c r="JB37" s="1743" t="s">
        <v>9714</v>
      </c>
      <c r="JC37" s="1743" t="s">
        <v>9698</v>
      </c>
      <c r="JD37" s="1741" t="s">
        <v>9709</v>
      </c>
      <c r="JE37" s="1740" t="s">
        <v>9701</v>
      </c>
      <c r="JF37" s="1739"/>
      <c r="JG37" s="1740"/>
      <c r="JH37" s="339" t="s">
        <v>9714</v>
      </c>
      <c r="JI37" s="448"/>
      <c r="JJ37" s="131" t="s">
        <v>9714</v>
      </c>
      <c r="JK37" s="131" t="s">
        <v>9695</v>
      </c>
      <c r="JL37" s="131" t="s">
        <v>9695</v>
      </c>
      <c r="JM37" s="131" t="s">
        <v>9693</v>
      </c>
      <c r="JN37" s="1741" t="s">
        <v>9704</v>
      </c>
      <c r="JO37" s="1741" t="s">
        <v>9714</v>
      </c>
      <c r="JP37" s="1741" t="s">
        <v>9714</v>
      </c>
      <c r="JQ37" s="387" t="s">
        <v>9722</v>
      </c>
      <c r="JR37" s="387" t="s">
        <v>9718</v>
      </c>
      <c r="JS37" s="1740" t="s">
        <v>9725</v>
      </c>
      <c r="JT37" s="339" t="s">
        <v>9704</v>
      </c>
      <c r="JU37" s="1740" t="s">
        <v>9702</v>
      </c>
      <c r="JV37" s="1740" t="s">
        <v>9702</v>
      </c>
      <c r="JW37" s="1740" t="s">
        <v>9705</v>
      </c>
      <c r="JX37" s="387" t="s">
        <v>9702</v>
      </c>
      <c r="JY37" s="387" t="s">
        <v>9700</v>
      </c>
      <c r="JZ37" s="1741" t="s">
        <v>9717</v>
      </c>
      <c r="KA37" s="131" t="s">
        <v>9700</v>
      </c>
      <c r="KB37" s="1741" t="s">
        <v>9700</v>
      </c>
      <c r="KC37" s="1740" t="s">
        <v>9693</v>
      </c>
      <c r="KD37" s="1741" t="s">
        <v>9691</v>
      </c>
      <c r="KE37" s="1743" t="s">
        <v>9720</v>
      </c>
      <c r="KF37" s="339" t="s">
        <v>9704</v>
      </c>
      <c r="KG37" s="1741" t="s">
        <v>9704</v>
      </c>
      <c r="KH37" s="1742" t="s">
        <v>9702</v>
      </c>
      <c r="KI37" s="387" t="s">
        <v>9700</v>
      </c>
      <c r="KJ37" s="387" t="s">
        <v>9695</v>
      </c>
      <c r="KK37" s="339" t="s">
        <v>9712</v>
      </c>
      <c r="KL37" s="1741" t="s">
        <v>9698</v>
      </c>
      <c r="KM37" s="387" t="s">
        <v>9704</v>
      </c>
      <c r="KN37" s="1743" t="s">
        <v>9725</v>
      </c>
      <c r="KO37" s="1742" t="s">
        <v>9700</v>
      </c>
      <c r="KP37" s="448" t="s">
        <v>9695</v>
      </c>
      <c r="KQ37" s="448" t="s">
        <v>9698</v>
      </c>
      <c r="KR37" s="1744" t="s">
        <v>9702</v>
      </c>
      <c r="KS37" s="1743" t="s">
        <v>9698</v>
      </c>
      <c r="KT37" s="1743" t="s">
        <v>9698</v>
      </c>
      <c r="KU37" s="1743" t="s">
        <v>9691</v>
      </c>
      <c r="KV37" s="387" t="s">
        <v>9708</v>
      </c>
      <c r="KW37" s="1739" t="s">
        <v>9702</v>
      </c>
      <c r="KX37" s="131" t="s">
        <v>9704</v>
      </c>
      <c r="KY37" s="339" t="s">
        <v>9702</v>
      </c>
      <c r="KZ37" s="339" t="s">
        <v>9725</v>
      </c>
      <c r="LA37" s="339" t="s">
        <v>9725</v>
      </c>
      <c r="LB37" s="1743" t="s">
        <v>9705</v>
      </c>
      <c r="LC37" s="448" t="s">
        <v>9705</v>
      </c>
      <c r="LD37" s="131" t="s">
        <v>9704</v>
      </c>
      <c r="LE37" s="131" t="s">
        <v>9702</v>
      </c>
      <c r="LF37" s="448" t="s">
        <v>9700</v>
      </c>
      <c r="LG37" s="1739" t="s">
        <v>9704</v>
      </c>
      <c r="LH37" s="387" t="s">
        <v>9695</v>
      </c>
      <c r="LI37" s="387" t="s">
        <v>9702</v>
      </c>
      <c r="LJ37" s="387" t="s">
        <v>9699</v>
      </c>
      <c r="LK37" s="339" t="s">
        <v>9719</v>
      </c>
      <c r="LL37" s="1739" t="s">
        <v>9704</v>
      </c>
      <c r="LM37" s="1741" t="s">
        <v>9713</v>
      </c>
      <c r="LN37" s="1744" t="s">
        <v>9708</v>
      </c>
      <c r="LO37" s="448" t="s">
        <v>9701</v>
      </c>
      <c r="LP37" s="1741" t="s">
        <v>9698</v>
      </c>
      <c r="LQ37" s="1741" t="s">
        <v>9704</v>
      </c>
      <c r="LR37" s="131" t="s">
        <v>9704</v>
      </c>
      <c r="LS37" s="131" t="s">
        <v>9702</v>
      </c>
      <c r="LT37" s="131" t="s">
        <v>9704</v>
      </c>
      <c r="LU37" s="131" t="s">
        <v>9712</v>
      </c>
      <c r="LV37" s="387" t="s">
        <v>9707</v>
      </c>
      <c r="LW37" s="387" t="s">
        <v>9700</v>
      </c>
      <c r="LX37" s="1740" t="s">
        <v>9694</v>
      </c>
      <c r="LY37" s="1744" t="s">
        <v>9698</v>
      </c>
      <c r="LZ37" s="339" t="s">
        <v>9699</v>
      </c>
      <c r="MA37" s="1739" t="s">
        <v>9702</v>
      </c>
      <c r="MB37" s="1743" t="s">
        <v>9704</v>
      </c>
      <c r="MC37" s="387" t="s">
        <v>9702</v>
      </c>
      <c r="MD37" s="1739" t="s">
        <v>9698</v>
      </c>
      <c r="ME37" s="1739" t="s">
        <v>9702</v>
      </c>
      <c r="MF37" s="1741" t="s">
        <v>9699</v>
      </c>
      <c r="MG37" s="1744" t="s">
        <v>9700</v>
      </c>
      <c r="MH37" s="448" t="s">
        <v>9720</v>
      </c>
      <c r="MI37" s="131" t="s">
        <v>9704</v>
      </c>
      <c r="MJ37" s="1743" t="s">
        <v>9723</v>
      </c>
      <c r="MK37" s="1743" t="s">
        <v>9712</v>
      </c>
      <c r="ML37" s="1741" t="s">
        <v>9711</v>
      </c>
      <c r="MM37" s="1742" t="s">
        <v>9701</v>
      </c>
      <c r="MN37" s="1740" t="s">
        <v>9705</v>
      </c>
      <c r="MO37" s="131" t="s">
        <v>9701</v>
      </c>
      <c r="MP37" s="1744" t="s">
        <v>9708</v>
      </c>
      <c r="MQ37" s="1744" t="s">
        <v>9702</v>
      </c>
      <c r="MR37" s="1744" t="s">
        <v>9708</v>
      </c>
      <c r="MS37" s="1744" t="s">
        <v>9695</v>
      </c>
      <c r="MT37" s="131" t="s">
        <v>9699</v>
      </c>
      <c r="MU37" s="387" t="s">
        <v>9708</v>
      </c>
      <c r="MV37" s="1740" t="s">
        <v>9693</v>
      </c>
      <c r="MW37" s="387"/>
      <c r="MX37" s="1743" t="s">
        <v>9702</v>
      </c>
      <c r="MY37" s="1743" t="s">
        <v>9697</v>
      </c>
      <c r="MZ37" s="387" t="s">
        <v>9702</v>
      </c>
      <c r="NA37" s="387" t="s">
        <v>9699</v>
      </c>
      <c r="NB37" s="387" t="s">
        <v>9701</v>
      </c>
      <c r="NC37" s="387" t="s">
        <v>9711</v>
      </c>
      <c r="ND37" s="387" t="s">
        <v>9704</v>
      </c>
      <c r="NE37" s="1742" t="s">
        <v>9702</v>
      </c>
      <c r="NF37" s="1743" t="s">
        <v>9695</v>
      </c>
      <c r="NG37" s="1742" t="s">
        <v>9704</v>
      </c>
      <c r="NH37" s="387" t="s">
        <v>9713</v>
      </c>
      <c r="NI37" s="1740" t="s">
        <v>9713</v>
      </c>
      <c r="NJ37" s="387" t="s">
        <v>9702</v>
      </c>
      <c r="NK37" s="387"/>
      <c r="NL37" s="387" t="s">
        <v>9714</v>
      </c>
      <c r="NM37" s="387" t="s">
        <v>9714</v>
      </c>
      <c r="NN37" s="1741" t="s">
        <v>9702</v>
      </c>
      <c r="NO37" s="387" t="s">
        <v>9705</v>
      </c>
      <c r="NP37" s="1743" t="s">
        <v>9699</v>
      </c>
      <c r="NQ37" s="1739" t="s">
        <v>9693</v>
      </c>
      <c r="NR37" s="387" t="s">
        <v>9693</v>
      </c>
      <c r="NS37" s="387" t="s">
        <v>9697</v>
      </c>
      <c r="NT37" s="1739" t="s">
        <v>9701</v>
      </c>
      <c r="NU37" s="131" t="s">
        <v>9693</v>
      </c>
      <c r="NV37" s="339" t="s">
        <v>9705</v>
      </c>
      <c r="NW37" s="1739" t="s">
        <v>9693</v>
      </c>
      <c r="NX37" s="1739" t="s">
        <v>9693</v>
      </c>
      <c r="NY37" s="1739" t="s">
        <v>9693</v>
      </c>
      <c r="NZ37" s="1739" t="s">
        <v>9693</v>
      </c>
      <c r="OA37" s="131" t="s">
        <v>9702</v>
      </c>
      <c r="OB37" s="131" t="s">
        <v>9702</v>
      </c>
      <c r="OC37" s="131" t="s">
        <v>9700</v>
      </c>
      <c r="OD37" s="1741" t="s">
        <v>9712</v>
      </c>
      <c r="OE37" s="1741" t="s">
        <v>9712</v>
      </c>
      <c r="OF37" s="1741" t="s">
        <v>9700</v>
      </c>
      <c r="OG37" s="387" t="s">
        <v>9712</v>
      </c>
      <c r="OH37" s="387" t="s">
        <v>9712</v>
      </c>
      <c r="OI37" s="387" t="s">
        <v>9699</v>
      </c>
      <c r="OJ37" s="1741" t="s">
        <v>9722</v>
      </c>
      <c r="OK37" s="1741" t="s">
        <v>9722</v>
      </c>
      <c r="OL37" s="1741" t="s">
        <v>9718</v>
      </c>
      <c r="OM37" s="1741" t="s">
        <v>9709</v>
      </c>
      <c r="ON37" s="1741" t="s">
        <v>9695</v>
      </c>
      <c r="OO37" s="1739"/>
      <c r="OP37" s="1739" t="s">
        <v>9711</v>
      </c>
      <c r="OQ37" s="387" t="s">
        <v>9704</v>
      </c>
      <c r="OR37" s="387" t="s">
        <v>9704</v>
      </c>
      <c r="OS37" s="387" t="s">
        <v>9702</v>
      </c>
      <c r="OT37" s="131" t="s">
        <v>9704</v>
      </c>
      <c r="OU37" s="131" t="s">
        <v>9714</v>
      </c>
      <c r="OV37" s="387" t="s">
        <v>9709</v>
      </c>
      <c r="OW37" s="387" t="s">
        <v>9701</v>
      </c>
      <c r="OX37" s="1743" t="s">
        <v>9705</v>
      </c>
      <c r="OY37" s="1743" t="s">
        <v>9701</v>
      </c>
      <c r="OZ37" s="131"/>
      <c r="PA37" s="131" t="s">
        <v>9702</v>
      </c>
      <c r="PB37" s="339" t="s">
        <v>9708</v>
      </c>
      <c r="PC37" s="1742" t="s">
        <v>9704</v>
      </c>
      <c r="PD37" s="339" t="s">
        <v>9708</v>
      </c>
      <c r="PE37" s="339"/>
      <c r="PF37" s="339" t="s">
        <v>9711</v>
      </c>
      <c r="PG37" s="1740" t="s">
        <v>9704</v>
      </c>
      <c r="PH37" s="1741" t="s">
        <v>9701</v>
      </c>
      <c r="PI37" s="1741" t="s">
        <v>9691</v>
      </c>
      <c r="PJ37" s="1742" t="s">
        <v>9711</v>
      </c>
      <c r="PK37" s="1742" t="s">
        <v>9704</v>
      </c>
      <c r="PL37" s="448" t="s">
        <v>9711</v>
      </c>
      <c r="PM37" s="448" t="s">
        <v>9702</v>
      </c>
      <c r="PN37" s="448" t="s">
        <v>9701</v>
      </c>
      <c r="PO37" s="448" t="s">
        <v>9714</v>
      </c>
      <c r="PP37" s="448" t="s">
        <v>9714</v>
      </c>
      <c r="PQ37" s="1741" t="s">
        <v>9714</v>
      </c>
      <c r="PR37" s="1741" t="s">
        <v>9700</v>
      </c>
      <c r="PS37" s="448" t="s">
        <v>9702</v>
      </c>
      <c r="PT37" s="1744" t="s">
        <v>9714</v>
      </c>
      <c r="PU37" s="1743" t="s">
        <v>9702</v>
      </c>
      <c r="PV37" s="1743" t="s">
        <v>9705</v>
      </c>
      <c r="PW37" s="339" t="s">
        <v>9708</v>
      </c>
      <c r="PX37" s="448" t="s">
        <v>9714</v>
      </c>
      <c r="PY37" s="448" t="s">
        <v>9698</v>
      </c>
      <c r="PZ37" s="131" t="s">
        <v>9702</v>
      </c>
      <c r="QA37" s="131" t="s">
        <v>9699</v>
      </c>
      <c r="QB37" s="1741" t="s">
        <v>9723</v>
      </c>
      <c r="QC37" s="1742" t="s">
        <v>9700</v>
      </c>
      <c r="QD37" s="1742" t="s">
        <v>9702</v>
      </c>
      <c r="QE37" s="1744" t="s">
        <v>9711</v>
      </c>
      <c r="QF37" s="448" t="s">
        <v>9708</v>
      </c>
      <c r="QG37" s="387" t="s">
        <v>9704</v>
      </c>
      <c r="QH37" s="387" t="s">
        <v>9698</v>
      </c>
      <c r="QI37" s="387" t="s">
        <v>9702</v>
      </c>
      <c r="QJ37" s="1744" t="s">
        <v>9705</v>
      </c>
      <c r="QK37" s="387" t="s">
        <v>9702</v>
      </c>
      <c r="QL37" s="387" t="s">
        <v>9695</v>
      </c>
      <c r="QM37" s="1741" t="s">
        <v>9720</v>
      </c>
      <c r="QN37" s="1741" t="s">
        <v>9704</v>
      </c>
      <c r="QO37" s="448" t="s">
        <v>9712</v>
      </c>
      <c r="QP37" s="448" t="s">
        <v>9702</v>
      </c>
      <c r="QQ37" s="387" t="s">
        <v>9698</v>
      </c>
      <c r="QR37" s="387" t="s">
        <v>9702</v>
      </c>
      <c r="QS37" s="131" t="s">
        <v>9717</v>
      </c>
      <c r="QT37" s="387" t="s">
        <v>9704</v>
      </c>
      <c r="QU37" s="387" t="s">
        <v>9702</v>
      </c>
      <c r="QV37" s="387" t="s">
        <v>9704</v>
      </c>
      <c r="QW37" s="1740" t="s">
        <v>9697</v>
      </c>
      <c r="QX37" s="1740" t="s">
        <v>9693</v>
      </c>
      <c r="QY37" s="1744" t="s">
        <v>9693</v>
      </c>
      <c r="QZ37" s="1743" t="s">
        <v>9704</v>
      </c>
      <c r="RA37" s="1742" t="s">
        <v>9700</v>
      </c>
      <c r="RB37" s="1743" t="s">
        <v>9701</v>
      </c>
      <c r="RC37" s="387" t="s">
        <v>9712</v>
      </c>
      <c r="RD37" s="339" t="s">
        <v>9709</v>
      </c>
      <c r="RE37" s="1739" t="s">
        <v>9699</v>
      </c>
      <c r="RF37" s="1740" t="s">
        <v>9700</v>
      </c>
      <c r="RG37" s="131" t="s">
        <v>9704</v>
      </c>
      <c r="RH37" s="131" t="s">
        <v>9701</v>
      </c>
      <c r="RI37" s="387" t="s">
        <v>9695</v>
      </c>
      <c r="RJ37" s="448" t="s">
        <v>9698</v>
      </c>
      <c r="RK37" s="1741" t="s">
        <v>9699</v>
      </c>
      <c r="RL37" s="1739" t="s">
        <v>9705</v>
      </c>
      <c r="RM37" s="1740" t="s">
        <v>9697</v>
      </c>
      <c r="RN37" s="1743" t="s">
        <v>9704</v>
      </c>
      <c r="RO37" s="1744" t="s">
        <v>9695</v>
      </c>
      <c r="RP37" s="1740" t="s">
        <v>9697</v>
      </c>
      <c r="RQ37" s="1739" t="s">
        <v>9704</v>
      </c>
      <c r="RR37" s="1739" t="s">
        <v>9704</v>
      </c>
      <c r="RS37" s="1739" t="s">
        <v>9704</v>
      </c>
      <c r="RT37" s="1739" t="s">
        <v>9704</v>
      </c>
      <c r="RU37" s="1739" t="s">
        <v>9704</v>
      </c>
      <c r="RV37" s="1739" t="s">
        <v>9704</v>
      </c>
      <c r="RW37" s="339" t="s">
        <v>9695</v>
      </c>
      <c r="RX37" s="1742" t="s">
        <v>9697</v>
      </c>
      <c r="RY37" s="387" t="s">
        <v>9695</v>
      </c>
      <c r="RZ37" s="1740" t="s">
        <v>9697</v>
      </c>
      <c r="SA37" s="448" t="s">
        <v>9690</v>
      </c>
      <c r="SB37" s="1741" t="s">
        <v>9698</v>
      </c>
      <c r="SC37" s="1740" t="s">
        <v>9702</v>
      </c>
      <c r="SD37" s="1744" t="s">
        <v>9701</v>
      </c>
      <c r="SE37" s="1744" t="s">
        <v>9701</v>
      </c>
      <c r="SF37" s="339" t="s">
        <v>9700</v>
      </c>
      <c r="SG37" s="387" t="s">
        <v>9704</v>
      </c>
      <c r="SH37" s="387" t="s">
        <v>9697</v>
      </c>
      <c r="SI37" s="1744" t="s">
        <v>9695</v>
      </c>
      <c r="SJ37" s="131" t="s">
        <v>9708</v>
      </c>
      <c r="SK37" s="131" t="s">
        <v>9708</v>
      </c>
      <c r="SL37" s="1745" t="s">
        <v>9726</v>
      </c>
    </row>
    <row r="38" ht="15.75" customHeight="1">
      <c r="A38" s="1517"/>
      <c r="B38" s="148" t="s">
        <v>9718</v>
      </c>
      <c r="C38" s="148" t="s">
        <v>9718</v>
      </c>
      <c r="D38" s="148" t="s">
        <v>9704</v>
      </c>
      <c r="E38" s="148" t="s">
        <v>9713</v>
      </c>
      <c r="F38" s="148" t="s">
        <v>9713</v>
      </c>
      <c r="G38" s="148" t="s">
        <v>9702</v>
      </c>
      <c r="H38" s="148" t="s">
        <v>9698</v>
      </c>
      <c r="I38" s="148" t="s">
        <v>9698</v>
      </c>
      <c r="J38" s="148" t="s">
        <v>9701</v>
      </c>
      <c r="K38" s="148"/>
      <c r="L38" s="148"/>
      <c r="M38" s="148" t="s">
        <v>9714</v>
      </c>
      <c r="N38" s="148"/>
      <c r="O38" s="148"/>
      <c r="P38" s="148" t="s">
        <v>9707</v>
      </c>
      <c r="Q38" s="148" t="s">
        <v>9706</v>
      </c>
      <c r="R38" s="148" t="s">
        <v>9706</v>
      </c>
      <c r="S38" s="148" t="s">
        <v>9722</v>
      </c>
      <c r="T38" s="148" t="s">
        <v>9702</v>
      </c>
      <c r="U38" s="148" t="s">
        <v>9705</v>
      </c>
      <c r="V38" s="148" t="s">
        <v>9706</v>
      </c>
      <c r="W38" s="148" t="s">
        <v>9722</v>
      </c>
      <c r="X38" s="148" t="s">
        <v>9717</v>
      </c>
      <c r="Y38" s="148" t="s">
        <v>9704</v>
      </c>
      <c r="Z38" s="148" t="s">
        <v>9712</v>
      </c>
      <c r="AA38" s="148" t="s">
        <v>9698</v>
      </c>
      <c r="AB38" s="148" t="s">
        <v>9720</v>
      </c>
      <c r="AC38" s="148" t="s">
        <v>9704</v>
      </c>
      <c r="AD38" s="148" t="s">
        <v>9702</v>
      </c>
      <c r="AE38" s="148" t="s">
        <v>9702</v>
      </c>
      <c r="AF38" s="148" t="s">
        <v>9695</v>
      </c>
      <c r="AG38" s="148" t="s">
        <v>9702</v>
      </c>
      <c r="AH38" s="148" t="s">
        <v>9702</v>
      </c>
      <c r="AI38" s="148" t="s">
        <v>9695</v>
      </c>
      <c r="AJ38" s="148" t="s">
        <v>9695</v>
      </c>
      <c r="AK38" s="148" t="s">
        <v>9697</v>
      </c>
      <c r="AL38" s="148" t="s">
        <v>9719</v>
      </c>
      <c r="AM38" s="148" t="s">
        <v>9698</v>
      </c>
      <c r="AN38" s="148" t="s">
        <v>9700</v>
      </c>
      <c r="AO38" s="148" t="s">
        <v>9695</v>
      </c>
      <c r="AP38" s="148" t="s">
        <v>9707</v>
      </c>
      <c r="AQ38" s="148" t="s">
        <v>9717</v>
      </c>
      <c r="AR38" s="148" t="s">
        <v>9718</v>
      </c>
      <c r="AS38" s="148" t="s">
        <v>9718</v>
      </c>
      <c r="AT38" s="148" t="s">
        <v>9711</v>
      </c>
      <c r="AU38" s="148" t="s">
        <v>9717</v>
      </c>
      <c r="AV38" s="148" t="s">
        <v>9704</v>
      </c>
      <c r="AW38" s="148" t="s">
        <v>9718</v>
      </c>
      <c r="AX38" s="148" t="s">
        <v>9707</v>
      </c>
      <c r="AY38" s="148" t="s">
        <v>9707</v>
      </c>
      <c r="AZ38" s="148" t="s">
        <v>9723</v>
      </c>
      <c r="BA38" s="148" t="s">
        <v>9698</v>
      </c>
      <c r="BB38" s="148" t="s">
        <v>9709</v>
      </c>
      <c r="BC38" s="148" t="s">
        <v>9702</v>
      </c>
      <c r="BD38" s="148" t="s">
        <v>9701</v>
      </c>
      <c r="BE38" s="148" t="s">
        <v>9699</v>
      </c>
      <c r="BF38" s="148" t="s">
        <v>9709</v>
      </c>
      <c r="BG38" s="148" t="s">
        <v>9707</v>
      </c>
      <c r="BH38" s="148" t="s">
        <v>9713</v>
      </c>
      <c r="BI38" s="148" t="s">
        <v>9704</v>
      </c>
      <c r="BJ38" s="148" t="s">
        <v>9698</v>
      </c>
      <c r="BK38" s="148" t="s">
        <v>9699</v>
      </c>
      <c r="BL38" s="148" t="s">
        <v>9702</v>
      </c>
      <c r="BM38" s="148" t="s">
        <v>9702</v>
      </c>
      <c r="BN38" s="148" t="s">
        <v>9701</v>
      </c>
      <c r="BO38" s="148" t="s">
        <v>9704</v>
      </c>
      <c r="BP38" s="148" t="s">
        <v>9704</v>
      </c>
      <c r="BQ38" s="148" t="s">
        <v>9712</v>
      </c>
      <c r="BR38" s="148" t="s">
        <v>9718</v>
      </c>
      <c r="BS38" s="148" t="s">
        <v>9718</v>
      </c>
      <c r="BT38" s="148" t="s">
        <v>9711</v>
      </c>
      <c r="BU38" s="148" t="s">
        <v>9717</v>
      </c>
      <c r="BV38" s="148" t="s">
        <v>9704</v>
      </c>
      <c r="BW38" s="148" t="s">
        <v>9720</v>
      </c>
      <c r="BX38" s="148" t="s">
        <v>9720</v>
      </c>
      <c r="BY38" s="148" t="s">
        <v>9704</v>
      </c>
      <c r="BZ38" s="148" t="s">
        <v>9718</v>
      </c>
      <c r="CA38" s="148" t="s">
        <v>9711</v>
      </c>
      <c r="CB38" s="148" t="s">
        <v>9695</v>
      </c>
      <c r="CC38" s="148" t="s">
        <v>9693</v>
      </c>
      <c r="CD38" s="148" t="s">
        <v>9725</v>
      </c>
      <c r="CE38" s="148" t="s">
        <v>9715</v>
      </c>
      <c r="CF38" s="148" t="s">
        <v>9706</v>
      </c>
      <c r="CG38" s="148" t="s">
        <v>9710</v>
      </c>
      <c r="CH38" s="148" t="s">
        <v>9718</v>
      </c>
      <c r="CI38" s="148" t="s">
        <v>9711</v>
      </c>
      <c r="CJ38" s="148" t="s">
        <v>9704</v>
      </c>
      <c r="CK38" s="148" t="s">
        <v>9714</v>
      </c>
      <c r="CL38" s="148" t="s">
        <v>9702</v>
      </c>
      <c r="CM38" s="148" t="s">
        <v>9718</v>
      </c>
      <c r="CN38" s="148" t="s">
        <v>9703</v>
      </c>
      <c r="CO38" s="148" t="s">
        <v>9704</v>
      </c>
      <c r="CP38" s="148" t="s">
        <v>9704</v>
      </c>
      <c r="CQ38" s="148" t="s">
        <v>9702</v>
      </c>
      <c r="CR38" s="148" t="s">
        <v>9720</v>
      </c>
      <c r="CS38" s="148" t="s">
        <v>9708</v>
      </c>
      <c r="CT38" s="148" t="s">
        <v>9702</v>
      </c>
      <c r="CU38" s="148" t="s">
        <v>9704</v>
      </c>
      <c r="CV38" s="148" t="s">
        <v>9712</v>
      </c>
      <c r="CW38" s="148" t="s">
        <v>9703</v>
      </c>
      <c r="CX38" s="148" t="s">
        <v>9725</v>
      </c>
      <c r="CY38" s="148" t="s">
        <v>9715</v>
      </c>
      <c r="CZ38" s="148" t="s">
        <v>9704</v>
      </c>
      <c r="DA38" s="148" t="s">
        <v>9712</v>
      </c>
      <c r="DB38" s="148" t="s">
        <v>9698</v>
      </c>
      <c r="DC38" s="148" t="s">
        <v>9723</v>
      </c>
      <c r="DD38" s="148" t="s">
        <v>9723</v>
      </c>
      <c r="DE38" s="148" t="s">
        <v>9701</v>
      </c>
      <c r="DF38" s="148" t="s">
        <v>9725</v>
      </c>
      <c r="DG38" s="148" t="s">
        <v>9704</v>
      </c>
      <c r="DH38" s="148" t="s">
        <v>9699</v>
      </c>
      <c r="DI38" s="148" t="s">
        <v>9705</v>
      </c>
      <c r="DJ38" s="148" t="s">
        <v>9693</v>
      </c>
      <c r="DK38" s="148" t="s">
        <v>9725</v>
      </c>
      <c r="DL38" s="148" t="s">
        <v>9695</v>
      </c>
      <c r="DM38" s="148" t="s">
        <v>9718</v>
      </c>
      <c r="DN38" s="148" t="s">
        <v>9711</v>
      </c>
      <c r="DO38" s="148" t="s">
        <v>9718</v>
      </c>
      <c r="DP38" s="148" t="s">
        <v>9711</v>
      </c>
      <c r="DQ38" s="148" t="s">
        <v>9702</v>
      </c>
      <c r="DR38" s="148" t="s">
        <v>9709</v>
      </c>
      <c r="DS38" s="148" t="s">
        <v>9700</v>
      </c>
      <c r="DT38" s="148" t="s">
        <v>9718</v>
      </c>
      <c r="DU38" s="148" t="s">
        <v>9693</v>
      </c>
      <c r="DV38" s="148" t="s">
        <v>9708</v>
      </c>
      <c r="DW38" s="148" t="s">
        <v>9713</v>
      </c>
      <c r="DX38" s="148" t="s">
        <v>9712</v>
      </c>
      <c r="DY38" s="148" t="s">
        <v>9705</v>
      </c>
      <c r="DZ38" s="148"/>
      <c r="EA38" s="148" t="s">
        <v>9705</v>
      </c>
      <c r="EB38" s="148" t="s">
        <v>9701</v>
      </c>
      <c r="EC38" s="148"/>
      <c r="ED38" s="148" t="s">
        <v>9718</v>
      </c>
      <c r="EE38" s="148" t="s">
        <v>9701</v>
      </c>
      <c r="EF38" s="148" t="s">
        <v>9702</v>
      </c>
      <c r="EG38" s="148" t="s">
        <v>9704</v>
      </c>
      <c r="EH38" s="148" t="s">
        <v>9709</v>
      </c>
      <c r="EI38" s="148" t="s">
        <v>9723</v>
      </c>
      <c r="EJ38" s="148" t="s">
        <v>9720</v>
      </c>
      <c r="EK38" s="148" t="s">
        <v>9704</v>
      </c>
      <c r="EL38" s="148" t="s">
        <v>9698</v>
      </c>
      <c r="EM38" s="148" t="s">
        <v>9702</v>
      </c>
      <c r="EN38" s="148" t="s">
        <v>9705</v>
      </c>
      <c r="EO38" s="148" t="s">
        <v>9702</v>
      </c>
      <c r="EP38" s="148" t="s">
        <v>9704</v>
      </c>
      <c r="EQ38" s="148" t="s">
        <v>9713</v>
      </c>
      <c r="ER38" s="148" t="s">
        <v>9701</v>
      </c>
      <c r="ES38" s="148" t="s">
        <v>9701</v>
      </c>
      <c r="ET38" s="148" t="s">
        <v>9693</v>
      </c>
      <c r="EU38" s="148" t="s">
        <v>9688</v>
      </c>
      <c r="EV38" s="148"/>
      <c r="EW38" s="148" t="s">
        <v>9704</v>
      </c>
      <c r="EX38" s="148" t="s">
        <v>9704</v>
      </c>
      <c r="EY38" s="148" t="s">
        <v>9699</v>
      </c>
      <c r="EZ38" s="148" t="s">
        <v>9718</v>
      </c>
      <c r="FA38" s="148" t="s">
        <v>9719</v>
      </c>
      <c r="FB38" s="148" t="s">
        <v>9712</v>
      </c>
      <c r="FC38" s="148" t="s">
        <v>9698</v>
      </c>
      <c r="FD38" s="148" t="s">
        <v>9702</v>
      </c>
      <c r="FE38" s="148" t="s">
        <v>9695</v>
      </c>
      <c r="FF38" s="148" t="s">
        <v>9702</v>
      </c>
      <c r="FG38" s="148" t="s">
        <v>9701</v>
      </c>
      <c r="FH38" s="148" t="s">
        <v>9711</v>
      </c>
      <c r="FI38" s="148" t="s">
        <v>9707</v>
      </c>
      <c r="FJ38" s="148" t="s">
        <v>9712</v>
      </c>
      <c r="FK38" s="148" t="s">
        <v>9698</v>
      </c>
      <c r="FL38" s="148" t="s">
        <v>9711</v>
      </c>
      <c r="FM38" s="148" t="s">
        <v>9717</v>
      </c>
      <c r="FN38" s="148" t="s">
        <v>9717</v>
      </c>
      <c r="FO38" s="148" t="s">
        <v>9704</v>
      </c>
      <c r="FP38" s="148" t="s">
        <v>9702</v>
      </c>
      <c r="FQ38" s="148" t="s">
        <v>9711</v>
      </c>
      <c r="FR38" s="148" t="s">
        <v>9698</v>
      </c>
      <c r="FS38" s="148" t="s">
        <v>9708</v>
      </c>
      <c r="FT38" s="148" t="s">
        <v>9714</v>
      </c>
      <c r="FU38" s="148" t="s">
        <v>9702</v>
      </c>
      <c r="FV38" s="148" t="s">
        <v>9714</v>
      </c>
      <c r="FW38" s="148" t="s">
        <v>9708</v>
      </c>
      <c r="FX38" s="148" t="s">
        <v>9711</v>
      </c>
      <c r="FY38" s="148" t="s">
        <v>9704</v>
      </c>
      <c r="FZ38" s="148" t="s">
        <v>9712</v>
      </c>
      <c r="GA38" s="148" t="s">
        <v>9717</v>
      </c>
      <c r="GB38" s="148" t="s">
        <v>9698</v>
      </c>
      <c r="GC38" s="148" t="s">
        <v>9702</v>
      </c>
      <c r="GD38" s="148" t="s">
        <v>9704</v>
      </c>
      <c r="GE38" s="148" t="s">
        <v>9702</v>
      </c>
      <c r="GF38" s="148" t="s">
        <v>9718</v>
      </c>
      <c r="GG38" s="148" t="s">
        <v>9718</v>
      </c>
      <c r="GH38" s="148" t="s">
        <v>9711</v>
      </c>
      <c r="GI38" s="148" t="s">
        <v>9709</v>
      </c>
      <c r="GJ38" s="148" t="s">
        <v>9717</v>
      </c>
      <c r="GK38" s="148" t="s">
        <v>9704</v>
      </c>
      <c r="GL38" s="148" t="s">
        <v>9711</v>
      </c>
      <c r="GM38" s="148" t="s">
        <v>9698</v>
      </c>
      <c r="GN38" s="148" t="s">
        <v>9699</v>
      </c>
      <c r="GO38" s="148" t="s">
        <v>9708</v>
      </c>
      <c r="GP38" s="148" t="s">
        <v>9714</v>
      </c>
      <c r="GQ38" s="148" t="s">
        <v>9707</v>
      </c>
      <c r="GR38" s="148" t="s">
        <v>9693</v>
      </c>
      <c r="GS38" s="148" t="s">
        <v>9714</v>
      </c>
      <c r="GT38" s="148"/>
      <c r="GU38" s="148"/>
      <c r="GV38" s="148" t="s">
        <v>9702</v>
      </c>
      <c r="GW38" s="148" t="s">
        <v>9715</v>
      </c>
      <c r="GX38" s="148" t="s">
        <v>9704</v>
      </c>
      <c r="GY38" s="148" t="s">
        <v>9705</v>
      </c>
      <c r="GZ38" s="148" t="s">
        <v>9704</v>
      </c>
      <c r="HA38" s="148" t="s">
        <v>9704</v>
      </c>
      <c r="HB38" s="148" t="s">
        <v>9705</v>
      </c>
      <c r="HC38" s="148" t="s">
        <v>9700</v>
      </c>
      <c r="HD38" s="148" t="s">
        <v>9704</v>
      </c>
      <c r="HE38" s="148" t="s">
        <v>9711</v>
      </c>
      <c r="HF38" s="148" t="s">
        <v>9723</v>
      </c>
      <c r="HG38" s="148" t="s">
        <v>9712</v>
      </c>
      <c r="HH38" s="148" t="s">
        <v>9701</v>
      </c>
      <c r="HI38" s="148" t="s">
        <v>9698</v>
      </c>
      <c r="HJ38" s="148" t="s">
        <v>9702</v>
      </c>
      <c r="HK38" s="148" t="s">
        <v>9711</v>
      </c>
      <c r="HL38" s="148" t="s">
        <v>9713</v>
      </c>
      <c r="HM38" s="148" t="s">
        <v>9698</v>
      </c>
      <c r="HN38" s="148" t="s">
        <v>9702</v>
      </c>
      <c r="HO38" s="148" t="s">
        <v>9695</v>
      </c>
      <c r="HP38" s="148" t="s">
        <v>9708</v>
      </c>
      <c r="HQ38" s="148" t="s">
        <v>9708</v>
      </c>
      <c r="HR38" s="148" t="s">
        <v>9704</v>
      </c>
      <c r="HS38" s="148" t="s">
        <v>9702</v>
      </c>
      <c r="HT38" s="148" t="s">
        <v>9703</v>
      </c>
      <c r="HU38" s="148" t="s">
        <v>9713</v>
      </c>
      <c r="HV38" s="148" t="s">
        <v>9704</v>
      </c>
      <c r="HW38" s="148" t="s">
        <v>9711</v>
      </c>
      <c r="HX38" s="148" t="s">
        <v>9711</v>
      </c>
      <c r="HY38" s="148" t="s">
        <v>9723</v>
      </c>
      <c r="HZ38" s="148" t="s">
        <v>9709</v>
      </c>
      <c r="IA38" s="148" t="s">
        <v>9709</v>
      </c>
      <c r="IB38" s="148"/>
      <c r="IC38" s="148" t="s">
        <v>9718</v>
      </c>
      <c r="ID38" s="148" t="s">
        <v>9720</v>
      </c>
      <c r="IE38" s="148" t="s">
        <v>9708</v>
      </c>
      <c r="IF38" s="148" t="s">
        <v>9704</v>
      </c>
      <c r="IG38" s="148" t="s">
        <v>9719</v>
      </c>
      <c r="IH38" s="148" t="s">
        <v>9701</v>
      </c>
      <c r="II38" s="148" t="s">
        <v>9693</v>
      </c>
      <c r="IJ38" s="148" t="s">
        <v>9709</v>
      </c>
      <c r="IK38" s="148" t="s">
        <v>9698</v>
      </c>
      <c r="IL38" s="148" t="s">
        <v>9695</v>
      </c>
      <c r="IM38" s="148" t="s">
        <v>9704</v>
      </c>
      <c r="IN38" s="148" t="s">
        <v>9704</v>
      </c>
      <c r="IO38" s="148" t="s">
        <v>9693</v>
      </c>
      <c r="IP38" s="148" t="s">
        <v>9693</v>
      </c>
      <c r="IQ38" s="148" t="s">
        <v>9700</v>
      </c>
      <c r="IR38" s="148" t="s">
        <v>9700</v>
      </c>
      <c r="IS38" s="148" t="s">
        <v>9698</v>
      </c>
      <c r="IT38" s="148" t="s">
        <v>9698</v>
      </c>
      <c r="IU38" s="148" t="s">
        <v>9700</v>
      </c>
      <c r="IV38" s="148" t="s">
        <v>9711</v>
      </c>
      <c r="IW38" s="148" t="s">
        <v>9719</v>
      </c>
      <c r="IX38" s="148" t="s">
        <v>9698</v>
      </c>
      <c r="IY38" s="148" t="s">
        <v>9704</v>
      </c>
      <c r="IZ38" s="148" t="s">
        <v>9698</v>
      </c>
      <c r="JA38" s="148" t="s">
        <v>9701</v>
      </c>
      <c r="JB38" s="148" t="s">
        <v>9704</v>
      </c>
      <c r="JC38" s="148" t="s">
        <v>9714</v>
      </c>
      <c r="JD38" s="148" t="s">
        <v>9702</v>
      </c>
      <c r="JE38" s="148" t="s">
        <v>9705</v>
      </c>
      <c r="JF38" s="148"/>
      <c r="JG38" s="148"/>
      <c r="JH38" s="148" t="s">
        <v>9704</v>
      </c>
      <c r="JI38" s="148"/>
      <c r="JJ38" s="148" t="s">
        <v>9704</v>
      </c>
      <c r="JK38" s="1746" t="s">
        <v>9700</v>
      </c>
      <c r="JL38" s="1746" t="s">
        <v>9700</v>
      </c>
      <c r="JM38" s="1746" t="s">
        <v>9694</v>
      </c>
      <c r="JN38" s="1746" t="s">
        <v>9711</v>
      </c>
      <c r="JO38" s="1746" t="s">
        <v>9712</v>
      </c>
      <c r="JP38" s="1746" t="s">
        <v>9712</v>
      </c>
      <c r="JQ38" s="1746" t="s">
        <v>9706</v>
      </c>
      <c r="JR38" s="1746" t="s">
        <v>9722</v>
      </c>
      <c r="JS38" s="148" t="s">
        <v>9707</v>
      </c>
      <c r="JT38" s="148" t="s">
        <v>9725</v>
      </c>
      <c r="JU38" s="148" t="s">
        <v>9708</v>
      </c>
      <c r="JV38" s="148" t="s">
        <v>9708</v>
      </c>
      <c r="JW38" s="148" t="s">
        <v>9702</v>
      </c>
      <c r="JX38" s="1746" t="s">
        <v>9714</v>
      </c>
      <c r="JY38" s="1746" t="s">
        <v>9702</v>
      </c>
      <c r="JZ38" s="1746" t="s">
        <v>9711</v>
      </c>
      <c r="KA38" s="1746" t="s">
        <v>9701</v>
      </c>
      <c r="KB38" s="1746" t="s">
        <v>9705</v>
      </c>
      <c r="KC38" s="148" t="s">
        <v>9695</v>
      </c>
      <c r="KD38" s="1746" t="s">
        <v>9693</v>
      </c>
      <c r="KE38" s="1746" t="s">
        <v>9707</v>
      </c>
      <c r="KF38" s="148" t="s">
        <v>9720</v>
      </c>
      <c r="KG38" s="1746" t="s">
        <v>9720</v>
      </c>
      <c r="KH38" s="1746" t="s">
        <v>9714</v>
      </c>
      <c r="KI38" s="1746" t="s">
        <v>9699</v>
      </c>
      <c r="KJ38" s="148" t="s">
        <v>9700</v>
      </c>
      <c r="KK38" s="1746" t="s">
        <v>9704</v>
      </c>
      <c r="KL38" s="1746" t="s">
        <v>9712</v>
      </c>
      <c r="KM38" s="1746" t="s">
        <v>9711</v>
      </c>
      <c r="KN38" s="1746" t="s">
        <v>9720</v>
      </c>
      <c r="KO38" s="148" t="s">
        <v>9701</v>
      </c>
      <c r="KP38" s="1746" t="s">
        <v>9700</v>
      </c>
      <c r="KQ38" s="148" t="s">
        <v>9708</v>
      </c>
      <c r="KR38" s="148" t="s">
        <v>9714</v>
      </c>
      <c r="KS38" s="1746" t="s">
        <v>9704</v>
      </c>
      <c r="KT38" s="1746" t="s">
        <v>9704</v>
      </c>
      <c r="KU38" s="148" t="s">
        <v>9693</v>
      </c>
      <c r="KV38" s="1746" t="s">
        <v>9714</v>
      </c>
      <c r="KW38" s="148" t="s">
        <v>9708</v>
      </c>
      <c r="KX38" s="1746" t="s">
        <v>9725</v>
      </c>
      <c r="KY38" s="1746" t="s">
        <v>9704</v>
      </c>
      <c r="KZ38" s="1746" t="s">
        <v>9711</v>
      </c>
      <c r="LA38" s="1746" t="s">
        <v>9711</v>
      </c>
      <c r="LB38" s="1746" t="s">
        <v>9709</v>
      </c>
      <c r="LC38" s="1746" t="s">
        <v>9709</v>
      </c>
      <c r="LD38" s="148" t="s">
        <v>9717</v>
      </c>
      <c r="LE38" s="1746" t="s">
        <v>9714</v>
      </c>
      <c r="LF38" s="1746" t="s">
        <v>9699</v>
      </c>
      <c r="LG38" s="1746" t="s">
        <v>9703</v>
      </c>
      <c r="LH38" s="148" t="s">
        <v>9699</v>
      </c>
      <c r="LI38" s="1746" t="s">
        <v>9704</v>
      </c>
      <c r="LJ38" s="1746" t="s">
        <v>9702</v>
      </c>
      <c r="LK38" s="1746" t="s">
        <v>9723</v>
      </c>
      <c r="LL38" s="1746" t="s">
        <v>9713</v>
      </c>
      <c r="LM38" s="1746" t="s">
        <v>9717</v>
      </c>
      <c r="LN38" s="1746" t="s">
        <v>9714</v>
      </c>
      <c r="LO38" s="1746" t="s">
        <v>9702</v>
      </c>
      <c r="LP38" s="148" t="s">
        <v>9708</v>
      </c>
      <c r="LQ38" s="1746" t="s">
        <v>9720</v>
      </c>
      <c r="LR38" s="1746" t="s">
        <v>9720</v>
      </c>
      <c r="LS38" s="148" t="s">
        <v>9698</v>
      </c>
      <c r="LT38" s="1746" t="s">
        <v>9720</v>
      </c>
      <c r="LU38" s="148" t="s">
        <v>9704</v>
      </c>
      <c r="LV38" s="1746" t="s">
        <v>9711</v>
      </c>
      <c r="LW38" s="148" t="s">
        <v>9701</v>
      </c>
      <c r="LX38" s="148" t="s">
        <v>9695</v>
      </c>
      <c r="LY38" s="1746" t="s">
        <v>9704</v>
      </c>
      <c r="LZ38" s="1746" t="s">
        <v>9702</v>
      </c>
      <c r="MA38" s="1746" t="s">
        <v>9708</v>
      </c>
      <c r="MB38" s="1746" t="s">
        <v>9720</v>
      </c>
      <c r="MC38" s="148" t="s">
        <v>9704</v>
      </c>
      <c r="MD38" s="1746" t="s">
        <v>9712</v>
      </c>
      <c r="ME38" s="1746" t="s">
        <v>9698</v>
      </c>
      <c r="MF38" s="1746" t="s">
        <v>9702</v>
      </c>
      <c r="MG38" s="148" t="s">
        <v>9699</v>
      </c>
      <c r="MH38" s="1746" t="s">
        <v>9723</v>
      </c>
      <c r="MI38" s="1746" t="s">
        <v>9717</v>
      </c>
      <c r="MJ38" s="1746" t="s">
        <v>9707</v>
      </c>
      <c r="MK38" s="1746" t="s">
        <v>9704</v>
      </c>
      <c r="ML38" s="1746" t="s">
        <v>9718</v>
      </c>
      <c r="MM38" s="148" t="s">
        <v>9702</v>
      </c>
      <c r="MN38" s="148" t="s">
        <v>9709</v>
      </c>
      <c r="MO38" s="148" t="s">
        <v>9705</v>
      </c>
      <c r="MP38" s="1746" t="s">
        <v>9714</v>
      </c>
      <c r="MQ38" s="1746" t="s">
        <v>9708</v>
      </c>
      <c r="MR38" s="1746" t="s">
        <v>9714</v>
      </c>
      <c r="MS38" s="148" t="s">
        <v>9699</v>
      </c>
      <c r="MT38" s="148" t="s">
        <v>9702</v>
      </c>
      <c r="MU38" s="1746" t="s">
        <v>9714</v>
      </c>
      <c r="MV38" s="148" t="s">
        <v>9695</v>
      </c>
      <c r="MW38" s="1746"/>
      <c r="MX38" s="1746" t="s">
        <v>9714</v>
      </c>
      <c r="MY38" s="148" t="s">
        <v>9695</v>
      </c>
      <c r="MZ38" s="1746" t="s">
        <v>9704</v>
      </c>
      <c r="NA38" s="1746" t="s">
        <v>9702</v>
      </c>
      <c r="NB38" s="148" t="s">
        <v>9699</v>
      </c>
      <c r="NC38" s="1746" t="s">
        <v>9718</v>
      </c>
      <c r="ND38" s="1746" t="s">
        <v>9723</v>
      </c>
      <c r="NE38" s="1746" t="s">
        <v>9708</v>
      </c>
      <c r="NF38" s="148" t="s">
        <v>9699</v>
      </c>
      <c r="NG38" s="1746" t="s">
        <v>9711</v>
      </c>
      <c r="NH38" s="1746" t="s">
        <v>9719</v>
      </c>
      <c r="NI38" s="148" t="s">
        <v>9719</v>
      </c>
      <c r="NJ38" s="148" t="s">
        <v>9712</v>
      </c>
      <c r="NK38" s="1746"/>
      <c r="NL38" s="1746" t="s">
        <v>9712</v>
      </c>
      <c r="NM38" s="1746" t="s">
        <v>9712</v>
      </c>
      <c r="NN38" s="1746" t="s">
        <v>9698</v>
      </c>
      <c r="NO38" s="1746" t="s">
        <v>9709</v>
      </c>
      <c r="NP38" s="1746" t="s">
        <v>9702</v>
      </c>
      <c r="NQ38" s="1746" t="s">
        <v>9697</v>
      </c>
      <c r="NR38" s="1746" t="s">
        <v>9697</v>
      </c>
      <c r="NS38" s="1746" t="s">
        <v>9695</v>
      </c>
      <c r="NT38" s="1746" t="s">
        <v>9705</v>
      </c>
      <c r="NU38" s="1746" t="s">
        <v>9695</v>
      </c>
      <c r="NV38" s="1746" t="s">
        <v>9709</v>
      </c>
      <c r="NW38" s="1746" t="s">
        <v>9697</v>
      </c>
      <c r="NX38" s="1746" t="s">
        <v>9697</v>
      </c>
      <c r="NY38" s="1746" t="s">
        <v>9697</v>
      </c>
      <c r="NZ38" s="1746" t="s">
        <v>9697</v>
      </c>
      <c r="OA38" s="1746" t="s">
        <v>9704</v>
      </c>
      <c r="OB38" s="1746" t="s">
        <v>9704</v>
      </c>
      <c r="OC38" s="1746" t="s">
        <v>9701</v>
      </c>
      <c r="OD38" s="1746" t="s">
        <v>9704</v>
      </c>
      <c r="OE38" s="1746" t="s">
        <v>9704</v>
      </c>
      <c r="OF38" s="1746" t="s">
        <v>9701</v>
      </c>
      <c r="OG38" s="1746" t="s">
        <v>9704</v>
      </c>
      <c r="OH38" s="1746" t="s">
        <v>9704</v>
      </c>
      <c r="OI38" s="1746" t="s">
        <v>9702</v>
      </c>
      <c r="OJ38" s="1746" t="s">
        <v>9706</v>
      </c>
      <c r="OK38" s="1746" t="s">
        <v>9706</v>
      </c>
      <c r="OL38" s="1746" t="s">
        <v>9722</v>
      </c>
      <c r="OM38" s="1746" t="s">
        <v>9702</v>
      </c>
      <c r="ON38" s="1746" t="s">
        <v>9701</v>
      </c>
      <c r="OO38" s="1746"/>
      <c r="OP38" s="148" t="s">
        <v>9718</v>
      </c>
      <c r="OQ38" s="1746" t="s">
        <v>9725</v>
      </c>
      <c r="OR38" s="1746" t="s">
        <v>9725</v>
      </c>
      <c r="OS38" s="1746" t="s">
        <v>9704</v>
      </c>
      <c r="OT38" s="1746" t="s">
        <v>9717</v>
      </c>
      <c r="OU38" s="1746" t="s">
        <v>9704</v>
      </c>
      <c r="OV38" s="1746" t="s">
        <v>9699</v>
      </c>
      <c r="OW38" s="1746" t="s">
        <v>9705</v>
      </c>
      <c r="OX38" s="1746" t="s">
        <v>9709</v>
      </c>
      <c r="OY38" s="1746" t="s">
        <v>9705</v>
      </c>
      <c r="OZ38" s="1746"/>
      <c r="PA38" s="1746" t="s">
        <v>9708</v>
      </c>
      <c r="PB38" s="1746" t="s">
        <v>9714</v>
      </c>
      <c r="PC38" s="1746" t="s">
        <v>9711</v>
      </c>
      <c r="PD38" s="1746" t="s">
        <v>9714</v>
      </c>
      <c r="PE38" s="1746"/>
      <c r="PF38" s="1746" t="s">
        <v>9718</v>
      </c>
      <c r="PG38" s="148" t="s">
        <v>9725</v>
      </c>
      <c r="PH38" s="1746" t="s">
        <v>9702</v>
      </c>
      <c r="PI38" s="1746" t="s">
        <v>9693</v>
      </c>
      <c r="PJ38" s="1746" t="s">
        <v>9718</v>
      </c>
      <c r="PK38" s="1746" t="s">
        <v>9711</v>
      </c>
      <c r="PL38" s="1746" t="s">
        <v>9718</v>
      </c>
      <c r="PM38" s="1746" t="s">
        <v>9698</v>
      </c>
      <c r="PN38" s="1746" t="s">
        <v>9705</v>
      </c>
      <c r="PO38" s="1746" t="s">
        <v>9704</v>
      </c>
      <c r="PP38" s="1746" t="s">
        <v>9704</v>
      </c>
      <c r="PQ38" s="1746" t="s">
        <v>9704</v>
      </c>
      <c r="PR38" s="148" t="s">
        <v>9701</v>
      </c>
      <c r="PS38" s="1746" t="s">
        <v>9708</v>
      </c>
      <c r="PT38" s="1746" t="s">
        <v>9704</v>
      </c>
      <c r="PU38" s="1746" t="s">
        <v>9698</v>
      </c>
      <c r="PV38" s="1746" t="s">
        <v>9709</v>
      </c>
      <c r="PW38" s="1746" t="s">
        <v>9714</v>
      </c>
      <c r="PX38" s="1746" t="s">
        <v>9704</v>
      </c>
      <c r="PY38" s="148" t="s">
        <v>9714</v>
      </c>
      <c r="PZ38" s="1746" t="s">
        <v>9708</v>
      </c>
      <c r="QA38" s="1746" t="s">
        <v>9702</v>
      </c>
      <c r="QB38" s="1746" t="s">
        <v>9711</v>
      </c>
      <c r="QC38" s="1746" t="s">
        <v>9705</v>
      </c>
      <c r="QD38" s="1746" t="s">
        <v>9708</v>
      </c>
      <c r="QE38" s="1746" t="s">
        <v>9718</v>
      </c>
      <c r="QF38" s="1746" t="s">
        <v>9714</v>
      </c>
      <c r="QG38" s="1746" t="s">
        <v>9713</v>
      </c>
      <c r="QH38" s="1746" t="s">
        <v>9704</v>
      </c>
      <c r="QI38" s="1746" t="s">
        <v>9698</v>
      </c>
      <c r="QJ38" s="1746" t="s">
        <v>9709</v>
      </c>
      <c r="QK38" s="1746" t="s">
        <v>9698</v>
      </c>
      <c r="QL38" s="148" t="s">
        <v>9701</v>
      </c>
      <c r="QM38" s="1746" t="s">
        <v>9723</v>
      </c>
      <c r="QN38" s="1746" t="s">
        <v>9720</v>
      </c>
      <c r="QO38" s="1746" t="s">
        <v>9704</v>
      </c>
      <c r="QP38" s="1746" t="s">
        <v>9698</v>
      </c>
      <c r="QQ38" s="1746" t="s">
        <v>9714</v>
      </c>
      <c r="QR38" s="1746" t="s">
        <v>9698</v>
      </c>
      <c r="QS38" s="1746" t="s">
        <v>9711</v>
      </c>
      <c r="QT38" s="1746" t="s">
        <v>9711</v>
      </c>
      <c r="QU38" s="1746" t="s">
        <v>9704</v>
      </c>
      <c r="QV38" s="1746" t="s">
        <v>9707</v>
      </c>
      <c r="QW38" s="148" t="s">
        <v>9695</v>
      </c>
      <c r="QX38" s="148" t="s">
        <v>9694</v>
      </c>
      <c r="QY38" s="148" t="s">
        <v>9695</v>
      </c>
      <c r="QZ38" s="148" t="s">
        <v>9715</v>
      </c>
      <c r="RA38" s="148" t="s">
        <v>9701</v>
      </c>
      <c r="RB38" s="148" t="s">
        <v>9705</v>
      </c>
      <c r="RC38" s="1746" t="s">
        <v>9704</v>
      </c>
      <c r="RD38" s="148" t="s">
        <v>9699</v>
      </c>
      <c r="RE38" s="1746" t="s">
        <v>9702</v>
      </c>
      <c r="RF38" s="148" t="s">
        <v>9702</v>
      </c>
      <c r="RG38" s="148" t="s">
        <v>9707</v>
      </c>
      <c r="RH38" s="1746" t="s">
        <v>9702</v>
      </c>
      <c r="RI38" s="1746" t="s">
        <v>9701</v>
      </c>
      <c r="RJ38" s="148" t="s">
        <v>9712</v>
      </c>
      <c r="RK38" s="148" t="s">
        <v>9702</v>
      </c>
      <c r="RL38" s="148" t="s">
        <v>9709</v>
      </c>
      <c r="RM38" s="148" t="s">
        <v>9695</v>
      </c>
      <c r="RN38" s="148" t="s">
        <v>9725</v>
      </c>
      <c r="RO38" s="148" t="s">
        <v>9699</v>
      </c>
      <c r="RP38" s="148" t="s">
        <v>9695</v>
      </c>
      <c r="RQ38" s="1746" t="s">
        <v>9715</v>
      </c>
      <c r="RR38" s="1746" t="s">
        <v>9715</v>
      </c>
      <c r="RS38" s="1746" t="s">
        <v>9715</v>
      </c>
      <c r="RT38" s="1746" t="s">
        <v>9715</v>
      </c>
      <c r="RU38" s="1746" t="s">
        <v>9715</v>
      </c>
      <c r="RV38" s="1746" t="s">
        <v>9715</v>
      </c>
      <c r="RW38" s="1746" t="s">
        <v>9700</v>
      </c>
      <c r="RX38" s="1746" t="s">
        <v>9695</v>
      </c>
      <c r="RY38" s="1746" t="s">
        <v>9701</v>
      </c>
      <c r="RZ38" s="148" t="s">
        <v>9695</v>
      </c>
      <c r="SA38" s="1746" t="s">
        <v>9691</v>
      </c>
      <c r="SB38" s="1746" t="s">
        <v>9704</v>
      </c>
      <c r="SC38" s="148" t="s">
        <v>9712</v>
      </c>
      <c r="SD38" s="1746" t="s">
        <v>9705</v>
      </c>
      <c r="SE38" s="1746" t="s">
        <v>9705</v>
      </c>
      <c r="SF38" s="1746" t="s">
        <v>9702</v>
      </c>
      <c r="SG38" s="1746" t="s">
        <v>9711</v>
      </c>
      <c r="SH38" s="1746" t="s">
        <v>9695</v>
      </c>
      <c r="SI38" s="1746" t="s">
        <v>9705</v>
      </c>
      <c r="SJ38" s="1746" t="s">
        <v>9704</v>
      </c>
      <c r="SK38" s="1746" t="s">
        <v>9704</v>
      </c>
      <c r="SL38" s="1747" t="s">
        <v>9727</v>
      </c>
    </row>
    <row r="39" ht="15.75" customHeight="1">
      <c r="A39" s="1517"/>
      <c r="B39" s="131" t="s">
        <v>9722</v>
      </c>
      <c r="C39" s="131" t="s">
        <v>9722</v>
      </c>
      <c r="D39" s="131" t="s">
        <v>9717</v>
      </c>
      <c r="E39" s="1739" t="s">
        <v>9719</v>
      </c>
      <c r="F39" s="1739" t="s">
        <v>9719</v>
      </c>
      <c r="G39" s="1739" t="s">
        <v>9698</v>
      </c>
      <c r="H39" s="387" t="s">
        <v>9712</v>
      </c>
      <c r="I39" s="387" t="s">
        <v>9712</v>
      </c>
      <c r="J39" s="387" t="s">
        <v>9699</v>
      </c>
      <c r="K39" s="131"/>
      <c r="L39" s="131"/>
      <c r="M39" s="1740" t="s">
        <v>9704</v>
      </c>
      <c r="N39" s="1741"/>
      <c r="O39" s="339"/>
      <c r="P39" s="339" t="s">
        <v>9711</v>
      </c>
      <c r="Q39" s="1741" t="s">
        <v>9710</v>
      </c>
      <c r="R39" s="1741" t="s">
        <v>9710</v>
      </c>
      <c r="S39" s="1741" t="s">
        <v>9706</v>
      </c>
      <c r="T39" s="448" t="s">
        <v>9698</v>
      </c>
      <c r="U39" s="1741" t="s">
        <v>9709</v>
      </c>
      <c r="V39" s="1741" t="s">
        <v>9710</v>
      </c>
      <c r="W39" s="1741" t="s">
        <v>9706</v>
      </c>
      <c r="X39" s="448" t="s">
        <v>9723</v>
      </c>
      <c r="Y39" s="448" t="s">
        <v>9717</v>
      </c>
      <c r="Z39" s="339" t="s">
        <v>9704</v>
      </c>
      <c r="AA39" s="339" t="s">
        <v>9712</v>
      </c>
      <c r="AB39" s="339" t="s">
        <v>9723</v>
      </c>
      <c r="AC39" s="339" t="s">
        <v>9720</v>
      </c>
      <c r="AD39" s="387" t="s">
        <v>9698</v>
      </c>
      <c r="AE39" s="387" t="s">
        <v>9698</v>
      </c>
      <c r="AF39" s="387" t="s">
        <v>9701</v>
      </c>
      <c r="AG39" s="448" t="s">
        <v>9698</v>
      </c>
      <c r="AH39" s="448" t="s">
        <v>9698</v>
      </c>
      <c r="AI39" s="448" t="s">
        <v>9701</v>
      </c>
      <c r="AJ39" s="1742" t="s">
        <v>9700</v>
      </c>
      <c r="AK39" s="1742" t="s">
        <v>9695</v>
      </c>
      <c r="AL39" s="1741" t="s">
        <v>9711</v>
      </c>
      <c r="AM39" s="339" t="s">
        <v>9704</v>
      </c>
      <c r="AN39" s="1742" t="s">
        <v>9705</v>
      </c>
      <c r="AO39" s="1742" t="s">
        <v>9700</v>
      </c>
      <c r="AP39" s="448" t="s">
        <v>9703</v>
      </c>
      <c r="AQ39" s="448" t="s">
        <v>9707</v>
      </c>
      <c r="AR39" s="387" t="s">
        <v>9722</v>
      </c>
      <c r="AS39" s="387" t="s">
        <v>9722</v>
      </c>
      <c r="AT39" s="1739" t="s">
        <v>9718</v>
      </c>
      <c r="AU39" s="1739" t="s">
        <v>9707</v>
      </c>
      <c r="AV39" s="1739" t="s">
        <v>9717</v>
      </c>
      <c r="AW39" s="448" t="s">
        <v>9722</v>
      </c>
      <c r="AX39" s="448" t="s">
        <v>9711</v>
      </c>
      <c r="AY39" s="1741" t="s">
        <v>9711</v>
      </c>
      <c r="AZ39" s="1741" t="s">
        <v>9707</v>
      </c>
      <c r="BA39" s="339" t="s">
        <v>9714</v>
      </c>
      <c r="BB39" s="339" t="s">
        <v>9702</v>
      </c>
      <c r="BC39" s="339" t="s">
        <v>9698</v>
      </c>
      <c r="BD39" s="387" t="s">
        <v>9702</v>
      </c>
      <c r="BE39" s="1741" t="s">
        <v>9702</v>
      </c>
      <c r="BF39" s="1741" t="s">
        <v>9699</v>
      </c>
      <c r="BG39" s="1741" t="s">
        <v>9711</v>
      </c>
      <c r="BH39" s="1741" t="s">
        <v>9719</v>
      </c>
      <c r="BI39" s="387" t="s">
        <v>9711</v>
      </c>
      <c r="BJ39" s="387" t="s">
        <v>9708</v>
      </c>
      <c r="BK39" s="387" t="s">
        <v>9702</v>
      </c>
      <c r="BL39" s="1741" t="s">
        <v>9708</v>
      </c>
      <c r="BM39" s="1741" t="s">
        <v>9708</v>
      </c>
      <c r="BN39" s="1741" t="s">
        <v>9702</v>
      </c>
      <c r="BO39" s="1743" t="s">
        <v>9713</v>
      </c>
      <c r="BP39" s="1743" t="s">
        <v>9713</v>
      </c>
      <c r="BQ39" s="1743" t="s">
        <v>9704</v>
      </c>
      <c r="BR39" s="131" t="s">
        <v>9722</v>
      </c>
      <c r="BS39" s="131" t="s">
        <v>9722</v>
      </c>
      <c r="BT39" s="131" t="s">
        <v>9718</v>
      </c>
      <c r="BU39" s="387" t="s">
        <v>9711</v>
      </c>
      <c r="BV39" s="387" t="s">
        <v>9717</v>
      </c>
      <c r="BW39" s="1741" t="s">
        <v>9719</v>
      </c>
      <c r="BX39" s="1741" t="s">
        <v>9719</v>
      </c>
      <c r="BY39" s="1741" t="s">
        <v>9713</v>
      </c>
      <c r="BZ39" s="339" t="s">
        <v>9722</v>
      </c>
      <c r="CA39" s="339" t="s">
        <v>9718</v>
      </c>
      <c r="CB39" s="1742" t="s">
        <v>9701</v>
      </c>
      <c r="CC39" s="1742" t="s">
        <v>9697</v>
      </c>
      <c r="CD39" s="1743" t="s">
        <v>9711</v>
      </c>
      <c r="CE39" s="1743" t="s">
        <v>9725</v>
      </c>
      <c r="CF39" s="1741" t="s">
        <v>9710</v>
      </c>
      <c r="CG39" s="1741" t="s">
        <v>9716</v>
      </c>
      <c r="CH39" s="1741" t="s">
        <v>9722</v>
      </c>
      <c r="CI39" s="1740" t="s">
        <v>9718</v>
      </c>
      <c r="CJ39" s="1740" t="s">
        <v>9711</v>
      </c>
      <c r="CK39" s="448" t="s">
        <v>9704</v>
      </c>
      <c r="CL39" s="448" t="s">
        <v>9698</v>
      </c>
      <c r="CM39" s="448" t="s">
        <v>9722</v>
      </c>
      <c r="CN39" s="448" t="s">
        <v>9711</v>
      </c>
      <c r="CO39" s="448" t="s">
        <v>9717</v>
      </c>
      <c r="CP39" s="448" t="s">
        <v>9717</v>
      </c>
      <c r="CQ39" s="448" t="s">
        <v>9708</v>
      </c>
      <c r="CR39" s="1743" t="s">
        <v>9723</v>
      </c>
      <c r="CS39" s="339" t="s">
        <v>9714</v>
      </c>
      <c r="CT39" s="339" t="s">
        <v>9708</v>
      </c>
      <c r="CU39" s="1739" t="s">
        <v>9723</v>
      </c>
      <c r="CV39" s="1739" t="s">
        <v>9704</v>
      </c>
      <c r="CW39" s="1739" t="s">
        <v>9711</v>
      </c>
      <c r="CX39" s="1739" t="s">
        <v>9703</v>
      </c>
      <c r="CY39" s="1742" t="s">
        <v>9717</v>
      </c>
      <c r="CZ39" s="339" t="s">
        <v>9715</v>
      </c>
      <c r="DA39" s="1741" t="s">
        <v>9704</v>
      </c>
      <c r="DB39" s="1741" t="s">
        <v>9712</v>
      </c>
      <c r="DC39" s="1741" t="s">
        <v>9711</v>
      </c>
      <c r="DD39" s="1741" t="s">
        <v>9711</v>
      </c>
      <c r="DE39" s="1742" t="s">
        <v>9705</v>
      </c>
      <c r="DF39" s="448" t="s">
        <v>9713</v>
      </c>
      <c r="DG39" s="448" t="s">
        <v>9725</v>
      </c>
      <c r="DH39" s="1743" t="s">
        <v>9702</v>
      </c>
      <c r="DI39" s="1743" t="s">
        <v>9709</v>
      </c>
      <c r="DJ39" s="1742" t="s">
        <v>9697</v>
      </c>
      <c r="DK39" s="387" t="s">
        <v>9717</v>
      </c>
      <c r="DL39" s="1741" t="s">
        <v>9700</v>
      </c>
      <c r="DM39" s="387" t="s">
        <v>9722</v>
      </c>
      <c r="DN39" s="387" t="s">
        <v>9718</v>
      </c>
      <c r="DO39" s="1739" t="s">
        <v>9722</v>
      </c>
      <c r="DP39" s="1739" t="s">
        <v>9718</v>
      </c>
      <c r="DQ39" s="1741" t="s">
        <v>9708</v>
      </c>
      <c r="DR39" s="448" t="s">
        <v>9702</v>
      </c>
      <c r="DS39" s="1742" t="s">
        <v>9705</v>
      </c>
      <c r="DT39" s="131" t="s">
        <v>9722</v>
      </c>
      <c r="DU39" s="1739" t="s">
        <v>9695</v>
      </c>
      <c r="DV39" s="339" t="s">
        <v>9712</v>
      </c>
      <c r="DW39" s="1739" t="s">
        <v>9719</v>
      </c>
      <c r="DX39" s="1741" t="s">
        <v>9704</v>
      </c>
      <c r="DY39" s="1741" t="s">
        <v>9709</v>
      </c>
      <c r="DZ39" s="1739"/>
      <c r="EA39" s="387" t="s">
        <v>9709</v>
      </c>
      <c r="EB39" s="387" t="s">
        <v>9705</v>
      </c>
      <c r="EC39" s="448"/>
      <c r="ED39" s="1741" t="s">
        <v>9722</v>
      </c>
      <c r="EE39" s="387" t="s">
        <v>9702</v>
      </c>
      <c r="EF39" s="339" t="s">
        <v>9698</v>
      </c>
      <c r="EG39" s="1739" t="s">
        <v>9713</v>
      </c>
      <c r="EH39" s="1742" t="s">
        <v>9702</v>
      </c>
      <c r="EI39" s="387" t="s">
        <v>9711</v>
      </c>
      <c r="EJ39" s="387" t="s">
        <v>9723</v>
      </c>
      <c r="EK39" s="1741" t="s">
        <v>9720</v>
      </c>
      <c r="EL39" s="1741" t="s">
        <v>9712</v>
      </c>
      <c r="EM39" s="448" t="s">
        <v>9704</v>
      </c>
      <c r="EN39" s="1744" t="s">
        <v>9709</v>
      </c>
      <c r="EO39" s="387" t="s">
        <v>9704</v>
      </c>
      <c r="EP39" s="339" t="s">
        <v>9725</v>
      </c>
      <c r="EQ39" s="339" t="s">
        <v>9720</v>
      </c>
      <c r="ER39" s="387" t="s">
        <v>9705</v>
      </c>
      <c r="ES39" s="387" t="s">
        <v>9705</v>
      </c>
      <c r="ET39" s="1741" t="s">
        <v>9697</v>
      </c>
      <c r="EU39" s="448" t="s">
        <v>9691</v>
      </c>
      <c r="EV39" s="1742"/>
      <c r="EW39" s="131" t="s">
        <v>9715</v>
      </c>
      <c r="EX39" s="131" t="s">
        <v>9715</v>
      </c>
      <c r="EY39" s="131" t="s">
        <v>9702</v>
      </c>
      <c r="EZ39" s="339" t="s">
        <v>9722</v>
      </c>
      <c r="FA39" s="339" t="s">
        <v>9707</v>
      </c>
      <c r="FB39" s="339" t="s">
        <v>9704</v>
      </c>
      <c r="FC39" s="387" t="s">
        <v>9712</v>
      </c>
      <c r="FD39" s="387" t="s">
        <v>9698</v>
      </c>
      <c r="FE39" s="387" t="s">
        <v>9701</v>
      </c>
      <c r="FF39" s="1741" t="s">
        <v>9698</v>
      </c>
      <c r="FG39" s="1741" t="s">
        <v>9705</v>
      </c>
      <c r="FH39" s="1741" t="s">
        <v>9718</v>
      </c>
      <c r="FI39" s="1741" t="s">
        <v>9711</v>
      </c>
      <c r="FJ39" s="1739" t="s">
        <v>9704</v>
      </c>
      <c r="FK39" s="1739" t="s">
        <v>9712</v>
      </c>
      <c r="FL39" s="131" t="s">
        <v>9718</v>
      </c>
      <c r="FM39" s="1739" t="s">
        <v>9711</v>
      </c>
      <c r="FN39" s="448" t="s">
        <v>9707</v>
      </c>
      <c r="FO39" s="387" t="s">
        <v>9725</v>
      </c>
      <c r="FP39" s="387" t="s">
        <v>9704</v>
      </c>
      <c r="FQ39" s="339" t="s">
        <v>9718</v>
      </c>
      <c r="FR39" s="1742" t="s">
        <v>9708</v>
      </c>
      <c r="FS39" s="1742" t="s">
        <v>9714</v>
      </c>
      <c r="FT39" s="1740" t="s">
        <v>9704</v>
      </c>
      <c r="FU39" s="1740" t="s">
        <v>9708</v>
      </c>
      <c r="FV39" s="131" t="s">
        <v>9704</v>
      </c>
      <c r="FW39" s="131" t="s">
        <v>9714</v>
      </c>
      <c r="FX39" s="1740" t="s">
        <v>9718</v>
      </c>
      <c r="FY39" s="1742" t="s">
        <v>9725</v>
      </c>
      <c r="FZ39" s="339" t="s">
        <v>9704</v>
      </c>
      <c r="GA39" s="131" t="s">
        <v>9711</v>
      </c>
      <c r="GB39" s="387" t="s">
        <v>9712</v>
      </c>
      <c r="GC39" s="387" t="s">
        <v>9698</v>
      </c>
      <c r="GD39" s="1741" t="s">
        <v>9720</v>
      </c>
      <c r="GE39" s="131" t="s">
        <v>9698</v>
      </c>
      <c r="GF39" s="1742" t="s">
        <v>9722</v>
      </c>
      <c r="GG39" s="131" t="s">
        <v>9722</v>
      </c>
      <c r="GH39" s="387" t="s">
        <v>9718</v>
      </c>
      <c r="GI39" s="448" t="s">
        <v>9702</v>
      </c>
      <c r="GJ39" s="339" t="s">
        <v>9711</v>
      </c>
      <c r="GK39" s="339" t="s">
        <v>9717</v>
      </c>
      <c r="GL39" s="1739" t="s">
        <v>9718</v>
      </c>
      <c r="GM39" s="387" t="s">
        <v>9704</v>
      </c>
      <c r="GN39" s="387" t="s">
        <v>9702</v>
      </c>
      <c r="GO39" s="448" t="s">
        <v>9714</v>
      </c>
      <c r="GP39" s="1744" t="s">
        <v>9704</v>
      </c>
      <c r="GQ39" s="1744" t="s">
        <v>9703</v>
      </c>
      <c r="GR39" s="1742" t="s">
        <v>9697</v>
      </c>
      <c r="GS39" s="1743" t="s">
        <v>9704</v>
      </c>
      <c r="GT39" s="1744"/>
      <c r="GU39" s="387"/>
      <c r="GV39" s="339" t="s">
        <v>9708</v>
      </c>
      <c r="GW39" s="1743" t="s">
        <v>9720</v>
      </c>
      <c r="GX39" s="448" t="s">
        <v>9715</v>
      </c>
      <c r="GY39" s="339" t="s">
        <v>9709</v>
      </c>
      <c r="GZ39" s="448" t="s">
        <v>9717</v>
      </c>
      <c r="HA39" s="1743" t="s">
        <v>9720</v>
      </c>
      <c r="HB39" s="1742" t="s">
        <v>9709</v>
      </c>
      <c r="HC39" s="448" t="s">
        <v>9701</v>
      </c>
      <c r="HD39" s="1743" t="s">
        <v>9725</v>
      </c>
      <c r="HE39" s="1739" t="s">
        <v>9718</v>
      </c>
      <c r="HF39" s="339" t="s">
        <v>9711</v>
      </c>
      <c r="HG39" s="387" t="s">
        <v>9704</v>
      </c>
      <c r="HH39" s="1744" t="s">
        <v>9702</v>
      </c>
      <c r="HI39" s="1741" t="s">
        <v>9712</v>
      </c>
      <c r="HJ39" s="1741" t="s">
        <v>9698</v>
      </c>
      <c r="HK39" s="1739" t="s">
        <v>9718</v>
      </c>
      <c r="HL39" s="1739" t="s">
        <v>9720</v>
      </c>
      <c r="HM39" s="1741" t="s">
        <v>9704</v>
      </c>
      <c r="HN39" s="1741" t="s">
        <v>9698</v>
      </c>
      <c r="HO39" s="1742" t="s">
        <v>9699</v>
      </c>
      <c r="HP39" s="1743" t="s">
        <v>9704</v>
      </c>
      <c r="HQ39" s="1739" t="s">
        <v>9704</v>
      </c>
      <c r="HR39" s="1739" t="s">
        <v>9707</v>
      </c>
      <c r="HS39" s="448" t="s">
        <v>9704</v>
      </c>
      <c r="HT39" s="1743" t="s">
        <v>9711</v>
      </c>
      <c r="HU39" s="1744" t="s">
        <v>9717</v>
      </c>
      <c r="HV39" s="1744" t="s">
        <v>9713</v>
      </c>
      <c r="HW39" s="387" t="s">
        <v>9718</v>
      </c>
      <c r="HX39" s="387" t="s">
        <v>9718</v>
      </c>
      <c r="HY39" s="1743" t="s">
        <v>9711</v>
      </c>
      <c r="HZ39" s="1739" t="s">
        <v>9702</v>
      </c>
      <c r="IA39" s="1741" t="s">
        <v>9699</v>
      </c>
      <c r="IB39" s="1740"/>
      <c r="IC39" s="448" t="s">
        <v>9722</v>
      </c>
      <c r="ID39" s="1741" t="s">
        <v>9707</v>
      </c>
      <c r="IE39" s="1742" t="s">
        <v>9714</v>
      </c>
      <c r="IF39" s="339" t="s">
        <v>9725</v>
      </c>
      <c r="IG39" s="1739" t="s">
        <v>9711</v>
      </c>
      <c r="IH39" s="1742" t="s">
        <v>9705</v>
      </c>
      <c r="II39" s="1742" t="s">
        <v>9697</v>
      </c>
      <c r="IJ39" s="339" t="s">
        <v>9702</v>
      </c>
      <c r="IK39" s="1741" t="s">
        <v>9714</v>
      </c>
      <c r="IL39" s="387" t="s">
        <v>9701</v>
      </c>
      <c r="IM39" s="131" t="s">
        <v>9720</v>
      </c>
      <c r="IN39" s="1743" t="s">
        <v>9720</v>
      </c>
      <c r="IO39" s="131" t="s">
        <v>9695</v>
      </c>
      <c r="IP39" s="1740" t="s">
        <v>9694</v>
      </c>
      <c r="IQ39" s="1739" t="s">
        <v>9705</v>
      </c>
      <c r="IR39" s="131" t="s">
        <v>9702</v>
      </c>
      <c r="IS39" s="131" t="s">
        <v>9712</v>
      </c>
      <c r="IT39" s="131" t="s">
        <v>9712</v>
      </c>
      <c r="IU39" s="131" t="s">
        <v>9701</v>
      </c>
      <c r="IV39" s="1739" t="s">
        <v>9718</v>
      </c>
      <c r="IW39" s="1739" t="s">
        <v>9723</v>
      </c>
      <c r="IX39" s="1739" t="s">
        <v>9712</v>
      </c>
      <c r="IY39" s="387" t="s">
        <v>9723</v>
      </c>
      <c r="IZ39" s="387" t="s">
        <v>9712</v>
      </c>
      <c r="JA39" s="387" t="s">
        <v>9699</v>
      </c>
      <c r="JB39" s="1743" t="s">
        <v>9703</v>
      </c>
      <c r="JC39" s="1743" t="s">
        <v>9704</v>
      </c>
      <c r="JD39" s="1741" t="s">
        <v>9698</v>
      </c>
      <c r="JE39" s="1740" t="s">
        <v>9709</v>
      </c>
      <c r="JF39" s="1739"/>
      <c r="JG39" s="1740"/>
      <c r="JH39" s="339" t="s">
        <v>9707</v>
      </c>
      <c r="JI39" s="448"/>
      <c r="JJ39" s="131" t="s">
        <v>9717</v>
      </c>
      <c r="JK39" s="131" t="s">
        <v>9702</v>
      </c>
      <c r="JL39" s="131" t="s">
        <v>9702</v>
      </c>
      <c r="JM39" s="131" t="s">
        <v>9695</v>
      </c>
      <c r="JN39" s="1741" t="s">
        <v>9718</v>
      </c>
      <c r="JO39" s="1741" t="s">
        <v>9704</v>
      </c>
      <c r="JP39" s="1741" t="s">
        <v>9704</v>
      </c>
      <c r="JQ39" s="387" t="s">
        <v>9710</v>
      </c>
      <c r="JR39" s="387" t="s">
        <v>9706</v>
      </c>
      <c r="JS39" s="1740" t="s">
        <v>9711</v>
      </c>
      <c r="JT39" s="339" t="s">
        <v>9707</v>
      </c>
      <c r="JU39" s="1740" t="s">
        <v>9714</v>
      </c>
      <c r="JV39" s="1740" t="s">
        <v>9714</v>
      </c>
      <c r="JW39" s="1740" t="s">
        <v>9708</v>
      </c>
      <c r="JX39" s="387" t="s">
        <v>9704</v>
      </c>
      <c r="JY39" s="387" t="s">
        <v>9714</v>
      </c>
      <c r="JZ39" s="1741" t="s">
        <v>9718</v>
      </c>
      <c r="KA39" s="131" t="s">
        <v>9702</v>
      </c>
      <c r="KB39" s="1741" t="s">
        <v>9709</v>
      </c>
      <c r="KC39" s="1740" t="s">
        <v>9700</v>
      </c>
      <c r="KD39" s="1741" t="s">
        <v>9695</v>
      </c>
      <c r="KE39" s="1743" t="s">
        <v>9711</v>
      </c>
      <c r="KF39" s="339" t="s">
        <v>9707</v>
      </c>
      <c r="KG39" s="1741" t="s">
        <v>9707</v>
      </c>
      <c r="KH39" s="1742" t="s">
        <v>9704</v>
      </c>
      <c r="KI39" s="387" t="s">
        <v>9702</v>
      </c>
      <c r="KJ39" s="387" t="s">
        <v>9699</v>
      </c>
      <c r="KK39" s="339" t="s">
        <v>9723</v>
      </c>
      <c r="KL39" s="1741" t="s">
        <v>9704</v>
      </c>
      <c r="KM39" s="387" t="s">
        <v>9718</v>
      </c>
      <c r="KN39" s="1743" t="s">
        <v>9723</v>
      </c>
      <c r="KO39" s="1742" t="s">
        <v>9705</v>
      </c>
      <c r="KP39" s="448" t="s">
        <v>9701</v>
      </c>
      <c r="KQ39" s="448" t="s">
        <v>9714</v>
      </c>
      <c r="KR39" s="1744" t="s">
        <v>9712</v>
      </c>
      <c r="KS39" s="1743" t="s">
        <v>9725</v>
      </c>
      <c r="KT39" s="1743" t="s">
        <v>9725</v>
      </c>
      <c r="KU39" s="1743" t="s">
        <v>9695</v>
      </c>
      <c r="KV39" s="387" t="s">
        <v>9712</v>
      </c>
      <c r="KW39" s="1739" t="s">
        <v>9714</v>
      </c>
      <c r="KX39" s="131" t="s">
        <v>9713</v>
      </c>
      <c r="KY39" s="339" t="s">
        <v>9725</v>
      </c>
      <c r="KZ39" s="339" t="s">
        <v>9718</v>
      </c>
      <c r="LA39" s="339" t="s">
        <v>9718</v>
      </c>
      <c r="LB39" s="1743" t="s">
        <v>9702</v>
      </c>
      <c r="LC39" s="448" t="s">
        <v>9702</v>
      </c>
      <c r="LD39" s="131" t="s">
        <v>9711</v>
      </c>
      <c r="LE39" s="131" t="s">
        <v>9704</v>
      </c>
      <c r="LF39" s="448" t="s">
        <v>9702</v>
      </c>
      <c r="LG39" s="1739" t="s">
        <v>9711</v>
      </c>
      <c r="LH39" s="387" t="s">
        <v>9702</v>
      </c>
      <c r="LI39" s="387" t="s">
        <v>9723</v>
      </c>
      <c r="LJ39" s="387" t="s">
        <v>9704</v>
      </c>
      <c r="LK39" s="339" t="s">
        <v>9711</v>
      </c>
      <c r="LL39" s="1739" t="s">
        <v>9720</v>
      </c>
      <c r="LM39" s="1741" t="s">
        <v>9719</v>
      </c>
      <c r="LN39" s="1744" t="s">
        <v>9704</v>
      </c>
      <c r="LO39" s="448" t="s">
        <v>9708</v>
      </c>
      <c r="LP39" s="1741" t="s">
        <v>9714</v>
      </c>
      <c r="LQ39" s="1741" t="s">
        <v>9723</v>
      </c>
      <c r="LR39" s="131" t="s">
        <v>9723</v>
      </c>
      <c r="LS39" s="131" t="s">
        <v>9704</v>
      </c>
      <c r="LT39" s="131" t="s">
        <v>9711</v>
      </c>
      <c r="LU39" s="131" t="s">
        <v>9720</v>
      </c>
      <c r="LV39" s="387" t="s">
        <v>9718</v>
      </c>
      <c r="LW39" s="387" t="s">
        <v>9699</v>
      </c>
      <c r="LX39" s="1740" t="s">
        <v>9700</v>
      </c>
      <c r="LY39" s="1744" t="s">
        <v>9713</v>
      </c>
      <c r="LZ39" s="339" t="s">
        <v>9708</v>
      </c>
      <c r="MA39" s="1739" t="s">
        <v>9714</v>
      </c>
      <c r="MB39" s="1743" t="s">
        <v>9723</v>
      </c>
      <c r="MC39" s="387" t="s">
        <v>9720</v>
      </c>
      <c r="MD39" s="1739" t="s">
        <v>9704</v>
      </c>
      <c r="ME39" s="1739" t="s">
        <v>9712</v>
      </c>
      <c r="MF39" s="1741" t="s">
        <v>9698</v>
      </c>
      <c r="MG39" s="1744" t="s">
        <v>9702</v>
      </c>
      <c r="MH39" s="448" t="s">
        <v>9711</v>
      </c>
      <c r="MI39" s="131" t="s">
        <v>9720</v>
      </c>
      <c r="MJ39" s="1743" t="s">
        <v>9711</v>
      </c>
      <c r="MK39" s="1743" t="s">
        <v>9720</v>
      </c>
      <c r="ML39" s="1741" t="s">
        <v>9722</v>
      </c>
      <c r="MM39" s="1742" t="s">
        <v>9704</v>
      </c>
      <c r="MN39" s="1740" t="s">
        <v>9702</v>
      </c>
      <c r="MO39" s="131" t="s">
        <v>9709</v>
      </c>
      <c r="MP39" s="1744" t="s">
        <v>9704</v>
      </c>
      <c r="MQ39" s="1744" t="s">
        <v>9714</v>
      </c>
      <c r="MR39" s="1744" t="s">
        <v>9704</v>
      </c>
      <c r="MS39" s="1744" t="s">
        <v>9702</v>
      </c>
      <c r="MT39" s="131" t="s">
        <v>9704</v>
      </c>
      <c r="MU39" s="387" t="s">
        <v>9704</v>
      </c>
      <c r="MV39" s="1740" t="s">
        <v>9701</v>
      </c>
      <c r="MW39" s="387"/>
      <c r="MX39" s="1743" t="s">
        <v>9704</v>
      </c>
      <c r="MY39" s="1743" t="s">
        <v>9699</v>
      </c>
      <c r="MZ39" s="387" t="s">
        <v>9723</v>
      </c>
      <c r="NA39" s="387" t="s">
        <v>9704</v>
      </c>
      <c r="NB39" s="387" t="s">
        <v>9702</v>
      </c>
      <c r="NC39" s="387" t="s">
        <v>9722</v>
      </c>
      <c r="ND39" s="387" t="s">
        <v>9711</v>
      </c>
      <c r="NE39" s="1742" t="s">
        <v>9714</v>
      </c>
      <c r="NF39" s="1743" t="s">
        <v>9702</v>
      </c>
      <c r="NG39" s="1742" t="s">
        <v>9718</v>
      </c>
      <c r="NH39" s="387" t="s">
        <v>9723</v>
      </c>
      <c r="NI39" s="1740" t="s">
        <v>9723</v>
      </c>
      <c r="NJ39" s="387" t="s">
        <v>9704</v>
      </c>
      <c r="NK39" s="387"/>
      <c r="NL39" s="387" t="s">
        <v>9704</v>
      </c>
      <c r="NM39" s="387" t="s">
        <v>9704</v>
      </c>
      <c r="NN39" s="1741" t="s">
        <v>9712</v>
      </c>
      <c r="NO39" s="387" t="s">
        <v>9699</v>
      </c>
      <c r="NP39" s="1743" t="s">
        <v>9712</v>
      </c>
      <c r="NQ39" s="1739" t="s">
        <v>9695</v>
      </c>
      <c r="NR39" s="387" t="s">
        <v>9695</v>
      </c>
      <c r="NS39" s="387" t="s">
        <v>9705</v>
      </c>
      <c r="NT39" s="1739" t="s">
        <v>9709</v>
      </c>
      <c r="NU39" s="131" t="s">
        <v>9700</v>
      </c>
      <c r="NV39" s="339" t="s">
        <v>9702</v>
      </c>
      <c r="NW39" s="1739" t="s">
        <v>9695</v>
      </c>
      <c r="NX39" s="1739" t="s">
        <v>9695</v>
      </c>
      <c r="NY39" s="1739" t="s">
        <v>9695</v>
      </c>
      <c r="NZ39" s="1739" t="s">
        <v>9695</v>
      </c>
      <c r="OA39" s="131" t="s">
        <v>9715</v>
      </c>
      <c r="OB39" s="131" t="s">
        <v>9715</v>
      </c>
      <c r="OC39" s="131" t="s">
        <v>9699</v>
      </c>
      <c r="OD39" s="1741" t="s">
        <v>9713</v>
      </c>
      <c r="OE39" s="1741" t="s">
        <v>9713</v>
      </c>
      <c r="OF39" s="1741" t="s">
        <v>9699</v>
      </c>
      <c r="OG39" s="387" t="s">
        <v>9723</v>
      </c>
      <c r="OH39" s="387" t="s">
        <v>9723</v>
      </c>
      <c r="OI39" s="387" t="s">
        <v>9698</v>
      </c>
      <c r="OJ39" s="1741" t="s">
        <v>9710</v>
      </c>
      <c r="OK39" s="1741" t="s">
        <v>9710</v>
      </c>
      <c r="OL39" s="1741" t="s">
        <v>9706</v>
      </c>
      <c r="OM39" s="1741" t="s">
        <v>9698</v>
      </c>
      <c r="ON39" s="1741" t="s">
        <v>9705</v>
      </c>
      <c r="OO39" s="1739"/>
      <c r="OP39" s="1739" t="s">
        <v>9722</v>
      </c>
      <c r="OQ39" s="387" t="s">
        <v>9711</v>
      </c>
      <c r="OR39" s="387" t="s">
        <v>9711</v>
      </c>
      <c r="OS39" s="387" t="s">
        <v>9725</v>
      </c>
      <c r="OT39" s="131" t="s">
        <v>9711</v>
      </c>
      <c r="OU39" s="131" t="s">
        <v>9717</v>
      </c>
      <c r="OV39" s="387" t="s">
        <v>9702</v>
      </c>
      <c r="OW39" s="387" t="s">
        <v>9709</v>
      </c>
      <c r="OX39" s="1743" t="s">
        <v>9699</v>
      </c>
      <c r="OY39" s="1743" t="s">
        <v>9709</v>
      </c>
      <c r="OZ39" s="131"/>
      <c r="PA39" s="131" t="s">
        <v>9714</v>
      </c>
      <c r="PB39" s="339" t="s">
        <v>9704</v>
      </c>
      <c r="PC39" s="1742" t="s">
        <v>9718</v>
      </c>
      <c r="PD39" s="339" t="s">
        <v>9704</v>
      </c>
      <c r="PE39" s="339"/>
      <c r="PF39" s="339" t="s">
        <v>9722</v>
      </c>
      <c r="PG39" s="1740" t="s">
        <v>9711</v>
      </c>
      <c r="PH39" s="1741" t="s">
        <v>9698</v>
      </c>
      <c r="PI39" s="1741" t="s">
        <v>9695</v>
      </c>
      <c r="PJ39" s="1742" t="s">
        <v>9722</v>
      </c>
      <c r="PK39" s="1742" t="s">
        <v>9718</v>
      </c>
      <c r="PL39" s="448" t="s">
        <v>9722</v>
      </c>
      <c r="PM39" s="448" t="s">
        <v>9704</v>
      </c>
      <c r="PN39" s="448" t="s">
        <v>9709</v>
      </c>
      <c r="PO39" s="448" t="s">
        <v>9725</v>
      </c>
      <c r="PP39" s="448" t="s">
        <v>9725</v>
      </c>
      <c r="PQ39" s="1741" t="s">
        <v>9725</v>
      </c>
      <c r="PR39" s="1741" t="s">
        <v>9705</v>
      </c>
      <c r="PS39" s="448" t="s">
        <v>9714</v>
      </c>
      <c r="PT39" s="1744" t="s">
        <v>9707</v>
      </c>
      <c r="PU39" s="1743" t="s">
        <v>9714</v>
      </c>
      <c r="PV39" s="1743" t="s">
        <v>9702</v>
      </c>
      <c r="PW39" s="339" t="s">
        <v>9704</v>
      </c>
      <c r="PX39" s="448" t="s">
        <v>9713</v>
      </c>
      <c r="PY39" s="448" t="s">
        <v>9704</v>
      </c>
      <c r="PZ39" s="131" t="s">
        <v>9714</v>
      </c>
      <c r="QA39" s="131" t="s">
        <v>9708</v>
      </c>
      <c r="QB39" s="1741" t="s">
        <v>9718</v>
      </c>
      <c r="QC39" s="1742" t="s">
        <v>9709</v>
      </c>
      <c r="QD39" s="1742" t="s">
        <v>9714</v>
      </c>
      <c r="QE39" s="1744" t="s">
        <v>9722</v>
      </c>
      <c r="QF39" s="448" t="s">
        <v>9704</v>
      </c>
      <c r="QG39" s="387" t="s">
        <v>9720</v>
      </c>
      <c r="QH39" s="387" t="s">
        <v>9713</v>
      </c>
      <c r="QI39" s="387" t="s">
        <v>9712</v>
      </c>
      <c r="QJ39" s="1744" t="s">
        <v>9699</v>
      </c>
      <c r="QK39" s="387" t="s">
        <v>9712</v>
      </c>
      <c r="QL39" s="387" t="s">
        <v>9699</v>
      </c>
      <c r="QM39" s="1741" t="s">
        <v>9711</v>
      </c>
      <c r="QN39" s="1741" t="s">
        <v>9723</v>
      </c>
      <c r="QO39" s="448" t="s">
        <v>9717</v>
      </c>
      <c r="QP39" s="448" t="s">
        <v>9714</v>
      </c>
      <c r="QQ39" s="387" t="s">
        <v>9712</v>
      </c>
      <c r="QR39" s="387" t="s">
        <v>9714</v>
      </c>
      <c r="QS39" s="131" t="s">
        <v>9718</v>
      </c>
      <c r="QT39" s="387" t="s">
        <v>9718</v>
      </c>
      <c r="QU39" s="387" t="s">
        <v>9711</v>
      </c>
      <c r="QV39" s="387" t="s">
        <v>9711</v>
      </c>
      <c r="QW39" s="1740" t="s">
        <v>9700</v>
      </c>
      <c r="QX39" s="1740" t="s">
        <v>9697</v>
      </c>
      <c r="QY39" s="1744" t="s">
        <v>9701</v>
      </c>
      <c r="QZ39" s="1743" t="s">
        <v>9725</v>
      </c>
      <c r="RA39" s="1742" t="s">
        <v>9705</v>
      </c>
      <c r="RB39" s="1743" t="s">
        <v>9709</v>
      </c>
      <c r="RC39" s="387" t="s">
        <v>9715</v>
      </c>
      <c r="RD39" s="339" t="s">
        <v>9702</v>
      </c>
      <c r="RE39" s="1739" t="s">
        <v>9708</v>
      </c>
      <c r="RF39" s="1740" t="s">
        <v>9708</v>
      </c>
      <c r="RG39" s="131" t="s">
        <v>9711</v>
      </c>
      <c r="RH39" s="131" t="s">
        <v>9698</v>
      </c>
      <c r="RI39" s="387" t="s">
        <v>9702</v>
      </c>
      <c r="RJ39" s="448" t="s">
        <v>9704</v>
      </c>
      <c r="RK39" s="1741" t="s">
        <v>9698</v>
      </c>
      <c r="RL39" s="1739" t="s">
        <v>9702</v>
      </c>
      <c r="RM39" s="1740" t="s">
        <v>9705</v>
      </c>
      <c r="RN39" s="1743" t="s">
        <v>9720</v>
      </c>
      <c r="RO39" s="1744" t="s">
        <v>9702</v>
      </c>
      <c r="RP39" s="1740" t="s">
        <v>9705</v>
      </c>
      <c r="RQ39" s="1739" t="s">
        <v>9725</v>
      </c>
      <c r="RR39" s="1739" t="s">
        <v>9725</v>
      </c>
      <c r="RS39" s="1739" t="s">
        <v>9725</v>
      </c>
      <c r="RT39" s="1739" t="s">
        <v>9725</v>
      </c>
      <c r="RU39" s="1739" t="s">
        <v>9725</v>
      </c>
      <c r="RV39" s="1739" t="s">
        <v>9725</v>
      </c>
      <c r="RW39" s="339" t="s">
        <v>9701</v>
      </c>
      <c r="RX39" s="1742" t="s">
        <v>9701</v>
      </c>
      <c r="RY39" s="387" t="s">
        <v>9705</v>
      </c>
      <c r="RZ39" s="1740" t="s">
        <v>9701</v>
      </c>
      <c r="SA39" s="448" t="s">
        <v>9693</v>
      </c>
      <c r="SB39" s="1741" t="s">
        <v>9713</v>
      </c>
      <c r="SC39" s="1740" t="s">
        <v>9704</v>
      </c>
      <c r="SD39" s="1744" t="s">
        <v>9709</v>
      </c>
      <c r="SE39" s="1744" t="s">
        <v>9709</v>
      </c>
      <c r="SF39" s="339" t="s">
        <v>9708</v>
      </c>
      <c r="SG39" s="387" t="s">
        <v>9718</v>
      </c>
      <c r="SH39" s="387" t="s">
        <v>9702</v>
      </c>
      <c r="SI39" s="1744" t="s">
        <v>9709</v>
      </c>
      <c r="SJ39" s="131" t="s">
        <v>9711</v>
      </c>
      <c r="SK39" s="131" t="s">
        <v>9711</v>
      </c>
      <c r="SL39" s="1745" t="s">
        <v>9728</v>
      </c>
    </row>
    <row r="40" ht="15.75" customHeight="1">
      <c r="A40" s="1517"/>
      <c r="B40" s="148" t="s">
        <v>9706</v>
      </c>
      <c r="C40" s="148" t="s">
        <v>9706</v>
      </c>
      <c r="D40" s="148" t="s">
        <v>9711</v>
      </c>
      <c r="E40" s="148" t="s">
        <v>9723</v>
      </c>
      <c r="F40" s="148" t="s">
        <v>9723</v>
      </c>
      <c r="G40" s="148" t="s">
        <v>9712</v>
      </c>
      <c r="H40" s="148" t="s">
        <v>9704</v>
      </c>
      <c r="I40" s="148" t="s">
        <v>9704</v>
      </c>
      <c r="J40" s="148" t="s">
        <v>9702</v>
      </c>
      <c r="K40" s="148"/>
      <c r="L40" s="148"/>
      <c r="M40" s="148" t="s">
        <v>9707</v>
      </c>
      <c r="N40" s="148"/>
      <c r="O40" s="148"/>
      <c r="P40" s="148" t="s">
        <v>9718</v>
      </c>
      <c r="Q40" s="148" t="s">
        <v>9716</v>
      </c>
      <c r="R40" s="148" t="s">
        <v>9716</v>
      </c>
      <c r="S40" s="148" t="s">
        <v>9710</v>
      </c>
      <c r="T40" s="148" t="s">
        <v>9714</v>
      </c>
      <c r="U40" s="148" t="s">
        <v>9702</v>
      </c>
      <c r="V40" s="148" t="s">
        <v>9716</v>
      </c>
      <c r="W40" s="148" t="s">
        <v>9710</v>
      </c>
      <c r="X40" s="148" t="s">
        <v>9703</v>
      </c>
      <c r="Y40" s="148" t="s">
        <v>9723</v>
      </c>
      <c r="Z40" s="148" t="s">
        <v>9725</v>
      </c>
      <c r="AA40" s="148" t="s">
        <v>9704</v>
      </c>
      <c r="AB40" s="148" t="s">
        <v>9707</v>
      </c>
      <c r="AC40" s="148" t="s">
        <v>9723</v>
      </c>
      <c r="AD40" s="148" t="s">
        <v>9704</v>
      </c>
      <c r="AE40" s="148" t="s">
        <v>9704</v>
      </c>
      <c r="AF40" s="148" t="s">
        <v>9705</v>
      </c>
      <c r="AG40" s="148" t="s">
        <v>9704</v>
      </c>
      <c r="AH40" s="148" t="s">
        <v>9704</v>
      </c>
      <c r="AI40" s="148" t="s">
        <v>9705</v>
      </c>
      <c r="AJ40" s="148" t="s">
        <v>9701</v>
      </c>
      <c r="AK40" s="148" t="s">
        <v>9700</v>
      </c>
      <c r="AL40" s="148" t="s">
        <v>9718</v>
      </c>
      <c r="AM40" s="148" t="s">
        <v>9713</v>
      </c>
      <c r="AN40" s="148" t="s">
        <v>9709</v>
      </c>
      <c r="AO40" s="148" t="s">
        <v>9705</v>
      </c>
      <c r="AP40" s="148" t="s">
        <v>9711</v>
      </c>
      <c r="AQ40" s="148" t="s">
        <v>9703</v>
      </c>
      <c r="AR40" s="148" t="s">
        <v>9706</v>
      </c>
      <c r="AS40" s="148" t="s">
        <v>9706</v>
      </c>
      <c r="AT40" s="148" t="s">
        <v>9722</v>
      </c>
      <c r="AU40" s="148" t="s">
        <v>9711</v>
      </c>
      <c r="AV40" s="148" t="s">
        <v>9707</v>
      </c>
      <c r="AW40" s="148" t="s">
        <v>9706</v>
      </c>
      <c r="AX40" s="148" t="s">
        <v>9718</v>
      </c>
      <c r="AY40" s="148" t="s">
        <v>9718</v>
      </c>
      <c r="AZ40" s="148" t="s">
        <v>9711</v>
      </c>
      <c r="BA40" s="148" t="s">
        <v>9704</v>
      </c>
      <c r="BB40" s="148" t="s">
        <v>9698</v>
      </c>
      <c r="BC40" s="148" t="s">
        <v>9708</v>
      </c>
      <c r="BD40" s="148" t="s">
        <v>9698</v>
      </c>
      <c r="BE40" s="148" t="s">
        <v>9698</v>
      </c>
      <c r="BF40" s="148" t="s">
        <v>9702</v>
      </c>
      <c r="BG40" s="148" t="s">
        <v>9718</v>
      </c>
      <c r="BH40" s="148" t="s">
        <v>9707</v>
      </c>
      <c r="BI40" s="148" t="s">
        <v>9718</v>
      </c>
      <c r="BJ40" s="148" t="s">
        <v>9712</v>
      </c>
      <c r="BK40" s="148" t="s">
        <v>9698</v>
      </c>
      <c r="BL40" s="148" t="s">
        <v>9714</v>
      </c>
      <c r="BM40" s="148" t="s">
        <v>9714</v>
      </c>
      <c r="BN40" s="148" t="s">
        <v>9708</v>
      </c>
      <c r="BO40" s="148" t="s">
        <v>9719</v>
      </c>
      <c r="BP40" s="148"/>
      <c r="BQ40" s="148" t="s">
        <v>9713</v>
      </c>
      <c r="BR40" s="148" t="s">
        <v>9706</v>
      </c>
      <c r="BS40" s="148" t="s">
        <v>9706</v>
      </c>
      <c r="BT40" s="148" t="s">
        <v>9722</v>
      </c>
      <c r="BU40" s="148" t="s">
        <v>9718</v>
      </c>
      <c r="BV40" s="148" t="s">
        <v>9711</v>
      </c>
      <c r="BW40" s="148" t="s">
        <v>9723</v>
      </c>
      <c r="BX40" s="148" t="s">
        <v>9723</v>
      </c>
      <c r="BY40" s="148" t="s">
        <v>9720</v>
      </c>
      <c r="BZ40" s="148" t="s">
        <v>9706</v>
      </c>
      <c r="CA40" s="148" t="s">
        <v>9722</v>
      </c>
      <c r="CB40" s="148" t="s">
        <v>9699</v>
      </c>
      <c r="CC40" s="148" t="s">
        <v>9695</v>
      </c>
      <c r="CD40" s="148" t="s">
        <v>9718</v>
      </c>
      <c r="CE40" s="148" t="s">
        <v>9711</v>
      </c>
      <c r="CF40" s="148" t="s">
        <v>9716</v>
      </c>
      <c r="CG40" s="148" t="s">
        <v>9726</v>
      </c>
      <c r="CH40" s="148" t="s">
        <v>9706</v>
      </c>
      <c r="CI40" s="148" t="s">
        <v>9722</v>
      </c>
      <c r="CJ40" s="148" t="s">
        <v>9718</v>
      </c>
      <c r="CK40" s="148" t="s">
        <v>9725</v>
      </c>
      <c r="CL40" s="148" t="s">
        <v>9714</v>
      </c>
      <c r="CM40" s="148" t="s">
        <v>9706</v>
      </c>
      <c r="CN40" s="148" t="s">
        <v>9718</v>
      </c>
      <c r="CO40" s="148" t="s">
        <v>9703</v>
      </c>
      <c r="CP40" s="148" t="s">
        <v>9703</v>
      </c>
      <c r="CQ40" s="148" t="s">
        <v>9714</v>
      </c>
      <c r="CR40" s="148" t="s">
        <v>9703</v>
      </c>
      <c r="CS40" s="148" t="s">
        <v>9712</v>
      </c>
      <c r="CT40" s="148" t="s">
        <v>9714</v>
      </c>
      <c r="CU40" s="148" t="s">
        <v>9711</v>
      </c>
      <c r="CV40" s="148" t="s">
        <v>9723</v>
      </c>
      <c r="CW40" s="148" t="s">
        <v>9718</v>
      </c>
      <c r="CX40" s="148" t="s">
        <v>9711</v>
      </c>
      <c r="CY40" s="148" t="s">
        <v>9711</v>
      </c>
      <c r="CZ40" s="148" t="s">
        <v>9717</v>
      </c>
      <c r="DA40" s="148" t="s">
        <v>9713</v>
      </c>
      <c r="DB40" s="148" t="s">
        <v>9704</v>
      </c>
      <c r="DC40" s="148" t="s">
        <v>9718</v>
      </c>
      <c r="DD40" s="148" t="s">
        <v>9718</v>
      </c>
      <c r="DE40" s="148" t="s">
        <v>9709</v>
      </c>
      <c r="DF40" s="148" t="s">
        <v>9717</v>
      </c>
      <c r="DG40" s="148" t="s">
        <v>9713</v>
      </c>
      <c r="DH40" s="148" t="s">
        <v>9698</v>
      </c>
      <c r="DI40" s="148" t="s">
        <v>9699</v>
      </c>
      <c r="DJ40" s="148" t="s">
        <v>9695</v>
      </c>
      <c r="DK40" s="148" t="s">
        <v>9711</v>
      </c>
      <c r="DL40" s="148" t="s">
        <v>9701</v>
      </c>
      <c r="DM40" s="148" t="s">
        <v>9706</v>
      </c>
      <c r="DN40" s="148" t="s">
        <v>9722</v>
      </c>
      <c r="DO40" s="148" t="s">
        <v>9706</v>
      </c>
      <c r="DP40" s="148" t="s">
        <v>9722</v>
      </c>
      <c r="DQ40" s="148" t="s">
        <v>9704</v>
      </c>
      <c r="DR40" s="148" t="s">
        <v>9708</v>
      </c>
      <c r="DS40" s="148" t="s">
        <v>9709</v>
      </c>
      <c r="DT40" s="148" t="s">
        <v>9706</v>
      </c>
      <c r="DU40" s="148" t="s">
        <v>9702</v>
      </c>
      <c r="DV40" s="148" t="s">
        <v>9704</v>
      </c>
      <c r="DW40" s="148" t="s">
        <v>9711</v>
      </c>
      <c r="DX40" s="148" t="s">
        <v>9723</v>
      </c>
      <c r="DY40" s="148" t="s">
        <v>9699</v>
      </c>
      <c r="DZ40" s="148"/>
      <c r="EA40" s="148" t="s">
        <v>9699</v>
      </c>
      <c r="EB40" s="148" t="s">
        <v>9709</v>
      </c>
      <c r="EC40" s="148"/>
      <c r="ED40" s="148" t="s">
        <v>9706</v>
      </c>
      <c r="EE40" s="148" t="s">
        <v>9698</v>
      </c>
      <c r="EF40" s="148" t="s">
        <v>9714</v>
      </c>
      <c r="EG40" s="148" t="s">
        <v>9719</v>
      </c>
      <c r="EH40" s="148" t="s">
        <v>9708</v>
      </c>
      <c r="EI40" s="148" t="s">
        <v>9718</v>
      </c>
      <c r="EJ40" s="148" t="s">
        <v>9711</v>
      </c>
      <c r="EK40" s="148" t="s">
        <v>9723</v>
      </c>
      <c r="EL40" s="148" t="s">
        <v>9704</v>
      </c>
      <c r="EM40" s="148" t="s">
        <v>9713</v>
      </c>
      <c r="EN40" s="148" t="s">
        <v>9699</v>
      </c>
      <c r="EO40" s="148" t="s">
        <v>9715</v>
      </c>
      <c r="EP40" s="148" t="s">
        <v>9720</v>
      </c>
      <c r="EQ40" s="148" t="s">
        <v>9719</v>
      </c>
      <c r="ER40" s="148" t="s">
        <v>9709</v>
      </c>
      <c r="ES40" s="148" t="s">
        <v>9709</v>
      </c>
      <c r="ET40" s="148" t="s">
        <v>9695</v>
      </c>
      <c r="EU40" s="148" t="s">
        <v>9693</v>
      </c>
      <c r="EV40" s="148"/>
      <c r="EW40" s="148" t="s">
        <v>9711</v>
      </c>
      <c r="EX40" s="148" t="s">
        <v>9711</v>
      </c>
      <c r="EY40" s="148" t="s">
        <v>9704</v>
      </c>
      <c r="EZ40" s="148" t="s">
        <v>9706</v>
      </c>
      <c r="FA40" s="148" t="s">
        <v>9711</v>
      </c>
      <c r="FB40" s="148" t="s">
        <v>9713</v>
      </c>
      <c r="FC40" s="148" t="s">
        <v>9704</v>
      </c>
      <c r="FD40" s="148" t="s">
        <v>9712</v>
      </c>
      <c r="FE40" s="148" t="s">
        <v>9699</v>
      </c>
      <c r="FF40" s="148" t="s">
        <v>9714</v>
      </c>
      <c r="FG40" s="148" t="s">
        <v>9709</v>
      </c>
      <c r="FH40" s="148" t="s">
        <v>9722</v>
      </c>
      <c r="FI40" s="148" t="s">
        <v>9718</v>
      </c>
      <c r="FJ40" s="148" t="s">
        <v>9715</v>
      </c>
      <c r="FK40" s="148" t="s">
        <v>9704</v>
      </c>
      <c r="FL40" s="148" t="s">
        <v>9722</v>
      </c>
      <c r="FM40" s="148" t="s">
        <v>9718</v>
      </c>
      <c r="FN40" s="148" t="s">
        <v>9703</v>
      </c>
      <c r="FO40" s="148" t="s">
        <v>9711</v>
      </c>
      <c r="FP40" s="148" t="s">
        <v>9725</v>
      </c>
      <c r="FQ40" s="148" t="s">
        <v>9722</v>
      </c>
      <c r="FR40" s="148" t="s">
        <v>9714</v>
      </c>
      <c r="FS40" s="148" t="s">
        <v>9704</v>
      </c>
      <c r="FT40" s="148" t="s">
        <v>9715</v>
      </c>
      <c r="FU40" s="148" t="s">
        <v>9714</v>
      </c>
      <c r="FV40" s="148" t="s">
        <v>9715</v>
      </c>
      <c r="FW40" s="148" t="s">
        <v>9704</v>
      </c>
      <c r="FX40" s="148" t="s">
        <v>9722</v>
      </c>
      <c r="FY40" s="148" t="s">
        <v>9711</v>
      </c>
      <c r="FZ40" s="148" t="s">
        <v>9725</v>
      </c>
      <c r="GA40" s="148" t="s">
        <v>9718</v>
      </c>
      <c r="GB40" s="148" t="s">
        <v>9704</v>
      </c>
      <c r="GC40" s="148" t="s">
        <v>9712</v>
      </c>
      <c r="GD40" s="148" t="s">
        <v>9723</v>
      </c>
      <c r="GE40" s="148" t="s">
        <v>9708</v>
      </c>
      <c r="GF40" s="148" t="s">
        <v>9706</v>
      </c>
      <c r="GG40" s="148" t="s">
        <v>9706</v>
      </c>
      <c r="GH40" s="148" t="s">
        <v>9722</v>
      </c>
      <c r="GI40" s="148" t="s">
        <v>9698</v>
      </c>
      <c r="GJ40" s="148" t="s">
        <v>9718</v>
      </c>
      <c r="GK40" s="148" t="s">
        <v>9711</v>
      </c>
      <c r="GL40" s="148" t="s">
        <v>9722</v>
      </c>
      <c r="GM40" s="148" t="s">
        <v>9717</v>
      </c>
      <c r="GN40" s="148" t="s">
        <v>9698</v>
      </c>
      <c r="GO40" s="148" t="s">
        <v>9704</v>
      </c>
      <c r="GP40" s="148" t="s">
        <v>9703</v>
      </c>
      <c r="GQ40" s="148" t="s">
        <v>9711</v>
      </c>
      <c r="GR40" s="148" t="s">
        <v>9695</v>
      </c>
      <c r="GS40" s="148" t="s">
        <v>9725</v>
      </c>
      <c r="GT40" s="148"/>
      <c r="GU40" s="148"/>
      <c r="GV40" s="148" t="s">
        <v>9714</v>
      </c>
      <c r="GW40" s="148" t="s">
        <v>9723</v>
      </c>
      <c r="GX40" s="148" t="s">
        <v>9720</v>
      </c>
      <c r="GY40" s="148" t="s">
        <v>9699</v>
      </c>
      <c r="GZ40" s="148" t="s">
        <v>9720</v>
      </c>
      <c r="HA40" s="148" t="s">
        <v>9723</v>
      </c>
      <c r="HB40" s="148" t="s">
        <v>9699</v>
      </c>
      <c r="HC40" s="148" t="s">
        <v>9705</v>
      </c>
      <c r="HD40" s="148" t="s">
        <v>9717</v>
      </c>
      <c r="HE40" s="148" t="s">
        <v>9722</v>
      </c>
      <c r="HF40" s="148" t="s">
        <v>9718</v>
      </c>
      <c r="HG40" s="148" t="s">
        <v>9723</v>
      </c>
      <c r="HH40" s="148" t="s">
        <v>9698</v>
      </c>
      <c r="HI40" s="148" t="s">
        <v>9704</v>
      </c>
      <c r="HJ40" s="148" t="s">
        <v>9712</v>
      </c>
      <c r="HK40" s="148" t="s">
        <v>9722</v>
      </c>
      <c r="HL40" s="148" t="s">
        <v>9719</v>
      </c>
      <c r="HM40" s="148" t="s">
        <v>9715</v>
      </c>
      <c r="HN40" s="148" t="s">
        <v>9704</v>
      </c>
      <c r="HO40" s="148" t="s">
        <v>9702</v>
      </c>
      <c r="HP40" s="148" t="s">
        <v>9713</v>
      </c>
      <c r="HQ40" s="148" t="s">
        <v>9713</v>
      </c>
      <c r="HR40" s="148" t="s">
        <v>9711</v>
      </c>
      <c r="HS40" s="148" t="s">
        <v>9723</v>
      </c>
      <c r="HT40" s="148" t="s">
        <v>9718</v>
      </c>
      <c r="HU40" s="148" t="s">
        <v>9719</v>
      </c>
      <c r="HV40" s="148" t="s">
        <v>9717</v>
      </c>
      <c r="HW40" s="148" t="s">
        <v>9722</v>
      </c>
      <c r="HX40" s="148" t="s">
        <v>9722</v>
      </c>
      <c r="HY40" s="148" t="s">
        <v>9718</v>
      </c>
      <c r="HZ40" s="148" t="s">
        <v>9708</v>
      </c>
      <c r="IA40" s="148" t="s">
        <v>9702</v>
      </c>
      <c r="IB40" s="148"/>
      <c r="IC40" s="148" t="s">
        <v>9706</v>
      </c>
      <c r="ID40" s="148" t="s">
        <v>9711</v>
      </c>
      <c r="IE40" s="148" t="s">
        <v>9704</v>
      </c>
      <c r="IF40" s="148" t="s">
        <v>9711</v>
      </c>
      <c r="IG40" s="148" t="s">
        <v>9718</v>
      </c>
      <c r="IH40" s="148" t="s">
        <v>9709</v>
      </c>
      <c r="II40" s="148" t="s">
        <v>9695</v>
      </c>
      <c r="IJ40" s="148" t="s">
        <v>9698</v>
      </c>
      <c r="IK40" s="148" t="s">
        <v>9704</v>
      </c>
      <c r="IL40" s="148" t="s">
        <v>9702</v>
      </c>
      <c r="IM40" s="148" t="s">
        <v>9723</v>
      </c>
      <c r="IN40" s="148" t="s">
        <v>9723</v>
      </c>
      <c r="IO40" s="148" t="s">
        <v>9701</v>
      </c>
      <c r="IP40" s="148" t="s">
        <v>9697</v>
      </c>
      <c r="IQ40" s="148" t="s">
        <v>9709</v>
      </c>
      <c r="IR40" s="148" t="s">
        <v>9708</v>
      </c>
      <c r="IS40" s="148" t="s">
        <v>9704</v>
      </c>
      <c r="IT40" s="148" t="s">
        <v>9704</v>
      </c>
      <c r="IU40" s="148" t="s">
        <v>9699</v>
      </c>
      <c r="IV40" s="148" t="s">
        <v>9722</v>
      </c>
      <c r="IW40" s="148" t="s">
        <v>9707</v>
      </c>
      <c r="IX40" s="148" t="s">
        <v>9704</v>
      </c>
      <c r="IY40" s="148" t="s">
        <v>9711</v>
      </c>
      <c r="IZ40" s="148" t="s">
        <v>9704</v>
      </c>
      <c r="JA40" s="148" t="s">
        <v>9702</v>
      </c>
      <c r="JB40" s="148" t="s">
        <v>9711</v>
      </c>
      <c r="JC40" s="148" t="s">
        <v>9703</v>
      </c>
      <c r="JD40" s="148" t="s">
        <v>9714</v>
      </c>
      <c r="JE40" s="148" t="s">
        <v>9702</v>
      </c>
      <c r="JF40" s="148"/>
      <c r="JG40" s="148"/>
      <c r="JH40" s="148" t="s">
        <v>9711</v>
      </c>
      <c r="JI40" s="148"/>
      <c r="JJ40" s="148" t="s">
        <v>9707</v>
      </c>
      <c r="JK40" s="1746" t="s">
        <v>9704</v>
      </c>
      <c r="JL40" s="1746" t="s">
        <v>9712</v>
      </c>
      <c r="JM40" s="1746" t="s">
        <v>9700</v>
      </c>
      <c r="JN40" s="1746" t="s">
        <v>9722</v>
      </c>
      <c r="JO40" s="1746" t="s">
        <v>9723</v>
      </c>
      <c r="JP40" s="1746" t="s">
        <v>9723</v>
      </c>
      <c r="JQ40" s="1746" t="s">
        <v>9716</v>
      </c>
      <c r="JR40" s="1746" t="s">
        <v>9710</v>
      </c>
      <c r="JS40" s="148" t="s">
        <v>9718</v>
      </c>
      <c r="JT40" s="148" t="s">
        <v>9711</v>
      </c>
      <c r="JU40" s="148" t="s">
        <v>9704</v>
      </c>
      <c r="JV40" s="148" t="s">
        <v>9704</v>
      </c>
      <c r="JW40" s="148" t="s">
        <v>9714</v>
      </c>
      <c r="JX40" s="1746" t="s">
        <v>9711</v>
      </c>
      <c r="JY40" s="1746" t="s">
        <v>9704</v>
      </c>
      <c r="JZ40" s="1746" t="s">
        <v>9722</v>
      </c>
      <c r="KA40" s="1746" t="s">
        <v>9712</v>
      </c>
      <c r="KB40" s="1746" t="s">
        <v>9702</v>
      </c>
      <c r="KC40" s="148" t="s">
        <v>9705</v>
      </c>
      <c r="KD40" s="1746" t="s">
        <v>9700</v>
      </c>
      <c r="KE40" s="1746" t="s">
        <v>9718</v>
      </c>
      <c r="KF40" s="148" t="s">
        <v>9711</v>
      </c>
      <c r="KG40" s="1746" t="s">
        <v>9711</v>
      </c>
      <c r="KH40" s="1746" t="s">
        <v>9725</v>
      </c>
      <c r="KI40" s="1746" t="s">
        <v>9714</v>
      </c>
      <c r="KJ40" s="148" t="s">
        <v>9702</v>
      </c>
      <c r="KK40" s="1746" t="s">
        <v>9711</v>
      </c>
      <c r="KL40" s="1746" t="s">
        <v>9723</v>
      </c>
      <c r="KM40" s="1746" t="s">
        <v>9722</v>
      </c>
      <c r="KN40" s="1746" t="s">
        <v>9703</v>
      </c>
      <c r="KO40" s="148" t="s">
        <v>9709</v>
      </c>
      <c r="KP40" s="1746" t="s">
        <v>9705</v>
      </c>
      <c r="KQ40" s="148" t="s">
        <v>9712</v>
      </c>
      <c r="KR40" s="148" t="s">
        <v>9704</v>
      </c>
      <c r="KS40" s="1746" t="s">
        <v>9720</v>
      </c>
      <c r="KT40" s="1746" t="s">
        <v>9720</v>
      </c>
      <c r="KU40" s="148" t="s">
        <v>9700</v>
      </c>
      <c r="KV40" s="1746" t="s">
        <v>9704</v>
      </c>
      <c r="KW40" s="148" t="s">
        <v>9712</v>
      </c>
      <c r="KX40" s="1746" t="s">
        <v>9711</v>
      </c>
      <c r="KY40" s="1746" t="s">
        <v>9713</v>
      </c>
      <c r="KZ40" s="1746" t="s">
        <v>9722</v>
      </c>
      <c r="LA40" s="1746" t="s">
        <v>9722</v>
      </c>
      <c r="LB40" s="1746" t="s">
        <v>9714</v>
      </c>
      <c r="LC40" s="1746" t="s">
        <v>9714</v>
      </c>
      <c r="LD40" s="148" t="s">
        <v>9718</v>
      </c>
      <c r="LE40" s="1746" t="s">
        <v>9725</v>
      </c>
      <c r="LF40" s="1746" t="s">
        <v>9714</v>
      </c>
      <c r="LG40" s="1746" t="s">
        <v>9718</v>
      </c>
      <c r="LH40" s="148" t="s">
        <v>9704</v>
      </c>
      <c r="LI40" s="1746" t="s">
        <v>9711</v>
      </c>
      <c r="LJ40" s="1746" t="s">
        <v>9723</v>
      </c>
      <c r="LK40" s="1746" t="s">
        <v>9718</v>
      </c>
      <c r="LL40" s="1746" t="s">
        <v>9719</v>
      </c>
      <c r="LM40" s="1746" t="s">
        <v>9723</v>
      </c>
      <c r="LN40" s="1746" t="s">
        <v>9715</v>
      </c>
      <c r="LO40" s="1746" t="s">
        <v>9714</v>
      </c>
      <c r="LP40" s="148" t="s">
        <v>9712</v>
      </c>
      <c r="LQ40" s="1746" t="s">
        <v>9711</v>
      </c>
      <c r="LR40" s="1746" t="s">
        <v>9711</v>
      </c>
      <c r="LS40" s="148" t="s">
        <v>9713</v>
      </c>
      <c r="LT40" s="1746" t="s">
        <v>9718</v>
      </c>
      <c r="LU40" s="148" t="s">
        <v>9711</v>
      </c>
      <c r="LV40" s="1746" t="s">
        <v>9722</v>
      </c>
      <c r="LW40" s="148" t="s">
        <v>9702</v>
      </c>
      <c r="LX40" s="148" t="s">
        <v>9701</v>
      </c>
      <c r="LY40" s="1746" t="s">
        <v>9717</v>
      </c>
      <c r="LZ40" s="1746" t="s">
        <v>9714</v>
      </c>
      <c r="MA40" s="1746" t="s">
        <v>9704</v>
      </c>
      <c r="MB40" s="1746" t="s">
        <v>9711</v>
      </c>
      <c r="MC40" s="148" t="s">
        <v>9723</v>
      </c>
      <c r="MD40" s="1746" t="s">
        <v>9717</v>
      </c>
      <c r="ME40" s="1746" t="s">
        <v>9704</v>
      </c>
      <c r="MF40" s="1746" t="s">
        <v>9708</v>
      </c>
      <c r="MG40" s="148" t="s">
        <v>9698</v>
      </c>
      <c r="MH40" s="1746" t="s">
        <v>9718</v>
      </c>
      <c r="MI40" s="1746" t="s">
        <v>9723</v>
      </c>
      <c r="MJ40" s="1746" t="s">
        <v>9718</v>
      </c>
      <c r="MK40" s="1746" t="s">
        <v>9723</v>
      </c>
      <c r="ML40" s="1746" t="s">
        <v>9706</v>
      </c>
      <c r="MM40" s="148" t="s">
        <v>9711</v>
      </c>
      <c r="MN40" s="148" t="s">
        <v>9714</v>
      </c>
      <c r="MO40" s="148" t="s">
        <v>9702</v>
      </c>
      <c r="MP40" s="1746" t="s">
        <v>9725</v>
      </c>
      <c r="MQ40" s="1746" t="s">
        <v>9704</v>
      </c>
      <c r="MR40" s="1746" t="s">
        <v>9703</v>
      </c>
      <c r="MS40" s="148" t="s">
        <v>9708</v>
      </c>
      <c r="MT40" s="148" t="s">
        <v>9707</v>
      </c>
      <c r="MU40" s="1746" t="s">
        <v>9715</v>
      </c>
      <c r="MV40" s="148" t="s">
        <v>9705</v>
      </c>
      <c r="MW40" s="1746"/>
      <c r="MX40" s="1746" t="s">
        <v>9711</v>
      </c>
      <c r="MY40" s="148" t="s">
        <v>9702</v>
      </c>
      <c r="MZ40" s="1746" t="s">
        <v>9711</v>
      </c>
      <c r="NA40" s="1746" t="s">
        <v>9723</v>
      </c>
      <c r="NB40" s="148" t="s">
        <v>9704</v>
      </c>
      <c r="NC40" s="1746" t="s">
        <v>9706</v>
      </c>
      <c r="ND40" s="1746" t="s">
        <v>9718</v>
      </c>
      <c r="NE40" s="1746" t="s">
        <v>9704</v>
      </c>
      <c r="NF40" s="148" t="s">
        <v>9704</v>
      </c>
      <c r="NG40" s="1746" t="s">
        <v>9722</v>
      </c>
      <c r="NH40" s="1746" t="s">
        <v>9707</v>
      </c>
      <c r="NI40" s="148" t="s">
        <v>9707</v>
      </c>
      <c r="NJ40" s="148" t="s">
        <v>9713</v>
      </c>
      <c r="NK40" s="1746"/>
      <c r="NL40" s="1746" t="s">
        <v>9715</v>
      </c>
      <c r="NM40" s="1746" t="s">
        <v>9715</v>
      </c>
      <c r="NN40" s="1746" t="s">
        <v>9704</v>
      </c>
      <c r="NO40" s="1746" t="s">
        <v>9702</v>
      </c>
      <c r="NP40" s="1746" t="s">
        <v>9704</v>
      </c>
      <c r="NQ40" s="1746" t="s">
        <v>9700</v>
      </c>
      <c r="NR40" s="1746" t="s">
        <v>9700</v>
      </c>
      <c r="NS40" s="1746" t="s">
        <v>9709</v>
      </c>
      <c r="NT40" s="1746" t="s">
        <v>9699</v>
      </c>
      <c r="NU40" s="1746" t="s">
        <v>9701</v>
      </c>
      <c r="NV40" s="1746" t="s">
        <v>9708</v>
      </c>
      <c r="NW40" s="1746" t="s">
        <v>9700</v>
      </c>
      <c r="NX40" s="1746" t="s">
        <v>9700</v>
      </c>
      <c r="NY40" s="1746" t="s">
        <v>9700</v>
      </c>
      <c r="NZ40" s="1746" t="s">
        <v>9700</v>
      </c>
      <c r="OA40" s="1746" t="s">
        <v>9711</v>
      </c>
      <c r="OB40" s="1746" t="s">
        <v>9711</v>
      </c>
      <c r="OC40" s="1746" t="s">
        <v>9702</v>
      </c>
      <c r="OD40" s="1746" t="s">
        <v>9719</v>
      </c>
      <c r="OE40" s="1746" t="s">
        <v>9719</v>
      </c>
      <c r="OF40" s="1746" t="s">
        <v>9702</v>
      </c>
      <c r="OG40" s="1746" t="s">
        <v>9707</v>
      </c>
      <c r="OH40" s="1746" t="s">
        <v>9707</v>
      </c>
      <c r="OI40" s="1746" t="s">
        <v>9712</v>
      </c>
      <c r="OJ40" s="1746" t="s">
        <v>9716</v>
      </c>
      <c r="OK40" s="1746" t="s">
        <v>9716</v>
      </c>
      <c r="OL40" s="1746" t="s">
        <v>9710</v>
      </c>
      <c r="OM40" s="1746" t="s">
        <v>9714</v>
      </c>
      <c r="ON40" s="1746" t="s">
        <v>9709</v>
      </c>
      <c r="OO40" s="1746"/>
      <c r="OP40" s="148" t="s">
        <v>9706</v>
      </c>
      <c r="OQ40" s="1746" t="s">
        <v>9718</v>
      </c>
      <c r="OR40" s="1746" t="s">
        <v>9718</v>
      </c>
      <c r="OS40" s="1746" t="s">
        <v>9711</v>
      </c>
      <c r="OT40" s="1746" t="s">
        <v>9718</v>
      </c>
      <c r="OU40" s="1746" t="s">
        <v>9711</v>
      </c>
      <c r="OV40" s="1746" t="s">
        <v>9698</v>
      </c>
      <c r="OW40" s="1746" t="s">
        <v>9699</v>
      </c>
      <c r="OX40" s="1746" t="s">
        <v>9702</v>
      </c>
      <c r="OY40" s="1746" t="s">
        <v>9699</v>
      </c>
      <c r="OZ40" s="1746"/>
      <c r="PA40" s="1746" t="s">
        <v>9704</v>
      </c>
      <c r="PB40" s="1746" t="s">
        <v>9720</v>
      </c>
      <c r="PC40" s="1746" t="s">
        <v>9722</v>
      </c>
      <c r="PD40" s="1746" t="s">
        <v>9707</v>
      </c>
      <c r="PE40" s="1746"/>
      <c r="PF40" s="1746" t="s">
        <v>9706</v>
      </c>
      <c r="PG40" s="148" t="s">
        <v>9718</v>
      </c>
      <c r="PH40" s="1746" t="s">
        <v>9712</v>
      </c>
      <c r="PI40" s="1746" t="s">
        <v>9701</v>
      </c>
      <c r="PJ40" s="1746" t="s">
        <v>9706</v>
      </c>
      <c r="PK40" s="1746" t="s">
        <v>9722</v>
      </c>
      <c r="PL40" s="1746" t="s">
        <v>9706</v>
      </c>
      <c r="PM40" s="1746" t="s">
        <v>9717</v>
      </c>
      <c r="PN40" s="1746" t="s">
        <v>9702</v>
      </c>
      <c r="PO40" s="1746" t="s">
        <v>9711</v>
      </c>
      <c r="PP40" s="1746" t="s">
        <v>9711</v>
      </c>
      <c r="PQ40" s="1746" t="s">
        <v>9711</v>
      </c>
      <c r="PR40" s="148" t="s">
        <v>9709</v>
      </c>
      <c r="PS40" s="1746" t="s">
        <v>9704</v>
      </c>
      <c r="PT40" s="1746" t="s">
        <v>9703</v>
      </c>
      <c r="PU40" s="1746" t="s">
        <v>9704</v>
      </c>
      <c r="PV40" s="1746" t="s">
        <v>9698</v>
      </c>
      <c r="PW40" s="1746" t="s">
        <v>9715</v>
      </c>
      <c r="PX40" s="1746" t="s">
        <v>9717</v>
      </c>
      <c r="PY40" s="148" t="s">
        <v>9713</v>
      </c>
      <c r="PZ40" s="1746" t="s">
        <v>9704</v>
      </c>
      <c r="QA40" s="1746" t="s">
        <v>9714</v>
      </c>
      <c r="QB40" s="1746" t="s">
        <v>9722</v>
      </c>
      <c r="QC40" s="1746" t="s">
        <v>9702</v>
      </c>
      <c r="QD40" s="1746" t="s">
        <v>9704</v>
      </c>
      <c r="QE40" s="1746" t="s">
        <v>9706</v>
      </c>
      <c r="QF40" s="1746" t="s">
        <v>9725</v>
      </c>
      <c r="QG40" s="1746" t="s">
        <v>9719</v>
      </c>
      <c r="QH40" s="1746" t="s">
        <v>9720</v>
      </c>
      <c r="QI40" s="1746" t="s">
        <v>9704</v>
      </c>
      <c r="QJ40" s="1746" t="s">
        <v>9702</v>
      </c>
      <c r="QK40" s="1746" t="s">
        <v>9704</v>
      </c>
      <c r="QL40" s="148" t="s">
        <v>9702</v>
      </c>
      <c r="QM40" s="1746" t="s">
        <v>9718</v>
      </c>
      <c r="QN40" s="1746" t="s">
        <v>9711</v>
      </c>
      <c r="QO40" s="1746" t="s">
        <v>9723</v>
      </c>
      <c r="QP40" s="1746" t="s">
        <v>9712</v>
      </c>
      <c r="QQ40" s="1746" t="s">
        <v>9704</v>
      </c>
      <c r="QR40" s="1746" t="s">
        <v>9712</v>
      </c>
      <c r="QS40" s="1746" t="s">
        <v>9722</v>
      </c>
      <c r="QT40" s="1746" t="s">
        <v>9722</v>
      </c>
      <c r="QU40" s="1746" t="s">
        <v>9718</v>
      </c>
      <c r="QV40" s="1746" t="s">
        <v>9718</v>
      </c>
      <c r="QW40" s="148" t="s">
        <v>9701</v>
      </c>
      <c r="QX40" s="148" t="s">
        <v>9695</v>
      </c>
      <c r="QY40" s="148" t="s">
        <v>9702</v>
      </c>
      <c r="QZ40" s="148" t="s">
        <v>9711</v>
      </c>
      <c r="RA40" s="148" t="s">
        <v>9709</v>
      </c>
      <c r="RB40" s="148" t="s">
        <v>9699</v>
      </c>
      <c r="RC40" s="1746" t="s">
        <v>9725</v>
      </c>
      <c r="RD40" s="148" t="s">
        <v>9698</v>
      </c>
      <c r="RE40" s="1746" t="s">
        <v>9712</v>
      </c>
      <c r="RF40" s="148" t="s">
        <v>9714</v>
      </c>
      <c r="RG40" s="148" t="s">
        <v>9718</v>
      </c>
      <c r="RH40" s="1746" t="s">
        <v>9714</v>
      </c>
      <c r="RI40" s="1746" t="s">
        <v>9698</v>
      </c>
      <c r="RJ40" s="148" t="s">
        <v>9717</v>
      </c>
      <c r="RK40" s="148" t="s">
        <v>9704</v>
      </c>
      <c r="RL40" s="148" t="s">
        <v>9708</v>
      </c>
      <c r="RM40" s="148" t="s">
        <v>9699</v>
      </c>
      <c r="RN40" s="148" t="s">
        <v>9723</v>
      </c>
      <c r="RO40" s="148" t="s">
        <v>9708</v>
      </c>
      <c r="RP40" s="148" t="s">
        <v>9709</v>
      </c>
      <c r="RQ40" s="1746" t="s">
        <v>9711</v>
      </c>
      <c r="RR40" s="1746" t="s">
        <v>9711</v>
      </c>
      <c r="RS40" s="1746" t="s">
        <v>9711</v>
      </c>
      <c r="RT40" s="1746" t="s">
        <v>9711</v>
      </c>
      <c r="RU40" s="1746" t="s">
        <v>9711</v>
      </c>
      <c r="RV40" s="1746" t="s">
        <v>9711</v>
      </c>
      <c r="RW40" s="1746" t="s">
        <v>9705</v>
      </c>
      <c r="RX40" s="1746" t="s">
        <v>9705</v>
      </c>
      <c r="RY40" s="1746" t="s">
        <v>9709</v>
      </c>
      <c r="RZ40" s="148" t="s">
        <v>9705</v>
      </c>
      <c r="SA40" s="1746" t="s">
        <v>9697</v>
      </c>
      <c r="SB40" s="1746" t="s">
        <v>9719</v>
      </c>
      <c r="SC40" s="148" t="s">
        <v>9725</v>
      </c>
      <c r="SD40" s="1746" t="s">
        <v>9699</v>
      </c>
      <c r="SE40" s="1746" t="s">
        <v>9699</v>
      </c>
      <c r="SF40" s="1746" t="s">
        <v>9714</v>
      </c>
      <c r="SG40" s="1746" t="s">
        <v>9722</v>
      </c>
      <c r="SH40" s="1746" t="s">
        <v>9708</v>
      </c>
      <c r="SI40" s="1746" t="s">
        <v>9702</v>
      </c>
      <c r="SJ40" s="1746" t="s">
        <v>9718</v>
      </c>
      <c r="SK40" s="1746" t="s">
        <v>9718</v>
      </c>
      <c r="SL40" s="1747" t="s">
        <v>9729</v>
      </c>
    </row>
    <row r="41" ht="15.75" customHeight="1">
      <c r="A41" s="1517"/>
      <c r="B41" s="131" t="s">
        <v>9730</v>
      </c>
      <c r="C41" s="131" t="s">
        <v>9730</v>
      </c>
      <c r="D41" s="131" t="s">
        <v>9718</v>
      </c>
      <c r="E41" s="1739" t="s">
        <v>9707</v>
      </c>
      <c r="F41" s="1739" t="s">
        <v>9707</v>
      </c>
      <c r="G41" s="1739" t="s">
        <v>9704</v>
      </c>
      <c r="H41" s="387" t="s">
        <v>9723</v>
      </c>
      <c r="I41" s="387" t="s">
        <v>9723</v>
      </c>
      <c r="J41" s="387" t="s">
        <v>9698</v>
      </c>
      <c r="K41" s="131"/>
      <c r="L41" s="131"/>
      <c r="M41" s="1740" t="s">
        <v>9711</v>
      </c>
      <c r="N41" s="1741"/>
      <c r="O41" s="339"/>
      <c r="P41" s="339" t="s">
        <v>9722</v>
      </c>
      <c r="Q41" s="1741" t="s">
        <v>9726</v>
      </c>
      <c r="R41" s="1741" t="s">
        <v>9726</v>
      </c>
      <c r="S41" s="1741" t="s">
        <v>9716</v>
      </c>
      <c r="T41" s="448" t="s">
        <v>9704</v>
      </c>
      <c r="U41" s="1741" t="s">
        <v>9698</v>
      </c>
      <c r="V41" s="1741" t="s">
        <v>9726</v>
      </c>
      <c r="W41" s="1741" t="s">
        <v>9716</v>
      </c>
      <c r="X41" s="448" t="s">
        <v>9711</v>
      </c>
      <c r="Y41" s="448" t="s">
        <v>9703</v>
      </c>
      <c r="Z41" s="339" t="s">
        <v>9711</v>
      </c>
      <c r="AA41" s="339" t="s">
        <v>9725</v>
      </c>
      <c r="AB41" s="339" t="s">
        <v>9711</v>
      </c>
      <c r="AC41" s="339" t="s">
        <v>9707</v>
      </c>
      <c r="AD41" s="387" t="s">
        <v>9725</v>
      </c>
      <c r="AE41" s="387" t="s">
        <v>9725</v>
      </c>
      <c r="AF41" s="387" t="s">
        <v>9709</v>
      </c>
      <c r="AG41" s="448" t="s">
        <v>9725</v>
      </c>
      <c r="AH41" s="448" t="s">
        <v>9725</v>
      </c>
      <c r="AI41" s="448" t="s">
        <v>9709</v>
      </c>
      <c r="AJ41" s="1742" t="s">
        <v>9705</v>
      </c>
      <c r="AK41" s="1742" t="s">
        <v>9701</v>
      </c>
      <c r="AL41" s="1741" t="s">
        <v>9722</v>
      </c>
      <c r="AM41" s="339" t="s">
        <v>9719</v>
      </c>
      <c r="AN41" s="1742" t="s">
        <v>9702</v>
      </c>
      <c r="AO41" s="1742" t="s">
        <v>9709</v>
      </c>
      <c r="AP41" s="448" t="s">
        <v>9718</v>
      </c>
      <c r="AQ41" s="448" t="s">
        <v>9711</v>
      </c>
      <c r="AR41" s="387" t="s">
        <v>9730</v>
      </c>
      <c r="AS41" s="387" t="s">
        <v>9730</v>
      </c>
      <c r="AT41" s="1739" t="s">
        <v>9706</v>
      </c>
      <c r="AU41" s="1739" t="s">
        <v>9718</v>
      </c>
      <c r="AV41" s="1739" t="s">
        <v>9711</v>
      </c>
      <c r="AW41" s="448" t="s">
        <v>9710</v>
      </c>
      <c r="AX41" s="448" t="s">
        <v>9722</v>
      </c>
      <c r="AY41" s="1741" t="s">
        <v>9722</v>
      </c>
      <c r="AZ41" s="1741" t="s">
        <v>9718</v>
      </c>
      <c r="BA41" s="339" t="s">
        <v>9725</v>
      </c>
      <c r="BB41" s="339" t="s">
        <v>9714</v>
      </c>
      <c r="BC41" s="339" t="s">
        <v>9712</v>
      </c>
      <c r="BD41" s="387" t="s">
        <v>9708</v>
      </c>
      <c r="BE41" s="1741" t="s">
        <v>9712</v>
      </c>
      <c r="BF41" s="1741" t="s">
        <v>9698</v>
      </c>
      <c r="BG41" s="1741" t="s">
        <v>9722</v>
      </c>
      <c r="BH41" s="1741" t="s">
        <v>9711</v>
      </c>
      <c r="BI41" s="387" t="s">
        <v>9722</v>
      </c>
      <c r="BJ41" s="387" t="s">
        <v>9704</v>
      </c>
      <c r="BK41" s="387" t="s">
        <v>9708</v>
      </c>
      <c r="BL41" s="1741" t="s">
        <v>9704</v>
      </c>
      <c r="BM41" s="1741" t="s">
        <v>9704</v>
      </c>
      <c r="BN41" s="1741" t="s">
        <v>9714</v>
      </c>
      <c r="BO41" s="1743" t="s">
        <v>9723</v>
      </c>
      <c r="BP41" s="1743" t="s">
        <v>9723</v>
      </c>
      <c r="BQ41" s="1743" t="s">
        <v>9719</v>
      </c>
      <c r="BR41" s="131" t="s">
        <v>9710</v>
      </c>
      <c r="BS41" s="131" t="s">
        <v>9710</v>
      </c>
      <c r="BT41" s="131" t="s">
        <v>9706</v>
      </c>
      <c r="BU41" s="387" t="s">
        <v>9722</v>
      </c>
      <c r="BV41" s="387" t="s">
        <v>9718</v>
      </c>
      <c r="BW41" s="1741" t="s">
        <v>9711</v>
      </c>
      <c r="BX41" s="1741" t="s">
        <v>9711</v>
      </c>
      <c r="BY41" s="1741" t="s">
        <v>9719</v>
      </c>
      <c r="BZ41" s="339" t="s">
        <v>9731</v>
      </c>
      <c r="CA41" s="339" t="s">
        <v>9706</v>
      </c>
      <c r="CB41" s="1742" t="s">
        <v>9702</v>
      </c>
      <c r="CC41" s="1742" t="s">
        <v>9701</v>
      </c>
      <c r="CD41" s="1743" t="s">
        <v>9722</v>
      </c>
      <c r="CE41" s="1743" t="s">
        <v>9718</v>
      </c>
      <c r="CF41" s="1741" t="s">
        <v>9726</v>
      </c>
      <c r="CG41" s="1741" t="s">
        <v>9732</v>
      </c>
      <c r="CH41" s="1741" t="s">
        <v>9710</v>
      </c>
      <c r="CI41" s="1740" t="s">
        <v>9706</v>
      </c>
      <c r="CJ41" s="1740" t="s">
        <v>9722</v>
      </c>
      <c r="CK41" s="448" t="s">
        <v>9713</v>
      </c>
      <c r="CL41" s="448" t="s">
        <v>9712</v>
      </c>
      <c r="CM41" s="448" t="s">
        <v>9732</v>
      </c>
      <c r="CN41" s="448" t="s">
        <v>9722</v>
      </c>
      <c r="CO41" s="448" t="s">
        <v>9711</v>
      </c>
      <c r="CP41" s="448" t="s">
        <v>9711</v>
      </c>
      <c r="CQ41" s="448" t="s">
        <v>9712</v>
      </c>
      <c r="CR41" s="1743" t="s">
        <v>9711</v>
      </c>
      <c r="CS41" s="339" t="s">
        <v>9704</v>
      </c>
      <c r="CT41" s="339" t="s">
        <v>9712</v>
      </c>
      <c r="CU41" s="1739" t="s">
        <v>9718</v>
      </c>
      <c r="CV41" s="1739" t="s">
        <v>9711</v>
      </c>
      <c r="CW41" s="1739" t="s">
        <v>9722</v>
      </c>
      <c r="CX41" s="1739" t="s">
        <v>9718</v>
      </c>
      <c r="CY41" s="1742" t="s">
        <v>9718</v>
      </c>
      <c r="CZ41" s="339" t="s">
        <v>9711</v>
      </c>
      <c r="DA41" s="1741" t="s">
        <v>9720</v>
      </c>
      <c r="DB41" s="1741" t="s">
        <v>9713</v>
      </c>
      <c r="DC41" s="1741" t="s">
        <v>9722</v>
      </c>
      <c r="DD41" s="1741" t="s">
        <v>9722</v>
      </c>
      <c r="DE41" s="1742" t="s">
        <v>9699</v>
      </c>
      <c r="DF41" s="448" t="s">
        <v>9719</v>
      </c>
      <c r="DG41" s="448" t="s">
        <v>9717</v>
      </c>
      <c r="DH41" s="1743" t="s">
        <v>9704</v>
      </c>
      <c r="DI41" s="1743" t="s">
        <v>9702</v>
      </c>
      <c r="DJ41" s="1742" t="s">
        <v>9700</v>
      </c>
      <c r="DK41" s="387" t="s">
        <v>9718</v>
      </c>
      <c r="DL41" s="1741" t="s">
        <v>9705</v>
      </c>
      <c r="DM41" s="387" t="s">
        <v>9732</v>
      </c>
      <c r="DN41" s="387" t="s">
        <v>9706</v>
      </c>
      <c r="DO41" s="1739" t="s">
        <v>9732</v>
      </c>
      <c r="DP41" s="1739" t="s">
        <v>9706</v>
      </c>
      <c r="DQ41" s="1741" t="s">
        <v>9715</v>
      </c>
      <c r="DR41" s="448" t="s">
        <v>9704</v>
      </c>
      <c r="DS41" s="1742" t="s">
        <v>9702</v>
      </c>
      <c r="DT41" s="131" t="s">
        <v>9710</v>
      </c>
      <c r="DU41" s="1739" t="s">
        <v>9708</v>
      </c>
      <c r="DV41" s="339" t="s">
        <v>9725</v>
      </c>
      <c r="DW41" s="1739" t="s">
        <v>9718</v>
      </c>
      <c r="DX41" s="1741" t="s">
        <v>9711</v>
      </c>
      <c r="DY41" s="1741" t="s">
        <v>9702</v>
      </c>
      <c r="DZ41" s="1739"/>
      <c r="EA41" s="387" t="s">
        <v>9702</v>
      </c>
      <c r="EB41" s="387" t="s">
        <v>9702</v>
      </c>
      <c r="EC41" s="448"/>
      <c r="ED41" s="1741" t="s">
        <v>9732</v>
      </c>
      <c r="EE41" s="387" t="s">
        <v>9714</v>
      </c>
      <c r="EF41" s="339" t="s">
        <v>9704</v>
      </c>
      <c r="EG41" s="1739" t="s">
        <v>9711</v>
      </c>
      <c r="EH41" s="1742" t="s">
        <v>9714</v>
      </c>
      <c r="EI41" s="387" t="s">
        <v>9722</v>
      </c>
      <c r="EJ41" s="387" t="s">
        <v>9718</v>
      </c>
      <c r="EK41" s="1741" t="s">
        <v>9711</v>
      </c>
      <c r="EL41" s="1741" t="s">
        <v>9720</v>
      </c>
      <c r="EM41" s="448" t="s">
        <v>9720</v>
      </c>
      <c r="EN41" s="1744" t="s">
        <v>9702</v>
      </c>
      <c r="EO41" s="387" t="s">
        <v>9720</v>
      </c>
      <c r="EP41" s="339" t="s">
        <v>9707</v>
      </c>
      <c r="EQ41" s="339" t="s">
        <v>9707</v>
      </c>
      <c r="ER41" s="387" t="s">
        <v>9702</v>
      </c>
      <c r="ES41" s="387" t="s">
        <v>9702</v>
      </c>
      <c r="ET41" s="1741" t="s">
        <v>9701</v>
      </c>
      <c r="EU41" s="448" t="s">
        <v>9697</v>
      </c>
      <c r="EV41" s="1742"/>
      <c r="EW41" s="131" t="s">
        <v>9718</v>
      </c>
      <c r="EX41" s="131" t="s">
        <v>9718</v>
      </c>
      <c r="EY41" s="131" t="s">
        <v>9715</v>
      </c>
      <c r="EZ41" s="339" t="s">
        <v>9731</v>
      </c>
      <c r="FA41" s="339" t="s">
        <v>9718</v>
      </c>
      <c r="FB41" s="339" t="s">
        <v>9719</v>
      </c>
      <c r="FC41" s="387" t="s">
        <v>9723</v>
      </c>
      <c r="FD41" s="387" t="s">
        <v>9704</v>
      </c>
      <c r="FE41" s="387" t="s">
        <v>9702</v>
      </c>
      <c r="FF41" s="1741" t="s">
        <v>9712</v>
      </c>
      <c r="FG41" s="1741" t="s">
        <v>9702</v>
      </c>
      <c r="FH41" s="1741" t="s">
        <v>9706</v>
      </c>
      <c r="FI41" s="1741" t="s">
        <v>9722</v>
      </c>
      <c r="FJ41" s="1739" t="s">
        <v>9707</v>
      </c>
      <c r="FK41" s="1739" t="s">
        <v>9715</v>
      </c>
      <c r="FL41" s="131" t="s">
        <v>9706</v>
      </c>
      <c r="FM41" s="1739" t="s">
        <v>9722</v>
      </c>
      <c r="FN41" s="448" t="s">
        <v>9711</v>
      </c>
      <c r="FO41" s="387" t="s">
        <v>9718</v>
      </c>
      <c r="FP41" s="387" t="s">
        <v>9711</v>
      </c>
      <c r="FQ41" s="339" t="s">
        <v>9706</v>
      </c>
      <c r="FR41" s="1742" t="s">
        <v>9704</v>
      </c>
      <c r="FS41" s="1742" t="s">
        <v>9715</v>
      </c>
      <c r="FT41" s="1740" t="s">
        <v>9725</v>
      </c>
      <c r="FU41" s="1740" t="s">
        <v>9712</v>
      </c>
      <c r="FV41" s="131" t="s">
        <v>9707</v>
      </c>
      <c r="FW41" s="131" t="s">
        <v>9715</v>
      </c>
      <c r="FX41" s="1740" t="s">
        <v>9706</v>
      </c>
      <c r="FY41" s="1742" t="s">
        <v>9718</v>
      </c>
      <c r="FZ41" s="339" t="s">
        <v>9711</v>
      </c>
      <c r="GA41" s="131" t="s">
        <v>9722</v>
      </c>
      <c r="GB41" s="387" t="s">
        <v>9711</v>
      </c>
      <c r="GC41" s="387" t="s">
        <v>9704</v>
      </c>
      <c r="GD41" s="1741" t="s">
        <v>9703</v>
      </c>
      <c r="GE41" s="131" t="s">
        <v>9712</v>
      </c>
      <c r="GF41" s="1742" t="s">
        <v>9730</v>
      </c>
      <c r="GG41" s="131" t="s">
        <v>9730</v>
      </c>
      <c r="GH41" s="387" t="s">
        <v>9706</v>
      </c>
      <c r="GI41" s="448" t="s">
        <v>9714</v>
      </c>
      <c r="GJ41" s="339" t="s">
        <v>9722</v>
      </c>
      <c r="GK41" s="339" t="s">
        <v>9718</v>
      </c>
      <c r="GL41" s="1739" t="s">
        <v>9706</v>
      </c>
      <c r="GM41" s="387" t="s">
        <v>9720</v>
      </c>
      <c r="GN41" s="387" t="s">
        <v>9712</v>
      </c>
      <c r="GO41" s="448" t="s">
        <v>9715</v>
      </c>
      <c r="GP41" s="1744" t="s">
        <v>9711</v>
      </c>
      <c r="GQ41" s="1744" t="s">
        <v>9718</v>
      </c>
      <c r="GR41" s="1742" t="s">
        <v>9701</v>
      </c>
      <c r="GS41" s="1743" t="s">
        <v>9707</v>
      </c>
      <c r="GT41" s="1744"/>
      <c r="GU41" s="387"/>
      <c r="GV41" s="339" t="s">
        <v>9704</v>
      </c>
      <c r="GW41" s="1743" t="s">
        <v>9711</v>
      </c>
      <c r="GX41" s="448" t="s">
        <v>9723</v>
      </c>
      <c r="GY41" s="339" t="s">
        <v>9702</v>
      </c>
      <c r="GZ41" s="448" t="s">
        <v>9723</v>
      </c>
      <c r="HA41" s="1743" t="s">
        <v>9703</v>
      </c>
      <c r="HB41" s="1742" t="s">
        <v>9702</v>
      </c>
      <c r="HC41" s="448" t="s">
        <v>9709</v>
      </c>
      <c r="HD41" s="1743" t="s">
        <v>9711</v>
      </c>
      <c r="HE41" s="1739" t="s">
        <v>9706</v>
      </c>
      <c r="HF41" s="339" t="s">
        <v>9722</v>
      </c>
      <c r="HG41" s="387" t="s">
        <v>9707</v>
      </c>
      <c r="HH41" s="1744" t="s">
        <v>9714</v>
      </c>
      <c r="HI41" s="1741" t="s">
        <v>9723</v>
      </c>
      <c r="HJ41" s="1741" t="s">
        <v>9704</v>
      </c>
      <c r="HK41" s="1739" t="s">
        <v>9706</v>
      </c>
      <c r="HL41" s="1739" t="s">
        <v>9723</v>
      </c>
      <c r="HM41" s="1741" t="s">
        <v>9720</v>
      </c>
      <c r="HN41" s="1741" t="s">
        <v>9715</v>
      </c>
      <c r="HO41" s="1742" t="s">
        <v>9698</v>
      </c>
      <c r="HP41" s="1743" t="s">
        <v>9719</v>
      </c>
      <c r="HQ41" s="1739" t="s">
        <v>9717</v>
      </c>
      <c r="HR41" s="1739" t="s">
        <v>9718</v>
      </c>
      <c r="HS41" s="448" t="s">
        <v>9707</v>
      </c>
      <c r="HT41" s="1743" t="s">
        <v>9722</v>
      </c>
      <c r="HU41" s="1744" t="s">
        <v>9703</v>
      </c>
      <c r="HV41" s="1744" t="s">
        <v>9719</v>
      </c>
      <c r="HW41" s="387" t="s">
        <v>9706</v>
      </c>
      <c r="HX41" s="387" t="s">
        <v>9706</v>
      </c>
      <c r="HY41" s="1743" t="s">
        <v>9722</v>
      </c>
      <c r="HZ41" s="1739" t="s">
        <v>9714</v>
      </c>
      <c r="IA41" s="1741" t="s">
        <v>9708</v>
      </c>
      <c r="IB41" s="1740"/>
      <c r="IC41" s="448" t="s">
        <v>9710</v>
      </c>
      <c r="ID41" s="1741" t="s">
        <v>9718</v>
      </c>
      <c r="IE41" s="1742" t="s">
        <v>9715</v>
      </c>
      <c r="IF41" s="339" t="s">
        <v>9718</v>
      </c>
      <c r="IG41" s="1739" t="s">
        <v>9722</v>
      </c>
      <c r="IH41" s="1742" t="s">
        <v>9699</v>
      </c>
      <c r="II41" s="1742" t="s">
        <v>9700</v>
      </c>
      <c r="IJ41" s="339" t="s">
        <v>9714</v>
      </c>
      <c r="IK41" s="1741" t="s">
        <v>9715</v>
      </c>
      <c r="IL41" s="387" t="s">
        <v>9698</v>
      </c>
      <c r="IM41" s="131" t="s">
        <v>9703</v>
      </c>
      <c r="IN41" s="1743" t="s">
        <v>9703</v>
      </c>
      <c r="IO41" s="131" t="s">
        <v>9705</v>
      </c>
      <c r="IP41" s="1740" t="s">
        <v>9695</v>
      </c>
      <c r="IQ41" s="1739" t="s">
        <v>9699</v>
      </c>
      <c r="IR41" s="131" t="s">
        <v>9714</v>
      </c>
      <c r="IS41" s="131" t="s">
        <v>9723</v>
      </c>
      <c r="IT41" s="131" t="s">
        <v>9723</v>
      </c>
      <c r="IU41" s="131" t="s">
        <v>9702</v>
      </c>
      <c r="IV41" s="1739" t="s">
        <v>9706</v>
      </c>
      <c r="IW41" s="1739" t="s">
        <v>9711</v>
      </c>
      <c r="IX41" s="1739" t="s">
        <v>9713</v>
      </c>
      <c r="IY41" s="387" t="s">
        <v>9718</v>
      </c>
      <c r="IZ41" s="387" t="s">
        <v>9723</v>
      </c>
      <c r="JA41" s="387" t="s">
        <v>9698</v>
      </c>
      <c r="JB41" s="1743" t="s">
        <v>9718</v>
      </c>
      <c r="JC41" s="1743" t="s">
        <v>9711</v>
      </c>
      <c r="JD41" s="1741" t="s">
        <v>9704</v>
      </c>
      <c r="JE41" s="1740" t="s">
        <v>9698</v>
      </c>
      <c r="JF41" s="1739"/>
      <c r="JG41" s="1740"/>
      <c r="JH41" s="339" t="s">
        <v>9718</v>
      </c>
      <c r="JI41" s="448"/>
      <c r="JJ41" s="131" t="s">
        <v>9711</v>
      </c>
      <c r="JK41" s="131" t="s">
        <v>9711</v>
      </c>
      <c r="JL41" s="131" t="s">
        <v>9704</v>
      </c>
      <c r="JM41" s="131" t="s">
        <v>9702</v>
      </c>
      <c r="JN41" s="1741" t="s">
        <v>9706</v>
      </c>
      <c r="JO41" s="1741" t="s">
        <v>9703</v>
      </c>
      <c r="JP41" s="1741" t="s">
        <v>9707</v>
      </c>
      <c r="JQ41" s="387" t="s">
        <v>9726</v>
      </c>
      <c r="JR41" s="387" t="s">
        <v>9716</v>
      </c>
      <c r="JS41" s="1740" t="s">
        <v>9722</v>
      </c>
      <c r="JT41" s="339" t="s">
        <v>9718</v>
      </c>
      <c r="JU41" s="1740" t="s">
        <v>9715</v>
      </c>
      <c r="JV41" s="1740" t="s">
        <v>9715</v>
      </c>
      <c r="JW41" s="1740" t="s">
        <v>9704</v>
      </c>
      <c r="JX41" s="387" t="s">
        <v>9718</v>
      </c>
      <c r="JY41" s="387" t="s">
        <v>9707</v>
      </c>
      <c r="JZ41" s="1741" t="s">
        <v>9706</v>
      </c>
      <c r="KA41" s="131" t="s">
        <v>9704</v>
      </c>
      <c r="KB41" s="1741" t="s">
        <v>9714</v>
      </c>
      <c r="KC41" s="1740" t="s">
        <v>9709</v>
      </c>
      <c r="KD41" s="1741" t="s">
        <v>9705</v>
      </c>
      <c r="KE41" s="1743" t="s">
        <v>9722</v>
      </c>
      <c r="KF41" s="339" t="s">
        <v>9718</v>
      </c>
      <c r="KG41" s="1741" t="s">
        <v>9718</v>
      </c>
      <c r="KH41" s="1742" t="s">
        <v>9713</v>
      </c>
      <c r="KI41" s="387" t="s">
        <v>9712</v>
      </c>
      <c r="KJ41" s="387" t="s">
        <v>9714</v>
      </c>
      <c r="KK41" s="339" t="s">
        <v>9718</v>
      </c>
      <c r="KL41" s="1741" t="s">
        <v>9711</v>
      </c>
      <c r="KM41" s="387" t="s">
        <v>9706</v>
      </c>
      <c r="KN41" s="1743" t="s">
        <v>9711</v>
      </c>
      <c r="KO41" s="1742" t="s">
        <v>9702</v>
      </c>
      <c r="KP41" s="448" t="s">
        <v>9709</v>
      </c>
      <c r="KQ41" s="448" t="s">
        <v>9704</v>
      </c>
      <c r="KR41" s="1744" t="s">
        <v>9713</v>
      </c>
      <c r="KS41" s="1743" t="s">
        <v>9723</v>
      </c>
      <c r="KT41" s="1743" t="s">
        <v>9723</v>
      </c>
      <c r="KU41" s="1743" t="s">
        <v>9701</v>
      </c>
      <c r="KV41" s="387" t="s">
        <v>9715</v>
      </c>
      <c r="KW41" s="1739" t="s">
        <v>9704</v>
      </c>
      <c r="KX41" s="131" t="s">
        <v>9718</v>
      </c>
      <c r="KY41" s="339" t="s">
        <v>9711</v>
      </c>
      <c r="KZ41" s="339" t="s">
        <v>9706</v>
      </c>
      <c r="LA41" s="339" t="s">
        <v>9706</v>
      </c>
      <c r="LB41" s="1743" t="s">
        <v>9712</v>
      </c>
      <c r="LC41" s="448" t="s">
        <v>9712</v>
      </c>
      <c r="LD41" s="131" t="s">
        <v>9722</v>
      </c>
      <c r="LE41" s="131" t="s">
        <v>9717</v>
      </c>
      <c r="LF41" s="448" t="s">
        <v>9704</v>
      </c>
      <c r="LG41" s="1739" t="s">
        <v>9722</v>
      </c>
      <c r="LH41" s="387" t="s">
        <v>9723</v>
      </c>
      <c r="LI41" s="387" t="s">
        <v>9718</v>
      </c>
      <c r="LJ41" s="387" t="s">
        <v>9711</v>
      </c>
      <c r="LK41" s="339" t="s">
        <v>9722</v>
      </c>
      <c r="LL41" s="1739" t="s">
        <v>9723</v>
      </c>
      <c r="LM41" s="1741" t="s">
        <v>9711</v>
      </c>
      <c r="LN41" s="1744" t="s">
        <v>9725</v>
      </c>
      <c r="LO41" s="448" t="s">
        <v>9712</v>
      </c>
      <c r="LP41" s="1741" t="s">
        <v>9704</v>
      </c>
      <c r="LQ41" s="1741" t="s">
        <v>9718</v>
      </c>
      <c r="LR41" s="131" t="s">
        <v>9718</v>
      </c>
      <c r="LS41" s="131" t="s">
        <v>9720</v>
      </c>
      <c r="LT41" s="131" t="s">
        <v>9722</v>
      </c>
      <c r="LU41" s="131" t="s">
        <v>9718</v>
      </c>
      <c r="LV41" s="387" t="s">
        <v>9706</v>
      </c>
      <c r="LW41" s="387" t="s">
        <v>9704</v>
      </c>
      <c r="LX41" s="1740" t="s">
        <v>9705</v>
      </c>
      <c r="LY41" s="1744" t="s">
        <v>9711</v>
      </c>
      <c r="LZ41" s="339" t="s">
        <v>9704</v>
      </c>
      <c r="MA41" s="1739" t="s">
        <v>9715</v>
      </c>
      <c r="MB41" s="1743" t="s">
        <v>9718</v>
      </c>
      <c r="MC41" s="387" t="s">
        <v>9711</v>
      </c>
      <c r="MD41" s="1739" t="s">
        <v>9723</v>
      </c>
      <c r="ME41" s="1739" t="s">
        <v>9717</v>
      </c>
      <c r="MF41" s="1741" t="s">
        <v>9714</v>
      </c>
      <c r="MG41" s="1744" t="s">
        <v>9708</v>
      </c>
      <c r="MH41" s="448" t="s">
        <v>9722</v>
      </c>
      <c r="MI41" s="131" t="s">
        <v>9711</v>
      </c>
      <c r="MJ41" s="1743" t="s">
        <v>9722</v>
      </c>
      <c r="MK41" s="1743" t="s">
        <v>9707</v>
      </c>
      <c r="ML41" s="1741" t="s">
        <v>9732</v>
      </c>
      <c r="MM41" s="1742" t="s">
        <v>9718</v>
      </c>
      <c r="MN41" s="1740" t="s">
        <v>9704</v>
      </c>
      <c r="MO41" s="131" t="s">
        <v>9698</v>
      </c>
      <c r="MP41" s="1744" t="s">
        <v>9703</v>
      </c>
      <c r="MQ41" s="1744" t="s">
        <v>9725</v>
      </c>
      <c r="MR41" s="1744" t="s">
        <v>9711</v>
      </c>
      <c r="MS41" s="1744" t="s">
        <v>9714</v>
      </c>
      <c r="MT41" s="131" t="s">
        <v>9711</v>
      </c>
      <c r="MU41" s="387" t="s">
        <v>9725</v>
      </c>
      <c r="MV41" s="1740" t="s">
        <v>9709</v>
      </c>
      <c r="MW41" s="387"/>
      <c r="MX41" s="1743" t="s">
        <v>9718</v>
      </c>
      <c r="MY41" s="1743" t="s">
        <v>9714</v>
      </c>
      <c r="MZ41" s="387" t="s">
        <v>9718</v>
      </c>
      <c r="NA41" s="387" t="s">
        <v>9711</v>
      </c>
      <c r="NB41" s="387" t="s">
        <v>9723</v>
      </c>
      <c r="NC41" s="387" t="s">
        <v>9732</v>
      </c>
      <c r="ND41" s="387" t="s">
        <v>9722</v>
      </c>
      <c r="NE41" s="1742" t="s">
        <v>9711</v>
      </c>
      <c r="NF41" s="1743" t="s">
        <v>9720</v>
      </c>
      <c r="NG41" s="1742" t="s">
        <v>9706</v>
      </c>
      <c r="NH41" s="387" t="s">
        <v>9711</v>
      </c>
      <c r="NI41" s="1740" t="s">
        <v>9711</v>
      </c>
      <c r="NJ41" s="387" t="s">
        <v>9719</v>
      </c>
      <c r="NK41" s="387"/>
      <c r="NL41" s="387" t="s">
        <v>9717</v>
      </c>
      <c r="NM41" s="387" t="s">
        <v>9717</v>
      </c>
      <c r="NN41" s="1741" t="s">
        <v>9725</v>
      </c>
      <c r="NO41" s="387" t="s">
        <v>9712</v>
      </c>
      <c r="NP41" s="1743" t="s">
        <v>9725</v>
      </c>
      <c r="NQ41" s="1739" t="s">
        <v>9705</v>
      </c>
      <c r="NR41" s="387" t="s">
        <v>9705</v>
      </c>
      <c r="NS41" s="387" t="s">
        <v>9699</v>
      </c>
      <c r="NT41" s="1739" t="s">
        <v>9702</v>
      </c>
      <c r="NU41" s="131" t="s">
        <v>9705</v>
      </c>
      <c r="NV41" s="339" t="s">
        <v>9714</v>
      </c>
      <c r="NW41" s="1739" t="s">
        <v>9705</v>
      </c>
      <c r="NX41" s="1739" t="s">
        <v>9705</v>
      </c>
      <c r="NY41" s="1739" t="s">
        <v>9705</v>
      </c>
      <c r="NZ41" s="1739" t="s">
        <v>9705</v>
      </c>
      <c r="OA41" s="131" t="s">
        <v>9718</v>
      </c>
      <c r="OB41" s="131" t="s">
        <v>9718</v>
      </c>
      <c r="OC41" s="131" t="s">
        <v>9704</v>
      </c>
      <c r="OD41" s="1741" t="s">
        <v>9707</v>
      </c>
      <c r="OE41" s="1741" t="s">
        <v>9723</v>
      </c>
      <c r="OF41" s="1741" t="s">
        <v>9698</v>
      </c>
      <c r="OG41" s="387" t="s">
        <v>9711</v>
      </c>
      <c r="OH41" s="387" t="s">
        <v>9711</v>
      </c>
      <c r="OI41" s="387" t="s">
        <v>9704</v>
      </c>
      <c r="OJ41" s="1741" t="s">
        <v>9726</v>
      </c>
      <c r="OK41" s="1741" t="s">
        <v>9726</v>
      </c>
      <c r="OL41" s="1741" t="s">
        <v>9716</v>
      </c>
      <c r="OM41" s="1741" t="s">
        <v>9704</v>
      </c>
      <c r="ON41" s="1741" t="s">
        <v>9702</v>
      </c>
      <c r="OO41" s="1739"/>
      <c r="OP41" s="1739" t="s">
        <v>9727</v>
      </c>
      <c r="OQ41" s="387" t="s">
        <v>9722</v>
      </c>
      <c r="OR41" s="387" t="s">
        <v>9722</v>
      </c>
      <c r="OS41" s="387" t="s">
        <v>9718</v>
      </c>
      <c r="OT41" s="131" t="s">
        <v>9722</v>
      </c>
      <c r="OU41" s="131" t="s">
        <v>9718</v>
      </c>
      <c r="OV41" s="387" t="s">
        <v>9704</v>
      </c>
      <c r="OW41" s="387" t="s">
        <v>9702</v>
      </c>
      <c r="OX41" s="1743" t="s">
        <v>9698</v>
      </c>
      <c r="OY41" s="1743" t="s">
        <v>9702</v>
      </c>
      <c r="OZ41" s="131"/>
      <c r="PA41" s="131" t="s">
        <v>9711</v>
      </c>
      <c r="PB41" s="339" t="s">
        <v>9723</v>
      </c>
      <c r="PC41" s="1742" t="s">
        <v>9706</v>
      </c>
      <c r="PD41" s="339" t="s">
        <v>9711</v>
      </c>
      <c r="PE41" s="339"/>
      <c r="PF41" s="339" t="s">
        <v>9710</v>
      </c>
      <c r="PG41" s="1740" t="s">
        <v>9722</v>
      </c>
      <c r="PH41" s="1741" t="s">
        <v>9704</v>
      </c>
      <c r="PI41" s="1741" t="s">
        <v>9702</v>
      </c>
      <c r="PJ41" s="1742" t="s">
        <v>9730</v>
      </c>
      <c r="PK41" s="1742" t="s">
        <v>9706</v>
      </c>
      <c r="PL41" s="448" t="s">
        <v>9732</v>
      </c>
      <c r="PM41" s="448" t="s">
        <v>9720</v>
      </c>
      <c r="PN41" s="448" t="s">
        <v>9698</v>
      </c>
      <c r="PO41" s="448" t="s">
        <v>9718</v>
      </c>
      <c r="PP41" s="448" t="s">
        <v>9718</v>
      </c>
      <c r="PQ41" s="1741" t="s">
        <v>9718</v>
      </c>
      <c r="PR41" s="1741" t="s">
        <v>9702</v>
      </c>
      <c r="PS41" s="448" t="s">
        <v>9725</v>
      </c>
      <c r="PT41" s="1744" t="s">
        <v>9711</v>
      </c>
      <c r="PU41" s="1743" t="s">
        <v>9725</v>
      </c>
      <c r="PV41" s="1743" t="s">
        <v>9714</v>
      </c>
      <c r="PW41" s="339" t="s">
        <v>9725</v>
      </c>
      <c r="PX41" s="448" t="s">
        <v>9719</v>
      </c>
      <c r="PY41" s="448" t="s">
        <v>9717</v>
      </c>
      <c r="PZ41" s="131" t="s">
        <v>9715</v>
      </c>
      <c r="QA41" s="131" t="s">
        <v>9704</v>
      </c>
      <c r="QB41" s="1741" t="s">
        <v>9706</v>
      </c>
      <c r="QC41" s="1742" t="s">
        <v>9708</v>
      </c>
      <c r="QD41" s="1742" t="s">
        <v>9725</v>
      </c>
      <c r="QE41" s="1744" t="s">
        <v>9710</v>
      </c>
      <c r="QF41" s="448" t="s">
        <v>9723</v>
      </c>
      <c r="QG41" s="387" t="s">
        <v>9723</v>
      </c>
      <c r="QH41" s="387" t="s">
        <v>9719</v>
      </c>
      <c r="QI41" s="387" t="s">
        <v>9713</v>
      </c>
      <c r="QJ41" s="1744" t="s">
        <v>9708</v>
      </c>
      <c r="QK41" s="387" t="s">
        <v>9723</v>
      </c>
      <c r="QL41" s="387" t="s">
        <v>9698</v>
      </c>
      <c r="QM41" s="1741" t="s">
        <v>9722</v>
      </c>
      <c r="QN41" s="1741" t="s">
        <v>9718</v>
      </c>
      <c r="QO41" s="448" t="s">
        <v>9707</v>
      </c>
      <c r="QP41" s="448" t="s">
        <v>9704</v>
      </c>
      <c r="QQ41" s="387" t="s">
        <v>9717</v>
      </c>
      <c r="QR41" s="387" t="s">
        <v>9704</v>
      </c>
      <c r="QS41" s="131" t="s">
        <v>9706</v>
      </c>
      <c r="QT41" s="387" t="s">
        <v>9706</v>
      </c>
      <c r="QU41" s="387" t="s">
        <v>9722</v>
      </c>
      <c r="QV41" s="387" t="s">
        <v>9722</v>
      </c>
      <c r="QW41" s="1740" t="s">
        <v>9702</v>
      </c>
      <c r="QX41" s="1740" t="s">
        <v>9700</v>
      </c>
      <c r="QY41" s="1744" t="s">
        <v>9698</v>
      </c>
      <c r="QZ41" s="1743" t="s">
        <v>9718</v>
      </c>
      <c r="RA41" s="1742" t="s">
        <v>9699</v>
      </c>
      <c r="RB41" s="1743" t="s">
        <v>9702</v>
      </c>
      <c r="RC41" s="387" t="s">
        <v>9717</v>
      </c>
      <c r="RD41" s="339" t="s">
        <v>9708</v>
      </c>
      <c r="RE41" s="1739" t="s">
        <v>9704</v>
      </c>
      <c r="RF41" s="1740" t="s">
        <v>9712</v>
      </c>
      <c r="RG41" s="131" t="s">
        <v>9722</v>
      </c>
      <c r="RH41" s="131" t="s">
        <v>9704</v>
      </c>
      <c r="RI41" s="387" t="s">
        <v>9714</v>
      </c>
      <c r="RJ41" s="448" t="s">
        <v>9720</v>
      </c>
      <c r="RK41" s="1741" t="s">
        <v>9715</v>
      </c>
      <c r="RL41" s="1739" t="s">
        <v>9714</v>
      </c>
      <c r="RM41" s="1740" t="s">
        <v>9702</v>
      </c>
      <c r="RN41" s="1743" t="s">
        <v>9703</v>
      </c>
      <c r="RO41" s="1744" t="s">
        <v>9714</v>
      </c>
      <c r="RP41" s="1740" t="s">
        <v>9702</v>
      </c>
      <c r="RQ41" s="1739" t="s">
        <v>9718</v>
      </c>
      <c r="RR41" s="1739" t="s">
        <v>9718</v>
      </c>
      <c r="RS41" s="1739" t="s">
        <v>9718</v>
      </c>
      <c r="RT41" s="1739" t="s">
        <v>9718</v>
      </c>
      <c r="RU41" s="1739" t="s">
        <v>9718</v>
      </c>
      <c r="RV41" s="1739" t="s">
        <v>9718</v>
      </c>
      <c r="RW41" s="339" t="s">
        <v>9709</v>
      </c>
      <c r="RX41" s="1742" t="s">
        <v>9709</v>
      </c>
      <c r="RY41" s="387" t="s">
        <v>9702</v>
      </c>
      <c r="RZ41" s="1740" t="s">
        <v>9709</v>
      </c>
      <c r="SA41" s="448" t="s">
        <v>9695</v>
      </c>
      <c r="SB41" s="1741" t="s">
        <v>9723</v>
      </c>
      <c r="SC41" s="1740" t="s">
        <v>9723</v>
      </c>
      <c r="SD41" s="1744" t="s">
        <v>9702</v>
      </c>
      <c r="SE41" s="1744" t="s">
        <v>9702</v>
      </c>
      <c r="SF41" s="339" t="s">
        <v>9704</v>
      </c>
      <c r="SG41" s="387" t="s">
        <v>9728</v>
      </c>
      <c r="SH41" s="387" t="s">
        <v>9714</v>
      </c>
      <c r="SI41" s="1744" t="s">
        <v>9708</v>
      </c>
      <c r="SJ41" s="131" t="s">
        <v>9722</v>
      </c>
      <c r="SK41" s="131" t="s">
        <v>9722</v>
      </c>
      <c r="SL41" s="1745" t="s">
        <v>9733</v>
      </c>
    </row>
    <row r="42" ht="15.75" customHeight="1">
      <c r="A42" s="1517"/>
      <c r="B42" s="148" t="s">
        <v>9732</v>
      </c>
      <c r="C42" s="148" t="s">
        <v>9732</v>
      </c>
      <c r="D42" s="148" t="s">
        <v>9722</v>
      </c>
      <c r="E42" s="148" t="s">
        <v>9711</v>
      </c>
      <c r="F42" s="148" t="s">
        <v>9711</v>
      </c>
      <c r="G42" s="148" t="s">
        <v>9713</v>
      </c>
      <c r="H42" s="148" t="s">
        <v>9711</v>
      </c>
      <c r="I42" s="148" t="s">
        <v>9711</v>
      </c>
      <c r="J42" s="148" t="s">
        <v>9712</v>
      </c>
      <c r="K42" s="148"/>
      <c r="L42" s="148"/>
      <c r="M42" s="148" t="s">
        <v>9718</v>
      </c>
      <c r="N42" s="148"/>
      <c r="O42" s="148"/>
      <c r="P42" s="148" t="s">
        <v>9706</v>
      </c>
      <c r="Q42" s="148" t="s">
        <v>9732</v>
      </c>
      <c r="R42" s="148" t="s">
        <v>9732</v>
      </c>
      <c r="S42" s="148" t="s">
        <v>9726</v>
      </c>
      <c r="T42" s="148" t="s">
        <v>9725</v>
      </c>
      <c r="U42" s="148" t="s">
        <v>9714</v>
      </c>
      <c r="V42" s="148" t="s">
        <v>9732</v>
      </c>
      <c r="W42" s="148" t="s">
        <v>9726</v>
      </c>
      <c r="X42" s="148" t="s">
        <v>9718</v>
      </c>
      <c r="Y42" s="148" t="s">
        <v>9711</v>
      </c>
      <c r="Z42" s="148" t="s">
        <v>9718</v>
      </c>
      <c r="AA42" s="148" t="s">
        <v>9711</v>
      </c>
      <c r="AB42" s="148" t="s">
        <v>9718</v>
      </c>
      <c r="AC42" s="148" t="s">
        <v>9711</v>
      </c>
      <c r="AD42" s="148" t="s">
        <v>9717</v>
      </c>
      <c r="AE42" s="148" t="s">
        <v>9717</v>
      </c>
      <c r="AF42" s="148" t="s">
        <v>9699</v>
      </c>
      <c r="AG42" s="148" t="s">
        <v>9717</v>
      </c>
      <c r="AH42" s="148" t="s">
        <v>9717</v>
      </c>
      <c r="AI42" s="148" t="s">
        <v>9699</v>
      </c>
      <c r="AJ42" s="148" t="s">
        <v>9709</v>
      </c>
      <c r="AK42" s="148" t="s">
        <v>9705</v>
      </c>
      <c r="AL42" s="148" t="s">
        <v>9706</v>
      </c>
      <c r="AM42" s="148" t="s">
        <v>9711</v>
      </c>
      <c r="AN42" s="148" t="s">
        <v>9698</v>
      </c>
      <c r="AO42" s="148" t="s">
        <v>9702</v>
      </c>
      <c r="AP42" s="148" t="s">
        <v>9722</v>
      </c>
      <c r="AQ42" s="148" t="s">
        <v>9718</v>
      </c>
      <c r="AR42" s="148" t="s">
        <v>9732</v>
      </c>
      <c r="AS42" s="148" t="s">
        <v>9728</v>
      </c>
      <c r="AT42" s="148" t="s">
        <v>9730</v>
      </c>
      <c r="AU42" s="148" t="s">
        <v>9722</v>
      </c>
      <c r="AV42" s="148" t="s">
        <v>9718</v>
      </c>
      <c r="AW42" s="148" t="s">
        <v>9721</v>
      </c>
      <c r="AX42" s="148" t="s">
        <v>9706</v>
      </c>
      <c r="AY42" s="148" t="s">
        <v>9706</v>
      </c>
      <c r="AZ42" s="148" t="s">
        <v>9722</v>
      </c>
      <c r="BA42" s="148" t="s">
        <v>9707</v>
      </c>
      <c r="BB42" s="148" t="s">
        <v>9704</v>
      </c>
      <c r="BC42" s="148" t="s">
        <v>9704</v>
      </c>
      <c r="BD42" s="148" t="s">
        <v>9712</v>
      </c>
      <c r="BE42" s="148" t="s">
        <v>9704</v>
      </c>
      <c r="BF42" s="148" t="s">
        <v>9712</v>
      </c>
      <c r="BG42" s="148" t="s">
        <v>9706</v>
      </c>
      <c r="BH42" s="148" t="s">
        <v>9718</v>
      </c>
      <c r="BI42" s="148" t="s">
        <v>9706</v>
      </c>
      <c r="BJ42" s="148" t="s">
        <v>9711</v>
      </c>
      <c r="BK42" s="148" t="s">
        <v>9712</v>
      </c>
      <c r="BL42" s="148" t="s">
        <v>9715</v>
      </c>
      <c r="BM42" s="148" t="s">
        <v>9715</v>
      </c>
      <c r="BN42" s="148" t="s">
        <v>9704</v>
      </c>
      <c r="BO42" s="148" t="s">
        <v>9711</v>
      </c>
      <c r="BP42" s="148" t="s">
        <v>9711</v>
      </c>
      <c r="BQ42" s="148" t="s">
        <v>9723</v>
      </c>
      <c r="BR42" s="148" t="s">
        <v>9730</v>
      </c>
      <c r="BS42" s="148" t="s">
        <v>9730</v>
      </c>
      <c r="BT42" s="148" t="s">
        <v>9710</v>
      </c>
      <c r="BU42" s="148" t="s">
        <v>9706</v>
      </c>
      <c r="BV42" s="148" t="s">
        <v>9722</v>
      </c>
      <c r="BW42" s="148" t="s">
        <v>9718</v>
      </c>
      <c r="BX42" s="148" t="s">
        <v>9718</v>
      </c>
      <c r="BY42" s="148" t="s">
        <v>9723</v>
      </c>
      <c r="BZ42" s="148" t="s">
        <v>9732</v>
      </c>
      <c r="CA42" s="148" t="s">
        <v>9731</v>
      </c>
      <c r="CB42" s="148" t="s">
        <v>9698</v>
      </c>
      <c r="CC42" s="148" t="s">
        <v>9699</v>
      </c>
      <c r="CD42" s="148" t="s">
        <v>9732</v>
      </c>
      <c r="CE42" s="148" t="s">
        <v>9722</v>
      </c>
      <c r="CF42" s="148" t="s">
        <v>9727</v>
      </c>
      <c r="CG42" s="148" t="s">
        <v>9734</v>
      </c>
      <c r="CH42" s="148" t="s">
        <v>9716</v>
      </c>
      <c r="CI42" s="148" t="s">
        <v>9710</v>
      </c>
      <c r="CJ42" s="148" t="s">
        <v>9706</v>
      </c>
      <c r="CK42" s="148" t="s">
        <v>9717</v>
      </c>
      <c r="CL42" s="148" t="s">
        <v>9704</v>
      </c>
      <c r="CM42" s="148" t="s">
        <v>9735</v>
      </c>
      <c r="CN42" s="148" t="s">
        <v>9706</v>
      </c>
      <c r="CO42" s="148" t="s">
        <v>9718</v>
      </c>
      <c r="CP42" s="148" t="s">
        <v>9718</v>
      </c>
      <c r="CQ42" s="148" t="s">
        <v>9704</v>
      </c>
      <c r="CR42" s="148" t="s">
        <v>9718</v>
      </c>
      <c r="CS42" s="148" t="s">
        <v>9715</v>
      </c>
      <c r="CT42" s="148" t="s">
        <v>9704</v>
      </c>
      <c r="CU42" s="148" t="s">
        <v>9722</v>
      </c>
      <c r="CV42" s="148" t="s">
        <v>9718</v>
      </c>
      <c r="CW42" s="148" t="s">
        <v>9710</v>
      </c>
      <c r="CX42" s="148" t="s">
        <v>9722</v>
      </c>
      <c r="CY42" s="148" t="s">
        <v>9722</v>
      </c>
      <c r="CZ42" s="148" t="s">
        <v>9718</v>
      </c>
      <c r="DA42" s="148" t="s">
        <v>9719</v>
      </c>
      <c r="DB42" s="148" t="s">
        <v>9720</v>
      </c>
      <c r="DC42" s="148" t="s">
        <v>9706</v>
      </c>
      <c r="DD42" s="148" t="s">
        <v>9706</v>
      </c>
      <c r="DE42" s="148" t="s">
        <v>9702</v>
      </c>
      <c r="DF42" s="148" t="s">
        <v>9703</v>
      </c>
      <c r="DG42" s="148" t="s">
        <v>9719</v>
      </c>
      <c r="DH42" s="148" t="s">
        <v>9725</v>
      </c>
      <c r="DI42" s="148" t="s">
        <v>9698</v>
      </c>
      <c r="DJ42" s="148" t="s">
        <v>9701</v>
      </c>
      <c r="DK42" s="148" t="s">
        <v>9722</v>
      </c>
      <c r="DL42" s="148" t="s">
        <v>9709</v>
      </c>
      <c r="DM42" s="148" t="s">
        <v>9736</v>
      </c>
      <c r="DN42" s="148" t="s">
        <v>9732</v>
      </c>
      <c r="DO42" s="148" t="s">
        <v>9734</v>
      </c>
      <c r="DP42" s="148" t="s">
        <v>9732</v>
      </c>
      <c r="DQ42" s="148" t="s">
        <v>9711</v>
      </c>
      <c r="DR42" s="148" t="s">
        <v>9715</v>
      </c>
      <c r="DS42" s="148" t="s">
        <v>9708</v>
      </c>
      <c r="DT42" s="148" t="s">
        <v>9716</v>
      </c>
      <c r="DU42" s="148" t="s">
        <v>9714</v>
      </c>
      <c r="DV42" s="148" t="s">
        <v>9711</v>
      </c>
      <c r="DW42" s="148" t="s">
        <v>9722</v>
      </c>
      <c r="DX42" s="148" t="s">
        <v>9718</v>
      </c>
      <c r="DY42" s="148" t="s">
        <v>9704</v>
      </c>
      <c r="DZ42" s="148"/>
      <c r="EA42" s="148" t="s">
        <v>9704</v>
      </c>
      <c r="EB42" s="148" t="s">
        <v>9708</v>
      </c>
      <c r="EC42" s="148"/>
      <c r="ED42" s="148" t="s">
        <v>9734</v>
      </c>
      <c r="EE42" s="148" t="s">
        <v>9704</v>
      </c>
      <c r="EF42" s="148" t="s">
        <v>9725</v>
      </c>
      <c r="EG42" s="148" t="s">
        <v>9718</v>
      </c>
      <c r="EH42" s="148" t="s">
        <v>9704</v>
      </c>
      <c r="EI42" s="148" t="s">
        <v>9706</v>
      </c>
      <c r="EJ42" s="148" t="s">
        <v>9722</v>
      </c>
      <c r="EK42" s="148" t="s">
        <v>9718</v>
      </c>
      <c r="EL42" s="148" t="s">
        <v>9723</v>
      </c>
      <c r="EM42" s="148" t="s">
        <v>9719</v>
      </c>
      <c r="EN42" s="148" t="s">
        <v>9708</v>
      </c>
      <c r="EO42" s="148" t="s">
        <v>9707</v>
      </c>
      <c r="EP42" s="148" t="s">
        <v>9711</v>
      </c>
      <c r="EQ42" s="148" t="s">
        <v>9711</v>
      </c>
      <c r="ER42" s="148" t="s">
        <v>9704</v>
      </c>
      <c r="ES42" s="148" t="s">
        <v>9704</v>
      </c>
      <c r="ET42" s="148" t="s">
        <v>9705</v>
      </c>
      <c r="EU42" s="148" t="s">
        <v>9695</v>
      </c>
      <c r="EV42" s="148"/>
      <c r="EW42" s="148" t="s">
        <v>9722</v>
      </c>
      <c r="EX42" s="148" t="s">
        <v>9722</v>
      </c>
      <c r="EY42" s="148" t="s">
        <v>9711</v>
      </c>
      <c r="EZ42" s="148" t="s">
        <v>9732</v>
      </c>
      <c r="FA42" s="148" t="s">
        <v>9722</v>
      </c>
      <c r="FB42" s="148" t="s">
        <v>9723</v>
      </c>
      <c r="FC42" s="148" t="s">
        <v>9707</v>
      </c>
      <c r="FD42" s="148" t="s">
        <v>9723</v>
      </c>
      <c r="FE42" s="148" t="s">
        <v>9698</v>
      </c>
      <c r="FF42" s="148" t="s">
        <v>9704</v>
      </c>
      <c r="FG42" s="148" t="s">
        <v>9698</v>
      </c>
      <c r="FH42" s="148" t="s">
        <v>9710</v>
      </c>
      <c r="FI42" s="148" t="s">
        <v>9706</v>
      </c>
      <c r="FJ42" s="148" t="s">
        <v>9711</v>
      </c>
      <c r="FK42" s="148" t="s">
        <v>9707</v>
      </c>
      <c r="FL42" s="148" t="s">
        <v>9710</v>
      </c>
      <c r="FM42" s="148" t="s">
        <v>9706</v>
      </c>
      <c r="FN42" s="148" t="s">
        <v>9718</v>
      </c>
      <c r="FO42" s="148" t="s">
        <v>9722</v>
      </c>
      <c r="FP42" s="148" t="s">
        <v>9718</v>
      </c>
      <c r="FQ42" s="148" t="s">
        <v>9728</v>
      </c>
      <c r="FR42" s="148" t="s">
        <v>9715</v>
      </c>
      <c r="FS42" s="148" t="s">
        <v>9725</v>
      </c>
      <c r="FT42" s="148" t="s">
        <v>9713</v>
      </c>
      <c r="FU42" s="148" t="s">
        <v>9704</v>
      </c>
      <c r="FV42" s="148" t="s">
        <v>9711</v>
      </c>
      <c r="FW42" s="148" t="s">
        <v>9707</v>
      </c>
      <c r="FX42" s="148" t="s">
        <v>9732</v>
      </c>
      <c r="FY42" s="148" t="s">
        <v>9722</v>
      </c>
      <c r="FZ42" s="148" t="s">
        <v>9718</v>
      </c>
      <c r="GA42" s="148" t="s">
        <v>9706</v>
      </c>
      <c r="GB42" s="148" t="s">
        <v>9718</v>
      </c>
      <c r="GC42" s="148" t="s">
        <v>9711</v>
      </c>
      <c r="GD42" s="148" t="s">
        <v>9711</v>
      </c>
      <c r="GE42" s="148" t="s">
        <v>9704</v>
      </c>
      <c r="GF42" s="148" t="s">
        <v>9732</v>
      </c>
      <c r="GG42" s="148" t="s">
        <v>9732</v>
      </c>
      <c r="GH42" s="148" t="s">
        <v>9730</v>
      </c>
      <c r="GI42" s="148" t="s">
        <v>9712</v>
      </c>
      <c r="GJ42" s="148" t="s">
        <v>9706</v>
      </c>
      <c r="GK42" s="148" t="s">
        <v>9722</v>
      </c>
      <c r="GL42" s="148" t="s">
        <v>9710</v>
      </c>
      <c r="GM42" s="148" t="s">
        <v>9711</v>
      </c>
      <c r="GN42" s="148" t="s">
        <v>9704</v>
      </c>
      <c r="GO42" s="148" t="s">
        <v>9711</v>
      </c>
      <c r="GP42" s="148" t="s">
        <v>9718</v>
      </c>
      <c r="GQ42" s="148" t="s">
        <v>9722</v>
      </c>
      <c r="GR42" s="148" t="s">
        <v>9699</v>
      </c>
      <c r="GS42" s="148" t="s">
        <v>9703</v>
      </c>
      <c r="GT42" s="148"/>
      <c r="GU42" s="148"/>
      <c r="GV42" s="148" t="s">
        <v>9715</v>
      </c>
      <c r="GW42" s="148" t="s">
        <v>9718</v>
      </c>
      <c r="GX42" s="148" t="s">
        <v>9711</v>
      </c>
      <c r="GY42" s="148" t="s">
        <v>9698</v>
      </c>
      <c r="GZ42" s="148" t="s">
        <v>9707</v>
      </c>
      <c r="HA42" s="148" t="s">
        <v>9711</v>
      </c>
      <c r="HB42" s="148" t="s">
        <v>9698</v>
      </c>
      <c r="HC42" s="148" t="s">
        <v>9699</v>
      </c>
      <c r="HD42" s="148" t="s">
        <v>9718</v>
      </c>
      <c r="HE42" s="148" t="s">
        <v>9710</v>
      </c>
      <c r="HF42" s="148" t="s">
        <v>9706</v>
      </c>
      <c r="HG42" s="148" t="s">
        <v>9711</v>
      </c>
      <c r="HH42" s="148" t="s">
        <v>9712</v>
      </c>
      <c r="HI42" s="148" t="s">
        <v>9707</v>
      </c>
      <c r="HJ42" s="148" t="s">
        <v>9723</v>
      </c>
      <c r="HK42" s="148" t="s">
        <v>9731</v>
      </c>
      <c r="HL42" s="148" t="s">
        <v>9711</v>
      </c>
      <c r="HM42" s="148" t="s">
        <v>9723</v>
      </c>
      <c r="HN42" s="148" t="s">
        <v>9720</v>
      </c>
      <c r="HO42" s="148" t="s">
        <v>9708</v>
      </c>
      <c r="HP42" s="148" t="s">
        <v>9711</v>
      </c>
      <c r="HQ42" s="148" t="s">
        <v>9719</v>
      </c>
      <c r="HR42" s="148" t="s">
        <v>9722</v>
      </c>
      <c r="HS42" s="148" t="s">
        <v>9711</v>
      </c>
      <c r="HT42" s="148" t="s">
        <v>9706</v>
      </c>
      <c r="HU42" s="148" t="s">
        <v>9711</v>
      </c>
      <c r="HV42" s="148" t="s">
        <v>9703</v>
      </c>
      <c r="HW42" s="148" t="s">
        <v>9732</v>
      </c>
      <c r="HX42" s="148" t="s">
        <v>9732</v>
      </c>
      <c r="HY42" s="148" t="s">
        <v>9706</v>
      </c>
      <c r="HZ42" s="148" t="s">
        <v>9704</v>
      </c>
      <c r="IA42" s="148" t="s">
        <v>9714</v>
      </c>
      <c r="IB42" s="148"/>
      <c r="IC42" s="148" t="s">
        <v>9732</v>
      </c>
      <c r="ID42" s="148" t="s">
        <v>9722</v>
      </c>
      <c r="IE42" s="148" t="s">
        <v>9711</v>
      </c>
      <c r="IF42" s="148" t="s">
        <v>9722</v>
      </c>
      <c r="IG42" s="148" t="s">
        <v>9706</v>
      </c>
      <c r="IH42" s="148" t="s">
        <v>9702</v>
      </c>
      <c r="II42" s="148" t="s">
        <v>9701</v>
      </c>
      <c r="IJ42" s="148" t="s">
        <v>9704</v>
      </c>
      <c r="IK42" s="148" t="s">
        <v>9713</v>
      </c>
      <c r="IL42" s="148" t="s">
        <v>9714</v>
      </c>
      <c r="IM42" s="148" t="s">
        <v>9711</v>
      </c>
      <c r="IN42" s="148" t="s">
        <v>9711</v>
      </c>
      <c r="IO42" s="148" t="s">
        <v>9709</v>
      </c>
      <c r="IP42" s="148" t="s">
        <v>9701</v>
      </c>
      <c r="IQ42" s="148" t="s">
        <v>9702</v>
      </c>
      <c r="IR42" s="148" t="s">
        <v>9704</v>
      </c>
      <c r="IS42" s="148" t="s">
        <v>9707</v>
      </c>
      <c r="IT42" s="148" t="s">
        <v>9707</v>
      </c>
      <c r="IU42" s="148" t="s">
        <v>9698</v>
      </c>
      <c r="IV42" s="148" t="s">
        <v>9731</v>
      </c>
      <c r="IW42" s="148" t="s">
        <v>9718</v>
      </c>
      <c r="IX42" s="148" t="s">
        <v>9719</v>
      </c>
      <c r="IY42" s="148" t="s">
        <v>9722</v>
      </c>
      <c r="IZ42" s="148" t="s">
        <v>9711</v>
      </c>
      <c r="JA42" s="148" t="s">
        <v>9712</v>
      </c>
      <c r="JB42" s="148" t="s">
        <v>9722</v>
      </c>
      <c r="JC42" s="148" t="s">
        <v>9718</v>
      </c>
      <c r="JD42" s="148" t="s">
        <v>9725</v>
      </c>
      <c r="JE42" s="148" t="s">
        <v>9714</v>
      </c>
      <c r="JF42" s="148"/>
      <c r="JG42" s="148"/>
      <c r="JH42" s="148" t="s">
        <v>9722</v>
      </c>
      <c r="JI42" s="148"/>
      <c r="JJ42" s="148" t="s">
        <v>9718</v>
      </c>
      <c r="JK42" s="1746" t="s">
        <v>9718</v>
      </c>
      <c r="JL42" s="1746" t="s">
        <v>9711</v>
      </c>
      <c r="JM42" s="1746" t="s">
        <v>9712</v>
      </c>
      <c r="JN42" s="1746" t="s">
        <v>9730</v>
      </c>
      <c r="JO42" s="1746" t="s">
        <v>9711</v>
      </c>
      <c r="JP42" s="1746" t="s">
        <v>9703</v>
      </c>
      <c r="JQ42" s="1746" t="s">
        <v>9732</v>
      </c>
      <c r="JR42" s="1746" t="s">
        <v>9726</v>
      </c>
      <c r="JS42" s="148" t="s">
        <v>9706</v>
      </c>
      <c r="JT42" s="148" t="s">
        <v>9722</v>
      </c>
      <c r="JU42" s="148" t="s">
        <v>9725</v>
      </c>
      <c r="JV42" s="148" t="s">
        <v>9725</v>
      </c>
      <c r="JW42" s="148" t="s">
        <v>9715</v>
      </c>
      <c r="JX42" s="1746" t="s">
        <v>9722</v>
      </c>
      <c r="JY42" s="1746" t="s">
        <v>9711</v>
      </c>
      <c r="JZ42" s="1746" t="s">
        <v>9724</v>
      </c>
      <c r="KA42" s="1746" t="s">
        <v>9717</v>
      </c>
      <c r="KB42" s="1746" t="s">
        <v>9712</v>
      </c>
      <c r="KC42" s="148" t="s">
        <v>9699</v>
      </c>
      <c r="KD42" s="1746" t="s">
        <v>9709</v>
      </c>
      <c r="KE42" s="1746" t="s">
        <v>9727</v>
      </c>
      <c r="KF42" s="148" t="s">
        <v>9722</v>
      </c>
      <c r="KG42" s="1746" t="s">
        <v>9722</v>
      </c>
      <c r="KH42" s="1746" t="s">
        <v>9719</v>
      </c>
      <c r="KI42" s="1746" t="s">
        <v>9704</v>
      </c>
      <c r="KJ42" s="148" t="s">
        <v>9712</v>
      </c>
      <c r="KK42" s="1746" t="s">
        <v>9722</v>
      </c>
      <c r="KL42" s="1746" t="s">
        <v>9718</v>
      </c>
      <c r="KM42" s="1746" t="s">
        <v>9732</v>
      </c>
      <c r="KN42" s="1746" t="s">
        <v>9718</v>
      </c>
      <c r="KO42" s="148" t="s">
        <v>9698</v>
      </c>
      <c r="KP42" s="1746" t="s">
        <v>9702</v>
      </c>
      <c r="KQ42" s="148" t="s">
        <v>9725</v>
      </c>
      <c r="KR42" s="148" t="s">
        <v>9717</v>
      </c>
      <c r="KS42" s="1746" t="s">
        <v>9707</v>
      </c>
      <c r="KT42" s="1746" t="s">
        <v>9707</v>
      </c>
      <c r="KU42" s="148" t="s">
        <v>9705</v>
      </c>
      <c r="KV42" s="1746" t="s">
        <v>9723</v>
      </c>
      <c r="KW42" s="148" t="s">
        <v>9715</v>
      </c>
      <c r="KX42" s="1746" t="s">
        <v>9722</v>
      </c>
      <c r="KY42" s="1746" t="s">
        <v>9718</v>
      </c>
      <c r="KZ42" s="1746" t="s">
        <v>9728</v>
      </c>
      <c r="LA42" s="1746" t="s">
        <v>9728</v>
      </c>
      <c r="LB42" s="1746" t="s">
        <v>9704</v>
      </c>
      <c r="LC42" s="1746" t="s">
        <v>9704</v>
      </c>
      <c r="LD42" s="148" t="s">
        <v>9706</v>
      </c>
      <c r="LE42" s="1746" t="s">
        <v>9711</v>
      </c>
      <c r="LF42" s="1746" t="s">
        <v>9725</v>
      </c>
      <c r="LG42" s="1746" t="s">
        <v>9706</v>
      </c>
      <c r="LH42" s="148" t="s">
        <v>9703</v>
      </c>
      <c r="LI42" s="1746" t="s">
        <v>9722</v>
      </c>
      <c r="LJ42" s="1746" t="s">
        <v>9718</v>
      </c>
      <c r="LK42" s="1746" t="s">
        <v>9706</v>
      </c>
      <c r="LL42" s="1746" t="s">
        <v>9711</v>
      </c>
      <c r="LM42" s="1746" t="s">
        <v>9718</v>
      </c>
      <c r="LN42" s="1746" t="s">
        <v>9703</v>
      </c>
      <c r="LO42" s="1746" t="s">
        <v>9704</v>
      </c>
      <c r="LP42" s="148" t="s">
        <v>9725</v>
      </c>
      <c r="LQ42" s="1746" t="s">
        <v>9722</v>
      </c>
      <c r="LR42" s="1746" t="s">
        <v>9722</v>
      </c>
      <c r="LS42" s="148" t="s">
        <v>9719</v>
      </c>
      <c r="LT42" s="1746" t="s">
        <v>9706</v>
      </c>
      <c r="LU42" s="148" t="s">
        <v>9722</v>
      </c>
      <c r="LV42" s="1746" t="s">
        <v>9710</v>
      </c>
      <c r="LW42" s="148" t="s">
        <v>9713</v>
      </c>
      <c r="LX42" s="148" t="s">
        <v>9709</v>
      </c>
      <c r="LY42" s="1746" t="s">
        <v>9718</v>
      </c>
      <c r="LZ42" s="1746" t="s">
        <v>9715</v>
      </c>
      <c r="MA42" s="1746" t="s">
        <v>9713</v>
      </c>
      <c r="MB42" s="1746" t="s">
        <v>9722</v>
      </c>
      <c r="MC42" s="148" t="s">
        <v>9718</v>
      </c>
      <c r="MD42" s="1746" t="s">
        <v>9707</v>
      </c>
      <c r="ME42" s="1746" t="s">
        <v>9723</v>
      </c>
      <c r="MF42" s="1746" t="s">
        <v>9704</v>
      </c>
      <c r="MG42" s="148" t="s">
        <v>9714</v>
      </c>
      <c r="MH42" s="1746" t="s">
        <v>9706</v>
      </c>
      <c r="MI42" s="1746" t="s">
        <v>9718</v>
      </c>
      <c r="MJ42" s="1746" t="s">
        <v>9706</v>
      </c>
      <c r="MK42" s="1746" t="s">
        <v>9711</v>
      </c>
      <c r="ML42" s="1746" t="s">
        <v>9734</v>
      </c>
      <c r="MM42" s="148" t="s">
        <v>9722</v>
      </c>
      <c r="MN42" s="148" t="s">
        <v>9725</v>
      </c>
      <c r="MO42" s="148" t="s">
        <v>9714</v>
      </c>
      <c r="MP42" s="1746" t="s">
        <v>9711</v>
      </c>
      <c r="MQ42" s="1746" t="s">
        <v>9703</v>
      </c>
      <c r="MR42" s="1746" t="s">
        <v>9718</v>
      </c>
      <c r="MS42" s="148" t="s">
        <v>9712</v>
      </c>
      <c r="MT42" s="148" t="s">
        <v>9718</v>
      </c>
      <c r="MU42" s="1746" t="s">
        <v>9703</v>
      </c>
      <c r="MV42" s="148" t="s">
        <v>9702</v>
      </c>
      <c r="MW42" s="1746"/>
      <c r="MX42" s="1746" t="s">
        <v>9722</v>
      </c>
      <c r="MY42" s="148" t="s">
        <v>9704</v>
      </c>
      <c r="MZ42" s="1746" t="s">
        <v>9722</v>
      </c>
      <c r="NA42" s="1746" t="s">
        <v>9718</v>
      </c>
      <c r="NB42" s="148" t="s">
        <v>9711</v>
      </c>
      <c r="NC42" s="1746" t="s">
        <v>9734</v>
      </c>
      <c r="ND42" s="1746" t="s">
        <v>9706</v>
      </c>
      <c r="NE42" s="1746" t="s">
        <v>9718</v>
      </c>
      <c r="NF42" s="148" t="s">
        <v>9723</v>
      </c>
      <c r="NG42" s="1746" t="s">
        <v>9732</v>
      </c>
      <c r="NH42" s="1746" t="s">
        <v>9718</v>
      </c>
      <c r="NI42" s="148" t="s">
        <v>9718</v>
      </c>
      <c r="NJ42" s="148" t="s">
        <v>9723</v>
      </c>
      <c r="NK42" s="1746"/>
      <c r="NL42" s="1746" t="s">
        <v>9720</v>
      </c>
      <c r="NM42" s="1746" t="s">
        <v>9720</v>
      </c>
      <c r="NN42" s="1746" t="s">
        <v>9720</v>
      </c>
      <c r="NO42" s="1746" t="s">
        <v>9704</v>
      </c>
      <c r="NP42" s="1746" t="s">
        <v>9720</v>
      </c>
      <c r="NQ42" s="1746" t="s">
        <v>9709</v>
      </c>
      <c r="NR42" s="1746" t="s">
        <v>9709</v>
      </c>
      <c r="NS42" s="1746" t="s">
        <v>9702</v>
      </c>
      <c r="NT42" s="1746" t="s">
        <v>9698</v>
      </c>
      <c r="NU42" s="1746" t="s">
        <v>9709</v>
      </c>
      <c r="NV42" s="1746" t="s">
        <v>9704</v>
      </c>
      <c r="NW42" s="1746" t="s">
        <v>9709</v>
      </c>
      <c r="NX42" s="1746" t="s">
        <v>9709</v>
      </c>
      <c r="NY42" s="1746" t="s">
        <v>9709</v>
      </c>
      <c r="NZ42" s="1746" t="s">
        <v>9709</v>
      </c>
      <c r="OA42" s="1746" t="s">
        <v>9722</v>
      </c>
      <c r="OB42" s="1746" t="s">
        <v>9722</v>
      </c>
      <c r="OC42" s="1746" t="s">
        <v>9715</v>
      </c>
      <c r="OD42" s="1746" t="s">
        <v>9703</v>
      </c>
      <c r="OE42" s="1746" t="s">
        <v>9707</v>
      </c>
      <c r="OF42" s="1746" t="s">
        <v>9712</v>
      </c>
      <c r="OG42" s="1746" t="s">
        <v>9718</v>
      </c>
      <c r="OH42" s="1746" t="s">
        <v>9718</v>
      </c>
      <c r="OI42" s="1746" t="s">
        <v>9723</v>
      </c>
      <c r="OJ42" s="1746" t="s">
        <v>9732</v>
      </c>
      <c r="OK42" s="1746" t="s">
        <v>9732</v>
      </c>
      <c r="OL42" s="1746" t="s">
        <v>9726</v>
      </c>
      <c r="OM42" s="1746" t="s">
        <v>9725</v>
      </c>
      <c r="ON42" s="1746" t="s">
        <v>9698</v>
      </c>
      <c r="OO42" s="1746"/>
      <c r="OP42" s="148" t="s">
        <v>9732</v>
      </c>
      <c r="OQ42" s="1746" t="s">
        <v>9706</v>
      </c>
      <c r="OR42" s="1746" t="s">
        <v>9706</v>
      </c>
      <c r="OS42" s="1746" t="s">
        <v>9722</v>
      </c>
      <c r="OT42" s="1746" t="s">
        <v>9706</v>
      </c>
      <c r="OU42" s="1746" t="s">
        <v>9722</v>
      </c>
      <c r="OV42" s="1746" t="s">
        <v>9725</v>
      </c>
      <c r="OW42" s="1746" t="s">
        <v>9698</v>
      </c>
      <c r="OX42" s="1746" t="s">
        <v>9704</v>
      </c>
      <c r="OY42" s="1746" t="s">
        <v>9698</v>
      </c>
      <c r="OZ42" s="1746"/>
      <c r="PA42" s="1746" t="s">
        <v>9718</v>
      </c>
      <c r="PB42" s="1746" t="s">
        <v>9711</v>
      </c>
      <c r="PC42" s="1746" t="s">
        <v>9710</v>
      </c>
      <c r="PD42" s="1746" t="s">
        <v>9718</v>
      </c>
      <c r="PE42" s="1746"/>
      <c r="PF42" s="1746" t="s">
        <v>9726</v>
      </c>
      <c r="PG42" s="148" t="s">
        <v>9706</v>
      </c>
      <c r="PH42" s="1746" t="s">
        <v>9723</v>
      </c>
      <c r="PI42" s="1746" t="s">
        <v>9698</v>
      </c>
      <c r="PJ42" s="1746" t="s">
        <v>9732</v>
      </c>
      <c r="PK42" s="1746" t="s">
        <v>9730</v>
      </c>
      <c r="PL42" s="1746" t="s">
        <v>9734</v>
      </c>
      <c r="PM42" s="1746" t="s">
        <v>9723</v>
      </c>
      <c r="PN42" s="1746" t="s">
        <v>9714</v>
      </c>
      <c r="PO42" s="1746" t="s">
        <v>9722</v>
      </c>
      <c r="PP42" s="1746" t="s">
        <v>9722</v>
      </c>
      <c r="PQ42" s="1746" t="s">
        <v>9722</v>
      </c>
      <c r="PR42" s="148" t="s">
        <v>9698</v>
      </c>
      <c r="PS42" s="1746" t="s">
        <v>9707</v>
      </c>
      <c r="PT42" s="1746" t="s">
        <v>9718</v>
      </c>
      <c r="PU42" s="1746" t="s">
        <v>9707</v>
      </c>
      <c r="PV42" s="1746" t="s">
        <v>9704</v>
      </c>
      <c r="PW42" s="1746" t="s">
        <v>9703</v>
      </c>
      <c r="PX42" s="1746" t="s">
        <v>9703</v>
      </c>
      <c r="PY42" s="148" t="s">
        <v>9719</v>
      </c>
      <c r="PZ42" s="1746" t="s">
        <v>9720</v>
      </c>
      <c r="QA42" s="1746" t="s">
        <v>9715</v>
      </c>
      <c r="QB42" s="1746" t="s">
        <v>9710</v>
      </c>
      <c r="QC42" s="1746" t="s">
        <v>9714</v>
      </c>
      <c r="QD42" s="1746" t="s">
        <v>9713</v>
      </c>
      <c r="QE42" s="1746" t="s">
        <v>9716</v>
      </c>
      <c r="QF42" s="1746" t="s">
        <v>9703</v>
      </c>
      <c r="QG42" s="1746" t="s">
        <v>9707</v>
      </c>
      <c r="QH42" s="1746" t="s">
        <v>9723</v>
      </c>
      <c r="QI42" s="1746" t="s">
        <v>9720</v>
      </c>
      <c r="QJ42" s="1746" t="s">
        <v>9714</v>
      </c>
      <c r="QK42" s="1746" t="s">
        <v>9711</v>
      </c>
      <c r="QL42" s="148" t="s">
        <v>9708</v>
      </c>
      <c r="QM42" s="1746" t="s">
        <v>9706</v>
      </c>
      <c r="QN42" s="1746" t="s">
        <v>9722</v>
      </c>
      <c r="QO42" s="1746" t="s">
        <v>9703</v>
      </c>
      <c r="QP42" s="1746" t="s">
        <v>9717</v>
      </c>
      <c r="QQ42" s="1746" t="s">
        <v>9723</v>
      </c>
      <c r="QR42" s="1746" t="s">
        <v>9717</v>
      </c>
      <c r="QS42" s="1746" t="s">
        <v>9710</v>
      </c>
      <c r="QT42" s="1746" t="s">
        <v>9732</v>
      </c>
      <c r="QU42" s="1746" t="s">
        <v>9706</v>
      </c>
      <c r="QV42" s="1746" t="s">
        <v>9706</v>
      </c>
      <c r="QW42" s="148" t="s">
        <v>9714</v>
      </c>
      <c r="QX42" s="148" t="s">
        <v>9701</v>
      </c>
      <c r="QY42" s="148" t="s">
        <v>9714</v>
      </c>
      <c r="QZ42" s="148" t="s">
        <v>9722</v>
      </c>
      <c r="RA42" s="148" t="s">
        <v>9702</v>
      </c>
      <c r="RB42" s="148" t="s">
        <v>9698</v>
      </c>
      <c r="RC42" s="1746" t="s">
        <v>9723</v>
      </c>
      <c r="RD42" s="148" t="s">
        <v>9712</v>
      </c>
      <c r="RE42" s="1746" t="s">
        <v>9713</v>
      </c>
      <c r="RF42" s="148" t="s">
        <v>9704</v>
      </c>
      <c r="RG42" s="148" t="s">
        <v>9706</v>
      </c>
      <c r="RH42" s="1746" t="s">
        <v>9707</v>
      </c>
      <c r="RI42" s="1746" t="s">
        <v>9704</v>
      </c>
      <c r="RJ42" s="148" t="s">
        <v>9723</v>
      </c>
      <c r="RK42" s="148" t="s">
        <v>9720</v>
      </c>
      <c r="RL42" s="148" t="s">
        <v>9704</v>
      </c>
      <c r="RM42" s="148" t="s">
        <v>9708</v>
      </c>
      <c r="RN42" s="148" t="s">
        <v>9711</v>
      </c>
      <c r="RO42" s="148" t="s">
        <v>9712</v>
      </c>
      <c r="RP42" s="148" t="s">
        <v>9708</v>
      </c>
      <c r="RQ42" s="1746" t="s">
        <v>9722</v>
      </c>
      <c r="RR42" s="1746" t="s">
        <v>9722</v>
      </c>
      <c r="RS42" s="1746" t="s">
        <v>9722</v>
      </c>
      <c r="RT42" s="1746" t="s">
        <v>9722</v>
      </c>
      <c r="RU42" s="1746" t="s">
        <v>9722</v>
      </c>
      <c r="RV42" s="1746" t="s">
        <v>9722</v>
      </c>
      <c r="RW42" s="1746" t="s">
        <v>9702</v>
      </c>
      <c r="RX42" s="1746" t="s">
        <v>9702</v>
      </c>
      <c r="RY42" s="1746" t="s">
        <v>9708</v>
      </c>
      <c r="RZ42" s="148" t="s">
        <v>9699</v>
      </c>
      <c r="SA42" s="1746" t="s">
        <v>9705</v>
      </c>
      <c r="SB42" s="1746" t="s">
        <v>9703</v>
      </c>
      <c r="SC42" s="148" t="s">
        <v>9707</v>
      </c>
      <c r="SD42" s="1746" t="s">
        <v>9708</v>
      </c>
      <c r="SE42" s="1746" t="s">
        <v>9708</v>
      </c>
      <c r="SF42" s="1746" t="s">
        <v>9715</v>
      </c>
      <c r="SG42" s="1746" t="s">
        <v>9732</v>
      </c>
      <c r="SH42" s="1746" t="s">
        <v>9704</v>
      </c>
      <c r="SI42" s="1746" t="s">
        <v>9714</v>
      </c>
      <c r="SJ42" s="1746" t="s">
        <v>9730</v>
      </c>
      <c r="SK42" s="1746" t="s">
        <v>9730</v>
      </c>
      <c r="SL42" s="1747" t="s">
        <v>9735</v>
      </c>
    </row>
    <row r="43" ht="15.75" customHeight="1">
      <c r="A43" s="1517"/>
      <c r="B43" s="131" t="s">
        <v>9737</v>
      </c>
      <c r="C43" s="131" t="s">
        <v>9737</v>
      </c>
      <c r="D43" s="131" t="s">
        <v>9706</v>
      </c>
      <c r="E43" s="1739" t="s">
        <v>9718</v>
      </c>
      <c r="F43" s="1739" t="s">
        <v>9718</v>
      </c>
      <c r="G43" s="1739" t="s">
        <v>9719</v>
      </c>
      <c r="H43" s="387" t="s">
        <v>9718</v>
      </c>
      <c r="I43" s="387" t="s">
        <v>9718</v>
      </c>
      <c r="J43" s="387" t="s">
        <v>9704</v>
      </c>
      <c r="K43" s="131"/>
      <c r="L43" s="131"/>
      <c r="M43" s="1740" t="s">
        <v>9722</v>
      </c>
      <c r="N43" s="1741"/>
      <c r="O43" s="339"/>
      <c r="P43" s="339" t="s">
        <v>9710</v>
      </c>
      <c r="Q43" s="1741" t="s">
        <v>9734</v>
      </c>
      <c r="R43" s="1741" t="s">
        <v>9734</v>
      </c>
      <c r="S43" s="1741" t="s">
        <v>9732</v>
      </c>
      <c r="T43" s="448" t="s">
        <v>9711</v>
      </c>
      <c r="U43" s="1741" t="s">
        <v>9704</v>
      </c>
      <c r="V43" s="1741" t="s">
        <v>9734</v>
      </c>
      <c r="W43" s="1741" t="s">
        <v>9732</v>
      </c>
      <c r="X43" s="448" t="s">
        <v>9722</v>
      </c>
      <c r="Y43" s="448" t="s">
        <v>9718</v>
      </c>
      <c r="Z43" s="339" t="s">
        <v>9722</v>
      </c>
      <c r="AA43" s="339" t="s">
        <v>9718</v>
      </c>
      <c r="AB43" s="339" t="s">
        <v>9722</v>
      </c>
      <c r="AC43" s="339" t="s">
        <v>9718</v>
      </c>
      <c r="AD43" s="387" t="s">
        <v>9707</v>
      </c>
      <c r="AE43" s="387" t="s">
        <v>9707</v>
      </c>
      <c r="AF43" s="387" t="s">
        <v>9702</v>
      </c>
      <c r="AG43" s="448" t="s">
        <v>9711</v>
      </c>
      <c r="AH43" s="448" t="s">
        <v>9711</v>
      </c>
      <c r="AI43" s="448" t="s">
        <v>9702</v>
      </c>
      <c r="AJ43" s="1742" t="s">
        <v>9702</v>
      </c>
      <c r="AK43" s="1742" t="s">
        <v>9709</v>
      </c>
      <c r="AL43" s="1741" t="s">
        <v>9731</v>
      </c>
      <c r="AM43" s="339" t="s">
        <v>9718</v>
      </c>
      <c r="AN43" s="1742" t="s">
        <v>9708</v>
      </c>
      <c r="AO43" s="1742" t="s">
        <v>9698</v>
      </c>
      <c r="AP43" s="448" t="s">
        <v>9706</v>
      </c>
      <c r="AQ43" s="448" t="s">
        <v>9722</v>
      </c>
      <c r="AR43" s="387" t="s">
        <v>9737</v>
      </c>
      <c r="AS43" s="387" t="s">
        <v>9732</v>
      </c>
      <c r="AT43" s="1739" t="s">
        <v>9728</v>
      </c>
      <c r="AU43" s="1739" t="s">
        <v>9706</v>
      </c>
      <c r="AV43" s="1739" t="s">
        <v>9722</v>
      </c>
      <c r="AW43" s="448" t="s">
        <v>9732</v>
      </c>
      <c r="AX43" s="448" t="s">
        <v>9710</v>
      </c>
      <c r="AY43" s="1741" t="s">
        <v>9710</v>
      </c>
      <c r="AZ43" s="1741" t="s">
        <v>9706</v>
      </c>
      <c r="BA43" s="339" t="s">
        <v>9703</v>
      </c>
      <c r="BB43" s="339" t="s">
        <v>9725</v>
      </c>
      <c r="BC43" s="339" t="s">
        <v>9707</v>
      </c>
      <c r="BD43" s="387" t="s">
        <v>9704</v>
      </c>
      <c r="BE43" s="1741" t="s">
        <v>9723</v>
      </c>
      <c r="BF43" s="1741" t="s">
        <v>9704</v>
      </c>
      <c r="BG43" s="1741" t="s">
        <v>9710</v>
      </c>
      <c r="BH43" s="1741" t="s">
        <v>9722</v>
      </c>
      <c r="BI43" s="387" t="s">
        <v>9710</v>
      </c>
      <c r="BJ43" s="387" t="s">
        <v>9718</v>
      </c>
      <c r="BK43" s="387" t="s">
        <v>9704</v>
      </c>
      <c r="BL43" s="1741" t="s">
        <v>9725</v>
      </c>
      <c r="BM43" s="1741" t="s">
        <v>9725</v>
      </c>
      <c r="BN43" s="1741" t="s">
        <v>9715</v>
      </c>
      <c r="BO43" s="1743" t="s">
        <v>9718</v>
      </c>
      <c r="BP43" s="1743" t="s">
        <v>9718</v>
      </c>
      <c r="BQ43" s="1743" t="s">
        <v>9711</v>
      </c>
      <c r="BR43" s="131" t="s">
        <v>9732</v>
      </c>
      <c r="BS43" s="131" t="s">
        <v>9732</v>
      </c>
      <c r="BT43" s="131" t="s">
        <v>9730</v>
      </c>
      <c r="BU43" s="387" t="s">
        <v>9710</v>
      </c>
      <c r="BV43" s="387" t="s">
        <v>9706</v>
      </c>
      <c r="BW43" s="1741" t="s">
        <v>9722</v>
      </c>
      <c r="BX43" s="1741" t="s">
        <v>9722</v>
      </c>
      <c r="BY43" s="1741" t="s">
        <v>9711</v>
      </c>
      <c r="BZ43" s="339" t="s">
        <v>9738</v>
      </c>
      <c r="CA43" s="339" t="s">
        <v>9732</v>
      </c>
      <c r="CB43" s="1742" t="s">
        <v>9708</v>
      </c>
      <c r="CC43" s="1742" t="s">
        <v>9702</v>
      </c>
      <c r="CD43" s="1743" t="s">
        <v>9735</v>
      </c>
      <c r="CE43" s="1743" t="s">
        <v>9732</v>
      </c>
      <c r="CF43" s="1741" t="s">
        <v>9732</v>
      </c>
      <c r="CG43" s="1741" t="s">
        <v>9739</v>
      </c>
      <c r="CH43" s="1741" t="s">
        <v>9726</v>
      </c>
      <c r="CI43" s="1740" t="s">
        <v>9728</v>
      </c>
      <c r="CJ43" s="1740" t="s">
        <v>9710</v>
      </c>
      <c r="CK43" s="448" t="s">
        <v>9719</v>
      </c>
      <c r="CL43" s="448" t="s">
        <v>9725</v>
      </c>
      <c r="CM43" s="448" t="s">
        <v>9740</v>
      </c>
      <c r="CN43" s="448" t="s">
        <v>9732</v>
      </c>
      <c r="CO43" s="448" t="s">
        <v>9722</v>
      </c>
      <c r="CP43" s="448" t="s">
        <v>9722</v>
      </c>
      <c r="CQ43" s="448" t="s">
        <v>9717</v>
      </c>
      <c r="CR43" s="1743" t="s">
        <v>9722</v>
      </c>
      <c r="CS43" s="339" t="s">
        <v>9703</v>
      </c>
      <c r="CT43" s="339" t="s">
        <v>9715</v>
      </c>
      <c r="CU43" s="1739" t="s">
        <v>9706</v>
      </c>
      <c r="CV43" s="1739" t="s">
        <v>9722</v>
      </c>
      <c r="CW43" s="1739" t="s">
        <v>9732</v>
      </c>
      <c r="CX43" s="1739" t="s">
        <v>9710</v>
      </c>
      <c r="CY43" s="1742" t="s">
        <v>9706</v>
      </c>
      <c r="CZ43" s="339" t="s">
        <v>9722</v>
      </c>
      <c r="DA43" s="1741" t="s">
        <v>9723</v>
      </c>
      <c r="DB43" s="1741" t="s">
        <v>9719</v>
      </c>
      <c r="DC43" s="1741" t="s">
        <v>9710</v>
      </c>
      <c r="DD43" s="1741" t="s">
        <v>9710</v>
      </c>
      <c r="DE43" s="1742" t="s">
        <v>9698</v>
      </c>
      <c r="DF43" s="448" t="s">
        <v>9711</v>
      </c>
      <c r="DG43" s="448" t="s">
        <v>9703</v>
      </c>
      <c r="DH43" s="1743" t="s">
        <v>9713</v>
      </c>
      <c r="DI43" s="1743" t="s">
        <v>9712</v>
      </c>
      <c r="DJ43" s="1742" t="s">
        <v>9705</v>
      </c>
      <c r="DK43" s="387" t="s">
        <v>9706</v>
      </c>
      <c r="DL43" s="1741" t="s">
        <v>9699</v>
      </c>
      <c r="DM43" s="387" t="s">
        <v>9734</v>
      </c>
      <c r="DN43" s="387" t="s">
        <v>9736</v>
      </c>
      <c r="DO43" s="1739" t="s">
        <v>9739</v>
      </c>
      <c r="DP43" s="1739" t="s">
        <v>9741</v>
      </c>
      <c r="DQ43" s="1741" t="s">
        <v>9718</v>
      </c>
      <c r="DR43" s="448" t="s">
        <v>9711</v>
      </c>
      <c r="DS43" s="1742" t="s">
        <v>9714</v>
      </c>
      <c r="DT43" s="131" t="s">
        <v>9726</v>
      </c>
      <c r="DU43" s="1739" t="s">
        <v>9712</v>
      </c>
      <c r="DV43" s="339" t="s">
        <v>9718</v>
      </c>
      <c r="DW43" s="1739" t="s">
        <v>9706</v>
      </c>
      <c r="DX43" s="1741" t="s">
        <v>9722</v>
      </c>
      <c r="DY43" s="1741" t="s">
        <v>9725</v>
      </c>
      <c r="DZ43" s="1739"/>
      <c r="EA43" s="387" t="s">
        <v>9713</v>
      </c>
      <c r="EB43" s="387" t="s">
        <v>9704</v>
      </c>
      <c r="EC43" s="448"/>
      <c r="ED43" s="1741" t="s">
        <v>9739</v>
      </c>
      <c r="EE43" s="387" t="s">
        <v>9711</v>
      </c>
      <c r="EF43" s="339" t="s">
        <v>9711</v>
      </c>
      <c r="EG43" s="1739" t="s">
        <v>9722</v>
      </c>
      <c r="EH43" s="1742" t="s">
        <v>9725</v>
      </c>
      <c r="EI43" s="387" t="s">
        <v>9710</v>
      </c>
      <c r="EJ43" s="387" t="s">
        <v>9706</v>
      </c>
      <c r="EK43" s="1741" t="s">
        <v>9722</v>
      </c>
      <c r="EL43" s="1741" t="s">
        <v>9707</v>
      </c>
      <c r="EM43" s="448" t="s">
        <v>9723</v>
      </c>
      <c r="EN43" s="1744" t="s">
        <v>9714</v>
      </c>
      <c r="EO43" s="387" t="s">
        <v>9711</v>
      </c>
      <c r="EP43" s="339" t="s">
        <v>9718</v>
      </c>
      <c r="EQ43" s="339" t="s">
        <v>9718</v>
      </c>
      <c r="ER43" s="387" t="s">
        <v>9725</v>
      </c>
      <c r="ES43" s="387" t="s">
        <v>9725</v>
      </c>
      <c r="ET43" s="1741" t="s">
        <v>9709</v>
      </c>
      <c r="EU43" s="448" t="s">
        <v>9700</v>
      </c>
      <c r="EV43" s="1742"/>
      <c r="EW43" s="131" t="s">
        <v>9706</v>
      </c>
      <c r="EX43" s="131" t="s">
        <v>9706</v>
      </c>
      <c r="EY43" s="131" t="s">
        <v>9718</v>
      </c>
      <c r="EZ43" s="339" t="s">
        <v>9738</v>
      </c>
      <c r="FA43" s="339" t="s">
        <v>9706</v>
      </c>
      <c r="FB43" s="339" t="s">
        <v>9707</v>
      </c>
      <c r="FC43" s="387" t="s">
        <v>9711</v>
      </c>
      <c r="FD43" s="387" t="s">
        <v>9707</v>
      </c>
      <c r="FE43" s="387" t="s">
        <v>9712</v>
      </c>
      <c r="FF43" s="1741" t="s">
        <v>9725</v>
      </c>
      <c r="FG43" s="1741" t="s">
        <v>9714</v>
      </c>
      <c r="FH43" s="1741" t="s">
        <v>9716</v>
      </c>
      <c r="FI43" s="1741" t="s">
        <v>9710</v>
      </c>
      <c r="FJ43" s="1739" t="s">
        <v>9718</v>
      </c>
      <c r="FK43" s="1739" t="s">
        <v>9711</v>
      </c>
      <c r="FL43" s="131" t="s">
        <v>9732</v>
      </c>
      <c r="FM43" s="1739" t="s">
        <v>9710</v>
      </c>
      <c r="FN43" s="448" t="s">
        <v>9722</v>
      </c>
      <c r="FO43" s="387" t="s">
        <v>9706</v>
      </c>
      <c r="FP43" s="387" t="s">
        <v>9722</v>
      </c>
      <c r="FQ43" s="339" t="s">
        <v>9732</v>
      </c>
      <c r="FR43" s="1742" t="s">
        <v>9725</v>
      </c>
      <c r="FS43" s="1742" t="s">
        <v>9713</v>
      </c>
      <c r="FT43" s="1740" t="s">
        <v>9719</v>
      </c>
      <c r="FU43" s="1740" t="s">
        <v>9715</v>
      </c>
      <c r="FV43" s="131" t="s">
        <v>9718</v>
      </c>
      <c r="FW43" s="131" t="s">
        <v>9711</v>
      </c>
      <c r="FX43" s="1740" t="s">
        <v>9737</v>
      </c>
      <c r="FY43" s="1742" t="s">
        <v>9706</v>
      </c>
      <c r="FZ43" s="339" t="s">
        <v>9722</v>
      </c>
      <c r="GA43" s="131" t="s">
        <v>9730</v>
      </c>
      <c r="GB43" s="387" t="s">
        <v>9722</v>
      </c>
      <c r="GC43" s="387" t="s">
        <v>9718</v>
      </c>
      <c r="GD43" s="1741" t="s">
        <v>9718</v>
      </c>
      <c r="GE43" s="131" t="s">
        <v>9711</v>
      </c>
      <c r="GF43" s="1742" t="s">
        <v>9737</v>
      </c>
      <c r="GG43" s="131" t="s">
        <v>9737</v>
      </c>
      <c r="GH43" s="387" t="s">
        <v>9732</v>
      </c>
      <c r="GI43" s="448" t="s">
        <v>9704</v>
      </c>
      <c r="GJ43" s="339" t="s">
        <v>9730</v>
      </c>
      <c r="GK43" s="339" t="s">
        <v>9706</v>
      </c>
      <c r="GL43" s="1739" t="s">
        <v>9716</v>
      </c>
      <c r="GM43" s="387" t="s">
        <v>9718</v>
      </c>
      <c r="GN43" s="387" t="s">
        <v>9717</v>
      </c>
      <c r="GO43" s="448" t="s">
        <v>9718</v>
      </c>
      <c r="GP43" s="1744" t="s">
        <v>9722</v>
      </c>
      <c r="GQ43" s="1744" t="s">
        <v>9706</v>
      </c>
      <c r="GR43" s="1742" t="s">
        <v>9702</v>
      </c>
      <c r="GS43" s="1743" t="s">
        <v>9711</v>
      </c>
      <c r="GT43" s="1744"/>
      <c r="GU43" s="387"/>
      <c r="GV43" s="339" t="s">
        <v>9725</v>
      </c>
      <c r="GW43" s="1743" t="s">
        <v>9722</v>
      </c>
      <c r="GX43" s="448" t="s">
        <v>9718</v>
      </c>
      <c r="GY43" s="339" t="s">
        <v>9714</v>
      </c>
      <c r="GZ43" s="448" t="s">
        <v>9703</v>
      </c>
      <c r="HA43" s="1743" t="s">
        <v>9718</v>
      </c>
      <c r="HB43" s="1742" t="s">
        <v>9714</v>
      </c>
      <c r="HC43" s="448" t="s">
        <v>9702</v>
      </c>
      <c r="HD43" s="1743" t="s">
        <v>9722</v>
      </c>
      <c r="HE43" s="1739" t="s">
        <v>9716</v>
      </c>
      <c r="HF43" s="339" t="s">
        <v>9732</v>
      </c>
      <c r="HG43" s="387" t="s">
        <v>9718</v>
      </c>
      <c r="HH43" s="1744" t="s">
        <v>9704</v>
      </c>
      <c r="HI43" s="1741" t="s">
        <v>9703</v>
      </c>
      <c r="HJ43" s="1741" t="s">
        <v>9707</v>
      </c>
      <c r="HK43" s="1739" t="s">
        <v>9732</v>
      </c>
      <c r="HL43" s="1739" t="s">
        <v>9718</v>
      </c>
      <c r="HM43" s="1741" t="s">
        <v>9711</v>
      </c>
      <c r="HN43" s="1741" t="s">
        <v>9723</v>
      </c>
      <c r="HO43" s="1742" t="s">
        <v>9714</v>
      </c>
      <c r="HP43" s="1743" t="s">
        <v>9718</v>
      </c>
      <c r="HQ43" s="1739" t="s">
        <v>9711</v>
      </c>
      <c r="HR43" s="1739" t="s">
        <v>9706</v>
      </c>
      <c r="HS43" s="448" t="s">
        <v>9718</v>
      </c>
      <c r="HT43" s="1743" t="s">
        <v>9710</v>
      </c>
      <c r="HU43" s="1744" t="s">
        <v>9718</v>
      </c>
      <c r="HV43" s="1744" t="s">
        <v>9711</v>
      </c>
      <c r="HW43" s="387" t="s">
        <v>9736</v>
      </c>
      <c r="HX43" s="387" t="s">
        <v>9742</v>
      </c>
      <c r="HY43" s="1743" t="s">
        <v>9732</v>
      </c>
      <c r="HZ43" s="1739" t="s">
        <v>9725</v>
      </c>
      <c r="IA43" s="1741" t="s">
        <v>9704</v>
      </c>
      <c r="IB43" s="1740"/>
      <c r="IC43" s="448" t="s">
        <v>9734</v>
      </c>
      <c r="ID43" s="1741" t="s">
        <v>9706</v>
      </c>
      <c r="IE43" s="1742" t="s">
        <v>9718</v>
      </c>
      <c r="IF43" s="339" t="s">
        <v>9706</v>
      </c>
      <c r="IG43" s="1739" t="s">
        <v>9710</v>
      </c>
      <c r="IH43" s="1742" t="s">
        <v>9714</v>
      </c>
      <c r="II43" s="1742" t="s">
        <v>9705</v>
      </c>
      <c r="IJ43" s="339" t="s">
        <v>9715</v>
      </c>
      <c r="IK43" s="1741" t="s">
        <v>9720</v>
      </c>
      <c r="IL43" s="387" t="s">
        <v>9704</v>
      </c>
      <c r="IM43" s="131" t="s">
        <v>9718</v>
      </c>
      <c r="IN43" s="1743" t="s">
        <v>9718</v>
      </c>
      <c r="IO43" s="131" t="s">
        <v>9699</v>
      </c>
      <c r="IP43" s="1740" t="s">
        <v>9705</v>
      </c>
      <c r="IQ43" s="1739" t="s">
        <v>9708</v>
      </c>
      <c r="IR43" s="131" t="s">
        <v>9715</v>
      </c>
      <c r="IS43" s="131" t="s">
        <v>9711</v>
      </c>
      <c r="IT43" s="131" t="s">
        <v>9711</v>
      </c>
      <c r="IU43" s="131" t="s">
        <v>9712</v>
      </c>
      <c r="IV43" s="1739" t="s">
        <v>9732</v>
      </c>
      <c r="IW43" s="1739" t="s">
        <v>9722</v>
      </c>
      <c r="IX43" s="1739" t="s">
        <v>9723</v>
      </c>
      <c r="IY43" s="387" t="s">
        <v>9706</v>
      </c>
      <c r="IZ43" s="387" t="s">
        <v>9718</v>
      </c>
      <c r="JA43" s="387" t="s">
        <v>9704</v>
      </c>
      <c r="JB43" s="1743" t="s">
        <v>9706</v>
      </c>
      <c r="JC43" s="1743" t="s">
        <v>9722</v>
      </c>
      <c r="JD43" s="1741" t="s">
        <v>9711</v>
      </c>
      <c r="JE43" s="1740" t="s">
        <v>9704</v>
      </c>
      <c r="JF43" s="1739"/>
      <c r="JG43" s="1740"/>
      <c r="JH43" s="339" t="s">
        <v>9706</v>
      </c>
      <c r="JI43" s="448"/>
      <c r="JJ43" s="131" t="s">
        <v>9722</v>
      </c>
      <c r="JK43" s="131" t="s">
        <v>9722</v>
      </c>
      <c r="JL43" s="131" t="s">
        <v>9718</v>
      </c>
      <c r="JM43" s="131" t="s">
        <v>9704</v>
      </c>
      <c r="JN43" s="1741" t="s">
        <v>9732</v>
      </c>
      <c r="JO43" s="1741" t="s">
        <v>9718</v>
      </c>
      <c r="JP43" s="1741" t="s">
        <v>9711</v>
      </c>
      <c r="JQ43" s="387" t="s">
        <v>9734</v>
      </c>
      <c r="JR43" s="387" t="s">
        <v>9732</v>
      </c>
      <c r="JS43" s="1740" t="s">
        <v>9710</v>
      </c>
      <c r="JT43" s="339" t="s">
        <v>9706</v>
      </c>
      <c r="JU43" s="1740" t="s">
        <v>9703</v>
      </c>
      <c r="JV43" s="1740" t="s">
        <v>9703</v>
      </c>
      <c r="JW43" s="1740" t="s">
        <v>9725</v>
      </c>
      <c r="JX43" s="387" t="s">
        <v>9706</v>
      </c>
      <c r="JY43" s="387" t="s">
        <v>9718</v>
      </c>
      <c r="JZ43" s="1741" t="s">
        <v>9730</v>
      </c>
      <c r="KA43" s="131" t="s">
        <v>9723</v>
      </c>
      <c r="KB43" s="1741" t="s">
        <v>9704</v>
      </c>
      <c r="KC43" s="1740" t="s">
        <v>9702</v>
      </c>
      <c r="KD43" s="1741" t="s">
        <v>9699</v>
      </c>
      <c r="KE43" s="1743" t="s">
        <v>9732</v>
      </c>
      <c r="KF43" s="339" t="s">
        <v>9706</v>
      </c>
      <c r="KG43" s="1741" t="s">
        <v>9710</v>
      </c>
      <c r="KH43" s="1742" t="s">
        <v>9711</v>
      </c>
      <c r="KI43" s="387" t="s">
        <v>9725</v>
      </c>
      <c r="KJ43" s="387" t="s">
        <v>9704</v>
      </c>
      <c r="KK43" s="339" t="s">
        <v>9706</v>
      </c>
      <c r="KL43" s="1741" t="s">
        <v>9722</v>
      </c>
      <c r="KM43" s="387" t="s">
        <v>9734</v>
      </c>
      <c r="KN43" s="1743" t="s">
        <v>9722</v>
      </c>
      <c r="KO43" s="1742" t="s">
        <v>9714</v>
      </c>
      <c r="KP43" s="448" t="s">
        <v>9698</v>
      </c>
      <c r="KQ43" s="448" t="s">
        <v>9723</v>
      </c>
      <c r="KR43" s="1744" t="s">
        <v>9720</v>
      </c>
      <c r="KS43" s="1743" t="s">
        <v>9711</v>
      </c>
      <c r="KT43" s="1743" t="s">
        <v>9711</v>
      </c>
      <c r="KU43" s="1743" t="s">
        <v>9709</v>
      </c>
      <c r="KV43" s="387" t="s">
        <v>9711</v>
      </c>
      <c r="KW43" s="1739" t="s">
        <v>9723</v>
      </c>
      <c r="KX43" s="131" t="s">
        <v>9706</v>
      </c>
      <c r="KY43" s="339" t="s">
        <v>9722</v>
      </c>
      <c r="KZ43" s="339" t="s">
        <v>9732</v>
      </c>
      <c r="LA43" s="339" t="s">
        <v>9732</v>
      </c>
      <c r="LB43" s="1743" t="s">
        <v>9725</v>
      </c>
      <c r="LC43" s="448" t="s">
        <v>9725</v>
      </c>
      <c r="LD43" s="131" t="s">
        <v>9730</v>
      </c>
      <c r="LE43" s="131" t="s">
        <v>9718</v>
      </c>
      <c r="LF43" s="448" t="s">
        <v>9717</v>
      </c>
      <c r="LG43" s="1739" t="s">
        <v>9710</v>
      </c>
      <c r="LH43" s="387" t="s">
        <v>9711</v>
      </c>
      <c r="LI43" s="387" t="s">
        <v>9706</v>
      </c>
      <c r="LJ43" s="387" t="s">
        <v>9722</v>
      </c>
      <c r="LK43" s="339" t="s">
        <v>9731</v>
      </c>
      <c r="LL43" s="1739" t="s">
        <v>9718</v>
      </c>
      <c r="LM43" s="1741" t="s">
        <v>9722</v>
      </c>
      <c r="LN43" s="1744" t="s">
        <v>9711</v>
      </c>
      <c r="LO43" s="448" t="s">
        <v>9715</v>
      </c>
      <c r="LP43" s="1741" t="s">
        <v>9723</v>
      </c>
      <c r="LQ43" s="1741" t="s">
        <v>9706</v>
      </c>
      <c r="LR43" s="131" t="s">
        <v>9706</v>
      </c>
      <c r="LS43" s="131" t="s">
        <v>9723</v>
      </c>
      <c r="LT43" s="131" t="s">
        <v>9730</v>
      </c>
      <c r="LU43" s="131" t="s">
        <v>9706</v>
      </c>
      <c r="LV43" s="387" t="s">
        <v>9716</v>
      </c>
      <c r="LW43" s="387" t="s">
        <v>9719</v>
      </c>
      <c r="LX43" s="1740" t="s">
        <v>9702</v>
      </c>
      <c r="LY43" s="1744" t="s">
        <v>9722</v>
      </c>
      <c r="LZ43" s="339" t="s">
        <v>9720</v>
      </c>
      <c r="MA43" s="1739" t="s">
        <v>9720</v>
      </c>
      <c r="MB43" s="1743" t="s">
        <v>9706</v>
      </c>
      <c r="MC43" s="387" t="s">
        <v>9722</v>
      </c>
      <c r="MD43" s="1739" t="s">
        <v>9711</v>
      </c>
      <c r="ME43" s="1739" t="s">
        <v>9707</v>
      </c>
      <c r="MF43" s="1741" t="s">
        <v>9715</v>
      </c>
      <c r="MG43" s="1744" t="s">
        <v>9704</v>
      </c>
      <c r="MH43" s="448" t="s">
        <v>9730</v>
      </c>
      <c r="MI43" s="131" t="s">
        <v>9722</v>
      </c>
      <c r="MJ43" s="1743" t="s">
        <v>9727</v>
      </c>
      <c r="MK43" s="1743" t="s">
        <v>9718</v>
      </c>
      <c r="ML43" s="1741" t="s">
        <v>9739</v>
      </c>
      <c r="MM43" s="1742" t="s">
        <v>9706</v>
      </c>
      <c r="MN43" s="1740" t="s">
        <v>9713</v>
      </c>
      <c r="MO43" s="131" t="s">
        <v>9712</v>
      </c>
      <c r="MP43" s="1744" t="s">
        <v>9718</v>
      </c>
      <c r="MQ43" s="1744" t="s">
        <v>9711</v>
      </c>
      <c r="MR43" s="1744" t="s">
        <v>9722</v>
      </c>
      <c r="MS43" s="1744" t="s">
        <v>9704</v>
      </c>
      <c r="MT43" s="131" t="s">
        <v>9722</v>
      </c>
      <c r="MU43" s="387" t="s">
        <v>9711</v>
      </c>
      <c r="MV43" s="1740" t="s">
        <v>9714</v>
      </c>
      <c r="MW43" s="387"/>
      <c r="MX43" s="1743" t="s">
        <v>9706</v>
      </c>
      <c r="MY43" s="1743" t="s">
        <v>9703</v>
      </c>
      <c r="MZ43" s="387" t="s">
        <v>9706</v>
      </c>
      <c r="NA43" s="387" t="s">
        <v>9722</v>
      </c>
      <c r="NB43" s="387" t="s">
        <v>9718</v>
      </c>
      <c r="NC43" s="387" t="s">
        <v>9739</v>
      </c>
      <c r="ND43" s="387" t="s">
        <v>9724</v>
      </c>
      <c r="NE43" s="1742" t="s">
        <v>9722</v>
      </c>
      <c r="NF43" s="1743" t="s">
        <v>9711</v>
      </c>
      <c r="NG43" s="1742" t="s">
        <v>9743</v>
      </c>
      <c r="NH43" s="387" t="s">
        <v>9722</v>
      </c>
      <c r="NI43" s="1740" t="s">
        <v>9722</v>
      </c>
      <c r="NJ43" s="387" t="s">
        <v>9707</v>
      </c>
      <c r="NK43" s="387"/>
      <c r="NL43" s="387" t="s">
        <v>9723</v>
      </c>
      <c r="NM43" s="387" t="s">
        <v>9723</v>
      </c>
      <c r="NN43" s="1741" t="s">
        <v>9723</v>
      </c>
      <c r="NO43" s="387" t="s">
        <v>9725</v>
      </c>
      <c r="NP43" s="1743" t="s">
        <v>9723</v>
      </c>
      <c r="NQ43" s="1739" t="s">
        <v>9699</v>
      </c>
      <c r="NR43" s="387" t="s">
        <v>9699</v>
      </c>
      <c r="NS43" s="387" t="s">
        <v>9712</v>
      </c>
      <c r="NT43" s="1739" t="s">
        <v>9712</v>
      </c>
      <c r="NU43" s="131" t="s">
        <v>9699</v>
      </c>
      <c r="NV43" s="339" t="s">
        <v>9715</v>
      </c>
      <c r="NW43" s="1739" t="s">
        <v>9702</v>
      </c>
      <c r="NX43" s="1739" t="s">
        <v>9702</v>
      </c>
      <c r="NY43" s="1739" t="s">
        <v>9702</v>
      </c>
      <c r="NZ43" s="1739" t="s">
        <v>9702</v>
      </c>
      <c r="OA43" s="131" t="s">
        <v>9706</v>
      </c>
      <c r="OB43" s="131" t="s">
        <v>9706</v>
      </c>
      <c r="OC43" s="131" t="s">
        <v>9720</v>
      </c>
      <c r="OD43" s="1741" t="s">
        <v>9711</v>
      </c>
      <c r="OE43" s="1741" t="s">
        <v>9703</v>
      </c>
      <c r="OF43" s="1741" t="s">
        <v>9704</v>
      </c>
      <c r="OG43" s="387" t="s">
        <v>9722</v>
      </c>
      <c r="OH43" s="387" t="s">
        <v>9722</v>
      </c>
      <c r="OI43" s="387" t="s">
        <v>9707</v>
      </c>
      <c r="OJ43" s="1741" t="s">
        <v>9734</v>
      </c>
      <c r="OK43" s="1741" t="s">
        <v>9734</v>
      </c>
      <c r="OL43" s="1741" t="s">
        <v>9732</v>
      </c>
      <c r="OM43" s="1741" t="s">
        <v>9711</v>
      </c>
      <c r="ON43" s="1741" t="s">
        <v>9714</v>
      </c>
      <c r="OO43" s="1739"/>
      <c r="OP43" s="1739" t="s">
        <v>9741</v>
      </c>
      <c r="OQ43" s="387" t="s">
        <v>9710</v>
      </c>
      <c r="OR43" s="387" t="s">
        <v>9710</v>
      </c>
      <c r="OS43" s="387" t="s">
        <v>9706</v>
      </c>
      <c r="OT43" s="131" t="s">
        <v>9730</v>
      </c>
      <c r="OU43" s="131" t="s">
        <v>9706</v>
      </c>
      <c r="OV43" s="387" t="s">
        <v>9713</v>
      </c>
      <c r="OW43" s="387" t="s">
        <v>9712</v>
      </c>
      <c r="OX43" s="1743" t="s">
        <v>9725</v>
      </c>
      <c r="OY43" s="1743" t="s">
        <v>9704</v>
      </c>
      <c r="OZ43" s="131"/>
      <c r="PA43" s="131" t="s">
        <v>9722</v>
      </c>
      <c r="PB43" s="339" t="s">
        <v>9718</v>
      </c>
      <c r="PC43" s="1742" t="s">
        <v>9721</v>
      </c>
      <c r="PD43" s="339" t="s">
        <v>9722</v>
      </c>
      <c r="PE43" s="339"/>
      <c r="PF43" s="339" t="s">
        <v>9728</v>
      </c>
      <c r="PG43" s="1740" t="s">
        <v>9728</v>
      </c>
      <c r="PH43" s="1741" t="s">
        <v>9711</v>
      </c>
      <c r="PI43" s="1741" t="s">
        <v>9712</v>
      </c>
      <c r="PJ43" s="1742" t="s">
        <v>9737</v>
      </c>
      <c r="PK43" s="1742" t="s">
        <v>9732</v>
      </c>
      <c r="PL43" s="448" t="s">
        <v>9739</v>
      </c>
      <c r="PM43" s="448" t="s">
        <v>9711</v>
      </c>
      <c r="PN43" s="448" t="s">
        <v>9712</v>
      </c>
      <c r="PO43" s="448" t="s">
        <v>9706</v>
      </c>
      <c r="PP43" s="448" t="s">
        <v>9706</v>
      </c>
      <c r="PQ43" s="1741" t="s">
        <v>9706</v>
      </c>
      <c r="PR43" s="1741" t="s">
        <v>9714</v>
      </c>
      <c r="PS43" s="448" t="s">
        <v>9703</v>
      </c>
      <c r="PT43" s="1744" t="s">
        <v>9722</v>
      </c>
      <c r="PU43" s="1743" t="s">
        <v>9703</v>
      </c>
      <c r="PV43" s="1743" t="s">
        <v>9725</v>
      </c>
      <c r="PW43" s="339" t="s">
        <v>9711</v>
      </c>
      <c r="PX43" s="448" t="s">
        <v>9711</v>
      </c>
      <c r="PY43" s="448" t="s">
        <v>9703</v>
      </c>
      <c r="PZ43" s="131" t="s">
        <v>9723</v>
      </c>
      <c r="QA43" s="131" t="s">
        <v>9720</v>
      </c>
      <c r="QB43" s="1741" t="s">
        <v>9732</v>
      </c>
      <c r="QC43" s="1742" t="s">
        <v>9712</v>
      </c>
      <c r="QD43" s="1742" t="s">
        <v>9719</v>
      </c>
      <c r="QE43" s="1744" t="s">
        <v>9726</v>
      </c>
      <c r="QF43" s="448" t="s">
        <v>9711</v>
      </c>
      <c r="QG43" s="387" t="s">
        <v>9711</v>
      </c>
      <c r="QH43" s="387" t="s">
        <v>9707</v>
      </c>
      <c r="QI43" s="387" t="s">
        <v>9719</v>
      </c>
      <c r="QJ43" s="1744" t="s">
        <v>9712</v>
      </c>
      <c r="QK43" s="387" t="s">
        <v>9718</v>
      </c>
      <c r="QL43" s="387" t="s">
        <v>9714</v>
      </c>
      <c r="QM43" s="1741" t="s">
        <v>9732</v>
      </c>
      <c r="QN43" s="1741" t="s">
        <v>9706</v>
      </c>
      <c r="QO43" s="448" t="s">
        <v>9711</v>
      </c>
      <c r="QP43" s="448" t="s">
        <v>9723</v>
      </c>
      <c r="QQ43" s="387" t="s">
        <v>9703</v>
      </c>
      <c r="QR43" s="387" t="s">
        <v>9723</v>
      </c>
      <c r="QS43" s="131" t="s">
        <v>9730</v>
      </c>
      <c r="QT43" s="387" t="s">
        <v>9740</v>
      </c>
      <c r="QU43" s="387" t="s">
        <v>9732</v>
      </c>
      <c r="QV43" s="387" t="s">
        <v>9732</v>
      </c>
      <c r="QW43" s="1740" t="s">
        <v>9704</v>
      </c>
      <c r="QX43" s="1740" t="s">
        <v>9699</v>
      </c>
      <c r="QY43" s="1744" t="s">
        <v>9712</v>
      </c>
      <c r="QZ43" s="1743" t="s">
        <v>9732</v>
      </c>
      <c r="RA43" s="1742" t="s">
        <v>9698</v>
      </c>
      <c r="RB43" s="1743" t="s">
        <v>9712</v>
      </c>
      <c r="RC43" s="387" t="s">
        <v>9707</v>
      </c>
      <c r="RD43" s="339" t="s">
        <v>9704</v>
      </c>
      <c r="RE43" s="1739" t="s">
        <v>9719</v>
      </c>
      <c r="RF43" s="1740" t="s">
        <v>9715</v>
      </c>
      <c r="RG43" s="131" t="s">
        <v>9710</v>
      </c>
      <c r="RH43" s="131" t="s">
        <v>9711</v>
      </c>
      <c r="RI43" s="387" t="s">
        <v>9711</v>
      </c>
      <c r="RJ43" s="448" t="s">
        <v>9707</v>
      </c>
      <c r="RK43" s="1741" t="s">
        <v>9723</v>
      </c>
      <c r="RL43" s="1739" t="s">
        <v>9725</v>
      </c>
      <c r="RM43" s="1740" t="s">
        <v>9714</v>
      </c>
      <c r="RN43" s="1743" t="s">
        <v>9718</v>
      </c>
      <c r="RO43" s="1744" t="s">
        <v>9704</v>
      </c>
      <c r="RP43" s="1740" t="s">
        <v>9714</v>
      </c>
      <c r="RQ43" s="1739" t="s">
        <v>9710</v>
      </c>
      <c r="RR43" s="1739" t="s">
        <v>9710</v>
      </c>
      <c r="RS43" s="1739" t="s">
        <v>9710</v>
      </c>
      <c r="RT43" s="1739" t="s">
        <v>9710</v>
      </c>
      <c r="RU43" s="1739" t="s">
        <v>9710</v>
      </c>
      <c r="RV43" s="1739" t="s">
        <v>9710</v>
      </c>
      <c r="RW43" s="339" t="s">
        <v>9708</v>
      </c>
      <c r="RX43" s="1742" t="s">
        <v>9708</v>
      </c>
      <c r="RY43" s="387" t="s">
        <v>9714</v>
      </c>
      <c r="RZ43" s="1740" t="s">
        <v>9702</v>
      </c>
      <c r="SA43" s="448" t="s">
        <v>9709</v>
      </c>
      <c r="SB43" s="1741" t="s">
        <v>9711</v>
      </c>
      <c r="SC43" s="1740" t="s">
        <v>9711</v>
      </c>
      <c r="SD43" s="1744" t="s">
        <v>9714</v>
      </c>
      <c r="SE43" s="1744" t="s">
        <v>9714</v>
      </c>
      <c r="SF43" s="339" t="s">
        <v>9711</v>
      </c>
      <c r="SG43" s="387" t="s">
        <v>9743</v>
      </c>
      <c r="SH43" s="387" t="s">
        <v>9715</v>
      </c>
      <c r="SI43" s="1744" t="s">
        <v>9712</v>
      </c>
      <c r="SJ43" s="131" t="s">
        <v>9732</v>
      </c>
      <c r="SK43" s="131" t="s">
        <v>9732</v>
      </c>
      <c r="SL43" s="1745" t="s">
        <v>9744</v>
      </c>
    </row>
    <row r="44" ht="15.75" customHeight="1">
      <c r="A44" s="1517"/>
      <c r="B44" s="148" t="s">
        <v>9745</v>
      </c>
      <c r="C44" s="148" t="s">
        <v>9745</v>
      </c>
      <c r="D44" s="148" t="s">
        <v>9730</v>
      </c>
      <c r="E44" s="148" t="s">
        <v>9722</v>
      </c>
      <c r="F44" s="148" t="s">
        <v>9722</v>
      </c>
      <c r="G44" s="148" t="s">
        <v>9723</v>
      </c>
      <c r="H44" s="148" t="s">
        <v>9722</v>
      </c>
      <c r="I44" s="148" t="s">
        <v>9722</v>
      </c>
      <c r="J44" s="148" t="s">
        <v>9723</v>
      </c>
      <c r="K44" s="148"/>
      <c r="L44" s="148"/>
      <c r="M44" s="148" t="s">
        <v>9706</v>
      </c>
      <c r="N44" s="148"/>
      <c r="O44" s="148"/>
      <c r="P44" s="148" t="s">
        <v>9726</v>
      </c>
      <c r="Q44" s="148" t="s">
        <v>9739</v>
      </c>
      <c r="R44" s="148" t="s">
        <v>9739</v>
      </c>
      <c r="S44" s="148" t="s">
        <v>9741</v>
      </c>
      <c r="T44" s="148" t="s">
        <v>9718</v>
      </c>
      <c r="U44" s="148" t="s">
        <v>9725</v>
      </c>
      <c r="V44" s="148" t="s">
        <v>9739</v>
      </c>
      <c r="W44" s="148" t="s">
        <v>9741</v>
      </c>
      <c r="X44" s="148" t="s">
        <v>9706</v>
      </c>
      <c r="Y44" s="148" t="s">
        <v>9722</v>
      </c>
      <c r="Z44" s="148" t="s">
        <v>9706</v>
      </c>
      <c r="AA44" s="148" t="s">
        <v>9722</v>
      </c>
      <c r="AB44" s="148" t="s">
        <v>9706</v>
      </c>
      <c r="AC44" s="148" t="s">
        <v>9722</v>
      </c>
      <c r="AD44" s="148" t="s">
        <v>9711</v>
      </c>
      <c r="AE44" s="148" t="s">
        <v>9711</v>
      </c>
      <c r="AF44" s="148" t="s">
        <v>9698</v>
      </c>
      <c r="AG44" s="148" t="s">
        <v>9718</v>
      </c>
      <c r="AH44" s="148" t="s">
        <v>9718</v>
      </c>
      <c r="AI44" s="148" t="s">
        <v>9698</v>
      </c>
      <c r="AJ44" s="148" t="s">
        <v>9698</v>
      </c>
      <c r="AK44" s="148" t="s">
        <v>9702</v>
      </c>
      <c r="AL44" s="148" t="s">
        <v>9732</v>
      </c>
      <c r="AM44" s="148" t="s">
        <v>9722</v>
      </c>
      <c r="AN44" s="148" t="s">
        <v>9714</v>
      </c>
      <c r="AO44" s="148" t="s">
        <v>9708</v>
      </c>
      <c r="AP44" s="148" t="s">
        <v>9710</v>
      </c>
      <c r="AQ44" s="148" t="s">
        <v>9706</v>
      </c>
      <c r="AR44" s="148" t="s">
        <v>9745</v>
      </c>
      <c r="AS44" s="148" t="s">
        <v>9729</v>
      </c>
      <c r="AT44" s="148" t="s">
        <v>9732</v>
      </c>
      <c r="AU44" s="148" t="s">
        <v>9710</v>
      </c>
      <c r="AV44" s="148" t="s">
        <v>9706</v>
      </c>
      <c r="AW44" s="148" t="s">
        <v>9737</v>
      </c>
      <c r="AX44" s="148" t="s">
        <v>9721</v>
      </c>
      <c r="AY44" s="148" t="s">
        <v>9732</v>
      </c>
      <c r="AZ44" s="148" t="s">
        <v>9710</v>
      </c>
      <c r="BA44" s="148" t="s">
        <v>9711</v>
      </c>
      <c r="BB44" s="148" t="s">
        <v>9707</v>
      </c>
      <c r="BC44" s="148" t="s">
        <v>9711</v>
      </c>
      <c r="BD44" s="148" t="s">
        <v>9707</v>
      </c>
      <c r="BE44" s="148" t="s">
        <v>9707</v>
      </c>
      <c r="BF44" s="148" t="s">
        <v>9723</v>
      </c>
      <c r="BG44" s="148" t="s">
        <v>9731</v>
      </c>
      <c r="BH44" s="148" t="s">
        <v>9706</v>
      </c>
      <c r="BI44" s="148" t="s">
        <v>9732</v>
      </c>
      <c r="BJ44" s="148" t="s">
        <v>9722</v>
      </c>
      <c r="BK44" s="148" t="s">
        <v>9723</v>
      </c>
      <c r="BL44" s="148" t="s">
        <v>9703</v>
      </c>
      <c r="BM44" s="148" t="s">
        <v>9703</v>
      </c>
      <c r="BN44" s="148" t="s">
        <v>9725</v>
      </c>
      <c r="BO44" s="148" t="s">
        <v>9722</v>
      </c>
      <c r="BP44" s="148" t="s">
        <v>9722</v>
      </c>
      <c r="BQ44" s="148" t="s">
        <v>9718</v>
      </c>
      <c r="BR44" s="148" t="s">
        <v>9737</v>
      </c>
      <c r="BS44" s="148" t="s">
        <v>9737</v>
      </c>
      <c r="BT44" s="148" t="s">
        <v>9732</v>
      </c>
      <c r="BU44" s="148" t="s">
        <v>9732</v>
      </c>
      <c r="BV44" s="148" t="s">
        <v>9710</v>
      </c>
      <c r="BW44" s="148" t="s">
        <v>9706</v>
      </c>
      <c r="BX44" s="148" t="s">
        <v>9706</v>
      </c>
      <c r="BY44" s="148" t="s">
        <v>9718</v>
      </c>
      <c r="BZ44" s="148" t="s">
        <v>9734</v>
      </c>
      <c r="CA44" s="148" t="s">
        <v>9738</v>
      </c>
      <c r="CB44" s="148" t="s">
        <v>9714</v>
      </c>
      <c r="CC44" s="148" t="s">
        <v>9698</v>
      </c>
      <c r="CD44" s="148" t="s">
        <v>9746</v>
      </c>
      <c r="CE44" s="148" t="s">
        <v>9735</v>
      </c>
      <c r="CF44" s="148" t="s">
        <v>9745</v>
      </c>
      <c r="CG44" s="148" t="s">
        <v>9747</v>
      </c>
      <c r="CH44" s="148" t="s">
        <v>9732</v>
      </c>
      <c r="CI44" s="148" t="s">
        <v>9732</v>
      </c>
      <c r="CJ44" s="148" t="s">
        <v>9728</v>
      </c>
      <c r="CK44" s="148" t="s">
        <v>9723</v>
      </c>
      <c r="CL44" s="148" t="s">
        <v>9713</v>
      </c>
      <c r="CM44" s="148" t="s">
        <v>9734</v>
      </c>
      <c r="CN44" s="148" t="s">
        <v>9735</v>
      </c>
      <c r="CO44" s="148" t="s">
        <v>9706</v>
      </c>
      <c r="CP44" s="148" t="s">
        <v>9706</v>
      </c>
      <c r="CQ44" s="148" t="s">
        <v>9703</v>
      </c>
      <c r="CR44" s="148" t="s">
        <v>9706</v>
      </c>
      <c r="CS44" s="148" t="s">
        <v>9711</v>
      </c>
      <c r="CT44" s="148" t="s">
        <v>9703</v>
      </c>
      <c r="CU44" s="148" t="s">
        <v>9710</v>
      </c>
      <c r="CV44" s="148" t="s">
        <v>9706</v>
      </c>
      <c r="CW44" s="148" t="s">
        <v>9735</v>
      </c>
      <c r="CX44" s="148" t="s">
        <v>9732</v>
      </c>
      <c r="CY44" s="148" t="s">
        <v>9710</v>
      </c>
      <c r="CZ44" s="148" t="s">
        <v>9706</v>
      </c>
      <c r="DA44" s="148" t="s">
        <v>9707</v>
      </c>
      <c r="DB44" s="148" t="s">
        <v>9723</v>
      </c>
      <c r="DC44" s="148" t="s">
        <v>9748</v>
      </c>
      <c r="DD44" s="148" t="s">
        <v>9748</v>
      </c>
      <c r="DE44" s="148" t="s">
        <v>9714</v>
      </c>
      <c r="DF44" s="148" t="s">
        <v>9718</v>
      </c>
      <c r="DG44" s="148" t="s">
        <v>9711</v>
      </c>
      <c r="DH44" s="148" t="s">
        <v>9720</v>
      </c>
      <c r="DI44" s="148" t="s">
        <v>9704</v>
      </c>
      <c r="DJ44" s="148" t="s">
        <v>9709</v>
      </c>
      <c r="DK44" s="148" t="s">
        <v>9710</v>
      </c>
      <c r="DL44" s="148" t="s">
        <v>9702</v>
      </c>
      <c r="DM44" s="148" t="s">
        <v>9739</v>
      </c>
      <c r="DN44" s="148" t="s">
        <v>9741</v>
      </c>
      <c r="DO44" s="148" t="s">
        <v>9749</v>
      </c>
      <c r="DP44" s="148" t="s">
        <v>9734</v>
      </c>
      <c r="DQ44" s="148" t="s">
        <v>9722</v>
      </c>
      <c r="DR44" s="148" t="s">
        <v>9718</v>
      </c>
      <c r="DS44" s="148" t="s">
        <v>9712</v>
      </c>
      <c r="DT44" s="148" t="s">
        <v>9727</v>
      </c>
      <c r="DU44" s="148" t="s">
        <v>9704</v>
      </c>
      <c r="DV44" s="148" t="s">
        <v>9722</v>
      </c>
      <c r="DW44" s="148" t="s">
        <v>9710</v>
      </c>
      <c r="DX44" s="148" t="s">
        <v>9706</v>
      </c>
      <c r="DY44" s="148" t="s">
        <v>9713</v>
      </c>
      <c r="DZ44" s="148"/>
      <c r="EA44" s="148" t="s">
        <v>9720</v>
      </c>
      <c r="EB44" s="148" t="s">
        <v>9725</v>
      </c>
      <c r="EC44" s="148"/>
      <c r="ED44" s="148" t="s">
        <v>9747</v>
      </c>
      <c r="EE44" s="148" t="s">
        <v>9718</v>
      </c>
      <c r="EF44" s="148" t="s">
        <v>9718</v>
      </c>
      <c r="EG44" s="148" t="s">
        <v>9706</v>
      </c>
      <c r="EH44" s="148" t="s">
        <v>9707</v>
      </c>
      <c r="EI44" s="148" t="s">
        <v>9732</v>
      </c>
      <c r="EJ44" s="148" t="s">
        <v>9710</v>
      </c>
      <c r="EK44" s="148" t="s">
        <v>9706</v>
      </c>
      <c r="EL44" s="148" t="s">
        <v>9711</v>
      </c>
      <c r="EM44" s="148" t="s">
        <v>9707</v>
      </c>
      <c r="EN44" s="148" t="s">
        <v>9712</v>
      </c>
      <c r="EO44" s="148" t="s">
        <v>9718</v>
      </c>
      <c r="EP44" s="148" t="s">
        <v>9722</v>
      </c>
      <c r="EQ44" s="148" t="s">
        <v>9722</v>
      </c>
      <c r="ER44" s="148" t="s">
        <v>9713</v>
      </c>
      <c r="ES44" s="148" t="s">
        <v>9713</v>
      </c>
      <c r="ET44" s="148" t="s">
        <v>9699</v>
      </c>
      <c r="EU44" s="148" t="s">
        <v>9701</v>
      </c>
      <c r="EV44" s="148"/>
      <c r="EW44" s="148" t="s">
        <v>9730</v>
      </c>
      <c r="EX44" s="148" t="s">
        <v>9730</v>
      </c>
      <c r="EY44" s="148" t="s">
        <v>9722</v>
      </c>
      <c r="EZ44" s="148" t="s">
        <v>9734</v>
      </c>
      <c r="FA44" s="148" t="s">
        <v>9731</v>
      </c>
      <c r="FB44" s="148" t="s">
        <v>9711</v>
      </c>
      <c r="FC44" s="148" t="s">
        <v>9718</v>
      </c>
      <c r="FD44" s="148" t="s">
        <v>9711</v>
      </c>
      <c r="FE44" s="148" t="s">
        <v>9704</v>
      </c>
      <c r="FF44" s="148" t="s">
        <v>9713</v>
      </c>
      <c r="FG44" s="148" t="s">
        <v>9712</v>
      </c>
      <c r="FH44" s="148" t="s">
        <v>9726</v>
      </c>
      <c r="FI44" s="148" t="s">
        <v>9716</v>
      </c>
      <c r="FJ44" s="148" t="s">
        <v>9722</v>
      </c>
      <c r="FK44" s="148" t="s">
        <v>9718</v>
      </c>
      <c r="FL44" s="148" t="s">
        <v>9737</v>
      </c>
      <c r="FM44" s="148" t="s">
        <v>9732</v>
      </c>
      <c r="FN44" s="148" t="s">
        <v>9706</v>
      </c>
      <c r="FO44" s="148" t="s">
        <v>9732</v>
      </c>
      <c r="FP44" s="148" t="s">
        <v>9706</v>
      </c>
      <c r="FQ44" s="148" t="s">
        <v>9737</v>
      </c>
      <c r="FR44" s="148" t="s">
        <v>9713</v>
      </c>
      <c r="FS44" s="148" t="s">
        <v>9719</v>
      </c>
      <c r="FT44" s="148" t="s">
        <v>9711</v>
      </c>
      <c r="FU44" s="148" t="s">
        <v>9725</v>
      </c>
      <c r="FV44" s="148" t="s">
        <v>9722</v>
      </c>
      <c r="FW44" s="148" t="s">
        <v>9718</v>
      </c>
      <c r="FX44" s="148" t="s">
        <v>9750</v>
      </c>
      <c r="FY44" s="148" t="s">
        <v>9728</v>
      </c>
      <c r="FZ44" s="148" t="s">
        <v>9706</v>
      </c>
      <c r="GA44" s="148" t="s">
        <v>9728</v>
      </c>
      <c r="GB44" s="148" t="s">
        <v>9706</v>
      </c>
      <c r="GC44" s="148" t="s">
        <v>9722</v>
      </c>
      <c r="GD44" s="148" t="s">
        <v>9722</v>
      </c>
      <c r="GE44" s="148" t="s">
        <v>9718</v>
      </c>
      <c r="GF44" s="148" t="s">
        <v>9745</v>
      </c>
      <c r="GG44" s="148" t="s">
        <v>9745</v>
      </c>
      <c r="GH44" s="148" t="s">
        <v>9741</v>
      </c>
      <c r="GI44" s="148" t="s">
        <v>9725</v>
      </c>
      <c r="GJ44" s="148" t="s">
        <v>9732</v>
      </c>
      <c r="GK44" s="148" t="s">
        <v>9730</v>
      </c>
      <c r="GL44" s="148" t="s">
        <v>9726</v>
      </c>
      <c r="GM44" s="148" t="s">
        <v>9722</v>
      </c>
      <c r="GN44" s="148" t="s">
        <v>9720</v>
      </c>
      <c r="GO44" s="148" t="s">
        <v>9722</v>
      </c>
      <c r="GP44" s="148" t="s">
        <v>9706</v>
      </c>
      <c r="GQ44" s="148" t="s">
        <v>9710</v>
      </c>
      <c r="GR44" s="148" t="s">
        <v>9698</v>
      </c>
      <c r="GS44" s="148" t="s">
        <v>9718</v>
      </c>
      <c r="GT44" s="148"/>
      <c r="GU44" s="148"/>
      <c r="GV44" s="148" t="s">
        <v>9711</v>
      </c>
      <c r="GW44" s="148" t="s">
        <v>9706</v>
      </c>
      <c r="GX44" s="148" t="s">
        <v>9722</v>
      </c>
      <c r="GY44" s="148" t="s">
        <v>9704</v>
      </c>
      <c r="GZ44" s="148" t="s">
        <v>9711</v>
      </c>
      <c r="HA44" s="148" t="s">
        <v>9722</v>
      </c>
      <c r="HB44" s="148" t="s">
        <v>9712</v>
      </c>
      <c r="HC44" s="148" t="s">
        <v>9698</v>
      </c>
      <c r="HD44" s="148" t="s">
        <v>9706</v>
      </c>
      <c r="HE44" s="148" t="s">
        <v>9726</v>
      </c>
      <c r="HF44" s="148" t="s">
        <v>9744</v>
      </c>
      <c r="HG44" s="148" t="s">
        <v>9722</v>
      </c>
      <c r="HH44" s="148" t="s">
        <v>9707</v>
      </c>
      <c r="HI44" s="148" t="s">
        <v>9711</v>
      </c>
      <c r="HJ44" s="148" t="s">
        <v>9703</v>
      </c>
      <c r="HK44" s="148" t="s">
        <v>9738</v>
      </c>
      <c r="HL44" s="148" t="s">
        <v>9722</v>
      </c>
      <c r="HM44" s="148" t="s">
        <v>9718</v>
      </c>
      <c r="HN44" s="148" t="s">
        <v>9711</v>
      </c>
      <c r="HO44" s="148" t="s">
        <v>9704</v>
      </c>
      <c r="HP44" s="148" t="s">
        <v>9722</v>
      </c>
      <c r="HQ44" s="148" t="s">
        <v>9718</v>
      </c>
      <c r="HR44" s="148" t="s">
        <v>9710</v>
      </c>
      <c r="HS44" s="148" t="s">
        <v>9722</v>
      </c>
      <c r="HT44" s="148" t="s">
        <v>9716</v>
      </c>
      <c r="HU44" s="148" t="s">
        <v>9722</v>
      </c>
      <c r="HV44" s="148" t="s">
        <v>9718</v>
      </c>
      <c r="HW44" s="148" t="s">
        <v>9741</v>
      </c>
      <c r="HX44" s="148" t="s">
        <v>9734</v>
      </c>
      <c r="HY44" s="148" t="s">
        <v>9741</v>
      </c>
      <c r="HZ44" s="148" t="s">
        <v>9707</v>
      </c>
      <c r="IA44" s="148" t="s">
        <v>9715</v>
      </c>
      <c r="IB44" s="148"/>
      <c r="IC44" s="148" t="s">
        <v>9751</v>
      </c>
      <c r="ID44" s="148" t="s">
        <v>9710</v>
      </c>
      <c r="IE44" s="148" t="s">
        <v>9722</v>
      </c>
      <c r="IF44" s="148" t="s">
        <v>9710</v>
      </c>
      <c r="IG44" s="148" t="s">
        <v>9731</v>
      </c>
      <c r="IH44" s="148" t="s">
        <v>9712</v>
      </c>
      <c r="II44" s="148" t="s">
        <v>9709</v>
      </c>
      <c r="IJ44" s="148" t="s">
        <v>9725</v>
      </c>
      <c r="IK44" s="148" t="s">
        <v>9719</v>
      </c>
      <c r="IL44" s="148" t="s">
        <v>9715</v>
      </c>
      <c r="IM44" s="148" t="s">
        <v>9722</v>
      </c>
      <c r="IN44" s="148" t="s">
        <v>9722</v>
      </c>
      <c r="IO44" s="148" t="s">
        <v>9702</v>
      </c>
      <c r="IP44" s="148" t="s">
        <v>9709</v>
      </c>
      <c r="IQ44" s="148" t="s">
        <v>9714</v>
      </c>
      <c r="IR44" s="148" t="s">
        <v>9725</v>
      </c>
      <c r="IS44" s="148" t="s">
        <v>9718</v>
      </c>
      <c r="IT44" s="148" t="s">
        <v>9718</v>
      </c>
      <c r="IU44" s="148" t="s">
        <v>9704</v>
      </c>
      <c r="IV44" s="148" t="s">
        <v>9738</v>
      </c>
      <c r="IW44" s="148" t="s">
        <v>9706</v>
      </c>
      <c r="IX44" s="148" t="s">
        <v>9707</v>
      </c>
      <c r="IY44" s="148" t="s">
        <v>9732</v>
      </c>
      <c r="IZ44" s="148" t="s">
        <v>9722</v>
      </c>
      <c r="JA44" s="148" t="s">
        <v>9723</v>
      </c>
      <c r="JB44" s="148" t="s">
        <v>9710</v>
      </c>
      <c r="JC44" s="148" t="s">
        <v>9706</v>
      </c>
      <c r="JD44" s="148" t="s">
        <v>9718</v>
      </c>
      <c r="JE44" s="148" t="s">
        <v>9725</v>
      </c>
      <c r="JF44" s="148"/>
      <c r="JG44" s="148"/>
      <c r="JH44" s="148" t="s">
        <v>9710</v>
      </c>
      <c r="JI44" s="148"/>
      <c r="JJ44" s="148" t="s">
        <v>9706</v>
      </c>
      <c r="JK44" s="1746" t="s">
        <v>9706</v>
      </c>
      <c r="JL44" s="1746" t="s">
        <v>9722</v>
      </c>
      <c r="JM44" s="1746" t="s">
        <v>9711</v>
      </c>
      <c r="JN44" s="1746" t="s">
        <v>9735</v>
      </c>
      <c r="JO44" s="1746" t="s">
        <v>9722</v>
      </c>
      <c r="JP44" s="1746" t="s">
        <v>9718</v>
      </c>
      <c r="JQ44" s="1746" t="s">
        <v>9739</v>
      </c>
      <c r="JR44" s="1746" t="s">
        <v>9741</v>
      </c>
      <c r="JS44" s="148" t="s">
        <v>9716</v>
      </c>
      <c r="JT44" s="148" t="s">
        <v>9710</v>
      </c>
      <c r="JU44" s="148" t="s">
        <v>9711</v>
      </c>
      <c r="JV44" s="148" t="s">
        <v>9711</v>
      </c>
      <c r="JW44" s="148" t="s">
        <v>9703</v>
      </c>
      <c r="JX44" s="1746" t="s">
        <v>9710</v>
      </c>
      <c r="JY44" s="1746" t="s">
        <v>9722</v>
      </c>
      <c r="JZ44" s="1746" t="s">
        <v>9732</v>
      </c>
      <c r="KA44" s="1746" t="s">
        <v>9711</v>
      </c>
      <c r="KB44" s="1746" t="s">
        <v>9725</v>
      </c>
      <c r="KC44" s="148" t="s">
        <v>9714</v>
      </c>
      <c r="KD44" s="1746" t="s">
        <v>9702</v>
      </c>
      <c r="KE44" s="1746" t="s">
        <v>9737</v>
      </c>
      <c r="KF44" s="148" t="s">
        <v>9710</v>
      </c>
      <c r="KG44" s="1746" t="s">
        <v>9727</v>
      </c>
      <c r="KH44" s="1746" t="s">
        <v>9718</v>
      </c>
      <c r="KI44" s="1746" t="s">
        <v>9713</v>
      </c>
      <c r="KJ44" s="148" t="s">
        <v>9725</v>
      </c>
      <c r="KK44" s="1746" t="s">
        <v>9748</v>
      </c>
      <c r="KL44" s="1746" t="s">
        <v>9706</v>
      </c>
      <c r="KM44" s="1746" t="s">
        <v>9739</v>
      </c>
      <c r="KN44" s="1746" t="s">
        <v>9706</v>
      </c>
      <c r="KO44" s="148" t="s">
        <v>9704</v>
      </c>
      <c r="KP44" s="1746" t="s">
        <v>9714</v>
      </c>
      <c r="KQ44" s="148" t="s">
        <v>9707</v>
      </c>
      <c r="KR44" s="148" t="s">
        <v>9719</v>
      </c>
      <c r="KS44" s="1746" t="s">
        <v>9718</v>
      </c>
      <c r="KT44" s="1746" t="s">
        <v>9718</v>
      </c>
      <c r="KU44" s="148" t="s">
        <v>9699</v>
      </c>
      <c r="KV44" s="1746" t="s">
        <v>9718</v>
      </c>
      <c r="KW44" s="148" t="s">
        <v>9711</v>
      </c>
      <c r="KX44" s="1746" t="s">
        <v>9710</v>
      </c>
      <c r="KY44" s="1746" t="s">
        <v>9706</v>
      </c>
      <c r="KZ44" s="1746" t="s">
        <v>9737</v>
      </c>
      <c r="LA44" s="1746" t="s">
        <v>9737</v>
      </c>
      <c r="LB44" s="1746" t="s">
        <v>9707</v>
      </c>
      <c r="LC44" s="1746" t="s">
        <v>9707</v>
      </c>
      <c r="LD44" s="148" t="s">
        <v>9732</v>
      </c>
      <c r="LE44" s="1746" t="s">
        <v>9722</v>
      </c>
      <c r="LF44" s="1746" t="s">
        <v>9711</v>
      </c>
      <c r="LG44" s="1746" t="s">
        <v>9732</v>
      </c>
      <c r="LH44" s="148" t="s">
        <v>9718</v>
      </c>
      <c r="LI44" s="1746" t="s">
        <v>9732</v>
      </c>
      <c r="LJ44" s="1746" t="s">
        <v>9706</v>
      </c>
      <c r="LK44" s="1746" t="s">
        <v>9732</v>
      </c>
      <c r="LL44" s="1746" t="s">
        <v>9722</v>
      </c>
      <c r="LM44" s="1746" t="s">
        <v>9706</v>
      </c>
      <c r="LN44" s="1746" t="s">
        <v>9718</v>
      </c>
      <c r="LO44" s="1746" t="s">
        <v>9725</v>
      </c>
      <c r="LP44" s="148" t="s">
        <v>9711</v>
      </c>
      <c r="LQ44" s="1746" t="s">
        <v>9732</v>
      </c>
      <c r="LR44" s="1746" t="s">
        <v>9716</v>
      </c>
      <c r="LS44" s="148" t="s">
        <v>9707</v>
      </c>
      <c r="LT44" s="1746" t="s">
        <v>9728</v>
      </c>
      <c r="LU44" s="148" t="s">
        <v>9748</v>
      </c>
      <c r="LV44" s="1746" t="s">
        <v>9726</v>
      </c>
      <c r="LW44" s="148" t="s">
        <v>9707</v>
      </c>
      <c r="LX44" s="148" t="s">
        <v>9698</v>
      </c>
      <c r="LY44" s="1746" t="s">
        <v>9706</v>
      </c>
      <c r="LZ44" s="1746" t="s">
        <v>9723</v>
      </c>
      <c r="MA44" s="1746" t="s">
        <v>9719</v>
      </c>
      <c r="MB44" s="1746" t="s">
        <v>9732</v>
      </c>
      <c r="MC44" s="148" t="s">
        <v>9706</v>
      </c>
      <c r="MD44" s="1746" t="s">
        <v>9718</v>
      </c>
      <c r="ME44" s="1746" t="s">
        <v>9711</v>
      </c>
      <c r="MF44" s="1746" t="s">
        <v>9720</v>
      </c>
      <c r="MG44" s="148" t="s">
        <v>9715</v>
      </c>
      <c r="MH44" s="1746" t="s">
        <v>9732</v>
      </c>
      <c r="MI44" s="1746" t="s">
        <v>9706</v>
      </c>
      <c r="MJ44" s="1746" t="s">
        <v>9732</v>
      </c>
      <c r="MK44" s="1746" t="s">
        <v>9722</v>
      </c>
      <c r="ML44" s="1746" t="s">
        <v>9747</v>
      </c>
      <c r="MM44" s="148" t="s">
        <v>9732</v>
      </c>
      <c r="MN44" s="148" t="s">
        <v>9720</v>
      </c>
      <c r="MO44" s="148" t="s">
        <v>9704</v>
      </c>
      <c r="MP44" s="1746" t="s">
        <v>9722</v>
      </c>
      <c r="MQ44" s="1746" t="s">
        <v>9718</v>
      </c>
      <c r="MR44" s="1746" t="s">
        <v>9706</v>
      </c>
      <c r="MS44" s="148" t="s">
        <v>9723</v>
      </c>
      <c r="MT44" s="148" t="s">
        <v>9706</v>
      </c>
      <c r="MU44" s="1746" t="s">
        <v>9718</v>
      </c>
      <c r="MV44" s="148" t="s">
        <v>9704</v>
      </c>
      <c r="MW44" s="1746"/>
      <c r="MX44" s="1746" t="s">
        <v>9732</v>
      </c>
      <c r="MY44" s="148" t="s">
        <v>9711</v>
      </c>
      <c r="MZ44" s="1746" t="s">
        <v>9732</v>
      </c>
      <c r="NA44" s="1746" t="s">
        <v>9706</v>
      </c>
      <c r="NB44" s="148" t="s">
        <v>9722</v>
      </c>
      <c r="NC44" s="1746" t="s">
        <v>9747</v>
      </c>
      <c r="ND44" s="1746" t="s">
        <v>9732</v>
      </c>
      <c r="NE44" s="1746" t="s">
        <v>9706</v>
      </c>
      <c r="NF44" s="148" t="s">
        <v>9718</v>
      </c>
      <c r="NG44" s="1746" t="s">
        <v>9734</v>
      </c>
      <c r="NH44" s="1746" t="s">
        <v>9706</v>
      </c>
      <c r="NI44" s="148" t="s">
        <v>9706</v>
      </c>
      <c r="NJ44" s="148" t="s">
        <v>9711</v>
      </c>
      <c r="NK44" s="1746"/>
      <c r="NL44" s="1746" t="s">
        <v>9707</v>
      </c>
      <c r="NM44" s="1746" t="s">
        <v>9707</v>
      </c>
      <c r="NN44" s="1746" t="s">
        <v>9711</v>
      </c>
      <c r="NO44" s="1746" t="s">
        <v>9723</v>
      </c>
      <c r="NP44" s="1746" t="s">
        <v>9707</v>
      </c>
      <c r="NQ44" s="1746" t="s">
        <v>9702</v>
      </c>
      <c r="NR44" s="1746" t="s">
        <v>9702</v>
      </c>
      <c r="NS44" s="1746" t="s">
        <v>9704</v>
      </c>
      <c r="NT44" s="1746" t="s">
        <v>9704</v>
      </c>
      <c r="NU44" s="1746" t="s">
        <v>9702</v>
      </c>
      <c r="NV44" s="1746" t="s">
        <v>9725</v>
      </c>
      <c r="NW44" s="1746" t="s">
        <v>9708</v>
      </c>
      <c r="NX44" s="1746" t="s">
        <v>9708</v>
      </c>
      <c r="NY44" s="1746" t="s">
        <v>9708</v>
      </c>
      <c r="NZ44" s="1746" t="s">
        <v>9708</v>
      </c>
      <c r="OA44" s="1746" t="s">
        <v>9730</v>
      </c>
      <c r="OB44" s="1746" t="s">
        <v>9730</v>
      </c>
      <c r="OC44" s="1746" t="s">
        <v>9723</v>
      </c>
      <c r="OD44" s="1746" t="s">
        <v>9718</v>
      </c>
      <c r="OE44" s="1746" t="s">
        <v>9711</v>
      </c>
      <c r="OF44" s="1746" t="s">
        <v>9713</v>
      </c>
      <c r="OG44" s="1746" t="s">
        <v>9706</v>
      </c>
      <c r="OH44" s="1746" t="s">
        <v>9706</v>
      </c>
      <c r="OI44" s="1746" t="s">
        <v>9711</v>
      </c>
      <c r="OJ44" s="1746" t="s">
        <v>9739</v>
      </c>
      <c r="OK44" s="1746" t="s">
        <v>9739</v>
      </c>
      <c r="OL44" s="1746" t="s">
        <v>9741</v>
      </c>
      <c r="OM44" s="1746" t="s">
        <v>9718</v>
      </c>
      <c r="ON44" s="1746" t="s">
        <v>9704</v>
      </c>
      <c r="OO44" s="1746"/>
      <c r="OP44" s="148" t="s">
        <v>9737</v>
      </c>
      <c r="OQ44" s="1746" t="s">
        <v>9732</v>
      </c>
      <c r="OR44" s="1746" t="s">
        <v>9732</v>
      </c>
      <c r="OS44" s="1746" t="s">
        <v>9710</v>
      </c>
      <c r="OT44" s="1746" t="s">
        <v>9732</v>
      </c>
      <c r="OU44" s="1746" t="s">
        <v>9730</v>
      </c>
      <c r="OV44" s="1746" t="s">
        <v>9720</v>
      </c>
      <c r="OW44" s="1746" t="s">
        <v>9704</v>
      </c>
      <c r="OX44" s="1746" t="s">
        <v>9713</v>
      </c>
      <c r="OY44" s="1746" t="s">
        <v>9725</v>
      </c>
      <c r="OZ44" s="1746"/>
      <c r="PA44" s="1746" t="s">
        <v>9706</v>
      </c>
      <c r="PB44" s="1746" t="s">
        <v>9722</v>
      </c>
      <c r="PC44" s="1746" t="s">
        <v>9732</v>
      </c>
      <c r="PD44" s="1746" t="s">
        <v>9706</v>
      </c>
      <c r="PE44" s="1746"/>
      <c r="PF44" s="1746" t="s">
        <v>9732</v>
      </c>
      <c r="PG44" s="148" t="s">
        <v>9732</v>
      </c>
      <c r="PH44" s="1746" t="s">
        <v>9718</v>
      </c>
      <c r="PI44" s="1746" t="s">
        <v>9704</v>
      </c>
      <c r="PJ44" s="1746" t="s">
        <v>9745</v>
      </c>
      <c r="PK44" s="1746" t="s">
        <v>9741</v>
      </c>
      <c r="PL44" s="1746" t="s">
        <v>9747</v>
      </c>
      <c r="PM44" s="1746" t="s">
        <v>9718</v>
      </c>
      <c r="PN44" s="1746" t="s">
        <v>9704</v>
      </c>
      <c r="PO44" s="1746" t="s">
        <v>9710</v>
      </c>
      <c r="PP44" s="1746" t="s">
        <v>9710</v>
      </c>
      <c r="PQ44" s="1746" t="s">
        <v>9710</v>
      </c>
      <c r="PR44" s="148" t="s">
        <v>9704</v>
      </c>
      <c r="PS44" s="1746" t="s">
        <v>9711</v>
      </c>
      <c r="PT44" s="1746" t="s">
        <v>9706</v>
      </c>
      <c r="PU44" s="1746" t="s">
        <v>9711</v>
      </c>
      <c r="PV44" s="1746" t="s">
        <v>9707</v>
      </c>
      <c r="PW44" s="1746" t="s">
        <v>9718</v>
      </c>
      <c r="PX44" s="1746" t="s">
        <v>9718</v>
      </c>
      <c r="PY44" s="148" t="s">
        <v>9711</v>
      </c>
      <c r="PZ44" s="1746" t="s">
        <v>9711</v>
      </c>
      <c r="QA44" s="1746" t="s">
        <v>9723</v>
      </c>
      <c r="QB44" s="1746" t="s">
        <v>9735</v>
      </c>
      <c r="QC44" s="1746" t="s">
        <v>9704</v>
      </c>
      <c r="QD44" s="1746" t="s">
        <v>9711</v>
      </c>
      <c r="QE44" s="1746" t="s">
        <v>9732</v>
      </c>
      <c r="QF44" s="1746" t="s">
        <v>9718</v>
      </c>
      <c r="QG44" s="1746" t="s">
        <v>9718</v>
      </c>
      <c r="QH44" s="1746" t="s">
        <v>9711</v>
      </c>
      <c r="QI44" s="1746" t="s">
        <v>9723</v>
      </c>
      <c r="QJ44" s="1746" t="s">
        <v>9704</v>
      </c>
      <c r="QK44" s="1746" t="s">
        <v>9722</v>
      </c>
      <c r="QL44" s="148" t="s">
        <v>9712</v>
      </c>
      <c r="QM44" s="1746" t="s">
        <v>9742</v>
      </c>
      <c r="QN44" s="1746" t="s">
        <v>9732</v>
      </c>
      <c r="QO44" s="1746" t="s">
        <v>9718</v>
      </c>
      <c r="QP44" s="1746" t="s">
        <v>9707</v>
      </c>
      <c r="QQ44" s="1746" t="s">
        <v>9711</v>
      </c>
      <c r="QR44" s="1746" t="s">
        <v>9703</v>
      </c>
      <c r="QS44" s="1746" t="s">
        <v>9728</v>
      </c>
      <c r="QT44" s="1746" t="s">
        <v>9737</v>
      </c>
      <c r="QU44" s="1746" t="s">
        <v>9740</v>
      </c>
      <c r="QV44" s="1746" t="s">
        <v>9734</v>
      </c>
      <c r="QW44" s="148" t="s">
        <v>9711</v>
      </c>
      <c r="QX44" s="148" t="s">
        <v>9702</v>
      </c>
      <c r="QY44" s="148" t="s">
        <v>9704</v>
      </c>
      <c r="QZ44" s="148" t="s">
        <v>9735</v>
      </c>
      <c r="RA44" s="148" t="s">
        <v>9714</v>
      </c>
      <c r="RB44" s="148" t="s">
        <v>9704</v>
      </c>
      <c r="RC44" s="1746" t="s">
        <v>9711</v>
      </c>
      <c r="RD44" s="148" t="s">
        <v>9725</v>
      </c>
      <c r="RE44" s="1746" t="s">
        <v>9723</v>
      </c>
      <c r="RF44" s="148" t="s">
        <v>9725</v>
      </c>
      <c r="RG44" s="148" t="s">
        <v>9716</v>
      </c>
      <c r="RH44" s="1746" t="s">
        <v>9718</v>
      </c>
      <c r="RI44" s="1746" t="s">
        <v>9718</v>
      </c>
      <c r="RJ44" s="148" t="s">
        <v>9703</v>
      </c>
      <c r="RK44" s="148" t="s">
        <v>9711</v>
      </c>
      <c r="RL44" s="148" t="s">
        <v>9707</v>
      </c>
      <c r="RM44" s="148" t="s">
        <v>9712</v>
      </c>
      <c r="RN44" s="148" t="s">
        <v>9722</v>
      </c>
      <c r="RO44" s="148" t="s">
        <v>9723</v>
      </c>
      <c r="RP44" s="148" t="s">
        <v>9704</v>
      </c>
      <c r="RQ44" s="1746" t="s">
        <v>9724</v>
      </c>
      <c r="RR44" s="1746" t="s">
        <v>9724</v>
      </c>
      <c r="RS44" s="1746" t="s">
        <v>9724</v>
      </c>
      <c r="RT44" s="1746" t="s">
        <v>9724</v>
      </c>
      <c r="RU44" s="1746" t="s">
        <v>9724</v>
      </c>
      <c r="RV44" s="1746" t="s">
        <v>9724</v>
      </c>
      <c r="RW44" s="1746" t="s">
        <v>9714</v>
      </c>
      <c r="RX44" s="1746" t="s">
        <v>9714</v>
      </c>
      <c r="RY44" s="1746" t="s">
        <v>9704</v>
      </c>
      <c r="RZ44" s="148" t="s">
        <v>9712</v>
      </c>
      <c r="SA44" s="1746" t="s">
        <v>9699</v>
      </c>
      <c r="SB44" s="1746" t="s">
        <v>9718</v>
      </c>
      <c r="SC44" s="148" t="s">
        <v>9718</v>
      </c>
      <c r="SD44" s="1746" t="s">
        <v>9704</v>
      </c>
      <c r="SE44" s="1746" t="s">
        <v>9704</v>
      </c>
      <c r="SF44" s="1746" t="s">
        <v>9718</v>
      </c>
      <c r="SG44" s="1746" t="s">
        <v>9739</v>
      </c>
      <c r="SH44" s="1746" t="s">
        <v>9711</v>
      </c>
      <c r="SI44" s="1746" t="s">
        <v>9704</v>
      </c>
      <c r="SJ44" s="1746" t="s">
        <v>9741</v>
      </c>
      <c r="SK44" s="1746" t="s">
        <v>9741</v>
      </c>
      <c r="SL44" s="1747" t="s">
        <v>9752</v>
      </c>
    </row>
    <row r="45" ht="15.75" customHeight="1">
      <c r="A45" s="1517"/>
      <c r="B45" s="131" t="s">
        <v>9734</v>
      </c>
      <c r="C45" s="131" t="s">
        <v>9734</v>
      </c>
      <c r="D45" s="131" t="s">
        <v>9732</v>
      </c>
      <c r="E45" s="1739" t="s">
        <v>9706</v>
      </c>
      <c r="F45" s="1739" t="s">
        <v>9706</v>
      </c>
      <c r="G45" s="1739" t="s">
        <v>9707</v>
      </c>
      <c r="H45" s="387" t="s">
        <v>9706</v>
      </c>
      <c r="I45" s="387" t="s">
        <v>9706</v>
      </c>
      <c r="J45" s="387" t="s">
        <v>9711</v>
      </c>
      <c r="K45" s="131"/>
      <c r="L45" s="131"/>
      <c r="M45" s="1740" t="s">
        <v>9710</v>
      </c>
      <c r="N45" s="1741"/>
      <c r="O45" s="339"/>
      <c r="P45" s="339" t="s">
        <v>9727</v>
      </c>
      <c r="Q45" s="1741" t="s">
        <v>9747</v>
      </c>
      <c r="R45" s="1741" t="s">
        <v>9747</v>
      </c>
      <c r="S45" s="1741" t="s">
        <v>9734</v>
      </c>
      <c r="T45" s="448" t="s">
        <v>9722</v>
      </c>
      <c r="U45" s="1741" t="s">
        <v>9711</v>
      </c>
      <c r="V45" s="1741" t="s">
        <v>9747</v>
      </c>
      <c r="W45" s="1741" t="s">
        <v>9734</v>
      </c>
      <c r="X45" s="448" t="s">
        <v>9710</v>
      </c>
      <c r="Y45" s="448" t="s">
        <v>9706</v>
      </c>
      <c r="Z45" s="339" t="s">
        <v>9728</v>
      </c>
      <c r="AA45" s="339" t="s">
        <v>9706</v>
      </c>
      <c r="AB45" s="339" t="s">
        <v>9710</v>
      </c>
      <c r="AC45" s="339" t="s">
        <v>9706</v>
      </c>
      <c r="AD45" s="387" t="s">
        <v>9718</v>
      </c>
      <c r="AE45" s="387" t="s">
        <v>9718</v>
      </c>
      <c r="AF45" s="387" t="s">
        <v>9714</v>
      </c>
      <c r="AG45" s="448" t="s">
        <v>9722</v>
      </c>
      <c r="AH45" s="448" t="s">
        <v>9722</v>
      </c>
      <c r="AI45" s="448" t="s">
        <v>9714</v>
      </c>
      <c r="AJ45" s="1742" t="s">
        <v>9708</v>
      </c>
      <c r="AK45" s="1742" t="s">
        <v>9698</v>
      </c>
      <c r="AL45" s="1741" t="s">
        <v>9738</v>
      </c>
      <c r="AM45" s="339" t="s">
        <v>9706</v>
      </c>
      <c r="AN45" s="1742" t="s">
        <v>9712</v>
      </c>
      <c r="AO45" s="1742" t="s">
        <v>9714</v>
      </c>
      <c r="AP45" s="448" t="s">
        <v>9716</v>
      </c>
      <c r="AQ45" s="448" t="s">
        <v>9710</v>
      </c>
      <c r="AR45" s="387" t="s">
        <v>9734</v>
      </c>
      <c r="AS45" s="387" t="s">
        <v>9737</v>
      </c>
      <c r="AT45" s="1739" t="s">
        <v>9729</v>
      </c>
      <c r="AU45" s="1739" t="s">
        <v>9730</v>
      </c>
      <c r="AV45" s="1739" t="s">
        <v>9710</v>
      </c>
      <c r="AW45" s="448" t="s">
        <v>9734</v>
      </c>
      <c r="AX45" s="448" t="s">
        <v>9726</v>
      </c>
      <c r="AY45" s="1741" t="s">
        <v>9753</v>
      </c>
      <c r="AZ45" s="1741" t="s">
        <v>9732</v>
      </c>
      <c r="BA45" s="339" t="s">
        <v>9718</v>
      </c>
      <c r="BB45" s="339" t="s">
        <v>9703</v>
      </c>
      <c r="BC45" s="339" t="s">
        <v>9718</v>
      </c>
      <c r="BD45" s="387" t="s">
        <v>9711</v>
      </c>
      <c r="BE45" s="1741" t="s">
        <v>9711</v>
      </c>
      <c r="BF45" s="1741" t="s">
        <v>9707</v>
      </c>
      <c r="BG45" s="1741" t="s">
        <v>9732</v>
      </c>
      <c r="BH45" s="1741" t="s">
        <v>9710</v>
      </c>
      <c r="BI45" s="387" t="s">
        <v>9734</v>
      </c>
      <c r="BJ45" s="387" t="s">
        <v>9706</v>
      </c>
      <c r="BK45" s="387" t="s">
        <v>9711</v>
      </c>
      <c r="BL45" s="1741" t="s">
        <v>9711</v>
      </c>
      <c r="BM45" s="1741" t="s">
        <v>9711</v>
      </c>
      <c r="BN45" s="1741" t="s">
        <v>9703</v>
      </c>
      <c r="BO45" s="1743" t="s">
        <v>9706</v>
      </c>
      <c r="BP45" s="1743" t="s">
        <v>9706</v>
      </c>
      <c r="BQ45" s="1743" t="s">
        <v>9722</v>
      </c>
      <c r="BR45" s="131" t="s">
        <v>9745</v>
      </c>
      <c r="BS45" s="131" t="s">
        <v>9745</v>
      </c>
      <c r="BT45" s="131" t="s">
        <v>9741</v>
      </c>
      <c r="BU45" s="387" t="s">
        <v>9740</v>
      </c>
      <c r="BV45" s="387" t="s">
        <v>9732</v>
      </c>
      <c r="BW45" s="1741" t="s">
        <v>9728</v>
      </c>
      <c r="BX45" s="1741" t="s">
        <v>9728</v>
      </c>
      <c r="BY45" s="1741" t="s">
        <v>9722</v>
      </c>
      <c r="BZ45" s="339" t="s">
        <v>9739</v>
      </c>
      <c r="CA45" s="339" t="s">
        <v>9741</v>
      </c>
      <c r="CB45" s="1742" t="s">
        <v>9704</v>
      </c>
      <c r="CC45" s="1742" t="s">
        <v>9708</v>
      </c>
      <c r="CD45" s="1743" t="s">
        <v>9737</v>
      </c>
      <c r="CE45" s="1743" t="s">
        <v>9746</v>
      </c>
      <c r="CF45" s="1741" t="s">
        <v>9743</v>
      </c>
      <c r="CG45" s="1741" t="s">
        <v>9754</v>
      </c>
      <c r="CH45" s="1741" t="s">
        <v>9740</v>
      </c>
      <c r="CI45" s="1740" t="s">
        <v>9734</v>
      </c>
      <c r="CJ45" s="1740" t="s">
        <v>9732</v>
      </c>
      <c r="CK45" s="448" t="s">
        <v>9703</v>
      </c>
      <c r="CL45" s="448" t="s">
        <v>9717</v>
      </c>
      <c r="CM45" s="448" t="s">
        <v>9739</v>
      </c>
      <c r="CN45" s="448" t="s">
        <v>9740</v>
      </c>
      <c r="CO45" s="448" t="s">
        <v>9710</v>
      </c>
      <c r="CP45" s="448" t="s">
        <v>9710</v>
      </c>
      <c r="CQ45" s="448" t="s">
        <v>9711</v>
      </c>
      <c r="CR45" s="1743" t="s">
        <v>9732</v>
      </c>
      <c r="CS45" s="339" t="s">
        <v>9718</v>
      </c>
      <c r="CT45" s="339" t="s">
        <v>9711</v>
      </c>
      <c r="CU45" s="1739" t="s">
        <v>9727</v>
      </c>
      <c r="CV45" s="1739" t="s">
        <v>9710</v>
      </c>
      <c r="CW45" s="1739" t="s">
        <v>9737</v>
      </c>
      <c r="CX45" s="1739" t="s">
        <v>9735</v>
      </c>
      <c r="CY45" s="1742" t="s">
        <v>9721</v>
      </c>
      <c r="CZ45" s="339" t="s">
        <v>9710</v>
      </c>
      <c r="DA45" s="1741" t="s">
        <v>9711</v>
      </c>
      <c r="DB45" s="1741" t="s">
        <v>9707</v>
      </c>
      <c r="DC45" s="1741" t="s">
        <v>9728</v>
      </c>
      <c r="DD45" s="1741" t="s">
        <v>9728</v>
      </c>
      <c r="DE45" s="1742" t="s">
        <v>9712</v>
      </c>
      <c r="DF45" s="448" t="s">
        <v>9722</v>
      </c>
      <c r="DG45" s="448" t="s">
        <v>9718</v>
      </c>
      <c r="DH45" s="1743" t="s">
        <v>9719</v>
      </c>
      <c r="DI45" s="1743" t="s">
        <v>9725</v>
      </c>
      <c r="DJ45" s="1742" t="s">
        <v>9699</v>
      </c>
      <c r="DK45" s="387" t="s">
        <v>9730</v>
      </c>
      <c r="DL45" s="1741" t="s">
        <v>9698</v>
      </c>
      <c r="DM45" s="387" t="s">
        <v>9747</v>
      </c>
      <c r="DN45" s="387" t="s">
        <v>9734</v>
      </c>
      <c r="DO45" s="1739" t="s">
        <v>9747</v>
      </c>
      <c r="DP45" s="1739" t="s">
        <v>9739</v>
      </c>
      <c r="DQ45" s="1741" t="s">
        <v>9732</v>
      </c>
      <c r="DR45" s="448" t="s">
        <v>9722</v>
      </c>
      <c r="DS45" s="1742" t="s">
        <v>9704</v>
      </c>
      <c r="DT45" s="131" t="s">
        <v>9732</v>
      </c>
      <c r="DU45" s="1739" t="s">
        <v>9715</v>
      </c>
      <c r="DV45" s="339" t="s">
        <v>9706</v>
      </c>
      <c r="DW45" s="1739" t="s">
        <v>9731</v>
      </c>
      <c r="DX45" s="1741" t="s">
        <v>9710</v>
      </c>
      <c r="DY45" s="1741" t="s">
        <v>9720</v>
      </c>
      <c r="DZ45" s="1739"/>
      <c r="EA45" s="387" t="s">
        <v>9719</v>
      </c>
      <c r="EB45" s="387" t="s">
        <v>9711</v>
      </c>
      <c r="EC45" s="448"/>
      <c r="ED45" s="1741" t="s">
        <v>9754</v>
      </c>
      <c r="EE45" s="387" t="s">
        <v>9722</v>
      </c>
      <c r="EF45" s="339" t="s">
        <v>9722</v>
      </c>
      <c r="EG45" s="1739" t="s">
        <v>9731</v>
      </c>
      <c r="EH45" s="1742" t="s">
        <v>9711</v>
      </c>
      <c r="EI45" s="387" t="s">
        <v>9744</v>
      </c>
      <c r="EJ45" s="387" t="s">
        <v>9732</v>
      </c>
      <c r="EK45" s="1741" t="s">
        <v>9710</v>
      </c>
      <c r="EL45" s="1741" t="s">
        <v>9718</v>
      </c>
      <c r="EM45" s="448" t="s">
        <v>9703</v>
      </c>
      <c r="EN45" s="1744" t="s">
        <v>9704</v>
      </c>
      <c r="EO45" s="387" t="s">
        <v>9722</v>
      </c>
      <c r="EP45" s="339" t="s">
        <v>9716</v>
      </c>
      <c r="EQ45" s="339" t="s">
        <v>9716</v>
      </c>
      <c r="ER45" s="387" t="s">
        <v>9719</v>
      </c>
      <c r="ES45" s="387" t="s">
        <v>9719</v>
      </c>
      <c r="ET45" s="1741" t="s">
        <v>9702</v>
      </c>
      <c r="EU45" s="448" t="s">
        <v>9705</v>
      </c>
      <c r="EV45" s="1742"/>
      <c r="EW45" s="131" t="s">
        <v>9732</v>
      </c>
      <c r="EX45" s="131" t="s">
        <v>9732</v>
      </c>
      <c r="EY45" s="131" t="s">
        <v>9706</v>
      </c>
      <c r="EZ45" s="339" t="s">
        <v>9739</v>
      </c>
      <c r="FA45" s="339" t="s">
        <v>9732</v>
      </c>
      <c r="FB45" s="339" t="s">
        <v>9718</v>
      </c>
      <c r="FC45" s="387" t="s">
        <v>9722</v>
      </c>
      <c r="FD45" s="387" t="s">
        <v>9718</v>
      </c>
      <c r="FE45" s="387" t="s">
        <v>9723</v>
      </c>
      <c r="FF45" s="1741" t="s">
        <v>9711</v>
      </c>
      <c r="FG45" s="1741" t="s">
        <v>9704</v>
      </c>
      <c r="FH45" s="1741" t="s">
        <v>9732</v>
      </c>
      <c r="FI45" s="1741" t="s">
        <v>9726</v>
      </c>
      <c r="FJ45" s="1739" t="s">
        <v>9706</v>
      </c>
      <c r="FK45" s="1739" t="s">
        <v>9722</v>
      </c>
      <c r="FL45" s="131" t="s">
        <v>9734</v>
      </c>
      <c r="FM45" s="1739" t="s">
        <v>9741</v>
      </c>
      <c r="FN45" s="448" t="s">
        <v>9710</v>
      </c>
      <c r="FO45" s="387" t="s">
        <v>9737</v>
      </c>
      <c r="FP45" s="387" t="s">
        <v>9732</v>
      </c>
      <c r="FQ45" s="339" t="s">
        <v>9750</v>
      </c>
      <c r="FR45" s="1742" t="s">
        <v>9719</v>
      </c>
      <c r="FS45" s="1742" t="s">
        <v>9711</v>
      </c>
      <c r="FT45" s="1740" t="s">
        <v>9718</v>
      </c>
      <c r="FU45" s="1740" t="s">
        <v>9713</v>
      </c>
      <c r="FV45" s="131" t="s">
        <v>9706</v>
      </c>
      <c r="FW45" s="131" t="s">
        <v>9722</v>
      </c>
      <c r="FX45" s="1740" t="s">
        <v>9734</v>
      </c>
      <c r="FY45" s="1742" t="s">
        <v>9732</v>
      </c>
      <c r="FZ45" s="339" t="s">
        <v>9748</v>
      </c>
      <c r="GA45" s="131" t="s">
        <v>9732</v>
      </c>
      <c r="GB45" s="387" t="s">
        <v>9728</v>
      </c>
      <c r="GC45" s="387" t="s">
        <v>9706</v>
      </c>
      <c r="GD45" s="1741" t="s">
        <v>9706</v>
      </c>
      <c r="GE45" s="131" t="s">
        <v>9722</v>
      </c>
      <c r="GF45" s="1742" t="s">
        <v>9734</v>
      </c>
      <c r="GG45" s="131" t="s">
        <v>9734</v>
      </c>
      <c r="GH45" s="387" t="s">
        <v>9737</v>
      </c>
      <c r="GI45" s="448" t="s">
        <v>9707</v>
      </c>
      <c r="GJ45" s="339" t="s">
        <v>9737</v>
      </c>
      <c r="GK45" s="339" t="s">
        <v>9732</v>
      </c>
      <c r="GL45" s="1739" t="s">
        <v>9732</v>
      </c>
      <c r="GM45" s="387" t="s">
        <v>9706</v>
      </c>
      <c r="GN45" s="387" t="s">
        <v>9723</v>
      </c>
      <c r="GO45" s="448" t="s">
        <v>9706</v>
      </c>
      <c r="GP45" s="1744" t="s">
        <v>9724</v>
      </c>
      <c r="GQ45" s="1744" t="s">
        <v>9716</v>
      </c>
      <c r="GR45" s="1742" t="s">
        <v>9708</v>
      </c>
      <c r="GS45" s="1743" t="s">
        <v>9722</v>
      </c>
      <c r="GT45" s="1744"/>
      <c r="GU45" s="387"/>
      <c r="GV45" s="339" t="s">
        <v>9718</v>
      </c>
      <c r="GW45" s="1743" t="s">
        <v>9732</v>
      </c>
      <c r="GX45" s="448" t="s">
        <v>9706</v>
      </c>
      <c r="GY45" s="339" t="s">
        <v>9725</v>
      </c>
      <c r="GZ45" s="448" t="s">
        <v>9718</v>
      </c>
      <c r="HA45" s="1743" t="s">
        <v>9706</v>
      </c>
      <c r="HB45" s="1742" t="s">
        <v>9704</v>
      </c>
      <c r="HC45" s="448" t="s">
        <v>9714</v>
      </c>
      <c r="HD45" s="1743" t="s">
        <v>9732</v>
      </c>
      <c r="HE45" s="1739" t="s">
        <v>9727</v>
      </c>
      <c r="HF45" s="339" t="s">
        <v>9737</v>
      </c>
      <c r="HG45" s="387" t="s">
        <v>9706</v>
      </c>
      <c r="HH45" s="1744" t="s">
        <v>9703</v>
      </c>
      <c r="HI45" s="1741" t="s">
        <v>9718</v>
      </c>
      <c r="HJ45" s="1741" t="s">
        <v>9711</v>
      </c>
      <c r="HK45" s="1739" t="s">
        <v>9734</v>
      </c>
      <c r="HL45" s="1739" t="s">
        <v>9706</v>
      </c>
      <c r="HM45" s="1741" t="s">
        <v>9722</v>
      </c>
      <c r="HN45" s="1741" t="s">
        <v>9718</v>
      </c>
      <c r="HO45" s="1742" t="s">
        <v>9715</v>
      </c>
      <c r="HP45" s="1743" t="s">
        <v>9706</v>
      </c>
      <c r="HQ45" s="1739" t="s">
        <v>9722</v>
      </c>
      <c r="HR45" s="1739" t="s">
        <v>9728</v>
      </c>
      <c r="HS45" s="448" t="s">
        <v>9706</v>
      </c>
      <c r="HT45" s="1743" t="s">
        <v>9726</v>
      </c>
      <c r="HU45" s="1744" t="s">
        <v>9706</v>
      </c>
      <c r="HV45" s="1744" t="s">
        <v>9722</v>
      </c>
      <c r="HW45" s="387" t="s">
        <v>9734</v>
      </c>
      <c r="HX45" s="387" t="s">
        <v>9751</v>
      </c>
      <c r="HY45" s="1743" t="s">
        <v>9744</v>
      </c>
      <c r="HZ45" s="1739" t="s">
        <v>9711</v>
      </c>
      <c r="IA45" s="1741" t="s">
        <v>9725</v>
      </c>
      <c r="IB45" s="1740"/>
      <c r="IC45" s="448" t="s">
        <v>9739</v>
      </c>
      <c r="ID45" s="1741" t="s">
        <v>9732</v>
      </c>
      <c r="IE45" s="1742" t="s">
        <v>9706</v>
      </c>
      <c r="IF45" s="339" t="s">
        <v>9728</v>
      </c>
      <c r="IG45" s="1739" t="s">
        <v>9728</v>
      </c>
      <c r="IH45" s="1742" t="s">
        <v>9704</v>
      </c>
      <c r="II45" s="1742" t="s">
        <v>9699</v>
      </c>
      <c r="IJ45" s="339" t="s">
        <v>9720</v>
      </c>
      <c r="IK45" s="1741" t="s">
        <v>9711</v>
      </c>
      <c r="IL45" s="387" t="s">
        <v>9720</v>
      </c>
      <c r="IM45" s="131" t="s">
        <v>9706</v>
      </c>
      <c r="IN45" s="1743" t="s">
        <v>9706</v>
      </c>
      <c r="IO45" s="131" t="s">
        <v>9698</v>
      </c>
      <c r="IP45" s="1740" t="s">
        <v>9699</v>
      </c>
      <c r="IQ45" s="1739" t="s">
        <v>9704</v>
      </c>
      <c r="IR45" s="131" t="s">
        <v>9720</v>
      </c>
      <c r="IS45" s="131" t="s">
        <v>9722</v>
      </c>
      <c r="IT45" s="131" t="s">
        <v>9722</v>
      </c>
      <c r="IU45" s="131" t="s">
        <v>9723</v>
      </c>
      <c r="IV45" s="1739" t="s">
        <v>9753</v>
      </c>
      <c r="IW45" s="1739" t="s">
        <v>9731</v>
      </c>
      <c r="IX45" s="1739" t="s">
        <v>9711</v>
      </c>
      <c r="IY45" s="387" t="s">
        <v>9734</v>
      </c>
      <c r="IZ45" s="387" t="s">
        <v>9706</v>
      </c>
      <c r="JA45" s="387" t="s">
        <v>9711</v>
      </c>
      <c r="JB45" s="1743" t="s">
        <v>9724</v>
      </c>
      <c r="JC45" s="1743" t="s">
        <v>9710</v>
      </c>
      <c r="JD45" s="1741" t="s">
        <v>9722</v>
      </c>
      <c r="JE45" s="1740" t="s">
        <v>9711</v>
      </c>
      <c r="JF45" s="1739"/>
      <c r="JG45" s="1740"/>
      <c r="JH45" s="339" t="s">
        <v>9726</v>
      </c>
      <c r="JI45" s="448"/>
      <c r="JJ45" s="131" t="s">
        <v>9710</v>
      </c>
      <c r="JK45" s="131" t="s">
        <v>9710</v>
      </c>
      <c r="JL45" s="131" t="s">
        <v>9706</v>
      </c>
      <c r="JM45" s="131" t="s">
        <v>9718</v>
      </c>
      <c r="JN45" s="1741" t="s">
        <v>9737</v>
      </c>
      <c r="JO45" s="1741" t="s">
        <v>9706</v>
      </c>
      <c r="JP45" s="1741" t="s">
        <v>9722</v>
      </c>
      <c r="JQ45" s="387" t="s">
        <v>9747</v>
      </c>
      <c r="JR45" s="387" t="s">
        <v>9734</v>
      </c>
      <c r="JS45" s="1740" t="s">
        <v>9726</v>
      </c>
      <c r="JT45" s="339" t="s">
        <v>9716</v>
      </c>
      <c r="JU45" s="1740" t="s">
        <v>9718</v>
      </c>
      <c r="JV45" s="1740" t="s">
        <v>9718</v>
      </c>
      <c r="JW45" s="1740" t="s">
        <v>9711</v>
      </c>
      <c r="JX45" s="387" t="s">
        <v>9732</v>
      </c>
      <c r="JY45" s="387" t="s">
        <v>9706</v>
      </c>
      <c r="JZ45" s="1741" t="s">
        <v>9737</v>
      </c>
      <c r="KA45" s="131" t="s">
        <v>9718</v>
      </c>
      <c r="KB45" s="1741" t="s">
        <v>9713</v>
      </c>
      <c r="KC45" s="1740" t="s">
        <v>9712</v>
      </c>
      <c r="KD45" s="1741" t="s">
        <v>9714</v>
      </c>
      <c r="KE45" s="1743" t="s">
        <v>9755</v>
      </c>
      <c r="KF45" s="339" t="s">
        <v>9726</v>
      </c>
      <c r="KG45" s="1741" t="s">
        <v>9732</v>
      </c>
      <c r="KH45" s="1742" t="s">
        <v>9722</v>
      </c>
      <c r="KI45" s="387" t="s">
        <v>9719</v>
      </c>
      <c r="KJ45" s="387" t="s">
        <v>9713</v>
      </c>
      <c r="KK45" s="339" t="s">
        <v>9728</v>
      </c>
      <c r="KL45" s="1741" t="s">
        <v>9748</v>
      </c>
      <c r="KM45" s="387" t="s">
        <v>9747</v>
      </c>
      <c r="KN45" s="1743" t="s">
        <v>9732</v>
      </c>
      <c r="KO45" s="1742" t="s">
        <v>9725</v>
      </c>
      <c r="KP45" s="448" t="s">
        <v>9704</v>
      </c>
      <c r="KQ45" s="448" t="s">
        <v>9703</v>
      </c>
      <c r="KR45" s="1744" t="s">
        <v>9723</v>
      </c>
      <c r="KS45" s="1743" t="s">
        <v>9722</v>
      </c>
      <c r="KT45" s="1743" t="s">
        <v>9722</v>
      </c>
      <c r="KU45" s="1743" t="s">
        <v>9702</v>
      </c>
      <c r="KV45" s="387" t="s">
        <v>9722</v>
      </c>
      <c r="KW45" s="1739" t="s">
        <v>9718</v>
      </c>
      <c r="KX45" s="131" t="s">
        <v>9732</v>
      </c>
      <c r="KY45" s="339" t="s">
        <v>9710</v>
      </c>
      <c r="KZ45" s="339" t="s">
        <v>9750</v>
      </c>
      <c r="LA45" s="339" t="s">
        <v>9750</v>
      </c>
      <c r="LB45" s="1743" t="s">
        <v>9711</v>
      </c>
      <c r="LC45" s="448" t="s">
        <v>9711</v>
      </c>
      <c r="LD45" s="131" t="s">
        <v>9737</v>
      </c>
      <c r="LE45" s="131" t="s">
        <v>9706</v>
      </c>
      <c r="LF45" s="448" t="s">
        <v>9718</v>
      </c>
      <c r="LG45" s="1739" t="s">
        <v>9740</v>
      </c>
      <c r="LH45" s="387" t="s">
        <v>9722</v>
      </c>
      <c r="LI45" s="387" t="s">
        <v>9756</v>
      </c>
      <c r="LJ45" s="387" t="s">
        <v>9732</v>
      </c>
      <c r="LK45" s="339" t="s">
        <v>9738</v>
      </c>
      <c r="LL45" s="1739" t="s">
        <v>9706</v>
      </c>
      <c r="LM45" s="1741" t="s">
        <v>9731</v>
      </c>
      <c r="LN45" s="1744" t="s">
        <v>9722</v>
      </c>
      <c r="LO45" s="448" t="s">
        <v>9703</v>
      </c>
      <c r="LP45" s="1741" t="s">
        <v>9718</v>
      </c>
      <c r="LQ45" s="1741" t="s">
        <v>9734</v>
      </c>
      <c r="LR45" s="131" t="s">
        <v>9726</v>
      </c>
      <c r="LS45" s="131" t="s">
        <v>9711</v>
      </c>
      <c r="LT45" s="131" t="s">
        <v>9732</v>
      </c>
      <c r="LU45" s="131" t="s">
        <v>9730</v>
      </c>
      <c r="LV45" s="387" t="s">
        <v>9732</v>
      </c>
      <c r="LW45" s="387" t="s">
        <v>9711</v>
      </c>
      <c r="LX45" s="1740" t="s">
        <v>9714</v>
      </c>
      <c r="LY45" s="1744" t="s">
        <v>9710</v>
      </c>
      <c r="LZ45" s="339" t="s">
        <v>9711</v>
      </c>
      <c r="MA45" s="1739" t="s">
        <v>9723</v>
      </c>
      <c r="MB45" s="1743" t="s">
        <v>9734</v>
      </c>
      <c r="MC45" s="387" t="s">
        <v>9732</v>
      </c>
      <c r="MD45" s="1739" t="s">
        <v>9722</v>
      </c>
      <c r="ME45" s="1739" t="s">
        <v>9718</v>
      </c>
      <c r="MF45" s="1741" t="s">
        <v>9723</v>
      </c>
      <c r="MG45" s="1744" t="s">
        <v>9720</v>
      </c>
      <c r="MH45" s="448" t="s">
        <v>9744</v>
      </c>
      <c r="MI45" s="131" t="s">
        <v>9730</v>
      </c>
      <c r="MJ45" s="1743" t="s">
        <v>9744</v>
      </c>
      <c r="MK45" s="1743" t="s">
        <v>9706</v>
      </c>
      <c r="ML45" s="1741" t="s">
        <v>9754</v>
      </c>
      <c r="MM45" s="1742" t="s">
        <v>9736</v>
      </c>
      <c r="MN45" s="1740" t="s">
        <v>9719</v>
      </c>
      <c r="MO45" s="131" t="s">
        <v>9725</v>
      </c>
      <c r="MP45" s="1744" t="s">
        <v>9706</v>
      </c>
      <c r="MQ45" s="1744" t="s">
        <v>9722</v>
      </c>
      <c r="MR45" s="1744" t="s">
        <v>9710</v>
      </c>
      <c r="MS45" s="1744" t="s">
        <v>9703</v>
      </c>
      <c r="MT45" s="131" t="s">
        <v>9716</v>
      </c>
      <c r="MU45" s="387" t="s">
        <v>9722</v>
      </c>
      <c r="MV45" s="1740" t="s">
        <v>9725</v>
      </c>
      <c r="MW45" s="387"/>
      <c r="MX45" s="1743" t="s">
        <v>9737</v>
      </c>
      <c r="MY45" s="1743" t="s">
        <v>9718</v>
      </c>
      <c r="MZ45" s="387" t="s">
        <v>9734</v>
      </c>
      <c r="NA45" s="387" t="s">
        <v>9732</v>
      </c>
      <c r="NB45" s="387" t="s">
        <v>9706</v>
      </c>
      <c r="NC45" s="387" t="s">
        <v>9754</v>
      </c>
      <c r="ND45" s="387" t="s">
        <v>9741</v>
      </c>
      <c r="NE45" s="1742" t="s">
        <v>9732</v>
      </c>
      <c r="NF45" s="1743" t="s">
        <v>9722</v>
      </c>
      <c r="NG45" s="1742" t="s">
        <v>9739</v>
      </c>
      <c r="NH45" s="387" t="s">
        <v>9732</v>
      </c>
      <c r="NI45" s="1740" t="s">
        <v>9732</v>
      </c>
      <c r="NJ45" s="387" t="s">
        <v>9718</v>
      </c>
      <c r="NK45" s="387"/>
      <c r="NL45" s="387" t="s">
        <v>9711</v>
      </c>
      <c r="NM45" s="387" t="s">
        <v>9711</v>
      </c>
      <c r="NN45" s="1741" t="s">
        <v>9718</v>
      </c>
      <c r="NO45" s="387" t="s">
        <v>9711</v>
      </c>
      <c r="NP45" s="1743" t="s">
        <v>9711</v>
      </c>
      <c r="NQ45" s="1739" t="s">
        <v>9708</v>
      </c>
      <c r="NR45" s="387" t="s">
        <v>9708</v>
      </c>
      <c r="NS45" s="387" t="s">
        <v>9725</v>
      </c>
      <c r="NT45" s="1739" t="s">
        <v>9725</v>
      </c>
      <c r="NU45" s="131" t="s">
        <v>9712</v>
      </c>
      <c r="NV45" s="339" t="s">
        <v>9720</v>
      </c>
      <c r="NW45" s="1739" t="s">
        <v>9714</v>
      </c>
      <c r="NX45" s="1739" t="s">
        <v>9714</v>
      </c>
      <c r="NY45" s="1739" t="s">
        <v>9714</v>
      </c>
      <c r="NZ45" s="1739" t="s">
        <v>9714</v>
      </c>
      <c r="OA45" s="131" t="s">
        <v>9732</v>
      </c>
      <c r="OB45" s="131" t="s">
        <v>9732</v>
      </c>
      <c r="OC45" s="131" t="s">
        <v>9711</v>
      </c>
      <c r="OD45" s="1741" t="s">
        <v>9722</v>
      </c>
      <c r="OE45" s="1741" t="s">
        <v>9718</v>
      </c>
      <c r="OF45" s="1741" t="s">
        <v>9719</v>
      </c>
      <c r="OG45" s="387" t="s">
        <v>9728</v>
      </c>
      <c r="OH45" s="387" t="s">
        <v>9728</v>
      </c>
      <c r="OI45" s="387" t="s">
        <v>9718</v>
      </c>
      <c r="OJ45" s="1741" t="s">
        <v>9747</v>
      </c>
      <c r="OK45" s="1741" t="s">
        <v>9747</v>
      </c>
      <c r="OL45" s="1741" t="s">
        <v>9734</v>
      </c>
      <c r="OM45" s="1741" t="s">
        <v>9722</v>
      </c>
      <c r="ON45" s="1741" t="s">
        <v>9725</v>
      </c>
      <c r="OO45" s="1739"/>
      <c r="OP45" s="1739" t="s">
        <v>9745</v>
      </c>
      <c r="OQ45" s="387" t="s">
        <v>9737</v>
      </c>
      <c r="OR45" s="387" t="s">
        <v>9737</v>
      </c>
      <c r="OS45" s="387" t="s">
        <v>9732</v>
      </c>
      <c r="OT45" s="131" t="s">
        <v>9737</v>
      </c>
      <c r="OU45" s="131" t="s">
        <v>9732</v>
      </c>
      <c r="OV45" s="387" t="s">
        <v>9719</v>
      </c>
      <c r="OW45" s="387" t="s">
        <v>9725</v>
      </c>
      <c r="OX45" s="1743" t="s">
        <v>9720</v>
      </c>
      <c r="OY45" s="1743" t="s">
        <v>9713</v>
      </c>
      <c r="OZ45" s="131"/>
      <c r="PA45" s="131" t="s">
        <v>9710</v>
      </c>
      <c r="PB45" s="339" t="s">
        <v>9710</v>
      </c>
      <c r="PC45" s="1742" t="s">
        <v>9741</v>
      </c>
      <c r="PD45" s="339" t="s">
        <v>9710</v>
      </c>
      <c r="PE45" s="339"/>
      <c r="PF45" s="339" t="s">
        <v>9741</v>
      </c>
      <c r="PG45" s="1740" t="s">
        <v>9737</v>
      </c>
      <c r="PH45" s="1741" t="s">
        <v>9722</v>
      </c>
      <c r="PI45" s="1741" t="s">
        <v>9723</v>
      </c>
      <c r="PJ45" s="1742" t="s">
        <v>9734</v>
      </c>
      <c r="PK45" s="1742" t="s">
        <v>9737</v>
      </c>
      <c r="PL45" s="448" t="s">
        <v>9754</v>
      </c>
      <c r="PM45" s="448" t="s">
        <v>9722</v>
      </c>
      <c r="PN45" s="448" t="s">
        <v>9725</v>
      </c>
      <c r="PO45" s="448" t="s">
        <v>9721</v>
      </c>
      <c r="PP45" s="448" t="s">
        <v>9721</v>
      </c>
      <c r="PQ45" s="1741" t="s">
        <v>9721</v>
      </c>
      <c r="PR45" s="1741" t="s">
        <v>9725</v>
      </c>
      <c r="PS45" s="448" t="s">
        <v>9718</v>
      </c>
      <c r="PT45" s="1744" t="s">
        <v>9710</v>
      </c>
      <c r="PU45" s="1743" t="s">
        <v>9718</v>
      </c>
      <c r="PV45" s="1743" t="s">
        <v>9703</v>
      </c>
      <c r="PW45" s="339" t="s">
        <v>9722</v>
      </c>
      <c r="PX45" s="448" t="s">
        <v>9722</v>
      </c>
      <c r="PY45" s="448" t="s">
        <v>9718</v>
      </c>
      <c r="PZ45" s="131" t="s">
        <v>9718</v>
      </c>
      <c r="QA45" s="131" t="s">
        <v>9711</v>
      </c>
      <c r="QB45" s="1741" t="s">
        <v>9744</v>
      </c>
      <c r="QC45" s="1742" t="s">
        <v>9715</v>
      </c>
      <c r="QD45" s="1742" t="s">
        <v>9718</v>
      </c>
      <c r="QE45" s="1744" t="s">
        <v>9734</v>
      </c>
      <c r="QF45" s="448" t="s">
        <v>9722</v>
      </c>
      <c r="QG45" s="387" t="s">
        <v>9722</v>
      </c>
      <c r="QH45" s="387" t="s">
        <v>9718</v>
      </c>
      <c r="QI45" s="387" t="s">
        <v>9707</v>
      </c>
      <c r="QJ45" s="1744" t="s">
        <v>9725</v>
      </c>
      <c r="QK45" s="387" t="s">
        <v>9706</v>
      </c>
      <c r="QL45" s="387" t="s">
        <v>9704</v>
      </c>
      <c r="QM45" s="1741" t="s">
        <v>9734</v>
      </c>
      <c r="QN45" s="1741" t="s">
        <v>9741</v>
      </c>
      <c r="QO45" s="448" t="s">
        <v>9722</v>
      </c>
      <c r="QP45" s="448" t="s">
        <v>9703</v>
      </c>
      <c r="QQ45" s="387" t="s">
        <v>9718</v>
      </c>
      <c r="QR45" s="387" t="s">
        <v>9711</v>
      </c>
      <c r="QS45" s="131" t="s">
        <v>9732</v>
      </c>
      <c r="QT45" s="387" t="s">
        <v>9743</v>
      </c>
      <c r="QU45" s="387" t="s">
        <v>9741</v>
      </c>
      <c r="QV45" s="387" t="s">
        <v>9739</v>
      </c>
      <c r="QW45" s="1740" t="s">
        <v>9718</v>
      </c>
      <c r="QX45" s="1740" t="s">
        <v>9714</v>
      </c>
      <c r="QY45" s="1744" t="s">
        <v>9707</v>
      </c>
      <c r="QZ45" s="1743" t="s">
        <v>9746</v>
      </c>
      <c r="RA45" s="1742" t="s">
        <v>9712</v>
      </c>
      <c r="RB45" s="1743" t="s">
        <v>9725</v>
      </c>
      <c r="RC45" s="387" t="s">
        <v>9718</v>
      </c>
      <c r="RD45" s="339" t="s">
        <v>9713</v>
      </c>
      <c r="RE45" s="1739" t="s">
        <v>9703</v>
      </c>
      <c r="RF45" s="1740" t="s">
        <v>9713</v>
      </c>
      <c r="RG45" s="131" t="s">
        <v>9726</v>
      </c>
      <c r="RH45" s="131" t="s">
        <v>9722</v>
      </c>
      <c r="RI45" s="387" t="s">
        <v>9722</v>
      </c>
      <c r="RJ45" s="448" t="s">
        <v>9711</v>
      </c>
      <c r="RK45" s="1741" t="s">
        <v>9718</v>
      </c>
      <c r="RL45" s="1739" t="s">
        <v>9711</v>
      </c>
      <c r="RM45" s="1740" t="s">
        <v>9704</v>
      </c>
      <c r="RN45" s="1743" t="s">
        <v>9706</v>
      </c>
      <c r="RO45" s="1744" t="s">
        <v>9703</v>
      </c>
      <c r="RP45" s="1740" t="s">
        <v>9725</v>
      </c>
      <c r="RQ45" s="1739" t="s">
        <v>9732</v>
      </c>
      <c r="RR45" s="1739" t="s">
        <v>9732</v>
      </c>
      <c r="RS45" s="1739" t="s">
        <v>9732</v>
      </c>
      <c r="RT45" s="1739" t="s">
        <v>9732</v>
      </c>
      <c r="RU45" s="1739" t="s">
        <v>9732</v>
      </c>
      <c r="RV45" s="1739" t="s">
        <v>9732</v>
      </c>
      <c r="RW45" s="339" t="s">
        <v>9704</v>
      </c>
      <c r="RX45" s="1742" t="s">
        <v>9704</v>
      </c>
      <c r="RY45" s="387" t="s">
        <v>9715</v>
      </c>
      <c r="RZ45" s="1740" t="s">
        <v>9704</v>
      </c>
      <c r="SA45" s="448" t="s">
        <v>9702</v>
      </c>
      <c r="SB45" s="1741" t="s">
        <v>9722</v>
      </c>
      <c r="SC45" s="1740" t="s">
        <v>9748</v>
      </c>
      <c r="SD45" s="1744" t="s">
        <v>9725</v>
      </c>
      <c r="SE45" s="1744" t="s">
        <v>9725</v>
      </c>
      <c r="SF45" s="339" t="s">
        <v>9722</v>
      </c>
      <c r="SG45" s="387" t="s">
        <v>9757</v>
      </c>
      <c r="SH45" s="387" t="s">
        <v>9718</v>
      </c>
      <c r="SI45" s="1744" t="s">
        <v>9725</v>
      </c>
      <c r="SJ45" s="131" t="s">
        <v>9737</v>
      </c>
      <c r="SK45" s="131" t="s">
        <v>9737</v>
      </c>
      <c r="SL45" s="1745" t="s">
        <v>9734</v>
      </c>
    </row>
    <row r="46" ht="15.75" customHeight="1">
      <c r="A46" s="1517"/>
      <c r="B46" s="148" t="s">
        <v>9739</v>
      </c>
      <c r="C46" s="148" t="s">
        <v>9739</v>
      </c>
      <c r="D46" s="148" t="s">
        <v>9741</v>
      </c>
      <c r="E46" s="148" t="s">
        <v>9731</v>
      </c>
      <c r="F46" s="148" t="s">
        <v>9731</v>
      </c>
      <c r="G46" s="148" t="s">
        <v>9711</v>
      </c>
      <c r="H46" s="148" t="s">
        <v>9728</v>
      </c>
      <c r="I46" s="148" t="s">
        <v>9728</v>
      </c>
      <c r="J46" s="148" t="s">
        <v>9718</v>
      </c>
      <c r="K46" s="148"/>
      <c r="L46" s="148"/>
      <c r="M46" s="148" t="s">
        <v>9721</v>
      </c>
      <c r="N46" s="148"/>
      <c r="O46" s="148"/>
      <c r="P46" s="148" t="s">
        <v>9732</v>
      </c>
      <c r="Q46" s="148" t="s">
        <v>9758</v>
      </c>
      <c r="R46" s="148" t="s">
        <v>9758</v>
      </c>
      <c r="S46" s="148" t="s">
        <v>9739</v>
      </c>
      <c r="T46" s="148" t="s">
        <v>9706</v>
      </c>
      <c r="U46" s="148" t="s">
        <v>9718</v>
      </c>
      <c r="V46" s="148" t="s">
        <v>9758</v>
      </c>
      <c r="W46" s="148" t="s">
        <v>9739</v>
      </c>
      <c r="X46" s="148" t="s">
        <v>9724</v>
      </c>
      <c r="Y46" s="148" t="s">
        <v>9710</v>
      </c>
      <c r="Z46" s="148" t="s">
        <v>9732</v>
      </c>
      <c r="AA46" s="148" t="s">
        <v>9710</v>
      </c>
      <c r="AB46" s="148" t="s">
        <v>9728</v>
      </c>
      <c r="AC46" s="148" t="s">
        <v>9710</v>
      </c>
      <c r="AD46" s="148" t="s">
        <v>9722</v>
      </c>
      <c r="AE46" s="148" t="s">
        <v>9722</v>
      </c>
      <c r="AF46" s="148" t="s">
        <v>9712</v>
      </c>
      <c r="AG46" s="148" t="s">
        <v>9706</v>
      </c>
      <c r="AH46" s="148" t="s">
        <v>9706</v>
      </c>
      <c r="AI46" s="148" t="s">
        <v>9712</v>
      </c>
      <c r="AJ46" s="148" t="s">
        <v>9714</v>
      </c>
      <c r="AK46" s="148" t="s">
        <v>9708</v>
      </c>
      <c r="AL46" s="148" t="s">
        <v>9740</v>
      </c>
      <c r="AM46" s="148" t="s">
        <v>9731</v>
      </c>
      <c r="AN46" s="148" t="s">
        <v>9704</v>
      </c>
      <c r="AO46" s="148" t="s">
        <v>9712</v>
      </c>
      <c r="AP46" s="148" t="s">
        <v>9724</v>
      </c>
      <c r="AQ46" s="148" t="s">
        <v>9716</v>
      </c>
      <c r="AR46" s="148" t="s">
        <v>9739</v>
      </c>
      <c r="AS46" s="148" t="s">
        <v>9745</v>
      </c>
      <c r="AT46" s="148" t="s">
        <v>9741</v>
      </c>
      <c r="AU46" s="148" t="s">
        <v>9727</v>
      </c>
      <c r="AV46" s="148" t="s">
        <v>9730</v>
      </c>
      <c r="AW46" s="148" t="s">
        <v>9739</v>
      </c>
      <c r="AX46" s="148" t="s">
        <v>9730</v>
      </c>
      <c r="AY46" s="148" t="s">
        <v>9742</v>
      </c>
      <c r="AZ46" s="148" t="s">
        <v>9753</v>
      </c>
      <c r="BA46" s="148" t="s">
        <v>9722</v>
      </c>
      <c r="BB46" s="148" t="s">
        <v>9711</v>
      </c>
      <c r="BC46" s="148" t="s">
        <v>9722</v>
      </c>
      <c r="BD46" s="148" t="s">
        <v>9718</v>
      </c>
      <c r="BE46" s="148" t="s">
        <v>9718</v>
      </c>
      <c r="BF46" s="148" t="s">
        <v>9711</v>
      </c>
      <c r="BG46" s="148" t="s">
        <v>9738</v>
      </c>
      <c r="BH46" s="148" t="s">
        <v>9731</v>
      </c>
      <c r="BI46" s="148" t="s">
        <v>9739</v>
      </c>
      <c r="BJ46" s="148" t="s">
        <v>9710</v>
      </c>
      <c r="BK46" s="148" t="s">
        <v>9718</v>
      </c>
      <c r="BL46" s="148" t="s">
        <v>9718</v>
      </c>
      <c r="BM46" s="148" t="s">
        <v>9718</v>
      </c>
      <c r="BN46" s="148" t="s">
        <v>9711</v>
      </c>
      <c r="BO46" s="148" t="s">
        <v>9710</v>
      </c>
      <c r="BP46" s="148" t="s">
        <v>9710</v>
      </c>
      <c r="BQ46" s="148" t="s">
        <v>9706</v>
      </c>
      <c r="BR46" s="148" t="s">
        <v>9734</v>
      </c>
      <c r="BS46" s="148" t="s">
        <v>9734</v>
      </c>
      <c r="BT46" s="148" t="s">
        <v>9737</v>
      </c>
      <c r="BU46" s="148" t="s">
        <v>9745</v>
      </c>
      <c r="BV46" s="148" t="s">
        <v>9740</v>
      </c>
      <c r="BW46" s="148" t="s">
        <v>9732</v>
      </c>
      <c r="BX46" s="148" t="s">
        <v>9732</v>
      </c>
      <c r="BY46" s="148" t="s">
        <v>9706</v>
      </c>
      <c r="BZ46" s="148" t="s">
        <v>9747</v>
      </c>
      <c r="CA46" s="148" t="s">
        <v>9734</v>
      </c>
      <c r="CB46" s="148" t="s">
        <v>9713</v>
      </c>
      <c r="CC46" s="148" t="s">
        <v>9714</v>
      </c>
      <c r="CD46" s="148" t="s">
        <v>9750</v>
      </c>
      <c r="CE46" s="148" t="s">
        <v>9741</v>
      </c>
      <c r="CF46" s="148" t="s">
        <v>9734</v>
      </c>
      <c r="CG46" s="148" t="s">
        <v>9759</v>
      </c>
      <c r="CH46" s="148" t="s">
        <v>9741</v>
      </c>
      <c r="CI46" s="148" t="s">
        <v>9739</v>
      </c>
      <c r="CJ46" s="148" t="s">
        <v>9741</v>
      </c>
      <c r="CK46" s="148" t="s">
        <v>9711</v>
      </c>
      <c r="CL46" s="148" t="s">
        <v>9719</v>
      </c>
      <c r="CM46" s="148" t="s">
        <v>9747</v>
      </c>
      <c r="CN46" s="148" t="s">
        <v>9741</v>
      </c>
      <c r="CO46" s="148" t="s">
        <v>9721</v>
      </c>
      <c r="CP46" s="148" t="s">
        <v>9721</v>
      </c>
      <c r="CQ46" s="148" t="s">
        <v>9718</v>
      </c>
      <c r="CR46" s="148" t="s">
        <v>9736</v>
      </c>
      <c r="CS46" s="148" t="s">
        <v>9722</v>
      </c>
      <c r="CT46" s="148" t="s">
        <v>9718</v>
      </c>
      <c r="CU46" s="148" t="s">
        <v>9728</v>
      </c>
      <c r="CV46" s="148" t="s">
        <v>9727</v>
      </c>
      <c r="CW46" s="148" t="s">
        <v>9750</v>
      </c>
      <c r="CX46" s="148" t="s">
        <v>9741</v>
      </c>
      <c r="CY46" s="148" t="s">
        <v>9730</v>
      </c>
      <c r="CZ46" s="148" t="s">
        <v>9721</v>
      </c>
      <c r="DA46" s="148" t="s">
        <v>9718</v>
      </c>
      <c r="DB46" s="148" t="s">
        <v>9711</v>
      </c>
      <c r="DC46" s="148" t="s">
        <v>9732</v>
      </c>
      <c r="DD46" s="148" t="s">
        <v>9732</v>
      </c>
      <c r="DE46" s="148" t="s">
        <v>9704</v>
      </c>
      <c r="DF46" s="148" t="s">
        <v>9706</v>
      </c>
      <c r="DG46" s="148" t="s">
        <v>9722</v>
      </c>
      <c r="DH46" s="148" t="s">
        <v>9723</v>
      </c>
      <c r="DI46" s="148" t="s">
        <v>9713</v>
      </c>
      <c r="DJ46" s="148" t="s">
        <v>9702</v>
      </c>
      <c r="DK46" s="148" t="s">
        <v>9732</v>
      </c>
      <c r="DL46" s="148" t="s">
        <v>9714</v>
      </c>
      <c r="DM46" s="148" t="s">
        <v>9754</v>
      </c>
      <c r="DN46" s="148" t="s">
        <v>9739</v>
      </c>
      <c r="DO46" s="148" t="s">
        <v>9754</v>
      </c>
      <c r="DP46" s="148" t="s">
        <v>9749</v>
      </c>
      <c r="DQ46" s="148" t="s">
        <v>9746</v>
      </c>
      <c r="DR46" s="148" t="s">
        <v>9721</v>
      </c>
      <c r="DS46" s="148" t="s">
        <v>9715</v>
      </c>
      <c r="DT46" s="148" t="s">
        <v>9741</v>
      </c>
      <c r="DU46" s="148" t="s">
        <v>9703</v>
      </c>
      <c r="DV46" s="148" t="s">
        <v>9710</v>
      </c>
      <c r="DW46" s="148" t="s">
        <v>9748</v>
      </c>
      <c r="DX46" s="148" t="s">
        <v>9748</v>
      </c>
      <c r="DY46" s="148" t="s">
        <v>9719</v>
      </c>
      <c r="DZ46" s="148"/>
      <c r="EA46" s="148" t="s">
        <v>9703</v>
      </c>
      <c r="EB46" s="148" t="s">
        <v>9718</v>
      </c>
      <c r="EC46" s="148"/>
      <c r="ED46" s="276"/>
      <c r="EE46" s="148" t="s">
        <v>9706</v>
      </c>
      <c r="EF46" s="148" t="s">
        <v>9706</v>
      </c>
      <c r="EG46" s="148" t="s">
        <v>9732</v>
      </c>
      <c r="EH46" s="148" t="s">
        <v>9718</v>
      </c>
      <c r="EI46" s="148" t="s">
        <v>9752</v>
      </c>
      <c r="EJ46" s="148" t="s">
        <v>9741</v>
      </c>
      <c r="EK46" s="148" t="s">
        <v>9732</v>
      </c>
      <c r="EL46" s="148" t="s">
        <v>9722</v>
      </c>
      <c r="EM46" s="148" t="s">
        <v>9711</v>
      </c>
      <c r="EN46" s="148" t="s">
        <v>9725</v>
      </c>
      <c r="EO46" s="148" t="s">
        <v>9716</v>
      </c>
      <c r="EP46" s="148" t="s">
        <v>9726</v>
      </c>
      <c r="EQ46" s="148" t="s">
        <v>9731</v>
      </c>
      <c r="ER46" s="148" t="s">
        <v>9711</v>
      </c>
      <c r="ES46" s="148" t="s">
        <v>9711</v>
      </c>
      <c r="ET46" s="148" t="s">
        <v>9712</v>
      </c>
      <c r="EU46" s="148" t="s">
        <v>9709</v>
      </c>
      <c r="EV46" s="148"/>
      <c r="EW46" s="148" t="s">
        <v>9737</v>
      </c>
      <c r="EX46" s="148" t="s">
        <v>9737</v>
      </c>
      <c r="EY46" s="148" t="s">
        <v>9730</v>
      </c>
      <c r="EZ46" s="148" t="s">
        <v>9747</v>
      </c>
      <c r="FA46" s="148" t="s">
        <v>9738</v>
      </c>
      <c r="FB46" s="148" t="s">
        <v>9722</v>
      </c>
      <c r="FC46" s="148" t="s">
        <v>9706</v>
      </c>
      <c r="FD46" s="148" t="s">
        <v>9722</v>
      </c>
      <c r="FE46" s="148" t="s">
        <v>9707</v>
      </c>
      <c r="FF46" s="148" t="s">
        <v>9718</v>
      </c>
      <c r="FG46" s="148" t="s">
        <v>9725</v>
      </c>
      <c r="FH46" s="148" t="s">
        <v>9746</v>
      </c>
      <c r="FI46" s="148" t="s">
        <v>9732</v>
      </c>
      <c r="FJ46" s="148" t="s">
        <v>9710</v>
      </c>
      <c r="FK46" s="148" t="s">
        <v>9706</v>
      </c>
      <c r="FL46" s="148" t="s">
        <v>9739</v>
      </c>
      <c r="FM46" s="148" t="s">
        <v>9737</v>
      </c>
      <c r="FN46" s="148" t="s">
        <v>9716</v>
      </c>
      <c r="FO46" s="148" t="s">
        <v>9750</v>
      </c>
      <c r="FP46" s="148" t="s">
        <v>9741</v>
      </c>
      <c r="FQ46" s="148" t="s">
        <v>9734</v>
      </c>
      <c r="FR46" s="148" t="s">
        <v>9711</v>
      </c>
      <c r="FS46" s="148" t="s">
        <v>9718</v>
      </c>
      <c r="FT46" s="148" t="s">
        <v>9722</v>
      </c>
      <c r="FU46" s="148" t="s">
        <v>9719</v>
      </c>
      <c r="FV46" s="148" t="s">
        <v>9710</v>
      </c>
      <c r="FW46" s="148" t="s">
        <v>9706</v>
      </c>
      <c r="FX46" s="148" t="s">
        <v>9739</v>
      </c>
      <c r="FY46" s="148" t="s">
        <v>9737</v>
      </c>
      <c r="FZ46" s="148" t="s">
        <v>9728</v>
      </c>
      <c r="GA46" s="148" t="s">
        <v>9729</v>
      </c>
      <c r="GB46" s="148" t="s">
        <v>9732</v>
      </c>
      <c r="GC46" s="148" t="s">
        <v>9748</v>
      </c>
      <c r="GD46" s="148" t="s">
        <v>9710</v>
      </c>
      <c r="GE46" s="148" t="s">
        <v>9706</v>
      </c>
      <c r="GF46" s="148" t="s">
        <v>9739</v>
      </c>
      <c r="GG46" s="148" t="s">
        <v>9739</v>
      </c>
      <c r="GH46" s="148" t="s">
        <v>9745</v>
      </c>
      <c r="GI46" s="148" t="s">
        <v>9711</v>
      </c>
      <c r="GJ46" s="148" t="s">
        <v>9745</v>
      </c>
      <c r="GK46" s="148" t="s">
        <v>9741</v>
      </c>
      <c r="GL46" s="148" t="s">
        <v>9737</v>
      </c>
      <c r="GM46" s="148" t="s">
        <v>9732</v>
      </c>
      <c r="GN46" s="148" t="s">
        <v>9711</v>
      </c>
      <c r="GO46" s="148" t="s">
        <v>9721</v>
      </c>
      <c r="GP46" s="148" t="s">
        <v>9732</v>
      </c>
      <c r="GQ46" s="148" t="s">
        <v>9724</v>
      </c>
      <c r="GR46" s="148" t="s">
        <v>9714</v>
      </c>
      <c r="GS46" s="148" t="s">
        <v>9706</v>
      </c>
      <c r="GT46" s="148"/>
      <c r="GU46" s="148"/>
      <c r="GV46" s="148" t="s">
        <v>9722</v>
      </c>
      <c r="GW46" s="148" t="s">
        <v>9735</v>
      </c>
      <c r="GX46" s="148" t="s">
        <v>9732</v>
      </c>
      <c r="GY46" s="148" t="s">
        <v>9713</v>
      </c>
      <c r="GZ46" s="148" t="s">
        <v>9722</v>
      </c>
      <c r="HA46" s="148" t="s">
        <v>9732</v>
      </c>
      <c r="HB46" s="148" t="s">
        <v>9725</v>
      </c>
      <c r="HC46" s="148" t="s">
        <v>9712</v>
      </c>
      <c r="HD46" s="148" t="s">
        <v>9735</v>
      </c>
      <c r="HE46" s="148" t="s">
        <v>9728</v>
      </c>
      <c r="HF46" s="148" t="s">
        <v>9760</v>
      </c>
      <c r="HG46" s="148" t="s">
        <v>9710</v>
      </c>
      <c r="HH46" s="148" t="s">
        <v>9711</v>
      </c>
      <c r="HI46" s="148" t="s">
        <v>9722</v>
      </c>
      <c r="HJ46" s="148" t="s">
        <v>9718</v>
      </c>
      <c r="HK46" s="148" t="s">
        <v>9751</v>
      </c>
      <c r="HL46" s="148" t="s">
        <v>9731</v>
      </c>
      <c r="HM46" s="148" t="s">
        <v>9706</v>
      </c>
      <c r="HN46" s="148" t="s">
        <v>9722</v>
      </c>
      <c r="HO46" s="148" t="s">
        <v>9720</v>
      </c>
      <c r="HP46" s="148" t="s">
        <v>9710</v>
      </c>
      <c r="HQ46" s="148" t="s">
        <v>9706</v>
      </c>
      <c r="HR46" s="148" t="s">
        <v>9732</v>
      </c>
      <c r="HS46" s="148" t="s">
        <v>9732</v>
      </c>
      <c r="HT46" s="148" t="s">
        <v>9732</v>
      </c>
      <c r="HU46" s="148" t="s">
        <v>9710</v>
      </c>
      <c r="HV46" s="148" t="s">
        <v>9706</v>
      </c>
      <c r="HW46" s="148" t="s">
        <v>9739</v>
      </c>
      <c r="HX46" s="148" t="s">
        <v>9739</v>
      </c>
      <c r="HY46" s="148" t="s">
        <v>9760</v>
      </c>
      <c r="HZ46" s="148" t="s">
        <v>9718</v>
      </c>
      <c r="IA46" s="148" t="s">
        <v>9711</v>
      </c>
      <c r="IB46" s="148"/>
      <c r="IC46" s="148" t="s">
        <v>9747</v>
      </c>
      <c r="ID46" s="148" t="s">
        <v>9760</v>
      </c>
      <c r="IE46" s="148" t="s">
        <v>9710</v>
      </c>
      <c r="IF46" s="148" t="s">
        <v>9732</v>
      </c>
      <c r="IG46" s="148" t="s">
        <v>9732</v>
      </c>
      <c r="IH46" s="148" t="s">
        <v>9725</v>
      </c>
      <c r="II46" s="148" t="s">
        <v>9702</v>
      </c>
      <c r="IJ46" s="148" t="s">
        <v>9711</v>
      </c>
      <c r="IK46" s="148" t="s">
        <v>9718</v>
      </c>
      <c r="IL46" s="148" t="s">
        <v>9711</v>
      </c>
      <c r="IM46" s="148" t="s">
        <v>9732</v>
      </c>
      <c r="IN46" s="148" t="s">
        <v>9732</v>
      </c>
      <c r="IO46" s="148" t="s">
        <v>9712</v>
      </c>
      <c r="IP46" s="148" t="s">
        <v>9702</v>
      </c>
      <c r="IQ46" s="148" t="s">
        <v>9715</v>
      </c>
      <c r="IR46" s="148" t="s">
        <v>9707</v>
      </c>
      <c r="IS46" s="148" t="s">
        <v>9706</v>
      </c>
      <c r="IT46" s="148" t="s">
        <v>9706</v>
      </c>
      <c r="IU46" s="148" t="s">
        <v>9707</v>
      </c>
      <c r="IV46" s="148" t="s">
        <v>9745</v>
      </c>
      <c r="IW46" s="148" t="s">
        <v>9748</v>
      </c>
      <c r="IX46" s="148" t="s">
        <v>9718</v>
      </c>
      <c r="IY46" s="148" t="s">
        <v>9751</v>
      </c>
      <c r="IZ46" s="148" t="s">
        <v>9728</v>
      </c>
      <c r="JA46" s="148" t="s">
        <v>9718</v>
      </c>
      <c r="JB46" s="148" t="s">
        <v>9732</v>
      </c>
      <c r="JC46" s="148" t="s">
        <v>9724</v>
      </c>
      <c r="JD46" s="148" t="s">
        <v>9706</v>
      </c>
      <c r="JE46" s="148" t="s">
        <v>9718</v>
      </c>
      <c r="JF46" s="148"/>
      <c r="JG46" s="148"/>
      <c r="JH46" s="148" t="s">
        <v>9730</v>
      </c>
      <c r="JI46" s="148"/>
      <c r="JJ46" s="148" t="s">
        <v>9726</v>
      </c>
      <c r="JK46" s="1746" t="s">
        <v>9730</v>
      </c>
      <c r="JL46" s="1746" t="s">
        <v>9710</v>
      </c>
      <c r="JM46" s="1746" t="s">
        <v>9722</v>
      </c>
      <c r="JN46" s="1746" t="s">
        <v>9745</v>
      </c>
      <c r="JO46" s="1746" t="s">
        <v>9710</v>
      </c>
      <c r="JP46" s="1746" t="s">
        <v>9706</v>
      </c>
      <c r="JQ46" s="1746" t="s">
        <v>9758</v>
      </c>
      <c r="JR46" s="1746" t="s">
        <v>9739</v>
      </c>
      <c r="JS46" s="148" t="s">
        <v>9732</v>
      </c>
      <c r="JT46" s="148" t="s">
        <v>9726</v>
      </c>
      <c r="JU46" s="148" t="s">
        <v>9722</v>
      </c>
      <c r="JV46" s="148" t="s">
        <v>9722</v>
      </c>
      <c r="JW46" s="148" t="s">
        <v>9718</v>
      </c>
      <c r="JX46" s="1746" t="s">
        <v>9737</v>
      </c>
      <c r="JY46" s="1746" t="s">
        <v>9710</v>
      </c>
      <c r="JZ46" s="1746" t="s">
        <v>9745</v>
      </c>
      <c r="KA46" s="1746" t="s">
        <v>9722</v>
      </c>
      <c r="KB46" s="1746" t="s">
        <v>9719</v>
      </c>
      <c r="KC46" s="148" t="s">
        <v>9704</v>
      </c>
      <c r="KD46" s="1746" t="s">
        <v>9712</v>
      </c>
      <c r="KE46" s="1746" t="s">
        <v>9739</v>
      </c>
      <c r="KF46" s="148" t="s">
        <v>9727</v>
      </c>
      <c r="KG46" s="1746" t="s">
        <v>9738</v>
      </c>
      <c r="KH46" s="1746" t="s">
        <v>9706</v>
      </c>
      <c r="KI46" s="1746" t="s">
        <v>9723</v>
      </c>
      <c r="KJ46" s="148" t="s">
        <v>9719</v>
      </c>
      <c r="KK46" s="1746" t="s">
        <v>9732</v>
      </c>
      <c r="KL46" s="1746" t="s">
        <v>9728</v>
      </c>
      <c r="KM46" s="1746" t="s">
        <v>9754</v>
      </c>
      <c r="KN46" s="1746" t="s">
        <v>9735</v>
      </c>
      <c r="KO46" s="148" t="s">
        <v>9711</v>
      </c>
      <c r="KP46" s="1746" t="s">
        <v>9725</v>
      </c>
      <c r="KQ46" s="148" t="s">
        <v>9711</v>
      </c>
      <c r="KR46" s="148" t="s">
        <v>9703</v>
      </c>
      <c r="KS46" s="1746" t="s">
        <v>9706</v>
      </c>
      <c r="KT46" s="1746" t="s">
        <v>9706</v>
      </c>
      <c r="KU46" s="148" t="s">
        <v>9698</v>
      </c>
      <c r="KV46" s="1746" t="s">
        <v>9706</v>
      </c>
      <c r="KW46" s="148" t="s">
        <v>9722</v>
      </c>
      <c r="KX46" s="1746" t="s">
        <v>9737</v>
      </c>
      <c r="KY46" s="1746" t="s">
        <v>9731</v>
      </c>
      <c r="KZ46" s="1746" t="s">
        <v>9734</v>
      </c>
      <c r="LA46" s="1746" t="s">
        <v>9734</v>
      </c>
      <c r="LB46" s="1746" t="s">
        <v>9718</v>
      </c>
      <c r="LC46" s="1746" t="s">
        <v>9718</v>
      </c>
      <c r="LD46" s="148" t="s">
        <v>9745</v>
      </c>
      <c r="LE46" s="1746" t="s">
        <v>9724</v>
      </c>
      <c r="LF46" s="1746" t="s">
        <v>9722</v>
      </c>
      <c r="LG46" s="1746" t="s">
        <v>9734</v>
      </c>
      <c r="LH46" s="148" t="s">
        <v>9706</v>
      </c>
      <c r="LI46" s="1746" t="s">
        <v>9734</v>
      </c>
      <c r="LJ46" s="1746" t="s">
        <v>9741</v>
      </c>
      <c r="LK46" s="1746" t="s">
        <v>9742</v>
      </c>
      <c r="LL46" s="1746" t="s">
        <v>9731</v>
      </c>
      <c r="LM46" s="1746" t="s">
        <v>9732</v>
      </c>
      <c r="LN46" s="1746" t="s">
        <v>9706</v>
      </c>
      <c r="LO46" s="1746" t="s">
        <v>9711</v>
      </c>
      <c r="LP46" s="148" t="s">
        <v>9722</v>
      </c>
      <c r="LQ46" s="1746" t="s">
        <v>9751</v>
      </c>
      <c r="LR46" s="1746" t="s">
        <v>9732</v>
      </c>
      <c r="LS46" s="148" t="s">
        <v>9718</v>
      </c>
      <c r="LT46" s="1746" t="s">
        <v>9729</v>
      </c>
      <c r="LU46" s="148" t="s">
        <v>9728</v>
      </c>
      <c r="LV46" s="1746" t="s">
        <v>9736</v>
      </c>
      <c r="LW46" s="148" t="s">
        <v>9718</v>
      </c>
      <c r="LX46" s="148" t="s">
        <v>9712</v>
      </c>
      <c r="LY46" s="1746" t="s">
        <v>9724</v>
      </c>
      <c r="LZ46" s="1746" t="s">
        <v>9718</v>
      </c>
      <c r="MA46" s="1746" t="s">
        <v>9711</v>
      </c>
      <c r="MB46" s="1746" t="s">
        <v>9739</v>
      </c>
      <c r="MC46" s="148" t="s">
        <v>9741</v>
      </c>
      <c r="MD46" s="1746" t="s">
        <v>9706</v>
      </c>
      <c r="ME46" s="1746" t="s">
        <v>9722</v>
      </c>
      <c r="MF46" s="1746" t="s">
        <v>9711</v>
      </c>
      <c r="MG46" s="148" t="s">
        <v>9723</v>
      </c>
      <c r="MH46" s="1746" t="s">
        <v>9737</v>
      </c>
      <c r="MI46" s="1746" t="s">
        <v>9732</v>
      </c>
      <c r="MJ46" s="1746" t="s">
        <v>9745</v>
      </c>
      <c r="MK46" s="1746" t="s">
        <v>9727</v>
      </c>
      <c r="ML46" s="1746" t="s">
        <v>9761</v>
      </c>
      <c r="MM46" s="148" t="s">
        <v>9741</v>
      </c>
      <c r="MN46" s="148" t="s">
        <v>9711</v>
      </c>
      <c r="MO46" s="148" t="s">
        <v>9713</v>
      </c>
      <c r="MP46" s="1746" t="s">
        <v>9710</v>
      </c>
      <c r="MQ46" s="1746" t="s">
        <v>9706</v>
      </c>
      <c r="MR46" s="1746" t="s">
        <v>9721</v>
      </c>
      <c r="MS46" s="148" t="s">
        <v>9711</v>
      </c>
      <c r="MT46" s="148" t="s">
        <v>9726</v>
      </c>
      <c r="MU46" s="1746" t="s">
        <v>9706</v>
      </c>
      <c r="MV46" s="148" t="s">
        <v>9713</v>
      </c>
      <c r="MW46" s="1746"/>
      <c r="MX46" s="1746" t="s">
        <v>9756</v>
      </c>
      <c r="MY46" s="148" t="s">
        <v>9722</v>
      </c>
      <c r="MZ46" s="1746" t="s">
        <v>9751</v>
      </c>
      <c r="NA46" s="1746" t="s">
        <v>9734</v>
      </c>
      <c r="NB46" s="148" t="s">
        <v>9732</v>
      </c>
      <c r="NC46" s="1746" t="s">
        <v>9761</v>
      </c>
      <c r="ND46" s="1746" t="s">
        <v>9734</v>
      </c>
      <c r="NE46" s="1746" t="s">
        <v>9741</v>
      </c>
      <c r="NF46" s="148" t="s">
        <v>9706</v>
      </c>
      <c r="NG46" s="1746" t="s">
        <v>9747</v>
      </c>
      <c r="NH46" s="1746" t="s">
        <v>9736</v>
      </c>
      <c r="NI46" s="148" t="s">
        <v>9736</v>
      </c>
      <c r="NJ46" s="148" t="s">
        <v>9722</v>
      </c>
      <c r="NK46" s="1746"/>
      <c r="NL46" s="1746" t="s">
        <v>9718</v>
      </c>
      <c r="NM46" s="1746" t="s">
        <v>9718</v>
      </c>
      <c r="NN46" s="1746" t="s">
        <v>9722</v>
      </c>
      <c r="NO46" s="1746" t="s">
        <v>9718</v>
      </c>
      <c r="NP46" s="1746" t="s">
        <v>9718</v>
      </c>
      <c r="NQ46" s="1746" t="s">
        <v>9714</v>
      </c>
      <c r="NR46" s="1746" t="s">
        <v>9714</v>
      </c>
      <c r="NS46" s="1746" t="s">
        <v>9723</v>
      </c>
      <c r="NT46" s="1746" t="s">
        <v>9713</v>
      </c>
      <c r="NU46" s="1746" t="s">
        <v>9704</v>
      </c>
      <c r="NV46" s="1746" t="s">
        <v>9707</v>
      </c>
      <c r="NW46" s="1746" t="s">
        <v>9712</v>
      </c>
      <c r="NX46" s="1746" t="s">
        <v>9712</v>
      </c>
      <c r="NY46" s="1746" t="s">
        <v>9712</v>
      </c>
      <c r="NZ46" s="1746" t="s">
        <v>9712</v>
      </c>
      <c r="OA46" s="1746" t="s">
        <v>9737</v>
      </c>
      <c r="OB46" s="1746" t="s">
        <v>9737</v>
      </c>
      <c r="OC46" s="1746" t="s">
        <v>9718</v>
      </c>
      <c r="OD46" s="1746" t="s">
        <v>9706</v>
      </c>
      <c r="OE46" s="1746" t="s">
        <v>9722</v>
      </c>
      <c r="OF46" s="1746" t="s">
        <v>9723</v>
      </c>
      <c r="OG46" s="1746" t="s">
        <v>9732</v>
      </c>
      <c r="OH46" s="1746" t="s">
        <v>9732</v>
      </c>
      <c r="OI46" s="1746" t="s">
        <v>9722</v>
      </c>
      <c r="OJ46" s="1746" t="s">
        <v>9758</v>
      </c>
      <c r="OK46" s="1746" t="s">
        <v>9758</v>
      </c>
      <c r="OL46" s="1746" t="s">
        <v>9739</v>
      </c>
      <c r="OM46" s="1746" t="s">
        <v>9706</v>
      </c>
      <c r="ON46" s="1746" t="s">
        <v>9711</v>
      </c>
      <c r="OO46" s="1746"/>
      <c r="OP46" s="148" t="s">
        <v>9734</v>
      </c>
      <c r="OQ46" s="1746" t="s">
        <v>9750</v>
      </c>
      <c r="OR46" s="1746" t="s">
        <v>9750</v>
      </c>
      <c r="OS46" s="1746" t="s">
        <v>9741</v>
      </c>
      <c r="OT46" s="1746" t="s">
        <v>9745</v>
      </c>
      <c r="OU46" s="1746" t="s">
        <v>9741</v>
      </c>
      <c r="OV46" s="1746" t="s">
        <v>9723</v>
      </c>
      <c r="OW46" s="1746" t="s">
        <v>9713</v>
      </c>
      <c r="OX46" s="1746" t="s">
        <v>9719</v>
      </c>
      <c r="OY46" s="1746" t="s">
        <v>9720</v>
      </c>
      <c r="OZ46" s="1746"/>
      <c r="PA46" s="1746" t="s">
        <v>9721</v>
      </c>
      <c r="PB46" s="1746" t="s">
        <v>9721</v>
      </c>
      <c r="PC46" s="1746" t="s">
        <v>9737</v>
      </c>
      <c r="PD46" s="1746" t="s">
        <v>9721</v>
      </c>
      <c r="PE46" s="1746"/>
      <c r="PF46" s="1746" t="s">
        <v>9737</v>
      </c>
      <c r="PG46" s="148" t="s">
        <v>9750</v>
      </c>
      <c r="PH46" s="1746" t="s">
        <v>9706</v>
      </c>
      <c r="PI46" s="1746" t="s">
        <v>9703</v>
      </c>
      <c r="PJ46" s="1746" t="s">
        <v>9739</v>
      </c>
      <c r="PK46" s="1746" t="s">
        <v>9745</v>
      </c>
      <c r="PL46" s="1746" t="s">
        <v>9761</v>
      </c>
      <c r="PM46" s="1746" t="s">
        <v>9706</v>
      </c>
      <c r="PN46" s="1746" t="s">
        <v>9707</v>
      </c>
      <c r="PO46" s="1746" t="s">
        <v>9732</v>
      </c>
      <c r="PP46" s="1746" t="s">
        <v>9732</v>
      </c>
      <c r="PQ46" s="1746" t="s">
        <v>9732</v>
      </c>
      <c r="PR46" s="148" t="s">
        <v>9711</v>
      </c>
      <c r="PS46" s="1746" t="s">
        <v>9722</v>
      </c>
      <c r="PT46" s="1746" t="s">
        <v>9716</v>
      </c>
      <c r="PU46" s="1746" t="s">
        <v>9722</v>
      </c>
      <c r="PV46" s="1746" t="s">
        <v>9711</v>
      </c>
      <c r="PW46" s="1746" t="s">
        <v>9706</v>
      </c>
      <c r="PX46" s="1746" t="s">
        <v>9706</v>
      </c>
      <c r="PY46" s="148" t="s">
        <v>9722</v>
      </c>
      <c r="PZ46" s="1746" t="s">
        <v>9722</v>
      </c>
      <c r="QA46" s="1746" t="s">
        <v>9718</v>
      </c>
      <c r="QB46" s="1746" t="s">
        <v>9742</v>
      </c>
      <c r="QC46" s="1746" t="s">
        <v>9725</v>
      </c>
      <c r="QD46" s="1746" t="s">
        <v>9722</v>
      </c>
      <c r="QE46" s="1746" t="s">
        <v>9739</v>
      </c>
      <c r="QF46" s="1746" t="s">
        <v>9706</v>
      </c>
      <c r="QG46" s="1746" t="s">
        <v>9706</v>
      </c>
      <c r="QH46" s="1746" t="s">
        <v>9722</v>
      </c>
      <c r="QI46" s="1746" t="s">
        <v>9711</v>
      </c>
      <c r="QJ46" s="1746" t="s">
        <v>9713</v>
      </c>
      <c r="QK46" s="1746" t="s">
        <v>9748</v>
      </c>
      <c r="QL46" s="148" t="s">
        <v>9723</v>
      </c>
      <c r="QM46" s="1746" t="s">
        <v>9751</v>
      </c>
      <c r="QN46" s="1746" t="s">
        <v>9760</v>
      </c>
      <c r="QO46" s="1746" t="s">
        <v>9706</v>
      </c>
      <c r="QP46" s="1746" t="s">
        <v>9711</v>
      </c>
      <c r="QQ46" s="1746" t="s">
        <v>9722</v>
      </c>
      <c r="QR46" s="1746" t="s">
        <v>9718</v>
      </c>
      <c r="QS46" s="1746" t="s">
        <v>9740</v>
      </c>
      <c r="QT46" s="1746" t="s">
        <v>9734</v>
      </c>
      <c r="QU46" s="1746" t="s">
        <v>9737</v>
      </c>
      <c r="QV46" s="1746" t="s">
        <v>9747</v>
      </c>
      <c r="QW46" s="148" t="s">
        <v>9722</v>
      </c>
      <c r="QX46" s="148" t="s">
        <v>9712</v>
      </c>
      <c r="QY46" s="148" t="s">
        <v>9703</v>
      </c>
      <c r="QZ46" s="148" t="s">
        <v>9741</v>
      </c>
      <c r="RA46" s="148" t="s">
        <v>9704</v>
      </c>
      <c r="RB46" s="148" t="s">
        <v>9713</v>
      </c>
      <c r="RC46" s="1746" t="s">
        <v>9722</v>
      </c>
      <c r="RD46" s="148" t="s">
        <v>9723</v>
      </c>
      <c r="RE46" s="1746" t="s">
        <v>9711</v>
      </c>
      <c r="RF46" s="148" t="s">
        <v>9719</v>
      </c>
      <c r="RG46" s="148" t="s">
        <v>9732</v>
      </c>
      <c r="RH46" s="1746" t="s">
        <v>9706</v>
      </c>
      <c r="RI46" s="1746" t="s">
        <v>9706</v>
      </c>
      <c r="RJ46" s="148" t="s">
        <v>9718</v>
      </c>
      <c r="RK46" s="148" t="s">
        <v>9722</v>
      </c>
      <c r="RL46" s="148" t="s">
        <v>9718</v>
      </c>
      <c r="RM46" s="148" t="s">
        <v>9715</v>
      </c>
      <c r="RN46" s="148" t="s">
        <v>9732</v>
      </c>
      <c r="RO46" s="148" t="s">
        <v>9711</v>
      </c>
      <c r="RP46" s="148" t="s">
        <v>9703</v>
      </c>
      <c r="RQ46" s="1746" t="s">
        <v>9738</v>
      </c>
      <c r="RR46" s="1746" t="s">
        <v>9738</v>
      </c>
      <c r="RS46" s="1746" t="s">
        <v>9738</v>
      </c>
      <c r="RT46" s="1746" t="s">
        <v>9738</v>
      </c>
      <c r="RU46" s="1746" t="s">
        <v>9738</v>
      </c>
      <c r="RV46" s="1746" t="s">
        <v>9738</v>
      </c>
      <c r="RW46" s="1746" t="s">
        <v>9715</v>
      </c>
      <c r="RX46" s="1746" t="s">
        <v>9715</v>
      </c>
      <c r="RY46" s="1746" t="s">
        <v>9725</v>
      </c>
      <c r="RZ46" s="148" t="s">
        <v>9725</v>
      </c>
      <c r="SA46" s="1746" t="s">
        <v>9712</v>
      </c>
      <c r="SB46" s="1746" t="s">
        <v>9706</v>
      </c>
      <c r="SC46" s="148" t="s">
        <v>9728</v>
      </c>
      <c r="SD46" s="1746" t="s">
        <v>9707</v>
      </c>
      <c r="SE46" s="1746" t="s">
        <v>9707</v>
      </c>
      <c r="SF46" s="1746" t="s">
        <v>9706</v>
      </c>
      <c r="SG46" s="1746" t="s">
        <v>9747</v>
      </c>
      <c r="SH46" s="1746" t="s">
        <v>9722</v>
      </c>
      <c r="SI46" s="1746" t="s">
        <v>9717</v>
      </c>
      <c r="SJ46" s="1746" t="s">
        <v>9745</v>
      </c>
      <c r="SK46" s="1746" t="s">
        <v>9745</v>
      </c>
      <c r="SL46" s="1747" t="s">
        <v>9758</v>
      </c>
    </row>
    <row r="47" ht="15.75" customHeight="1">
      <c r="A47" s="1517"/>
      <c r="B47" s="131" t="s">
        <v>9757</v>
      </c>
      <c r="C47" s="131" t="s">
        <v>9757</v>
      </c>
      <c r="D47" s="131" t="s">
        <v>9737</v>
      </c>
      <c r="E47" s="1739" t="s">
        <v>9728</v>
      </c>
      <c r="F47" s="1739" t="s">
        <v>9728</v>
      </c>
      <c r="G47" s="1739" t="s">
        <v>9718</v>
      </c>
      <c r="H47" s="387" t="s">
        <v>9732</v>
      </c>
      <c r="I47" s="387" t="s">
        <v>9732</v>
      </c>
      <c r="J47" s="387" t="s">
        <v>9722</v>
      </c>
      <c r="K47" s="131"/>
      <c r="L47" s="131"/>
      <c r="M47" s="1740" t="s">
        <v>9726</v>
      </c>
      <c r="N47" s="1741"/>
      <c r="O47" s="339"/>
      <c r="P47" s="339" t="s">
        <v>9740</v>
      </c>
      <c r="Q47" s="1741" t="s">
        <v>9754</v>
      </c>
      <c r="R47" s="1741" t="s">
        <v>9754</v>
      </c>
      <c r="S47" s="1741" t="s">
        <v>9747</v>
      </c>
      <c r="T47" s="448" t="s">
        <v>9710</v>
      </c>
      <c r="U47" s="1741" t="s">
        <v>9722</v>
      </c>
      <c r="V47" s="1741" t="s">
        <v>9754</v>
      </c>
      <c r="W47" s="1741" t="s">
        <v>9747</v>
      </c>
      <c r="X47" s="448" t="s">
        <v>9732</v>
      </c>
      <c r="Y47" s="448" t="s">
        <v>9724</v>
      </c>
      <c r="Z47" s="339" t="s">
        <v>9737</v>
      </c>
      <c r="AA47" s="339" t="s">
        <v>9748</v>
      </c>
      <c r="AB47" s="339" t="s">
        <v>9732</v>
      </c>
      <c r="AC47" s="339" t="s">
        <v>9748</v>
      </c>
      <c r="AD47" s="387" t="s">
        <v>9706</v>
      </c>
      <c r="AE47" s="387" t="s">
        <v>9706</v>
      </c>
      <c r="AF47" s="387" t="s">
        <v>9704</v>
      </c>
      <c r="AG47" s="448" t="s">
        <v>9710</v>
      </c>
      <c r="AH47" s="448" t="s">
        <v>9710</v>
      </c>
      <c r="AI47" s="448" t="s">
        <v>9704</v>
      </c>
      <c r="AJ47" s="1742" t="s">
        <v>9712</v>
      </c>
      <c r="AK47" s="1742" t="s">
        <v>9714</v>
      </c>
      <c r="AL47" s="1741" t="s">
        <v>9743</v>
      </c>
      <c r="AM47" s="339" t="s">
        <v>9732</v>
      </c>
      <c r="AN47" s="1742" t="s">
        <v>9715</v>
      </c>
      <c r="AO47" s="1742" t="s">
        <v>9704</v>
      </c>
      <c r="AP47" s="448" t="s">
        <v>9726</v>
      </c>
      <c r="AQ47" s="448" t="s">
        <v>9724</v>
      </c>
      <c r="AR47" s="387" t="s">
        <v>9757</v>
      </c>
      <c r="AS47" s="387" t="s">
        <v>9734</v>
      </c>
      <c r="AT47" s="1739" t="s">
        <v>9737</v>
      </c>
      <c r="AU47" s="1739" t="s">
        <v>9732</v>
      </c>
      <c r="AV47" s="1739" t="s">
        <v>9727</v>
      </c>
      <c r="AW47" s="448" t="s">
        <v>9747</v>
      </c>
      <c r="AX47" s="448" t="s">
        <v>9732</v>
      </c>
      <c r="AY47" s="1741" t="s">
        <v>9734</v>
      </c>
      <c r="AZ47" s="1741" t="s">
        <v>9741</v>
      </c>
      <c r="BA47" s="339" t="s">
        <v>9706</v>
      </c>
      <c r="BB47" s="339" t="s">
        <v>9718</v>
      </c>
      <c r="BC47" s="339" t="s">
        <v>9706</v>
      </c>
      <c r="BD47" s="387" t="s">
        <v>9722</v>
      </c>
      <c r="BE47" s="1741" t="s">
        <v>9722</v>
      </c>
      <c r="BF47" s="1741" t="s">
        <v>9718</v>
      </c>
      <c r="BG47" s="1741" t="s">
        <v>9734</v>
      </c>
      <c r="BH47" s="1741" t="s">
        <v>9732</v>
      </c>
      <c r="BI47" s="387" t="s">
        <v>9747</v>
      </c>
      <c r="BJ47" s="387" t="s">
        <v>9728</v>
      </c>
      <c r="BK47" s="387" t="s">
        <v>9722</v>
      </c>
      <c r="BL47" s="1741" t="s">
        <v>9722</v>
      </c>
      <c r="BM47" s="1741" t="s">
        <v>9722</v>
      </c>
      <c r="BN47" s="1741" t="s">
        <v>9718</v>
      </c>
      <c r="BO47" s="1743" t="s">
        <v>9748</v>
      </c>
      <c r="BP47" s="1743" t="s">
        <v>9748</v>
      </c>
      <c r="BQ47" s="1743" t="s">
        <v>9710</v>
      </c>
      <c r="BR47" s="131" t="s">
        <v>9739</v>
      </c>
      <c r="BS47" s="131" t="s">
        <v>9739</v>
      </c>
      <c r="BT47" s="131" t="s">
        <v>9745</v>
      </c>
      <c r="BU47" s="387" t="s">
        <v>9734</v>
      </c>
      <c r="BV47" s="387" t="s">
        <v>9741</v>
      </c>
      <c r="BW47" s="1741" t="s">
        <v>9735</v>
      </c>
      <c r="BX47" s="1741" t="s">
        <v>9735</v>
      </c>
      <c r="BY47" s="1741" t="s">
        <v>9748</v>
      </c>
      <c r="BZ47" s="339" t="s">
        <v>9754</v>
      </c>
      <c r="CA47" s="339" t="s">
        <v>9739</v>
      </c>
      <c r="CB47" s="1742" t="s">
        <v>9719</v>
      </c>
      <c r="CC47" s="1742" t="s">
        <v>9712</v>
      </c>
      <c r="CD47" s="1743" t="s">
        <v>9752</v>
      </c>
      <c r="CE47" s="1743" t="s">
        <v>9737</v>
      </c>
      <c r="CF47" s="1741" t="s">
        <v>9739</v>
      </c>
      <c r="CG47" s="1741"/>
      <c r="CH47" s="1741" t="s">
        <v>9734</v>
      </c>
      <c r="CI47" s="1740" t="s">
        <v>9747</v>
      </c>
      <c r="CJ47" s="1740" t="s">
        <v>9756</v>
      </c>
      <c r="CK47" s="448" t="s">
        <v>9718</v>
      </c>
      <c r="CL47" s="448" t="s">
        <v>9723</v>
      </c>
      <c r="CM47" s="448" t="s">
        <v>9754</v>
      </c>
      <c r="CN47" s="448" t="s">
        <v>9756</v>
      </c>
      <c r="CO47" s="448" t="s">
        <v>9724</v>
      </c>
      <c r="CP47" s="448" t="s">
        <v>9724</v>
      </c>
      <c r="CQ47" s="448" t="s">
        <v>9722</v>
      </c>
      <c r="CR47" s="1743" t="s">
        <v>9735</v>
      </c>
      <c r="CS47" s="339" t="s">
        <v>9706</v>
      </c>
      <c r="CT47" s="339" t="s">
        <v>9722</v>
      </c>
      <c r="CU47" s="1739" t="s">
        <v>9732</v>
      </c>
      <c r="CV47" s="1739" t="s">
        <v>9728</v>
      </c>
      <c r="CW47" s="1739" t="s">
        <v>9752</v>
      </c>
      <c r="CX47" s="1739" t="s">
        <v>9737</v>
      </c>
      <c r="CY47" s="1742" t="s">
        <v>9732</v>
      </c>
      <c r="CZ47" s="339" t="s">
        <v>9730</v>
      </c>
      <c r="DA47" s="1741" t="s">
        <v>9722</v>
      </c>
      <c r="DB47" s="1741" t="s">
        <v>9718</v>
      </c>
      <c r="DC47" s="1741" t="s">
        <v>9760</v>
      </c>
      <c r="DD47" s="1741" t="s">
        <v>9729</v>
      </c>
      <c r="DE47" s="1742" t="s">
        <v>9725</v>
      </c>
      <c r="DF47" s="448" t="s">
        <v>9710</v>
      </c>
      <c r="DG47" s="448" t="s">
        <v>9706</v>
      </c>
      <c r="DH47" s="1743" t="s">
        <v>9711</v>
      </c>
      <c r="DI47" s="1743" t="s">
        <v>9720</v>
      </c>
      <c r="DJ47" s="1742" t="s">
        <v>9708</v>
      </c>
      <c r="DK47" s="387" t="s">
        <v>9741</v>
      </c>
      <c r="DL47" s="1741" t="s">
        <v>9712</v>
      </c>
      <c r="DM47" s="387" t="s">
        <v>9762</v>
      </c>
      <c r="DN47" s="387" t="s">
        <v>9747</v>
      </c>
      <c r="DO47" s="1739" t="s">
        <v>9761</v>
      </c>
      <c r="DP47" s="1739" t="s">
        <v>9747</v>
      </c>
      <c r="DQ47" s="1741" t="s">
        <v>9737</v>
      </c>
      <c r="DR47" s="448" t="s">
        <v>9732</v>
      </c>
      <c r="DS47" s="1742" t="s">
        <v>9725</v>
      </c>
      <c r="DT47" s="131" t="s">
        <v>9745</v>
      </c>
      <c r="DU47" s="1739" t="s">
        <v>9711</v>
      </c>
      <c r="DV47" s="339" t="s">
        <v>9748</v>
      </c>
      <c r="DW47" s="1739" t="s">
        <v>9728</v>
      </c>
      <c r="DX47" s="1741" t="s">
        <v>9727</v>
      </c>
      <c r="DY47" s="1741" t="s">
        <v>9723</v>
      </c>
      <c r="DZ47" s="1739"/>
      <c r="EA47" s="387" t="s">
        <v>9711</v>
      </c>
      <c r="EB47" s="387" t="s">
        <v>9722</v>
      </c>
      <c r="EC47" s="448"/>
      <c r="ED47" s="159" t="s">
        <v>9763</v>
      </c>
      <c r="EE47" s="387" t="s">
        <v>9732</v>
      </c>
      <c r="EF47" s="339" t="s">
        <v>9732</v>
      </c>
      <c r="EG47" s="1739" t="s">
        <v>9738</v>
      </c>
      <c r="EH47" s="1742" t="s">
        <v>9722</v>
      </c>
      <c r="EI47" s="387" t="s">
        <v>9742</v>
      </c>
      <c r="EJ47" s="387" t="s">
        <v>9744</v>
      </c>
      <c r="EK47" s="1741" t="s">
        <v>9744</v>
      </c>
      <c r="EL47" s="1741" t="s">
        <v>9706</v>
      </c>
      <c r="EM47" s="448" t="s">
        <v>9718</v>
      </c>
      <c r="EN47" s="1744" t="s">
        <v>9713</v>
      </c>
      <c r="EO47" s="387" t="s">
        <v>9726</v>
      </c>
      <c r="EP47" s="339" t="s">
        <v>9732</v>
      </c>
      <c r="EQ47" s="339" t="s">
        <v>9726</v>
      </c>
      <c r="ER47" s="387" t="s">
        <v>9718</v>
      </c>
      <c r="ES47" s="387" t="s">
        <v>9718</v>
      </c>
      <c r="ET47" s="1741" t="s">
        <v>9704</v>
      </c>
      <c r="EU47" s="448" t="s">
        <v>9699</v>
      </c>
      <c r="EV47" s="1742"/>
      <c r="EW47" s="131" t="s">
        <v>9745</v>
      </c>
      <c r="EX47" s="131" t="s">
        <v>9745</v>
      </c>
      <c r="EY47" s="131" t="s">
        <v>9732</v>
      </c>
      <c r="EZ47" s="339" t="s">
        <v>9754</v>
      </c>
      <c r="FA47" s="339" t="s">
        <v>9734</v>
      </c>
      <c r="FB47" s="339" t="s">
        <v>9706</v>
      </c>
      <c r="FC47" s="387" t="s">
        <v>9728</v>
      </c>
      <c r="FD47" s="387" t="s">
        <v>9706</v>
      </c>
      <c r="FE47" s="387" t="s">
        <v>9711</v>
      </c>
      <c r="FF47" s="1741" t="s">
        <v>9722</v>
      </c>
      <c r="FG47" s="1741" t="s">
        <v>9713</v>
      </c>
      <c r="FH47" s="1741" t="s">
        <v>9743</v>
      </c>
      <c r="FI47" s="1741" t="s">
        <v>9746</v>
      </c>
      <c r="FJ47" s="1739" t="s">
        <v>9726</v>
      </c>
      <c r="FK47" s="1739" t="s">
        <v>9710</v>
      </c>
      <c r="FL47" s="131" t="s">
        <v>9749</v>
      </c>
      <c r="FM47" s="1739" t="s">
        <v>9734</v>
      </c>
      <c r="FN47" s="448" t="s">
        <v>9724</v>
      </c>
      <c r="FO47" s="387" t="s">
        <v>9734</v>
      </c>
      <c r="FP47" s="387" t="s">
        <v>9737</v>
      </c>
      <c r="FQ47" s="339" t="s">
        <v>9739</v>
      </c>
      <c r="FR47" s="1742" t="s">
        <v>9718</v>
      </c>
      <c r="FS47" s="1742" t="s">
        <v>9722</v>
      </c>
      <c r="FT47" s="1740" t="s">
        <v>9706</v>
      </c>
      <c r="FU47" s="1740" t="s">
        <v>9707</v>
      </c>
      <c r="FV47" s="131" t="s">
        <v>9716</v>
      </c>
      <c r="FW47" s="131" t="s">
        <v>9710</v>
      </c>
      <c r="FX47" s="1740" t="s">
        <v>9747</v>
      </c>
      <c r="FY47" s="1742" t="s">
        <v>9750</v>
      </c>
      <c r="FZ47" s="339" t="s">
        <v>9732</v>
      </c>
      <c r="GA47" s="131" t="s">
        <v>9741</v>
      </c>
      <c r="GB47" s="387" t="s">
        <v>9734</v>
      </c>
      <c r="GC47" s="387" t="s">
        <v>9728</v>
      </c>
      <c r="GD47" s="1741" t="s">
        <v>9728</v>
      </c>
      <c r="GE47" s="131" t="s">
        <v>9710</v>
      </c>
      <c r="GF47" s="1742" t="s">
        <v>9757</v>
      </c>
      <c r="GG47" s="131" t="s">
        <v>9757</v>
      </c>
      <c r="GH47" s="387" t="s">
        <v>9734</v>
      </c>
      <c r="GI47" s="448" t="s">
        <v>9718</v>
      </c>
      <c r="GJ47" s="339" t="s">
        <v>9734</v>
      </c>
      <c r="GK47" s="339" t="s">
        <v>9737</v>
      </c>
      <c r="GL47" s="1739" t="s">
        <v>9734</v>
      </c>
      <c r="GM47" s="387" t="s">
        <v>9737</v>
      </c>
      <c r="GN47" s="387" t="s">
        <v>9718</v>
      </c>
      <c r="GO47" s="448" t="s">
        <v>9732</v>
      </c>
      <c r="GP47" s="1744" t="s">
        <v>9740</v>
      </c>
      <c r="GQ47" s="1744" t="s">
        <v>9726</v>
      </c>
      <c r="GR47" s="1742" t="s">
        <v>9712</v>
      </c>
      <c r="GS47" s="1743" t="s">
        <v>9710</v>
      </c>
      <c r="GT47" s="1744"/>
      <c r="GU47" s="387"/>
      <c r="GV47" s="339" t="s">
        <v>9706</v>
      </c>
      <c r="GW47" s="1743" t="s">
        <v>9740</v>
      </c>
      <c r="GX47" s="448" t="s">
        <v>9735</v>
      </c>
      <c r="GY47" s="339" t="s">
        <v>9719</v>
      </c>
      <c r="GZ47" s="448" t="s">
        <v>9706</v>
      </c>
      <c r="HA47" s="1743" t="s">
        <v>9736</v>
      </c>
      <c r="HB47" s="1742" t="s">
        <v>9713</v>
      </c>
      <c r="HC47" s="448" t="s">
        <v>9704</v>
      </c>
      <c r="HD47" s="1743" t="s">
        <v>9740</v>
      </c>
      <c r="HE47" s="1739" t="s">
        <v>9732</v>
      </c>
      <c r="HF47" s="339" t="s">
        <v>9752</v>
      </c>
      <c r="HG47" s="387" t="s">
        <v>9748</v>
      </c>
      <c r="HH47" s="1744" t="s">
        <v>9718</v>
      </c>
      <c r="HI47" s="1741" t="s">
        <v>9706</v>
      </c>
      <c r="HJ47" s="1741" t="s">
        <v>9722</v>
      </c>
      <c r="HK47" s="1739" t="s">
        <v>9739</v>
      </c>
      <c r="HL47" s="1739" t="s">
        <v>9732</v>
      </c>
      <c r="HM47" s="1741" t="s">
        <v>9732</v>
      </c>
      <c r="HN47" s="1741" t="s">
        <v>9706</v>
      </c>
      <c r="HO47" s="1742" t="s">
        <v>9723</v>
      </c>
      <c r="HP47" s="1743" t="s">
        <v>9732</v>
      </c>
      <c r="HQ47" s="1739" t="s">
        <v>9710</v>
      </c>
      <c r="HR47" s="1739" t="s">
        <v>9746</v>
      </c>
      <c r="HS47" s="448" t="s">
        <v>9741</v>
      </c>
      <c r="HT47" s="1743" t="s">
        <v>9740</v>
      </c>
      <c r="HU47" s="1744" t="s">
        <v>9724</v>
      </c>
      <c r="HV47" s="1744" t="s">
        <v>9710</v>
      </c>
      <c r="HW47" s="387" t="s">
        <v>9747</v>
      </c>
      <c r="HX47" s="387" t="s">
        <v>9747</v>
      </c>
      <c r="HY47" s="1743" t="s">
        <v>9752</v>
      </c>
      <c r="HZ47" s="1739" t="s">
        <v>9722</v>
      </c>
      <c r="IA47" s="1741" t="s">
        <v>9718</v>
      </c>
      <c r="IB47" s="1740"/>
      <c r="IC47" s="448" t="s">
        <v>9754</v>
      </c>
      <c r="ID47" s="1741" t="s">
        <v>9752</v>
      </c>
      <c r="IE47" s="1742" t="s">
        <v>9721</v>
      </c>
      <c r="IF47" s="339" t="s">
        <v>9737</v>
      </c>
      <c r="IG47" s="1739" t="s">
        <v>9738</v>
      </c>
      <c r="IH47" s="1742" t="s">
        <v>9720</v>
      </c>
      <c r="II47" s="1742" t="s">
        <v>9708</v>
      </c>
      <c r="IJ47" s="339" t="s">
        <v>9718</v>
      </c>
      <c r="IK47" s="1741" t="s">
        <v>9722</v>
      </c>
      <c r="IL47" s="387" t="s">
        <v>9718</v>
      </c>
      <c r="IM47" s="131" t="s">
        <v>9740</v>
      </c>
      <c r="IN47" s="1743" t="s">
        <v>9740</v>
      </c>
      <c r="IO47" s="131" t="s">
        <v>9704</v>
      </c>
      <c r="IP47" s="1740" t="s">
        <v>9708</v>
      </c>
      <c r="IQ47" s="1739" t="s">
        <v>9725</v>
      </c>
      <c r="IR47" s="131" t="s">
        <v>9711</v>
      </c>
      <c r="IS47" s="131" t="s">
        <v>9730</v>
      </c>
      <c r="IT47" s="131" t="s">
        <v>9730</v>
      </c>
      <c r="IU47" s="131" t="s">
        <v>9711</v>
      </c>
      <c r="IV47" s="1739" t="s">
        <v>9734</v>
      </c>
      <c r="IW47" s="1739" t="s">
        <v>9728</v>
      </c>
      <c r="IX47" s="1739" t="s">
        <v>9722</v>
      </c>
      <c r="IY47" s="387" t="s">
        <v>9739</v>
      </c>
      <c r="IZ47" s="387" t="s">
        <v>9732</v>
      </c>
      <c r="JA47" s="387" t="s">
        <v>9722</v>
      </c>
      <c r="JB47" s="1743" t="s">
        <v>9733</v>
      </c>
      <c r="JC47" s="1743" t="s">
        <v>9732</v>
      </c>
      <c r="JD47" s="1741" t="s">
        <v>9710</v>
      </c>
      <c r="JE47" s="1740" t="s">
        <v>9722</v>
      </c>
      <c r="JF47" s="1739"/>
      <c r="JG47" s="1740"/>
      <c r="JH47" s="339" t="s">
        <v>9732</v>
      </c>
      <c r="JI47" s="448"/>
      <c r="JJ47" s="131" t="s">
        <v>9730</v>
      </c>
      <c r="JK47" s="131" t="s">
        <v>9732</v>
      </c>
      <c r="JL47" s="131" t="s">
        <v>9730</v>
      </c>
      <c r="JM47" s="131" t="s">
        <v>9706</v>
      </c>
      <c r="JN47" s="1741" t="s">
        <v>9734</v>
      </c>
      <c r="JO47" s="1741" t="s">
        <v>9730</v>
      </c>
      <c r="JP47" s="1741" t="s">
        <v>9710</v>
      </c>
      <c r="JQ47" s="387" t="s">
        <v>9754</v>
      </c>
      <c r="JR47" s="387" t="s">
        <v>9747</v>
      </c>
      <c r="JS47" s="1740" t="s">
        <v>9734</v>
      </c>
      <c r="JT47" s="339" t="s">
        <v>9728</v>
      </c>
      <c r="JU47" s="1740" t="s">
        <v>9706</v>
      </c>
      <c r="JV47" s="1740" t="s">
        <v>9706</v>
      </c>
      <c r="JW47" s="1740" t="s">
        <v>9722</v>
      </c>
      <c r="JX47" s="387" t="s">
        <v>9743</v>
      </c>
      <c r="JY47" s="387" t="s">
        <v>9726</v>
      </c>
      <c r="JZ47" s="1741" t="s">
        <v>9734</v>
      </c>
      <c r="KA47" s="131" t="s">
        <v>9706</v>
      </c>
      <c r="KB47" s="1741" t="s">
        <v>9723</v>
      </c>
      <c r="KC47" s="1740" t="s">
        <v>9725</v>
      </c>
      <c r="KD47" s="1741" t="s">
        <v>9704</v>
      </c>
      <c r="KE47" s="1743" t="s">
        <v>9747</v>
      </c>
      <c r="KF47" s="339" t="s">
        <v>9732</v>
      </c>
      <c r="KG47" s="1741" t="s">
        <v>9753</v>
      </c>
      <c r="KH47" s="1742" t="s">
        <v>9728</v>
      </c>
      <c r="KI47" s="387" t="s">
        <v>9703</v>
      </c>
      <c r="KJ47" s="387" t="s">
        <v>9723</v>
      </c>
      <c r="KK47" s="339" t="s">
        <v>9734</v>
      </c>
      <c r="KL47" s="1741" t="s">
        <v>9732</v>
      </c>
      <c r="KM47" s="387" t="s">
        <v>9761</v>
      </c>
      <c r="KN47" s="1743" t="s">
        <v>9744</v>
      </c>
      <c r="KO47" s="1742" t="s">
        <v>9718</v>
      </c>
      <c r="KP47" s="448" t="s">
        <v>9711</v>
      </c>
      <c r="KQ47" s="448" t="s">
        <v>9718</v>
      </c>
      <c r="KR47" s="1744" t="s">
        <v>9711</v>
      </c>
      <c r="KS47" s="1743" t="s">
        <v>9732</v>
      </c>
      <c r="KT47" s="1743" t="s">
        <v>9732</v>
      </c>
      <c r="KU47" s="1743" t="s">
        <v>9712</v>
      </c>
      <c r="KV47" s="387" t="s">
        <v>9748</v>
      </c>
      <c r="KW47" s="1739" t="s">
        <v>9706</v>
      </c>
      <c r="KX47" s="131" t="s">
        <v>9750</v>
      </c>
      <c r="KY47" s="339" t="s">
        <v>9732</v>
      </c>
      <c r="KZ47" s="339" t="s">
        <v>9739</v>
      </c>
      <c r="LA47" s="339" t="s">
        <v>9739</v>
      </c>
      <c r="LB47" s="1743" t="s">
        <v>9722</v>
      </c>
      <c r="LC47" s="448" t="s">
        <v>9722</v>
      </c>
      <c r="LD47" s="131" t="s">
        <v>9743</v>
      </c>
      <c r="LE47" s="131" t="s">
        <v>9732</v>
      </c>
      <c r="LF47" s="448" t="s">
        <v>9706</v>
      </c>
      <c r="LG47" s="1739" t="s">
        <v>9764</v>
      </c>
      <c r="LH47" s="387" t="s">
        <v>9710</v>
      </c>
      <c r="LI47" s="387" t="s">
        <v>9739</v>
      </c>
      <c r="LJ47" s="387" t="s">
        <v>9756</v>
      </c>
      <c r="LK47" s="339" t="s">
        <v>9734</v>
      </c>
      <c r="LL47" s="1739" t="s">
        <v>9732</v>
      </c>
      <c r="LM47" s="1741" t="s">
        <v>9738</v>
      </c>
      <c r="LN47" s="1744" t="s">
        <v>9710</v>
      </c>
      <c r="LO47" s="448" t="s">
        <v>9718</v>
      </c>
      <c r="LP47" s="1741" t="s">
        <v>9706</v>
      </c>
      <c r="LQ47" s="1741" t="s">
        <v>9739</v>
      </c>
      <c r="LR47" s="131" t="s">
        <v>9736</v>
      </c>
      <c r="LS47" s="131" t="s">
        <v>9722</v>
      </c>
      <c r="LT47" s="131" t="s">
        <v>9740</v>
      </c>
      <c r="LU47" s="131" t="s">
        <v>9732</v>
      </c>
      <c r="LV47" s="387" t="s">
        <v>9743</v>
      </c>
      <c r="LW47" s="387" t="s">
        <v>9722</v>
      </c>
      <c r="LX47" s="1740" t="s">
        <v>9704</v>
      </c>
      <c r="LY47" s="1744" t="s">
        <v>9732</v>
      </c>
      <c r="LZ47" s="339" t="s">
        <v>9722</v>
      </c>
      <c r="MA47" s="1739" t="s">
        <v>9718</v>
      </c>
      <c r="MB47" s="1743" t="s">
        <v>9747</v>
      </c>
      <c r="MC47" s="387" t="s">
        <v>9760</v>
      </c>
      <c r="MD47" s="1739" t="s">
        <v>9727</v>
      </c>
      <c r="ME47" s="1739" t="s">
        <v>9706</v>
      </c>
      <c r="MF47" s="1741" t="s">
        <v>9718</v>
      </c>
      <c r="MG47" s="1744" t="s">
        <v>9711</v>
      </c>
      <c r="MH47" s="448" t="s">
        <v>9745</v>
      </c>
      <c r="MI47" s="131" t="s">
        <v>9741</v>
      </c>
      <c r="MJ47" s="1743" t="s">
        <v>9742</v>
      </c>
      <c r="MK47" s="1743" t="s">
        <v>9732</v>
      </c>
      <c r="ML47" s="1741" t="s">
        <v>9765</v>
      </c>
      <c r="MM47" s="1742" t="s">
        <v>9756</v>
      </c>
      <c r="MN47" s="1740" t="s">
        <v>9718</v>
      </c>
      <c r="MO47" s="131" t="s">
        <v>9719</v>
      </c>
      <c r="MP47" s="1744" t="s">
        <v>9721</v>
      </c>
      <c r="MQ47" s="1744" t="s">
        <v>9710</v>
      </c>
      <c r="MR47" s="1744" t="s">
        <v>9724</v>
      </c>
      <c r="MS47" s="1744" t="s">
        <v>9718</v>
      </c>
      <c r="MT47" s="131" t="s">
        <v>9730</v>
      </c>
      <c r="MU47" s="387" t="s">
        <v>9721</v>
      </c>
      <c r="MV47" s="1740" t="s">
        <v>9720</v>
      </c>
      <c r="MW47" s="387"/>
      <c r="MX47" s="1743" t="s">
        <v>9734</v>
      </c>
      <c r="MY47" s="1743" t="s">
        <v>9706</v>
      </c>
      <c r="MZ47" s="387" t="s">
        <v>9739</v>
      </c>
      <c r="NA47" s="387" t="s">
        <v>9751</v>
      </c>
      <c r="NB47" s="387" t="s">
        <v>9741</v>
      </c>
      <c r="NC47" s="387" t="s">
        <v>9765</v>
      </c>
      <c r="ND47" s="387" t="s">
        <v>9739</v>
      </c>
      <c r="NE47" s="1742" t="s">
        <v>9743</v>
      </c>
      <c r="NF47" s="1743" t="s">
        <v>9732</v>
      </c>
      <c r="NG47" s="1742" t="s">
        <v>9754</v>
      </c>
      <c r="NH47" s="387" t="s">
        <v>9753</v>
      </c>
      <c r="NI47" s="1740" t="s">
        <v>9753</v>
      </c>
      <c r="NJ47" s="387" t="s">
        <v>9706</v>
      </c>
      <c r="NK47" s="387"/>
      <c r="NL47" s="387" t="s">
        <v>9722</v>
      </c>
      <c r="NM47" s="387" t="s">
        <v>9722</v>
      </c>
      <c r="NN47" s="1741" t="s">
        <v>9748</v>
      </c>
      <c r="NO47" s="387" t="s">
        <v>9722</v>
      </c>
      <c r="NP47" s="1743" t="s">
        <v>9722</v>
      </c>
      <c r="NQ47" s="1739" t="s">
        <v>9704</v>
      </c>
      <c r="NR47" s="387" t="s">
        <v>9704</v>
      </c>
      <c r="NS47" s="387" t="s">
        <v>9711</v>
      </c>
      <c r="NT47" s="1739" t="s">
        <v>9720</v>
      </c>
      <c r="NU47" s="131" t="s">
        <v>9725</v>
      </c>
      <c r="NV47" s="339" t="s">
        <v>9711</v>
      </c>
      <c r="NW47" s="1739" t="s">
        <v>9704</v>
      </c>
      <c r="NX47" s="1739" t="s">
        <v>9704</v>
      </c>
      <c r="NY47" s="1739" t="s">
        <v>9704</v>
      </c>
      <c r="NZ47" s="1739" t="s">
        <v>9704</v>
      </c>
      <c r="OA47" s="131" t="s">
        <v>9745</v>
      </c>
      <c r="OB47" s="131" t="s">
        <v>9745</v>
      </c>
      <c r="OC47" s="131" t="s">
        <v>9722</v>
      </c>
      <c r="OD47" s="1741" t="s">
        <v>9731</v>
      </c>
      <c r="OE47" s="1741" t="s">
        <v>9706</v>
      </c>
      <c r="OF47" s="1741" t="s">
        <v>9707</v>
      </c>
      <c r="OG47" s="387" t="s">
        <v>9742</v>
      </c>
      <c r="OH47" s="387" t="s">
        <v>9753</v>
      </c>
      <c r="OI47" s="387" t="s">
        <v>9706</v>
      </c>
      <c r="OJ47" s="1741" t="s">
        <v>9754</v>
      </c>
      <c r="OK47" s="1741" t="s">
        <v>9754</v>
      </c>
      <c r="OL47" s="1741" t="s">
        <v>9747</v>
      </c>
      <c r="OM47" s="1741" t="s">
        <v>9710</v>
      </c>
      <c r="ON47" s="1741" t="s">
        <v>9718</v>
      </c>
      <c r="OO47" s="1739"/>
      <c r="OP47" s="1739" t="s">
        <v>9755</v>
      </c>
      <c r="OQ47" s="387" t="s">
        <v>9734</v>
      </c>
      <c r="OR47" s="387" t="s">
        <v>9734</v>
      </c>
      <c r="OS47" s="387" t="s">
        <v>9737</v>
      </c>
      <c r="OT47" s="131" t="s">
        <v>9743</v>
      </c>
      <c r="OU47" s="131" t="s">
        <v>9737</v>
      </c>
      <c r="OV47" s="387" t="s">
        <v>9711</v>
      </c>
      <c r="OW47" s="387" t="s">
        <v>9720</v>
      </c>
      <c r="OX47" s="1743" t="s">
        <v>9723</v>
      </c>
      <c r="OY47" s="1743" t="s">
        <v>9719</v>
      </c>
      <c r="OZ47" s="131"/>
      <c r="PA47" s="131" t="s">
        <v>9730</v>
      </c>
      <c r="PB47" s="339" t="s">
        <v>9732</v>
      </c>
      <c r="PC47" s="1742" t="s">
        <v>9752</v>
      </c>
      <c r="PD47" s="339" t="s">
        <v>9726</v>
      </c>
      <c r="PE47" s="339"/>
      <c r="PF47" s="339" t="s">
        <v>9734</v>
      </c>
      <c r="PG47" s="1740" t="s">
        <v>9734</v>
      </c>
      <c r="PH47" s="1741" t="s">
        <v>9732</v>
      </c>
      <c r="PI47" s="1741" t="s">
        <v>9711</v>
      </c>
      <c r="PJ47" s="1742" t="s">
        <v>9757</v>
      </c>
      <c r="PK47" s="1742" t="s">
        <v>9734</v>
      </c>
      <c r="PL47" s="448"/>
      <c r="PM47" s="448" t="s">
        <v>9732</v>
      </c>
      <c r="PN47" s="448" t="s">
        <v>9711</v>
      </c>
      <c r="PO47" s="448" t="s">
        <v>9738</v>
      </c>
      <c r="PP47" s="448" t="s">
        <v>9738</v>
      </c>
      <c r="PQ47" s="1741" t="s">
        <v>9738</v>
      </c>
      <c r="PR47" s="1741" t="s">
        <v>9718</v>
      </c>
      <c r="PS47" s="448" t="s">
        <v>9706</v>
      </c>
      <c r="PT47" s="1744" t="s">
        <v>9724</v>
      </c>
      <c r="PU47" s="1743" t="s">
        <v>9706</v>
      </c>
      <c r="PV47" s="1743" t="s">
        <v>9718</v>
      </c>
      <c r="PW47" s="339" t="s">
        <v>9721</v>
      </c>
      <c r="PX47" s="448" t="s">
        <v>9710</v>
      </c>
      <c r="PY47" s="448" t="s">
        <v>9706</v>
      </c>
      <c r="PZ47" s="131" t="s">
        <v>9721</v>
      </c>
      <c r="QA47" s="131" t="s">
        <v>9722</v>
      </c>
      <c r="QB47" s="1741" t="s">
        <v>9743</v>
      </c>
      <c r="QC47" s="1742" t="s">
        <v>9703</v>
      </c>
      <c r="QD47" s="1742" t="s">
        <v>9706</v>
      </c>
      <c r="QE47" s="1744" t="s">
        <v>9747</v>
      </c>
      <c r="QF47" s="448" t="s">
        <v>9710</v>
      </c>
      <c r="QG47" s="387" t="s">
        <v>9732</v>
      </c>
      <c r="QH47" s="387" t="s">
        <v>9706</v>
      </c>
      <c r="QI47" s="387" t="s">
        <v>9718</v>
      </c>
      <c r="QJ47" s="1744" t="s">
        <v>9720</v>
      </c>
      <c r="QK47" s="387" t="s">
        <v>9728</v>
      </c>
      <c r="QL47" s="387" t="s">
        <v>9711</v>
      </c>
      <c r="QM47" s="1741" t="s">
        <v>9739</v>
      </c>
      <c r="QN47" s="1741" t="s">
        <v>9742</v>
      </c>
      <c r="QO47" s="448" t="s">
        <v>9710</v>
      </c>
      <c r="QP47" s="448" t="s">
        <v>9718</v>
      </c>
      <c r="QQ47" s="387" t="s">
        <v>9706</v>
      </c>
      <c r="QR47" s="387" t="s">
        <v>9722</v>
      </c>
      <c r="QS47" s="131" t="s">
        <v>9741</v>
      </c>
      <c r="QT47" s="387" t="s">
        <v>9739</v>
      </c>
      <c r="QU47" s="387" t="s">
        <v>9743</v>
      </c>
      <c r="QV47" s="387" t="s">
        <v>9754</v>
      </c>
      <c r="QW47" s="1740" t="s">
        <v>9706</v>
      </c>
      <c r="QX47" s="1740" t="s">
        <v>9704</v>
      </c>
      <c r="QY47" s="1744" t="s">
        <v>9711</v>
      </c>
      <c r="QZ47" s="1743" t="s">
        <v>9737</v>
      </c>
      <c r="RA47" s="1742" t="s">
        <v>9725</v>
      </c>
      <c r="RB47" s="1743" t="s">
        <v>9720</v>
      </c>
      <c r="RC47" s="387" t="s">
        <v>9706</v>
      </c>
      <c r="RD47" s="339" t="s">
        <v>9703</v>
      </c>
      <c r="RE47" s="1739" t="s">
        <v>9718</v>
      </c>
      <c r="RF47" s="1740" t="s">
        <v>9707</v>
      </c>
      <c r="RG47" s="131" t="s">
        <v>9741</v>
      </c>
      <c r="RH47" s="131" t="s">
        <v>9730</v>
      </c>
      <c r="RI47" s="387" t="s">
        <v>9732</v>
      </c>
      <c r="RJ47" s="448" t="s">
        <v>9722</v>
      </c>
      <c r="RK47" s="1741" t="s">
        <v>9706</v>
      </c>
      <c r="RL47" s="1739" t="s">
        <v>9722</v>
      </c>
      <c r="RM47" s="1740" t="s">
        <v>9725</v>
      </c>
      <c r="RN47" s="1743" t="s">
        <v>9735</v>
      </c>
      <c r="RO47" s="1744" t="s">
        <v>9718</v>
      </c>
      <c r="RP47" s="1740" t="s">
        <v>9711</v>
      </c>
      <c r="RQ47" s="1739" t="s">
        <v>9737</v>
      </c>
      <c r="RR47" s="1739" t="s">
        <v>9737</v>
      </c>
      <c r="RS47" s="1739" t="s">
        <v>9737</v>
      </c>
      <c r="RT47" s="1739" t="s">
        <v>9737</v>
      </c>
      <c r="RU47" s="1739" t="s">
        <v>9737</v>
      </c>
      <c r="RV47" s="1739" t="s">
        <v>9737</v>
      </c>
      <c r="RW47" s="339" t="s">
        <v>9725</v>
      </c>
      <c r="RX47" s="1742" t="s">
        <v>9725</v>
      </c>
      <c r="RY47" s="387" t="s">
        <v>9713</v>
      </c>
      <c r="RZ47" s="1740" t="s">
        <v>9713</v>
      </c>
      <c r="SA47" s="448" t="s">
        <v>9704</v>
      </c>
      <c r="SB47" s="1741" t="s">
        <v>9731</v>
      </c>
      <c r="SC47" s="1740" t="s">
        <v>9732</v>
      </c>
      <c r="SD47" s="1744" t="s">
        <v>9711</v>
      </c>
      <c r="SE47" s="1744" t="s">
        <v>9711</v>
      </c>
      <c r="SF47" s="339" t="s">
        <v>9721</v>
      </c>
      <c r="SG47" s="387" t="s">
        <v>9758</v>
      </c>
      <c r="SH47" s="387" t="s">
        <v>9721</v>
      </c>
      <c r="SI47" s="1744" t="s">
        <v>9723</v>
      </c>
      <c r="SJ47" s="131" t="s">
        <v>9743</v>
      </c>
      <c r="SK47" s="131" t="s">
        <v>9743</v>
      </c>
      <c r="SL47" s="1743"/>
    </row>
    <row r="48" ht="15.75" customHeight="1">
      <c r="A48" s="1517"/>
      <c r="B48" s="148" t="s">
        <v>9747</v>
      </c>
      <c r="C48" s="148" t="s">
        <v>9747</v>
      </c>
      <c r="D48" s="148" t="s">
        <v>9745</v>
      </c>
      <c r="E48" s="148" t="s">
        <v>9732</v>
      </c>
      <c r="F48" s="148" t="s">
        <v>9732</v>
      </c>
      <c r="G48" s="148" t="s">
        <v>9722</v>
      </c>
      <c r="H48" s="148" t="s">
        <v>9752</v>
      </c>
      <c r="I48" s="148" t="s">
        <v>9752</v>
      </c>
      <c r="J48" s="148" t="s">
        <v>9706</v>
      </c>
      <c r="K48" s="148"/>
      <c r="L48" s="148"/>
      <c r="M48" s="148" t="s">
        <v>9730</v>
      </c>
      <c r="N48" s="148"/>
      <c r="O48" s="148"/>
      <c r="P48" s="148" t="s">
        <v>9741</v>
      </c>
      <c r="Q48" s="148" t="s">
        <v>9759</v>
      </c>
      <c r="R48" s="148" t="s">
        <v>9759</v>
      </c>
      <c r="S48" s="148" t="s">
        <v>9758</v>
      </c>
      <c r="T48" s="148" t="s">
        <v>9732</v>
      </c>
      <c r="U48" s="148" t="s">
        <v>9706</v>
      </c>
      <c r="V48" s="148" t="s">
        <v>9759</v>
      </c>
      <c r="W48" s="148" t="s">
        <v>9758</v>
      </c>
      <c r="X48" s="148" t="s">
        <v>9740</v>
      </c>
      <c r="Y48" s="148" t="s">
        <v>9732</v>
      </c>
      <c r="Z48" s="148" t="s">
        <v>9750</v>
      </c>
      <c r="AA48" s="148" t="s">
        <v>9728</v>
      </c>
      <c r="AB48" s="148" t="s">
        <v>9753</v>
      </c>
      <c r="AC48" s="148" t="s">
        <v>9728</v>
      </c>
      <c r="AD48" s="148" t="s">
        <v>9710</v>
      </c>
      <c r="AE48" s="148" t="s">
        <v>9710</v>
      </c>
      <c r="AF48" s="148" t="s">
        <v>9725</v>
      </c>
      <c r="AG48" s="148" t="s">
        <v>9732</v>
      </c>
      <c r="AH48" s="148" t="s">
        <v>9732</v>
      </c>
      <c r="AI48" s="148" t="s">
        <v>9725</v>
      </c>
      <c r="AJ48" s="148" t="s">
        <v>9704</v>
      </c>
      <c r="AK48" s="148" t="s">
        <v>9712</v>
      </c>
      <c r="AL48" s="148" t="s">
        <v>9734</v>
      </c>
      <c r="AM48" s="148" t="s">
        <v>9738</v>
      </c>
      <c r="AN48" s="148" t="s">
        <v>9725</v>
      </c>
      <c r="AO48" s="148" t="s">
        <v>9715</v>
      </c>
      <c r="AP48" s="148" t="s">
        <v>9732</v>
      </c>
      <c r="AQ48" s="148" t="s">
        <v>9726</v>
      </c>
      <c r="AR48" s="148" t="s">
        <v>9747</v>
      </c>
      <c r="AS48" s="148" t="s">
        <v>9739</v>
      </c>
      <c r="AT48" s="148" t="s">
        <v>9745</v>
      </c>
      <c r="AU48" s="148" t="s">
        <v>9737</v>
      </c>
      <c r="AV48" s="148" t="s">
        <v>9732</v>
      </c>
      <c r="AW48" s="148" t="s">
        <v>9754</v>
      </c>
      <c r="AX48" s="148" t="s">
        <v>9741</v>
      </c>
      <c r="AY48" s="148" t="s">
        <v>9751</v>
      </c>
      <c r="AZ48" s="148" t="s">
        <v>9760</v>
      </c>
      <c r="BA48" s="148" t="s">
        <v>9710</v>
      </c>
      <c r="BB48" s="148" t="s">
        <v>9722</v>
      </c>
      <c r="BC48" s="148" t="s">
        <v>9728</v>
      </c>
      <c r="BD48" s="148" t="s">
        <v>9706</v>
      </c>
      <c r="BE48" s="148" t="s">
        <v>9706</v>
      </c>
      <c r="BF48" s="148" t="s">
        <v>9722</v>
      </c>
      <c r="BG48" s="148" t="s">
        <v>9739</v>
      </c>
      <c r="BH48" s="148" t="s">
        <v>9736</v>
      </c>
      <c r="BI48" s="148" t="s">
        <v>9754</v>
      </c>
      <c r="BJ48" s="148" t="s">
        <v>9732</v>
      </c>
      <c r="BK48" s="148" t="s">
        <v>9706</v>
      </c>
      <c r="BL48" s="148" t="s">
        <v>9706</v>
      </c>
      <c r="BM48" s="148" t="s">
        <v>9706</v>
      </c>
      <c r="BN48" s="148" t="s">
        <v>9722</v>
      </c>
      <c r="BO48" s="148" t="s">
        <v>9728</v>
      </c>
      <c r="BP48" s="148" t="s">
        <v>9728</v>
      </c>
      <c r="BQ48" s="148" t="s">
        <v>9748</v>
      </c>
      <c r="BR48" s="148" t="s">
        <v>9757</v>
      </c>
      <c r="BS48" s="148" t="s">
        <v>9757</v>
      </c>
      <c r="BT48" s="148" t="s">
        <v>9734</v>
      </c>
      <c r="BU48" s="148" t="s">
        <v>9739</v>
      </c>
      <c r="BV48" s="148" t="s">
        <v>9745</v>
      </c>
      <c r="BW48" s="148" t="s">
        <v>9744</v>
      </c>
      <c r="BX48" s="148" t="s">
        <v>9744</v>
      </c>
      <c r="BY48" s="148" t="s">
        <v>9728</v>
      </c>
      <c r="BZ48" s="148" t="s">
        <v>9766</v>
      </c>
      <c r="CA48" s="148" t="s">
        <v>9749</v>
      </c>
      <c r="CB48" s="148" t="s">
        <v>9711</v>
      </c>
      <c r="CC48" s="148" t="s">
        <v>9704</v>
      </c>
      <c r="CD48" s="148" t="s">
        <v>9743</v>
      </c>
      <c r="CE48" s="148" t="s">
        <v>9750</v>
      </c>
      <c r="CF48" s="148" t="s">
        <v>9749</v>
      </c>
      <c r="CG48" s="148"/>
      <c r="CH48" s="148" t="s">
        <v>9739</v>
      </c>
      <c r="CI48" s="148" t="s">
        <v>9754</v>
      </c>
      <c r="CJ48" s="148" t="s">
        <v>9734</v>
      </c>
      <c r="CK48" s="148" t="s">
        <v>9722</v>
      </c>
      <c r="CL48" s="148" t="s">
        <v>9703</v>
      </c>
      <c r="CM48" s="148" t="s">
        <v>9761</v>
      </c>
      <c r="CN48" s="148" t="s">
        <v>9734</v>
      </c>
      <c r="CO48" s="148" t="s">
        <v>9730</v>
      </c>
      <c r="CP48" s="148" t="s">
        <v>9730</v>
      </c>
      <c r="CQ48" s="148" t="s">
        <v>9706</v>
      </c>
      <c r="CR48" s="148" t="s">
        <v>9740</v>
      </c>
      <c r="CS48" s="148" t="s">
        <v>9710</v>
      </c>
      <c r="CT48" s="148" t="s">
        <v>9706</v>
      </c>
      <c r="CU48" s="148" t="s">
        <v>9745</v>
      </c>
      <c r="CV48" s="148" t="s">
        <v>9732</v>
      </c>
      <c r="CW48" s="148" t="s">
        <v>9739</v>
      </c>
      <c r="CX48" s="148" t="s">
        <v>9750</v>
      </c>
      <c r="CY48" s="148" t="s">
        <v>9735</v>
      </c>
      <c r="CZ48" s="148" t="s">
        <v>9732</v>
      </c>
      <c r="DA48" s="148" t="s">
        <v>9706</v>
      </c>
      <c r="DB48" s="148" t="s">
        <v>9722</v>
      </c>
      <c r="DC48" s="148" t="s">
        <v>9734</v>
      </c>
      <c r="DD48" s="148" t="s">
        <v>9760</v>
      </c>
      <c r="DE48" s="148" t="s">
        <v>9713</v>
      </c>
      <c r="DF48" s="148" t="s">
        <v>9732</v>
      </c>
      <c r="DG48" s="148" t="s">
        <v>9710</v>
      </c>
      <c r="DH48" s="148" t="s">
        <v>9718</v>
      </c>
      <c r="DI48" s="148" t="s">
        <v>9719</v>
      </c>
      <c r="DJ48" s="148" t="s">
        <v>9714</v>
      </c>
      <c r="DK48" s="148" t="s">
        <v>9737</v>
      </c>
      <c r="DL48" s="148" t="s">
        <v>9704</v>
      </c>
      <c r="DM48" s="148" t="s">
        <v>9761</v>
      </c>
      <c r="DN48" s="148" t="s">
        <v>9754</v>
      </c>
      <c r="DO48" s="148" t="s">
        <v>9765</v>
      </c>
      <c r="DP48" s="148" t="s">
        <v>9754</v>
      </c>
      <c r="DQ48" s="148" t="s">
        <v>9750</v>
      </c>
      <c r="DR48" s="148" t="s">
        <v>9746</v>
      </c>
      <c r="DS48" s="148" t="s">
        <v>9707</v>
      </c>
      <c r="DT48" s="148" t="s">
        <v>9734</v>
      </c>
      <c r="DU48" s="148" t="s">
        <v>9718</v>
      </c>
      <c r="DV48" s="148" t="s">
        <v>9728</v>
      </c>
      <c r="DW48" s="148" t="s">
        <v>9732</v>
      </c>
      <c r="DX48" s="148" t="s">
        <v>9728</v>
      </c>
      <c r="DY48" s="148" t="s">
        <v>9711</v>
      </c>
      <c r="DZ48" s="148"/>
      <c r="EA48" s="148" t="s">
        <v>9718</v>
      </c>
      <c r="EB48" s="148" t="s">
        <v>9706</v>
      </c>
      <c r="EC48" s="148"/>
      <c r="ED48" s="253"/>
      <c r="EE48" s="148" t="s">
        <v>9741</v>
      </c>
      <c r="EF48" s="148" t="s">
        <v>9741</v>
      </c>
      <c r="EG48" s="148" t="s">
        <v>9741</v>
      </c>
      <c r="EH48" s="148" t="s">
        <v>9710</v>
      </c>
      <c r="EI48" s="148" t="s">
        <v>9734</v>
      </c>
      <c r="EJ48" s="148" t="s">
        <v>9760</v>
      </c>
      <c r="EK48" s="148" t="s">
        <v>9742</v>
      </c>
      <c r="EL48" s="148" t="s">
        <v>9710</v>
      </c>
      <c r="EM48" s="148" t="s">
        <v>9722</v>
      </c>
      <c r="EN48" s="148" t="s">
        <v>9720</v>
      </c>
      <c r="EO48" s="148" t="s">
        <v>9732</v>
      </c>
      <c r="EP48" s="148" t="s">
        <v>9741</v>
      </c>
      <c r="EQ48" s="148" t="s">
        <v>9732</v>
      </c>
      <c r="ER48" s="148" t="s">
        <v>9722</v>
      </c>
      <c r="ES48" s="148" t="s">
        <v>9722</v>
      </c>
      <c r="ET48" s="148" t="s">
        <v>9725</v>
      </c>
      <c r="EU48" s="148" t="s">
        <v>9702</v>
      </c>
      <c r="EV48" s="148"/>
      <c r="EW48" s="148" t="s">
        <v>9734</v>
      </c>
      <c r="EX48" s="148" t="s">
        <v>9734</v>
      </c>
      <c r="EY48" s="148" t="s">
        <v>9741</v>
      </c>
      <c r="EZ48" s="148" t="s">
        <v>9767</v>
      </c>
      <c r="FA48" s="148" t="s">
        <v>9739</v>
      </c>
      <c r="FB48" s="148" t="s">
        <v>9731</v>
      </c>
      <c r="FC48" s="148" t="s">
        <v>9732</v>
      </c>
      <c r="FD48" s="148" t="s">
        <v>9728</v>
      </c>
      <c r="FE48" s="148" t="s">
        <v>9718</v>
      </c>
      <c r="FF48" s="148" t="s">
        <v>9706</v>
      </c>
      <c r="FG48" s="148" t="s">
        <v>9711</v>
      </c>
      <c r="FH48" s="148" t="s">
        <v>9734</v>
      </c>
      <c r="FI48" s="148" t="s">
        <v>9741</v>
      </c>
      <c r="FJ48" s="148" t="s">
        <v>9728</v>
      </c>
      <c r="FK48" s="148" t="s">
        <v>9726</v>
      </c>
      <c r="FL48" s="148" t="s">
        <v>9747</v>
      </c>
      <c r="FM48" s="148" t="s">
        <v>9739</v>
      </c>
      <c r="FN48" s="148" t="s">
        <v>9726</v>
      </c>
      <c r="FO48" s="148" t="s">
        <v>9739</v>
      </c>
      <c r="FP48" s="148" t="s">
        <v>9750</v>
      </c>
      <c r="FQ48" s="148" t="s">
        <v>9757</v>
      </c>
      <c r="FR48" s="148" t="s">
        <v>9722</v>
      </c>
      <c r="FS48" s="148" t="s">
        <v>9706</v>
      </c>
      <c r="FT48" s="148" t="s">
        <v>9728</v>
      </c>
      <c r="FU48" s="148" t="s">
        <v>9711</v>
      </c>
      <c r="FV48" s="148" t="s">
        <v>9721</v>
      </c>
      <c r="FW48" s="148" t="s">
        <v>9716</v>
      </c>
      <c r="FX48" s="148" t="s">
        <v>9754</v>
      </c>
      <c r="FY48" s="148" t="s">
        <v>9734</v>
      </c>
      <c r="FZ48" s="148" t="s">
        <v>9741</v>
      </c>
      <c r="GA48" s="148" t="s">
        <v>9737</v>
      </c>
      <c r="GB48" s="148" t="s">
        <v>9739</v>
      </c>
      <c r="GC48" s="148" t="s">
        <v>9732</v>
      </c>
      <c r="GD48" s="148" t="s">
        <v>9732</v>
      </c>
      <c r="GE48" s="148" t="s">
        <v>9748</v>
      </c>
      <c r="GF48" s="148" t="s">
        <v>9747</v>
      </c>
      <c r="GG48" s="148" t="s">
        <v>9747</v>
      </c>
      <c r="GH48" s="148" t="s">
        <v>9739</v>
      </c>
      <c r="GI48" s="148" t="s">
        <v>9722</v>
      </c>
      <c r="GJ48" s="148" t="s">
        <v>9739</v>
      </c>
      <c r="GK48" s="148" t="s">
        <v>9745</v>
      </c>
      <c r="GL48" s="148" t="s">
        <v>9739</v>
      </c>
      <c r="GM48" s="148" t="s">
        <v>9734</v>
      </c>
      <c r="GN48" s="148" t="s">
        <v>9722</v>
      </c>
      <c r="GO48" s="148" t="s">
        <v>9741</v>
      </c>
      <c r="GP48" s="148" t="s">
        <v>9741</v>
      </c>
      <c r="GQ48" s="148" t="s">
        <v>9732</v>
      </c>
      <c r="GR48" s="148" t="s">
        <v>9704</v>
      </c>
      <c r="GS48" s="148" t="s">
        <v>9721</v>
      </c>
      <c r="GT48" s="148"/>
      <c r="GU48" s="148"/>
      <c r="GV48" s="148" t="s">
        <v>9710</v>
      </c>
      <c r="GW48" s="148" t="s">
        <v>9752</v>
      </c>
      <c r="GX48" s="148" t="s">
        <v>9740</v>
      </c>
      <c r="GY48" s="148" t="s">
        <v>9723</v>
      </c>
      <c r="GZ48" s="148" t="s">
        <v>9710</v>
      </c>
      <c r="HA48" s="148" t="s">
        <v>9735</v>
      </c>
      <c r="HB48" s="148" t="s">
        <v>9717</v>
      </c>
      <c r="HC48" s="148" t="s">
        <v>9725</v>
      </c>
      <c r="HD48" s="148" t="s">
        <v>9750</v>
      </c>
      <c r="HE48" s="148" t="s">
        <v>9741</v>
      </c>
      <c r="HF48" s="148" t="s">
        <v>9742</v>
      </c>
      <c r="HG48" s="148" t="s">
        <v>9728</v>
      </c>
      <c r="HH48" s="148" t="s">
        <v>9722</v>
      </c>
      <c r="HI48" s="148" t="s">
        <v>9710</v>
      </c>
      <c r="HJ48" s="148" t="s">
        <v>9706</v>
      </c>
      <c r="HK48" s="148" t="s">
        <v>9747</v>
      </c>
      <c r="HL48" s="148" t="s">
        <v>9738</v>
      </c>
      <c r="HM48" s="148" t="s">
        <v>9742</v>
      </c>
      <c r="HN48" s="148" t="s">
        <v>9732</v>
      </c>
      <c r="HO48" s="148" t="s">
        <v>9711</v>
      </c>
      <c r="HP48" s="148" t="s">
        <v>9750</v>
      </c>
      <c r="HQ48" s="148" t="s">
        <v>9730</v>
      </c>
      <c r="HR48" s="148" t="s">
        <v>9756</v>
      </c>
      <c r="HS48" s="148" t="s">
        <v>9734</v>
      </c>
      <c r="HT48" s="148" t="s">
        <v>9737</v>
      </c>
      <c r="HU48" s="148" t="s">
        <v>9731</v>
      </c>
      <c r="HV48" s="148" t="s">
        <v>9724</v>
      </c>
      <c r="HW48" s="148" t="s">
        <v>9754</v>
      </c>
      <c r="HX48" s="148" t="s">
        <v>9754</v>
      </c>
      <c r="HY48" s="148" t="s">
        <v>9742</v>
      </c>
      <c r="HZ48" s="148" t="s">
        <v>9710</v>
      </c>
      <c r="IA48" s="148" t="s">
        <v>9722</v>
      </c>
      <c r="IB48" s="148"/>
      <c r="IC48" s="148" t="s">
        <v>9766</v>
      </c>
      <c r="ID48" s="148" t="s">
        <v>9734</v>
      </c>
      <c r="IE48" s="148" t="s">
        <v>9728</v>
      </c>
      <c r="IF48" s="148" t="s">
        <v>9750</v>
      </c>
      <c r="IG48" s="148" t="s">
        <v>9734</v>
      </c>
      <c r="IH48" s="148" t="s">
        <v>9723</v>
      </c>
      <c r="II48" s="148" t="s">
        <v>9714</v>
      </c>
      <c r="IJ48" s="148" t="s">
        <v>9722</v>
      </c>
      <c r="IK48" s="148" t="s">
        <v>9731</v>
      </c>
      <c r="IL48" s="148" t="s">
        <v>9722</v>
      </c>
      <c r="IM48" s="148" t="s">
        <v>9744</v>
      </c>
      <c r="IN48" s="148" t="s">
        <v>9744</v>
      </c>
      <c r="IO48" s="148" t="s">
        <v>9725</v>
      </c>
      <c r="IP48" s="148" t="s">
        <v>9714</v>
      </c>
      <c r="IQ48" s="148" t="s">
        <v>9713</v>
      </c>
      <c r="IR48" s="148" t="s">
        <v>9718</v>
      </c>
      <c r="IS48" s="148" t="s">
        <v>9728</v>
      </c>
      <c r="IT48" s="148" t="s">
        <v>9727</v>
      </c>
      <c r="IU48" s="148" t="s">
        <v>9718</v>
      </c>
      <c r="IV48" s="148" t="s">
        <v>9751</v>
      </c>
      <c r="IW48" s="148" t="s">
        <v>9732</v>
      </c>
      <c r="IX48" s="148" t="s">
        <v>9706</v>
      </c>
      <c r="IY48" s="148" t="s">
        <v>9747</v>
      </c>
      <c r="IZ48" s="148" t="s">
        <v>9742</v>
      </c>
      <c r="JA48" s="148" t="s">
        <v>9706</v>
      </c>
      <c r="JB48" s="148" t="s">
        <v>9740</v>
      </c>
      <c r="JC48" s="148" t="s">
        <v>9733</v>
      </c>
      <c r="JD48" s="148" t="s">
        <v>9728</v>
      </c>
      <c r="JE48" s="148" t="s">
        <v>9706</v>
      </c>
      <c r="JF48" s="148"/>
      <c r="JG48" s="148"/>
      <c r="JH48" s="148" t="s">
        <v>9741</v>
      </c>
      <c r="JI48" s="148"/>
      <c r="JJ48" s="148" t="s">
        <v>9732</v>
      </c>
      <c r="JK48" s="1746" t="s">
        <v>9737</v>
      </c>
      <c r="JL48" s="1746" t="s">
        <v>9728</v>
      </c>
      <c r="JM48" s="1746" t="s">
        <v>9710</v>
      </c>
      <c r="JN48" s="1746" t="s">
        <v>9739</v>
      </c>
      <c r="JO48" s="1746" t="s">
        <v>9728</v>
      </c>
      <c r="JP48" s="1746" t="s">
        <v>9748</v>
      </c>
      <c r="JQ48" s="1746" t="s">
        <v>9759</v>
      </c>
      <c r="JR48" s="1746" t="s">
        <v>9758</v>
      </c>
      <c r="JS48" s="148" t="s">
        <v>9739</v>
      </c>
      <c r="JT48" s="148" t="s">
        <v>9732</v>
      </c>
      <c r="JU48" s="148" t="s">
        <v>9710</v>
      </c>
      <c r="JV48" s="148" t="s">
        <v>9710</v>
      </c>
      <c r="JW48" s="148" t="s">
        <v>9706</v>
      </c>
      <c r="JX48" s="1746" t="s">
        <v>9734</v>
      </c>
      <c r="JY48" s="1746" t="s">
        <v>9730</v>
      </c>
      <c r="JZ48" s="1746" t="s">
        <v>9739</v>
      </c>
      <c r="KA48" s="1746" t="s">
        <v>9724</v>
      </c>
      <c r="KB48" s="1746" t="s">
        <v>9707</v>
      </c>
      <c r="KC48" s="148" t="s">
        <v>9713</v>
      </c>
      <c r="KD48" s="1746" t="s">
        <v>9725</v>
      </c>
      <c r="KE48" s="1746" t="s">
        <v>9754</v>
      </c>
      <c r="KF48" s="148" t="s">
        <v>9741</v>
      </c>
      <c r="KG48" s="1746" t="s">
        <v>9741</v>
      </c>
      <c r="KH48" s="1746" t="s">
        <v>9732</v>
      </c>
      <c r="KI48" s="1746" t="s">
        <v>9711</v>
      </c>
      <c r="KJ48" s="148" t="s">
        <v>9703</v>
      </c>
      <c r="KK48" s="1746" t="s">
        <v>9751</v>
      </c>
      <c r="KL48" s="1746" t="s">
        <v>9740</v>
      </c>
      <c r="KM48" s="1746" t="s">
        <v>9765</v>
      </c>
      <c r="KN48" s="1746" t="s">
        <v>9760</v>
      </c>
      <c r="KO48" s="148" t="s">
        <v>9722</v>
      </c>
      <c r="KP48" s="1746" t="s">
        <v>9718</v>
      </c>
      <c r="KQ48" s="148" t="s">
        <v>9722</v>
      </c>
      <c r="KR48" s="148" t="s">
        <v>9718</v>
      </c>
      <c r="KS48" s="1746" t="s">
        <v>9753</v>
      </c>
      <c r="KT48" s="1746" t="s">
        <v>9753</v>
      </c>
      <c r="KU48" s="148" t="s">
        <v>9704</v>
      </c>
      <c r="KV48" s="1746" t="s">
        <v>9728</v>
      </c>
      <c r="KW48" s="148" t="s">
        <v>9748</v>
      </c>
      <c r="KX48" s="1746" t="s">
        <v>9734</v>
      </c>
      <c r="KY48" s="1746" t="s">
        <v>9741</v>
      </c>
      <c r="KZ48" s="1746" t="s">
        <v>9757</v>
      </c>
      <c r="LA48" s="1746" t="s">
        <v>9757</v>
      </c>
      <c r="LB48" s="1746" t="s">
        <v>9706</v>
      </c>
      <c r="LC48" s="1746" t="s">
        <v>9706</v>
      </c>
      <c r="LD48" s="148" t="s">
        <v>9734</v>
      </c>
      <c r="LE48" s="1746" t="s">
        <v>9735</v>
      </c>
      <c r="LF48" s="1746" t="s">
        <v>9724</v>
      </c>
      <c r="LG48" s="1746" t="s">
        <v>9739</v>
      </c>
      <c r="LH48" s="148" t="s">
        <v>9732</v>
      </c>
      <c r="LI48" s="1746" t="s">
        <v>9747</v>
      </c>
      <c r="LJ48" s="1746" t="s">
        <v>9734</v>
      </c>
      <c r="LK48" s="1746" t="s">
        <v>9751</v>
      </c>
      <c r="LL48" s="1746" t="s">
        <v>9738</v>
      </c>
      <c r="LM48" s="1746" t="s">
        <v>9735</v>
      </c>
      <c r="LN48" s="1746" t="s">
        <v>9721</v>
      </c>
      <c r="LO48" s="1746" t="s">
        <v>9722</v>
      </c>
      <c r="LP48" s="148" t="s">
        <v>9710</v>
      </c>
      <c r="LQ48" s="1746" t="s">
        <v>9747</v>
      </c>
      <c r="LR48" s="1746" t="s">
        <v>9734</v>
      </c>
      <c r="LS48" s="148" t="s">
        <v>9706</v>
      </c>
      <c r="LT48" s="1746" t="s">
        <v>9737</v>
      </c>
      <c r="LU48" s="148" t="s">
        <v>9729</v>
      </c>
      <c r="LV48" s="1746" t="s">
        <v>9734</v>
      </c>
      <c r="LW48" s="148" t="s">
        <v>9706</v>
      </c>
      <c r="LX48" s="148" t="s">
        <v>9725</v>
      </c>
      <c r="LY48" s="1746" t="s">
        <v>9740</v>
      </c>
      <c r="LZ48" s="1746" t="s">
        <v>9721</v>
      </c>
      <c r="MA48" s="1746" t="s">
        <v>9722</v>
      </c>
      <c r="MB48" s="1746" t="s">
        <v>9754</v>
      </c>
      <c r="MC48" s="148" t="s">
        <v>9734</v>
      </c>
      <c r="MD48" s="1746" t="s">
        <v>9728</v>
      </c>
      <c r="ME48" s="1746" t="s">
        <v>9727</v>
      </c>
      <c r="MF48" s="1746" t="s">
        <v>9722</v>
      </c>
      <c r="MG48" s="148" t="s">
        <v>9718</v>
      </c>
      <c r="MH48" s="1746" t="s">
        <v>9742</v>
      </c>
      <c r="MI48" s="1746" t="s">
        <v>9744</v>
      </c>
      <c r="MJ48" s="1746" t="s">
        <v>9734</v>
      </c>
      <c r="MK48" s="1746" t="s">
        <v>9741</v>
      </c>
      <c r="ML48" s="1746"/>
      <c r="MM48" s="148" t="s">
        <v>9743</v>
      </c>
      <c r="MN48" s="148" t="s">
        <v>9722</v>
      </c>
      <c r="MO48" s="148" t="s">
        <v>9723</v>
      </c>
      <c r="MP48" s="1746" t="s">
        <v>9724</v>
      </c>
      <c r="MQ48" s="1746" t="s">
        <v>9721</v>
      </c>
      <c r="MR48" s="1746" t="s">
        <v>9728</v>
      </c>
      <c r="MS48" s="148" t="s">
        <v>9722</v>
      </c>
      <c r="MT48" s="148" t="s">
        <v>9732</v>
      </c>
      <c r="MU48" s="1746" t="s">
        <v>9724</v>
      </c>
      <c r="MV48" s="148" t="s">
        <v>9719</v>
      </c>
      <c r="MW48" s="1746"/>
      <c r="MX48" s="1746" t="s">
        <v>9739</v>
      </c>
      <c r="MY48" s="148" t="s">
        <v>9732</v>
      </c>
      <c r="MZ48" s="1746" t="s">
        <v>9747</v>
      </c>
      <c r="NA48" s="1746" t="s">
        <v>9739</v>
      </c>
      <c r="NB48" s="148" t="s">
        <v>9756</v>
      </c>
      <c r="NC48" s="1746"/>
      <c r="ND48" s="1746" t="s">
        <v>9747</v>
      </c>
      <c r="NE48" s="1746" t="s">
        <v>9734</v>
      </c>
      <c r="NF48" s="148" t="s">
        <v>9741</v>
      </c>
      <c r="NG48" s="1746" t="s">
        <v>9761</v>
      </c>
      <c r="NH48" s="1746" t="s">
        <v>9734</v>
      </c>
      <c r="NI48" s="148" t="s">
        <v>9734</v>
      </c>
      <c r="NJ48" s="148" t="s">
        <v>9716</v>
      </c>
      <c r="NK48" s="1746"/>
      <c r="NL48" s="1746" t="s">
        <v>9732</v>
      </c>
      <c r="NM48" s="1746" t="s">
        <v>9732</v>
      </c>
      <c r="NN48" s="1746" t="s">
        <v>9728</v>
      </c>
      <c r="NO48" s="1746" t="s">
        <v>9748</v>
      </c>
      <c r="NP48" s="1746" t="s">
        <v>9748</v>
      </c>
      <c r="NQ48" s="1746" t="s">
        <v>9715</v>
      </c>
      <c r="NR48" s="1746" t="s">
        <v>9715</v>
      </c>
      <c r="NS48" s="1746" t="s">
        <v>9718</v>
      </c>
      <c r="NT48" s="1746" t="s">
        <v>9719</v>
      </c>
      <c r="NU48" s="1746" t="s">
        <v>9713</v>
      </c>
      <c r="NV48" s="1746" t="s">
        <v>9718</v>
      </c>
      <c r="NW48" s="1746" t="s">
        <v>9715</v>
      </c>
      <c r="NX48" s="1746" t="s">
        <v>9715</v>
      </c>
      <c r="NY48" s="1746" t="s">
        <v>9715</v>
      </c>
      <c r="NZ48" s="1746" t="s">
        <v>9715</v>
      </c>
      <c r="OA48" s="1746" t="s">
        <v>9742</v>
      </c>
      <c r="OB48" s="1746" t="s">
        <v>9742</v>
      </c>
      <c r="OC48" s="1746" t="s">
        <v>9706</v>
      </c>
      <c r="OD48" s="1746" t="s">
        <v>9728</v>
      </c>
      <c r="OE48" s="1746" t="s">
        <v>9731</v>
      </c>
      <c r="OF48" s="1746" t="s">
        <v>9703</v>
      </c>
      <c r="OG48" s="1746" t="s">
        <v>9734</v>
      </c>
      <c r="OH48" s="1746" t="s">
        <v>9742</v>
      </c>
      <c r="OI48" s="1746" t="s">
        <v>9716</v>
      </c>
      <c r="OJ48" s="1746" t="s">
        <v>9759</v>
      </c>
      <c r="OK48" s="1746" t="s">
        <v>9759</v>
      </c>
      <c r="OL48" s="1746" t="s">
        <v>9758</v>
      </c>
      <c r="OM48" s="1746" t="s">
        <v>9732</v>
      </c>
      <c r="ON48" s="1746" t="s">
        <v>9722</v>
      </c>
      <c r="OO48" s="1746"/>
      <c r="OP48" s="148" t="s">
        <v>9739</v>
      </c>
      <c r="OQ48" s="1746" t="s">
        <v>9739</v>
      </c>
      <c r="OR48" s="1746" t="s">
        <v>9739</v>
      </c>
      <c r="OS48" s="1746" t="s">
        <v>9750</v>
      </c>
      <c r="OT48" s="1746" t="s">
        <v>9734</v>
      </c>
      <c r="OU48" s="1746" t="s">
        <v>9745</v>
      </c>
      <c r="OV48" s="1746" t="s">
        <v>9718</v>
      </c>
      <c r="OW48" s="1746" t="s">
        <v>9719</v>
      </c>
      <c r="OX48" s="1746" t="s">
        <v>9703</v>
      </c>
      <c r="OY48" s="1746" t="s">
        <v>9723</v>
      </c>
      <c r="OZ48" s="1746"/>
      <c r="PA48" s="1746" t="s">
        <v>9732</v>
      </c>
      <c r="PB48" s="1746" t="s">
        <v>9741</v>
      </c>
      <c r="PC48" s="1746" t="s">
        <v>9742</v>
      </c>
      <c r="PD48" s="1746" t="s">
        <v>9730</v>
      </c>
      <c r="PE48" s="1746"/>
      <c r="PF48" s="1746" t="s">
        <v>9755</v>
      </c>
      <c r="PG48" s="148" t="s">
        <v>9739</v>
      </c>
      <c r="PH48" s="1746" t="s">
        <v>9734</v>
      </c>
      <c r="PI48" s="1746" t="s">
        <v>9718</v>
      </c>
      <c r="PJ48" s="1746" t="s">
        <v>9747</v>
      </c>
      <c r="PK48" s="1746" t="s">
        <v>9739</v>
      </c>
      <c r="PL48" s="1746"/>
      <c r="PM48" s="1746" t="s">
        <v>9741</v>
      </c>
      <c r="PN48" s="1746" t="s">
        <v>9718</v>
      </c>
      <c r="PO48" s="1746" t="s">
        <v>9733</v>
      </c>
      <c r="PP48" s="1746" t="s">
        <v>9733</v>
      </c>
      <c r="PQ48" s="1746" t="s">
        <v>9733</v>
      </c>
      <c r="PR48" s="148" t="s">
        <v>9722</v>
      </c>
      <c r="PS48" s="1746" t="s">
        <v>9710</v>
      </c>
      <c r="PT48" s="1746" t="s">
        <v>9726</v>
      </c>
      <c r="PU48" s="1746" t="s">
        <v>9710</v>
      </c>
      <c r="PV48" s="1746" t="s">
        <v>9722</v>
      </c>
      <c r="PW48" s="1746" t="s">
        <v>9724</v>
      </c>
      <c r="PX48" s="1746" t="s">
        <v>9724</v>
      </c>
      <c r="PY48" s="148" t="s">
        <v>9710</v>
      </c>
      <c r="PZ48" s="1746" t="s">
        <v>9732</v>
      </c>
      <c r="QA48" s="1746" t="s">
        <v>9721</v>
      </c>
      <c r="QB48" s="1746" t="s">
        <v>9734</v>
      </c>
      <c r="QC48" s="1746" t="s">
        <v>9711</v>
      </c>
      <c r="QD48" s="1746" t="s">
        <v>9728</v>
      </c>
      <c r="QE48" s="1746" t="s">
        <v>9758</v>
      </c>
      <c r="QF48" s="1746" t="s">
        <v>9724</v>
      </c>
      <c r="QG48" s="1746" t="s">
        <v>9736</v>
      </c>
      <c r="QH48" s="1746" t="s">
        <v>9732</v>
      </c>
      <c r="QI48" s="1746" t="s">
        <v>9722</v>
      </c>
      <c r="QJ48" s="1746" t="s">
        <v>9719</v>
      </c>
      <c r="QK48" s="1746" t="s">
        <v>9732</v>
      </c>
      <c r="QL48" s="148" t="s">
        <v>9718</v>
      </c>
      <c r="QM48" s="1746" t="s">
        <v>9747</v>
      </c>
      <c r="QN48" s="1746" t="s">
        <v>9734</v>
      </c>
      <c r="QO48" s="1746" t="s">
        <v>9727</v>
      </c>
      <c r="QP48" s="1746" t="s">
        <v>9722</v>
      </c>
      <c r="QQ48" s="1746" t="s">
        <v>9710</v>
      </c>
      <c r="QR48" s="1746" t="s">
        <v>9706</v>
      </c>
      <c r="QS48" s="1746" t="s">
        <v>9737</v>
      </c>
      <c r="QT48" s="1746" t="s">
        <v>9747</v>
      </c>
      <c r="QU48" s="1746" t="s">
        <v>9734</v>
      </c>
      <c r="QV48" s="1746" t="s">
        <v>9761</v>
      </c>
      <c r="QW48" s="148" t="s">
        <v>9730</v>
      </c>
      <c r="QX48" s="148" t="s">
        <v>9723</v>
      </c>
      <c r="QY48" s="148" t="s">
        <v>9718</v>
      </c>
      <c r="QZ48" s="148" t="s">
        <v>9750</v>
      </c>
      <c r="RA48" s="148" t="s">
        <v>9713</v>
      </c>
      <c r="RB48" s="148" t="s">
        <v>9719</v>
      </c>
      <c r="RC48" s="1746" t="s">
        <v>9710</v>
      </c>
      <c r="RD48" s="148" t="s">
        <v>9711</v>
      </c>
      <c r="RE48" s="1746" t="s">
        <v>9722</v>
      </c>
      <c r="RF48" s="148" t="s">
        <v>9711</v>
      </c>
      <c r="RG48" s="148" t="s">
        <v>9737</v>
      </c>
      <c r="RH48" s="1746" t="s">
        <v>9732</v>
      </c>
      <c r="RI48" s="1746" t="s">
        <v>9741</v>
      </c>
      <c r="RJ48" s="148" t="s">
        <v>9706</v>
      </c>
      <c r="RK48" s="148" t="s">
        <v>9732</v>
      </c>
      <c r="RL48" s="148" t="s">
        <v>9710</v>
      </c>
      <c r="RM48" s="148" t="s">
        <v>9723</v>
      </c>
      <c r="RN48" s="148" t="s">
        <v>9741</v>
      </c>
      <c r="RO48" s="148" t="s">
        <v>9722</v>
      </c>
      <c r="RP48" s="148" t="s">
        <v>9718</v>
      </c>
      <c r="RQ48" s="1746" t="s">
        <v>9750</v>
      </c>
      <c r="RR48" s="1746" t="s">
        <v>9750</v>
      </c>
      <c r="RS48" s="1746" t="s">
        <v>9750</v>
      </c>
      <c r="RT48" s="1746" t="s">
        <v>9750</v>
      </c>
      <c r="RU48" s="1746" t="s">
        <v>9750</v>
      </c>
      <c r="RV48" s="1746" t="s">
        <v>9750</v>
      </c>
      <c r="RW48" s="1746" t="s">
        <v>9720</v>
      </c>
      <c r="RX48" s="1746" t="s">
        <v>9720</v>
      </c>
      <c r="RY48" s="1746" t="s">
        <v>9720</v>
      </c>
      <c r="RZ48" s="148" t="s">
        <v>9720</v>
      </c>
      <c r="SA48" s="1746" t="s">
        <v>9725</v>
      </c>
      <c r="SB48" s="1746" t="s">
        <v>9732</v>
      </c>
      <c r="SC48" s="148" t="s">
        <v>9729</v>
      </c>
      <c r="SD48" s="1746" t="s">
        <v>9718</v>
      </c>
      <c r="SE48" s="1746" t="s">
        <v>9718</v>
      </c>
      <c r="SF48" s="1746" t="s">
        <v>9730</v>
      </c>
      <c r="SG48" s="1746" t="s">
        <v>9754</v>
      </c>
      <c r="SH48" s="1746" t="s">
        <v>9730</v>
      </c>
      <c r="SI48" s="1746" t="s">
        <v>9707</v>
      </c>
      <c r="SJ48" s="1746" t="s">
        <v>9739</v>
      </c>
      <c r="SK48" s="1746" t="s">
        <v>9739</v>
      </c>
      <c r="SL48" s="1746"/>
    </row>
    <row r="49" ht="15.75" customHeight="1">
      <c r="A49" s="1517"/>
      <c r="B49" s="131" t="s">
        <v>9754</v>
      </c>
      <c r="C49" s="131" t="s">
        <v>9754</v>
      </c>
      <c r="D49" s="131" t="s">
        <v>9734</v>
      </c>
      <c r="E49" s="1739" t="s">
        <v>9738</v>
      </c>
      <c r="F49" s="1739" t="s">
        <v>9738</v>
      </c>
      <c r="G49" s="1739" t="s">
        <v>9706</v>
      </c>
      <c r="H49" s="387" t="s">
        <v>9734</v>
      </c>
      <c r="I49" s="387" t="s">
        <v>9734</v>
      </c>
      <c r="J49" s="387" t="s">
        <v>9748</v>
      </c>
      <c r="K49" s="131"/>
      <c r="L49" s="131"/>
      <c r="M49" s="1740" t="s">
        <v>9732</v>
      </c>
      <c r="N49" s="1741"/>
      <c r="O49" s="339"/>
      <c r="P49" s="339" t="s">
        <v>9737</v>
      </c>
      <c r="Q49" s="1741" t="s">
        <v>9768</v>
      </c>
      <c r="R49" s="1741" t="s">
        <v>9768</v>
      </c>
      <c r="S49" s="1741" t="s">
        <v>9754</v>
      </c>
      <c r="T49" s="448" t="s">
        <v>9750</v>
      </c>
      <c r="U49" s="1741" t="s">
        <v>9710</v>
      </c>
      <c r="V49" s="1741" t="s">
        <v>9768</v>
      </c>
      <c r="W49" s="1741" t="s">
        <v>9754</v>
      </c>
      <c r="X49" s="448" t="s">
        <v>9734</v>
      </c>
      <c r="Y49" s="448" t="s">
        <v>9740</v>
      </c>
      <c r="Z49" s="339" t="s">
        <v>9734</v>
      </c>
      <c r="AA49" s="339" t="s">
        <v>9732</v>
      </c>
      <c r="AB49" s="339" t="s">
        <v>9752</v>
      </c>
      <c r="AC49" s="339" t="s">
        <v>9732</v>
      </c>
      <c r="AD49" s="387" t="s">
        <v>9732</v>
      </c>
      <c r="AE49" s="387" t="s">
        <v>9732</v>
      </c>
      <c r="AF49" s="387" t="s">
        <v>9713</v>
      </c>
      <c r="AG49" s="448" t="s">
        <v>9753</v>
      </c>
      <c r="AH49" s="448" t="s">
        <v>9753</v>
      </c>
      <c r="AI49" s="448" t="s">
        <v>9713</v>
      </c>
      <c r="AJ49" s="1742" t="s">
        <v>9715</v>
      </c>
      <c r="AK49" s="1742" t="s">
        <v>9704</v>
      </c>
      <c r="AL49" s="1741" t="s">
        <v>9764</v>
      </c>
      <c r="AM49" s="339" t="s">
        <v>9740</v>
      </c>
      <c r="AN49" s="1742" t="s">
        <v>9713</v>
      </c>
      <c r="AO49" s="1742" t="s">
        <v>9725</v>
      </c>
      <c r="AP49" s="448" t="s">
        <v>9740</v>
      </c>
      <c r="AQ49" s="448" t="s">
        <v>9732</v>
      </c>
      <c r="AR49" s="387" t="s">
        <v>9754</v>
      </c>
      <c r="AS49" s="387" t="s">
        <v>9757</v>
      </c>
      <c r="AT49" s="1739" t="s">
        <v>9734</v>
      </c>
      <c r="AU49" s="1739" t="s">
        <v>9745</v>
      </c>
      <c r="AV49" s="1739" t="s">
        <v>9741</v>
      </c>
      <c r="AW49" s="457"/>
      <c r="AX49" s="448" t="s">
        <v>9737</v>
      </c>
      <c r="AY49" s="1741" t="s">
        <v>9739</v>
      </c>
      <c r="AZ49" s="1741" t="s">
        <v>9742</v>
      </c>
      <c r="BA49" s="339" t="s">
        <v>9724</v>
      </c>
      <c r="BB49" s="339" t="s">
        <v>9706</v>
      </c>
      <c r="BC49" s="339" t="s">
        <v>9732</v>
      </c>
      <c r="BD49" s="387" t="s">
        <v>9748</v>
      </c>
      <c r="BE49" s="1741" t="s">
        <v>9710</v>
      </c>
      <c r="BF49" s="1741" t="s">
        <v>9706</v>
      </c>
      <c r="BG49" s="1741" t="s">
        <v>9747</v>
      </c>
      <c r="BH49" s="1741" t="s">
        <v>9738</v>
      </c>
      <c r="BI49" s="387" t="s">
        <v>9761</v>
      </c>
      <c r="BJ49" s="387" t="s">
        <v>9734</v>
      </c>
      <c r="BK49" s="387" t="s">
        <v>9710</v>
      </c>
      <c r="BL49" s="1741" t="s">
        <v>9710</v>
      </c>
      <c r="BM49" s="1741" t="s">
        <v>9710</v>
      </c>
      <c r="BN49" s="1741" t="s">
        <v>9706</v>
      </c>
      <c r="BO49" s="1743" t="s">
        <v>9732</v>
      </c>
      <c r="BP49" s="1743" t="s">
        <v>9732</v>
      </c>
      <c r="BQ49" s="1743" t="s">
        <v>9728</v>
      </c>
      <c r="BR49" s="131" t="s">
        <v>9747</v>
      </c>
      <c r="BS49" s="131" t="s">
        <v>9747</v>
      </c>
      <c r="BT49" s="131" t="s">
        <v>9739</v>
      </c>
      <c r="BU49" s="387" t="s">
        <v>9749</v>
      </c>
      <c r="BV49" s="387" t="s">
        <v>9734</v>
      </c>
      <c r="BW49" s="1741" t="s">
        <v>9760</v>
      </c>
      <c r="BX49" s="1741" t="s">
        <v>9760</v>
      </c>
      <c r="BY49" s="1741" t="s">
        <v>9732</v>
      </c>
      <c r="BZ49" s="339"/>
      <c r="CA49" s="339" t="s">
        <v>9747</v>
      </c>
      <c r="CB49" s="1742" t="s">
        <v>9718</v>
      </c>
      <c r="CC49" s="1742" t="s">
        <v>9713</v>
      </c>
      <c r="CD49" s="1743" t="s">
        <v>9739</v>
      </c>
      <c r="CE49" s="1743" t="s">
        <v>9752</v>
      </c>
      <c r="CF49" s="1741" t="s">
        <v>9747</v>
      </c>
      <c r="CG49" s="1741"/>
      <c r="CH49" s="1741" t="s">
        <v>9747</v>
      </c>
      <c r="CI49" s="1740" t="s">
        <v>9761</v>
      </c>
      <c r="CJ49" s="1740" t="s">
        <v>9739</v>
      </c>
      <c r="CK49" s="448" t="s">
        <v>9706</v>
      </c>
      <c r="CL49" s="448" t="s">
        <v>9711</v>
      </c>
      <c r="CM49" s="457"/>
      <c r="CN49" s="448" t="s">
        <v>9739</v>
      </c>
      <c r="CO49" s="448" t="s">
        <v>9732</v>
      </c>
      <c r="CP49" s="448" t="s">
        <v>9728</v>
      </c>
      <c r="CQ49" s="448" t="s">
        <v>9710</v>
      </c>
      <c r="CR49" s="1743" t="s">
        <v>9744</v>
      </c>
      <c r="CS49" s="339" t="s">
        <v>9721</v>
      </c>
      <c r="CT49" s="339" t="s">
        <v>9710</v>
      </c>
      <c r="CU49" s="1739" t="s">
        <v>9734</v>
      </c>
      <c r="CV49" s="1739" t="s">
        <v>9741</v>
      </c>
      <c r="CW49" s="1739" t="s">
        <v>9747</v>
      </c>
      <c r="CX49" s="1739" t="s">
        <v>9752</v>
      </c>
      <c r="CY49" s="1742" t="s">
        <v>9737</v>
      </c>
      <c r="CZ49" s="339" t="s">
        <v>9735</v>
      </c>
      <c r="DA49" s="1741" t="s">
        <v>9710</v>
      </c>
      <c r="DB49" s="1741" t="s">
        <v>9706</v>
      </c>
      <c r="DC49" s="1741" t="s">
        <v>9751</v>
      </c>
      <c r="DD49" s="1741" t="s">
        <v>9734</v>
      </c>
      <c r="DE49" s="1742" t="s">
        <v>9720</v>
      </c>
      <c r="DF49" s="448" t="s">
        <v>9738</v>
      </c>
      <c r="DG49" s="448" t="s">
        <v>9732</v>
      </c>
      <c r="DH49" s="1743" t="s">
        <v>9722</v>
      </c>
      <c r="DI49" s="1743" t="s">
        <v>9723</v>
      </c>
      <c r="DJ49" s="1742" t="s">
        <v>9712</v>
      </c>
      <c r="DK49" s="387" t="s">
        <v>9745</v>
      </c>
      <c r="DL49" s="1741" t="s">
        <v>9725</v>
      </c>
      <c r="DM49" s="387" t="s">
        <v>9765</v>
      </c>
      <c r="DN49" s="387" t="s">
        <v>9762</v>
      </c>
      <c r="DO49" s="1739"/>
      <c r="DP49" s="1739" t="s">
        <v>9761</v>
      </c>
      <c r="DQ49" s="1741" t="s">
        <v>9752</v>
      </c>
      <c r="DR49" s="448" t="s">
        <v>9741</v>
      </c>
      <c r="DS49" s="1742" t="s">
        <v>9703</v>
      </c>
      <c r="DT49" s="131" t="s">
        <v>9755</v>
      </c>
      <c r="DU49" s="1739" t="s">
        <v>9722</v>
      </c>
      <c r="DV49" s="339" t="s">
        <v>9732</v>
      </c>
      <c r="DW49" s="1739" t="s">
        <v>9738</v>
      </c>
      <c r="DX49" s="1741" t="s">
        <v>9732</v>
      </c>
      <c r="DY49" s="1741" t="s">
        <v>9718</v>
      </c>
      <c r="DZ49" s="1739"/>
      <c r="EA49" s="387" t="s">
        <v>9722</v>
      </c>
      <c r="EB49" s="387" t="s">
        <v>9732</v>
      </c>
      <c r="EC49" s="448"/>
      <c r="ED49" s="1741"/>
      <c r="EE49" s="387" t="s">
        <v>9734</v>
      </c>
      <c r="EF49" s="339" t="s">
        <v>9737</v>
      </c>
      <c r="EG49" s="1739" t="s">
        <v>9734</v>
      </c>
      <c r="EH49" s="1742" t="s">
        <v>9732</v>
      </c>
      <c r="EI49" s="387" t="s">
        <v>9751</v>
      </c>
      <c r="EJ49" s="387" t="s">
        <v>9752</v>
      </c>
      <c r="EK49" s="1741" t="s">
        <v>9734</v>
      </c>
      <c r="EL49" s="1741" t="s">
        <v>9732</v>
      </c>
      <c r="EM49" s="448" t="s">
        <v>9706</v>
      </c>
      <c r="EN49" s="1744" t="s">
        <v>9719</v>
      </c>
      <c r="EO49" s="387" t="s">
        <v>9741</v>
      </c>
      <c r="EP49" s="339" t="s">
        <v>9737</v>
      </c>
      <c r="EQ49" s="339" t="s">
        <v>9738</v>
      </c>
      <c r="ER49" s="387" t="s">
        <v>9706</v>
      </c>
      <c r="ES49" s="387" t="s">
        <v>9706</v>
      </c>
      <c r="ET49" s="1741" t="s">
        <v>9713</v>
      </c>
      <c r="EU49" s="448" t="s">
        <v>9708</v>
      </c>
      <c r="EV49" s="1742"/>
      <c r="EW49" s="131" t="s">
        <v>9739</v>
      </c>
      <c r="EX49" s="131" t="s">
        <v>9739</v>
      </c>
      <c r="EY49" s="131" t="s">
        <v>9737</v>
      </c>
      <c r="EZ49" s="339"/>
      <c r="FA49" s="339" t="s">
        <v>9747</v>
      </c>
      <c r="FB49" s="339" t="s">
        <v>9748</v>
      </c>
      <c r="FC49" s="387" t="s">
        <v>9753</v>
      </c>
      <c r="FD49" s="387" t="s">
        <v>9732</v>
      </c>
      <c r="FE49" s="387" t="s">
        <v>9722</v>
      </c>
      <c r="FF49" s="1741" t="s">
        <v>9710</v>
      </c>
      <c r="FG49" s="1741" t="s">
        <v>9718</v>
      </c>
      <c r="FH49" s="1741" t="s">
        <v>9739</v>
      </c>
      <c r="FI49" s="1741" t="s">
        <v>9743</v>
      </c>
      <c r="FJ49" s="1739" t="s">
        <v>9732</v>
      </c>
      <c r="FK49" s="1739" t="s">
        <v>9748</v>
      </c>
      <c r="FL49" s="131" t="s">
        <v>9754</v>
      </c>
      <c r="FM49" s="1739" t="s">
        <v>9749</v>
      </c>
      <c r="FN49" s="448" t="s">
        <v>9732</v>
      </c>
      <c r="FO49" s="387" t="s">
        <v>9747</v>
      </c>
      <c r="FP49" s="387" t="s">
        <v>9734</v>
      </c>
      <c r="FQ49" s="339" t="s">
        <v>9747</v>
      </c>
      <c r="FR49" s="1742" t="s">
        <v>9706</v>
      </c>
      <c r="FS49" s="1742" t="s">
        <v>9728</v>
      </c>
      <c r="FT49" s="1740" t="s">
        <v>9732</v>
      </c>
      <c r="FU49" s="1740" t="s">
        <v>9718</v>
      </c>
      <c r="FV49" s="131" t="s">
        <v>9726</v>
      </c>
      <c r="FW49" s="131" t="s">
        <v>9721</v>
      </c>
      <c r="FX49" s="1740"/>
      <c r="FY49" s="1742" t="s">
        <v>9739</v>
      </c>
      <c r="FZ49" s="339" t="s">
        <v>9737</v>
      </c>
      <c r="GA49" s="131" t="s">
        <v>9745</v>
      </c>
      <c r="GB49" s="387" t="s">
        <v>9757</v>
      </c>
      <c r="GC49" s="387" t="s">
        <v>9741</v>
      </c>
      <c r="GD49" s="1741" t="s">
        <v>9735</v>
      </c>
      <c r="GE49" s="131" t="s">
        <v>9728</v>
      </c>
      <c r="GF49" s="1742" t="s">
        <v>9758</v>
      </c>
      <c r="GG49" s="131" t="s">
        <v>9758</v>
      </c>
      <c r="GH49" s="387" t="s">
        <v>9757</v>
      </c>
      <c r="GI49" s="448" t="s">
        <v>9706</v>
      </c>
      <c r="GJ49" s="339" t="s">
        <v>9757</v>
      </c>
      <c r="GK49" s="339" t="s">
        <v>9734</v>
      </c>
      <c r="GL49" s="1739" t="s">
        <v>9747</v>
      </c>
      <c r="GM49" s="387" t="s">
        <v>9739</v>
      </c>
      <c r="GN49" s="387" t="s">
        <v>9706</v>
      </c>
      <c r="GO49" s="448" t="s">
        <v>9737</v>
      </c>
      <c r="GP49" s="1744" t="s">
        <v>9737</v>
      </c>
      <c r="GQ49" s="1744" t="s">
        <v>9733</v>
      </c>
      <c r="GR49" s="1742" t="s">
        <v>9713</v>
      </c>
      <c r="GS49" s="1743" t="s">
        <v>9724</v>
      </c>
      <c r="GT49" s="1744"/>
      <c r="GU49" s="387"/>
      <c r="GV49" s="339" t="s">
        <v>9721</v>
      </c>
      <c r="GW49" s="1743" t="s">
        <v>9742</v>
      </c>
      <c r="GX49" s="448" t="s">
        <v>9741</v>
      </c>
      <c r="GY49" s="339" t="s">
        <v>9711</v>
      </c>
      <c r="GZ49" s="448" t="s">
        <v>9716</v>
      </c>
      <c r="HA49" s="1743" t="s">
        <v>9740</v>
      </c>
      <c r="HB49" s="1742" t="s">
        <v>9719</v>
      </c>
      <c r="HC49" s="448" t="s">
        <v>9713</v>
      </c>
      <c r="HD49" s="1743" t="s">
        <v>9752</v>
      </c>
      <c r="HE49" s="1739" t="s">
        <v>9745</v>
      </c>
      <c r="HF49" s="339" t="s">
        <v>9734</v>
      </c>
      <c r="HG49" s="387" t="s">
        <v>9732</v>
      </c>
      <c r="HH49" s="1744" t="s">
        <v>9706</v>
      </c>
      <c r="HI49" s="1741" t="s">
        <v>9728</v>
      </c>
      <c r="HJ49" s="1741" t="s">
        <v>9710</v>
      </c>
      <c r="HK49" s="1739" t="s">
        <v>9754</v>
      </c>
      <c r="HL49" s="1739" t="s">
        <v>9735</v>
      </c>
      <c r="HM49" s="1741" t="s">
        <v>9734</v>
      </c>
      <c r="HN49" s="1741" t="s">
        <v>9741</v>
      </c>
      <c r="HO49" s="1742" t="s">
        <v>9718</v>
      </c>
      <c r="HP49" s="1743" t="s">
        <v>9734</v>
      </c>
      <c r="HQ49" s="1739" t="s">
        <v>9732</v>
      </c>
      <c r="HR49" s="1739" t="s">
        <v>9734</v>
      </c>
      <c r="HS49" s="448" t="s">
        <v>9751</v>
      </c>
      <c r="HT49" s="1743" t="s">
        <v>9745</v>
      </c>
      <c r="HU49" s="1744" t="s">
        <v>9732</v>
      </c>
      <c r="HV49" s="1744" t="s">
        <v>9731</v>
      </c>
      <c r="HW49" s="387" t="s">
        <v>9762</v>
      </c>
      <c r="HX49" s="387" t="s">
        <v>9766</v>
      </c>
      <c r="HY49" s="1743" t="s">
        <v>9734</v>
      </c>
      <c r="HZ49" s="1739" t="s">
        <v>9732</v>
      </c>
      <c r="IA49" s="1741" t="s">
        <v>9706</v>
      </c>
      <c r="IB49" s="1740"/>
      <c r="IC49" s="448" t="s">
        <v>9769</v>
      </c>
      <c r="ID49" s="1741" t="s">
        <v>9751</v>
      </c>
      <c r="IE49" s="1742" t="s">
        <v>9732</v>
      </c>
      <c r="IF49" s="339" t="s">
        <v>9734</v>
      </c>
      <c r="IG49" s="1739" t="s">
        <v>9739</v>
      </c>
      <c r="IH49" s="1742" t="s">
        <v>9711</v>
      </c>
      <c r="II49" s="1742" t="s">
        <v>9712</v>
      </c>
      <c r="IJ49" s="339" t="s">
        <v>9732</v>
      </c>
      <c r="IK49" s="1741" t="s">
        <v>9732</v>
      </c>
      <c r="IL49" s="387" t="s">
        <v>9732</v>
      </c>
      <c r="IM49" s="131" t="s">
        <v>9760</v>
      </c>
      <c r="IN49" s="1743" t="s">
        <v>9760</v>
      </c>
      <c r="IO49" s="131" t="s">
        <v>9713</v>
      </c>
      <c r="IP49" s="1740" t="s">
        <v>9704</v>
      </c>
      <c r="IQ49" s="1739" t="s">
        <v>9720</v>
      </c>
      <c r="IR49" s="131" t="s">
        <v>9722</v>
      </c>
      <c r="IS49" s="131" t="s">
        <v>9732</v>
      </c>
      <c r="IT49" s="131" t="s">
        <v>9728</v>
      </c>
      <c r="IU49" s="131" t="s">
        <v>9722</v>
      </c>
      <c r="IV49" s="1739" t="s">
        <v>9739</v>
      </c>
      <c r="IW49" s="1739" t="s">
        <v>9738</v>
      </c>
      <c r="IX49" s="1739" t="s">
        <v>9731</v>
      </c>
      <c r="IY49" s="387" t="s">
        <v>9754</v>
      </c>
      <c r="IZ49" s="387" t="s">
        <v>9734</v>
      </c>
      <c r="JA49" s="387" t="s">
        <v>9748</v>
      </c>
      <c r="JB49" s="1743" t="s">
        <v>9734</v>
      </c>
      <c r="JC49" s="1743" t="s">
        <v>9740</v>
      </c>
      <c r="JD49" s="1741" t="s">
        <v>9732</v>
      </c>
      <c r="JE49" s="1740" t="s">
        <v>9710</v>
      </c>
      <c r="JF49" s="1739"/>
      <c r="JG49" s="1740"/>
      <c r="JH49" s="339" t="s">
        <v>9737</v>
      </c>
      <c r="JI49" s="448"/>
      <c r="JJ49" s="131" t="s">
        <v>9741</v>
      </c>
      <c r="JK49" s="131" t="s">
        <v>9745</v>
      </c>
      <c r="JL49" s="131" t="s">
        <v>9732</v>
      </c>
      <c r="JM49" s="131" t="s">
        <v>9748</v>
      </c>
      <c r="JN49" s="1741" t="s">
        <v>9757</v>
      </c>
      <c r="JO49" s="1741" t="s">
        <v>9732</v>
      </c>
      <c r="JP49" s="1741" t="s">
        <v>9730</v>
      </c>
      <c r="JQ49" s="387" t="s">
        <v>9768</v>
      </c>
      <c r="JR49" s="387" t="s">
        <v>9754</v>
      </c>
      <c r="JS49" s="1740" t="s">
        <v>9747</v>
      </c>
      <c r="JT49" s="339" t="s">
        <v>9740</v>
      </c>
      <c r="JU49" s="1740" t="s">
        <v>9721</v>
      </c>
      <c r="JV49" s="1740" t="s">
        <v>9721</v>
      </c>
      <c r="JW49" s="1740" t="s">
        <v>9710</v>
      </c>
      <c r="JX49" s="387" t="s">
        <v>9739</v>
      </c>
      <c r="JY49" s="387" t="s">
        <v>9732</v>
      </c>
      <c r="JZ49" s="1741" t="s">
        <v>9757</v>
      </c>
      <c r="KA49" s="131" t="s">
        <v>9748</v>
      </c>
      <c r="KB49" s="1741" t="s">
        <v>9711</v>
      </c>
      <c r="KC49" s="1740" t="s">
        <v>9719</v>
      </c>
      <c r="KD49" s="1741" t="s">
        <v>9713</v>
      </c>
      <c r="KE49" s="1743" t="s">
        <v>9767</v>
      </c>
      <c r="KF49" s="339" t="s">
        <v>9737</v>
      </c>
      <c r="KG49" s="1741" t="s">
        <v>9737</v>
      </c>
      <c r="KH49" s="1742" t="s">
        <v>9734</v>
      </c>
      <c r="KI49" s="387" t="s">
        <v>9718</v>
      </c>
      <c r="KJ49" s="387" t="s">
        <v>9711</v>
      </c>
      <c r="KK49" s="339" t="s">
        <v>9739</v>
      </c>
      <c r="KL49" s="1741" t="s">
        <v>9741</v>
      </c>
      <c r="KM49" s="387"/>
      <c r="KN49" s="1743" t="s">
        <v>9750</v>
      </c>
      <c r="KO49" s="1742" t="s">
        <v>9706</v>
      </c>
      <c r="KP49" s="448" t="s">
        <v>9722</v>
      </c>
      <c r="KQ49" s="448" t="s">
        <v>9706</v>
      </c>
      <c r="KR49" s="1744" t="s">
        <v>9722</v>
      </c>
      <c r="KS49" s="1743" t="s">
        <v>9744</v>
      </c>
      <c r="KT49" s="1743" t="s">
        <v>9744</v>
      </c>
      <c r="KU49" s="1743" t="s">
        <v>9725</v>
      </c>
      <c r="KV49" s="387" t="s">
        <v>9732</v>
      </c>
      <c r="KW49" s="1739" t="s">
        <v>9730</v>
      </c>
      <c r="KX49" s="131" t="s">
        <v>9739</v>
      </c>
      <c r="KY49" s="339" t="s">
        <v>9737</v>
      </c>
      <c r="KZ49" s="339" t="s">
        <v>9747</v>
      </c>
      <c r="LA49" s="339" t="s">
        <v>9747</v>
      </c>
      <c r="LB49" s="1743" t="s">
        <v>9710</v>
      </c>
      <c r="LC49" s="448" t="s">
        <v>9710</v>
      </c>
      <c r="LD49" s="131" t="s">
        <v>9739</v>
      </c>
      <c r="LE49" s="131" t="s">
        <v>9734</v>
      </c>
      <c r="LF49" s="448" t="s">
        <v>9732</v>
      </c>
      <c r="LG49" s="1739" t="s">
        <v>9747</v>
      </c>
      <c r="LH49" s="387" t="s">
        <v>9740</v>
      </c>
      <c r="LI49" s="387" t="s">
        <v>9754</v>
      </c>
      <c r="LJ49" s="387" t="s">
        <v>9739</v>
      </c>
      <c r="LK49" s="339" t="s">
        <v>9739</v>
      </c>
      <c r="LL49" s="1739" t="s">
        <v>9735</v>
      </c>
      <c r="LM49" s="1741" t="s">
        <v>9741</v>
      </c>
      <c r="LN49" s="1744" t="s">
        <v>9724</v>
      </c>
      <c r="LO49" s="448" t="s">
        <v>9706</v>
      </c>
      <c r="LP49" s="1741" t="s">
        <v>9721</v>
      </c>
      <c r="LQ49" s="1741" t="s">
        <v>9754</v>
      </c>
      <c r="LR49" s="131" t="s">
        <v>9751</v>
      </c>
      <c r="LS49" s="131" t="s">
        <v>9716</v>
      </c>
      <c r="LT49" s="131" t="s">
        <v>9745</v>
      </c>
      <c r="LU49" s="131" t="s">
        <v>9733</v>
      </c>
      <c r="LV49" s="387" t="s">
        <v>9739</v>
      </c>
      <c r="LW49" s="387" t="s">
        <v>9710</v>
      </c>
      <c r="LX49" s="1740" t="s">
        <v>9713</v>
      </c>
      <c r="LY49" s="1744" t="s">
        <v>9734</v>
      </c>
      <c r="LZ49" s="339" t="s">
        <v>9732</v>
      </c>
      <c r="MA49" s="1739" t="s">
        <v>9721</v>
      </c>
      <c r="MB49" s="1743" t="s">
        <v>9761</v>
      </c>
      <c r="MC49" s="387" t="s">
        <v>9751</v>
      </c>
      <c r="MD49" s="1739" t="s">
        <v>9732</v>
      </c>
      <c r="ME49" s="1739" t="s">
        <v>9728</v>
      </c>
      <c r="MF49" s="1741" t="s">
        <v>9721</v>
      </c>
      <c r="MG49" s="1744" t="s">
        <v>9722</v>
      </c>
      <c r="MH49" s="448" t="s">
        <v>9734</v>
      </c>
      <c r="MI49" s="131" t="s">
        <v>9737</v>
      </c>
      <c r="MJ49" s="1743" t="s">
        <v>9751</v>
      </c>
      <c r="MK49" s="1743" t="s">
        <v>9744</v>
      </c>
      <c r="ML49" s="1741"/>
      <c r="MM49" s="1742" t="s">
        <v>9734</v>
      </c>
      <c r="MN49" s="1740" t="s">
        <v>9706</v>
      </c>
      <c r="MO49" s="131" t="s">
        <v>9707</v>
      </c>
      <c r="MP49" s="1744" t="s">
        <v>9732</v>
      </c>
      <c r="MQ49" s="1744" t="s">
        <v>9724</v>
      </c>
      <c r="MR49" s="1744" t="s">
        <v>9732</v>
      </c>
      <c r="MS49" s="1744" t="s">
        <v>9706</v>
      </c>
      <c r="MT49" s="131" t="s">
        <v>9741</v>
      </c>
      <c r="MU49" s="387" t="s">
        <v>9730</v>
      </c>
      <c r="MV49" s="1740" t="s">
        <v>9723</v>
      </c>
      <c r="MW49" s="387"/>
      <c r="MX49" s="1743" t="s">
        <v>9747</v>
      </c>
      <c r="MY49" s="1743" t="s">
        <v>9735</v>
      </c>
      <c r="MZ49" s="387" t="s">
        <v>9754</v>
      </c>
      <c r="NA49" s="387" t="s">
        <v>9747</v>
      </c>
      <c r="NB49" s="387" t="s">
        <v>9734</v>
      </c>
      <c r="NC49" s="387"/>
      <c r="ND49" s="387" t="s">
        <v>9754</v>
      </c>
      <c r="NE49" s="1742" t="s">
        <v>9739</v>
      </c>
      <c r="NF49" s="1743" t="s">
        <v>9744</v>
      </c>
      <c r="NG49" s="1742" t="s">
        <v>9765</v>
      </c>
      <c r="NH49" s="387" t="s">
        <v>9751</v>
      </c>
      <c r="NI49" s="1740" t="s">
        <v>9751</v>
      </c>
      <c r="NJ49" s="387" t="s">
        <v>9726</v>
      </c>
      <c r="NK49" s="387"/>
      <c r="NL49" s="387" t="s">
        <v>9735</v>
      </c>
      <c r="NM49" s="387" t="s">
        <v>9735</v>
      </c>
      <c r="NN49" s="1741" t="s">
        <v>9732</v>
      </c>
      <c r="NO49" s="387" t="s">
        <v>9728</v>
      </c>
      <c r="NP49" s="1743" t="s">
        <v>9728</v>
      </c>
      <c r="NQ49" s="1739" t="s">
        <v>9725</v>
      </c>
      <c r="NR49" s="387" t="s">
        <v>9725</v>
      </c>
      <c r="NS49" s="387" t="s">
        <v>9722</v>
      </c>
      <c r="NT49" s="1739" t="s">
        <v>9723</v>
      </c>
      <c r="NU49" s="131" t="s">
        <v>9720</v>
      </c>
      <c r="NV49" s="339" t="s">
        <v>9722</v>
      </c>
      <c r="NW49" s="1739" t="s">
        <v>9725</v>
      </c>
      <c r="NX49" s="1739" t="s">
        <v>9725</v>
      </c>
      <c r="NY49" s="1739" t="s">
        <v>9725</v>
      </c>
      <c r="NZ49" s="1739" t="s">
        <v>9725</v>
      </c>
      <c r="OA49" s="131" t="s">
        <v>9734</v>
      </c>
      <c r="OB49" s="131" t="s">
        <v>9734</v>
      </c>
      <c r="OC49" s="131" t="s">
        <v>9730</v>
      </c>
      <c r="OD49" s="1741" t="s">
        <v>9732</v>
      </c>
      <c r="OE49" s="1741" t="s">
        <v>9748</v>
      </c>
      <c r="OF49" s="1741" t="s">
        <v>9711</v>
      </c>
      <c r="OG49" s="387" t="s">
        <v>9739</v>
      </c>
      <c r="OH49" s="387" t="s">
        <v>9734</v>
      </c>
      <c r="OI49" s="387" t="s">
        <v>9728</v>
      </c>
      <c r="OJ49" s="1741" t="s">
        <v>9768</v>
      </c>
      <c r="OK49" s="1741" t="s">
        <v>9768</v>
      </c>
      <c r="OL49" s="1741" t="s">
        <v>9754</v>
      </c>
      <c r="OM49" s="1741" t="s">
        <v>9750</v>
      </c>
      <c r="ON49" s="1741" t="s">
        <v>9706</v>
      </c>
      <c r="OO49" s="1739"/>
      <c r="OP49" s="1739" t="s">
        <v>9747</v>
      </c>
      <c r="OQ49" s="387" t="s">
        <v>9747</v>
      </c>
      <c r="OR49" s="387" t="s">
        <v>9747</v>
      </c>
      <c r="OS49" s="387" t="s">
        <v>9734</v>
      </c>
      <c r="OT49" s="131" t="s">
        <v>9739</v>
      </c>
      <c r="OU49" s="131" t="s">
        <v>9743</v>
      </c>
      <c r="OV49" s="387" t="s">
        <v>9722</v>
      </c>
      <c r="OW49" s="387" t="s">
        <v>9723</v>
      </c>
      <c r="OX49" s="1743" t="s">
        <v>9711</v>
      </c>
      <c r="OY49" s="1743" t="s">
        <v>9703</v>
      </c>
      <c r="OZ49" s="131"/>
      <c r="PA49" s="131" t="s">
        <v>9741</v>
      </c>
      <c r="PB49" s="339" t="s">
        <v>9737</v>
      </c>
      <c r="PC49" s="1742" t="s">
        <v>9743</v>
      </c>
      <c r="PD49" s="339" t="s">
        <v>9732</v>
      </c>
      <c r="PE49" s="339"/>
      <c r="PF49" s="339" t="s">
        <v>9739</v>
      </c>
      <c r="PG49" s="1740" t="s">
        <v>9757</v>
      </c>
      <c r="PH49" s="1741" t="s">
        <v>9739</v>
      </c>
      <c r="PI49" s="1741" t="s">
        <v>9722</v>
      </c>
      <c r="PJ49" s="1742" t="s">
        <v>9754</v>
      </c>
      <c r="PK49" s="1742" t="s">
        <v>9757</v>
      </c>
      <c r="PL49" s="448"/>
      <c r="PM49" s="448" t="s">
        <v>9737</v>
      </c>
      <c r="PN49" s="448" t="s">
        <v>9722</v>
      </c>
      <c r="PO49" s="448" t="s">
        <v>9735</v>
      </c>
      <c r="PP49" s="448" t="s">
        <v>9735</v>
      </c>
      <c r="PQ49" s="1741" t="s">
        <v>9735</v>
      </c>
      <c r="PR49" s="1741" t="s">
        <v>9706</v>
      </c>
      <c r="PS49" s="448" t="s">
        <v>9721</v>
      </c>
      <c r="PT49" s="1744" t="s">
        <v>9732</v>
      </c>
      <c r="PU49" s="1743" t="s">
        <v>9724</v>
      </c>
      <c r="PV49" s="1743" t="s">
        <v>9706</v>
      </c>
      <c r="PW49" s="339" t="s">
        <v>9732</v>
      </c>
      <c r="PX49" s="448" t="s">
        <v>9732</v>
      </c>
      <c r="PY49" s="448" t="s">
        <v>9724</v>
      </c>
      <c r="PZ49" s="131" t="s">
        <v>9740</v>
      </c>
      <c r="QA49" s="131" t="s">
        <v>9732</v>
      </c>
      <c r="QB49" s="1741" t="s">
        <v>9751</v>
      </c>
      <c r="QC49" s="1742" t="s">
        <v>9718</v>
      </c>
      <c r="QD49" s="1742" t="s">
        <v>9732</v>
      </c>
      <c r="QE49" s="1744" t="s">
        <v>9754</v>
      </c>
      <c r="QF49" s="448" t="s">
        <v>9732</v>
      </c>
      <c r="QG49" s="387" t="s">
        <v>9753</v>
      </c>
      <c r="QH49" s="387" t="s">
        <v>9736</v>
      </c>
      <c r="QI49" s="387" t="s">
        <v>9706</v>
      </c>
      <c r="QJ49" s="1744" t="s">
        <v>9723</v>
      </c>
      <c r="QK49" s="387" t="s">
        <v>9729</v>
      </c>
      <c r="QL49" s="387" t="s">
        <v>9722</v>
      </c>
      <c r="QM49" s="1741" t="s">
        <v>9754</v>
      </c>
      <c r="QN49" s="1741" t="s">
        <v>9751</v>
      </c>
      <c r="QO49" s="448" t="s">
        <v>9728</v>
      </c>
      <c r="QP49" s="448" t="s">
        <v>9706</v>
      </c>
      <c r="QQ49" s="387" t="s">
        <v>9724</v>
      </c>
      <c r="QR49" s="387" t="s">
        <v>9710</v>
      </c>
      <c r="QS49" s="131" t="s">
        <v>9745</v>
      </c>
      <c r="QT49" s="387" t="s">
        <v>9758</v>
      </c>
      <c r="QU49" s="387" t="s">
        <v>9739</v>
      </c>
      <c r="QV49" s="387" t="s">
        <v>9765</v>
      </c>
      <c r="QW49" s="1740" t="s">
        <v>9732</v>
      </c>
      <c r="QX49" s="1740" t="s">
        <v>9711</v>
      </c>
      <c r="QY49" s="1744" t="s">
        <v>9722</v>
      </c>
      <c r="QZ49" s="1743" t="s">
        <v>9752</v>
      </c>
      <c r="RA49" s="1742" t="s">
        <v>9720</v>
      </c>
      <c r="RB49" s="1743" t="s">
        <v>9723</v>
      </c>
      <c r="RC49" s="387" t="s">
        <v>9748</v>
      </c>
      <c r="RD49" s="339" t="s">
        <v>9718</v>
      </c>
      <c r="RE49" s="1739" t="s">
        <v>9706</v>
      </c>
      <c r="RF49" s="1740" t="s">
        <v>9718</v>
      </c>
      <c r="RG49" s="131" t="s">
        <v>9743</v>
      </c>
      <c r="RH49" s="131" t="s">
        <v>9741</v>
      </c>
      <c r="RI49" s="387" t="s">
        <v>9756</v>
      </c>
      <c r="RJ49" s="448" t="s">
        <v>9710</v>
      </c>
      <c r="RK49" s="1741" t="s">
        <v>9741</v>
      </c>
      <c r="RL49" s="1739" t="s">
        <v>9732</v>
      </c>
      <c r="RM49" s="1740" t="s">
        <v>9707</v>
      </c>
      <c r="RN49" s="1743" t="s">
        <v>9744</v>
      </c>
      <c r="RO49" s="1744" t="s">
        <v>9706</v>
      </c>
      <c r="RP49" s="1740" t="s">
        <v>9722</v>
      </c>
      <c r="RQ49" s="1739" t="s">
        <v>9743</v>
      </c>
      <c r="RR49" s="1739" t="s">
        <v>9743</v>
      </c>
      <c r="RS49" s="1739" t="s">
        <v>9743</v>
      </c>
      <c r="RT49" s="1739" t="s">
        <v>9743</v>
      </c>
      <c r="RU49" s="1739" t="s">
        <v>9743</v>
      </c>
      <c r="RV49" s="1739" t="s">
        <v>9743</v>
      </c>
      <c r="RW49" s="339" t="s">
        <v>9711</v>
      </c>
      <c r="RX49" s="1742" t="s">
        <v>9711</v>
      </c>
      <c r="RY49" s="387" t="s">
        <v>9719</v>
      </c>
      <c r="RZ49" s="1740" t="s">
        <v>9719</v>
      </c>
      <c r="SA49" s="448" t="s">
        <v>9713</v>
      </c>
      <c r="SB49" s="1741" t="s">
        <v>9736</v>
      </c>
      <c r="SC49" s="1740" t="s">
        <v>9741</v>
      </c>
      <c r="SD49" s="1744" t="s">
        <v>9722</v>
      </c>
      <c r="SE49" s="1744" t="s">
        <v>9722</v>
      </c>
      <c r="SF49" s="339" t="s">
        <v>9732</v>
      </c>
      <c r="SG49" s="387" t="s">
        <v>9761</v>
      </c>
      <c r="SH49" s="387" t="s">
        <v>9728</v>
      </c>
      <c r="SI49" s="1744" t="s">
        <v>9703</v>
      </c>
      <c r="SJ49" s="131" t="s">
        <v>9757</v>
      </c>
      <c r="SK49" s="131" t="s">
        <v>9757</v>
      </c>
      <c r="SL49" s="1743"/>
    </row>
    <row r="50" ht="15.75" customHeight="1">
      <c r="A50" s="1517"/>
      <c r="B50" s="148" t="s">
        <v>9767</v>
      </c>
      <c r="C50" s="148" t="s">
        <v>9767</v>
      </c>
      <c r="D50" s="148" t="s">
        <v>9739</v>
      </c>
      <c r="E50" s="148" t="s">
        <v>9753</v>
      </c>
      <c r="F50" s="148" t="s">
        <v>9753</v>
      </c>
      <c r="G50" s="148" t="s">
        <v>9716</v>
      </c>
      <c r="H50" s="148" t="s">
        <v>9739</v>
      </c>
      <c r="I50" s="148" t="s">
        <v>9739</v>
      </c>
      <c r="J50" s="148" t="s">
        <v>9728</v>
      </c>
      <c r="K50" s="148"/>
      <c r="L50" s="148"/>
      <c r="M50" s="148" t="s">
        <v>9741</v>
      </c>
      <c r="N50" s="148"/>
      <c r="O50" s="148"/>
      <c r="P50" s="148" t="s">
        <v>9745</v>
      </c>
      <c r="Q50" s="276"/>
      <c r="R50" s="276"/>
      <c r="S50" s="148" t="s">
        <v>9759</v>
      </c>
      <c r="T50" s="148" t="s">
        <v>9734</v>
      </c>
      <c r="U50" s="148" t="s">
        <v>9732</v>
      </c>
      <c r="V50" s="276"/>
      <c r="W50" s="148" t="s">
        <v>9759</v>
      </c>
      <c r="X50" s="148" t="s">
        <v>9764</v>
      </c>
      <c r="Y50" s="148" t="s">
        <v>9741</v>
      </c>
      <c r="Z50" s="148" t="s">
        <v>9739</v>
      </c>
      <c r="AA50" s="148" t="s">
        <v>9741</v>
      </c>
      <c r="AB50" s="148" t="s">
        <v>9745</v>
      </c>
      <c r="AC50" s="148" t="s">
        <v>9753</v>
      </c>
      <c r="AD50" s="148" t="s">
        <v>9753</v>
      </c>
      <c r="AE50" s="148" t="s">
        <v>9753</v>
      </c>
      <c r="AF50" s="148" t="s">
        <v>9717</v>
      </c>
      <c r="AG50" s="148" t="s">
        <v>9734</v>
      </c>
      <c r="AH50" s="148" t="s">
        <v>9734</v>
      </c>
      <c r="AI50" s="148" t="s">
        <v>9717</v>
      </c>
      <c r="AJ50" s="148" t="s">
        <v>9725</v>
      </c>
      <c r="AK50" s="148" t="s">
        <v>9715</v>
      </c>
      <c r="AL50" s="148" t="s">
        <v>9739</v>
      </c>
      <c r="AM50" s="148" t="s">
        <v>9741</v>
      </c>
      <c r="AN50" s="148" t="s">
        <v>9719</v>
      </c>
      <c r="AO50" s="148" t="s">
        <v>9713</v>
      </c>
      <c r="AP50" s="148" t="s">
        <v>9734</v>
      </c>
      <c r="AQ50" s="148" t="s">
        <v>9740</v>
      </c>
      <c r="AR50" s="148" t="s">
        <v>9767</v>
      </c>
      <c r="AS50" s="148" t="s">
        <v>9747</v>
      </c>
      <c r="AT50" s="148" t="s">
        <v>9739</v>
      </c>
      <c r="AU50" s="148" t="s">
        <v>9734</v>
      </c>
      <c r="AV50" s="148" t="s">
        <v>9737</v>
      </c>
      <c r="AW50" s="159" t="s">
        <v>9770</v>
      </c>
      <c r="AX50" s="148" t="s">
        <v>9734</v>
      </c>
      <c r="AY50" s="148" t="s">
        <v>9747</v>
      </c>
      <c r="AZ50" s="148" t="s">
        <v>9734</v>
      </c>
      <c r="BA50" s="148" t="s">
        <v>9732</v>
      </c>
      <c r="BB50" s="148" t="s">
        <v>9710</v>
      </c>
      <c r="BC50" s="148" t="s">
        <v>9753</v>
      </c>
      <c r="BD50" s="148" t="s">
        <v>9728</v>
      </c>
      <c r="BE50" s="148" t="s">
        <v>9731</v>
      </c>
      <c r="BF50" s="148" t="s">
        <v>9710</v>
      </c>
      <c r="BG50" s="148" t="s">
        <v>9754</v>
      </c>
      <c r="BH50" s="148" t="s">
        <v>9741</v>
      </c>
      <c r="BI50" s="148" t="s">
        <v>9765</v>
      </c>
      <c r="BJ50" s="148" t="s">
        <v>9739</v>
      </c>
      <c r="BK50" s="148" t="s">
        <v>9748</v>
      </c>
      <c r="BL50" s="148" t="s">
        <v>9721</v>
      </c>
      <c r="BM50" s="148" t="s">
        <v>9721</v>
      </c>
      <c r="BN50" s="148" t="s">
        <v>9710</v>
      </c>
      <c r="BO50" s="148" t="s">
        <v>9740</v>
      </c>
      <c r="BP50" s="148" t="s">
        <v>9740</v>
      </c>
      <c r="BQ50" s="148" t="s">
        <v>9732</v>
      </c>
      <c r="BR50" s="148" t="s">
        <v>9754</v>
      </c>
      <c r="BS50" s="148" t="s">
        <v>9754</v>
      </c>
      <c r="BT50" s="148" t="s">
        <v>9757</v>
      </c>
      <c r="BU50" s="148" t="s">
        <v>9747</v>
      </c>
      <c r="BV50" s="148" t="s">
        <v>9739</v>
      </c>
      <c r="BW50" s="148" t="s">
        <v>9752</v>
      </c>
      <c r="BX50" s="148" t="s">
        <v>9752</v>
      </c>
      <c r="BY50" s="148" t="s">
        <v>9735</v>
      </c>
      <c r="BZ50" s="148"/>
      <c r="CA50" s="148" t="s">
        <v>9754</v>
      </c>
      <c r="CB50" s="148" t="s">
        <v>9722</v>
      </c>
      <c r="CC50" s="148" t="s">
        <v>9719</v>
      </c>
      <c r="CD50" s="148" t="s">
        <v>9747</v>
      </c>
      <c r="CE50" s="148" t="s">
        <v>9743</v>
      </c>
      <c r="CF50" s="148" t="s">
        <v>9758</v>
      </c>
      <c r="CG50" s="148"/>
      <c r="CH50" s="148" t="s">
        <v>9754</v>
      </c>
      <c r="CI50" s="148" t="s">
        <v>9765</v>
      </c>
      <c r="CJ50" s="148" t="s">
        <v>9747</v>
      </c>
      <c r="CK50" s="148" t="s">
        <v>9710</v>
      </c>
      <c r="CL50" s="148" t="s">
        <v>9718</v>
      </c>
      <c r="CM50" s="159" t="s">
        <v>9771</v>
      </c>
      <c r="CN50" s="148" t="s">
        <v>9749</v>
      </c>
      <c r="CO50" s="148" t="s">
        <v>9738</v>
      </c>
      <c r="CP50" s="148" t="s">
        <v>9732</v>
      </c>
      <c r="CQ50" s="148" t="s">
        <v>9721</v>
      </c>
      <c r="CR50" s="148" t="s">
        <v>9760</v>
      </c>
      <c r="CS50" s="148" t="s">
        <v>9724</v>
      </c>
      <c r="CT50" s="148" t="s">
        <v>9721</v>
      </c>
      <c r="CU50" s="148" t="s">
        <v>9751</v>
      </c>
      <c r="CV50" s="148" t="s">
        <v>9745</v>
      </c>
      <c r="CW50" s="148" t="s">
        <v>9754</v>
      </c>
      <c r="CX50" s="148" t="s">
        <v>9739</v>
      </c>
      <c r="CY50" s="148" t="s">
        <v>9745</v>
      </c>
      <c r="CZ50" s="148" t="s">
        <v>9741</v>
      </c>
      <c r="DA50" s="148" t="s">
        <v>9727</v>
      </c>
      <c r="DB50" s="148" t="s">
        <v>9710</v>
      </c>
      <c r="DC50" s="148" t="s">
        <v>9739</v>
      </c>
      <c r="DD50" s="148" t="s">
        <v>9751</v>
      </c>
      <c r="DE50" s="148" t="s">
        <v>9719</v>
      </c>
      <c r="DF50" s="148" t="s">
        <v>9735</v>
      </c>
      <c r="DG50" s="148" t="s">
        <v>9738</v>
      </c>
      <c r="DH50" s="148" t="s">
        <v>9706</v>
      </c>
      <c r="DI50" s="148" t="s">
        <v>9711</v>
      </c>
      <c r="DJ50" s="148" t="s">
        <v>9704</v>
      </c>
      <c r="DK50" s="148" t="s">
        <v>9743</v>
      </c>
      <c r="DL50" s="148" t="s">
        <v>9713</v>
      </c>
      <c r="DM50" s="148"/>
      <c r="DN50" s="148" t="s">
        <v>9761</v>
      </c>
      <c r="DO50" s="148"/>
      <c r="DP50" s="148" t="s">
        <v>9765</v>
      </c>
      <c r="DQ50" s="148" t="s">
        <v>9743</v>
      </c>
      <c r="DR50" s="148" t="s">
        <v>9737</v>
      </c>
      <c r="DS50" s="148" t="s">
        <v>9711</v>
      </c>
      <c r="DT50" s="148" t="s">
        <v>9739</v>
      </c>
      <c r="DU50" s="148" t="s">
        <v>9706</v>
      </c>
      <c r="DV50" s="148" t="s">
        <v>9741</v>
      </c>
      <c r="DW50" s="148" t="s">
        <v>9741</v>
      </c>
      <c r="DX50" s="148" t="s">
        <v>9741</v>
      </c>
      <c r="DY50" s="148" t="s">
        <v>9722</v>
      </c>
      <c r="DZ50" s="148"/>
      <c r="EA50" s="148" t="s">
        <v>9706</v>
      </c>
      <c r="EB50" s="148" t="s">
        <v>9736</v>
      </c>
      <c r="EC50" s="148"/>
      <c r="ED50" s="148"/>
      <c r="EE50" s="148" t="s">
        <v>9739</v>
      </c>
      <c r="EF50" s="148" t="s">
        <v>9750</v>
      </c>
      <c r="EG50" s="148" t="s">
        <v>9739</v>
      </c>
      <c r="EH50" s="148" t="s">
        <v>9746</v>
      </c>
      <c r="EI50" s="148" t="s">
        <v>9739</v>
      </c>
      <c r="EJ50" s="148" t="s">
        <v>9742</v>
      </c>
      <c r="EK50" s="148" t="s">
        <v>9751</v>
      </c>
      <c r="EL50" s="148" t="s">
        <v>9741</v>
      </c>
      <c r="EM50" s="148" t="s">
        <v>9710</v>
      </c>
      <c r="EN50" s="148" t="s">
        <v>9723</v>
      </c>
      <c r="EO50" s="148" t="s">
        <v>9756</v>
      </c>
      <c r="EP50" s="148" t="s">
        <v>9750</v>
      </c>
      <c r="EQ50" s="148" t="s">
        <v>9741</v>
      </c>
      <c r="ER50" s="148" t="s">
        <v>9732</v>
      </c>
      <c r="ES50" s="148" t="s">
        <v>9732</v>
      </c>
      <c r="ET50" s="148" t="s">
        <v>9720</v>
      </c>
      <c r="EU50" s="148" t="s">
        <v>9714</v>
      </c>
      <c r="EV50" s="148"/>
      <c r="EW50" s="148" t="s">
        <v>9757</v>
      </c>
      <c r="EX50" s="148" t="s">
        <v>9757</v>
      </c>
      <c r="EY50" s="148" t="s">
        <v>9745</v>
      </c>
      <c r="EZ50" s="148"/>
      <c r="FA50" s="148" t="s">
        <v>9754</v>
      </c>
      <c r="FB50" s="148" t="s">
        <v>9728</v>
      </c>
      <c r="FC50" s="148" t="s">
        <v>9745</v>
      </c>
      <c r="FD50" s="148" t="s">
        <v>9753</v>
      </c>
      <c r="FE50" s="148" t="s">
        <v>9706</v>
      </c>
      <c r="FF50" s="148" t="s">
        <v>9728</v>
      </c>
      <c r="FG50" s="148" t="s">
        <v>9722</v>
      </c>
      <c r="FH50" s="148" t="s">
        <v>9747</v>
      </c>
      <c r="FI50" s="148" t="s">
        <v>9734</v>
      </c>
      <c r="FJ50" s="148" t="s">
        <v>9729</v>
      </c>
      <c r="FK50" s="148" t="s">
        <v>9728</v>
      </c>
      <c r="FL50" s="276"/>
      <c r="FM50" s="148" t="s">
        <v>9747</v>
      </c>
      <c r="FN50" s="148" t="s">
        <v>9740</v>
      </c>
      <c r="FO50" s="148" t="s">
        <v>9754</v>
      </c>
      <c r="FP50" s="148" t="s">
        <v>9739</v>
      </c>
      <c r="FQ50" s="148" t="s">
        <v>9754</v>
      </c>
      <c r="FR50" s="148" t="s">
        <v>9728</v>
      </c>
      <c r="FS50" s="148" t="s">
        <v>9732</v>
      </c>
      <c r="FT50" s="148" t="s">
        <v>9737</v>
      </c>
      <c r="FU50" s="148" t="s">
        <v>9722</v>
      </c>
      <c r="FV50" s="148" t="s">
        <v>9732</v>
      </c>
      <c r="FW50" s="148" t="s">
        <v>9726</v>
      </c>
      <c r="FX50" s="148"/>
      <c r="FY50" s="148" t="s">
        <v>9747</v>
      </c>
      <c r="FZ50" s="148" t="s">
        <v>9750</v>
      </c>
      <c r="GA50" s="148" t="s">
        <v>9734</v>
      </c>
      <c r="GB50" s="148" t="s">
        <v>9747</v>
      </c>
      <c r="GC50" s="148" t="s">
        <v>9734</v>
      </c>
      <c r="GD50" s="148" t="s">
        <v>9744</v>
      </c>
      <c r="GE50" s="148" t="s">
        <v>9732</v>
      </c>
      <c r="GF50" s="148" t="s">
        <v>9754</v>
      </c>
      <c r="GG50" s="148" t="s">
        <v>9754</v>
      </c>
      <c r="GH50" s="148" t="s">
        <v>9747</v>
      </c>
      <c r="GI50" s="148" t="s">
        <v>9710</v>
      </c>
      <c r="GJ50" s="148" t="s">
        <v>9747</v>
      </c>
      <c r="GK50" s="148" t="s">
        <v>9739</v>
      </c>
      <c r="GL50" s="148" t="s">
        <v>9758</v>
      </c>
      <c r="GM50" s="148" t="s">
        <v>9747</v>
      </c>
      <c r="GN50" s="148" t="s">
        <v>9748</v>
      </c>
      <c r="GO50" s="148" t="s">
        <v>9743</v>
      </c>
      <c r="GP50" s="148" t="s">
        <v>9743</v>
      </c>
      <c r="GQ50" s="148" t="s">
        <v>9740</v>
      </c>
      <c r="GR50" s="148" t="s">
        <v>9719</v>
      </c>
      <c r="GS50" s="148" t="s">
        <v>9732</v>
      </c>
      <c r="GT50" s="148"/>
      <c r="GU50" s="148"/>
      <c r="GV50" s="148" t="s">
        <v>9730</v>
      </c>
      <c r="GW50" s="148" t="s">
        <v>9734</v>
      </c>
      <c r="GX50" s="148" t="s">
        <v>9744</v>
      </c>
      <c r="GY50" s="148" t="s">
        <v>9718</v>
      </c>
      <c r="GZ50" s="148" t="s">
        <v>9726</v>
      </c>
      <c r="HA50" s="148" t="s">
        <v>9741</v>
      </c>
      <c r="HB50" s="148" t="s">
        <v>9703</v>
      </c>
      <c r="HC50" s="148" t="s">
        <v>9717</v>
      </c>
      <c r="HD50" s="148" t="s">
        <v>9734</v>
      </c>
      <c r="HE50" s="148" t="s">
        <v>9734</v>
      </c>
      <c r="HF50" s="148" t="s">
        <v>9751</v>
      </c>
      <c r="HG50" s="148" t="s">
        <v>9753</v>
      </c>
      <c r="HH50" s="148" t="s">
        <v>9710</v>
      </c>
      <c r="HI50" s="148" t="s">
        <v>9732</v>
      </c>
      <c r="HJ50" s="148" t="s">
        <v>9748</v>
      </c>
      <c r="HK50" s="148" t="s">
        <v>9769</v>
      </c>
      <c r="HL50" s="148" t="s">
        <v>9741</v>
      </c>
      <c r="HM50" s="148" t="s">
        <v>9751</v>
      </c>
      <c r="HN50" s="148" t="s">
        <v>9760</v>
      </c>
      <c r="HO50" s="148" t="s">
        <v>9722</v>
      </c>
      <c r="HP50" s="148" t="s">
        <v>9739</v>
      </c>
      <c r="HQ50" s="148" t="s">
        <v>9740</v>
      </c>
      <c r="HR50" s="148" t="s">
        <v>9739</v>
      </c>
      <c r="HS50" s="148" t="s">
        <v>9739</v>
      </c>
      <c r="HT50" s="148" t="s">
        <v>9742</v>
      </c>
      <c r="HU50" s="148" t="s">
        <v>9738</v>
      </c>
      <c r="HV50" s="148" t="s">
        <v>9732</v>
      </c>
      <c r="HW50" s="148" t="s">
        <v>9761</v>
      </c>
      <c r="HX50" s="148" t="s">
        <v>9769</v>
      </c>
      <c r="HY50" s="148" t="s">
        <v>9751</v>
      </c>
      <c r="HZ50" s="148" t="s">
        <v>9746</v>
      </c>
      <c r="IA50" s="148" t="s">
        <v>9710</v>
      </c>
      <c r="IB50" s="148"/>
      <c r="IC50" s="148"/>
      <c r="ID50" s="148" t="s">
        <v>9739</v>
      </c>
      <c r="IE50" s="148" t="s">
        <v>9740</v>
      </c>
      <c r="IF50" s="148" t="s">
        <v>9739</v>
      </c>
      <c r="IG50" s="148" t="s">
        <v>9747</v>
      </c>
      <c r="IH50" s="148" t="s">
        <v>9718</v>
      </c>
      <c r="II50" s="148" t="s">
        <v>9704</v>
      </c>
      <c r="IJ50" s="148" t="s">
        <v>9741</v>
      </c>
      <c r="IK50" s="148" t="s">
        <v>9738</v>
      </c>
      <c r="IL50" s="148" t="s">
        <v>9741</v>
      </c>
      <c r="IM50" s="148" t="s">
        <v>9742</v>
      </c>
      <c r="IN50" s="148" t="s">
        <v>9742</v>
      </c>
      <c r="IO50" s="148" t="s">
        <v>9720</v>
      </c>
      <c r="IP50" s="148" t="s">
        <v>9715</v>
      </c>
      <c r="IQ50" s="148" t="s">
        <v>9719</v>
      </c>
      <c r="IR50" s="148" t="s">
        <v>9721</v>
      </c>
      <c r="IS50" s="148" t="s">
        <v>9729</v>
      </c>
      <c r="IT50" s="148" t="s">
        <v>9732</v>
      </c>
      <c r="IU50" s="148" t="s">
        <v>9706</v>
      </c>
      <c r="IV50" s="148" t="s">
        <v>9747</v>
      </c>
      <c r="IW50" s="148" t="s">
        <v>9753</v>
      </c>
      <c r="IX50" s="148" t="s">
        <v>9748</v>
      </c>
      <c r="IY50" s="148" t="s">
        <v>9761</v>
      </c>
      <c r="IZ50" s="148" t="s">
        <v>9751</v>
      </c>
      <c r="JA50" s="148" t="s">
        <v>9728</v>
      </c>
      <c r="JB50" s="148" t="s">
        <v>9764</v>
      </c>
      <c r="JC50" s="148" t="s">
        <v>9741</v>
      </c>
      <c r="JD50" s="148" t="s">
        <v>9750</v>
      </c>
      <c r="JE50" s="148" t="s">
        <v>9728</v>
      </c>
      <c r="JF50" s="148"/>
      <c r="JG50" s="148"/>
      <c r="JH50" s="148" t="s">
        <v>9734</v>
      </c>
      <c r="JI50" s="148"/>
      <c r="JJ50" s="148" t="s">
        <v>9737</v>
      </c>
      <c r="JK50" s="1746" t="s">
        <v>9734</v>
      </c>
      <c r="JL50" s="1746" t="s">
        <v>9729</v>
      </c>
      <c r="JM50" s="1746" t="s">
        <v>9730</v>
      </c>
      <c r="JN50" s="1746" t="s">
        <v>9747</v>
      </c>
      <c r="JO50" s="1746" t="s">
        <v>9733</v>
      </c>
      <c r="JP50" s="1746" t="s">
        <v>9728</v>
      </c>
      <c r="JQ50" s="1748"/>
      <c r="JR50" s="1746" t="s">
        <v>9759</v>
      </c>
      <c r="JS50" s="148" t="s">
        <v>9758</v>
      </c>
      <c r="JT50" s="148" t="s">
        <v>9741</v>
      </c>
      <c r="JU50" s="148" t="s">
        <v>9724</v>
      </c>
      <c r="JV50" s="148" t="s">
        <v>9724</v>
      </c>
      <c r="JW50" s="148" t="s">
        <v>9721</v>
      </c>
      <c r="JX50" s="1746" t="s">
        <v>9747</v>
      </c>
      <c r="JY50" s="1746" t="s">
        <v>9741</v>
      </c>
      <c r="JZ50" s="1746" t="s">
        <v>9747</v>
      </c>
      <c r="KA50" s="1746" t="s">
        <v>9730</v>
      </c>
      <c r="KB50" s="1746" t="s">
        <v>9718</v>
      </c>
      <c r="KC50" s="148" t="s">
        <v>9723</v>
      </c>
      <c r="KD50" s="1746" t="s">
        <v>9719</v>
      </c>
      <c r="KE50" s="1748"/>
      <c r="KF50" s="148" t="s">
        <v>9745</v>
      </c>
      <c r="KG50" s="1746" t="s">
        <v>9755</v>
      </c>
      <c r="KH50" s="1746" t="s">
        <v>9739</v>
      </c>
      <c r="KI50" s="1746" t="s">
        <v>9722</v>
      </c>
      <c r="KJ50" s="148" t="s">
        <v>9718</v>
      </c>
      <c r="KK50" s="1746" t="s">
        <v>9749</v>
      </c>
      <c r="KL50" s="1746" t="s">
        <v>9760</v>
      </c>
      <c r="KM50" s="1746"/>
      <c r="KN50" s="1746" t="s">
        <v>9742</v>
      </c>
      <c r="KO50" s="148" t="s">
        <v>9732</v>
      </c>
      <c r="KP50" s="1746" t="s">
        <v>9706</v>
      </c>
      <c r="KQ50" s="148" t="s">
        <v>9710</v>
      </c>
      <c r="KR50" s="148" t="s">
        <v>9706</v>
      </c>
      <c r="KS50" s="1746" t="s">
        <v>9742</v>
      </c>
      <c r="KT50" s="1746" t="s">
        <v>9760</v>
      </c>
      <c r="KU50" s="148" t="s">
        <v>9713</v>
      </c>
      <c r="KV50" s="1746" t="s">
        <v>9729</v>
      </c>
      <c r="KW50" s="148" t="s">
        <v>9728</v>
      </c>
      <c r="KX50" s="1746" t="s">
        <v>9747</v>
      </c>
      <c r="KY50" s="1746" t="s">
        <v>9750</v>
      </c>
      <c r="KZ50" s="1746" t="s">
        <v>9754</v>
      </c>
      <c r="LA50" s="1746" t="s">
        <v>9754</v>
      </c>
      <c r="LB50" s="1746" t="s">
        <v>9726</v>
      </c>
      <c r="LC50" s="1746" t="s">
        <v>9726</v>
      </c>
      <c r="LD50" s="148" t="s">
        <v>9749</v>
      </c>
      <c r="LE50" s="1746" t="s">
        <v>9739</v>
      </c>
      <c r="LF50" s="1746" t="s">
        <v>9735</v>
      </c>
      <c r="LG50" s="1746" t="s">
        <v>9754</v>
      </c>
      <c r="LH50" s="148" t="s">
        <v>9741</v>
      </c>
      <c r="LI50" s="1746" t="s">
        <v>9761</v>
      </c>
      <c r="LJ50" s="1746" t="s">
        <v>9747</v>
      </c>
      <c r="LK50" s="1746" t="s">
        <v>9747</v>
      </c>
      <c r="LL50" s="1746" t="s">
        <v>9741</v>
      </c>
      <c r="LM50" s="1746" t="s">
        <v>9760</v>
      </c>
      <c r="LN50" s="1746" t="s">
        <v>9732</v>
      </c>
      <c r="LO50" s="1746" t="s">
        <v>9710</v>
      </c>
      <c r="LP50" s="148" t="s">
        <v>9724</v>
      </c>
      <c r="LQ50" s="1746" t="s">
        <v>9766</v>
      </c>
      <c r="LR50" s="1746" t="s">
        <v>9739</v>
      </c>
      <c r="LS50" s="148" t="s">
        <v>9726</v>
      </c>
      <c r="LT50" s="1746" t="s">
        <v>9734</v>
      </c>
      <c r="LU50" s="148" t="s">
        <v>9740</v>
      </c>
      <c r="LV50" s="1746" t="s">
        <v>9747</v>
      </c>
      <c r="LW50" s="148" t="s">
        <v>9716</v>
      </c>
      <c r="LX50" s="148" t="s">
        <v>9719</v>
      </c>
      <c r="LY50" s="1746" t="s">
        <v>9764</v>
      </c>
      <c r="LZ50" s="1746" t="s">
        <v>9733</v>
      </c>
      <c r="MA50" s="1746" t="s">
        <v>9731</v>
      </c>
      <c r="MB50" s="1746" t="s">
        <v>9765</v>
      </c>
      <c r="MC50" s="148" t="s">
        <v>9739</v>
      </c>
      <c r="MD50" s="1746" t="s">
        <v>9740</v>
      </c>
      <c r="ME50" s="1746" t="s">
        <v>9732</v>
      </c>
      <c r="MF50" s="1746" t="s">
        <v>9732</v>
      </c>
      <c r="MG50" s="148" t="s">
        <v>9721</v>
      </c>
      <c r="MH50" s="1746" t="s">
        <v>9751</v>
      </c>
      <c r="MI50" s="1746" t="s">
        <v>9760</v>
      </c>
      <c r="MJ50" s="1746" t="s">
        <v>9755</v>
      </c>
      <c r="MK50" s="1746" t="s">
        <v>9760</v>
      </c>
      <c r="ML50" s="1746"/>
      <c r="MM50" s="148" t="s">
        <v>9739</v>
      </c>
      <c r="MN50" s="148" t="s">
        <v>9710</v>
      </c>
      <c r="MO50" s="148" t="s">
        <v>9711</v>
      </c>
      <c r="MP50" s="1746" t="s">
        <v>9738</v>
      </c>
      <c r="MQ50" s="1746" t="s">
        <v>9728</v>
      </c>
      <c r="MR50" s="1746" t="s">
        <v>9738</v>
      </c>
      <c r="MS50" s="148" t="s">
        <v>9710</v>
      </c>
      <c r="MT50" s="148" t="s">
        <v>9737</v>
      </c>
      <c r="MU50" s="1746" t="s">
        <v>9732</v>
      </c>
      <c r="MV50" s="148" t="s">
        <v>9707</v>
      </c>
      <c r="MW50" s="1746"/>
      <c r="MX50" s="1746" t="s">
        <v>9754</v>
      </c>
      <c r="MY50" s="148" t="s">
        <v>9740</v>
      </c>
      <c r="MZ50" s="1746" t="s">
        <v>9761</v>
      </c>
      <c r="NA50" s="1746" t="s">
        <v>9754</v>
      </c>
      <c r="NB50" s="148" t="s">
        <v>9751</v>
      </c>
      <c r="NC50" s="1746"/>
      <c r="ND50" s="1746" t="s">
        <v>9761</v>
      </c>
      <c r="NE50" s="1746" t="s">
        <v>9747</v>
      </c>
      <c r="NF50" s="148" t="s">
        <v>9760</v>
      </c>
      <c r="NG50" s="1748"/>
      <c r="NH50" s="1746" t="s">
        <v>9739</v>
      </c>
      <c r="NI50" s="148" t="s">
        <v>9739</v>
      </c>
      <c r="NJ50" s="148" t="s">
        <v>9732</v>
      </c>
      <c r="NK50" s="1746"/>
      <c r="NL50" s="1746" t="s">
        <v>9744</v>
      </c>
      <c r="NM50" s="1746" t="s">
        <v>9741</v>
      </c>
      <c r="NN50" s="1746" t="s">
        <v>9729</v>
      </c>
      <c r="NO50" s="1746" t="s">
        <v>9732</v>
      </c>
      <c r="NP50" s="1746" t="s">
        <v>9732</v>
      </c>
      <c r="NQ50" s="1746" t="s">
        <v>9720</v>
      </c>
      <c r="NR50" s="1746" t="s">
        <v>9720</v>
      </c>
      <c r="NS50" s="1746" t="s">
        <v>9732</v>
      </c>
      <c r="NT50" s="1746" t="s">
        <v>9707</v>
      </c>
      <c r="NU50" s="1746" t="s">
        <v>9719</v>
      </c>
      <c r="NV50" s="1746" t="s">
        <v>9721</v>
      </c>
      <c r="NW50" s="1746" t="s">
        <v>9723</v>
      </c>
      <c r="NX50" s="1746" t="s">
        <v>9723</v>
      </c>
      <c r="NY50" s="1746" t="s">
        <v>9723</v>
      </c>
      <c r="NZ50" s="1746" t="s">
        <v>9723</v>
      </c>
      <c r="OA50" s="1746" t="s">
        <v>9739</v>
      </c>
      <c r="OB50" s="1746" t="s">
        <v>9739</v>
      </c>
      <c r="OC50" s="1746" t="s">
        <v>9732</v>
      </c>
      <c r="OD50" s="1746" t="s">
        <v>9738</v>
      </c>
      <c r="OE50" s="1746" t="s">
        <v>9728</v>
      </c>
      <c r="OF50" s="1746" t="s">
        <v>9718</v>
      </c>
      <c r="OG50" s="1746" t="s">
        <v>9757</v>
      </c>
      <c r="OH50" s="1746" t="s">
        <v>9739</v>
      </c>
      <c r="OI50" s="1746" t="s">
        <v>9732</v>
      </c>
      <c r="OJ50" s="1748"/>
      <c r="OK50" s="1748"/>
      <c r="OL50" s="1746" t="s">
        <v>9759</v>
      </c>
      <c r="OM50" s="1746" t="s">
        <v>9742</v>
      </c>
      <c r="ON50" s="1746" t="s">
        <v>9710</v>
      </c>
      <c r="OO50" s="1746"/>
      <c r="OP50" s="148" t="s">
        <v>9754</v>
      </c>
      <c r="OQ50" s="1746" t="s">
        <v>9754</v>
      </c>
      <c r="OR50" s="1746" t="s">
        <v>9754</v>
      </c>
      <c r="OS50" s="1746" t="s">
        <v>9739</v>
      </c>
      <c r="OT50" s="1746" t="s">
        <v>9757</v>
      </c>
      <c r="OU50" s="1746" t="s">
        <v>9734</v>
      </c>
      <c r="OV50" s="1746" t="s">
        <v>9706</v>
      </c>
      <c r="OW50" s="1746" t="s">
        <v>9711</v>
      </c>
      <c r="OX50" s="1746" t="s">
        <v>9718</v>
      </c>
      <c r="OY50" s="1746" t="s">
        <v>9711</v>
      </c>
      <c r="OZ50" s="1746"/>
      <c r="PA50" s="1746" t="s">
        <v>9737</v>
      </c>
      <c r="PB50" s="1746" t="s">
        <v>9743</v>
      </c>
      <c r="PC50" s="1746" t="s">
        <v>9734</v>
      </c>
      <c r="PD50" s="1746" t="s">
        <v>9741</v>
      </c>
      <c r="PE50" s="1746"/>
      <c r="PF50" s="1746" t="s">
        <v>9747</v>
      </c>
      <c r="PG50" s="148" t="s">
        <v>9747</v>
      </c>
      <c r="PH50" s="1746" t="s">
        <v>9747</v>
      </c>
      <c r="PI50" s="1746" t="s">
        <v>9706</v>
      </c>
      <c r="PJ50" s="1746"/>
      <c r="PK50" s="1746" t="s">
        <v>9747</v>
      </c>
      <c r="PL50" s="1746"/>
      <c r="PM50" s="1746" t="s">
        <v>9760</v>
      </c>
      <c r="PN50" s="1746" t="s">
        <v>9706</v>
      </c>
      <c r="PO50" s="1746" t="s">
        <v>9740</v>
      </c>
      <c r="PP50" s="1746" t="s">
        <v>9740</v>
      </c>
      <c r="PQ50" s="1746" t="s">
        <v>9740</v>
      </c>
      <c r="PR50" s="148" t="s">
        <v>9748</v>
      </c>
      <c r="PS50" s="1746" t="s">
        <v>9724</v>
      </c>
      <c r="PT50" s="1746" t="s">
        <v>9733</v>
      </c>
      <c r="PU50" s="1746" t="s">
        <v>9732</v>
      </c>
      <c r="PV50" s="1746" t="s">
        <v>9710</v>
      </c>
      <c r="PW50" s="1746" t="s">
        <v>9746</v>
      </c>
      <c r="PX50" s="1746" t="s">
        <v>9735</v>
      </c>
      <c r="PY50" s="148" t="s">
        <v>9732</v>
      </c>
      <c r="PZ50" s="1746" t="s">
        <v>9746</v>
      </c>
      <c r="QA50" s="1746" t="s">
        <v>9735</v>
      </c>
      <c r="QB50" s="1746" t="s">
        <v>9739</v>
      </c>
      <c r="QC50" s="1746" t="s">
        <v>9722</v>
      </c>
      <c r="QD50" s="1746" t="s">
        <v>9729</v>
      </c>
      <c r="QE50" s="1746" t="s">
        <v>9759</v>
      </c>
      <c r="QF50" s="1746" t="s">
        <v>9738</v>
      </c>
      <c r="QG50" s="1746" t="s">
        <v>9760</v>
      </c>
      <c r="QH50" s="1746" t="s">
        <v>9753</v>
      </c>
      <c r="QI50" s="1746" t="s">
        <v>9727</v>
      </c>
      <c r="QJ50" s="1746" t="s">
        <v>9711</v>
      </c>
      <c r="QK50" s="1746" t="s">
        <v>9753</v>
      </c>
      <c r="QL50" s="148" t="s">
        <v>9706</v>
      </c>
      <c r="QM50" s="1746" t="s">
        <v>9766</v>
      </c>
      <c r="QN50" s="1746" t="s">
        <v>9739</v>
      </c>
      <c r="QO50" s="1746" t="s">
        <v>9732</v>
      </c>
      <c r="QP50" s="1746" t="s">
        <v>9710</v>
      </c>
      <c r="QQ50" s="1746" t="s">
        <v>9748</v>
      </c>
      <c r="QR50" s="1746" t="s">
        <v>9724</v>
      </c>
      <c r="QS50" s="1746" t="s">
        <v>9734</v>
      </c>
      <c r="QT50" s="1746" t="s">
        <v>9754</v>
      </c>
      <c r="QU50" s="1746" t="s">
        <v>9747</v>
      </c>
      <c r="QV50" s="1746"/>
      <c r="QW50" s="148" t="s">
        <v>9737</v>
      </c>
      <c r="QX50" s="148" t="s">
        <v>9718</v>
      </c>
      <c r="QY50" s="148" t="s">
        <v>9706</v>
      </c>
      <c r="QZ50" s="148" t="s">
        <v>9743</v>
      </c>
      <c r="RA50" s="148" t="s">
        <v>9719</v>
      </c>
      <c r="RB50" s="148" t="s">
        <v>9711</v>
      </c>
      <c r="RC50" s="1746" t="s">
        <v>9730</v>
      </c>
      <c r="RD50" s="148" t="s">
        <v>9722</v>
      </c>
      <c r="RE50" s="1746" t="s">
        <v>9710</v>
      </c>
      <c r="RF50" s="148" t="s">
        <v>9722</v>
      </c>
      <c r="RG50" s="148" t="s">
        <v>9734</v>
      </c>
      <c r="RH50" s="1746" t="s">
        <v>9737</v>
      </c>
      <c r="RI50" s="1746" t="s">
        <v>9734</v>
      </c>
      <c r="RJ50" s="148" t="s">
        <v>9716</v>
      </c>
      <c r="RK50" s="148" t="s">
        <v>9760</v>
      </c>
      <c r="RL50" s="148" t="s">
        <v>9733</v>
      </c>
      <c r="RM50" s="148" t="s">
        <v>9703</v>
      </c>
      <c r="RN50" s="148" t="s">
        <v>9760</v>
      </c>
      <c r="RO50" s="148" t="s">
        <v>9710</v>
      </c>
      <c r="RP50" s="148" t="s">
        <v>9706</v>
      </c>
      <c r="RQ50" s="1746" t="s">
        <v>9764</v>
      </c>
      <c r="RR50" s="1746" t="s">
        <v>9764</v>
      </c>
      <c r="RS50" s="1746" t="s">
        <v>9764</v>
      </c>
      <c r="RT50" s="1746" t="s">
        <v>9764</v>
      </c>
      <c r="RU50" s="1746" t="s">
        <v>9764</v>
      </c>
      <c r="RV50" s="1746" t="s">
        <v>9764</v>
      </c>
      <c r="RW50" s="1746" t="s">
        <v>9718</v>
      </c>
      <c r="RX50" s="1746" t="s">
        <v>9718</v>
      </c>
      <c r="RY50" s="1746" t="s">
        <v>9703</v>
      </c>
      <c r="RZ50" s="148" t="s">
        <v>9723</v>
      </c>
      <c r="SA50" s="1746" t="s">
        <v>9720</v>
      </c>
      <c r="SB50" s="1746" t="s">
        <v>9738</v>
      </c>
      <c r="SC50" s="148" t="s">
        <v>9744</v>
      </c>
      <c r="SD50" s="1746" t="s">
        <v>9716</v>
      </c>
      <c r="SE50" s="1746" t="s">
        <v>9716</v>
      </c>
      <c r="SF50" s="1746" t="s">
        <v>9746</v>
      </c>
      <c r="SG50" s="1746" t="s">
        <v>9765</v>
      </c>
      <c r="SH50" s="1746" t="s">
        <v>9732</v>
      </c>
      <c r="SI50" s="1746" t="s">
        <v>9711</v>
      </c>
      <c r="SJ50" s="1746" t="s">
        <v>9747</v>
      </c>
      <c r="SK50" s="1746" t="s">
        <v>9747</v>
      </c>
      <c r="SL50" s="1746"/>
    </row>
    <row r="51" ht="15.75" customHeight="1">
      <c r="A51" s="1517"/>
      <c r="B51" s="131" t="s">
        <v>9766</v>
      </c>
      <c r="C51" s="131" t="s">
        <v>9766</v>
      </c>
      <c r="D51" s="131" t="s">
        <v>9757</v>
      </c>
      <c r="E51" s="1739" t="s">
        <v>9745</v>
      </c>
      <c r="F51" s="1739" t="s">
        <v>9745</v>
      </c>
      <c r="G51" s="1739" t="s">
        <v>9731</v>
      </c>
      <c r="H51" s="387" t="s">
        <v>9747</v>
      </c>
      <c r="I51" s="387" t="s">
        <v>9747</v>
      </c>
      <c r="J51" s="387" t="s">
        <v>9732</v>
      </c>
      <c r="K51" s="131"/>
      <c r="L51" s="131"/>
      <c r="M51" s="1740" t="s">
        <v>9737</v>
      </c>
      <c r="N51" s="1741"/>
      <c r="O51" s="339"/>
      <c r="P51" s="339" t="s">
        <v>9734</v>
      </c>
      <c r="Q51" s="1749" t="s">
        <v>9772</v>
      </c>
      <c r="R51" s="239" t="s">
        <v>9772</v>
      </c>
      <c r="S51" s="1741" t="s">
        <v>9768</v>
      </c>
      <c r="T51" s="448" t="s">
        <v>9739</v>
      </c>
      <c r="U51" s="1741" t="s">
        <v>9741</v>
      </c>
      <c r="V51" s="159" t="s">
        <v>9773</v>
      </c>
      <c r="W51" s="1741" t="s">
        <v>9768</v>
      </c>
      <c r="X51" s="448" t="s">
        <v>9751</v>
      </c>
      <c r="Y51" s="448" t="s">
        <v>9734</v>
      </c>
      <c r="Z51" s="339" t="s">
        <v>9757</v>
      </c>
      <c r="AA51" s="339" t="s">
        <v>9737</v>
      </c>
      <c r="AB51" s="339" t="s">
        <v>9742</v>
      </c>
      <c r="AC51" s="339" t="s">
        <v>9741</v>
      </c>
      <c r="AD51" s="387" t="s">
        <v>9734</v>
      </c>
      <c r="AE51" s="387" t="s">
        <v>9734</v>
      </c>
      <c r="AF51" s="387" t="s">
        <v>9720</v>
      </c>
      <c r="AG51" s="448" t="s">
        <v>9739</v>
      </c>
      <c r="AH51" s="448" t="s">
        <v>9739</v>
      </c>
      <c r="AI51" s="448" t="s">
        <v>9720</v>
      </c>
      <c r="AJ51" s="1742" t="s">
        <v>9713</v>
      </c>
      <c r="AK51" s="1742" t="s">
        <v>9725</v>
      </c>
      <c r="AL51" s="1741" t="s">
        <v>9747</v>
      </c>
      <c r="AM51" s="339" t="s">
        <v>9743</v>
      </c>
      <c r="AN51" s="1742" t="s">
        <v>9711</v>
      </c>
      <c r="AO51" s="1742" t="s">
        <v>9719</v>
      </c>
      <c r="AP51" s="448" t="s">
        <v>9739</v>
      </c>
      <c r="AQ51" s="448" t="s">
        <v>9741</v>
      </c>
      <c r="AR51" s="387"/>
      <c r="AS51" s="387" t="s">
        <v>9754</v>
      </c>
      <c r="AT51" s="1739" t="s">
        <v>9757</v>
      </c>
      <c r="AU51" s="1739" t="s">
        <v>9755</v>
      </c>
      <c r="AV51" s="1739" t="s">
        <v>9745</v>
      </c>
      <c r="AW51" s="458"/>
      <c r="AX51" s="448" t="s">
        <v>9739</v>
      </c>
      <c r="AY51" s="1741" t="s">
        <v>9754</v>
      </c>
      <c r="AZ51" s="1741" t="s">
        <v>9751</v>
      </c>
      <c r="BA51" s="339" t="s">
        <v>9753</v>
      </c>
      <c r="BB51" s="339" t="s">
        <v>9724</v>
      </c>
      <c r="BC51" s="339" t="s">
        <v>9737</v>
      </c>
      <c r="BD51" s="387" t="s">
        <v>9732</v>
      </c>
      <c r="BE51" s="1741" t="s">
        <v>9748</v>
      </c>
      <c r="BF51" s="1741" t="s">
        <v>9731</v>
      </c>
      <c r="BG51" s="1741" t="s">
        <v>9766</v>
      </c>
      <c r="BH51" s="1741" t="s">
        <v>9734</v>
      </c>
      <c r="BI51" s="387"/>
      <c r="BJ51" s="387" t="s">
        <v>9747</v>
      </c>
      <c r="BK51" s="387" t="s">
        <v>9728</v>
      </c>
      <c r="BL51" s="1741" t="s">
        <v>9724</v>
      </c>
      <c r="BM51" s="1741" t="s">
        <v>9724</v>
      </c>
      <c r="BN51" s="1741" t="s">
        <v>9721</v>
      </c>
      <c r="BO51" s="1743" t="s">
        <v>9734</v>
      </c>
      <c r="BP51" s="1743" t="s">
        <v>9734</v>
      </c>
      <c r="BQ51" s="1743" t="s">
        <v>9740</v>
      </c>
      <c r="BR51" s="131" t="s">
        <v>9767</v>
      </c>
      <c r="BS51" s="131" t="s">
        <v>9767</v>
      </c>
      <c r="BT51" s="131" t="s">
        <v>9747</v>
      </c>
      <c r="BU51" s="387" t="s">
        <v>9754</v>
      </c>
      <c r="BV51" s="387" t="s">
        <v>9749</v>
      </c>
      <c r="BW51" s="1741" t="s">
        <v>9742</v>
      </c>
      <c r="BX51" s="1741" t="s">
        <v>9742</v>
      </c>
      <c r="BY51" s="1741" t="s">
        <v>9741</v>
      </c>
      <c r="BZ51" s="339"/>
      <c r="CA51" s="339" t="s">
        <v>9766</v>
      </c>
      <c r="CB51" s="1742" t="s">
        <v>9706</v>
      </c>
      <c r="CC51" s="1742" t="s">
        <v>9711</v>
      </c>
      <c r="CD51" s="1743" t="s">
        <v>9754</v>
      </c>
      <c r="CE51" s="1743" t="s">
        <v>9739</v>
      </c>
      <c r="CF51" s="1741" t="s">
        <v>9754</v>
      </c>
      <c r="CG51" s="1741"/>
      <c r="CH51" s="1741" t="s">
        <v>9759</v>
      </c>
      <c r="CI51" s="1740"/>
      <c r="CJ51" s="1740" t="s">
        <v>9754</v>
      </c>
      <c r="CK51" s="448" t="s">
        <v>9728</v>
      </c>
      <c r="CL51" s="448" t="s">
        <v>9722</v>
      </c>
      <c r="CM51" s="458"/>
      <c r="CN51" s="448" t="s">
        <v>9747</v>
      </c>
      <c r="CO51" s="448" t="s">
        <v>9733</v>
      </c>
      <c r="CP51" s="448" t="s">
        <v>9738</v>
      </c>
      <c r="CQ51" s="448" t="s">
        <v>9724</v>
      </c>
      <c r="CR51" s="1743" t="s">
        <v>9752</v>
      </c>
      <c r="CS51" s="339" t="s">
        <v>9728</v>
      </c>
      <c r="CT51" s="339" t="s">
        <v>9724</v>
      </c>
      <c r="CU51" s="1739" t="s">
        <v>9755</v>
      </c>
      <c r="CV51" s="1739" t="s">
        <v>9734</v>
      </c>
      <c r="CW51" s="1750"/>
      <c r="CX51" s="1739" t="s">
        <v>9747</v>
      </c>
      <c r="CY51" s="1742" t="s">
        <v>9743</v>
      </c>
      <c r="CZ51" s="339" t="s">
        <v>9737</v>
      </c>
      <c r="DA51" s="1741" t="s">
        <v>9728</v>
      </c>
      <c r="DB51" s="1741" t="s">
        <v>9748</v>
      </c>
      <c r="DC51" s="1741" t="s">
        <v>9749</v>
      </c>
      <c r="DD51" s="1741" t="s">
        <v>9739</v>
      </c>
      <c r="DE51" s="1742" t="s">
        <v>9723</v>
      </c>
      <c r="DF51" s="448" t="s">
        <v>9740</v>
      </c>
      <c r="DG51" s="448" t="s">
        <v>9735</v>
      </c>
      <c r="DH51" s="1743" t="s">
        <v>9710</v>
      </c>
      <c r="DI51" s="1743" t="s">
        <v>9718</v>
      </c>
      <c r="DJ51" s="1742" t="s">
        <v>9725</v>
      </c>
      <c r="DK51" s="387" t="s">
        <v>9734</v>
      </c>
      <c r="DL51" s="1741" t="s">
        <v>9720</v>
      </c>
      <c r="DM51" s="387"/>
      <c r="DN51" s="387" t="s">
        <v>9765</v>
      </c>
      <c r="DO51" s="1739"/>
      <c r="DP51" s="1739"/>
      <c r="DQ51" s="1741" t="s">
        <v>9739</v>
      </c>
      <c r="DR51" s="448" t="s">
        <v>9756</v>
      </c>
      <c r="DS51" s="1742" t="s">
        <v>9718</v>
      </c>
      <c r="DT51" s="131" t="s">
        <v>9747</v>
      </c>
      <c r="DU51" s="1739" t="s">
        <v>9710</v>
      </c>
      <c r="DV51" s="339" t="s">
        <v>9737</v>
      </c>
      <c r="DW51" s="1739" t="s">
        <v>9734</v>
      </c>
      <c r="DX51" s="1741" t="s">
        <v>9760</v>
      </c>
      <c r="DY51" s="1741" t="s">
        <v>9706</v>
      </c>
      <c r="DZ51" s="1739"/>
      <c r="EA51" s="387" t="s">
        <v>9732</v>
      </c>
      <c r="EB51" s="387" t="s">
        <v>9741</v>
      </c>
      <c r="EC51" s="448"/>
      <c r="ED51" s="1741"/>
      <c r="EE51" s="387" t="s">
        <v>9747</v>
      </c>
      <c r="EF51" s="339" t="s">
        <v>9734</v>
      </c>
      <c r="EG51" s="1739" t="s">
        <v>9747</v>
      </c>
      <c r="EH51" s="1742" t="s">
        <v>9741</v>
      </c>
      <c r="EI51" s="387" t="s">
        <v>9747</v>
      </c>
      <c r="EJ51" s="387" t="s">
        <v>9734</v>
      </c>
      <c r="EK51" s="1741" t="s">
        <v>9739</v>
      </c>
      <c r="EL51" s="1741" t="s">
        <v>9744</v>
      </c>
      <c r="EM51" s="448" t="s">
        <v>9716</v>
      </c>
      <c r="EN51" s="1744" t="s">
        <v>9711</v>
      </c>
      <c r="EO51" s="387" t="s">
        <v>9739</v>
      </c>
      <c r="EP51" s="339" t="s">
        <v>9739</v>
      </c>
      <c r="EQ51" s="339" t="s">
        <v>9739</v>
      </c>
      <c r="ER51" s="387" t="s">
        <v>9736</v>
      </c>
      <c r="ES51" s="387" t="s">
        <v>9736</v>
      </c>
      <c r="ET51" s="1741" t="s">
        <v>9719</v>
      </c>
      <c r="EU51" s="448" t="s">
        <v>9712</v>
      </c>
      <c r="EV51" s="1742"/>
      <c r="EW51" s="131" t="s">
        <v>9747</v>
      </c>
      <c r="EX51" s="131" t="s">
        <v>9747</v>
      </c>
      <c r="EY51" s="131" t="s">
        <v>9734</v>
      </c>
      <c r="EZ51" s="339"/>
      <c r="FA51" s="339" t="s">
        <v>9767</v>
      </c>
      <c r="FB51" s="339" t="s">
        <v>9732</v>
      </c>
      <c r="FC51" s="387" t="s">
        <v>9734</v>
      </c>
      <c r="FD51" s="387" t="s">
        <v>9745</v>
      </c>
      <c r="FE51" s="387" t="s">
        <v>9748</v>
      </c>
      <c r="FF51" s="1741" t="s">
        <v>9732</v>
      </c>
      <c r="FG51" s="1741" t="s">
        <v>9706</v>
      </c>
      <c r="FH51" s="1741" t="s">
        <v>9754</v>
      </c>
      <c r="FI51" s="1741" t="s">
        <v>9739</v>
      </c>
      <c r="FJ51" s="1739" t="s">
        <v>9737</v>
      </c>
      <c r="FK51" s="1739" t="s">
        <v>9732</v>
      </c>
      <c r="FL51" s="159" t="s">
        <v>9770</v>
      </c>
      <c r="FM51" s="1739" t="s">
        <v>9754</v>
      </c>
      <c r="FN51" s="448" t="s">
        <v>9741</v>
      </c>
      <c r="FO51" s="387" t="s">
        <v>9761</v>
      </c>
      <c r="FP51" s="387" t="s">
        <v>9747</v>
      </c>
      <c r="FQ51" s="367"/>
      <c r="FR51" s="1742" t="s">
        <v>9732</v>
      </c>
      <c r="FS51" s="1742" t="s">
        <v>9746</v>
      </c>
      <c r="FT51" s="1740" t="s">
        <v>9750</v>
      </c>
      <c r="FU51" s="1740" t="s">
        <v>9706</v>
      </c>
      <c r="FV51" s="131" t="s">
        <v>9737</v>
      </c>
      <c r="FW51" s="131" t="s">
        <v>9732</v>
      </c>
      <c r="FX51" s="1740"/>
      <c r="FY51" s="1742" t="s">
        <v>9754</v>
      </c>
      <c r="FZ51" s="339" t="s">
        <v>9734</v>
      </c>
      <c r="GA51" s="131" t="s">
        <v>9739</v>
      </c>
      <c r="GB51" s="387" t="s">
        <v>9754</v>
      </c>
      <c r="GC51" s="387" t="s">
        <v>9739</v>
      </c>
      <c r="GD51" s="1741" t="s">
        <v>9760</v>
      </c>
      <c r="GE51" s="131" t="s">
        <v>9740</v>
      </c>
      <c r="GF51" s="1742"/>
      <c r="GG51" s="131"/>
      <c r="GH51" s="387" t="s">
        <v>9758</v>
      </c>
      <c r="GI51" s="448" t="s">
        <v>9724</v>
      </c>
      <c r="GJ51" s="339" t="s">
        <v>9754</v>
      </c>
      <c r="GK51" s="339" t="s">
        <v>9757</v>
      </c>
      <c r="GL51" s="1739" t="s">
        <v>9754</v>
      </c>
      <c r="GM51" s="387" t="s">
        <v>9754</v>
      </c>
      <c r="GN51" s="387" t="s">
        <v>9728</v>
      </c>
      <c r="GO51" s="448" t="s">
        <v>9734</v>
      </c>
      <c r="GP51" s="1744" t="s">
        <v>9734</v>
      </c>
      <c r="GQ51" s="1744" t="s">
        <v>9750</v>
      </c>
      <c r="GR51" s="1742" t="s">
        <v>9711</v>
      </c>
      <c r="GS51" s="1743" t="s">
        <v>9738</v>
      </c>
      <c r="GT51" s="1744"/>
      <c r="GU51" s="387"/>
      <c r="GV51" s="339" t="s">
        <v>9732</v>
      </c>
      <c r="GW51" s="1743" t="s">
        <v>9751</v>
      </c>
      <c r="GX51" s="448" t="s">
        <v>9752</v>
      </c>
      <c r="GY51" s="339" t="s">
        <v>9722</v>
      </c>
      <c r="GZ51" s="448" t="s">
        <v>9727</v>
      </c>
      <c r="HA51" s="1743" t="s">
        <v>9744</v>
      </c>
      <c r="HB51" s="1742" t="s">
        <v>9711</v>
      </c>
      <c r="HC51" s="448" t="s">
        <v>9719</v>
      </c>
      <c r="HD51" s="1743" t="s">
        <v>9739</v>
      </c>
      <c r="HE51" s="1739" t="s">
        <v>9755</v>
      </c>
      <c r="HF51" s="339" t="s">
        <v>9739</v>
      </c>
      <c r="HG51" s="387" t="s">
        <v>9741</v>
      </c>
      <c r="HH51" s="1744" t="s">
        <v>9724</v>
      </c>
      <c r="HI51" s="1741" t="s">
        <v>9753</v>
      </c>
      <c r="HJ51" s="1741" t="s">
        <v>9728</v>
      </c>
      <c r="HK51" s="1739"/>
      <c r="HL51" s="1739" t="s">
        <v>9744</v>
      </c>
      <c r="HM51" s="1741" t="s">
        <v>9739</v>
      </c>
      <c r="HN51" s="1741" t="s">
        <v>9756</v>
      </c>
      <c r="HO51" s="1742" t="s">
        <v>9706</v>
      </c>
      <c r="HP51" s="1743" t="s">
        <v>9747</v>
      </c>
      <c r="HQ51" s="1739" t="s">
        <v>9741</v>
      </c>
      <c r="HR51" s="1739" t="s">
        <v>9747</v>
      </c>
      <c r="HS51" s="448" t="s">
        <v>9747</v>
      </c>
      <c r="HT51" s="1743" t="s">
        <v>9734</v>
      </c>
      <c r="HU51" s="1744" t="s">
        <v>9733</v>
      </c>
      <c r="HV51" s="1744" t="s">
        <v>9738</v>
      </c>
      <c r="HW51" s="387" t="s">
        <v>9765</v>
      </c>
      <c r="HX51" s="387"/>
      <c r="HY51" s="1743" t="s">
        <v>9739</v>
      </c>
      <c r="HZ51" s="1739" t="s">
        <v>9741</v>
      </c>
      <c r="IA51" s="1741" t="s">
        <v>9721</v>
      </c>
      <c r="IB51" s="1740"/>
      <c r="IC51" s="448"/>
      <c r="ID51" s="1741" t="s">
        <v>9747</v>
      </c>
      <c r="IE51" s="1742" t="s">
        <v>9746</v>
      </c>
      <c r="IF51" s="339" t="s">
        <v>9747</v>
      </c>
      <c r="IG51" s="1739" t="s">
        <v>9754</v>
      </c>
      <c r="IH51" s="1742" t="s">
        <v>9722</v>
      </c>
      <c r="II51" s="1742" t="s">
        <v>9725</v>
      </c>
      <c r="IJ51" s="339" t="s">
        <v>9737</v>
      </c>
      <c r="IK51" s="1741" t="s">
        <v>9741</v>
      </c>
      <c r="IL51" s="387" t="s">
        <v>9756</v>
      </c>
      <c r="IM51" s="131" t="s">
        <v>9734</v>
      </c>
      <c r="IN51" s="1743" t="s">
        <v>9734</v>
      </c>
      <c r="IO51" s="131" t="s">
        <v>9719</v>
      </c>
      <c r="IP51" s="1740" t="s">
        <v>9725</v>
      </c>
      <c r="IQ51" s="1739" t="s">
        <v>9707</v>
      </c>
      <c r="IR51" s="131" t="s">
        <v>9730</v>
      </c>
      <c r="IS51" s="131" t="s">
        <v>9737</v>
      </c>
      <c r="IT51" s="131" t="s">
        <v>9729</v>
      </c>
      <c r="IU51" s="131" t="s">
        <v>9748</v>
      </c>
      <c r="IV51" s="1739" t="s">
        <v>9754</v>
      </c>
      <c r="IW51" s="1739" t="s">
        <v>9745</v>
      </c>
      <c r="IX51" s="1739" t="s">
        <v>9728</v>
      </c>
      <c r="IY51" s="387" t="s">
        <v>9766</v>
      </c>
      <c r="IZ51" s="387" t="s">
        <v>9739</v>
      </c>
      <c r="JA51" s="387" t="s">
        <v>9732</v>
      </c>
      <c r="JB51" s="1743" t="s">
        <v>9739</v>
      </c>
      <c r="JC51" s="1743" t="s">
        <v>9734</v>
      </c>
      <c r="JD51" s="1741" t="s">
        <v>9734</v>
      </c>
      <c r="JE51" s="1740" t="s">
        <v>9732</v>
      </c>
      <c r="JF51" s="1739"/>
      <c r="JG51" s="1740"/>
      <c r="JH51" s="339" t="s">
        <v>9739</v>
      </c>
      <c r="JI51" s="448"/>
      <c r="JJ51" s="131" t="s">
        <v>9734</v>
      </c>
      <c r="JK51" s="131" t="s">
        <v>9739</v>
      </c>
      <c r="JL51" s="131" t="s">
        <v>9737</v>
      </c>
      <c r="JM51" s="131" t="s">
        <v>9728</v>
      </c>
      <c r="JN51" s="1741" t="s">
        <v>9754</v>
      </c>
      <c r="JO51" s="1741" t="s">
        <v>9735</v>
      </c>
      <c r="JP51" s="1741" t="s">
        <v>9732</v>
      </c>
      <c r="JQ51" s="159" t="s">
        <v>9774</v>
      </c>
      <c r="JR51" s="387" t="s">
        <v>9768</v>
      </c>
      <c r="JS51" s="1740" t="s">
        <v>9754</v>
      </c>
      <c r="JT51" s="339" t="s">
        <v>9734</v>
      </c>
      <c r="JU51" s="1740" t="s">
        <v>9728</v>
      </c>
      <c r="JV51" s="1740" t="s">
        <v>9728</v>
      </c>
      <c r="JW51" s="1740" t="s">
        <v>9724</v>
      </c>
      <c r="JX51" s="387" t="s">
        <v>9754</v>
      </c>
      <c r="JY51" s="387" t="s">
        <v>9737</v>
      </c>
      <c r="JZ51" s="1741" t="s">
        <v>9754</v>
      </c>
      <c r="KA51" s="131" t="s">
        <v>9728</v>
      </c>
      <c r="KB51" s="1741" t="s">
        <v>9722</v>
      </c>
      <c r="KC51" s="1740" t="s">
        <v>9707</v>
      </c>
      <c r="KD51" s="1741" t="s">
        <v>9723</v>
      </c>
      <c r="KE51" s="159" t="s">
        <v>9689</v>
      </c>
      <c r="KF51" s="339" t="s">
        <v>9734</v>
      </c>
      <c r="KG51" s="1741" t="s">
        <v>9739</v>
      </c>
      <c r="KH51" s="1742" t="s">
        <v>9747</v>
      </c>
      <c r="KI51" s="387" t="s">
        <v>9706</v>
      </c>
      <c r="KJ51" s="387" t="s">
        <v>9722</v>
      </c>
      <c r="KK51" s="339" t="s">
        <v>9747</v>
      </c>
      <c r="KL51" s="1741" t="s">
        <v>9734</v>
      </c>
      <c r="KM51" s="387"/>
      <c r="KN51" s="1743" t="s">
        <v>9734</v>
      </c>
      <c r="KO51" s="1742" t="s">
        <v>9740</v>
      </c>
      <c r="KP51" s="448" t="s">
        <v>9732</v>
      </c>
      <c r="KQ51" s="448" t="s">
        <v>9724</v>
      </c>
      <c r="KR51" s="1744" t="s">
        <v>9748</v>
      </c>
      <c r="KS51" s="1743" t="s">
        <v>9734</v>
      </c>
      <c r="KT51" s="1743" t="s">
        <v>9742</v>
      </c>
      <c r="KU51" s="1743" t="s">
        <v>9720</v>
      </c>
      <c r="KV51" s="387" t="s">
        <v>9746</v>
      </c>
      <c r="KW51" s="1739" t="s">
        <v>9732</v>
      </c>
      <c r="KX51" s="131" t="s">
        <v>9754</v>
      </c>
      <c r="KY51" s="339" t="s">
        <v>9734</v>
      </c>
      <c r="KZ51" s="339"/>
      <c r="LA51" s="339"/>
      <c r="LB51" s="1743" t="s">
        <v>9728</v>
      </c>
      <c r="LC51" s="448" t="s">
        <v>9728</v>
      </c>
      <c r="LD51" s="131" t="s">
        <v>9757</v>
      </c>
      <c r="LE51" s="131" t="s">
        <v>9747</v>
      </c>
      <c r="LF51" s="448" t="s">
        <v>9741</v>
      </c>
      <c r="LG51" s="1739" t="s">
        <v>9761</v>
      </c>
      <c r="LH51" s="387" t="s">
        <v>9756</v>
      </c>
      <c r="LI51" s="387" t="s">
        <v>9766</v>
      </c>
      <c r="LJ51" s="387" t="s">
        <v>9754</v>
      </c>
      <c r="LK51" s="339" t="s">
        <v>9754</v>
      </c>
      <c r="LL51" s="1739" t="s">
        <v>9744</v>
      </c>
      <c r="LM51" s="1741" t="s">
        <v>9752</v>
      </c>
      <c r="LN51" s="1744" t="s">
        <v>9740</v>
      </c>
      <c r="LO51" s="448" t="s">
        <v>9721</v>
      </c>
      <c r="LP51" s="1741" t="s">
        <v>9728</v>
      </c>
      <c r="LQ51" s="1741" t="s">
        <v>9769</v>
      </c>
      <c r="LR51" s="131" t="s">
        <v>9747</v>
      </c>
      <c r="LS51" s="131" t="s">
        <v>9732</v>
      </c>
      <c r="LT51" s="131" t="s">
        <v>9764</v>
      </c>
      <c r="LU51" s="131" t="s">
        <v>9741</v>
      </c>
      <c r="LV51" s="387" t="s">
        <v>9754</v>
      </c>
      <c r="LW51" s="387" t="s">
        <v>9726</v>
      </c>
      <c r="LX51" s="1740" t="s">
        <v>9723</v>
      </c>
      <c r="LY51" s="1744" t="s">
        <v>9755</v>
      </c>
      <c r="LZ51" s="339" t="s">
        <v>9735</v>
      </c>
      <c r="MA51" s="1739" t="s">
        <v>9732</v>
      </c>
      <c r="MB51" s="1743"/>
      <c r="MC51" s="387" t="s">
        <v>9747</v>
      </c>
      <c r="MD51" s="1739" t="s">
        <v>9745</v>
      </c>
      <c r="ME51" s="1739" t="s">
        <v>9740</v>
      </c>
      <c r="MF51" s="1741" t="s">
        <v>9735</v>
      </c>
      <c r="MG51" s="1744" t="s">
        <v>9732</v>
      </c>
      <c r="MH51" s="448" t="s">
        <v>9739</v>
      </c>
      <c r="MI51" s="131" t="s">
        <v>9745</v>
      </c>
      <c r="MJ51" s="1743" t="s">
        <v>9739</v>
      </c>
      <c r="MK51" s="1743" t="s">
        <v>9745</v>
      </c>
      <c r="ML51" s="1741"/>
      <c r="MM51" s="1742" t="s">
        <v>9747</v>
      </c>
      <c r="MN51" s="1740" t="s">
        <v>9730</v>
      </c>
      <c r="MO51" s="131" t="s">
        <v>9718</v>
      </c>
      <c r="MP51" s="1744" t="s">
        <v>9733</v>
      </c>
      <c r="MQ51" s="1744" t="s">
        <v>9732</v>
      </c>
      <c r="MR51" s="1744" t="s">
        <v>9733</v>
      </c>
      <c r="MS51" s="1744" t="s">
        <v>9721</v>
      </c>
      <c r="MT51" s="131" t="s">
        <v>9745</v>
      </c>
      <c r="MU51" s="387" t="s">
        <v>9746</v>
      </c>
      <c r="MV51" s="1740" t="s">
        <v>9703</v>
      </c>
      <c r="MW51" s="387"/>
      <c r="MX51" s="1743"/>
      <c r="MY51" s="1743" t="s">
        <v>9741</v>
      </c>
      <c r="MZ51" s="387" t="s">
        <v>9766</v>
      </c>
      <c r="NA51" s="387" t="s">
        <v>9761</v>
      </c>
      <c r="NB51" s="387" t="s">
        <v>9739</v>
      </c>
      <c r="NC51" s="387"/>
      <c r="ND51" s="387" t="s">
        <v>9765</v>
      </c>
      <c r="NE51" s="1742" t="s">
        <v>9754</v>
      </c>
      <c r="NF51" s="1743" t="s">
        <v>9742</v>
      </c>
      <c r="NG51" s="159" t="s">
        <v>9775</v>
      </c>
      <c r="NH51" s="387" t="s">
        <v>9747</v>
      </c>
      <c r="NI51" s="1740" t="s">
        <v>9747</v>
      </c>
      <c r="NJ51" s="387" t="s">
        <v>9736</v>
      </c>
      <c r="NK51" s="387"/>
      <c r="NL51" s="387" t="s">
        <v>9737</v>
      </c>
      <c r="NM51" s="387" t="s">
        <v>9744</v>
      </c>
      <c r="NN51" s="1741" t="s">
        <v>9735</v>
      </c>
      <c r="NO51" s="387" t="s">
        <v>9735</v>
      </c>
      <c r="NP51" s="1743" t="s">
        <v>9735</v>
      </c>
      <c r="NQ51" s="1739" t="s">
        <v>9707</v>
      </c>
      <c r="NR51" s="387" t="s">
        <v>9707</v>
      </c>
      <c r="NS51" s="387" t="s">
        <v>9741</v>
      </c>
      <c r="NT51" s="1739" t="s">
        <v>9711</v>
      </c>
      <c r="NU51" s="131" t="s">
        <v>9723</v>
      </c>
      <c r="NV51" s="339" t="s">
        <v>9730</v>
      </c>
      <c r="NW51" s="1739" t="s">
        <v>9707</v>
      </c>
      <c r="NX51" s="1739" t="s">
        <v>9707</v>
      </c>
      <c r="NY51" s="1739" t="s">
        <v>9707</v>
      </c>
      <c r="NZ51" s="1739" t="s">
        <v>9707</v>
      </c>
      <c r="OA51" s="131" t="s">
        <v>9757</v>
      </c>
      <c r="OB51" s="131" t="s">
        <v>9757</v>
      </c>
      <c r="OC51" s="131" t="s">
        <v>9741</v>
      </c>
      <c r="OD51" s="1741" t="s">
        <v>9753</v>
      </c>
      <c r="OE51" s="1741" t="s">
        <v>9732</v>
      </c>
      <c r="OF51" s="1741" t="s">
        <v>9722</v>
      </c>
      <c r="OG51" s="387" t="s">
        <v>9747</v>
      </c>
      <c r="OH51" s="387" t="s">
        <v>9757</v>
      </c>
      <c r="OI51" s="387" t="s">
        <v>9753</v>
      </c>
      <c r="OJ51" s="159" t="s">
        <v>9773</v>
      </c>
      <c r="OK51" s="159" t="s">
        <v>9773</v>
      </c>
      <c r="OL51" s="1741" t="s">
        <v>9768</v>
      </c>
      <c r="OM51" s="1741" t="s">
        <v>9734</v>
      </c>
      <c r="ON51" s="1741" t="s">
        <v>9728</v>
      </c>
      <c r="OO51" s="1739"/>
      <c r="OP51" s="1739" t="s">
        <v>9767</v>
      </c>
      <c r="OQ51" s="387" t="s">
        <v>9766</v>
      </c>
      <c r="OR51" s="387" t="s">
        <v>9766</v>
      </c>
      <c r="OS51" s="387" t="s">
        <v>9747</v>
      </c>
      <c r="OT51" s="131" t="s">
        <v>9747</v>
      </c>
      <c r="OU51" s="131" t="s">
        <v>9739</v>
      </c>
      <c r="OV51" s="387" t="s">
        <v>9710</v>
      </c>
      <c r="OW51" s="387" t="s">
        <v>9718</v>
      </c>
      <c r="OX51" s="1743" t="s">
        <v>9722</v>
      </c>
      <c r="OY51" s="1743" t="s">
        <v>9718</v>
      </c>
      <c r="OZ51" s="131"/>
      <c r="PA51" s="131" t="s">
        <v>9743</v>
      </c>
      <c r="PB51" s="339" t="s">
        <v>9734</v>
      </c>
      <c r="PC51" s="1742" t="s">
        <v>9739</v>
      </c>
      <c r="PD51" s="339" t="s">
        <v>9737</v>
      </c>
      <c r="PE51" s="339"/>
      <c r="PF51" s="339" t="s">
        <v>9758</v>
      </c>
      <c r="PG51" s="1740" t="s">
        <v>9758</v>
      </c>
      <c r="PH51" s="1741" t="s">
        <v>9754</v>
      </c>
      <c r="PI51" s="1741" t="s">
        <v>9748</v>
      </c>
      <c r="PJ51" s="1742"/>
      <c r="PK51" s="1742" t="s">
        <v>9754</v>
      </c>
      <c r="PL51" s="448"/>
      <c r="PM51" s="448" t="s">
        <v>9734</v>
      </c>
      <c r="PN51" s="448" t="s">
        <v>9710</v>
      </c>
      <c r="PO51" s="448" t="s">
        <v>9746</v>
      </c>
      <c r="PP51" s="448" t="s">
        <v>9746</v>
      </c>
      <c r="PQ51" s="1741" t="s">
        <v>9746</v>
      </c>
      <c r="PR51" s="1741" t="s">
        <v>9728</v>
      </c>
      <c r="PS51" s="448" t="s">
        <v>9730</v>
      </c>
      <c r="PT51" s="1744" t="s">
        <v>9740</v>
      </c>
      <c r="PU51" s="1743" t="s">
        <v>9753</v>
      </c>
      <c r="PV51" s="1743" t="s">
        <v>9724</v>
      </c>
      <c r="PW51" s="339" t="s">
        <v>9737</v>
      </c>
      <c r="PX51" s="448" t="s">
        <v>9753</v>
      </c>
      <c r="PY51" s="448" t="s">
        <v>9735</v>
      </c>
      <c r="PZ51" s="131" t="s">
        <v>9744</v>
      </c>
      <c r="QA51" s="131" t="s">
        <v>9740</v>
      </c>
      <c r="QB51" s="1741" t="s">
        <v>9747</v>
      </c>
      <c r="QC51" s="1742" t="s">
        <v>9706</v>
      </c>
      <c r="QD51" s="1742" t="s">
        <v>9746</v>
      </c>
      <c r="QE51" s="1744" t="s">
        <v>9768</v>
      </c>
      <c r="QF51" s="448" t="s">
        <v>9733</v>
      </c>
      <c r="QG51" s="387" t="s">
        <v>9742</v>
      </c>
      <c r="QH51" s="387" t="s">
        <v>9760</v>
      </c>
      <c r="QI51" s="387" t="s">
        <v>9728</v>
      </c>
      <c r="QJ51" s="1744" t="s">
        <v>9718</v>
      </c>
      <c r="QK51" s="387" t="s">
        <v>9740</v>
      </c>
      <c r="QL51" s="387" t="s">
        <v>9748</v>
      </c>
      <c r="QM51" s="1741" t="s">
        <v>9769</v>
      </c>
      <c r="QN51" s="1741" t="s">
        <v>9747</v>
      </c>
      <c r="QO51" s="448" t="s">
        <v>9740</v>
      </c>
      <c r="QP51" s="448" t="s">
        <v>9727</v>
      </c>
      <c r="QQ51" s="387" t="s">
        <v>9728</v>
      </c>
      <c r="QR51" s="387" t="s">
        <v>9748</v>
      </c>
      <c r="QS51" s="131" t="s">
        <v>9739</v>
      </c>
      <c r="QT51" s="387" t="s">
        <v>9761</v>
      </c>
      <c r="QU51" s="387" t="s">
        <v>9758</v>
      </c>
      <c r="QV51" s="387"/>
      <c r="QW51" s="1740" t="s">
        <v>9756</v>
      </c>
      <c r="QX51" s="1740" t="s">
        <v>9722</v>
      </c>
      <c r="QY51" s="1744" t="s">
        <v>9710</v>
      </c>
      <c r="QZ51" s="1743" t="s">
        <v>9739</v>
      </c>
      <c r="RA51" s="1742" t="s">
        <v>9723</v>
      </c>
      <c r="RB51" s="1743" t="s">
        <v>9718</v>
      </c>
      <c r="RC51" s="387" t="s">
        <v>9728</v>
      </c>
      <c r="RD51" s="339" t="s">
        <v>9706</v>
      </c>
      <c r="RE51" s="1739" t="s">
        <v>9731</v>
      </c>
      <c r="RF51" s="1740" t="s">
        <v>9706</v>
      </c>
      <c r="RG51" s="131" t="s">
        <v>9739</v>
      </c>
      <c r="RH51" s="131" t="s">
        <v>9745</v>
      </c>
      <c r="RI51" s="387" t="s">
        <v>9739</v>
      </c>
      <c r="RJ51" s="448" t="s">
        <v>9726</v>
      </c>
      <c r="RK51" s="1741" t="s">
        <v>9756</v>
      </c>
      <c r="RL51" s="1739" t="s">
        <v>9746</v>
      </c>
      <c r="RM51" s="1740" t="s">
        <v>9711</v>
      </c>
      <c r="RN51" s="1743" t="s">
        <v>9750</v>
      </c>
      <c r="RO51" s="1744" t="s">
        <v>9721</v>
      </c>
      <c r="RP51" s="1740" t="s">
        <v>9724</v>
      </c>
      <c r="RQ51" s="1739" t="s">
        <v>9739</v>
      </c>
      <c r="RR51" s="1739" t="s">
        <v>9739</v>
      </c>
      <c r="RS51" s="1739" t="s">
        <v>9739</v>
      </c>
      <c r="RT51" s="1739" t="s">
        <v>9739</v>
      </c>
      <c r="RU51" s="1739" t="s">
        <v>9739</v>
      </c>
      <c r="RV51" s="1739" t="s">
        <v>9739</v>
      </c>
      <c r="RW51" s="339" t="s">
        <v>9722</v>
      </c>
      <c r="RX51" s="1742" t="s">
        <v>9722</v>
      </c>
      <c r="RY51" s="387" t="s">
        <v>9711</v>
      </c>
      <c r="RZ51" s="1740" t="s">
        <v>9707</v>
      </c>
      <c r="SA51" s="448" t="s">
        <v>9719</v>
      </c>
      <c r="SB51" s="1741" t="s">
        <v>9735</v>
      </c>
      <c r="SC51" s="1740" t="s">
        <v>9760</v>
      </c>
      <c r="SD51" s="1744" t="s">
        <v>9730</v>
      </c>
      <c r="SE51" s="1744" t="s">
        <v>9730</v>
      </c>
      <c r="SF51" s="339" t="s">
        <v>9741</v>
      </c>
      <c r="SG51" s="387"/>
      <c r="SH51" s="387" t="s">
        <v>9741</v>
      </c>
      <c r="SI51" s="1744" t="s">
        <v>9718</v>
      </c>
      <c r="SJ51" s="131" t="s">
        <v>9754</v>
      </c>
      <c r="SK51" s="131" t="s">
        <v>9754</v>
      </c>
      <c r="SL51" s="1743"/>
    </row>
    <row r="52" ht="15.75" customHeight="1">
      <c r="A52" s="1517"/>
      <c r="B52" s="148" t="s">
        <v>9769</v>
      </c>
      <c r="C52" s="148" t="s">
        <v>9769</v>
      </c>
      <c r="D52" s="148" t="s">
        <v>9747</v>
      </c>
      <c r="E52" s="148" t="s">
        <v>9734</v>
      </c>
      <c r="F52" s="148" t="s">
        <v>9734</v>
      </c>
      <c r="G52" s="148" t="s">
        <v>9726</v>
      </c>
      <c r="H52" s="148" t="s">
        <v>9754</v>
      </c>
      <c r="I52" s="148" t="s">
        <v>9754</v>
      </c>
      <c r="J52" s="148" t="s">
        <v>9741</v>
      </c>
      <c r="K52" s="148"/>
      <c r="L52" s="148"/>
      <c r="M52" s="148" t="s">
        <v>9743</v>
      </c>
      <c r="N52" s="148"/>
      <c r="O52" s="148"/>
      <c r="P52" s="148" t="s">
        <v>9755</v>
      </c>
      <c r="Q52" s="1751" t="s">
        <v>9774</v>
      </c>
      <c r="R52" s="242" t="s">
        <v>9774</v>
      </c>
      <c r="S52" s="276"/>
      <c r="T52" s="148" t="s">
        <v>9757</v>
      </c>
      <c r="U52" s="148" t="s">
        <v>9750</v>
      </c>
      <c r="V52" s="253"/>
      <c r="W52" s="276"/>
      <c r="X52" s="148" t="s">
        <v>9739</v>
      </c>
      <c r="Y52" s="148" t="s">
        <v>9764</v>
      </c>
      <c r="Z52" s="148" t="s">
        <v>9747</v>
      </c>
      <c r="AA52" s="148" t="s">
        <v>9750</v>
      </c>
      <c r="AB52" s="148" t="s">
        <v>9734</v>
      </c>
      <c r="AC52" s="148" t="s">
        <v>9760</v>
      </c>
      <c r="AD52" s="148" t="s">
        <v>9739</v>
      </c>
      <c r="AE52" s="148" t="s">
        <v>9739</v>
      </c>
      <c r="AF52" s="148" t="s">
        <v>9719</v>
      </c>
      <c r="AG52" s="148" t="s">
        <v>9749</v>
      </c>
      <c r="AH52" s="148" t="s">
        <v>9749</v>
      </c>
      <c r="AI52" s="148" t="s">
        <v>9719</v>
      </c>
      <c r="AJ52" s="148" t="s">
        <v>9719</v>
      </c>
      <c r="AK52" s="148" t="s">
        <v>9713</v>
      </c>
      <c r="AL52" s="148" t="s">
        <v>9754</v>
      </c>
      <c r="AM52" s="148" t="s">
        <v>9734</v>
      </c>
      <c r="AN52" s="148" t="s">
        <v>9718</v>
      </c>
      <c r="AO52" s="148" t="s">
        <v>9711</v>
      </c>
      <c r="AP52" s="148" t="s">
        <v>9747</v>
      </c>
      <c r="AQ52" s="148" t="s">
        <v>9734</v>
      </c>
      <c r="AR52" s="148"/>
      <c r="AS52" s="148" t="s">
        <v>9767</v>
      </c>
      <c r="AT52" s="148" t="s">
        <v>9747</v>
      </c>
      <c r="AU52" s="148" t="s">
        <v>9739</v>
      </c>
      <c r="AV52" s="148" t="s">
        <v>9734</v>
      </c>
      <c r="AW52" s="148"/>
      <c r="AX52" s="148" t="s">
        <v>9747</v>
      </c>
      <c r="AY52" s="148" t="s">
        <v>9767</v>
      </c>
      <c r="AZ52" s="148" t="s">
        <v>9739</v>
      </c>
      <c r="BA52" s="148" t="s">
        <v>9740</v>
      </c>
      <c r="BB52" s="148" t="s">
        <v>9732</v>
      </c>
      <c r="BC52" s="148" t="s">
        <v>9743</v>
      </c>
      <c r="BD52" s="148" t="s">
        <v>9753</v>
      </c>
      <c r="BE52" s="148" t="s">
        <v>9728</v>
      </c>
      <c r="BF52" s="148" t="s">
        <v>9748</v>
      </c>
      <c r="BG52" s="148" t="s">
        <v>9769</v>
      </c>
      <c r="BH52" s="148" t="s">
        <v>9739</v>
      </c>
      <c r="BI52" s="148"/>
      <c r="BJ52" s="148" t="s">
        <v>9754</v>
      </c>
      <c r="BK52" s="148" t="s">
        <v>9732</v>
      </c>
      <c r="BL52" s="148" t="s">
        <v>9730</v>
      </c>
      <c r="BM52" s="148" t="s">
        <v>9730</v>
      </c>
      <c r="BN52" s="148" t="s">
        <v>9724</v>
      </c>
      <c r="BO52" s="148" t="s">
        <v>9751</v>
      </c>
      <c r="BP52" s="148" t="s">
        <v>9751</v>
      </c>
      <c r="BQ52" s="148" t="s">
        <v>9741</v>
      </c>
      <c r="BR52" s="148"/>
      <c r="BS52" s="148"/>
      <c r="BT52" s="148" t="s">
        <v>9754</v>
      </c>
      <c r="BU52" s="148" t="s">
        <v>9767</v>
      </c>
      <c r="BV52" s="148" t="s">
        <v>9747</v>
      </c>
      <c r="BW52" s="148" t="s">
        <v>9734</v>
      </c>
      <c r="BX52" s="148" t="s">
        <v>9734</v>
      </c>
      <c r="BY52" s="148" t="s">
        <v>9744</v>
      </c>
      <c r="BZ52" s="148"/>
      <c r="CA52" s="148"/>
      <c r="CB52" s="148" t="s">
        <v>9721</v>
      </c>
      <c r="CC52" s="148" t="s">
        <v>9718</v>
      </c>
      <c r="CD52" s="148" t="s">
        <v>9762</v>
      </c>
      <c r="CE52" s="148" t="s">
        <v>9747</v>
      </c>
      <c r="CF52" s="148" t="s">
        <v>9767</v>
      </c>
      <c r="CG52" s="148"/>
      <c r="CH52" s="148"/>
      <c r="CI52" s="148"/>
      <c r="CJ52" s="148" t="s">
        <v>9761</v>
      </c>
      <c r="CK52" s="148" t="s">
        <v>9732</v>
      </c>
      <c r="CL52" s="148" t="s">
        <v>9706</v>
      </c>
      <c r="CM52" s="148"/>
      <c r="CN52" s="148" t="s">
        <v>9754</v>
      </c>
      <c r="CO52" s="148" t="s">
        <v>9735</v>
      </c>
      <c r="CP52" s="148" t="s">
        <v>9733</v>
      </c>
      <c r="CQ52" s="148" t="s">
        <v>9748</v>
      </c>
      <c r="CR52" s="148" t="s">
        <v>9742</v>
      </c>
      <c r="CS52" s="148" t="s">
        <v>9732</v>
      </c>
      <c r="CT52" s="148" t="s">
        <v>9748</v>
      </c>
      <c r="CU52" s="148" t="s">
        <v>9739</v>
      </c>
      <c r="CV52" s="148" t="s">
        <v>9751</v>
      </c>
      <c r="CW52" s="159" t="s">
        <v>9770</v>
      </c>
      <c r="CX52" s="148" t="s">
        <v>9754</v>
      </c>
      <c r="CY52" s="148" t="s">
        <v>9734</v>
      </c>
      <c r="CZ52" s="148" t="s">
        <v>9745</v>
      </c>
      <c r="DA52" s="148" t="s">
        <v>9732</v>
      </c>
      <c r="DB52" s="148" t="s">
        <v>9727</v>
      </c>
      <c r="DC52" s="148" t="s">
        <v>9747</v>
      </c>
      <c r="DD52" s="148" t="s">
        <v>9747</v>
      </c>
      <c r="DE52" s="148" t="s">
        <v>9711</v>
      </c>
      <c r="DF52" s="148" t="s">
        <v>9737</v>
      </c>
      <c r="DG52" s="148" t="s">
        <v>9740</v>
      </c>
      <c r="DH52" s="148" t="s">
        <v>9732</v>
      </c>
      <c r="DI52" s="148" t="s">
        <v>9722</v>
      </c>
      <c r="DJ52" s="148" t="s">
        <v>9713</v>
      </c>
      <c r="DK52" s="148" t="s">
        <v>9739</v>
      </c>
      <c r="DL52" s="148" t="s">
        <v>9719</v>
      </c>
      <c r="DM52" s="148"/>
      <c r="DN52" s="148"/>
      <c r="DO52" s="148"/>
      <c r="DP52" s="148"/>
      <c r="DQ52" s="148" t="s">
        <v>9747</v>
      </c>
      <c r="DR52" s="148" t="s">
        <v>9750</v>
      </c>
      <c r="DS52" s="148" t="s">
        <v>9722</v>
      </c>
      <c r="DT52" s="148" t="s">
        <v>9758</v>
      </c>
      <c r="DU52" s="148" t="s">
        <v>9721</v>
      </c>
      <c r="DV52" s="148" t="s">
        <v>9750</v>
      </c>
      <c r="DW52" s="148" t="s">
        <v>9739</v>
      </c>
      <c r="DX52" s="148" t="s">
        <v>9745</v>
      </c>
      <c r="DY52" s="148" t="s">
        <v>9732</v>
      </c>
      <c r="DZ52" s="148"/>
      <c r="EA52" s="148" t="s">
        <v>9736</v>
      </c>
      <c r="EB52" s="148" t="s">
        <v>9756</v>
      </c>
      <c r="EC52" s="148"/>
      <c r="ED52" s="148"/>
      <c r="EE52" s="148" t="s">
        <v>9754</v>
      </c>
      <c r="EF52" s="148" t="s">
        <v>9739</v>
      </c>
      <c r="EG52" s="148" t="s">
        <v>9754</v>
      </c>
      <c r="EH52" s="148" t="s">
        <v>9737</v>
      </c>
      <c r="EI52" s="148" t="s">
        <v>9754</v>
      </c>
      <c r="EJ52" s="148" t="s">
        <v>9751</v>
      </c>
      <c r="EK52" s="148" t="s">
        <v>9747</v>
      </c>
      <c r="EL52" s="148" t="s">
        <v>9760</v>
      </c>
      <c r="EM52" s="148" t="s">
        <v>9726</v>
      </c>
      <c r="EN52" s="148" t="s">
        <v>9718</v>
      </c>
      <c r="EO52" s="148" t="s">
        <v>9747</v>
      </c>
      <c r="EP52" s="148" t="s">
        <v>9747</v>
      </c>
      <c r="EQ52" s="148" t="s">
        <v>9747</v>
      </c>
      <c r="ER52" s="148" t="s">
        <v>9750</v>
      </c>
      <c r="ES52" s="148" t="s">
        <v>9750</v>
      </c>
      <c r="ET52" s="148" t="s">
        <v>9723</v>
      </c>
      <c r="EU52" s="148" t="s">
        <v>9704</v>
      </c>
      <c r="EV52" s="148"/>
      <c r="EW52" s="148" t="s">
        <v>9754</v>
      </c>
      <c r="EX52" s="148" t="s">
        <v>9754</v>
      </c>
      <c r="EY52" s="148" t="s">
        <v>9739</v>
      </c>
      <c r="EZ52" s="148"/>
      <c r="FA52" s="148" t="s">
        <v>9766</v>
      </c>
      <c r="FB52" s="148" t="s">
        <v>9738</v>
      </c>
      <c r="FC52" s="148" t="s">
        <v>9751</v>
      </c>
      <c r="FD52" s="148" t="s">
        <v>9734</v>
      </c>
      <c r="FE52" s="148" t="s">
        <v>9728</v>
      </c>
      <c r="FF52" s="148" t="s">
        <v>9753</v>
      </c>
      <c r="FG52" s="148" t="s">
        <v>9710</v>
      </c>
      <c r="FH52" s="148" t="s">
        <v>9759</v>
      </c>
      <c r="FI52" s="148" t="s">
        <v>9747</v>
      </c>
      <c r="FJ52" s="148" t="s">
        <v>9745</v>
      </c>
      <c r="FK52" s="148" t="s">
        <v>9729</v>
      </c>
      <c r="FL52" s="253"/>
      <c r="FM52" s="276"/>
      <c r="FN52" s="148" t="s">
        <v>9734</v>
      </c>
      <c r="FO52" s="148" t="s">
        <v>9765</v>
      </c>
      <c r="FP52" s="148" t="s">
        <v>9754</v>
      </c>
      <c r="FQ52" s="159" t="s">
        <v>9761</v>
      </c>
      <c r="FR52" s="148" t="s">
        <v>9746</v>
      </c>
      <c r="FS52" s="148" t="s">
        <v>9737</v>
      </c>
      <c r="FT52" s="148" t="s">
        <v>9743</v>
      </c>
      <c r="FU52" s="148" t="s">
        <v>9716</v>
      </c>
      <c r="FV52" s="148" t="s">
        <v>9750</v>
      </c>
      <c r="FW52" s="148" t="s">
        <v>9741</v>
      </c>
      <c r="FX52" s="148"/>
      <c r="FY52" s="148" t="s">
        <v>9766</v>
      </c>
      <c r="FZ52" s="148" t="s">
        <v>9739</v>
      </c>
      <c r="GA52" s="148" t="s">
        <v>9757</v>
      </c>
      <c r="GB52" s="148" t="s">
        <v>9761</v>
      </c>
      <c r="GC52" s="148" t="s">
        <v>9757</v>
      </c>
      <c r="GD52" s="148" t="s">
        <v>9742</v>
      </c>
      <c r="GE52" s="148" t="s">
        <v>9741</v>
      </c>
      <c r="GF52" s="148"/>
      <c r="GG52" s="148"/>
      <c r="GH52" s="148" t="s">
        <v>9754</v>
      </c>
      <c r="GI52" s="148" t="s">
        <v>9728</v>
      </c>
      <c r="GJ52" s="148" t="s">
        <v>9767</v>
      </c>
      <c r="GK52" s="148" t="s">
        <v>9747</v>
      </c>
      <c r="GL52" s="148" t="s">
        <v>9768</v>
      </c>
      <c r="GM52" s="148" t="s">
        <v>9761</v>
      </c>
      <c r="GN52" s="148" t="s">
        <v>9732</v>
      </c>
      <c r="GO52" s="148" t="s">
        <v>9739</v>
      </c>
      <c r="GP52" s="148" t="s">
        <v>9764</v>
      </c>
      <c r="GQ52" s="148" t="s">
        <v>9743</v>
      </c>
      <c r="GR52" s="148" t="s">
        <v>9718</v>
      </c>
      <c r="GS52" s="148" t="s">
        <v>9733</v>
      </c>
      <c r="GT52" s="148"/>
      <c r="GU52" s="148"/>
      <c r="GV52" s="148" t="s">
        <v>9746</v>
      </c>
      <c r="GW52" s="148" t="s">
        <v>9739</v>
      </c>
      <c r="GX52" s="148" t="s">
        <v>9742</v>
      </c>
      <c r="GY52" s="148" t="s">
        <v>9706</v>
      </c>
      <c r="GZ52" s="148" t="s">
        <v>9728</v>
      </c>
      <c r="HA52" s="148" t="s">
        <v>9760</v>
      </c>
      <c r="HB52" s="148" t="s">
        <v>9718</v>
      </c>
      <c r="HC52" s="148" t="s">
        <v>9723</v>
      </c>
      <c r="HD52" s="148" t="s">
        <v>9749</v>
      </c>
      <c r="HE52" s="148" t="s">
        <v>9739</v>
      </c>
      <c r="HF52" s="148" t="s">
        <v>9747</v>
      </c>
      <c r="HG52" s="148" t="s">
        <v>9760</v>
      </c>
      <c r="HH52" s="148" t="s">
        <v>9727</v>
      </c>
      <c r="HI52" s="148" t="s">
        <v>9740</v>
      </c>
      <c r="HJ52" s="148" t="s">
        <v>9732</v>
      </c>
      <c r="HK52" s="148"/>
      <c r="HL52" s="148" t="s">
        <v>9760</v>
      </c>
      <c r="HM52" s="148" t="s">
        <v>9747</v>
      </c>
      <c r="HN52" s="148" t="s">
        <v>9742</v>
      </c>
      <c r="HO52" s="148" t="s">
        <v>9732</v>
      </c>
      <c r="HP52" s="148" t="s">
        <v>9754</v>
      </c>
      <c r="HQ52" s="148" t="s">
        <v>9750</v>
      </c>
      <c r="HR52" s="148" t="s">
        <v>9754</v>
      </c>
      <c r="HS52" s="148" t="s">
        <v>9754</v>
      </c>
      <c r="HT52" s="148" t="s">
        <v>9764</v>
      </c>
      <c r="HU52" s="148" t="s">
        <v>9740</v>
      </c>
      <c r="HV52" s="148" t="s">
        <v>9733</v>
      </c>
      <c r="HW52" s="148"/>
      <c r="HX52" s="148"/>
      <c r="HY52" s="148" t="s">
        <v>9749</v>
      </c>
      <c r="HZ52" s="148" t="s">
        <v>9737</v>
      </c>
      <c r="IA52" s="148" t="s">
        <v>9730</v>
      </c>
      <c r="IB52" s="148"/>
      <c r="IC52" s="148"/>
      <c r="ID52" s="148" t="s">
        <v>9754</v>
      </c>
      <c r="IE52" s="148" t="s">
        <v>9737</v>
      </c>
      <c r="IF52" s="148" t="s">
        <v>9754</v>
      </c>
      <c r="IG52" s="148" t="s">
        <v>9769</v>
      </c>
      <c r="IH52" s="148" t="s">
        <v>9706</v>
      </c>
      <c r="II52" s="148" t="s">
        <v>9713</v>
      </c>
      <c r="IJ52" s="148" t="s">
        <v>9750</v>
      </c>
      <c r="IK52" s="148" t="s">
        <v>9737</v>
      </c>
      <c r="IL52" s="148" t="s">
        <v>9743</v>
      </c>
      <c r="IM52" s="148" t="s">
        <v>9764</v>
      </c>
      <c r="IN52" s="148" t="s">
        <v>9764</v>
      </c>
      <c r="IO52" s="148" t="s">
        <v>9723</v>
      </c>
      <c r="IP52" s="148" t="s">
        <v>9720</v>
      </c>
      <c r="IQ52" s="148" t="s">
        <v>9711</v>
      </c>
      <c r="IR52" s="148" t="s">
        <v>9728</v>
      </c>
      <c r="IS52" s="148" t="s">
        <v>9745</v>
      </c>
      <c r="IT52" s="148" t="s">
        <v>9737</v>
      </c>
      <c r="IU52" s="148" t="s">
        <v>9730</v>
      </c>
      <c r="IV52" s="148" t="s">
        <v>9767</v>
      </c>
      <c r="IW52" s="148" t="s">
        <v>9734</v>
      </c>
      <c r="IX52" s="148" t="s">
        <v>9732</v>
      </c>
      <c r="IY52" s="148" t="s">
        <v>9769</v>
      </c>
      <c r="IZ52" s="148" t="s">
        <v>9747</v>
      </c>
      <c r="JA52" s="148" t="s">
        <v>9741</v>
      </c>
      <c r="JB52" s="148" t="s">
        <v>9747</v>
      </c>
      <c r="JC52" s="148" t="s">
        <v>9764</v>
      </c>
      <c r="JD52" s="148" t="s">
        <v>9739</v>
      </c>
      <c r="JE52" s="148" t="s">
        <v>9753</v>
      </c>
      <c r="JF52" s="148"/>
      <c r="JG52" s="148"/>
      <c r="JH52" s="148" t="s">
        <v>9747</v>
      </c>
      <c r="JI52" s="148"/>
      <c r="JJ52" s="148" t="s">
        <v>9739</v>
      </c>
      <c r="JK52" s="1746" t="s">
        <v>9757</v>
      </c>
      <c r="JL52" s="1746" t="s">
        <v>9745</v>
      </c>
      <c r="JM52" s="1746" t="s">
        <v>9732</v>
      </c>
      <c r="JN52" s="1746" t="s">
        <v>9769</v>
      </c>
      <c r="JO52" s="1746" t="s">
        <v>9740</v>
      </c>
      <c r="JP52" s="1746" t="s">
        <v>9733</v>
      </c>
      <c r="JQ52" s="1737"/>
      <c r="JR52" s="1748"/>
      <c r="JS52" s="148" t="s">
        <v>9759</v>
      </c>
      <c r="JT52" s="148" t="s">
        <v>9739</v>
      </c>
      <c r="JU52" s="148" t="s">
        <v>9732</v>
      </c>
      <c r="JV52" s="148" t="s">
        <v>9732</v>
      </c>
      <c r="JW52" s="148" t="s">
        <v>9748</v>
      </c>
      <c r="JX52" s="1748"/>
      <c r="JY52" s="1746" t="s">
        <v>9743</v>
      </c>
      <c r="JZ52" s="1746"/>
      <c r="KA52" s="1746" t="s">
        <v>9732</v>
      </c>
      <c r="KB52" s="1746" t="s">
        <v>9706</v>
      </c>
      <c r="KC52" s="148" t="s">
        <v>9711</v>
      </c>
      <c r="KD52" s="1746" t="s">
        <v>9707</v>
      </c>
      <c r="KE52" s="1737"/>
      <c r="KF52" s="148" t="s">
        <v>9755</v>
      </c>
      <c r="KG52" s="1746" t="s">
        <v>9747</v>
      </c>
      <c r="KH52" s="1746" t="s">
        <v>9754</v>
      </c>
      <c r="KI52" s="1746" t="s">
        <v>9731</v>
      </c>
      <c r="KJ52" s="148" t="s">
        <v>9706</v>
      </c>
      <c r="KK52" s="1746" t="s">
        <v>9754</v>
      </c>
      <c r="KL52" s="1746" t="s">
        <v>9751</v>
      </c>
      <c r="KM52" s="1746"/>
      <c r="KN52" s="1746" t="s">
        <v>9751</v>
      </c>
      <c r="KO52" s="148" t="s">
        <v>9737</v>
      </c>
      <c r="KP52" s="1746" t="s">
        <v>9740</v>
      </c>
      <c r="KQ52" s="148" t="s">
        <v>9728</v>
      </c>
      <c r="KR52" s="148" t="s">
        <v>9728</v>
      </c>
      <c r="KS52" s="1746" t="s">
        <v>9751</v>
      </c>
      <c r="KT52" s="1746" t="s">
        <v>9734</v>
      </c>
      <c r="KU52" s="148" t="s">
        <v>9719</v>
      </c>
      <c r="KV52" s="1746" t="s">
        <v>9737</v>
      </c>
      <c r="KW52" s="148" t="s">
        <v>9729</v>
      </c>
      <c r="KX52" s="1746" t="s">
        <v>9766</v>
      </c>
      <c r="KY52" s="1746" t="s">
        <v>9739</v>
      </c>
      <c r="KZ52" s="1746"/>
      <c r="LA52" s="1746"/>
      <c r="LB52" s="1746" t="s">
        <v>9732</v>
      </c>
      <c r="LC52" s="1746" t="s">
        <v>9732</v>
      </c>
      <c r="LD52" s="148" t="s">
        <v>9747</v>
      </c>
      <c r="LE52" s="1746" t="s">
        <v>9754</v>
      </c>
      <c r="LF52" s="1746" t="s">
        <v>9734</v>
      </c>
      <c r="LG52" s="1746" t="s">
        <v>9765</v>
      </c>
      <c r="LH52" s="148" t="s">
        <v>9734</v>
      </c>
      <c r="LI52" s="1746" t="s">
        <v>9769</v>
      </c>
      <c r="LJ52" s="1746" t="s">
        <v>9761</v>
      </c>
      <c r="LK52" s="1746" t="s">
        <v>9766</v>
      </c>
      <c r="LL52" s="1746" t="s">
        <v>9760</v>
      </c>
      <c r="LM52" s="1746" t="s">
        <v>9742</v>
      </c>
      <c r="LN52" s="1746" t="s">
        <v>9746</v>
      </c>
      <c r="LO52" s="1746" t="s">
        <v>9724</v>
      </c>
      <c r="LP52" s="148" t="s">
        <v>9732</v>
      </c>
      <c r="LQ52" s="1746"/>
      <c r="LR52" s="1746" t="s">
        <v>9758</v>
      </c>
      <c r="LS52" s="148" t="s">
        <v>9736</v>
      </c>
      <c r="LT52" s="1746" t="s">
        <v>9739</v>
      </c>
      <c r="LU52" s="148" t="s">
        <v>9737</v>
      </c>
      <c r="LV52" s="1746" t="s">
        <v>9759</v>
      </c>
      <c r="LW52" s="148" t="s">
        <v>9732</v>
      </c>
      <c r="LX52" s="148" t="s">
        <v>9707</v>
      </c>
      <c r="LY52" s="1746" t="s">
        <v>9739</v>
      </c>
      <c r="LZ52" s="1746" t="s">
        <v>9746</v>
      </c>
      <c r="MA52" s="1746" t="s">
        <v>9738</v>
      </c>
      <c r="MB52" s="1746"/>
      <c r="MC52" s="148" t="s">
        <v>9754</v>
      </c>
      <c r="MD52" s="1746" t="s">
        <v>9734</v>
      </c>
      <c r="ME52" s="1746" t="s">
        <v>9741</v>
      </c>
      <c r="MF52" s="1746" t="s">
        <v>9746</v>
      </c>
      <c r="MG52" s="148" t="s">
        <v>9735</v>
      </c>
      <c r="MH52" s="1746" t="s">
        <v>9757</v>
      </c>
      <c r="MI52" s="1746" t="s">
        <v>9742</v>
      </c>
      <c r="MJ52" s="1746" t="s">
        <v>9747</v>
      </c>
      <c r="MK52" s="1746" t="s">
        <v>9742</v>
      </c>
      <c r="ML52" s="1746"/>
      <c r="MM52" s="148" t="s">
        <v>9754</v>
      </c>
      <c r="MN52" s="148" t="s">
        <v>9732</v>
      </c>
      <c r="MO52" s="148" t="s">
        <v>9722</v>
      </c>
      <c r="MP52" s="1746" t="s">
        <v>9740</v>
      </c>
      <c r="MQ52" s="1746" t="s">
        <v>9738</v>
      </c>
      <c r="MR52" s="1746" t="s">
        <v>9740</v>
      </c>
      <c r="MS52" s="148" t="s">
        <v>9724</v>
      </c>
      <c r="MT52" s="148" t="s">
        <v>9734</v>
      </c>
      <c r="MU52" s="1746" t="s">
        <v>9737</v>
      </c>
      <c r="MV52" s="148" t="s">
        <v>9711</v>
      </c>
      <c r="MW52" s="1746"/>
      <c r="MX52" s="1746"/>
      <c r="MY52" s="148" t="s">
        <v>9737</v>
      </c>
      <c r="MZ52" s="1746" t="s">
        <v>9769</v>
      </c>
      <c r="NA52" s="1746" t="s">
        <v>9766</v>
      </c>
      <c r="NB52" s="148" t="s">
        <v>9747</v>
      </c>
      <c r="NC52" s="1746"/>
      <c r="ND52" s="1746"/>
      <c r="NE52" s="1746" t="s">
        <v>9761</v>
      </c>
      <c r="NF52" s="148" t="s">
        <v>9743</v>
      </c>
      <c r="NG52" s="1737"/>
      <c r="NH52" s="1746" t="s">
        <v>9754</v>
      </c>
      <c r="NI52" s="148" t="s">
        <v>9754</v>
      </c>
      <c r="NJ52" s="148" t="s">
        <v>9753</v>
      </c>
      <c r="NK52" s="1746"/>
      <c r="NL52" s="1746" t="s">
        <v>9752</v>
      </c>
      <c r="NM52" s="1746" t="s">
        <v>9737</v>
      </c>
      <c r="NN52" s="1746" t="s">
        <v>9741</v>
      </c>
      <c r="NO52" s="1746" t="s">
        <v>9741</v>
      </c>
      <c r="NP52" s="1746" t="s">
        <v>9753</v>
      </c>
      <c r="NQ52" s="1746" t="s">
        <v>9711</v>
      </c>
      <c r="NR52" s="1746" t="s">
        <v>9711</v>
      </c>
      <c r="NS52" s="1746" t="s">
        <v>9756</v>
      </c>
      <c r="NT52" s="1746" t="s">
        <v>9718</v>
      </c>
      <c r="NU52" s="1746" t="s">
        <v>9707</v>
      </c>
      <c r="NV52" s="1746" t="s">
        <v>9728</v>
      </c>
      <c r="NW52" s="1746" t="s">
        <v>9703</v>
      </c>
      <c r="NX52" s="1746" t="s">
        <v>9703</v>
      </c>
      <c r="NY52" s="1746" t="s">
        <v>9703</v>
      </c>
      <c r="NZ52" s="1746" t="s">
        <v>9703</v>
      </c>
      <c r="OA52" s="1746" t="s">
        <v>9747</v>
      </c>
      <c r="OB52" s="1746" t="s">
        <v>9747</v>
      </c>
      <c r="OC52" s="1746" t="s">
        <v>9744</v>
      </c>
      <c r="OD52" s="1746" t="s">
        <v>9745</v>
      </c>
      <c r="OE52" s="1746" t="s">
        <v>9738</v>
      </c>
      <c r="OF52" s="1746" t="s">
        <v>9706</v>
      </c>
      <c r="OG52" s="1746" t="s">
        <v>9754</v>
      </c>
      <c r="OH52" s="1746" t="s">
        <v>9747</v>
      </c>
      <c r="OI52" s="1746" t="s">
        <v>9741</v>
      </c>
      <c r="OJ52" s="1737"/>
      <c r="OK52" s="1737"/>
      <c r="OL52" s="1748"/>
      <c r="OM52" s="1746" t="s">
        <v>9739</v>
      </c>
      <c r="ON52" s="1746" t="s">
        <v>9732</v>
      </c>
      <c r="OO52" s="1746"/>
      <c r="OP52" s="148" t="s">
        <v>9766</v>
      </c>
      <c r="OQ52" s="1746" t="s">
        <v>9767</v>
      </c>
      <c r="OR52" s="1746"/>
      <c r="OS52" s="1746" t="s">
        <v>9754</v>
      </c>
      <c r="OT52" s="1746" t="s">
        <v>9754</v>
      </c>
      <c r="OU52" s="1746" t="s">
        <v>9749</v>
      </c>
      <c r="OV52" s="1746" t="s">
        <v>9728</v>
      </c>
      <c r="OW52" s="1746" t="s">
        <v>9722</v>
      </c>
      <c r="OX52" s="1746" t="s">
        <v>9706</v>
      </c>
      <c r="OY52" s="1746" t="s">
        <v>9722</v>
      </c>
      <c r="OZ52" s="1746"/>
      <c r="PA52" s="1746" t="s">
        <v>9734</v>
      </c>
      <c r="PB52" s="1746" t="s">
        <v>9739</v>
      </c>
      <c r="PC52" s="1746" t="s">
        <v>9747</v>
      </c>
      <c r="PD52" s="1746" t="s">
        <v>9743</v>
      </c>
      <c r="PE52" s="1746"/>
      <c r="PF52" s="1746" t="s">
        <v>9754</v>
      </c>
      <c r="PG52" s="148" t="s">
        <v>9754</v>
      </c>
      <c r="PH52" s="1746" t="s">
        <v>9761</v>
      </c>
      <c r="PI52" s="1746" t="s">
        <v>9732</v>
      </c>
      <c r="PJ52" s="1746"/>
      <c r="PK52" s="1746"/>
      <c r="PL52" s="1746"/>
      <c r="PM52" s="1746" t="s">
        <v>9751</v>
      </c>
      <c r="PN52" s="1746" t="s">
        <v>9724</v>
      </c>
      <c r="PO52" s="1746" t="s">
        <v>9737</v>
      </c>
      <c r="PP52" s="1746" t="s">
        <v>9737</v>
      </c>
      <c r="PQ52" s="1746" t="s">
        <v>9737</v>
      </c>
      <c r="PR52" s="148" t="s">
        <v>9732</v>
      </c>
      <c r="PS52" s="1746" t="s">
        <v>9732</v>
      </c>
      <c r="PT52" s="1746" t="s">
        <v>9741</v>
      </c>
      <c r="PU52" s="1746" t="s">
        <v>9740</v>
      </c>
      <c r="PV52" s="1746" t="s">
        <v>9732</v>
      </c>
      <c r="PW52" s="1746" t="s">
        <v>9750</v>
      </c>
      <c r="PX52" s="1746" t="s">
        <v>9740</v>
      </c>
      <c r="PY52" s="148" t="s">
        <v>9753</v>
      </c>
      <c r="PZ52" s="1746" t="s">
        <v>9737</v>
      </c>
      <c r="QA52" s="1746" t="s">
        <v>9746</v>
      </c>
      <c r="QB52" s="1746" t="s">
        <v>9754</v>
      </c>
      <c r="QC52" s="1746" t="s">
        <v>9710</v>
      </c>
      <c r="QD52" s="1746" t="s">
        <v>9737</v>
      </c>
      <c r="QE52" s="1748"/>
      <c r="QF52" s="1746" t="s">
        <v>9741</v>
      </c>
      <c r="QG52" s="1746" t="s">
        <v>9734</v>
      </c>
      <c r="QH52" s="1746" t="s">
        <v>9742</v>
      </c>
      <c r="QI52" s="1746" t="s">
        <v>9732</v>
      </c>
      <c r="QJ52" s="1746" t="s">
        <v>9722</v>
      </c>
      <c r="QK52" s="1746" t="s">
        <v>9745</v>
      </c>
      <c r="QL52" s="148" t="s">
        <v>9728</v>
      </c>
      <c r="QM52" s="1746"/>
      <c r="QN52" s="1746" t="s">
        <v>9754</v>
      </c>
      <c r="QO52" s="1746" t="s">
        <v>9737</v>
      </c>
      <c r="QP52" s="1746" t="s">
        <v>9728</v>
      </c>
      <c r="QQ52" s="1746" t="s">
        <v>9732</v>
      </c>
      <c r="QR52" s="1746" t="s">
        <v>9728</v>
      </c>
      <c r="QS52" s="1746" t="s">
        <v>9757</v>
      </c>
      <c r="QT52" s="1746" t="s">
        <v>9768</v>
      </c>
      <c r="QU52" s="1746" t="s">
        <v>9754</v>
      </c>
      <c r="QV52" s="1746"/>
      <c r="QW52" s="148" t="s">
        <v>9745</v>
      </c>
      <c r="QX52" s="148" t="s">
        <v>9706</v>
      </c>
      <c r="QY52" s="148" t="s">
        <v>9724</v>
      </c>
      <c r="QZ52" s="148" t="s">
        <v>9747</v>
      </c>
      <c r="RA52" s="148" t="s">
        <v>9711</v>
      </c>
      <c r="RB52" s="148" t="s">
        <v>9722</v>
      </c>
      <c r="RC52" s="1746" t="s">
        <v>9732</v>
      </c>
      <c r="RD52" s="148" t="s">
        <v>9710</v>
      </c>
      <c r="RE52" s="1746" t="s">
        <v>9748</v>
      </c>
      <c r="RF52" s="148" t="s">
        <v>9716</v>
      </c>
      <c r="RG52" s="148" t="s">
        <v>9747</v>
      </c>
      <c r="RH52" s="1746" t="s">
        <v>9734</v>
      </c>
      <c r="RI52" s="1746" t="s">
        <v>9747</v>
      </c>
      <c r="RJ52" s="148" t="s">
        <v>9727</v>
      </c>
      <c r="RK52" s="148" t="s">
        <v>9742</v>
      </c>
      <c r="RL52" s="148" t="s">
        <v>9741</v>
      </c>
      <c r="RM52" s="148" t="s">
        <v>9718</v>
      </c>
      <c r="RN52" s="148" t="s">
        <v>9742</v>
      </c>
      <c r="RO52" s="148" t="s">
        <v>9724</v>
      </c>
      <c r="RP52" s="148" t="s">
        <v>9728</v>
      </c>
      <c r="RQ52" s="1746" t="s">
        <v>9747</v>
      </c>
      <c r="RR52" s="1746" t="s">
        <v>9747</v>
      </c>
      <c r="RS52" s="1746" t="s">
        <v>9747</v>
      </c>
      <c r="RT52" s="1746" t="s">
        <v>9747</v>
      </c>
      <c r="RU52" s="1746" t="s">
        <v>9747</v>
      </c>
      <c r="RV52" s="1746" t="s">
        <v>9747</v>
      </c>
      <c r="RW52" s="1746" t="s">
        <v>9721</v>
      </c>
      <c r="RX52" s="1746" t="s">
        <v>9721</v>
      </c>
      <c r="RY52" s="1746" t="s">
        <v>9718</v>
      </c>
      <c r="RZ52" s="148" t="s">
        <v>9711</v>
      </c>
      <c r="SA52" s="1746" t="s">
        <v>9723</v>
      </c>
      <c r="SB52" s="1746" t="s">
        <v>9740</v>
      </c>
      <c r="SC52" s="148" t="s">
        <v>9756</v>
      </c>
      <c r="SD52" s="1746" t="s">
        <v>9732</v>
      </c>
      <c r="SE52" s="1746" t="s">
        <v>9732</v>
      </c>
      <c r="SF52" s="1746" t="s">
        <v>9737</v>
      </c>
      <c r="SG52" s="1746"/>
      <c r="SH52" s="1746" t="s">
        <v>9737</v>
      </c>
      <c r="SI52" s="1746" t="s">
        <v>9722</v>
      </c>
      <c r="SJ52" s="1746"/>
      <c r="SK52" s="1746"/>
      <c r="SL52" s="1746"/>
    </row>
    <row r="53" ht="15.75" customHeight="1">
      <c r="A53" s="1517"/>
      <c r="B53" s="131"/>
      <c r="C53" s="131"/>
      <c r="D53" s="131" t="s">
        <v>9754</v>
      </c>
      <c r="E53" s="1739" t="s">
        <v>9751</v>
      </c>
      <c r="F53" s="1739" t="s">
        <v>9751</v>
      </c>
      <c r="G53" s="1739" t="s">
        <v>9748</v>
      </c>
      <c r="H53" s="387" t="s">
        <v>9761</v>
      </c>
      <c r="I53" s="387" t="s">
        <v>9761</v>
      </c>
      <c r="J53" s="387" t="s">
        <v>9756</v>
      </c>
      <c r="K53" s="131"/>
      <c r="L53" s="131"/>
      <c r="M53" s="1740" t="s">
        <v>9734</v>
      </c>
      <c r="N53" s="1741"/>
      <c r="O53" s="339"/>
      <c r="P53" s="339" t="s">
        <v>9739</v>
      </c>
      <c r="Q53" s="1752"/>
      <c r="R53" s="1752"/>
      <c r="S53" s="192" t="s">
        <v>9772</v>
      </c>
      <c r="T53" s="448" t="s">
        <v>9747</v>
      </c>
      <c r="U53" s="1741" t="s">
        <v>9745</v>
      </c>
      <c r="V53" s="1741"/>
      <c r="W53" s="159" t="s">
        <v>9773</v>
      </c>
      <c r="X53" s="448" t="s">
        <v>9749</v>
      </c>
      <c r="Y53" s="448" t="s">
        <v>9751</v>
      </c>
      <c r="Z53" s="339" t="s">
        <v>9754</v>
      </c>
      <c r="AA53" s="339" t="s">
        <v>9734</v>
      </c>
      <c r="AB53" s="339" t="s">
        <v>9751</v>
      </c>
      <c r="AC53" s="339" t="s">
        <v>9752</v>
      </c>
      <c r="AD53" s="387" t="s">
        <v>9749</v>
      </c>
      <c r="AE53" s="387" t="s">
        <v>9749</v>
      </c>
      <c r="AF53" s="387" t="s">
        <v>9723</v>
      </c>
      <c r="AG53" s="448" t="s">
        <v>9747</v>
      </c>
      <c r="AH53" s="448" t="s">
        <v>9747</v>
      </c>
      <c r="AI53" s="448" t="s">
        <v>9723</v>
      </c>
      <c r="AJ53" s="1742" t="s">
        <v>9711</v>
      </c>
      <c r="AK53" s="1742" t="s">
        <v>9719</v>
      </c>
      <c r="AL53" s="1753"/>
      <c r="AM53" s="339" t="s">
        <v>9764</v>
      </c>
      <c r="AN53" s="1742" t="s">
        <v>9722</v>
      </c>
      <c r="AO53" s="1742" t="s">
        <v>9718</v>
      </c>
      <c r="AP53" s="448" t="s">
        <v>9758</v>
      </c>
      <c r="AQ53" s="448" t="s">
        <v>9739</v>
      </c>
      <c r="AR53" s="387"/>
      <c r="AS53" s="387"/>
      <c r="AT53" s="1739" t="s">
        <v>9754</v>
      </c>
      <c r="AU53" s="1739" t="s">
        <v>9757</v>
      </c>
      <c r="AV53" s="1739" t="s">
        <v>9755</v>
      </c>
      <c r="AW53" s="448"/>
      <c r="AX53" s="448" t="s">
        <v>9758</v>
      </c>
      <c r="AY53" s="1741" t="s">
        <v>9769</v>
      </c>
      <c r="AZ53" s="1741" t="s">
        <v>9747</v>
      </c>
      <c r="BA53" s="339" t="s">
        <v>9737</v>
      </c>
      <c r="BB53" s="339" t="s">
        <v>9733</v>
      </c>
      <c r="BC53" s="339" t="s">
        <v>9734</v>
      </c>
      <c r="BD53" s="387" t="s">
        <v>9741</v>
      </c>
      <c r="BE53" s="1741" t="s">
        <v>9732</v>
      </c>
      <c r="BF53" s="1741" t="s">
        <v>9728</v>
      </c>
      <c r="BG53" s="1741"/>
      <c r="BH53" s="1741" t="s">
        <v>9747</v>
      </c>
      <c r="BI53" s="387"/>
      <c r="BJ53" s="387" t="s">
        <v>9761</v>
      </c>
      <c r="BK53" s="387" t="s">
        <v>9740</v>
      </c>
      <c r="BL53" s="1741" t="s">
        <v>9728</v>
      </c>
      <c r="BM53" s="1741" t="s">
        <v>9728</v>
      </c>
      <c r="BN53" s="1741" t="s">
        <v>9748</v>
      </c>
      <c r="BO53" s="1743" t="s">
        <v>9739</v>
      </c>
      <c r="BP53" s="1743" t="s">
        <v>9739</v>
      </c>
      <c r="BQ53" s="1743" t="s">
        <v>9760</v>
      </c>
      <c r="BR53" s="131"/>
      <c r="BS53" s="131"/>
      <c r="BT53" s="131" t="s">
        <v>9767</v>
      </c>
      <c r="BU53" s="387" t="s">
        <v>9761</v>
      </c>
      <c r="BV53" s="387" t="s">
        <v>9754</v>
      </c>
      <c r="BW53" s="1741" t="s">
        <v>9751</v>
      </c>
      <c r="BX53" s="1741" t="s">
        <v>9751</v>
      </c>
      <c r="BY53" s="1741" t="s">
        <v>9760</v>
      </c>
      <c r="BZ53" s="339"/>
      <c r="CA53" s="339"/>
      <c r="CB53" s="1742" t="s">
        <v>9732</v>
      </c>
      <c r="CC53" s="1742" t="s">
        <v>9722</v>
      </c>
      <c r="CD53" s="1754"/>
      <c r="CE53" s="1743" t="s">
        <v>9754</v>
      </c>
      <c r="CF53" s="1741" t="s">
        <v>9759</v>
      </c>
      <c r="CG53" s="1741"/>
      <c r="CH53" s="1741"/>
      <c r="CI53" s="1740"/>
      <c r="CJ53" s="1740" t="s">
        <v>9765</v>
      </c>
      <c r="CK53" s="448" t="s">
        <v>9735</v>
      </c>
      <c r="CL53" s="448" t="s">
        <v>9710</v>
      </c>
      <c r="CM53" s="448"/>
      <c r="CN53" s="448" t="s">
        <v>9761</v>
      </c>
      <c r="CO53" s="448" t="s">
        <v>9740</v>
      </c>
      <c r="CP53" s="448" t="s">
        <v>9735</v>
      </c>
      <c r="CQ53" s="448" t="s">
        <v>9730</v>
      </c>
      <c r="CR53" s="1743" t="s">
        <v>9743</v>
      </c>
      <c r="CS53" s="339" t="s">
        <v>9729</v>
      </c>
      <c r="CT53" s="339" t="s">
        <v>9728</v>
      </c>
      <c r="CU53" s="1739" t="s">
        <v>9747</v>
      </c>
      <c r="CV53" s="1739" t="s">
        <v>9755</v>
      </c>
      <c r="CW53" s="1755"/>
      <c r="CX53" s="1750"/>
      <c r="CY53" s="1742" t="s">
        <v>9739</v>
      </c>
      <c r="CZ53" s="339" t="s">
        <v>9743</v>
      </c>
      <c r="DA53" s="1741" t="s">
        <v>9745</v>
      </c>
      <c r="DB53" s="1741" t="s">
        <v>9728</v>
      </c>
      <c r="DC53" s="1741" t="s">
        <v>9754</v>
      </c>
      <c r="DD53" s="1741" t="s">
        <v>9754</v>
      </c>
      <c r="DE53" s="1742" t="s">
        <v>9718</v>
      </c>
      <c r="DF53" s="448" t="s">
        <v>9752</v>
      </c>
      <c r="DG53" s="448" t="s">
        <v>9741</v>
      </c>
      <c r="DH53" s="1743" t="s">
        <v>9736</v>
      </c>
      <c r="DI53" s="1743" t="s">
        <v>9706</v>
      </c>
      <c r="DJ53" s="1742" t="s">
        <v>9720</v>
      </c>
      <c r="DK53" s="387" t="s">
        <v>9757</v>
      </c>
      <c r="DL53" s="1741" t="s">
        <v>9723</v>
      </c>
      <c r="DM53" s="387"/>
      <c r="DN53" s="387"/>
      <c r="DO53" s="1739"/>
      <c r="DP53" s="1739"/>
      <c r="DQ53" s="1741" t="s">
        <v>9754</v>
      </c>
      <c r="DR53" s="448" t="s">
        <v>9752</v>
      </c>
      <c r="DS53" s="1742" t="s">
        <v>9706</v>
      </c>
      <c r="DT53" s="131" t="s">
        <v>9754</v>
      </c>
      <c r="DU53" s="1739" t="s">
        <v>9748</v>
      </c>
      <c r="DV53" s="339" t="s">
        <v>9734</v>
      </c>
      <c r="DW53" s="1739" t="s">
        <v>9747</v>
      </c>
      <c r="DX53" s="1741" t="s">
        <v>9742</v>
      </c>
      <c r="DY53" s="1741" t="s">
        <v>9740</v>
      </c>
      <c r="DZ53" s="1739"/>
      <c r="EA53" s="387" t="s">
        <v>9740</v>
      </c>
      <c r="EB53" s="387" t="s">
        <v>9734</v>
      </c>
      <c r="EC53" s="448"/>
      <c r="ED53" s="1741"/>
      <c r="EE53" s="387" t="s">
        <v>9761</v>
      </c>
      <c r="EF53" s="339" t="s">
        <v>9747</v>
      </c>
      <c r="EG53" s="1739" t="s">
        <v>9766</v>
      </c>
      <c r="EH53" s="1742" t="s">
        <v>9750</v>
      </c>
      <c r="EI53" s="387" t="s">
        <v>9761</v>
      </c>
      <c r="EJ53" s="387" t="s">
        <v>9739</v>
      </c>
      <c r="EK53" s="1741" t="s">
        <v>9754</v>
      </c>
      <c r="EL53" s="1741" t="s">
        <v>9745</v>
      </c>
      <c r="EM53" s="448" t="s">
        <v>9732</v>
      </c>
      <c r="EN53" s="1744" t="s">
        <v>9722</v>
      </c>
      <c r="EO53" s="387" t="s">
        <v>9758</v>
      </c>
      <c r="EP53" s="339" t="s">
        <v>9758</v>
      </c>
      <c r="EQ53" s="339" t="s">
        <v>9758</v>
      </c>
      <c r="ER53" s="387" t="s">
        <v>9734</v>
      </c>
      <c r="ES53" s="387" t="s">
        <v>9734</v>
      </c>
      <c r="ET53" s="1741" t="s">
        <v>9707</v>
      </c>
      <c r="EU53" s="448" t="s">
        <v>9715</v>
      </c>
      <c r="EV53" s="1742"/>
      <c r="EW53" s="131" t="s">
        <v>9767</v>
      </c>
      <c r="EX53" s="131" t="s">
        <v>9767</v>
      </c>
      <c r="EY53" s="131" t="s">
        <v>9757</v>
      </c>
      <c r="EZ53" s="339"/>
      <c r="FA53" s="339" t="s">
        <v>9769</v>
      </c>
      <c r="FB53" s="339" t="s">
        <v>9753</v>
      </c>
      <c r="FC53" s="387" t="s">
        <v>9739</v>
      </c>
      <c r="FD53" s="387" t="s">
        <v>9751</v>
      </c>
      <c r="FE53" s="387" t="s">
        <v>9732</v>
      </c>
      <c r="FF53" s="1741" t="s">
        <v>9734</v>
      </c>
      <c r="FG53" s="1741" t="s">
        <v>9748</v>
      </c>
      <c r="FH53" s="1741" t="s">
        <v>9768</v>
      </c>
      <c r="FI53" s="1741" t="s">
        <v>9754</v>
      </c>
      <c r="FJ53" s="1739" t="s">
        <v>9734</v>
      </c>
      <c r="FK53" s="1739" t="s">
        <v>9741</v>
      </c>
      <c r="FL53" s="131"/>
      <c r="FM53" s="159" t="s">
        <v>9770</v>
      </c>
      <c r="FN53" s="448" t="s">
        <v>9764</v>
      </c>
      <c r="FO53" s="387"/>
      <c r="FP53" s="387" t="s">
        <v>9761</v>
      </c>
      <c r="FQ53" s="365"/>
      <c r="FR53" s="1742" t="s">
        <v>9737</v>
      </c>
      <c r="FS53" s="1742" t="s">
        <v>9750</v>
      </c>
      <c r="FT53" s="1740" t="s">
        <v>9734</v>
      </c>
      <c r="FU53" s="1740" t="s">
        <v>9726</v>
      </c>
      <c r="FV53" s="131" t="s">
        <v>9743</v>
      </c>
      <c r="FW53" s="131" t="s">
        <v>9737</v>
      </c>
      <c r="FX53" s="1740"/>
      <c r="FY53" s="1742" t="s">
        <v>9769</v>
      </c>
      <c r="FZ53" s="339" t="s">
        <v>9747</v>
      </c>
      <c r="GA53" s="131" t="s">
        <v>9747</v>
      </c>
      <c r="GB53" s="387" t="s">
        <v>9766</v>
      </c>
      <c r="GC53" s="387" t="s">
        <v>9747</v>
      </c>
      <c r="GD53" s="1741" t="s">
        <v>9743</v>
      </c>
      <c r="GE53" s="131" t="s">
        <v>9734</v>
      </c>
      <c r="GF53" s="1742"/>
      <c r="GG53" s="131"/>
      <c r="GH53" s="393"/>
      <c r="GI53" s="448" t="s">
        <v>9732</v>
      </c>
      <c r="GJ53" s="339"/>
      <c r="GK53" s="339" t="s">
        <v>9754</v>
      </c>
      <c r="GL53" s="1750"/>
      <c r="GM53" s="387" t="s">
        <v>9769</v>
      </c>
      <c r="GN53" s="387" t="s">
        <v>9741</v>
      </c>
      <c r="GO53" s="448" t="s">
        <v>9757</v>
      </c>
      <c r="GP53" s="1744" t="s">
        <v>9739</v>
      </c>
      <c r="GQ53" s="1744" t="s">
        <v>9734</v>
      </c>
      <c r="GR53" s="1742" t="s">
        <v>9722</v>
      </c>
      <c r="GS53" s="1743" t="s">
        <v>9740</v>
      </c>
      <c r="GT53" s="1744"/>
      <c r="GU53" s="387"/>
      <c r="GV53" s="339" t="s">
        <v>9737</v>
      </c>
      <c r="GW53" s="1743" t="s">
        <v>9747</v>
      </c>
      <c r="GX53" s="448" t="s">
        <v>9734</v>
      </c>
      <c r="GY53" s="339" t="s">
        <v>9710</v>
      </c>
      <c r="GZ53" s="448" t="s">
        <v>9732</v>
      </c>
      <c r="HA53" s="1743" t="s">
        <v>9752</v>
      </c>
      <c r="HB53" s="1742" t="s">
        <v>9722</v>
      </c>
      <c r="HC53" s="448" t="s">
        <v>9703</v>
      </c>
      <c r="HD53" s="1743" t="s">
        <v>9747</v>
      </c>
      <c r="HE53" s="1739" t="s">
        <v>9747</v>
      </c>
      <c r="HF53" s="339" t="s">
        <v>9754</v>
      </c>
      <c r="HG53" s="387" t="s">
        <v>9745</v>
      </c>
      <c r="HH53" s="1744" t="s">
        <v>9728</v>
      </c>
      <c r="HI53" s="1741" t="s">
        <v>9745</v>
      </c>
      <c r="HJ53" s="1741" t="s">
        <v>9753</v>
      </c>
      <c r="HK53" s="1739"/>
      <c r="HL53" s="1739" t="s">
        <v>9752</v>
      </c>
      <c r="HM53" s="1741" t="s">
        <v>9754</v>
      </c>
      <c r="HN53" s="1741" t="s">
        <v>9734</v>
      </c>
      <c r="HO53" s="1742" t="s">
        <v>9735</v>
      </c>
      <c r="HP53" s="1743" t="s">
        <v>9761</v>
      </c>
      <c r="HQ53" s="1739" t="s">
        <v>9734</v>
      </c>
      <c r="HR53" s="1739" t="s">
        <v>9759</v>
      </c>
      <c r="HS53" s="448" t="s">
        <v>9761</v>
      </c>
      <c r="HT53" s="1743" t="s">
        <v>9751</v>
      </c>
      <c r="HU53" s="1744" t="s">
        <v>9734</v>
      </c>
      <c r="HV53" s="1744" t="s">
        <v>9740</v>
      </c>
      <c r="HW53" s="387"/>
      <c r="HX53" s="387"/>
      <c r="HY53" s="1743" t="s">
        <v>9747</v>
      </c>
      <c r="HZ53" s="1739" t="s">
        <v>9750</v>
      </c>
      <c r="IA53" s="1741" t="s">
        <v>9732</v>
      </c>
      <c r="IB53" s="1740"/>
      <c r="IC53" s="448"/>
      <c r="ID53" s="1741" t="s">
        <v>9766</v>
      </c>
      <c r="IE53" s="1742" t="s">
        <v>9756</v>
      </c>
      <c r="IF53" s="339" t="s">
        <v>9769</v>
      </c>
      <c r="IG53" s="1739"/>
      <c r="IH53" s="1742" t="s">
        <v>9748</v>
      </c>
      <c r="II53" s="1742" t="s">
        <v>9720</v>
      </c>
      <c r="IJ53" s="339" t="s">
        <v>9743</v>
      </c>
      <c r="IK53" s="1741" t="s">
        <v>9760</v>
      </c>
      <c r="IL53" s="387" t="s">
        <v>9739</v>
      </c>
      <c r="IM53" s="131" t="s">
        <v>9751</v>
      </c>
      <c r="IN53" s="1743" t="s">
        <v>9751</v>
      </c>
      <c r="IO53" s="131" t="s">
        <v>9707</v>
      </c>
      <c r="IP53" s="1740" t="s">
        <v>9707</v>
      </c>
      <c r="IQ53" s="1739" t="s">
        <v>9718</v>
      </c>
      <c r="IR53" s="131" t="s">
        <v>9732</v>
      </c>
      <c r="IS53" s="131" t="s">
        <v>9734</v>
      </c>
      <c r="IT53" s="131" t="s">
        <v>9745</v>
      </c>
      <c r="IU53" s="131" t="s">
        <v>9727</v>
      </c>
      <c r="IV53" s="1739" t="s">
        <v>9766</v>
      </c>
      <c r="IW53" s="1739" t="s">
        <v>9751</v>
      </c>
      <c r="IX53" s="1739" t="s">
        <v>9738</v>
      </c>
      <c r="IY53" s="387" t="s">
        <v>9765</v>
      </c>
      <c r="IZ53" s="387" t="s">
        <v>9754</v>
      </c>
      <c r="JA53" s="387" t="s">
        <v>9760</v>
      </c>
      <c r="JB53" s="1743" t="s">
        <v>9754</v>
      </c>
      <c r="JC53" s="1743" t="s">
        <v>9739</v>
      </c>
      <c r="JD53" s="1741" t="s">
        <v>9757</v>
      </c>
      <c r="JE53" s="1740" t="s">
        <v>9741</v>
      </c>
      <c r="JF53" s="1739"/>
      <c r="JG53" s="1740"/>
      <c r="JH53" s="339" t="s">
        <v>9758</v>
      </c>
      <c r="JI53" s="448"/>
      <c r="JJ53" s="131" t="s">
        <v>9747</v>
      </c>
      <c r="JK53" s="131" t="s">
        <v>9747</v>
      </c>
      <c r="JL53" s="131" t="s">
        <v>9734</v>
      </c>
      <c r="JM53" s="131" t="s">
        <v>9729</v>
      </c>
      <c r="JN53" s="1741"/>
      <c r="JO53" s="1741" t="s">
        <v>9737</v>
      </c>
      <c r="JP53" s="1741" t="s">
        <v>9735</v>
      </c>
      <c r="JQ53" s="387"/>
      <c r="JR53" s="159" t="s">
        <v>9774</v>
      </c>
      <c r="JS53" s="1740" t="s">
        <v>9768</v>
      </c>
      <c r="JT53" s="339" t="s">
        <v>9747</v>
      </c>
      <c r="JU53" s="1740" t="s">
        <v>9746</v>
      </c>
      <c r="JV53" s="1740" t="s">
        <v>9746</v>
      </c>
      <c r="JW53" s="1740" t="s">
        <v>9730</v>
      </c>
      <c r="JX53" s="192" t="s">
        <v>9770</v>
      </c>
      <c r="JY53" s="387" t="s">
        <v>9734</v>
      </c>
      <c r="JZ53" s="1741"/>
      <c r="KA53" s="131" t="s">
        <v>9729</v>
      </c>
      <c r="KB53" s="1741" t="s">
        <v>9728</v>
      </c>
      <c r="KC53" s="1740" t="s">
        <v>9718</v>
      </c>
      <c r="KD53" s="1741" t="s">
        <v>9711</v>
      </c>
      <c r="KE53" s="1743"/>
      <c r="KF53" s="339" t="s">
        <v>9739</v>
      </c>
      <c r="KG53" s="1741" t="s">
        <v>9754</v>
      </c>
      <c r="KH53" s="1756"/>
      <c r="KI53" s="387" t="s">
        <v>9728</v>
      </c>
      <c r="KJ53" s="387" t="s">
        <v>9731</v>
      </c>
      <c r="KK53" s="339" t="s">
        <v>9761</v>
      </c>
      <c r="KL53" s="1741" t="s">
        <v>9739</v>
      </c>
      <c r="KM53" s="387"/>
      <c r="KN53" s="1743" t="s">
        <v>9739</v>
      </c>
      <c r="KO53" s="1742" t="s">
        <v>9750</v>
      </c>
      <c r="KP53" s="448" t="s">
        <v>9741</v>
      </c>
      <c r="KQ53" s="448" t="s">
        <v>9732</v>
      </c>
      <c r="KR53" s="1744" t="s">
        <v>9732</v>
      </c>
      <c r="KS53" s="1743" t="s">
        <v>9739</v>
      </c>
      <c r="KT53" s="1743" t="s">
        <v>9751</v>
      </c>
      <c r="KU53" s="1743" t="s">
        <v>9723</v>
      </c>
      <c r="KV53" s="387" t="s">
        <v>9743</v>
      </c>
      <c r="KW53" s="1739" t="s">
        <v>9746</v>
      </c>
      <c r="KX53" s="131"/>
      <c r="KY53" s="339" t="s">
        <v>9747</v>
      </c>
      <c r="KZ53" s="339"/>
      <c r="LA53" s="339"/>
      <c r="LB53" s="1743" t="s">
        <v>9737</v>
      </c>
      <c r="LC53" s="448" t="s">
        <v>9737</v>
      </c>
      <c r="LD53" s="131" t="s">
        <v>9754</v>
      </c>
      <c r="LE53" s="131" t="s">
        <v>9766</v>
      </c>
      <c r="LF53" s="448" t="s">
        <v>9739</v>
      </c>
      <c r="LG53" s="1739"/>
      <c r="LH53" s="387" t="s">
        <v>9764</v>
      </c>
      <c r="LI53" s="387" t="s">
        <v>9765</v>
      </c>
      <c r="LJ53" s="387" t="s">
        <v>9766</v>
      </c>
      <c r="LK53" s="339" t="s">
        <v>9769</v>
      </c>
      <c r="LL53" s="1739" t="s">
        <v>9742</v>
      </c>
      <c r="LM53" s="1741" t="s">
        <v>9734</v>
      </c>
      <c r="LN53" s="1744" t="s">
        <v>9737</v>
      </c>
      <c r="LO53" s="448" t="s">
        <v>9748</v>
      </c>
      <c r="LP53" s="1741" t="s">
        <v>9729</v>
      </c>
      <c r="LQ53" s="1741"/>
      <c r="LR53" s="131" t="s">
        <v>9754</v>
      </c>
      <c r="LS53" s="131" t="s">
        <v>9741</v>
      </c>
      <c r="LT53" s="131" t="s">
        <v>9749</v>
      </c>
      <c r="LU53" s="131" t="s">
        <v>9745</v>
      </c>
      <c r="LV53" s="393"/>
      <c r="LW53" s="387" t="s">
        <v>9736</v>
      </c>
      <c r="LX53" s="1740" t="s">
        <v>9711</v>
      </c>
      <c r="LY53" s="1744" t="s">
        <v>9749</v>
      </c>
      <c r="LZ53" s="339" t="s">
        <v>9741</v>
      </c>
      <c r="MA53" s="1739" t="s">
        <v>9733</v>
      </c>
      <c r="MB53" s="1743"/>
      <c r="MC53" s="387" t="s">
        <v>9761</v>
      </c>
      <c r="MD53" s="1739" t="s">
        <v>9751</v>
      </c>
      <c r="ME53" s="1739" t="s">
        <v>9756</v>
      </c>
      <c r="MF53" s="1741" t="s">
        <v>9744</v>
      </c>
      <c r="MG53" s="1744" t="s">
        <v>9746</v>
      </c>
      <c r="MH53" s="448" t="s">
        <v>9747</v>
      </c>
      <c r="MI53" s="131" t="s">
        <v>9734</v>
      </c>
      <c r="MJ53" s="1743" t="s">
        <v>9754</v>
      </c>
      <c r="MK53" s="1743" t="s">
        <v>9734</v>
      </c>
      <c r="ML53" s="1741"/>
      <c r="MM53" s="1742" t="s">
        <v>9761</v>
      </c>
      <c r="MN53" s="1740" t="s">
        <v>9737</v>
      </c>
      <c r="MO53" s="131" t="s">
        <v>9706</v>
      </c>
      <c r="MP53" s="1744" t="s">
        <v>9737</v>
      </c>
      <c r="MQ53" s="1744" t="s">
        <v>9733</v>
      </c>
      <c r="MR53" s="1744" t="s">
        <v>9737</v>
      </c>
      <c r="MS53" s="1744" t="s">
        <v>9728</v>
      </c>
      <c r="MT53" s="131" t="s">
        <v>9739</v>
      </c>
      <c r="MU53" s="387" t="s">
        <v>9750</v>
      </c>
      <c r="MV53" s="1740" t="s">
        <v>9718</v>
      </c>
      <c r="MW53" s="387"/>
      <c r="MX53" s="1743"/>
      <c r="MY53" s="1743" t="s">
        <v>9756</v>
      </c>
      <c r="MZ53" s="387" t="s">
        <v>9765</v>
      </c>
      <c r="NA53" s="387" t="s">
        <v>9769</v>
      </c>
      <c r="NB53" s="387" t="s">
        <v>9754</v>
      </c>
      <c r="NC53" s="387"/>
      <c r="ND53" s="387"/>
      <c r="NE53" s="1742" t="s">
        <v>9765</v>
      </c>
      <c r="NF53" s="1743" t="s">
        <v>9734</v>
      </c>
      <c r="NG53" s="1742"/>
      <c r="NH53" s="387" t="s">
        <v>9767</v>
      </c>
      <c r="NI53" s="1740" t="s">
        <v>9767</v>
      </c>
      <c r="NJ53" s="387" t="s">
        <v>9741</v>
      </c>
      <c r="NK53" s="387"/>
      <c r="NL53" s="387" t="s">
        <v>9742</v>
      </c>
      <c r="NM53" s="387" t="s">
        <v>9752</v>
      </c>
      <c r="NN53" s="1741" t="s">
        <v>9744</v>
      </c>
      <c r="NO53" s="387" t="s">
        <v>9744</v>
      </c>
      <c r="NP53" s="1743" t="s">
        <v>9741</v>
      </c>
      <c r="NQ53" s="1739" t="s">
        <v>9718</v>
      </c>
      <c r="NR53" s="387" t="s">
        <v>9718</v>
      </c>
      <c r="NS53" s="387" t="s">
        <v>9750</v>
      </c>
      <c r="NT53" s="1739" t="s">
        <v>9722</v>
      </c>
      <c r="NU53" s="131" t="s">
        <v>9711</v>
      </c>
      <c r="NV53" s="339" t="s">
        <v>9732</v>
      </c>
      <c r="NW53" s="1739" t="s">
        <v>9711</v>
      </c>
      <c r="NX53" s="1739" t="s">
        <v>9711</v>
      </c>
      <c r="NY53" s="1739" t="s">
        <v>9711</v>
      </c>
      <c r="NZ53" s="1739" t="s">
        <v>9711</v>
      </c>
      <c r="OA53" s="131" t="s">
        <v>9754</v>
      </c>
      <c r="OB53" s="131" t="s">
        <v>9754</v>
      </c>
      <c r="OC53" s="131" t="s">
        <v>9737</v>
      </c>
      <c r="OD53" s="1741" t="s">
        <v>9742</v>
      </c>
      <c r="OE53" s="1741" t="s">
        <v>9753</v>
      </c>
      <c r="OF53" s="1741" t="s">
        <v>9731</v>
      </c>
      <c r="OG53" s="387" t="s">
        <v>9767</v>
      </c>
      <c r="OH53" s="387" t="s">
        <v>9754</v>
      </c>
      <c r="OI53" s="387" t="s">
        <v>9756</v>
      </c>
      <c r="OJ53" s="1741"/>
      <c r="OK53" s="1741"/>
      <c r="OL53" s="159" t="s">
        <v>9773</v>
      </c>
      <c r="OM53" s="1741" t="s">
        <v>9757</v>
      </c>
      <c r="ON53" s="1741" t="s">
        <v>9741</v>
      </c>
      <c r="OO53" s="1739"/>
      <c r="OP53" s="1739" t="s">
        <v>9769</v>
      </c>
      <c r="OQ53" s="387" t="s">
        <v>9766</v>
      </c>
      <c r="OR53" s="387"/>
      <c r="OS53" s="387" t="s">
        <v>9766</v>
      </c>
      <c r="OT53" s="131" t="s">
        <v>9767</v>
      </c>
      <c r="OU53" s="131" t="s">
        <v>9757</v>
      </c>
      <c r="OV53" s="387" t="s">
        <v>9732</v>
      </c>
      <c r="OW53" s="387" t="s">
        <v>9706</v>
      </c>
      <c r="OX53" s="1743" t="s">
        <v>9732</v>
      </c>
      <c r="OY53" s="1743" t="s">
        <v>9706</v>
      </c>
      <c r="OZ53" s="131"/>
      <c r="PA53" s="131" t="s">
        <v>9739</v>
      </c>
      <c r="PB53" s="339" t="s">
        <v>9747</v>
      </c>
      <c r="PC53" s="1742" t="s">
        <v>9754</v>
      </c>
      <c r="PD53" s="339" t="s">
        <v>9734</v>
      </c>
      <c r="PE53" s="339"/>
      <c r="PF53" s="339" t="s">
        <v>9767</v>
      </c>
      <c r="PG53" s="1740" t="s">
        <v>9767</v>
      </c>
      <c r="PH53" s="1741" t="s">
        <v>9766</v>
      </c>
      <c r="PI53" s="1741" t="s">
        <v>9740</v>
      </c>
      <c r="PJ53" s="1742"/>
      <c r="PK53" s="1742"/>
      <c r="PL53" s="448"/>
      <c r="PM53" s="448" t="s">
        <v>9739</v>
      </c>
      <c r="PN53" s="448" t="s">
        <v>9728</v>
      </c>
      <c r="PO53" s="448" t="s">
        <v>9750</v>
      </c>
      <c r="PP53" s="448" t="s">
        <v>9750</v>
      </c>
      <c r="PQ53" s="1741" t="s">
        <v>9750</v>
      </c>
      <c r="PR53" s="1741" t="s">
        <v>9729</v>
      </c>
      <c r="PS53" s="448" t="s">
        <v>9738</v>
      </c>
      <c r="PT53" s="1744" t="s">
        <v>9750</v>
      </c>
      <c r="PU53" s="1743" t="s">
        <v>9737</v>
      </c>
      <c r="PV53" s="1743" t="s">
        <v>9753</v>
      </c>
      <c r="PW53" s="339" t="s">
        <v>9743</v>
      </c>
      <c r="PX53" s="448" t="s">
        <v>9734</v>
      </c>
      <c r="PY53" s="448" t="s">
        <v>9740</v>
      </c>
      <c r="PZ53" s="131" t="s">
        <v>9752</v>
      </c>
      <c r="QA53" s="131" t="s">
        <v>9741</v>
      </c>
      <c r="QB53" s="1741"/>
      <c r="QC53" s="1742" t="s">
        <v>9721</v>
      </c>
      <c r="QD53" s="1742" t="s">
        <v>9750</v>
      </c>
      <c r="QE53" s="192" t="s">
        <v>9770</v>
      </c>
      <c r="QF53" s="448" t="s">
        <v>9737</v>
      </c>
      <c r="QG53" s="387" t="s">
        <v>9751</v>
      </c>
      <c r="QH53" s="387" t="s">
        <v>9734</v>
      </c>
      <c r="QI53" s="387" t="s">
        <v>9736</v>
      </c>
      <c r="QJ53" s="1744" t="s">
        <v>9706</v>
      </c>
      <c r="QK53" s="387" t="s">
        <v>9734</v>
      </c>
      <c r="QL53" s="387" t="s">
        <v>9732</v>
      </c>
      <c r="QM53" s="1741"/>
      <c r="QN53" s="1741" t="s">
        <v>9766</v>
      </c>
      <c r="QO53" s="448" t="s">
        <v>9745</v>
      </c>
      <c r="QP53" s="448" t="s">
        <v>9732</v>
      </c>
      <c r="QQ53" s="387" t="s">
        <v>9733</v>
      </c>
      <c r="QR53" s="387" t="s">
        <v>9732</v>
      </c>
      <c r="QS53" s="131" t="s">
        <v>9747</v>
      </c>
      <c r="QT53" s="387" t="s">
        <v>9765</v>
      </c>
      <c r="QU53" s="387" t="s">
        <v>9761</v>
      </c>
      <c r="QV53" s="387"/>
      <c r="QW53" s="1740" t="s">
        <v>9734</v>
      </c>
      <c r="QX53" s="1740" t="s">
        <v>9748</v>
      </c>
      <c r="QY53" s="1744" t="s">
        <v>9748</v>
      </c>
      <c r="QZ53" s="1743" t="s">
        <v>9754</v>
      </c>
      <c r="RA53" s="1742" t="s">
        <v>9718</v>
      </c>
      <c r="RB53" s="1743" t="s">
        <v>9706</v>
      </c>
      <c r="RC53" s="387" t="s">
        <v>9740</v>
      </c>
      <c r="RD53" s="339" t="s">
        <v>9748</v>
      </c>
      <c r="RE53" s="1739" t="s">
        <v>9728</v>
      </c>
      <c r="RF53" s="1740" t="s">
        <v>9726</v>
      </c>
      <c r="RG53" s="131" t="s">
        <v>9758</v>
      </c>
      <c r="RH53" s="131" t="s">
        <v>9755</v>
      </c>
      <c r="RI53" s="387" t="s">
        <v>9754</v>
      </c>
      <c r="RJ53" s="448" t="s">
        <v>9728</v>
      </c>
      <c r="RK53" s="1741" t="s">
        <v>9734</v>
      </c>
      <c r="RL53" s="1739" t="s">
        <v>9737</v>
      </c>
      <c r="RM53" s="1740" t="s">
        <v>9722</v>
      </c>
      <c r="RN53" s="1743" t="s">
        <v>9734</v>
      </c>
      <c r="RO53" s="1744" t="s">
        <v>9748</v>
      </c>
      <c r="RP53" s="1740" t="s">
        <v>9732</v>
      </c>
      <c r="RQ53" s="1739" t="s">
        <v>9754</v>
      </c>
      <c r="RR53" s="1739" t="s">
        <v>9754</v>
      </c>
      <c r="RS53" s="1739" t="s">
        <v>9754</v>
      </c>
      <c r="RT53" s="1739" t="s">
        <v>9754</v>
      </c>
      <c r="RU53" s="1739" t="s">
        <v>9754</v>
      </c>
      <c r="RV53" s="1739" t="s">
        <v>9754</v>
      </c>
      <c r="RW53" s="339" t="s">
        <v>9730</v>
      </c>
      <c r="RX53" s="1742" t="s">
        <v>9730</v>
      </c>
      <c r="RY53" s="387" t="s">
        <v>9722</v>
      </c>
      <c r="RZ53" s="1740" t="s">
        <v>9718</v>
      </c>
      <c r="SA53" s="448" t="s">
        <v>9707</v>
      </c>
      <c r="SB53" s="1741" t="s">
        <v>9741</v>
      </c>
      <c r="SC53" s="1740" t="s">
        <v>9750</v>
      </c>
      <c r="SD53" s="1744" t="s">
        <v>9736</v>
      </c>
      <c r="SE53" s="1744" t="s">
        <v>9736</v>
      </c>
      <c r="SF53" s="339" t="s">
        <v>9750</v>
      </c>
      <c r="SG53" s="387"/>
      <c r="SH53" s="387" t="s">
        <v>9743</v>
      </c>
      <c r="SI53" s="1744" t="s">
        <v>9710</v>
      </c>
      <c r="SJ53" s="131"/>
      <c r="SK53" s="131"/>
      <c r="SL53" s="1743"/>
    </row>
    <row r="54" ht="15.75" customHeight="1">
      <c r="A54" s="1517"/>
      <c r="B54" s="148"/>
      <c r="C54" s="148"/>
      <c r="D54" s="148" t="s">
        <v>9767</v>
      </c>
      <c r="E54" s="148" t="s">
        <v>9739</v>
      </c>
      <c r="F54" s="148" t="s">
        <v>9739</v>
      </c>
      <c r="G54" s="148" t="s">
        <v>9728</v>
      </c>
      <c r="H54" s="148" t="s">
        <v>9766</v>
      </c>
      <c r="I54" s="148" t="s">
        <v>9766</v>
      </c>
      <c r="J54" s="148" t="s">
        <v>9752</v>
      </c>
      <c r="K54" s="148"/>
      <c r="L54" s="148"/>
      <c r="M54" s="148" t="s">
        <v>9739</v>
      </c>
      <c r="N54" s="148"/>
      <c r="O54" s="148"/>
      <c r="P54" s="148" t="s">
        <v>9749</v>
      </c>
      <c r="Q54" s="148"/>
      <c r="R54" s="148"/>
      <c r="S54" s="193" t="s">
        <v>9774</v>
      </c>
      <c r="T54" s="148" t="s">
        <v>9758</v>
      </c>
      <c r="U54" s="148" t="s">
        <v>9734</v>
      </c>
      <c r="V54" s="148"/>
      <c r="W54" s="253"/>
      <c r="X54" s="148" t="s">
        <v>9747</v>
      </c>
      <c r="Y54" s="148" t="s">
        <v>9739</v>
      </c>
      <c r="Z54" s="148" t="s">
        <v>9766</v>
      </c>
      <c r="AA54" s="148" t="s">
        <v>9739</v>
      </c>
      <c r="AB54" s="148" t="s">
        <v>9755</v>
      </c>
      <c r="AC54" s="148" t="s">
        <v>9745</v>
      </c>
      <c r="AD54" s="148" t="s">
        <v>9747</v>
      </c>
      <c r="AE54" s="148" t="s">
        <v>9747</v>
      </c>
      <c r="AF54" s="148" t="s">
        <v>9707</v>
      </c>
      <c r="AG54" s="148" t="s">
        <v>9754</v>
      </c>
      <c r="AH54" s="148" t="s">
        <v>9754</v>
      </c>
      <c r="AI54" s="148" t="s">
        <v>9703</v>
      </c>
      <c r="AJ54" s="148" t="s">
        <v>9718</v>
      </c>
      <c r="AK54" s="148" t="s">
        <v>9711</v>
      </c>
      <c r="AL54" s="159" t="s">
        <v>9730</v>
      </c>
      <c r="AM54" s="148" t="s">
        <v>9739</v>
      </c>
      <c r="AN54" s="148" t="s">
        <v>9706</v>
      </c>
      <c r="AO54" s="148" t="s">
        <v>9722</v>
      </c>
      <c r="AP54" s="148" t="s">
        <v>9754</v>
      </c>
      <c r="AQ54" s="148" t="s">
        <v>9747</v>
      </c>
      <c r="AR54" s="148"/>
      <c r="AS54" s="148"/>
      <c r="AT54" s="148" t="s">
        <v>9767</v>
      </c>
      <c r="AU54" s="148" t="s">
        <v>9747</v>
      </c>
      <c r="AV54" s="148" t="s">
        <v>9739</v>
      </c>
      <c r="AW54" s="148"/>
      <c r="AX54" s="148" t="s">
        <v>9754</v>
      </c>
      <c r="AY54" s="148"/>
      <c r="AZ54" s="148" t="s">
        <v>9754</v>
      </c>
      <c r="BA54" s="148" t="s">
        <v>9743</v>
      </c>
      <c r="BB54" s="148" t="s">
        <v>9753</v>
      </c>
      <c r="BC54" s="148" t="s">
        <v>9739</v>
      </c>
      <c r="BD54" s="148" t="s">
        <v>9737</v>
      </c>
      <c r="BE54" s="148" t="s">
        <v>9740</v>
      </c>
      <c r="BF54" s="148" t="s">
        <v>9732</v>
      </c>
      <c r="BG54" s="148"/>
      <c r="BH54" s="148" t="s">
        <v>9754</v>
      </c>
      <c r="BI54" s="148"/>
      <c r="BJ54" s="148" t="s">
        <v>9766</v>
      </c>
      <c r="BK54" s="148" t="s">
        <v>9741</v>
      </c>
      <c r="BL54" s="148" t="s">
        <v>9732</v>
      </c>
      <c r="BM54" s="148" t="s">
        <v>9732</v>
      </c>
      <c r="BN54" s="148" t="s">
        <v>9730</v>
      </c>
      <c r="BO54" s="148" t="s">
        <v>9749</v>
      </c>
      <c r="BP54" s="148" t="s">
        <v>9749</v>
      </c>
      <c r="BQ54" s="148" t="s">
        <v>9734</v>
      </c>
      <c r="BR54" s="148"/>
      <c r="BS54" s="148"/>
      <c r="BT54" s="148"/>
      <c r="BU54" s="148" t="s">
        <v>9765</v>
      </c>
      <c r="BV54" s="148" t="s">
        <v>9767</v>
      </c>
      <c r="BW54" s="148" t="s">
        <v>9739</v>
      </c>
      <c r="BX54" s="148" t="s">
        <v>9739</v>
      </c>
      <c r="BY54" s="148" t="s">
        <v>9752</v>
      </c>
      <c r="BZ54" s="148"/>
      <c r="CA54" s="148"/>
      <c r="CB54" s="148" t="s">
        <v>9746</v>
      </c>
      <c r="CC54" s="148" t="s">
        <v>9706</v>
      </c>
      <c r="CD54" s="159" t="s">
        <v>9770</v>
      </c>
      <c r="CE54" s="148" t="s">
        <v>9762</v>
      </c>
      <c r="CF54" s="148" t="s">
        <v>9768</v>
      </c>
      <c r="CG54" s="148"/>
      <c r="CH54" s="148"/>
      <c r="CI54" s="148"/>
      <c r="CJ54" s="148"/>
      <c r="CK54" s="148" t="s">
        <v>9740</v>
      </c>
      <c r="CL54" s="148" t="s">
        <v>9748</v>
      </c>
      <c r="CM54" s="148"/>
      <c r="CN54" s="276"/>
      <c r="CO54" s="148" t="s">
        <v>9743</v>
      </c>
      <c r="CP54" s="148" t="s">
        <v>9753</v>
      </c>
      <c r="CQ54" s="148" t="s">
        <v>9728</v>
      </c>
      <c r="CR54" s="148" t="s">
        <v>9734</v>
      </c>
      <c r="CS54" s="148" t="s">
        <v>9746</v>
      </c>
      <c r="CT54" s="148" t="s">
        <v>9732</v>
      </c>
      <c r="CU54" s="148" t="s">
        <v>9754</v>
      </c>
      <c r="CV54" s="148" t="s">
        <v>9739</v>
      </c>
      <c r="CW54" s="148"/>
      <c r="CX54" s="192" t="s">
        <v>9776</v>
      </c>
      <c r="CY54" s="148" t="s">
        <v>9757</v>
      </c>
      <c r="CZ54" s="148" t="s">
        <v>9734</v>
      </c>
      <c r="DA54" s="148" t="s">
        <v>9742</v>
      </c>
      <c r="DB54" s="148" t="s">
        <v>9732</v>
      </c>
      <c r="DC54" s="148" t="s">
        <v>9766</v>
      </c>
      <c r="DD54" s="148" t="s">
        <v>9766</v>
      </c>
      <c r="DE54" s="148" t="s">
        <v>9722</v>
      </c>
      <c r="DF54" s="148" t="s">
        <v>9734</v>
      </c>
      <c r="DG54" s="148" t="s">
        <v>9737</v>
      </c>
      <c r="DH54" s="148" t="s">
        <v>9740</v>
      </c>
      <c r="DI54" s="148" t="s">
        <v>9710</v>
      </c>
      <c r="DJ54" s="148" t="s">
        <v>9719</v>
      </c>
      <c r="DK54" s="148" t="s">
        <v>9747</v>
      </c>
      <c r="DL54" s="148" t="s">
        <v>9707</v>
      </c>
      <c r="DM54" s="148"/>
      <c r="DN54" s="148"/>
      <c r="DO54" s="148"/>
      <c r="DP54" s="148"/>
      <c r="DQ54" s="148" t="s">
        <v>9762</v>
      </c>
      <c r="DR54" s="148" t="s">
        <v>9743</v>
      </c>
      <c r="DS54" s="148" t="s">
        <v>9710</v>
      </c>
      <c r="DT54" s="148" t="s">
        <v>9767</v>
      </c>
      <c r="DU54" s="148" t="s">
        <v>9730</v>
      </c>
      <c r="DV54" s="148" t="s">
        <v>9739</v>
      </c>
      <c r="DW54" s="148" t="s">
        <v>9754</v>
      </c>
      <c r="DX54" s="148" t="s">
        <v>9734</v>
      </c>
      <c r="DY54" s="148" t="s">
        <v>9741</v>
      </c>
      <c r="DZ54" s="148"/>
      <c r="EA54" s="148" t="s">
        <v>9741</v>
      </c>
      <c r="EB54" s="148" t="s">
        <v>9739</v>
      </c>
      <c r="EC54" s="148"/>
      <c r="ED54" s="148"/>
      <c r="EE54" s="148" t="s">
        <v>9766</v>
      </c>
      <c r="EF54" s="148" t="s">
        <v>9754</v>
      </c>
      <c r="EG54" s="148" t="s">
        <v>9769</v>
      </c>
      <c r="EH54" s="148" t="s">
        <v>9743</v>
      </c>
      <c r="EI54" s="148" t="s">
        <v>9769</v>
      </c>
      <c r="EJ54" s="148" t="s">
        <v>9747</v>
      </c>
      <c r="EK54" s="148" t="s">
        <v>9761</v>
      </c>
      <c r="EL54" s="148" t="s">
        <v>9742</v>
      </c>
      <c r="EM54" s="148" t="s">
        <v>9736</v>
      </c>
      <c r="EN54" s="148" t="s">
        <v>9706</v>
      </c>
      <c r="EO54" s="148" t="s">
        <v>9754</v>
      </c>
      <c r="EP54" s="148" t="s">
        <v>9754</v>
      </c>
      <c r="EQ54" s="148" t="s">
        <v>9754</v>
      </c>
      <c r="ER54" s="148" t="s">
        <v>9739</v>
      </c>
      <c r="ES54" s="148" t="s">
        <v>9739</v>
      </c>
      <c r="ET54" s="148" t="s">
        <v>9711</v>
      </c>
      <c r="EU54" s="148" t="s">
        <v>9725</v>
      </c>
      <c r="EV54" s="148"/>
      <c r="EW54" s="276"/>
      <c r="EX54" s="148" t="s">
        <v>9766</v>
      </c>
      <c r="EY54" s="148" t="s">
        <v>9747</v>
      </c>
      <c r="EZ54" s="148"/>
      <c r="FA54" s="148"/>
      <c r="FB54" s="148" t="s">
        <v>9741</v>
      </c>
      <c r="FC54" s="148" t="s">
        <v>9747</v>
      </c>
      <c r="FD54" s="148" t="s">
        <v>9739</v>
      </c>
      <c r="FE54" s="148" t="s">
        <v>9736</v>
      </c>
      <c r="FF54" s="148" t="s">
        <v>9739</v>
      </c>
      <c r="FG54" s="148" t="s">
        <v>9728</v>
      </c>
      <c r="FH54" s="276"/>
      <c r="FI54" s="148" t="s">
        <v>9759</v>
      </c>
      <c r="FJ54" s="148" t="s">
        <v>9739</v>
      </c>
      <c r="FK54" s="148" t="s">
        <v>9737</v>
      </c>
      <c r="FL54" s="148"/>
      <c r="FM54" s="253"/>
      <c r="FN54" s="148" t="s">
        <v>9755</v>
      </c>
      <c r="FO54" s="148"/>
      <c r="FP54" s="148" t="s">
        <v>9765</v>
      </c>
      <c r="FQ54" s="148"/>
      <c r="FR54" s="148" t="s">
        <v>9750</v>
      </c>
      <c r="FS54" s="148" t="s">
        <v>9743</v>
      </c>
      <c r="FT54" s="148" t="s">
        <v>9739</v>
      </c>
      <c r="FU54" s="148" t="s">
        <v>9728</v>
      </c>
      <c r="FV54" s="148" t="s">
        <v>9734</v>
      </c>
      <c r="FW54" s="148" t="s">
        <v>9750</v>
      </c>
      <c r="FX54" s="148"/>
      <c r="FY54" s="148"/>
      <c r="FZ54" s="148" t="s">
        <v>9754</v>
      </c>
      <c r="GA54" s="148" t="s">
        <v>9754</v>
      </c>
      <c r="GB54" s="148" t="s">
        <v>9769</v>
      </c>
      <c r="GC54" s="148" t="s">
        <v>9754</v>
      </c>
      <c r="GD54" s="148" t="s">
        <v>9734</v>
      </c>
      <c r="GE54" s="148" t="s">
        <v>9739</v>
      </c>
      <c r="GF54" s="148"/>
      <c r="GG54" s="148"/>
      <c r="GH54" s="192" t="s">
        <v>9773</v>
      </c>
      <c r="GI54" s="148" t="s">
        <v>9753</v>
      </c>
      <c r="GJ54" s="148"/>
      <c r="GK54" s="148" t="s">
        <v>9767</v>
      </c>
      <c r="GL54" s="192" t="s">
        <v>9689</v>
      </c>
      <c r="GM54" s="148" t="s">
        <v>9765</v>
      </c>
      <c r="GN54" s="148" t="s">
        <v>9737</v>
      </c>
      <c r="GO54" s="148" t="s">
        <v>9747</v>
      </c>
      <c r="GP54" s="148" t="s">
        <v>9747</v>
      </c>
      <c r="GQ54" s="148" t="s">
        <v>9764</v>
      </c>
      <c r="GR54" s="148" t="s">
        <v>9706</v>
      </c>
      <c r="GS54" s="148" t="s">
        <v>9737</v>
      </c>
      <c r="GT54" s="148"/>
      <c r="GU54" s="148"/>
      <c r="GV54" s="148" t="s">
        <v>9750</v>
      </c>
      <c r="GW54" s="148" t="s">
        <v>9754</v>
      </c>
      <c r="GX54" s="148" t="s">
        <v>9751</v>
      </c>
      <c r="GY54" s="148" t="s">
        <v>9726</v>
      </c>
      <c r="GZ54" s="148" t="s">
        <v>9740</v>
      </c>
      <c r="HA54" s="148" t="s">
        <v>9742</v>
      </c>
      <c r="HB54" s="148" t="s">
        <v>9706</v>
      </c>
      <c r="HC54" s="148" t="s">
        <v>9711</v>
      </c>
      <c r="HD54" s="148" t="s">
        <v>9754</v>
      </c>
      <c r="HE54" s="148" t="s">
        <v>9758</v>
      </c>
      <c r="HF54" s="148" t="s">
        <v>9766</v>
      </c>
      <c r="HG54" s="148" t="s">
        <v>9734</v>
      </c>
      <c r="HH54" s="148" t="s">
        <v>9732</v>
      </c>
      <c r="HI54" s="148" t="s">
        <v>9734</v>
      </c>
      <c r="HJ54" s="148" t="s">
        <v>9740</v>
      </c>
      <c r="HK54" s="148"/>
      <c r="HL54" s="148" t="s">
        <v>9742</v>
      </c>
      <c r="HM54" s="148" t="s">
        <v>9766</v>
      </c>
      <c r="HN54" s="148" t="s">
        <v>9751</v>
      </c>
      <c r="HO54" s="148" t="s">
        <v>9744</v>
      </c>
      <c r="HP54" s="148" t="s">
        <v>9765</v>
      </c>
      <c r="HQ54" s="148" t="s">
        <v>9739</v>
      </c>
      <c r="HR54" s="148" t="s">
        <v>9768</v>
      </c>
      <c r="HS54" s="148" t="s">
        <v>9768</v>
      </c>
      <c r="HT54" s="148" t="s">
        <v>9755</v>
      </c>
      <c r="HU54" s="148" t="s">
        <v>9764</v>
      </c>
      <c r="HV54" s="148" t="s">
        <v>9741</v>
      </c>
      <c r="HW54" s="148"/>
      <c r="HX54" s="148"/>
      <c r="HY54" s="148" t="s">
        <v>9754</v>
      </c>
      <c r="HZ54" s="148" t="s">
        <v>9743</v>
      </c>
      <c r="IA54" s="148" t="s">
        <v>9741</v>
      </c>
      <c r="IB54" s="148"/>
      <c r="IC54" s="148"/>
      <c r="ID54" s="148" t="s">
        <v>9769</v>
      </c>
      <c r="IE54" s="148" t="s">
        <v>9743</v>
      </c>
      <c r="IF54" s="148"/>
      <c r="IG54" s="148"/>
      <c r="IH54" s="148" t="s">
        <v>9728</v>
      </c>
      <c r="II54" s="148" t="s">
        <v>9719</v>
      </c>
      <c r="IJ54" s="148" t="s">
        <v>9739</v>
      </c>
      <c r="IK54" s="148" t="s">
        <v>9743</v>
      </c>
      <c r="IL54" s="148" t="s">
        <v>9747</v>
      </c>
      <c r="IM54" s="148" t="s">
        <v>9739</v>
      </c>
      <c r="IN54" s="148" t="s">
        <v>9739</v>
      </c>
      <c r="IO54" s="148" t="s">
        <v>9703</v>
      </c>
      <c r="IP54" s="148" t="s">
        <v>9711</v>
      </c>
      <c r="IQ54" s="148" t="s">
        <v>9722</v>
      </c>
      <c r="IR54" s="148" t="s">
        <v>9741</v>
      </c>
      <c r="IS54" s="148" t="s">
        <v>9751</v>
      </c>
      <c r="IT54" s="148" t="s">
        <v>9734</v>
      </c>
      <c r="IU54" s="148" t="s">
        <v>9728</v>
      </c>
      <c r="IV54" s="148" t="s">
        <v>9769</v>
      </c>
      <c r="IW54" s="148" t="s">
        <v>9739</v>
      </c>
      <c r="IX54" s="148" t="s">
        <v>9753</v>
      </c>
      <c r="IY54" s="148"/>
      <c r="IZ54" s="148" t="s">
        <v>9761</v>
      </c>
      <c r="JA54" s="148" t="s">
        <v>9756</v>
      </c>
      <c r="JB54" s="148" t="s">
        <v>9769</v>
      </c>
      <c r="JC54" s="148" t="s">
        <v>9747</v>
      </c>
      <c r="JD54" s="148" t="s">
        <v>9747</v>
      </c>
      <c r="JE54" s="148" t="s">
        <v>9750</v>
      </c>
      <c r="JF54" s="148"/>
      <c r="JG54" s="148"/>
      <c r="JH54" s="148" t="s">
        <v>9754</v>
      </c>
      <c r="JI54" s="148"/>
      <c r="JJ54" s="148" t="s">
        <v>9758</v>
      </c>
      <c r="JK54" s="1746" t="s">
        <v>9754</v>
      </c>
      <c r="JL54" s="1746" t="s">
        <v>9739</v>
      </c>
      <c r="JM54" s="1746" t="s">
        <v>9741</v>
      </c>
      <c r="JN54" s="1746"/>
      <c r="JO54" s="1746" t="s">
        <v>9745</v>
      </c>
      <c r="JP54" s="1746" t="s">
        <v>9740</v>
      </c>
      <c r="JQ54" s="1746"/>
      <c r="JR54" s="1737"/>
      <c r="JS54" s="276"/>
      <c r="JT54" s="148" t="s">
        <v>9758</v>
      </c>
      <c r="JU54" s="148" t="s">
        <v>9737</v>
      </c>
      <c r="JV54" s="148" t="s">
        <v>9737</v>
      </c>
      <c r="JW54" s="148" t="s">
        <v>9728</v>
      </c>
      <c r="JX54" s="1757" t="s">
        <v>9777</v>
      </c>
      <c r="JY54" s="1746" t="s">
        <v>9739</v>
      </c>
      <c r="JZ54" s="1746"/>
      <c r="KA54" s="1746" t="s">
        <v>9741</v>
      </c>
      <c r="KB54" s="1746" t="s">
        <v>9732</v>
      </c>
      <c r="KC54" s="148" t="s">
        <v>9722</v>
      </c>
      <c r="KD54" s="1746" t="s">
        <v>9718</v>
      </c>
      <c r="KE54" s="1746"/>
      <c r="KF54" s="148" t="s">
        <v>9747</v>
      </c>
      <c r="KG54" s="1746" t="s">
        <v>9767</v>
      </c>
      <c r="KH54" s="1758" t="s">
        <v>9770</v>
      </c>
      <c r="KI54" s="1746" t="s">
        <v>9732</v>
      </c>
      <c r="KJ54" s="148" t="s">
        <v>9748</v>
      </c>
      <c r="KK54" s="1746" t="s">
        <v>9766</v>
      </c>
      <c r="KL54" s="1746" t="s">
        <v>9749</v>
      </c>
      <c r="KM54" s="1746"/>
      <c r="KN54" s="1746" t="s">
        <v>9747</v>
      </c>
      <c r="KO54" s="148" t="s">
        <v>9743</v>
      </c>
      <c r="KP54" s="1746" t="s">
        <v>9737</v>
      </c>
      <c r="KQ54" s="148" t="s">
        <v>9738</v>
      </c>
      <c r="KR54" s="148" t="s">
        <v>9733</v>
      </c>
      <c r="KS54" s="1746" t="s">
        <v>9747</v>
      </c>
      <c r="KT54" s="1746" t="s">
        <v>9739</v>
      </c>
      <c r="KU54" s="148" t="s">
        <v>9707</v>
      </c>
      <c r="KV54" s="1746" t="s">
        <v>9734</v>
      </c>
      <c r="KW54" s="148" t="s">
        <v>9741</v>
      </c>
      <c r="KX54" s="1746"/>
      <c r="KY54" s="1746" t="s">
        <v>9754</v>
      </c>
      <c r="KZ54" s="1746"/>
      <c r="LA54" s="1746"/>
      <c r="LB54" s="1746" t="s">
        <v>9750</v>
      </c>
      <c r="LC54" s="1746" t="s">
        <v>9750</v>
      </c>
      <c r="LD54" s="148" t="s">
        <v>9767</v>
      </c>
      <c r="LE54" s="1746" t="s">
        <v>9769</v>
      </c>
      <c r="LF54" s="1746" t="s">
        <v>9747</v>
      </c>
      <c r="LG54" s="1746"/>
      <c r="LH54" s="148" t="s">
        <v>9739</v>
      </c>
      <c r="LI54" s="1746"/>
      <c r="LJ54" s="1746" t="s">
        <v>9769</v>
      </c>
      <c r="LK54" s="1746"/>
      <c r="LL54" s="1746" t="s">
        <v>9734</v>
      </c>
      <c r="LM54" s="1746" t="s">
        <v>9751</v>
      </c>
      <c r="LN54" s="1746" t="s">
        <v>9750</v>
      </c>
      <c r="LO54" s="1746" t="s">
        <v>9730</v>
      </c>
      <c r="LP54" s="148" t="s">
        <v>9746</v>
      </c>
      <c r="LQ54" s="1746"/>
      <c r="LR54" s="1746" t="s">
        <v>9759</v>
      </c>
      <c r="LS54" s="148" t="s">
        <v>9760</v>
      </c>
      <c r="LT54" s="1746" t="s">
        <v>9757</v>
      </c>
      <c r="LU54" s="148" t="s">
        <v>9734</v>
      </c>
      <c r="LV54" s="1759" t="s">
        <v>9773</v>
      </c>
      <c r="LW54" s="148" t="s">
        <v>9741</v>
      </c>
      <c r="LX54" s="148" t="s">
        <v>9718</v>
      </c>
      <c r="LY54" s="1746" t="s">
        <v>9747</v>
      </c>
      <c r="LZ54" s="1746" t="s">
        <v>9744</v>
      </c>
      <c r="MA54" s="1746" t="s">
        <v>9735</v>
      </c>
      <c r="MB54" s="1746"/>
      <c r="MC54" s="148" t="s">
        <v>9766</v>
      </c>
      <c r="MD54" s="1746" t="s">
        <v>9755</v>
      </c>
      <c r="ME54" s="1746" t="s">
        <v>9745</v>
      </c>
      <c r="MF54" s="1746" t="s">
        <v>9737</v>
      </c>
      <c r="MG54" s="148" t="s">
        <v>9741</v>
      </c>
      <c r="MH54" s="1746" t="s">
        <v>9754</v>
      </c>
      <c r="MI54" s="1746" t="s">
        <v>9751</v>
      </c>
      <c r="MJ54" s="1746" t="s">
        <v>9767</v>
      </c>
      <c r="MK54" s="1746" t="s">
        <v>9751</v>
      </c>
      <c r="ML54" s="1746"/>
      <c r="MM54" s="148" t="s">
        <v>9765</v>
      </c>
      <c r="MN54" s="148" t="s">
        <v>9756</v>
      </c>
      <c r="MO54" s="148" t="s">
        <v>9710</v>
      </c>
      <c r="MP54" s="1746" t="s">
        <v>9750</v>
      </c>
      <c r="MQ54" s="1746" t="s">
        <v>9753</v>
      </c>
      <c r="MR54" s="1746" t="s">
        <v>9743</v>
      </c>
      <c r="MS54" s="148" t="s">
        <v>9732</v>
      </c>
      <c r="MT54" s="148" t="s">
        <v>9757</v>
      </c>
      <c r="MU54" s="1746" t="s">
        <v>9743</v>
      </c>
      <c r="MV54" s="148" t="s">
        <v>9722</v>
      </c>
      <c r="MW54" s="1746"/>
      <c r="MX54" s="1746"/>
      <c r="MY54" s="148" t="s">
        <v>9752</v>
      </c>
      <c r="MZ54" s="1746"/>
      <c r="NA54" s="1746" t="s">
        <v>9765</v>
      </c>
      <c r="NB54" s="148" t="s">
        <v>9761</v>
      </c>
      <c r="NC54" s="1746"/>
      <c r="ND54" s="1746"/>
      <c r="NE54" s="1746"/>
      <c r="NF54" s="148" t="s">
        <v>9751</v>
      </c>
      <c r="NG54" s="1746"/>
      <c r="NH54" s="1746" t="s">
        <v>9766</v>
      </c>
      <c r="NI54" s="148" t="s">
        <v>9766</v>
      </c>
      <c r="NJ54" s="148" t="s">
        <v>9760</v>
      </c>
      <c r="NK54" s="1746"/>
      <c r="NL54" s="1746" t="s">
        <v>9743</v>
      </c>
      <c r="NM54" s="1746" t="s">
        <v>9742</v>
      </c>
      <c r="NN54" s="1746" t="s">
        <v>9760</v>
      </c>
      <c r="NO54" s="1746" t="s">
        <v>9756</v>
      </c>
      <c r="NP54" s="1746" t="s">
        <v>9744</v>
      </c>
      <c r="NQ54" s="1746" t="s">
        <v>9722</v>
      </c>
      <c r="NR54" s="1746" t="s">
        <v>9722</v>
      </c>
      <c r="NS54" s="1746" t="s">
        <v>9743</v>
      </c>
      <c r="NT54" s="1746" t="s">
        <v>9731</v>
      </c>
      <c r="NU54" s="1746" t="s">
        <v>9718</v>
      </c>
      <c r="NV54" s="1746" t="s">
        <v>9729</v>
      </c>
      <c r="NW54" s="1746" t="s">
        <v>9718</v>
      </c>
      <c r="NX54" s="1746" t="s">
        <v>9718</v>
      </c>
      <c r="NY54" s="1746" t="s">
        <v>9718</v>
      </c>
      <c r="NZ54" s="1746" t="s">
        <v>9718</v>
      </c>
      <c r="OA54" s="1746" t="s">
        <v>9767</v>
      </c>
      <c r="OB54" s="1746" t="s">
        <v>9767</v>
      </c>
      <c r="OC54" s="1746" t="s">
        <v>9760</v>
      </c>
      <c r="OD54" s="1746" t="s">
        <v>9734</v>
      </c>
      <c r="OE54" s="1746" t="s">
        <v>9745</v>
      </c>
      <c r="OF54" s="1746" t="s">
        <v>9748</v>
      </c>
      <c r="OG54" s="1746" t="s">
        <v>9761</v>
      </c>
      <c r="OH54" s="1746" t="s">
        <v>9767</v>
      </c>
      <c r="OI54" s="1746" t="s">
        <v>9745</v>
      </c>
      <c r="OJ54" s="1746"/>
      <c r="OK54" s="1746"/>
      <c r="OL54" s="1737"/>
      <c r="OM54" s="1746" t="s">
        <v>9747</v>
      </c>
      <c r="ON54" s="1746" t="s">
        <v>9750</v>
      </c>
      <c r="OO54" s="1746"/>
      <c r="OP54" s="276"/>
      <c r="OQ54" s="1746"/>
      <c r="OR54" s="1746"/>
      <c r="OS54" s="1748"/>
      <c r="OT54" s="1746"/>
      <c r="OU54" s="1746" t="s">
        <v>9747</v>
      </c>
      <c r="OV54" s="1746" t="s">
        <v>9736</v>
      </c>
      <c r="OW54" s="1746" t="s">
        <v>9710</v>
      </c>
      <c r="OX54" s="1746" t="s">
        <v>9744</v>
      </c>
      <c r="OY54" s="1746" t="s">
        <v>9732</v>
      </c>
      <c r="OZ54" s="1746"/>
      <c r="PA54" s="1746" t="s">
        <v>9757</v>
      </c>
      <c r="PB54" s="1746" t="s">
        <v>9754</v>
      </c>
      <c r="PC54" s="1746" t="s">
        <v>9762</v>
      </c>
      <c r="PD54" s="1746" t="s">
        <v>9739</v>
      </c>
      <c r="PE54" s="1746"/>
      <c r="PF54" s="1746" t="s">
        <v>9768</v>
      </c>
      <c r="PG54" s="148"/>
      <c r="PH54" s="1746" t="s">
        <v>9769</v>
      </c>
      <c r="PI54" s="1746" t="s">
        <v>9741</v>
      </c>
      <c r="PJ54" s="1746"/>
      <c r="PK54" s="1746"/>
      <c r="PL54" s="1746"/>
      <c r="PM54" s="1746" t="s">
        <v>9747</v>
      </c>
      <c r="PN54" s="1746" t="s">
        <v>9732</v>
      </c>
      <c r="PO54" s="1746" t="s">
        <v>9752</v>
      </c>
      <c r="PP54" s="1746" t="s">
        <v>9752</v>
      </c>
      <c r="PQ54" s="1746" t="s">
        <v>9752</v>
      </c>
      <c r="PR54" s="148" t="s">
        <v>9741</v>
      </c>
      <c r="PS54" s="1746" t="s">
        <v>9733</v>
      </c>
      <c r="PT54" s="1746" t="s">
        <v>9743</v>
      </c>
      <c r="PU54" s="1746" t="s">
        <v>9743</v>
      </c>
      <c r="PV54" s="1746" t="s">
        <v>9740</v>
      </c>
      <c r="PW54" s="1746" t="s">
        <v>9734</v>
      </c>
      <c r="PX54" s="1746" t="s">
        <v>9764</v>
      </c>
      <c r="PY54" s="148" t="s">
        <v>9741</v>
      </c>
      <c r="PZ54" s="1746" t="s">
        <v>9742</v>
      </c>
      <c r="QA54" s="1746" t="s">
        <v>9744</v>
      </c>
      <c r="QB54" s="1746"/>
      <c r="QC54" s="1746" t="s">
        <v>9724</v>
      </c>
      <c r="QD54" s="1746" t="s">
        <v>9743</v>
      </c>
      <c r="QE54" s="1760" t="s">
        <v>9773</v>
      </c>
      <c r="QF54" s="1746" t="s">
        <v>9743</v>
      </c>
      <c r="QG54" s="1746" t="s">
        <v>9739</v>
      </c>
      <c r="QH54" s="1746" t="s">
        <v>9751</v>
      </c>
      <c r="QI54" s="1746" t="s">
        <v>9753</v>
      </c>
      <c r="QJ54" s="1746" t="s">
        <v>9728</v>
      </c>
      <c r="QK54" s="1746" t="s">
        <v>9751</v>
      </c>
      <c r="QL54" s="148" t="s">
        <v>9736</v>
      </c>
      <c r="QM54" s="1746"/>
      <c r="QN54" s="1746" t="s">
        <v>9769</v>
      </c>
      <c r="QO54" s="1746" t="s">
        <v>9734</v>
      </c>
      <c r="QP54" s="1746" t="s">
        <v>9740</v>
      </c>
      <c r="QQ54" s="1746" t="s">
        <v>9740</v>
      </c>
      <c r="QR54" s="1746" t="s">
        <v>9733</v>
      </c>
      <c r="QS54" s="1746" t="s">
        <v>9754</v>
      </c>
      <c r="QT54" s="1748"/>
      <c r="QU54" s="1746" t="s">
        <v>9768</v>
      </c>
      <c r="QV54" s="1746"/>
      <c r="QW54" s="148" t="s">
        <v>9739</v>
      </c>
      <c r="QX54" s="148" t="s">
        <v>9730</v>
      </c>
      <c r="QY54" s="148" t="s">
        <v>9727</v>
      </c>
      <c r="QZ54" s="148" t="s">
        <v>9762</v>
      </c>
      <c r="RA54" s="148" t="s">
        <v>9722</v>
      </c>
      <c r="RB54" s="148" t="s">
        <v>9710</v>
      </c>
      <c r="RC54" s="1746" t="s">
        <v>9741</v>
      </c>
      <c r="RD54" s="148" t="s">
        <v>9728</v>
      </c>
      <c r="RE54" s="1746" t="s">
        <v>9732</v>
      </c>
      <c r="RF54" s="148" t="s">
        <v>9728</v>
      </c>
      <c r="RG54" s="148" t="s">
        <v>9754</v>
      </c>
      <c r="RH54" s="1746" t="s">
        <v>9739</v>
      </c>
      <c r="RI54" s="1746" t="s">
        <v>9766</v>
      </c>
      <c r="RJ54" s="148" t="s">
        <v>9732</v>
      </c>
      <c r="RK54" s="148" t="s">
        <v>9751</v>
      </c>
      <c r="RL54" s="148" t="s">
        <v>9750</v>
      </c>
      <c r="RM54" s="148" t="s">
        <v>9706</v>
      </c>
      <c r="RN54" s="148" t="s">
        <v>9751</v>
      </c>
      <c r="RO54" s="148" t="s">
        <v>9728</v>
      </c>
      <c r="RP54" s="148" t="s">
        <v>9733</v>
      </c>
      <c r="RQ54" s="1746"/>
      <c r="RR54" s="1746"/>
      <c r="RS54" s="1746"/>
      <c r="RT54" s="1746"/>
      <c r="RU54" s="1746"/>
      <c r="RV54" s="1746"/>
      <c r="RW54" s="1746" t="s">
        <v>9728</v>
      </c>
      <c r="RX54" s="1746" t="s">
        <v>9728</v>
      </c>
      <c r="RY54" s="1746" t="s">
        <v>9721</v>
      </c>
      <c r="RZ54" s="148" t="s">
        <v>9722</v>
      </c>
      <c r="SA54" s="1746" t="s">
        <v>9711</v>
      </c>
      <c r="SB54" s="1746" t="s">
        <v>9760</v>
      </c>
      <c r="SC54" s="148" t="s">
        <v>9743</v>
      </c>
      <c r="SD54" s="1746" t="s">
        <v>9738</v>
      </c>
      <c r="SE54" s="1746" t="s">
        <v>9738</v>
      </c>
      <c r="SF54" s="1746" t="s">
        <v>9743</v>
      </c>
      <c r="SG54" s="1746"/>
      <c r="SH54" s="1746" t="s">
        <v>9739</v>
      </c>
      <c r="SI54" s="1746" t="s">
        <v>9724</v>
      </c>
      <c r="SJ54" s="1746"/>
      <c r="SK54" s="1746"/>
      <c r="SL54" s="1746"/>
    </row>
    <row r="55" ht="15.75" customHeight="1">
      <c r="A55" s="1517"/>
      <c r="B55" s="131"/>
      <c r="C55" s="131"/>
      <c r="D55" s="131" t="s">
        <v>9766</v>
      </c>
      <c r="E55" s="1739" t="s">
        <v>9747</v>
      </c>
      <c r="F55" s="1739" t="s">
        <v>9747</v>
      </c>
      <c r="G55" s="1739" t="s">
        <v>9732</v>
      </c>
      <c r="H55" s="387" t="s">
        <v>9769</v>
      </c>
      <c r="I55" s="387" t="s">
        <v>9769</v>
      </c>
      <c r="J55" s="387" t="s">
        <v>9734</v>
      </c>
      <c r="K55" s="131"/>
      <c r="L55" s="131"/>
      <c r="M55" s="1740" t="s">
        <v>9747</v>
      </c>
      <c r="N55" s="1741"/>
      <c r="O55" s="339"/>
      <c r="P55" s="339" t="s">
        <v>9747</v>
      </c>
      <c r="Q55" s="1741"/>
      <c r="R55" s="1741"/>
      <c r="S55" s="1752"/>
      <c r="T55" s="448" t="s">
        <v>9754</v>
      </c>
      <c r="U55" s="1741" t="s">
        <v>9739</v>
      </c>
      <c r="V55" s="1741"/>
      <c r="W55" s="1741"/>
      <c r="X55" s="448" t="s">
        <v>9754</v>
      </c>
      <c r="Y55" s="448" t="s">
        <v>9749</v>
      </c>
      <c r="Z55" s="339" t="s">
        <v>9769</v>
      </c>
      <c r="AA55" s="339" t="s">
        <v>9757</v>
      </c>
      <c r="AB55" s="339" t="s">
        <v>9739</v>
      </c>
      <c r="AC55" s="339" t="s">
        <v>9742</v>
      </c>
      <c r="AD55" s="387" t="s">
        <v>9754</v>
      </c>
      <c r="AE55" s="387" t="s">
        <v>9754</v>
      </c>
      <c r="AF55" s="387" t="s">
        <v>9703</v>
      </c>
      <c r="AG55" s="448" t="s">
        <v>9767</v>
      </c>
      <c r="AH55" s="448" t="s">
        <v>9767</v>
      </c>
      <c r="AI55" s="448" t="s">
        <v>9711</v>
      </c>
      <c r="AJ55" s="1742" t="s">
        <v>9722</v>
      </c>
      <c r="AK55" s="1742" t="s">
        <v>9718</v>
      </c>
      <c r="AL55" s="1752"/>
      <c r="AM55" s="339" t="s">
        <v>9747</v>
      </c>
      <c r="AN55" s="1742" t="s">
        <v>9724</v>
      </c>
      <c r="AO55" s="1742" t="s">
        <v>9706</v>
      </c>
      <c r="AP55" s="448" t="s">
        <v>9759</v>
      </c>
      <c r="AQ55" s="448" t="s">
        <v>9758</v>
      </c>
      <c r="AR55" s="387"/>
      <c r="AS55" s="387"/>
      <c r="AT55" s="1739"/>
      <c r="AU55" s="1739" t="s">
        <v>9754</v>
      </c>
      <c r="AV55" s="1739" t="s">
        <v>9757</v>
      </c>
      <c r="AW55" s="448"/>
      <c r="AX55" s="448" t="s">
        <v>9768</v>
      </c>
      <c r="AY55" s="1741"/>
      <c r="AZ55" s="1741" t="s">
        <v>9767</v>
      </c>
      <c r="BA55" s="339" t="s">
        <v>9734</v>
      </c>
      <c r="BB55" s="339" t="s">
        <v>9740</v>
      </c>
      <c r="BC55" s="339" t="s">
        <v>9747</v>
      </c>
      <c r="BD55" s="387" t="s">
        <v>9743</v>
      </c>
      <c r="BE55" s="1741" t="s">
        <v>9734</v>
      </c>
      <c r="BF55" s="1741" t="s">
        <v>9740</v>
      </c>
      <c r="BG55" s="1741"/>
      <c r="BH55" s="1741" t="s">
        <v>9766</v>
      </c>
      <c r="BI55" s="387"/>
      <c r="BJ55" s="387" t="s">
        <v>9769</v>
      </c>
      <c r="BK55" s="387" t="s">
        <v>9734</v>
      </c>
      <c r="BL55" s="1741" t="s">
        <v>9729</v>
      </c>
      <c r="BM55" s="1741" t="s">
        <v>9729</v>
      </c>
      <c r="BN55" s="1741" t="s">
        <v>9728</v>
      </c>
      <c r="BO55" s="1743" t="s">
        <v>9747</v>
      </c>
      <c r="BP55" s="1743" t="s">
        <v>9747</v>
      </c>
      <c r="BQ55" s="1743" t="s">
        <v>9751</v>
      </c>
      <c r="BR55" s="131"/>
      <c r="BS55" s="131"/>
      <c r="BT55" s="131"/>
      <c r="BU55" s="387"/>
      <c r="BV55" s="387" t="s">
        <v>9761</v>
      </c>
      <c r="BW55" s="1741" t="s">
        <v>9747</v>
      </c>
      <c r="BX55" s="1741" t="s">
        <v>9747</v>
      </c>
      <c r="BY55" s="1741" t="s">
        <v>9742</v>
      </c>
      <c r="BZ55" s="339"/>
      <c r="CA55" s="339"/>
      <c r="CB55" s="1742" t="s">
        <v>9737</v>
      </c>
      <c r="CC55" s="1742" t="s">
        <v>9721</v>
      </c>
      <c r="CD55" s="1761"/>
      <c r="CE55" s="1754"/>
      <c r="CF55" s="1753"/>
      <c r="CG55" s="1741"/>
      <c r="CH55" s="1741"/>
      <c r="CI55" s="1740"/>
      <c r="CJ55" s="1740"/>
      <c r="CK55" s="448" t="s">
        <v>9734</v>
      </c>
      <c r="CL55" s="448" t="s">
        <v>9728</v>
      </c>
      <c r="CM55" s="448"/>
      <c r="CN55" s="159" t="s">
        <v>9771</v>
      </c>
      <c r="CO55" s="448" t="s">
        <v>9734</v>
      </c>
      <c r="CP55" s="448" t="s">
        <v>9740</v>
      </c>
      <c r="CQ55" s="448" t="s">
        <v>9732</v>
      </c>
      <c r="CR55" s="1743" t="s">
        <v>9751</v>
      </c>
      <c r="CS55" s="339" t="s">
        <v>9737</v>
      </c>
      <c r="CT55" s="339" t="s">
        <v>9729</v>
      </c>
      <c r="CU55" s="1739" t="s">
        <v>9767</v>
      </c>
      <c r="CV55" s="1739" t="s">
        <v>9747</v>
      </c>
      <c r="CW55" s="1739"/>
      <c r="CX55" s="193" t="s">
        <v>9770</v>
      </c>
      <c r="CY55" s="1742" t="s">
        <v>9747</v>
      </c>
      <c r="CZ55" s="339" t="s">
        <v>9739</v>
      </c>
      <c r="DA55" s="1741" t="s">
        <v>9734</v>
      </c>
      <c r="DB55" s="1741" t="s">
        <v>9741</v>
      </c>
      <c r="DC55" s="1741" t="s">
        <v>9769</v>
      </c>
      <c r="DD55" s="1741" t="s">
        <v>9769</v>
      </c>
      <c r="DE55" s="1742" t="s">
        <v>9706</v>
      </c>
      <c r="DF55" s="448" t="s">
        <v>9764</v>
      </c>
      <c r="DG55" s="448" t="s">
        <v>9752</v>
      </c>
      <c r="DH55" s="1743" t="s">
        <v>9744</v>
      </c>
      <c r="DI55" s="1743" t="s">
        <v>9748</v>
      </c>
      <c r="DJ55" s="1742" t="s">
        <v>9723</v>
      </c>
      <c r="DK55" s="387" t="s">
        <v>9754</v>
      </c>
      <c r="DL55" s="1741" t="s">
        <v>9711</v>
      </c>
      <c r="DM55" s="387"/>
      <c r="DN55" s="387"/>
      <c r="DO55" s="1739"/>
      <c r="DP55" s="1739"/>
      <c r="DQ55" s="1741" t="s">
        <v>9761</v>
      </c>
      <c r="DR55" s="448" t="s">
        <v>9739</v>
      </c>
      <c r="DS55" s="1742" t="s">
        <v>9721</v>
      </c>
      <c r="DT55" s="131" t="s">
        <v>9768</v>
      </c>
      <c r="DU55" s="1739" t="s">
        <v>9728</v>
      </c>
      <c r="DV55" s="339" t="s">
        <v>9747</v>
      </c>
      <c r="DW55" s="1739" t="s">
        <v>9766</v>
      </c>
      <c r="DX55" s="1741" t="s">
        <v>9751</v>
      </c>
      <c r="DY55" s="1741" t="s">
        <v>9760</v>
      </c>
      <c r="DZ55" s="1739"/>
      <c r="EA55" s="387" t="s">
        <v>9760</v>
      </c>
      <c r="EB55" s="387" t="s">
        <v>9747</v>
      </c>
      <c r="EC55" s="448"/>
      <c r="ED55" s="1741"/>
      <c r="EE55" s="387" t="s">
        <v>9769</v>
      </c>
      <c r="EF55" s="339" t="s">
        <v>9766</v>
      </c>
      <c r="EG55" s="1739"/>
      <c r="EH55" s="1742" t="s">
        <v>9739</v>
      </c>
      <c r="EI55" s="387" t="s">
        <v>9765</v>
      </c>
      <c r="EJ55" s="387" t="s">
        <v>9754</v>
      </c>
      <c r="EK55" s="1741" t="s">
        <v>9769</v>
      </c>
      <c r="EL55" s="1741" t="s">
        <v>9734</v>
      </c>
      <c r="EM55" s="448" t="s">
        <v>9740</v>
      </c>
      <c r="EN55" s="1744" t="s">
        <v>9748</v>
      </c>
      <c r="EO55" s="387" t="s">
        <v>9759</v>
      </c>
      <c r="EP55" s="339" t="s">
        <v>9759</v>
      </c>
      <c r="EQ55" s="339" t="s">
        <v>9759</v>
      </c>
      <c r="ER55" s="387" t="s">
        <v>9747</v>
      </c>
      <c r="ES55" s="387" t="s">
        <v>9747</v>
      </c>
      <c r="ET55" s="1741" t="s">
        <v>9718</v>
      </c>
      <c r="EU55" s="448" t="s">
        <v>9713</v>
      </c>
      <c r="EV55" s="1742"/>
      <c r="EW55" s="159" t="s">
        <v>9775</v>
      </c>
      <c r="EX55" s="131" t="s">
        <v>9769</v>
      </c>
      <c r="EY55" s="131" t="s">
        <v>9754</v>
      </c>
      <c r="EZ55" s="339"/>
      <c r="FA55" s="339"/>
      <c r="FB55" s="339" t="s">
        <v>9752</v>
      </c>
      <c r="FC55" s="387" t="s">
        <v>9754</v>
      </c>
      <c r="FD55" s="387" t="s">
        <v>9747</v>
      </c>
      <c r="FE55" s="387" t="s">
        <v>9753</v>
      </c>
      <c r="FF55" s="1741" t="s">
        <v>9757</v>
      </c>
      <c r="FG55" s="1741" t="s">
        <v>9732</v>
      </c>
      <c r="FH55" s="192" t="s">
        <v>9778</v>
      </c>
      <c r="FI55" s="1741" t="s">
        <v>9768</v>
      </c>
      <c r="FJ55" s="1739" t="s">
        <v>9747</v>
      </c>
      <c r="FK55" s="1739" t="s">
        <v>9745</v>
      </c>
      <c r="FL55" s="131"/>
      <c r="FM55" s="1739"/>
      <c r="FN55" s="448" t="s">
        <v>9739</v>
      </c>
      <c r="FO55" s="387"/>
      <c r="FP55" s="387"/>
      <c r="FQ55" s="339"/>
      <c r="FR55" s="1742" t="s">
        <v>9743</v>
      </c>
      <c r="FS55" s="1742" t="s">
        <v>9734</v>
      </c>
      <c r="FT55" s="1740" t="s">
        <v>9757</v>
      </c>
      <c r="FU55" s="1740" t="s">
        <v>9732</v>
      </c>
      <c r="FV55" s="131" t="s">
        <v>9739</v>
      </c>
      <c r="FW55" s="131" t="s">
        <v>9743</v>
      </c>
      <c r="FX55" s="1740"/>
      <c r="FY55" s="1742"/>
      <c r="FZ55" s="339" t="s">
        <v>9766</v>
      </c>
      <c r="GA55" s="131" t="s">
        <v>9767</v>
      </c>
      <c r="GB55" s="387" t="s">
        <v>9765</v>
      </c>
      <c r="GC55" s="387" t="s">
        <v>9761</v>
      </c>
      <c r="GD55" s="1741" t="s">
        <v>9751</v>
      </c>
      <c r="GE55" s="131" t="s">
        <v>9747</v>
      </c>
      <c r="GF55" s="1742"/>
      <c r="GG55" s="131"/>
      <c r="GH55" s="193" t="s">
        <v>9779</v>
      </c>
      <c r="GI55" s="448" t="s">
        <v>9740</v>
      </c>
      <c r="GJ55" s="339"/>
      <c r="GK55" s="339"/>
      <c r="GL55" s="193" t="s">
        <v>9773</v>
      </c>
      <c r="GM55" s="387"/>
      <c r="GN55" s="387" t="s">
        <v>9760</v>
      </c>
      <c r="GO55" s="448" t="s">
        <v>9754</v>
      </c>
      <c r="GP55" s="1744" t="s">
        <v>9754</v>
      </c>
      <c r="GQ55" s="1744" t="s">
        <v>9739</v>
      </c>
      <c r="GR55" s="1742" t="s">
        <v>9721</v>
      </c>
      <c r="GS55" s="1743" t="s">
        <v>9750</v>
      </c>
      <c r="GT55" s="1744"/>
      <c r="GU55" s="387"/>
      <c r="GV55" s="339" t="s">
        <v>9743</v>
      </c>
      <c r="GW55" s="1743" t="s">
        <v>9766</v>
      </c>
      <c r="GX55" s="448" t="s">
        <v>9739</v>
      </c>
      <c r="GY55" s="339" t="s">
        <v>9732</v>
      </c>
      <c r="GZ55" s="448" t="s">
        <v>9744</v>
      </c>
      <c r="HA55" s="1743" t="s">
        <v>9743</v>
      </c>
      <c r="HB55" s="1742" t="s">
        <v>9710</v>
      </c>
      <c r="HC55" s="448" t="s">
        <v>9718</v>
      </c>
      <c r="HD55" s="1743" t="s">
        <v>9761</v>
      </c>
      <c r="HE55" s="1739" t="s">
        <v>9754</v>
      </c>
      <c r="HF55" s="339" t="s">
        <v>9769</v>
      </c>
      <c r="HG55" s="387" t="s">
        <v>9751</v>
      </c>
      <c r="HH55" s="1744" t="s">
        <v>9733</v>
      </c>
      <c r="HI55" s="1741" t="s">
        <v>9751</v>
      </c>
      <c r="HJ55" s="1741" t="s">
        <v>9741</v>
      </c>
      <c r="HK55" s="1739"/>
      <c r="HL55" s="1739" t="s">
        <v>9734</v>
      </c>
      <c r="HM55" s="1741" t="s">
        <v>9769</v>
      </c>
      <c r="HN55" s="1741" t="s">
        <v>9739</v>
      </c>
      <c r="HO55" s="1742" t="s">
        <v>9760</v>
      </c>
      <c r="HP55" s="1743"/>
      <c r="HQ55" s="1739" t="s">
        <v>9747</v>
      </c>
      <c r="HR55" s="1750"/>
      <c r="HS55" s="448" t="s">
        <v>9765</v>
      </c>
      <c r="HT55" s="1743" t="s">
        <v>9739</v>
      </c>
      <c r="HU55" s="1744" t="s">
        <v>9739</v>
      </c>
      <c r="HV55" s="1744" t="s">
        <v>9734</v>
      </c>
      <c r="HW55" s="387"/>
      <c r="HX55" s="387"/>
      <c r="HY55" s="1743" t="s">
        <v>9766</v>
      </c>
      <c r="HZ55" s="1739" t="s">
        <v>9739</v>
      </c>
      <c r="IA55" s="1741" t="s">
        <v>9737</v>
      </c>
      <c r="IB55" s="1740"/>
      <c r="IC55" s="448"/>
      <c r="ID55" s="1741"/>
      <c r="IE55" s="1742" t="s">
        <v>9734</v>
      </c>
      <c r="IF55" s="339"/>
      <c r="IG55" s="1739"/>
      <c r="IH55" s="1742" t="s">
        <v>9732</v>
      </c>
      <c r="II55" s="1742" t="s">
        <v>9723</v>
      </c>
      <c r="IJ55" s="339" t="s">
        <v>9747</v>
      </c>
      <c r="IK55" s="1741" t="s">
        <v>9739</v>
      </c>
      <c r="IL55" s="387" t="s">
        <v>9754</v>
      </c>
      <c r="IM55" s="131" t="s">
        <v>9747</v>
      </c>
      <c r="IN55" s="1743" t="s">
        <v>9747</v>
      </c>
      <c r="IO55" s="131" t="s">
        <v>9711</v>
      </c>
      <c r="IP55" s="1740" t="s">
        <v>9718</v>
      </c>
      <c r="IQ55" s="1739" t="s">
        <v>9716</v>
      </c>
      <c r="IR55" s="131" t="s">
        <v>9737</v>
      </c>
      <c r="IS55" s="131" t="s">
        <v>9739</v>
      </c>
      <c r="IT55" s="131" t="s">
        <v>9751</v>
      </c>
      <c r="IU55" s="131" t="s">
        <v>9732</v>
      </c>
      <c r="IV55" s="1739"/>
      <c r="IW55" s="1739" t="s">
        <v>9749</v>
      </c>
      <c r="IX55" s="1739" t="s">
        <v>9741</v>
      </c>
      <c r="IY55" s="387"/>
      <c r="IZ55" s="387" t="s">
        <v>9766</v>
      </c>
      <c r="JA55" s="387" t="s">
        <v>9742</v>
      </c>
      <c r="JB55" s="1743"/>
      <c r="JC55" s="1743" t="s">
        <v>9754</v>
      </c>
      <c r="JD55" s="1741" t="s">
        <v>9754</v>
      </c>
      <c r="JE55" s="1740" t="s">
        <v>9734</v>
      </c>
      <c r="JF55" s="1739"/>
      <c r="JG55" s="1740"/>
      <c r="JH55" s="339" t="s">
        <v>9768</v>
      </c>
      <c r="JI55" s="448"/>
      <c r="JJ55" s="131" t="s">
        <v>9754</v>
      </c>
      <c r="JK55" s="131" t="s">
        <v>9761</v>
      </c>
      <c r="JL55" s="131" t="s">
        <v>9757</v>
      </c>
      <c r="JM55" s="131" t="s">
        <v>9737</v>
      </c>
      <c r="JN55" s="1741"/>
      <c r="JO55" s="1741" t="s">
        <v>9743</v>
      </c>
      <c r="JP55" s="1741" t="s">
        <v>9741</v>
      </c>
      <c r="JQ55" s="387"/>
      <c r="JR55" s="387"/>
      <c r="JS55" s="159" t="s">
        <v>9774</v>
      </c>
      <c r="JT55" s="339" t="s">
        <v>9754</v>
      </c>
      <c r="JU55" s="1740" t="s">
        <v>9750</v>
      </c>
      <c r="JV55" s="1740" t="s">
        <v>9750</v>
      </c>
      <c r="JW55" s="1740" t="s">
        <v>9732</v>
      </c>
      <c r="JX55" s="193" t="s">
        <v>9780</v>
      </c>
      <c r="JY55" s="387" t="s">
        <v>9747</v>
      </c>
      <c r="JZ55" s="1741"/>
      <c r="KA55" s="131" t="s">
        <v>9737</v>
      </c>
      <c r="KB55" s="1741" t="s">
        <v>9753</v>
      </c>
      <c r="KC55" s="1740" t="s">
        <v>9706</v>
      </c>
      <c r="KD55" s="1741" t="s">
        <v>9722</v>
      </c>
      <c r="KE55" s="1743"/>
      <c r="KF55" s="339" t="s">
        <v>9758</v>
      </c>
      <c r="KG55" s="1753"/>
      <c r="KH55" s="1762"/>
      <c r="KI55" s="387" t="s">
        <v>9734</v>
      </c>
      <c r="KJ55" s="387" t="s">
        <v>9728</v>
      </c>
      <c r="KK55" s="339" t="s">
        <v>9769</v>
      </c>
      <c r="KL55" s="1741" t="s">
        <v>9747</v>
      </c>
      <c r="KM55" s="387"/>
      <c r="KN55" s="1743" t="s">
        <v>9754</v>
      </c>
      <c r="KO55" s="1742" t="s">
        <v>9734</v>
      </c>
      <c r="KP55" s="448" t="s">
        <v>9750</v>
      </c>
      <c r="KQ55" s="448" t="s">
        <v>9733</v>
      </c>
      <c r="KR55" s="1744" t="s">
        <v>9740</v>
      </c>
      <c r="KS55" s="1743" t="s">
        <v>9754</v>
      </c>
      <c r="KT55" s="1743" t="s">
        <v>9747</v>
      </c>
      <c r="KU55" s="1743" t="s">
        <v>9711</v>
      </c>
      <c r="KV55" s="387" t="s">
        <v>9751</v>
      </c>
      <c r="KW55" s="1739" t="s">
        <v>9737</v>
      </c>
      <c r="KX55" s="131"/>
      <c r="KY55" s="339" t="s">
        <v>9766</v>
      </c>
      <c r="KZ55" s="339"/>
      <c r="LA55" s="339"/>
      <c r="LB55" s="1743" t="s">
        <v>9743</v>
      </c>
      <c r="LC55" s="448" t="s">
        <v>9743</v>
      </c>
      <c r="LD55" s="131"/>
      <c r="LE55" s="131"/>
      <c r="LF55" s="448" t="s">
        <v>9754</v>
      </c>
      <c r="LG55" s="1739"/>
      <c r="LH55" s="387" t="s">
        <v>9749</v>
      </c>
      <c r="LI55" s="387"/>
      <c r="LJ55" s="387" t="s">
        <v>9765</v>
      </c>
      <c r="LK55" s="339"/>
      <c r="LL55" s="1739" t="s">
        <v>9751</v>
      </c>
      <c r="LM55" s="1741" t="s">
        <v>9739</v>
      </c>
      <c r="LN55" s="1744" t="s">
        <v>9743</v>
      </c>
      <c r="LO55" s="448" t="s">
        <v>9728</v>
      </c>
      <c r="LP55" s="1741" t="s">
        <v>9737</v>
      </c>
      <c r="LQ55" s="1741"/>
      <c r="LR55" s="131" t="s">
        <v>9766</v>
      </c>
      <c r="LS55" s="131" t="s">
        <v>9734</v>
      </c>
      <c r="LT55" s="131" t="s">
        <v>9747</v>
      </c>
      <c r="LU55" s="131" t="s">
        <v>9764</v>
      </c>
      <c r="LV55" s="397"/>
      <c r="LW55" s="387" t="s">
        <v>9743</v>
      </c>
      <c r="LX55" s="1740" t="s">
        <v>9722</v>
      </c>
      <c r="LY55" s="1744" t="s">
        <v>9754</v>
      </c>
      <c r="LZ55" s="339" t="s">
        <v>9737</v>
      </c>
      <c r="MA55" s="1739" t="s">
        <v>9746</v>
      </c>
      <c r="MB55" s="1743"/>
      <c r="MC55" s="387" t="s">
        <v>9769</v>
      </c>
      <c r="MD55" s="1739" t="s">
        <v>9739</v>
      </c>
      <c r="ME55" s="1739" t="s">
        <v>9734</v>
      </c>
      <c r="MF55" s="1741" t="s">
        <v>9752</v>
      </c>
      <c r="MG55" s="1744" t="s">
        <v>9744</v>
      </c>
      <c r="MH55" s="448"/>
      <c r="MI55" s="131" t="s">
        <v>9739</v>
      </c>
      <c r="MJ55" s="1743" t="s">
        <v>9769</v>
      </c>
      <c r="MK55" s="1743" t="s">
        <v>9755</v>
      </c>
      <c r="ML55" s="1741"/>
      <c r="MM55" s="1756"/>
      <c r="MN55" s="1740" t="s">
        <v>9750</v>
      </c>
      <c r="MO55" s="131" t="s">
        <v>9721</v>
      </c>
      <c r="MP55" s="1744" t="s">
        <v>9743</v>
      </c>
      <c r="MQ55" s="1744" t="s">
        <v>9740</v>
      </c>
      <c r="MR55" s="1744" t="s">
        <v>9734</v>
      </c>
      <c r="MS55" s="1744" t="s">
        <v>9738</v>
      </c>
      <c r="MT55" s="131" t="s">
        <v>9747</v>
      </c>
      <c r="MU55" s="387" t="s">
        <v>9734</v>
      </c>
      <c r="MV55" s="1740" t="s">
        <v>9706</v>
      </c>
      <c r="MW55" s="387"/>
      <c r="MX55" s="1743"/>
      <c r="MY55" s="1743" t="s">
        <v>9734</v>
      </c>
      <c r="MZ55" s="387"/>
      <c r="NA55" s="387"/>
      <c r="NB55" s="387" t="s">
        <v>9766</v>
      </c>
      <c r="NC55" s="387"/>
      <c r="ND55" s="387"/>
      <c r="NE55" s="1742"/>
      <c r="NF55" s="1743" t="s">
        <v>9739</v>
      </c>
      <c r="NG55" s="1742"/>
      <c r="NH55" s="387" t="s">
        <v>9769</v>
      </c>
      <c r="NI55" s="1740" t="s">
        <v>9769</v>
      </c>
      <c r="NJ55" s="387" t="s">
        <v>9734</v>
      </c>
      <c r="NK55" s="387"/>
      <c r="NL55" s="387" t="s">
        <v>9751</v>
      </c>
      <c r="NM55" s="387" t="s">
        <v>9743</v>
      </c>
      <c r="NN55" s="1741" t="s">
        <v>9750</v>
      </c>
      <c r="NO55" s="387" t="s">
        <v>9750</v>
      </c>
      <c r="NP55" s="1743" t="s">
        <v>9750</v>
      </c>
      <c r="NQ55" s="1739" t="s">
        <v>9706</v>
      </c>
      <c r="NR55" s="387" t="s">
        <v>9706</v>
      </c>
      <c r="NS55" s="387" t="s">
        <v>9751</v>
      </c>
      <c r="NT55" s="1739" t="s">
        <v>9748</v>
      </c>
      <c r="NU55" s="131" t="s">
        <v>9722</v>
      </c>
      <c r="NV55" s="339" t="s">
        <v>9746</v>
      </c>
      <c r="NW55" s="1739" t="s">
        <v>9722</v>
      </c>
      <c r="NX55" s="1739" t="s">
        <v>9722</v>
      </c>
      <c r="NY55" s="1739" t="s">
        <v>9722</v>
      </c>
      <c r="NZ55" s="1739" t="s">
        <v>9722</v>
      </c>
      <c r="OA55" s="131" t="s">
        <v>9766</v>
      </c>
      <c r="OB55" s="131" t="s">
        <v>9766</v>
      </c>
      <c r="OC55" s="131" t="s">
        <v>9745</v>
      </c>
      <c r="OD55" s="1741" t="s">
        <v>9739</v>
      </c>
      <c r="OE55" s="1741" t="s">
        <v>9742</v>
      </c>
      <c r="OF55" s="1741" t="s">
        <v>9728</v>
      </c>
      <c r="OG55" s="387" t="s">
        <v>9768</v>
      </c>
      <c r="OH55" s="387" t="s">
        <v>9761</v>
      </c>
      <c r="OI55" s="387" t="s">
        <v>9742</v>
      </c>
      <c r="OJ55" s="1741"/>
      <c r="OK55" s="1741"/>
      <c r="OL55" s="1741"/>
      <c r="OM55" s="1741" t="s">
        <v>9754</v>
      </c>
      <c r="ON55" s="1741" t="s">
        <v>9742</v>
      </c>
      <c r="OO55" s="1739"/>
      <c r="OP55" s="159" t="s">
        <v>9689</v>
      </c>
      <c r="OQ55" s="387"/>
      <c r="OR55" s="387"/>
      <c r="OS55" s="159" t="s">
        <v>9781</v>
      </c>
      <c r="OT55" s="131"/>
      <c r="OU55" s="131" t="s">
        <v>9754</v>
      </c>
      <c r="OV55" s="387" t="s">
        <v>9740</v>
      </c>
      <c r="OW55" s="387" t="s">
        <v>9748</v>
      </c>
      <c r="OX55" s="1743" t="s">
        <v>9760</v>
      </c>
      <c r="OY55" s="1743" t="s">
        <v>9741</v>
      </c>
      <c r="OZ55" s="131"/>
      <c r="PA55" s="131" t="s">
        <v>9747</v>
      </c>
      <c r="PB55" s="339"/>
      <c r="PC55" s="1742"/>
      <c r="PD55" s="339" t="s">
        <v>9747</v>
      </c>
      <c r="PE55" s="339"/>
      <c r="PF55" s="367"/>
      <c r="PG55" s="1740"/>
      <c r="PH55" s="1741" t="s">
        <v>9765</v>
      </c>
      <c r="PI55" s="1741" t="s">
        <v>9734</v>
      </c>
      <c r="PJ55" s="1742"/>
      <c r="PK55" s="1742"/>
      <c r="PL55" s="448"/>
      <c r="PM55" s="448" t="s">
        <v>9754</v>
      </c>
      <c r="PN55" s="448" t="s">
        <v>9753</v>
      </c>
      <c r="PO55" s="448" t="s">
        <v>9743</v>
      </c>
      <c r="PP55" s="448" t="s">
        <v>9743</v>
      </c>
      <c r="PQ55" s="1741" t="s">
        <v>9743</v>
      </c>
      <c r="PR55" s="1741" t="s">
        <v>9750</v>
      </c>
      <c r="PS55" s="448" t="s">
        <v>9740</v>
      </c>
      <c r="PT55" s="1744" t="s">
        <v>9734</v>
      </c>
      <c r="PU55" s="1743" t="s">
        <v>9734</v>
      </c>
      <c r="PV55" s="1743" t="s">
        <v>9741</v>
      </c>
      <c r="PW55" s="339" t="s">
        <v>9739</v>
      </c>
      <c r="PX55" s="448" t="s">
        <v>9739</v>
      </c>
      <c r="PY55" s="448" t="s">
        <v>9734</v>
      </c>
      <c r="PZ55" s="131" t="s">
        <v>9743</v>
      </c>
      <c r="QA55" s="131" t="s">
        <v>9737</v>
      </c>
      <c r="QB55" s="1741"/>
      <c r="QC55" s="1742" t="s">
        <v>9728</v>
      </c>
      <c r="QD55" s="1742" t="s">
        <v>9734</v>
      </c>
      <c r="QE55" s="1763"/>
      <c r="QF55" s="448" t="s">
        <v>9734</v>
      </c>
      <c r="QG55" s="387" t="s">
        <v>9747</v>
      </c>
      <c r="QH55" s="387" t="s">
        <v>9739</v>
      </c>
      <c r="QI55" s="387" t="s">
        <v>9741</v>
      </c>
      <c r="QJ55" s="1744" t="s">
        <v>9732</v>
      </c>
      <c r="QK55" s="387" t="s">
        <v>9739</v>
      </c>
      <c r="QL55" s="387" t="s">
        <v>9729</v>
      </c>
      <c r="QM55" s="1741"/>
      <c r="QN55" s="1741"/>
      <c r="QO55" s="448" t="s">
        <v>9764</v>
      </c>
      <c r="QP55" s="448" t="s">
        <v>9741</v>
      </c>
      <c r="QQ55" s="387" t="s">
        <v>9734</v>
      </c>
      <c r="QR55" s="387" t="s">
        <v>9740</v>
      </c>
      <c r="QS55" s="131" t="s">
        <v>9767</v>
      </c>
      <c r="QT55" s="159" t="s">
        <v>9773</v>
      </c>
      <c r="QU55" s="387" t="s">
        <v>9765</v>
      </c>
      <c r="QV55" s="387"/>
      <c r="QW55" s="1740" t="s">
        <v>9757</v>
      </c>
      <c r="QX55" s="1740" t="s">
        <v>9728</v>
      </c>
      <c r="QY55" s="1744" t="s">
        <v>9728</v>
      </c>
      <c r="QZ55" s="1754"/>
      <c r="RA55" s="1742" t="s">
        <v>9706</v>
      </c>
      <c r="RB55" s="1743" t="s">
        <v>9748</v>
      </c>
      <c r="RC55" s="387" t="s">
        <v>9737</v>
      </c>
      <c r="RD55" s="339" t="s">
        <v>9732</v>
      </c>
      <c r="RE55" s="1739" t="s">
        <v>9738</v>
      </c>
      <c r="RF55" s="1740" t="s">
        <v>9732</v>
      </c>
      <c r="RG55" s="131" t="s">
        <v>9768</v>
      </c>
      <c r="RH55" s="131" t="s">
        <v>9757</v>
      </c>
      <c r="RI55" s="387" t="s">
        <v>9769</v>
      </c>
      <c r="RJ55" s="448" t="s">
        <v>9740</v>
      </c>
      <c r="RK55" s="1741" t="s">
        <v>9739</v>
      </c>
      <c r="RL55" s="1739" t="s">
        <v>9743</v>
      </c>
      <c r="RM55" s="1740" t="s">
        <v>9710</v>
      </c>
      <c r="RN55" s="1743" t="s">
        <v>9739</v>
      </c>
      <c r="RO55" s="1744" t="s">
        <v>9732</v>
      </c>
      <c r="RP55" s="1740" t="s">
        <v>9740</v>
      </c>
      <c r="RQ55" s="1739"/>
      <c r="RR55" s="1739"/>
      <c r="RS55" s="1739"/>
      <c r="RT55" s="1739"/>
      <c r="RU55" s="1739"/>
      <c r="RV55" s="1739"/>
      <c r="RW55" s="339" t="s">
        <v>9732</v>
      </c>
      <c r="RX55" s="1742" t="s">
        <v>9732</v>
      </c>
      <c r="RY55" s="387" t="s">
        <v>9730</v>
      </c>
      <c r="RZ55" s="1740" t="s">
        <v>9731</v>
      </c>
      <c r="SA55" s="448" t="s">
        <v>9718</v>
      </c>
      <c r="SB55" s="1741" t="s">
        <v>9742</v>
      </c>
      <c r="SC55" s="1740" t="s">
        <v>9751</v>
      </c>
      <c r="SD55" s="1744" t="s">
        <v>9753</v>
      </c>
      <c r="SE55" s="1744" t="s">
        <v>9753</v>
      </c>
      <c r="SF55" s="339" t="s">
        <v>9734</v>
      </c>
      <c r="SG55" s="387"/>
      <c r="SH55" s="387" t="s">
        <v>9757</v>
      </c>
      <c r="SI55" s="1744" t="s">
        <v>9748</v>
      </c>
      <c r="SJ55" s="131"/>
      <c r="SK55" s="131"/>
      <c r="SL55" s="1743"/>
    </row>
    <row r="56" ht="15.75" customHeight="1">
      <c r="A56" s="1517"/>
      <c r="B56" s="148"/>
      <c r="C56" s="148"/>
      <c r="D56" s="148" t="s">
        <v>9769</v>
      </c>
      <c r="E56" s="148" t="s">
        <v>9754</v>
      </c>
      <c r="F56" s="148" t="s">
        <v>9754</v>
      </c>
      <c r="G56" s="148" t="s">
        <v>9736</v>
      </c>
      <c r="H56" s="148" t="s">
        <v>9765</v>
      </c>
      <c r="I56" s="148" t="s">
        <v>9765</v>
      </c>
      <c r="J56" s="148" t="s">
        <v>9751</v>
      </c>
      <c r="K56" s="148"/>
      <c r="L56" s="148"/>
      <c r="M56" s="148" t="s">
        <v>9758</v>
      </c>
      <c r="N56" s="148"/>
      <c r="O56" s="148"/>
      <c r="P56" s="148" t="s">
        <v>9758</v>
      </c>
      <c r="Q56" s="148"/>
      <c r="R56" s="148"/>
      <c r="S56" s="148"/>
      <c r="T56" s="148" t="s">
        <v>9767</v>
      </c>
      <c r="U56" s="148" t="s">
        <v>9757</v>
      </c>
      <c r="V56" s="148"/>
      <c r="W56" s="148"/>
      <c r="X56" s="148" t="s">
        <v>9766</v>
      </c>
      <c r="Y56" s="148" t="s">
        <v>9747</v>
      </c>
      <c r="Z56" s="276"/>
      <c r="AA56" s="148" t="s">
        <v>9747</v>
      </c>
      <c r="AB56" s="148" t="s">
        <v>9749</v>
      </c>
      <c r="AC56" s="148" t="s">
        <v>9734</v>
      </c>
      <c r="AD56" s="148" t="s">
        <v>9767</v>
      </c>
      <c r="AE56" s="148" t="s">
        <v>9767</v>
      </c>
      <c r="AF56" s="148" t="s">
        <v>9711</v>
      </c>
      <c r="AG56" s="148" t="s">
        <v>9766</v>
      </c>
      <c r="AH56" s="148" t="s">
        <v>9766</v>
      </c>
      <c r="AI56" s="148" t="s">
        <v>9718</v>
      </c>
      <c r="AJ56" s="148" t="s">
        <v>9706</v>
      </c>
      <c r="AK56" s="148" t="s">
        <v>9722</v>
      </c>
      <c r="AL56" s="148"/>
      <c r="AM56" s="148" t="s">
        <v>9754</v>
      </c>
      <c r="AN56" s="148" t="s">
        <v>9728</v>
      </c>
      <c r="AO56" s="148" t="s">
        <v>9724</v>
      </c>
      <c r="AP56" s="148" t="s">
        <v>9768</v>
      </c>
      <c r="AQ56" s="148" t="s">
        <v>9754</v>
      </c>
      <c r="AR56" s="148"/>
      <c r="AS56" s="148"/>
      <c r="AT56" s="148"/>
      <c r="AU56" s="148" t="s">
        <v>9767</v>
      </c>
      <c r="AV56" s="148" t="s">
        <v>9747</v>
      </c>
      <c r="AW56" s="148"/>
      <c r="AX56" s="276"/>
      <c r="AY56" s="148"/>
      <c r="AZ56" s="148" t="s">
        <v>9769</v>
      </c>
      <c r="BA56" s="148" t="s">
        <v>9764</v>
      </c>
      <c r="BB56" s="148" t="s">
        <v>9741</v>
      </c>
      <c r="BC56" s="148" t="s">
        <v>9754</v>
      </c>
      <c r="BD56" s="148" t="s">
        <v>9734</v>
      </c>
      <c r="BE56" s="148" t="s">
        <v>9751</v>
      </c>
      <c r="BF56" s="148" t="s">
        <v>9741</v>
      </c>
      <c r="BG56" s="148"/>
      <c r="BH56" s="148" t="s">
        <v>9769</v>
      </c>
      <c r="BI56" s="148"/>
      <c r="BJ56" s="148" t="s">
        <v>9765</v>
      </c>
      <c r="BK56" s="148" t="s">
        <v>9751</v>
      </c>
      <c r="BL56" s="148" t="s">
        <v>9733</v>
      </c>
      <c r="BM56" s="148" t="s">
        <v>9733</v>
      </c>
      <c r="BN56" s="148" t="s">
        <v>9732</v>
      </c>
      <c r="BO56" s="148" t="s">
        <v>9754</v>
      </c>
      <c r="BP56" s="148" t="s">
        <v>9754</v>
      </c>
      <c r="BQ56" s="148" t="s">
        <v>9739</v>
      </c>
      <c r="BR56" s="148"/>
      <c r="BS56" s="148"/>
      <c r="BT56" s="148"/>
      <c r="BU56" s="148"/>
      <c r="BV56" s="148" t="s">
        <v>9765</v>
      </c>
      <c r="BW56" s="148" t="s">
        <v>9754</v>
      </c>
      <c r="BX56" s="148" t="s">
        <v>9754</v>
      </c>
      <c r="BY56" s="148" t="s">
        <v>9734</v>
      </c>
      <c r="BZ56" s="148"/>
      <c r="CA56" s="148"/>
      <c r="CB56" s="148" t="s">
        <v>9750</v>
      </c>
      <c r="CC56" s="148" t="s">
        <v>9748</v>
      </c>
      <c r="CD56" s="148"/>
      <c r="CE56" s="1764" t="s">
        <v>9770</v>
      </c>
      <c r="CF56" s="239" t="s">
        <v>9782</v>
      </c>
      <c r="CG56" s="148"/>
      <c r="CH56" s="148"/>
      <c r="CI56" s="148"/>
      <c r="CJ56" s="148"/>
      <c r="CK56" s="148" t="s">
        <v>9751</v>
      </c>
      <c r="CL56" s="148" t="s">
        <v>9732</v>
      </c>
      <c r="CM56" s="148"/>
      <c r="CN56" s="253"/>
      <c r="CO56" s="148" t="s">
        <v>9764</v>
      </c>
      <c r="CP56" s="148" t="s">
        <v>9743</v>
      </c>
      <c r="CQ56" s="148" t="s">
        <v>9729</v>
      </c>
      <c r="CR56" s="148" t="s">
        <v>9739</v>
      </c>
      <c r="CS56" s="148" t="s">
        <v>9750</v>
      </c>
      <c r="CT56" s="148" t="s">
        <v>9746</v>
      </c>
      <c r="CU56" s="148" t="s">
        <v>9761</v>
      </c>
      <c r="CV56" s="148" t="s">
        <v>9754</v>
      </c>
      <c r="CW56" s="148"/>
      <c r="CX56" s="253"/>
      <c r="CY56" s="148" t="s">
        <v>9754</v>
      </c>
      <c r="CZ56" s="148" t="s">
        <v>9757</v>
      </c>
      <c r="DA56" s="148" t="s">
        <v>9751</v>
      </c>
      <c r="DB56" s="148" t="s">
        <v>9760</v>
      </c>
      <c r="DC56" s="148" t="s">
        <v>9783</v>
      </c>
      <c r="DD56" s="148" t="s">
        <v>9783</v>
      </c>
      <c r="DE56" s="148" t="s">
        <v>9710</v>
      </c>
      <c r="DF56" s="148" t="s">
        <v>9739</v>
      </c>
      <c r="DG56" s="148" t="s">
        <v>9734</v>
      </c>
      <c r="DH56" s="148" t="s">
        <v>9760</v>
      </c>
      <c r="DI56" s="148" t="s">
        <v>9728</v>
      </c>
      <c r="DJ56" s="148" t="s">
        <v>9711</v>
      </c>
      <c r="DK56" s="148" t="s">
        <v>9767</v>
      </c>
      <c r="DL56" s="148" t="s">
        <v>9718</v>
      </c>
      <c r="DM56" s="148"/>
      <c r="DN56" s="148"/>
      <c r="DO56" s="148"/>
      <c r="DP56" s="148"/>
      <c r="DQ56" s="148" t="s">
        <v>9765</v>
      </c>
      <c r="DR56" s="148" t="s">
        <v>9757</v>
      </c>
      <c r="DS56" s="148" t="s">
        <v>9724</v>
      </c>
      <c r="DT56" s="148" t="s">
        <v>9769</v>
      </c>
      <c r="DU56" s="148" t="s">
        <v>9732</v>
      </c>
      <c r="DV56" s="148" t="s">
        <v>9754</v>
      </c>
      <c r="DW56" s="148" t="s">
        <v>9769</v>
      </c>
      <c r="DX56" s="148" t="s">
        <v>9755</v>
      </c>
      <c r="DY56" s="148" t="s">
        <v>9734</v>
      </c>
      <c r="DZ56" s="148"/>
      <c r="EA56" s="148" t="s">
        <v>9756</v>
      </c>
      <c r="EB56" s="148" t="s">
        <v>9754</v>
      </c>
      <c r="EC56" s="148"/>
      <c r="ED56" s="148"/>
      <c r="EE56" s="148" t="s">
        <v>9765</v>
      </c>
      <c r="EF56" s="148" t="s">
        <v>9769</v>
      </c>
      <c r="EG56" s="276"/>
      <c r="EH56" s="148" t="s">
        <v>9747</v>
      </c>
      <c r="EI56" s="148"/>
      <c r="EJ56" s="148" t="s">
        <v>9761</v>
      </c>
      <c r="EK56" s="148" t="s">
        <v>9765</v>
      </c>
      <c r="EL56" s="148" t="s">
        <v>9751</v>
      </c>
      <c r="EM56" s="148" t="s">
        <v>9741</v>
      </c>
      <c r="EN56" s="148" t="s">
        <v>9728</v>
      </c>
      <c r="EO56" s="148" t="s">
        <v>9768</v>
      </c>
      <c r="EP56" s="148" t="s">
        <v>9768</v>
      </c>
      <c r="EQ56" s="148" t="s">
        <v>9768</v>
      </c>
      <c r="ER56" s="148" t="s">
        <v>9754</v>
      </c>
      <c r="ES56" s="148" t="s">
        <v>9754</v>
      </c>
      <c r="ET56" s="148" t="s">
        <v>9722</v>
      </c>
      <c r="EU56" s="148" t="s">
        <v>9720</v>
      </c>
      <c r="EV56" s="148"/>
      <c r="EW56" s="253"/>
      <c r="EX56" s="276"/>
      <c r="EY56" s="148" t="s">
        <v>9767</v>
      </c>
      <c r="EZ56" s="148"/>
      <c r="FA56" s="148"/>
      <c r="FB56" s="148" t="s">
        <v>9734</v>
      </c>
      <c r="FC56" s="148" t="s">
        <v>9767</v>
      </c>
      <c r="FD56" s="148" t="s">
        <v>9754</v>
      </c>
      <c r="FE56" s="148" t="s">
        <v>9741</v>
      </c>
      <c r="FF56" s="148" t="s">
        <v>9747</v>
      </c>
      <c r="FG56" s="148" t="s">
        <v>9753</v>
      </c>
      <c r="FH56" s="193" t="s">
        <v>9774</v>
      </c>
      <c r="FI56" s="276"/>
      <c r="FJ56" s="148" t="s">
        <v>9758</v>
      </c>
      <c r="FK56" s="148" t="s">
        <v>9734</v>
      </c>
      <c r="FL56" s="148"/>
      <c r="FM56" s="148"/>
      <c r="FN56" s="148" t="s">
        <v>9747</v>
      </c>
      <c r="FO56" s="148"/>
      <c r="FP56" s="148"/>
      <c r="FQ56" s="148"/>
      <c r="FR56" s="148" t="s">
        <v>9734</v>
      </c>
      <c r="FS56" s="148" t="s">
        <v>9739</v>
      </c>
      <c r="FT56" s="148" t="s">
        <v>9747</v>
      </c>
      <c r="FU56" s="148" t="s">
        <v>9729</v>
      </c>
      <c r="FV56" s="148" t="s">
        <v>9757</v>
      </c>
      <c r="FW56" s="148" t="s">
        <v>9734</v>
      </c>
      <c r="FX56" s="148"/>
      <c r="FY56" s="148"/>
      <c r="FZ56" s="148" t="s">
        <v>9769</v>
      </c>
      <c r="GA56" s="148"/>
      <c r="GB56" s="148"/>
      <c r="GC56" s="148" t="s">
        <v>9766</v>
      </c>
      <c r="GD56" s="148" t="s">
        <v>9739</v>
      </c>
      <c r="GE56" s="148" t="s">
        <v>9754</v>
      </c>
      <c r="GF56" s="148"/>
      <c r="GG56" s="148"/>
      <c r="GH56" s="253"/>
      <c r="GI56" s="148" t="s">
        <v>9750</v>
      </c>
      <c r="GJ56" s="148"/>
      <c r="GK56" s="148"/>
      <c r="GL56" s="253"/>
      <c r="GM56" s="148"/>
      <c r="GN56" s="148" t="s">
        <v>9734</v>
      </c>
      <c r="GO56" s="148" t="s">
        <v>9784</v>
      </c>
      <c r="GP56" s="148" t="s">
        <v>9767</v>
      </c>
      <c r="GQ56" s="148" t="s">
        <v>9747</v>
      </c>
      <c r="GR56" s="148" t="s">
        <v>9748</v>
      </c>
      <c r="GS56" s="148" t="s">
        <v>9743</v>
      </c>
      <c r="GT56" s="148"/>
      <c r="GU56" s="148"/>
      <c r="GV56" s="148" t="s">
        <v>9734</v>
      </c>
      <c r="GW56" s="148" t="s">
        <v>9769</v>
      </c>
      <c r="GX56" s="148" t="s">
        <v>9747</v>
      </c>
      <c r="GY56" s="148" t="s">
        <v>9750</v>
      </c>
      <c r="GZ56" s="148" t="s">
        <v>9760</v>
      </c>
      <c r="HA56" s="148" t="s">
        <v>9734</v>
      </c>
      <c r="HB56" s="148" t="s">
        <v>9731</v>
      </c>
      <c r="HC56" s="148" t="s">
        <v>9722</v>
      </c>
      <c r="HD56" s="148" t="s">
        <v>9765</v>
      </c>
      <c r="HE56" s="148" t="s">
        <v>9762</v>
      </c>
      <c r="HF56" s="276"/>
      <c r="HG56" s="148" t="s">
        <v>9739</v>
      </c>
      <c r="HH56" s="148" t="s">
        <v>9753</v>
      </c>
      <c r="HI56" s="148" t="s">
        <v>9739</v>
      </c>
      <c r="HJ56" s="148" t="s">
        <v>9760</v>
      </c>
      <c r="HK56" s="148"/>
      <c r="HL56" s="148" t="s">
        <v>9751</v>
      </c>
      <c r="HM56" s="148"/>
      <c r="HN56" s="148" t="s">
        <v>9747</v>
      </c>
      <c r="HO56" s="148" t="s">
        <v>9742</v>
      </c>
      <c r="HP56" s="148"/>
      <c r="HQ56" s="148" t="s">
        <v>9754</v>
      </c>
      <c r="HR56" s="159" t="s">
        <v>9785</v>
      </c>
      <c r="HS56" s="276"/>
      <c r="HT56" s="148" t="s">
        <v>9747</v>
      </c>
      <c r="HU56" s="148" t="s">
        <v>9747</v>
      </c>
      <c r="HV56" s="148" t="s">
        <v>9764</v>
      </c>
      <c r="HW56" s="148"/>
      <c r="HX56" s="148"/>
      <c r="HY56" s="148" t="s">
        <v>9769</v>
      </c>
      <c r="HZ56" s="148" t="s">
        <v>9747</v>
      </c>
      <c r="IA56" s="148" t="s">
        <v>9750</v>
      </c>
      <c r="IB56" s="148"/>
      <c r="IC56" s="148"/>
      <c r="ID56" s="148"/>
      <c r="IE56" s="148" t="s">
        <v>9739</v>
      </c>
      <c r="IF56" s="148"/>
      <c r="IG56" s="148"/>
      <c r="IH56" s="148" t="s">
        <v>9741</v>
      </c>
      <c r="II56" s="148" t="s">
        <v>9711</v>
      </c>
      <c r="IJ56" s="148" t="s">
        <v>9754</v>
      </c>
      <c r="IK56" s="148" t="s">
        <v>9747</v>
      </c>
      <c r="IL56" s="148" t="s">
        <v>9767</v>
      </c>
      <c r="IM56" s="148" t="s">
        <v>9754</v>
      </c>
      <c r="IN56" s="148" t="s">
        <v>9754</v>
      </c>
      <c r="IO56" s="148" t="s">
        <v>9718</v>
      </c>
      <c r="IP56" s="148" t="s">
        <v>9722</v>
      </c>
      <c r="IQ56" s="148" t="s">
        <v>9731</v>
      </c>
      <c r="IR56" s="148" t="s">
        <v>9750</v>
      </c>
      <c r="IS56" s="148" t="s">
        <v>9757</v>
      </c>
      <c r="IT56" s="148" t="s">
        <v>9755</v>
      </c>
      <c r="IU56" s="148" t="s">
        <v>9736</v>
      </c>
      <c r="IV56" s="148"/>
      <c r="IW56" s="148" t="s">
        <v>9747</v>
      </c>
      <c r="IX56" s="148" t="s">
        <v>9760</v>
      </c>
      <c r="IY56" s="148"/>
      <c r="IZ56" s="148" t="s">
        <v>9769</v>
      </c>
      <c r="JA56" s="148" t="s">
        <v>9734</v>
      </c>
      <c r="JB56" s="148"/>
      <c r="JC56" s="148" t="s">
        <v>9766</v>
      </c>
      <c r="JD56" s="148" t="s">
        <v>9767</v>
      </c>
      <c r="JE56" s="148" t="s">
        <v>9739</v>
      </c>
      <c r="JF56" s="148"/>
      <c r="JG56" s="148"/>
      <c r="JH56" s="276"/>
      <c r="JI56" s="148"/>
      <c r="JJ56" s="148" t="s">
        <v>9768</v>
      </c>
      <c r="JK56" s="1746"/>
      <c r="JL56" s="1746" t="s">
        <v>9747</v>
      </c>
      <c r="JM56" s="1746" t="s">
        <v>9745</v>
      </c>
      <c r="JN56" s="1746"/>
      <c r="JO56" s="1746" t="s">
        <v>9734</v>
      </c>
      <c r="JP56" s="1746" t="s">
        <v>9737</v>
      </c>
      <c r="JQ56" s="1746"/>
      <c r="JR56" s="1746"/>
      <c r="JS56" s="253"/>
      <c r="JT56" s="148" t="s">
        <v>9759</v>
      </c>
      <c r="JU56" s="148" t="s">
        <v>9743</v>
      </c>
      <c r="JV56" s="148" t="s">
        <v>9743</v>
      </c>
      <c r="JW56" s="148" t="s">
        <v>9746</v>
      </c>
      <c r="JX56" s="1737"/>
      <c r="JY56" s="1746" t="s">
        <v>9758</v>
      </c>
      <c r="JZ56" s="1746"/>
      <c r="KA56" s="1746" t="s">
        <v>9760</v>
      </c>
      <c r="KB56" s="1746" t="s">
        <v>9734</v>
      </c>
      <c r="KC56" s="148" t="s">
        <v>9748</v>
      </c>
      <c r="KD56" s="1746" t="s">
        <v>9706</v>
      </c>
      <c r="KE56" s="1746"/>
      <c r="KF56" s="148" t="s">
        <v>9754</v>
      </c>
      <c r="KG56" s="192" t="s">
        <v>9689</v>
      </c>
      <c r="KH56" s="1746"/>
      <c r="KI56" s="1746" t="s">
        <v>9751</v>
      </c>
      <c r="KJ56" s="148" t="s">
        <v>9732</v>
      </c>
      <c r="KK56" s="1746" t="s">
        <v>9783</v>
      </c>
      <c r="KL56" s="1746" t="s">
        <v>9754</v>
      </c>
      <c r="KM56" s="1746"/>
      <c r="KN56" s="1746" t="s">
        <v>9766</v>
      </c>
      <c r="KO56" s="148" t="s">
        <v>9739</v>
      </c>
      <c r="KP56" s="1746" t="s">
        <v>9743</v>
      </c>
      <c r="KQ56" s="148" t="s">
        <v>9753</v>
      </c>
      <c r="KR56" s="148" t="s">
        <v>9741</v>
      </c>
      <c r="KS56" s="1746" t="s">
        <v>9767</v>
      </c>
      <c r="KT56" s="1746" t="s">
        <v>9754</v>
      </c>
      <c r="KU56" s="148" t="s">
        <v>9718</v>
      </c>
      <c r="KV56" s="1746" t="s">
        <v>9739</v>
      </c>
      <c r="KW56" s="148" t="s">
        <v>9743</v>
      </c>
      <c r="KX56" s="1746"/>
      <c r="KY56" s="1746"/>
      <c r="KZ56" s="1746"/>
      <c r="LA56" s="1746"/>
      <c r="LB56" s="1746" t="s">
        <v>9734</v>
      </c>
      <c r="LC56" s="1746" t="s">
        <v>9734</v>
      </c>
      <c r="LD56" s="148"/>
      <c r="LE56" s="1746"/>
      <c r="LF56" s="1746" t="s">
        <v>9766</v>
      </c>
      <c r="LG56" s="1746"/>
      <c r="LH56" s="148" t="s">
        <v>9747</v>
      </c>
      <c r="LI56" s="1746"/>
      <c r="LJ56" s="1746"/>
      <c r="LK56" s="1746"/>
      <c r="LL56" s="1746" t="s">
        <v>9739</v>
      </c>
      <c r="LM56" s="1746" t="s">
        <v>9747</v>
      </c>
      <c r="LN56" s="1746" t="s">
        <v>9734</v>
      </c>
      <c r="LO56" s="1746" t="s">
        <v>9732</v>
      </c>
      <c r="LP56" s="148" t="s">
        <v>9743</v>
      </c>
      <c r="LQ56" s="1746"/>
      <c r="LR56" s="1746" t="s">
        <v>9768</v>
      </c>
      <c r="LS56" s="148" t="s">
        <v>9751</v>
      </c>
      <c r="LT56" s="1746" t="s">
        <v>9754</v>
      </c>
      <c r="LU56" s="148" t="s">
        <v>9739</v>
      </c>
      <c r="LV56" s="1746"/>
      <c r="LW56" s="148" t="s">
        <v>9734</v>
      </c>
      <c r="LX56" s="148" t="s">
        <v>9706</v>
      </c>
      <c r="LY56" s="1746" t="s">
        <v>9766</v>
      </c>
      <c r="LZ56" s="1746" t="s">
        <v>9760</v>
      </c>
      <c r="MA56" s="1746" t="s">
        <v>9741</v>
      </c>
      <c r="MB56" s="1746"/>
      <c r="MC56" s="148" t="s">
        <v>9765</v>
      </c>
      <c r="MD56" s="1746" t="s">
        <v>9747</v>
      </c>
      <c r="ME56" s="1746" t="s">
        <v>9764</v>
      </c>
      <c r="MF56" s="1746" t="s">
        <v>9742</v>
      </c>
      <c r="MG56" s="148" t="s">
        <v>9737</v>
      </c>
      <c r="MH56" s="1746"/>
      <c r="MI56" s="1746" t="s">
        <v>9757</v>
      </c>
      <c r="MJ56" s="1748"/>
      <c r="MK56" s="1746" t="s">
        <v>9739</v>
      </c>
      <c r="ML56" s="1746"/>
      <c r="MM56" s="159" t="s">
        <v>9775</v>
      </c>
      <c r="MN56" s="148" t="s">
        <v>9743</v>
      </c>
      <c r="MO56" s="148" t="s">
        <v>9724</v>
      </c>
      <c r="MP56" s="1746" t="s">
        <v>9734</v>
      </c>
      <c r="MQ56" s="1746" t="s">
        <v>9741</v>
      </c>
      <c r="MR56" s="1746" t="s">
        <v>9764</v>
      </c>
      <c r="MS56" s="148" t="s">
        <v>9733</v>
      </c>
      <c r="MT56" s="148" t="s">
        <v>9754</v>
      </c>
      <c r="MU56" s="1746" t="s">
        <v>9739</v>
      </c>
      <c r="MV56" s="148" t="s">
        <v>9710</v>
      </c>
      <c r="MW56" s="1746"/>
      <c r="MX56" s="1746"/>
      <c r="MY56" s="148" t="s">
        <v>9764</v>
      </c>
      <c r="MZ56" s="1746"/>
      <c r="NA56" s="1746"/>
      <c r="NB56" s="148" t="s">
        <v>9769</v>
      </c>
      <c r="NC56" s="1746"/>
      <c r="ND56" s="1746"/>
      <c r="NE56" s="1746"/>
      <c r="NF56" s="148" t="s">
        <v>9747</v>
      </c>
      <c r="NG56" s="1746"/>
      <c r="NH56" s="1746"/>
      <c r="NI56" s="148"/>
      <c r="NJ56" s="148" t="s">
        <v>9751</v>
      </c>
      <c r="NK56" s="1746"/>
      <c r="NL56" s="1746" t="s">
        <v>9739</v>
      </c>
      <c r="NM56" s="1746" t="s">
        <v>9751</v>
      </c>
      <c r="NN56" s="1746" t="s">
        <v>9742</v>
      </c>
      <c r="NO56" s="1746" t="s">
        <v>9743</v>
      </c>
      <c r="NP56" s="1746" t="s">
        <v>9742</v>
      </c>
      <c r="NQ56" s="1746" t="s">
        <v>9716</v>
      </c>
      <c r="NR56" s="1746" t="s">
        <v>9716</v>
      </c>
      <c r="NS56" s="1746" t="s">
        <v>9739</v>
      </c>
      <c r="NT56" s="1746" t="s">
        <v>9728</v>
      </c>
      <c r="NU56" s="1746" t="s">
        <v>9731</v>
      </c>
      <c r="NV56" s="1746" t="s">
        <v>9741</v>
      </c>
      <c r="NW56" s="1746" t="s">
        <v>9721</v>
      </c>
      <c r="NX56" s="1746" t="s">
        <v>9721</v>
      </c>
      <c r="NY56" s="1746" t="s">
        <v>9721</v>
      </c>
      <c r="NZ56" s="1746" t="s">
        <v>9721</v>
      </c>
      <c r="OA56" s="1746" t="s">
        <v>9769</v>
      </c>
      <c r="OB56" s="1746" t="s">
        <v>9769</v>
      </c>
      <c r="OC56" s="1746" t="s">
        <v>9742</v>
      </c>
      <c r="OD56" s="1746" t="s">
        <v>9757</v>
      </c>
      <c r="OE56" s="1746" t="s">
        <v>9734</v>
      </c>
      <c r="OF56" s="1746" t="s">
        <v>9732</v>
      </c>
      <c r="OG56" s="1746" t="s">
        <v>9765</v>
      </c>
      <c r="OH56" s="1746" t="s">
        <v>9766</v>
      </c>
      <c r="OI56" s="1746" t="s">
        <v>9734</v>
      </c>
      <c r="OJ56" s="1746"/>
      <c r="OK56" s="1746"/>
      <c r="OL56" s="1746"/>
      <c r="OM56" s="1746" t="s">
        <v>9767</v>
      </c>
      <c r="ON56" s="1746" t="s">
        <v>9734</v>
      </c>
      <c r="OO56" s="1746"/>
      <c r="OP56" s="253"/>
      <c r="OQ56" s="1746"/>
      <c r="OR56" s="1746"/>
      <c r="OS56" s="1737"/>
      <c r="OT56" s="1746"/>
      <c r="OU56" s="1746" t="s">
        <v>9767</v>
      </c>
      <c r="OV56" s="1746" t="s">
        <v>9744</v>
      </c>
      <c r="OW56" s="1746" t="s">
        <v>9728</v>
      </c>
      <c r="OX56" s="1746" t="s">
        <v>9742</v>
      </c>
      <c r="OY56" s="1746" t="s">
        <v>9744</v>
      </c>
      <c r="OZ56" s="1746"/>
      <c r="PA56" s="1746" t="s">
        <v>9754</v>
      </c>
      <c r="PB56" s="1746" t="s">
        <v>9689</v>
      </c>
      <c r="PC56" s="1746" t="s">
        <v>9689</v>
      </c>
      <c r="PD56" s="1746" t="s">
        <v>9758</v>
      </c>
      <c r="PE56" s="1746"/>
      <c r="PF56" s="192" t="s">
        <v>9689</v>
      </c>
      <c r="PG56" s="148"/>
      <c r="PH56" s="1746"/>
      <c r="PI56" s="1746" t="s">
        <v>9739</v>
      </c>
      <c r="PJ56" s="1746"/>
      <c r="PK56" s="1746"/>
      <c r="PL56" s="1746"/>
      <c r="PM56" s="1746" t="s">
        <v>9761</v>
      </c>
      <c r="PN56" s="1746" t="s">
        <v>9740</v>
      </c>
      <c r="PO56" s="1746" t="s">
        <v>9734</v>
      </c>
      <c r="PP56" s="1746" t="s">
        <v>9734</v>
      </c>
      <c r="PQ56" s="1746" t="s">
        <v>9734</v>
      </c>
      <c r="PR56" s="148" t="s">
        <v>9734</v>
      </c>
      <c r="PS56" s="1746" t="s">
        <v>9741</v>
      </c>
      <c r="PT56" s="1746" t="s">
        <v>9764</v>
      </c>
      <c r="PU56" s="1746" t="s">
        <v>9739</v>
      </c>
      <c r="PV56" s="1746" t="s">
        <v>9737</v>
      </c>
      <c r="PW56" s="1746" t="s">
        <v>9757</v>
      </c>
      <c r="PX56" s="1746" t="s">
        <v>9747</v>
      </c>
      <c r="PY56" s="148" t="s">
        <v>9764</v>
      </c>
      <c r="PZ56" s="1746" t="s">
        <v>9751</v>
      </c>
      <c r="QA56" s="1746" t="s">
        <v>9752</v>
      </c>
      <c r="QB56" s="1746"/>
      <c r="QC56" s="1746" t="s">
        <v>9732</v>
      </c>
      <c r="QD56" s="1746" t="s">
        <v>9739</v>
      </c>
      <c r="QE56" s="1746"/>
      <c r="QF56" s="1746" t="s">
        <v>9764</v>
      </c>
      <c r="QG56" s="1746" t="s">
        <v>9754</v>
      </c>
      <c r="QH56" s="1746" t="s">
        <v>9747</v>
      </c>
      <c r="QI56" s="1746" t="s">
        <v>9760</v>
      </c>
      <c r="QJ56" s="1746" t="s">
        <v>9746</v>
      </c>
      <c r="QK56" s="1746" t="s">
        <v>9749</v>
      </c>
      <c r="QL56" s="148" t="s">
        <v>9753</v>
      </c>
      <c r="QM56" s="1746"/>
      <c r="QN56" s="1746"/>
      <c r="QO56" s="1746" t="s">
        <v>9755</v>
      </c>
      <c r="QP56" s="1746" t="s">
        <v>9737</v>
      </c>
      <c r="QQ56" s="1746" t="s">
        <v>9764</v>
      </c>
      <c r="QR56" s="1746" t="s">
        <v>9741</v>
      </c>
      <c r="QS56" s="1748"/>
      <c r="QT56" s="1737"/>
      <c r="QU56" s="1748"/>
      <c r="QV56" s="1746"/>
      <c r="QW56" s="148" t="s">
        <v>9747</v>
      </c>
      <c r="QX56" s="148" t="s">
        <v>9732</v>
      </c>
      <c r="QY56" s="148" t="s">
        <v>9732</v>
      </c>
      <c r="QZ56" s="159" t="s">
        <v>9770</v>
      </c>
      <c r="RA56" s="148" t="s">
        <v>9710</v>
      </c>
      <c r="RB56" s="148" t="s">
        <v>9728</v>
      </c>
      <c r="RC56" s="1746" t="s">
        <v>9745</v>
      </c>
      <c r="RD56" s="148" t="s">
        <v>9741</v>
      </c>
      <c r="RE56" s="1746" t="s">
        <v>9741</v>
      </c>
      <c r="RF56" s="148" t="s">
        <v>9729</v>
      </c>
      <c r="RG56" s="276"/>
      <c r="RH56" s="1746" t="s">
        <v>9747</v>
      </c>
      <c r="RI56" s="1748"/>
      <c r="RJ56" s="148" t="s">
        <v>9741</v>
      </c>
      <c r="RK56" s="148" t="s">
        <v>9747</v>
      </c>
      <c r="RL56" s="148" t="s">
        <v>9764</v>
      </c>
      <c r="RM56" s="148" t="s">
        <v>9721</v>
      </c>
      <c r="RN56" s="148" t="s">
        <v>9747</v>
      </c>
      <c r="RO56" s="148" t="s">
        <v>9738</v>
      </c>
      <c r="RP56" s="148" t="s">
        <v>9741</v>
      </c>
      <c r="RQ56" s="1746"/>
      <c r="RR56" s="1746"/>
      <c r="RS56" s="1746"/>
      <c r="RT56" s="1746"/>
      <c r="RU56" s="1746"/>
      <c r="RV56" s="1746"/>
      <c r="RW56" s="1746" t="s">
        <v>9746</v>
      </c>
      <c r="RX56" s="1746" t="s">
        <v>9746</v>
      </c>
      <c r="RY56" s="1746" t="s">
        <v>9728</v>
      </c>
      <c r="RZ56" s="148" t="s">
        <v>9732</v>
      </c>
      <c r="SA56" s="1746" t="s">
        <v>9722</v>
      </c>
      <c r="SB56" s="1746" t="s">
        <v>9734</v>
      </c>
      <c r="SC56" s="148" t="s">
        <v>9739</v>
      </c>
      <c r="SD56" s="1746" t="s">
        <v>9740</v>
      </c>
      <c r="SE56" s="1746" t="s">
        <v>9740</v>
      </c>
      <c r="SF56" s="1746" t="s">
        <v>9739</v>
      </c>
      <c r="SG56" s="1746"/>
      <c r="SH56" s="1746" t="s">
        <v>9747</v>
      </c>
      <c r="SI56" s="1746" t="s">
        <v>9728</v>
      </c>
      <c r="SJ56" s="1746"/>
      <c r="SK56" s="1746"/>
      <c r="SL56" s="1746"/>
    </row>
    <row r="57" ht="15.75" customHeight="1">
      <c r="A57" s="1517"/>
      <c r="B57" s="131"/>
      <c r="C57" s="131"/>
      <c r="D57" s="131" t="s">
        <v>9783</v>
      </c>
      <c r="E57" s="1739" t="s">
        <v>9767</v>
      </c>
      <c r="F57" s="1739" t="s">
        <v>9767</v>
      </c>
      <c r="G57" s="1739" t="s">
        <v>9738</v>
      </c>
      <c r="H57" s="387"/>
      <c r="I57" s="387"/>
      <c r="J57" s="387" t="s">
        <v>9739</v>
      </c>
      <c r="K57" s="131"/>
      <c r="L57" s="131"/>
      <c r="M57" s="1740" t="s">
        <v>9754</v>
      </c>
      <c r="N57" s="1741"/>
      <c r="O57" s="339"/>
      <c r="P57" s="339" t="s">
        <v>9754</v>
      </c>
      <c r="Q57" s="1741"/>
      <c r="R57" s="1741"/>
      <c r="S57" s="1741"/>
      <c r="T57" s="448" t="s">
        <v>9769</v>
      </c>
      <c r="U57" s="1741" t="s">
        <v>9747</v>
      </c>
      <c r="V57" s="1741"/>
      <c r="W57" s="1741"/>
      <c r="X57" s="448"/>
      <c r="Y57" s="448" t="s">
        <v>9754</v>
      </c>
      <c r="Z57" s="159" t="s">
        <v>9761</v>
      </c>
      <c r="AA57" s="339" t="s">
        <v>9754</v>
      </c>
      <c r="AB57" s="339" t="s">
        <v>9747</v>
      </c>
      <c r="AC57" s="339" t="s">
        <v>9751</v>
      </c>
      <c r="AD57" s="387" t="s">
        <v>9766</v>
      </c>
      <c r="AE57" s="387" t="s">
        <v>9766</v>
      </c>
      <c r="AF57" s="387" t="s">
        <v>9718</v>
      </c>
      <c r="AG57" s="448" t="s">
        <v>9769</v>
      </c>
      <c r="AH57" s="448" t="s">
        <v>9769</v>
      </c>
      <c r="AI57" s="448" t="s">
        <v>9722</v>
      </c>
      <c r="AJ57" s="1742" t="s">
        <v>9724</v>
      </c>
      <c r="AK57" s="1742" t="s">
        <v>9706</v>
      </c>
      <c r="AL57" s="1741"/>
      <c r="AM57" s="367"/>
      <c r="AN57" s="1742" t="s">
        <v>9732</v>
      </c>
      <c r="AO57" s="1742" t="s">
        <v>9748</v>
      </c>
      <c r="AP57" s="457"/>
      <c r="AQ57" s="448" t="s">
        <v>9759</v>
      </c>
      <c r="AR57" s="387"/>
      <c r="AS57" s="387"/>
      <c r="AT57" s="1739"/>
      <c r="AU57" s="1739" t="s">
        <v>9769</v>
      </c>
      <c r="AV57" s="1739" t="s">
        <v>9754</v>
      </c>
      <c r="AW57" s="448"/>
      <c r="AX57" s="192" t="s">
        <v>9689</v>
      </c>
      <c r="AY57" s="1741"/>
      <c r="AZ57" s="1741"/>
      <c r="BA57" s="339" t="s">
        <v>9739</v>
      </c>
      <c r="BB57" s="339" t="s">
        <v>9737</v>
      </c>
      <c r="BC57" s="339" t="s">
        <v>9761</v>
      </c>
      <c r="BD57" s="387" t="s">
        <v>9739</v>
      </c>
      <c r="BE57" s="1741" t="s">
        <v>9739</v>
      </c>
      <c r="BF57" s="1741" t="s">
        <v>9760</v>
      </c>
      <c r="BG57" s="1741"/>
      <c r="BH57" s="1741" t="s">
        <v>9783</v>
      </c>
      <c r="BI57" s="387"/>
      <c r="BJ57" s="387"/>
      <c r="BK57" s="387" t="s">
        <v>9739</v>
      </c>
      <c r="BL57" s="1741" t="s">
        <v>9746</v>
      </c>
      <c r="BM57" s="1741" t="s">
        <v>9746</v>
      </c>
      <c r="BN57" s="1741" t="s">
        <v>9729</v>
      </c>
      <c r="BO57" s="1743" t="s">
        <v>9766</v>
      </c>
      <c r="BP57" s="1743" t="s">
        <v>9766</v>
      </c>
      <c r="BQ57" s="1743" t="s">
        <v>9749</v>
      </c>
      <c r="BR57" s="131"/>
      <c r="BS57" s="131"/>
      <c r="BT57" s="131"/>
      <c r="BU57" s="387"/>
      <c r="BV57" s="387"/>
      <c r="BW57" s="1741" t="s">
        <v>9766</v>
      </c>
      <c r="BX57" s="1741" t="s">
        <v>9766</v>
      </c>
      <c r="BY57" s="1741" t="s">
        <v>9751</v>
      </c>
      <c r="BZ57" s="339"/>
      <c r="CA57" s="339"/>
      <c r="CB57" s="1742" t="s">
        <v>9743</v>
      </c>
      <c r="CC57" s="1742" t="s">
        <v>9728</v>
      </c>
      <c r="CD57" s="1743"/>
      <c r="CE57" s="1761"/>
      <c r="CF57" s="235" t="s">
        <v>9786</v>
      </c>
      <c r="CG57" s="1741"/>
      <c r="CH57" s="1741"/>
      <c r="CI57" s="1740"/>
      <c r="CJ57" s="1740"/>
      <c r="CK57" s="448" t="s">
        <v>9739</v>
      </c>
      <c r="CL57" s="448" t="s">
        <v>9735</v>
      </c>
      <c r="CM57" s="448"/>
      <c r="CN57" s="448"/>
      <c r="CO57" s="448" t="s">
        <v>9739</v>
      </c>
      <c r="CP57" s="448" t="s">
        <v>9734</v>
      </c>
      <c r="CQ57" s="448" t="s">
        <v>9738</v>
      </c>
      <c r="CR57" s="1743" t="s">
        <v>9747</v>
      </c>
      <c r="CS57" s="339" t="s">
        <v>9743</v>
      </c>
      <c r="CT57" s="339" t="s">
        <v>9741</v>
      </c>
      <c r="CU57" s="1739" t="s">
        <v>9766</v>
      </c>
      <c r="CV57" s="1739" t="s">
        <v>9767</v>
      </c>
      <c r="CW57" s="1739"/>
      <c r="CX57" s="1739"/>
      <c r="CY57" s="1742" t="s">
        <v>9784</v>
      </c>
      <c r="CZ57" s="339" t="s">
        <v>9747</v>
      </c>
      <c r="DA57" s="1741" t="s">
        <v>9739</v>
      </c>
      <c r="DB57" s="1741" t="s">
        <v>9745</v>
      </c>
      <c r="DC57" s="1741"/>
      <c r="DD57" s="1741"/>
      <c r="DE57" s="1742" t="s">
        <v>9728</v>
      </c>
      <c r="DF57" s="448" t="s">
        <v>9747</v>
      </c>
      <c r="DG57" s="448" t="s">
        <v>9764</v>
      </c>
      <c r="DH57" s="1743" t="s">
        <v>9745</v>
      </c>
      <c r="DI57" s="1743" t="s">
        <v>9732</v>
      </c>
      <c r="DJ57" s="1742" t="s">
        <v>9718</v>
      </c>
      <c r="DK57" s="387" t="s">
        <v>9769</v>
      </c>
      <c r="DL57" s="1741" t="s">
        <v>9722</v>
      </c>
      <c r="DM57" s="387"/>
      <c r="DN57" s="387"/>
      <c r="DO57" s="1739"/>
      <c r="DP57" s="1739"/>
      <c r="DQ57" s="1741"/>
      <c r="DR57" s="448" t="s">
        <v>9747</v>
      </c>
      <c r="DS57" s="1742" t="s">
        <v>9748</v>
      </c>
      <c r="DT57" s="269"/>
      <c r="DU57" s="1739" t="s">
        <v>9729</v>
      </c>
      <c r="DV57" s="339" t="s">
        <v>9766</v>
      </c>
      <c r="DW57" s="1739" t="s">
        <v>9783</v>
      </c>
      <c r="DX57" s="1741" t="s">
        <v>9739</v>
      </c>
      <c r="DY57" s="1741" t="s">
        <v>9751</v>
      </c>
      <c r="DZ57" s="1739"/>
      <c r="EA57" s="387" t="s">
        <v>9750</v>
      </c>
      <c r="EB57" s="387" t="s">
        <v>9761</v>
      </c>
      <c r="EC57" s="448"/>
      <c r="ED57" s="1741"/>
      <c r="EE57" s="393"/>
      <c r="EF57" s="367"/>
      <c r="EG57" s="192" t="s">
        <v>9787</v>
      </c>
      <c r="EH57" s="1742" t="s">
        <v>9754</v>
      </c>
      <c r="EI57" s="387"/>
      <c r="EJ57" s="387" t="s">
        <v>9769</v>
      </c>
      <c r="EK57" s="1741"/>
      <c r="EL57" s="1741" t="s">
        <v>9755</v>
      </c>
      <c r="EM57" s="448" t="s">
        <v>9744</v>
      </c>
      <c r="EN57" s="1744" t="s">
        <v>9732</v>
      </c>
      <c r="EO57" s="387" t="s">
        <v>9769</v>
      </c>
      <c r="EP57" s="339" t="s">
        <v>9769</v>
      </c>
      <c r="EQ57" s="339" t="s">
        <v>9769</v>
      </c>
      <c r="ER57" s="387" t="s">
        <v>9761</v>
      </c>
      <c r="ES57" s="387" t="s">
        <v>9761</v>
      </c>
      <c r="ET57" s="1741" t="s">
        <v>9706</v>
      </c>
      <c r="EU57" s="448" t="s">
        <v>9719</v>
      </c>
      <c r="EV57" s="1742"/>
      <c r="EW57" s="131"/>
      <c r="EX57" s="159" t="s">
        <v>9775</v>
      </c>
      <c r="EY57" s="131" t="s">
        <v>9766</v>
      </c>
      <c r="EZ57" s="339"/>
      <c r="FA57" s="339"/>
      <c r="FB57" s="339" t="s">
        <v>9751</v>
      </c>
      <c r="FC57" s="387" t="s">
        <v>9761</v>
      </c>
      <c r="FD57" s="387" t="s">
        <v>9767</v>
      </c>
      <c r="FE57" s="387" t="s">
        <v>9756</v>
      </c>
      <c r="FF57" s="1741" t="s">
        <v>9758</v>
      </c>
      <c r="FG57" s="1741" t="s">
        <v>9741</v>
      </c>
      <c r="FH57" s="1752"/>
      <c r="FI57" s="192" t="s">
        <v>9778</v>
      </c>
      <c r="FJ57" s="1739" t="s">
        <v>9754</v>
      </c>
      <c r="FK57" s="1739" t="s">
        <v>9739</v>
      </c>
      <c r="FL57" s="131"/>
      <c r="FM57" s="1739"/>
      <c r="FN57" s="448" t="s">
        <v>9758</v>
      </c>
      <c r="FO57" s="387"/>
      <c r="FP57" s="387"/>
      <c r="FQ57" s="339"/>
      <c r="FR57" s="1742" t="s">
        <v>9739</v>
      </c>
      <c r="FS57" s="1742" t="s">
        <v>9757</v>
      </c>
      <c r="FT57" s="1740" t="s">
        <v>9754</v>
      </c>
      <c r="FU57" s="1740" t="s">
        <v>9741</v>
      </c>
      <c r="FV57" s="131" t="s">
        <v>9747</v>
      </c>
      <c r="FW57" s="131" t="s">
        <v>9739</v>
      </c>
      <c r="FX57" s="1740"/>
      <c r="FY57" s="1742"/>
      <c r="FZ57" s="339" t="s">
        <v>9783</v>
      </c>
      <c r="GA57" s="131"/>
      <c r="GB57" s="387"/>
      <c r="GC57" s="387" t="s">
        <v>9769</v>
      </c>
      <c r="GD57" s="1741" t="s">
        <v>9747</v>
      </c>
      <c r="GE57" s="131" t="s">
        <v>9761</v>
      </c>
      <c r="GF57" s="1742"/>
      <c r="GG57" s="131"/>
      <c r="GH57" s="387"/>
      <c r="GI57" s="448" t="s">
        <v>9734</v>
      </c>
      <c r="GJ57" s="339"/>
      <c r="GK57" s="339"/>
      <c r="GL57" s="1739"/>
      <c r="GM57" s="387"/>
      <c r="GN57" s="387" t="s">
        <v>9751</v>
      </c>
      <c r="GO57" s="448" t="s">
        <v>9767</v>
      </c>
      <c r="GP57" s="1765"/>
      <c r="GQ57" s="1744" t="s">
        <v>9754</v>
      </c>
      <c r="GR57" s="1742" t="s">
        <v>9728</v>
      </c>
      <c r="GS57" s="1743" t="s">
        <v>9734</v>
      </c>
      <c r="GT57" s="1744"/>
      <c r="GU57" s="387"/>
      <c r="GV57" s="339" t="s">
        <v>9739</v>
      </c>
      <c r="GW57" s="1754"/>
      <c r="GX57" s="448" t="s">
        <v>9754</v>
      </c>
      <c r="GY57" s="339" t="s">
        <v>9752</v>
      </c>
      <c r="GZ57" s="448" t="s">
        <v>9745</v>
      </c>
      <c r="HA57" s="1743" t="s">
        <v>9764</v>
      </c>
      <c r="HB57" s="1742" t="s">
        <v>9728</v>
      </c>
      <c r="HC57" s="448" t="s">
        <v>9706</v>
      </c>
      <c r="HD57" s="1743"/>
      <c r="HE57" s="1739" t="s">
        <v>9767</v>
      </c>
      <c r="HF57" s="159" t="s">
        <v>9770</v>
      </c>
      <c r="HG57" s="387" t="s">
        <v>9747</v>
      </c>
      <c r="HH57" s="1744" t="s">
        <v>9740</v>
      </c>
      <c r="HI57" s="1741" t="s">
        <v>9747</v>
      </c>
      <c r="HJ57" s="1741" t="s">
        <v>9756</v>
      </c>
      <c r="HK57" s="1739"/>
      <c r="HL57" s="1739" t="s">
        <v>9739</v>
      </c>
      <c r="HM57" s="1741"/>
      <c r="HN57" s="1741" t="s">
        <v>9754</v>
      </c>
      <c r="HO57" s="1742" t="s">
        <v>9734</v>
      </c>
      <c r="HP57" s="1743"/>
      <c r="HQ57" s="1739" t="s">
        <v>9762</v>
      </c>
      <c r="HR57" s="1755"/>
      <c r="HS57" s="192" t="s">
        <v>9773</v>
      </c>
      <c r="HT57" s="1743" t="s">
        <v>9754</v>
      </c>
      <c r="HU57" s="1744" t="s">
        <v>9754</v>
      </c>
      <c r="HV57" s="1744" t="s">
        <v>9739</v>
      </c>
      <c r="HW57" s="387"/>
      <c r="HX57" s="387"/>
      <c r="HY57" s="1743"/>
      <c r="HZ57" s="1739" t="s">
        <v>9754</v>
      </c>
      <c r="IA57" s="1741" t="s">
        <v>9743</v>
      </c>
      <c r="IB57" s="1740"/>
      <c r="IC57" s="448"/>
      <c r="ID57" s="1741"/>
      <c r="IE57" s="1742" t="s">
        <v>9757</v>
      </c>
      <c r="IF57" s="339"/>
      <c r="IG57" s="1739"/>
      <c r="IH57" s="1742" t="s">
        <v>9750</v>
      </c>
      <c r="II57" s="1742" t="s">
        <v>9718</v>
      </c>
      <c r="IJ57" s="339" t="s">
        <v>9767</v>
      </c>
      <c r="IK57" s="1741" t="s">
        <v>9754</v>
      </c>
      <c r="IL57" s="387" t="s">
        <v>9761</v>
      </c>
      <c r="IM57" s="131" t="s">
        <v>9769</v>
      </c>
      <c r="IN57" s="1743" t="s">
        <v>9769</v>
      </c>
      <c r="IO57" s="131" t="s">
        <v>9722</v>
      </c>
      <c r="IP57" s="1740" t="s">
        <v>9716</v>
      </c>
      <c r="IQ57" s="1739" t="s">
        <v>9726</v>
      </c>
      <c r="IR57" s="131" t="s">
        <v>9745</v>
      </c>
      <c r="IS57" s="131" t="s">
        <v>9747</v>
      </c>
      <c r="IT57" s="131" t="s">
        <v>9739</v>
      </c>
      <c r="IU57" s="131" t="s">
        <v>9729</v>
      </c>
      <c r="IV57" s="1739"/>
      <c r="IW57" s="1739" t="s">
        <v>9754</v>
      </c>
      <c r="IX57" s="1739" t="s">
        <v>9745</v>
      </c>
      <c r="IY57" s="387"/>
      <c r="IZ57" s="387" t="s">
        <v>9765</v>
      </c>
      <c r="JA57" s="387" t="s">
        <v>9751</v>
      </c>
      <c r="JB57" s="1743"/>
      <c r="JC57" s="1743" t="s">
        <v>9769</v>
      </c>
      <c r="JD57" s="1741" t="s">
        <v>9761</v>
      </c>
      <c r="JE57" s="1740" t="s">
        <v>9757</v>
      </c>
      <c r="JF57" s="1739"/>
      <c r="JG57" s="1740"/>
      <c r="JH57" s="192" t="s">
        <v>9689</v>
      </c>
      <c r="JI57" s="448"/>
      <c r="JJ57" s="269"/>
      <c r="JK57" s="131"/>
      <c r="JL57" s="131" t="s">
        <v>9754</v>
      </c>
      <c r="JM57" s="131" t="s">
        <v>9734</v>
      </c>
      <c r="JN57" s="1741"/>
      <c r="JO57" s="1741" t="s">
        <v>9764</v>
      </c>
      <c r="JP57" s="1741" t="s">
        <v>9745</v>
      </c>
      <c r="JQ57" s="387"/>
      <c r="JR57" s="387"/>
      <c r="JS57" s="1740"/>
      <c r="JT57" s="339" t="s">
        <v>9761</v>
      </c>
      <c r="JU57" s="1740" t="s">
        <v>9734</v>
      </c>
      <c r="JV57" s="1740" t="s">
        <v>9734</v>
      </c>
      <c r="JW57" s="1740" t="s">
        <v>9741</v>
      </c>
      <c r="JX57" s="387"/>
      <c r="JY57" s="387" t="s">
        <v>9754</v>
      </c>
      <c r="JZ57" s="1741"/>
      <c r="KA57" s="131" t="s">
        <v>9745</v>
      </c>
      <c r="KB57" s="1741" t="s">
        <v>9751</v>
      </c>
      <c r="KC57" s="1740" t="s">
        <v>9728</v>
      </c>
      <c r="KD57" s="1741" t="s">
        <v>9748</v>
      </c>
      <c r="KE57" s="1743"/>
      <c r="KF57" s="339" t="s">
        <v>9767</v>
      </c>
      <c r="KG57" s="193" t="s">
        <v>9788</v>
      </c>
      <c r="KH57" s="1742"/>
      <c r="KI57" s="387" t="s">
        <v>9739</v>
      </c>
      <c r="KJ57" s="387" t="s">
        <v>9741</v>
      </c>
      <c r="KK57" s="339"/>
      <c r="KL57" s="1741" t="s">
        <v>9761</v>
      </c>
      <c r="KM57" s="387"/>
      <c r="KN57" s="1743" t="s">
        <v>9769</v>
      </c>
      <c r="KO57" s="1742" t="s">
        <v>9757</v>
      </c>
      <c r="KP57" s="448" t="s">
        <v>9734</v>
      </c>
      <c r="KQ57" s="448" t="s">
        <v>9740</v>
      </c>
      <c r="KR57" s="1744" t="s">
        <v>9745</v>
      </c>
      <c r="KS57" s="1743" t="s">
        <v>9766</v>
      </c>
      <c r="KT57" s="1743" t="s">
        <v>9767</v>
      </c>
      <c r="KU57" s="1743" t="s">
        <v>9722</v>
      </c>
      <c r="KV57" s="387" t="s">
        <v>9749</v>
      </c>
      <c r="KW57" s="1739" t="s">
        <v>9734</v>
      </c>
      <c r="KX57" s="131"/>
      <c r="KY57" s="339"/>
      <c r="KZ57" s="339"/>
      <c r="LA57" s="339"/>
      <c r="LB57" s="1743" t="s">
        <v>9739</v>
      </c>
      <c r="LC57" s="448" t="s">
        <v>9739</v>
      </c>
      <c r="LD57" s="131"/>
      <c r="LE57" s="131"/>
      <c r="LF57" s="448" t="s">
        <v>9769</v>
      </c>
      <c r="LG57" s="1739"/>
      <c r="LH57" s="387" t="s">
        <v>9754</v>
      </c>
      <c r="LI57" s="387"/>
      <c r="LJ57" s="387"/>
      <c r="LK57" s="339"/>
      <c r="LL57" s="1739" t="s">
        <v>9747</v>
      </c>
      <c r="LM57" s="1741" t="s">
        <v>9754</v>
      </c>
      <c r="LN57" s="1744" t="s">
        <v>9739</v>
      </c>
      <c r="LO57" s="448" t="s">
        <v>9729</v>
      </c>
      <c r="LP57" s="1741" t="s">
        <v>9734</v>
      </c>
      <c r="LQ57" s="1741"/>
      <c r="LR57" s="131" t="s">
        <v>9769</v>
      </c>
      <c r="LS57" s="131" t="s">
        <v>9739</v>
      </c>
      <c r="LT57" s="131" t="s">
        <v>9767</v>
      </c>
      <c r="LU57" s="131" t="s">
        <v>9749</v>
      </c>
      <c r="LV57" s="387"/>
      <c r="LW57" s="387" t="s">
        <v>9739</v>
      </c>
      <c r="LX57" s="1740" t="s">
        <v>9710</v>
      </c>
      <c r="LY57" s="1744" t="s">
        <v>9769</v>
      </c>
      <c r="LZ57" s="339" t="s">
        <v>9752</v>
      </c>
      <c r="MA57" s="1739" t="s">
        <v>9744</v>
      </c>
      <c r="MB57" s="1743"/>
      <c r="MC57" s="387"/>
      <c r="MD57" s="1739" t="s">
        <v>9754</v>
      </c>
      <c r="ME57" s="1739" t="s">
        <v>9751</v>
      </c>
      <c r="MF57" s="1741" t="s">
        <v>9743</v>
      </c>
      <c r="MG57" s="1744" t="s">
        <v>9760</v>
      </c>
      <c r="MH57" s="448"/>
      <c r="MI57" s="131" t="s">
        <v>9747</v>
      </c>
      <c r="MJ57" s="159" t="s">
        <v>9770</v>
      </c>
      <c r="MK57" s="1743" t="s">
        <v>9747</v>
      </c>
      <c r="ML57" s="1741"/>
      <c r="MM57" s="1762"/>
      <c r="MN57" s="1740" t="s">
        <v>9734</v>
      </c>
      <c r="MO57" s="131" t="s">
        <v>9728</v>
      </c>
      <c r="MP57" s="1744" t="s">
        <v>9764</v>
      </c>
      <c r="MQ57" s="1744" t="s">
        <v>9737</v>
      </c>
      <c r="MR57" s="1744" t="s">
        <v>9739</v>
      </c>
      <c r="MS57" s="1744" t="s">
        <v>9740</v>
      </c>
      <c r="MT57" s="131" t="s">
        <v>9767</v>
      </c>
      <c r="MU57" s="387" t="s">
        <v>9757</v>
      </c>
      <c r="MV57" s="1740" t="s">
        <v>9724</v>
      </c>
      <c r="MW57" s="387"/>
      <c r="MX57" s="1743"/>
      <c r="MY57" s="1743" t="s">
        <v>9739</v>
      </c>
      <c r="MZ57" s="387"/>
      <c r="NA57" s="387"/>
      <c r="NB57" s="387" t="s">
        <v>9765</v>
      </c>
      <c r="NC57" s="387"/>
      <c r="ND57" s="387"/>
      <c r="NE57" s="1742"/>
      <c r="NF57" s="1743" t="s">
        <v>9754</v>
      </c>
      <c r="NG57" s="1742"/>
      <c r="NH57" s="387"/>
      <c r="NI57" s="1740"/>
      <c r="NJ57" s="387" t="s">
        <v>9739</v>
      </c>
      <c r="NK57" s="387"/>
      <c r="NL57" s="387" t="s">
        <v>9757</v>
      </c>
      <c r="NM57" s="387" t="s">
        <v>9739</v>
      </c>
      <c r="NN57" s="1741" t="s">
        <v>9743</v>
      </c>
      <c r="NO57" s="387" t="s">
        <v>9751</v>
      </c>
      <c r="NP57" s="1743" t="s">
        <v>9743</v>
      </c>
      <c r="NQ57" s="1739" t="s">
        <v>9726</v>
      </c>
      <c r="NR57" s="387" t="s">
        <v>9726</v>
      </c>
      <c r="NS57" s="387" t="s">
        <v>9747</v>
      </c>
      <c r="NT57" s="1739" t="s">
        <v>9732</v>
      </c>
      <c r="NU57" s="131" t="s">
        <v>9748</v>
      </c>
      <c r="NV57" s="339" t="s">
        <v>9737</v>
      </c>
      <c r="NW57" s="1739" t="s">
        <v>9724</v>
      </c>
      <c r="NX57" s="1739" t="s">
        <v>9724</v>
      </c>
      <c r="NY57" s="1739" t="s">
        <v>9724</v>
      </c>
      <c r="NZ57" s="1739" t="s">
        <v>9724</v>
      </c>
      <c r="OA57" s="131" t="s">
        <v>9783</v>
      </c>
      <c r="OB57" s="131" t="s">
        <v>9783</v>
      </c>
      <c r="OC57" s="131" t="s">
        <v>9734</v>
      </c>
      <c r="OD57" s="1741" t="s">
        <v>9747</v>
      </c>
      <c r="OE57" s="1741" t="s">
        <v>9751</v>
      </c>
      <c r="OF57" s="1741" t="s">
        <v>9738</v>
      </c>
      <c r="OG57" s="387"/>
      <c r="OH57" s="387" t="s">
        <v>9768</v>
      </c>
      <c r="OI57" s="387" t="s">
        <v>9751</v>
      </c>
      <c r="OJ57" s="1741"/>
      <c r="OK57" s="1741"/>
      <c r="OL57" s="1741"/>
      <c r="OM57" s="1741" t="s">
        <v>9769</v>
      </c>
      <c r="ON57" s="1741" t="s">
        <v>9739</v>
      </c>
      <c r="OO57" s="1739"/>
      <c r="OP57" s="1739"/>
      <c r="OQ57" s="387"/>
      <c r="OR57" s="387"/>
      <c r="OS57" s="387"/>
      <c r="OT57" s="131"/>
      <c r="OU57" s="131"/>
      <c r="OV57" s="387" t="s">
        <v>9760</v>
      </c>
      <c r="OW57" s="387" t="s">
        <v>9732</v>
      </c>
      <c r="OX57" s="1743" t="s">
        <v>9734</v>
      </c>
      <c r="OY57" s="1743" t="s">
        <v>9760</v>
      </c>
      <c r="OZ57" s="131"/>
      <c r="PA57" s="131"/>
      <c r="PB57" s="339"/>
      <c r="PC57" s="1742"/>
      <c r="PD57" s="339" t="s">
        <v>9754</v>
      </c>
      <c r="PE57" s="339"/>
      <c r="PF57" s="235" t="s">
        <v>9773</v>
      </c>
      <c r="PG57" s="1740"/>
      <c r="PH57" s="1741"/>
      <c r="PI57" s="1741" t="s">
        <v>9747</v>
      </c>
      <c r="PJ57" s="1742"/>
      <c r="PK57" s="1742"/>
      <c r="PL57" s="448"/>
      <c r="PM57" s="448" t="s">
        <v>9766</v>
      </c>
      <c r="PN57" s="448" t="s">
        <v>9741</v>
      </c>
      <c r="PO57" s="448" t="s">
        <v>9739</v>
      </c>
      <c r="PP57" s="448" t="s">
        <v>9739</v>
      </c>
      <c r="PQ57" s="1741" t="s">
        <v>9739</v>
      </c>
      <c r="PR57" s="1741" t="s">
        <v>9739</v>
      </c>
      <c r="PS57" s="448" t="s">
        <v>9737</v>
      </c>
      <c r="PT57" s="1744" t="s">
        <v>9739</v>
      </c>
      <c r="PU57" s="1743" t="s">
        <v>9747</v>
      </c>
      <c r="PV57" s="1743" t="s">
        <v>9743</v>
      </c>
      <c r="PW57" s="339" t="s">
        <v>9747</v>
      </c>
      <c r="PX57" s="448" t="s">
        <v>9754</v>
      </c>
      <c r="PY57" s="448" t="s">
        <v>9739</v>
      </c>
      <c r="PZ57" s="131" t="s">
        <v>9739</v>
      </c>
      <c r="QA57" s="131" t="s">
        <v>9742</v>
      </c>
      <c r="QB57" s="1741"/>
      <c r="QC57" s="1742" t="s">
        <v>9729</v>
      </c>
      <c r="QD57" s="1742" t="s">
        <v>9757</v>
      </c>
      <c r="QE57" s="1744"/>
      <c r="QF57" s="448" t="s">
        <v>9739</v>
      </c>
      <c r="QG57" s="387" t="s">
        <v>9767</v>
      </c>
      <c r="QH57" s="387" t="s">
        <v>9754</v>
      </c>
      <c r="QI57" s="387" t="s">
        <v>9745</v>
      </c>
      <c r="QJ57" s="1744" t="s">
        <v>9734</v>
      </c>
      <c r="QK57" s="387" t="s">
        <v>9747</v>
      </c>
      <c r="QL57" s="387" t="s">
        <v>9740</v>
      </c>
      <c r="QM57" s="1741"/>
      <c r="QN57" s="1741"/>
      <c r="QO57" s="448" t="s">
        <v>9739</v>
      </c>
      <c r="QP57" s="448" t="s">
        <v>9745</v>
      </c>
      <c r="QQ57" s="387" t="s">
        <v>9751</v>
      </c>
      <c r="QR57" s="387" t="s">
        <v>9760</v>
      </c>
      <c r="QS57" s="159" t="s">
        <v>9781</v>
      </c>
      <c r="QT57" s="387"/>
      <c r="QU57" s="159" t="s">
        <v>9773</v>
      </c>
      <c r="QV57" s="387"/>
      <c r="QW57" s="1740" t="s">
        <v>9754</v>
      </c>
      <c r="QX57" s="1740" t="s">
        <v>9741</v>
      </c>
      <c r="QY57" s="1744" t="s">
        <v>9733</v>
      </c>
      <c r="QZ57" s="1761"/>
      <c r="RA57" s="1742" t="s">
        <v>9748</v>
      </c>
      <c r="RB57" s="1743" t="s">
        <v>9732</v>
      </c>
      <c r="RC57" s="387" t="s">
        <v>9743</v>
      </c>
      <c r="RD57" s="339" t="s">
        <v>9737</v>
      </c>
      <c r="RE57" s="1739" t="s">
        <v>9734</v>
      </c>
      <c r="RF57" s="1740" t="s">
        <v>9741</v>
      </c>
      <c r="RG57" s="192" t="s">
        <v>9689</v>
      </c>
      <c r="RH57" s="131" t="s">
        <v>9754</v>
      </c>
      <c r="RI57" s="192" t="s">
        <v>9775</v>
      </c>
      <c r="RJ57" s="448" t="s">
        <v>9744</v>
      </c>
      <c r="RK57" s="1741" t="s">
        <v>9754</v>
      </c>
      <c r="RL57" s="1739" t="s">
        <v>9739</v>
      </c>
      <c r="RM57" s="1740" t="s">
        <v>9724</v>
      </c>
      <c r="RN57" s="1743" t="s">
        <v>9754</v>
      </c>
      <c r="RO57" s="1744" t="s">
        <v>9733</v>
      </c>
      <c r="RP57" s="1740" t="s">
        <v>9737</v>
      </c>
      <c r="RQ57" s="1739"/>
      <c r="RR57" s="1739"/>
      <c r="RS57" s="1739"/>
      <c r="RT57" s="1739"/>
      <c r="RU57" s="1739"/>
      <c r="RV57" s="1739"/>
      <c r="RW57" s="339" t="s">
        <v>9741</v>
      </c>
      <c r="RX57" s="1742" t="s">
        <v>9741</v>
      </c>
      <c r="RY57" s="387" t="s">
        <v>9732</v>
      </c>
      <c r="RZ57" s="1740" t="s">
        <v>9736</v>
      </c>
      <c r="SA57" s="448" t="s">
        <v>9748</v>
      </c>
      <c r="SB57" s="1741" t="s">
        <v>9764</v>
      </c>
      <c r="SC57" s="1740" t="s">
        <v>9747</v>
      </c>
      <c r="SD57" s="1744" t="s">
        <v>9741</v>
      </c>
      <c r="SE57" s="1744" t="s">
        <v>9741</v>
      </c>
      <c r="SF57" s="339" t="s">
        <v>9757</v>
      </c>
      <c r="SG57" s="387"/>
      <c r="SH57" s="387" t="s">
        <v>9758</v>
      </c>
      <c r="SI57" s="1744" t="s">
        <v>9732</v>
      </c>
      <c r="SJ57" s="131"/>
      <c r="SK57" s="131"/>
      <c r="SL57" s="1743"/>
    </row>
    <row r="58" ht="15.75" customHeight="1">
      <c r="A58" s="1517"/>
      <c r="B58" s="148"/>
      <c r="C58" s="148"/>
      <c r="D58" s="148"/>
      <c r="E58" s="148" t="s">
        <v>9766</v>
      </c>
      <c r="F58" s="148" t="s">
        <v>9766</v>
      </c>
      <c r="G58" s="148" t="s">
        <v>9753</v>
      </c>
      <c r="H58" s="148"/>
      <c r="I58" s="148"/>
      <c r="J58" s="148" t="s">
        <v>9747</v>
      </c>
      <c r="K58" s="148"/>
      <c r="L58" s="148"/>
      <c r="M58" s="148" t="s">
        <v>9768</v>
      </c>
      <c r="N58" s="148"/>
      <c r="O58" s="148"/>
      <c r="P58" s="148" t="s">
        <v>9767</v>
      </c>
      <c r="Q58" s="148"/>
      <c r="R58" s="148"/>
      <c r="S58" s="148"/>
      <c r="T58" s="148"/>
      <c r="U58" s="148" t="s">
        <v>9758</v>
      </c>
      <c r="V58" s="148"/>
      <c r="W58" s="148"/>
      <c r="X58" s="148"/>
      <c r="Y58" s="148" t="s">
        <v>9766</v>
      </c>
      <c r="Z58" s="253"/>
      <c r="AA58" s="148" t="s">
        <v>9766</v>
      </c>
      <c r="AB58" s="148" t="s">
        <v>9754</v>
      </c>
      <c r="AC58" s="148" t="s">
        <v>9755</v>
      </c>
      <c r="AD58" s="148" t="s">
        <v>9769</v>
      </c>
      <c r="AE58" s="148" t="s">
        <v>9769</v>
      </c>
      <c r="AF58" s="148" t="s">
        <v>9722</v>
      </c>
      <c r="AG58" s="148"/>
      <c r="AH58" s="148"/>
      <c r="AI58" s="148" t="s">
        <v>9706</v>
      </c>
      <c r="AJ58" s="148" t="s">
        <v>9728</v>
      </c>
      <c r="AK58" s="148" t="s">
        <v>9724</v>
      </c>
      <c r="AL58" s="148"/>
      <c r="AM58" s="192" t="s">
        <v>9789</v>
      </c>
      <c r="AN58" s="148" t="s">
        <v>9729</v>
      </c>
      <c r="AO58" s="148" t="s">
        <v>9728</v>
      </c>
      <c r="AP58" s="159" t="s">
        <v>9773</v>
      </c>
      <c r="AQ58" s="148" t="s">
        <v>9768</v>
      </c>
      <c r="AR58" s="148"/>
      <c r="AS58" s="148"/>
      <c r="AT58" s="148"/>
      <c r="AU58" s="276"/>
      <c r="AV58" s="148" t="s">
        <v>9767</v>
      </c>
      <c r="AW58" s="148"/>
      <c r="AX58" s="235" t="s">
        <v>9773</v>
      </c>
      <c r="AY58" s="148"/>
      <c r="AZ58" s="148"/>
      <c r="BA58" s="148" t="s">
        <v>9747</v>
      </c>
      <c r="BB58" s="148" t="s">
        <v>9743</v>
      </c>
      <c r="BC58" s="148" t="s">
        <v>9766</v>
      </c>
      <c r="BD58" s="148" t="s">
        <v>9747</v>
      </c>
      <c r="BE58" s="148" t="s">
        <v>9749</v>
      </c>
      <c r="BF58" s="148" t="s">
        <v>9734</v>
      </c>
      <c r="BG58" s="148"/>
      <c r="BH58" s="148"/>
      <c r="BI58" s="148"/>
      <c r="BJ58" s="148"/>
      <c r="BK58" s="148" t="s">
        <v>9749</v>
      </c>
      <c r="BL58" s="148" t="s">
        <v>9737</v>
      </c>
      <c r="BM58" s="148" t="s">
        <v>9737</v>
      </c>
      <c r="BN58" s="148" t="s">
        <v>9733</v>
      </c>
      <c r="BO58" s="148" t="s">
        <v>9769</v>
      </c>
      <c r="BP58" s="148" t="s">
        <v>9769</v>
      </c>
      <c r="BQ58" s="148" t="s">
        <v>9747</v>
      </c>
      <c r="BR58" s="148"/>
      <c r="BS58" s="148"/>
      <c r="BT58" s="148"/>
      <c r="BU58" s="148"/>
      <c r="BV58" s="148"/>
      <c r="BW58" s="148" t="s">
        <v>9769</v>
      </c>
      <c r="BX58" s="148" t="s">
        <v>9769</v>
      </c>
      <c r="BY58" s="148" t="s">
        <v>9739</v>
      </c>
      <c r="BZ58" s="148"/>
      <c r="CA58" s="148"/>
      <c r="CB58" s="148" t="s">
        <v>9734</v>
      </c>
      <c r="CC58" s="148" t="s">
        <v>9732</v>
      </c>
      <c r="CD58" s="148"/>
      <c r="CE58" s="148"/>
      <c r="CF58" s="193" t="s">
        <v>9773</v>
      </c>
      <c r="CG58" s="148"/>
      <c r="CH58" s="148"/>
      <c r="CI58" s="148"/>
      <c r="CJ58" s="148"/>
      <c r="CK58" s="148" t="s">
        <v>9749</v>
      </c>
      <c r="CL58" s="148" t="s">
        <v>9740</v>
      </c>
      <c r="CM58" s="148"/>
      <c r="CN58" s="148"/>
      <c r="CO58" s="148" t="s">
        <v>9747</v>
      </c>
      <c r="CP58" s="148" t="s">
        <v>9764</v>
      </c>
      <c r="CQ58" s="148" t="s">
        <v>9733</v>
      </c>
      <c r="CR58" s="148" t="s">
        <v>9754</v>
      </c>
      <c r="CS58" s="148" t="s">
        <v>9734</v>
      </c>
      <c r="CT58" s="148" t="s">
        <v>9737</v>
      </c>
      <c r="CU58" s="148" t="s">
        <v>9769</v>
      </c>
      <c r="CV58" s="148" t="s">
        <v>9761</v>
      </c>
      <c r="CW58" s="148"/>
      <c r="CX58" s="148"/>
      <c r="CY58" s="148" t="s">
        <v>9766</v>
      </c>
      <c r="CZ58" s="148" t="s">
        <v>9754</v>
      </c>
      <c r="DA58" s="148" t="s">
        <v>9747</v>
      </c>
      <c r="DB58" s="148" t="s">
        <v>9742</v>
      </c>
      <c r="DC58" s="148"/>
      <c r="DD58" s="148"/>
      <c r="DE58" s="148" t="s">
        <v>9732</v>
      </c>
      <c r="DF58" s="148" t="s">
        <v>9754</v>
      </c>
      <c r="DG58" s="148" t="s">
        <v>9739</v>
      </c>
      <c r="DH58" s="148" t="s">
        <v>9742</v>
      </c>
      <c r="DI58" s="148" t="s">
        <v>9736</v>
      </c>
      <c r="DJ58" s="148" t="s">
        <v>9722</v>
      </c>
      <c r="DK58" s="148"/>
      <c r="DL58" s="148" t="s">
        <v>9706</v>
      </c>
      <c r="DM58" s="148"/>
      <c r="DN58" s="148"/>
      <c r="DO58" s="148"/>
      <c r="DP58" s="148"/>
      <c r="DQ58" s="148"/>
      <c r="DR58" s="148" t="s">
        <v>9754</v>
      </c>
      <c r="DS58" s="148" t="s">
        <v>9730</v>
      </c>
      <c r="DT58" s="159" t="s">
        <v>9770</v>
      </c>
      <c r="DU58" s="148" t="s">
        <v>9740</v>
      </c>
      <c r="DV58" s="148" t="s">
        <v>9769</v>
      </c>
      <c r="DW58" s="148"/>
      <c r="DX58" s="148" t="s">
        <v>9747</v>
      </c>
      <c r="DY58" s="148" t="s">
        <v>9739</v>
      </c>
      <c r="DZ58" s="148"/>
      <c r="EA58" s="148" t="s">
        <v>9734</v>
      </c>
      <c r="EB58" s="148" t="s">
        <v>9766</v>
      </c>
      <c r="EC58" s="148"/>
      <c r="ED58" s="148"/>
      <c r="EE58" s="1764" t="s">
        <v>9763</v>
      </c>
      <c r="EF58" s="1766" t="s">
        <v>9763</v>
      </c>
      <c r="EG58" s="360" t="s">
        <v>9790</v>
      </c>
      <c r="EH58" s="148" t="s">
        <v>9784</v>
      </c>
      <c r="EI58" s="148"/>
      <c r="EJ58" s="148" t="s">
        <v>9765</v>
      </c>
      <c r="EK58" s="148"/>
      <c r="EL58" s="148" t="s">
        <v>9739</v>
      </c>
      <c r="EM58" s="148" t="s">
        <v>9760</v>
      </c>
      <c r="EN58" s="148" t="s">
        <v>9746</v>
      </c>
      <c r="EO58" s="276"/>
      <c r="EP58" s="276"/>
      <c r="EQ58" s="276"/>
      <c r="ER58" s="148" t="s">
        <v>9765</v>
      </c>
      <c r="ES58" s="148" t="s">
        <v>9765</v>
      </c>
      <c r="ET58" s="148" t="s">
        <v>9716</v>
      </c>
      <c r="EU58" s="148" t="s">
        <v>9723</v>
      </c>
      <c r="EV58" s="148"/>
      <c r="EW58" s="148"/>
      <c r="EX58" s="253"/>
      <c r="EY58" s="148" t="s">
        <v>9769</v>
      </c>
      <c r="EZ58" s="148"/>
      <c r="FA58" s="148"/>
      <c r="FB58" s="148" t="s">
        <v>9739</v>
      </c>
      <c r="FC58" s="148" t="s">
        <v>9765</v>
      </c>
      <c r="FD58" s="148" t="s">
        <v>9761</v>
      </c>
      <c r="FE58" s="148" t="s">
        <v>9745</v>
      </c>
      <c r="FF58" s="148" t="s">
        <v>9754</v>
      </c>
      <c r="FG58" s="148" t="s">
        <v>9734</v>
      </c>
      <c r="FH58" s="148"/>
      <c r="FI58" s="193" t="s">
        <v>9774</v>
      </c>
      <c r="FJ58" s="276"/>
      <c r="FK58" s="148" t="s">
        <v>9747</v>
      </c>
      <c r="FL58" s="148"/>
      <c r="FM58" s="148"/>
      <c r="FN58" s="148" t="s">
        <v>9754</v>
      </c>
      <c r="FO58" s="148"/>
      <c r="FP58" s="148"/>
      <c r="FQ58" s="148"/>
      <c r="FR58" s="148" t="s">
        <v>9757</v>
      </c>
      <c r="FS58" s="148" t="s">
        <v>9747</v>
      </c>
      <c r="FT58" s="148" t="s">
        <v>9769</v>
      </c>
      <c r="FU58" s="148" t="s">
        <v>9737</v>
      </c>
      <c r="FV58" s="148" t="s">
        <v>9758</v>
      </c>
      <c r="FW58" s="148" t="s">
        <v>9757</v>
      </c>
      <c r="FX58" s="148"/>
      <c r="FY58" s="148"/>
      <c r="FZ58" s="276"/>
      <c r="GA58" s="148"/>
      <c r="GB58" s="148"/>
      <c r="GC58" s="148" t="s">
        <v>9765</v>
      </c>
      <c r="GD58" s="148" t="s">
        <v>9754</v>
      </c>
      <c r="GE58" s="148" t="s">
        <v>9766</v>
      </c>
      <c r="GF58" s="148"/>
      <c r="GG58" s="148"/>
      <c r="GH58" s="148"/>
      <c r="GI58" s="148" t="s">
        <v>9739</v>
      </c>
      <c r="GJ58" s="148"/>
      <c r="GK58" s="148"/>
      <c r="GL58" s="148"/>
      <c r="GM58" s="148"/>
      <c r="GN58" s="148" t="s">
        <v>9739</v>
      </c>
      <c r="GO58" s="148"/>
      <c r="GP58" s="159" t="s">
        <v>9763</v>
      </c>
      <c r="GQ58" s="148" t="s">
        <v>9759</v>
      </c>
      <c r="GR58" s="148" t="s">
        <v>9732</v>
      </c>
      <c r="GS58" s="148" t="s">
        <v>9764</v>
      </c>
      <c r="GT58" s="148"/>
      <c r="GU58" s="148"/>
      <c r="GV58" s="148" t="s">
        <v>9757</v>
      </c>
      <c r="GW58" s="159" t="s">
        <v>9770</v>
      </c>
      <c r="GX58" s="148" t="s">
        <v>9762</v>
      </c>
      <c r="GY58" s="148" t="s">
        <v>9742</v>
      </c>
      <c r="GZ58" s="148" t="s">
        <v>9742</v>
      </c>
      <c r="HA58" s="148" t="s">
        <v>9751</v>
      </c>
      <c r="HB58" s="148" t="s">
        <v>9732</v>
      </c>
      <c r="HC58" s="148" t="s">
        <v>9710</v>
      </c>
      <c r="HD58" s="148"/>
      <c r="HE58" s="148" t="s">
        <v>9766</v>
      </c>
      <c r="HF58" s="253"/>
      <c r="HG58" s="148" t="s">
        <v>9754</v>
      </c>
      <c r="HH58" s="148" t="s">
        <v>9756</v>
      </c>
      <c r="HI58" s="148" t="s">
        <v>9754</v>
      </c>
      <c r="HJ58" s="148" t="s">
        <v>9745</v>
      </c>
      <c r="HK58" s="148"/>
      <c r="HL58" s="148" t="s">
        <v>9747</v>
      </c>
      <c r="HM58" s="148"/>
      <c r="HN58" s="148" t="s">
        <v>9766</v>
      </c>
      <c r="HO58" s="148" t="s">
        <v>9751</v>
      </c>
      <c r="HP58" s="148"/>
      <c r="HQ58" s="148" t="s">
        <v>9761</v>
      </c>
      <c r="HR58" s="148"/>
      <c r="HS58" s="193" t="s">
        <v>9779</v>
      </c>
      <c r="HT58" s="148" t="s">
        <v>9762</v>
      </c>
      <c r="HU58" s="148" t="s">
        <v>9769</v>
      </c>
      <c r="HV58" s="148" t="s">
        <v>9747</v>
      </c>
      <c r="HW58" s="148"/>
      <c r="HX58" s="148"/>
      <c r="HY58" s="148"/>
      <c r="HZ58" s="148" t="s">
        <v>9784</v>
      </c>
      <c r="IA58" s="148" t="s">
        <v>9734</v>
      </c>
      <c r="IB58" s="148"/>
      <c r="IC58" s="148"/>
      <c r="ID58" s="148"/>
      <c r="IE58" s="148" t="s">
        <v>9747</v>
      </c>
      <c r="IF58" s="148"/>
      <c r="IG58" s="148"/>
      <c r="IH58" s="148" t="s">
        <v>9752</v>
      </c>
      <c r="II58" s="148" t="s">
        <v>9722</v>
      </c>
      <c r="IJ58" s="148" t="s">
        <v>9766</v>
      </c>
      <c r="IK58" s="148" t="s">
        <v>9767</v>
      </c>
      <c r="IL58" s="148" t="s">
        <v>9769</v>
      </c>
      <c r="IM58" s="148"/>
      <c r="IN58" s="148"/>
      <c r="IO58" s="148" t="s">
        <v>9706</v>
      </c>
      <c r="IP58" s="148" t="s">
        <v>9721</v>
      </c>
      <c r="IQ58" s="148" t="s">
        <v>9732</v>
      </c>
      <c r="IR58" s="148" t="s">
        <v>9742</v>
      </c>
      <c r="IS58" s="148" t="s">
        <v>9754</v>
      </c>
      <c r="IT58" s="148" t="s">
        <v>9757</v>
      </c>
      <c r="IU58" s="148" t="s">
        <v>9741</v>
      </c>
      <c r="IV58" s="148"/>
      <c r="IW58" s="148" t="s">
        <v>9767</v>
      </c>
      <c r="IX58" s="148" t="s">
        <v>9734</v>
      </c>
      <c r="IY58" s="148"/>
      <c r="IZ58" s="148"/>
      <c r="JA58" s="148" t="s">
        <v>9739</v>
      </c>
      <c r="JB58" s="148"/>
      <c r="JC58" s="148"/>
      <c r="JD58" s="148" t="s">
        <v>9769</v>
      </c>
      <c r="JE58" s="148" t="s">
        <v>9747</v>
      </c>
      <c r="JF58" s="148"/>
      <c r="JG58" s="148"/>
      <c r="JH58" s="235" t="s">
        <v>9773</v>
      </c>
      <c r="JI58" s="148"/>
      <c r="JJ58" s="192" t="s">
        <v>9689</v>
      </c>
      <c r="JK58" s="1746"/>
      <c r="JL58" s="1746" t="s">
        <v>9761</v>
      </c>
      <c r="JM58" s="1746" t="s">
        <v>9739</v>
      </c>
      <c r="JN58" s="1746"/>
      <c r="JO58" s="1746" t="s">
        <v>9751</v>
      </c>
      <c r="JP58" s="1746" t="s">
        <v>9743</v>
      </c>
      <c r="JQ58" s="1746"/>
      <c r="JR58" s="1746"/>
      <c r="JS58" s="148"/>
      <c r="JT58" s="148" t="s">
        <v>9768</v>
      </c>
      <c r="JU58" s="148" t="s">
        <v>9739</v>
      </c>
      <c r="JV58" s="148" t="s">
        <v>9739</v>
      </c>
      <c r="JW58" s="148" t="s">
        <v>9737</v>
      </c>
      <c r="JX58" s="1746"/>
      <c r="JY58" s="1746" t="s">
        <v>9768</v>
      </c>
      <c r="JZ58" s="1746"/>
      <c r="KA58" s="1746" t="s">
        <v>9734</v>
      </c>
      <c r="KB58" s="1746" t="s">
        <v>9739</v>
      </c>
      <c r="KC58" s="148" t="s">
        <v>9732</v>
      </c>
      <c r="KD58" s="1746" t="s">
        <v>9728</v>
      </c>
      <c r="KE58" s="1746"/>
      <c r="KF58" s="276"/>
      <c r="KG58" s="1737"/>
      <c r="KH58" s="1746"/>
      <c r="KI58" s="1746" t="s">
        <v>9747</v>
      </c>
      <c r="KJ58" s="148" t="s">
        <v>9756</v>
      </c>
      <c r="KK58" s="1746"/>
      <c r="KL58" s="1746" t="s">
        <v>9766</v>
      </c>
      <c r="KM58" s="1746"/>
      <c r="KN58" s="1746"/>
      <c r="KO58" s="148" t="s">
        <v>9747</v>
      </c>
      <c r="KP58" s="1746" t="s">
        <v>9739</v>
      </c>
      <c r="KQ58" s="148" t="s">
        <v>9737</v>
      </c>
      <c r="KR58" s="148" t="s">
        <v>9734</v>
      </c>
      <c r="KS58" s="1746" t="s">
        <v>9769</v>
      </c>
      <c r="KT58" s="1746" t="s">
        <v>9766</v>
      </c>
      <c r="KU58" s="148" t="s">
        <v>9706</v>
      </c>
      <c r="KV58" s="1746" t="s">
        <v>9757</v>
      </c>
      <c r="KW58" s="148" t="s">
        <v>9751</v>
      </c>
      <c r="KX58" s="1746"/>
      <c r="KY58" s="1746"/>
      <c r="KZ58" s="1746"/>
      <c r="LA58" s="1746"/>
      <c r="LB58" s="1746" t="s">
        <v>9747</v>
      </c>
      <c r="LC58" s="1746" t="s">
        <v>9747</v>
      </c>
      <c r="LD58" s="148"/>
      <c r="LE58" s="1746"/>
      <c r="LF58" s="1746"/>
      <c r="LG58" s="1746"/>
      <c r="LH58" s="148" t="s">
        <v>9761</v>
      </c>
      <c r="LI58" s="1746"/>
      <c r="LJ58" s="1746"/>
      <c r="LK58" s="1746"/>
      <c r="LL58" s="1746" t="s">
        <v>9754</v>
      </c>
      <c r="LM58" s="1746" t="s">
        <v>9766</v>
      </c>
      <c r="LN58" s="1746" t="s">
        <v>9757</v>
      </c>
      <c r="LO58" s="1746" t="s">
        <v>9740</v>
      </c>
      <c r="LP58" s="148" t="s">
        <v>9751</v>
      </c>
      <c r="LQ58" s="1746"/>
      <c r="LR58" s="1748"/>
      <c r="LS58" s="148" t="s">
        <v>9747</v>
      </c>
      <c r="LT58" s="1746"/>
      <c r="LU58" s="148" t="s">
        <v>9757</v>
      </c>
      <c r="LV58" s="1746"/>
      <c r="LW58" s="148" t="s">
        <v>9747</v>
      </c>
      <c r="LX58" s="148" t="s">
        <v>9748</v>
      </c>
      <c r="LY58" s="1746"/>
      <c r="LZ58" s="1746" t="s">
        <v>9742</v>
      </c>
      <c r="MA58" s="1746" t="s">
        <v>9737</v>
      </c>
      <c r="MB58" s="1746"/>
      <c r="MC58" s="148"/>
      <c r="MD58" s="1746" t="s">
        <v>9767</v>
      </c>
      <c r="ME58" s="1746" t="s">
        <v>9755</v>
      </c>
      <c r="MF58" s="1746" t="s">
        <v>9751</v>
      </c>
      <c r="MG58" s="148" t="s">
        <v>9752</v>
      </c>
      <c r="MH58" s="1746"/>
      <c r="MI58" s="1746" t="s">
        <v>9754</v>
      </c>
      <c r="MJ58" s="1737"/>
      <c r="MK58" s="1746" t="s">
        <v>9754</v>
      </c>
      <c r="ML58" s="1746"/>
      <c r="MM58" s="148"/>
      <c r="MN58" s="148" t="s">
        <v>9739</v>
      </c>
      <c r="MO58" s="148" t="s">
        <v>9732</v>
      </c>
      <c r="MP58" s="1746" t="s">
        <v>9739</v>
      </c>
      <c r="MQ58" s="1746" t="s">
        <v>9750</v>
      </c>
      <c r="MR58" s="1746" t="s">
        <v>9747</v>
      </c>
      <c r="MS58" s="148" t="s">
        <v>9741</v>
      </c>
      <c r="MT58" s="148" t="s">
        <v>9759</v>
      </c>
      <c r="MU58" s="1746" t="s">
        <v>9747</v>
      </c>
      <c r="MV58" s="148" t="s">
        <v>9727</v>
      </c>
      <c r="MW58" s="1746"/>
      <c r="MX58" s="1746"/>
      <c r="MY58" s="148" t="s">
        <v>9747</v>
      </c>
      <c r="MZ58" s="1746"/>
      <c r="NA58" s="1746"/>
      <c r="NB58" s="148"/>
      <c r="NC58" s="1746"/>
      <c r="ND58" s="1746"/>
      <c r="NE58" s="1746"/>
      <c r="NF58" s="148" t="s">
        <v>9761</v>
      </c>
      <c r="NG58" s="1746"/>
      <c r="NH58" s="1746"/>
      <c r="NI58" s="148"/>
      <c r="NJ58" s="148" t="s">
        <v>9747</v>
      </c>
      <c r="NK58" s="1746"/>
      <c r="NL58" s="1746" t="s">
        <v>9747</v>
      </c>
      <c r="NM58" s="1746" t="s">
        <v>9757</v>
      </c>
      <c r="NN58" s="1746" t="s">
        <v>9751</v>
      </c>
      <c r="NO58" s="1746" t="s">
        <v>9739</v>
      </c>
      <c r="NP58" s="1746" t="s">
        <v>9751</v>
      </c>
      <c r="NQ58" s="1746" t="s">
        <v>9730</v>
      </c>
      <c r="NR58" s="1746" t="s">
        <v>9730</v>
      </c>
      <c r="NS58" s="1746" t="s">
        <v>9754</v>
      </c>
      <c r="NT58" s="1746" t="s">
        <v>9736</v>
      </c>
      <c r="NU58" s="1746" t="s">
        <v>9730</v>
      </c>
      <c r="NV58" s="1746" t="s">
        <v>9750</v>
      </c>
      <c r="NW58" s="1746" t="s">
        <v>9748</v>
      </c>
      <c r="NX58" s="1746" t="s">
        <v>9748</v>
      </c>
      <c r="NY58" s="1746" t="s">
        <v>9748</v>
      </c>
      <c r="NZ58" s="1746" t="s">
        <v>9748</v>
      </c>
      <c r="OA58" s="1746"/>
      <c r="OB58" s="1746"/>
      <c r="OC58" s="1746" t="s">
        <v>9751</v>
      </c>
      <c r="OD58" s="1746" t="s">
        <v>9758</v>
      </c>
      <c r="OE58" s="1746" t="s">
        <v>9739</v>
      </c>
      <c r="OF58" s="1746" t="s">
        <v>9753</v>
      </c>
      <c r="OG58" s="1746"/>
      <c r="OH58" s="1746" t="s">
        <v>9769</v>
      </c>
      <c r="OI58" s="1746" t="s">
        <v>9739</v>
      </c>
      <c r="OJ58" s="1746"/>
      <c r="OK58" s="1746"/>
      <c r="OL58" s="1746"/>
      <c r="OM58" s="1748"/>
      <c r="ON58" s="1746" t="s">
        <v>9757</v>
      </c>
      <c r="OO58" s="1746"/>
      <c r="OP58" s="148"/>
      <c r="OQ58" s="1746"/>
      <c r="OR58" s="1746"/>
      <c r="OS58" s="1746"/>
      <c r="OT58" s="1746"/>
      <c r="OU58" s="1746"/>
      <c r="OV58" s="1746" t="s">
        <v>9745</v>
      </c>
      <c r="OW58" s="1746" t="s">
        <v>9736</v>
      </c>
      <c r="OX58" s="1746" t="s">
        <v>9751</v>
      </c>
      <c r="OY58" s="1746" t="s">
        <v>9756</v>
      </c>
      <c r="OZ58" s="1746"/>
      <c r="PA58" s="1746" t="s">
        <v>9689</v>
      </c>
      <c r="PB58" s="1746"/>
      <c r="PC58" s="1746"/>
      <c r="PD58" s="1746" t="s">
        <v>9768</v>
      </c>
      <c r="PE58" s="1746"/>
      <c r="PF58" s="1760" t="s">
        <v>9779</v>
      </c>
      <c r="PG58" s="148"/>
      <c r="PH58" s="1746"/>
      <c r="PI58" s="1746" t="s">
        <v>9754</v>
      </c>
      <c r="PJ58" s="1746"/>
      <c r="PK58" s="1746"/>
      <c r="PL58" s="1746"/>
      <c r="PM58" s="1746" t="s">
        <v>9769</v>
      </c>
      <c r="PN58" s="1746" t="s">
        <v>9750</v>
      </c>
      <c r="PO58" s="1746" t="s">
        <v>9747</v>
      </c>
      <c r="PP58" s="1746" t="s">
        <v>9747</v>
      </c>
      <c r="PQ58" s="1746" t="s">
        <v>9747</v>
      </c>
      <c r="PR58" s="148" t="s">
        <v>9757</v>
      </c>
      <c r="PS58" s="1746" t="s">
        <v>9750</v>
      </c>
      <c r="PT58" s="1746" t="s">
        <v>9747</v>
      </c>
      <c r="PU58" s="1746" t="s">
        <v>9758</v>
      </c>
      <c r="PV58" s="1746" t="s">
        <v>9734</v>
      </c>
      <c r="PW58" s="1746" t="s">
        <v>9754</v>
      </c>
      <c r="PX58" s="1746" t="s">
        <v>9767</v>
      </c>
      <c r="PY58" s="148" t="s">
        <v>9749</v>
      </c>
      <c r="PZ58" s="1746" t="s">
        <v>9757</v>
      </c>
      <c r="QA58" s="1746" t="s">
        <v>9743</v>
      </c>
      <c r="QB58" s="1746"/>
      <c r="QC58" s="1746" t="s">
        <v>9746</v>
      </c>
      <c r="QD58" s="1746" t="s">
        <v>9747</v>
      </c>
      <c r="QE58" s="1746"/>
      <c r="QF58" s="1746" t="s">
        <v>9747</v>
      </c>
      <c r="QG58" s="1746" t="s">
        <v>9766</v>
      </c>
      <c r="QH58" s="1746" t="s">
        <v>9767</v>
      </c>
      <c r="QI58" s="1746" t="s">
        <v>9742</v>
      </c>
      <c r="QJ58" s="1746" t="s">
        <v>9751</v>
      </c>
      <c r="QK58" s="1746" t="s">
        <v>9754</v>
      </c>
      <c r="QL58" s="148" t="s">
        <v>9741</v>
      </c>
      <c r="QM58" s="1746"/>
      <c r="QN58" s="1746"/>
      <c r="QO58" s="1746" t="s">
        <v>9749</v>
      </c>
      <c r="QP58" s="1746" t="s">
        <v>9734</v>
      </c>
      <c r="QQ58" s="1746" t="s">
        <v>9755</v>
      </c>
      <c r="QR58" s="1746" t="s">
        <v>9745</v>
      </c>
      <c r="QS58" s="1737"/>
      <c r="QT58" s="1746"/>
      <c r="QU58" s="1737"/>
      <c r="QV58" s="1746"/>
      <c r="QW58" s="148"/>
      <c r="QX58" s="148" t="s">
        <v>9737</v>
      </c>
      <c r="QY58" s="148" t="s">
        <v>9753</v>
      </c>
      <c r="QZ58" s="148"/>
      <c r="RA58" s="148" t="s">
        <v>9728</v>
      </c>
      <c r="RB58" s="148" t="s">
        <v>9736</v>
      </c>
      <c r="RC58" s="1746" t="s">
        <v>9734</v>
      </c>
      <c r="RD58" s="148" t="s">
        <v>9750</v>
      </c>
      <c r="RE58" s="1746" t="s">
        <v>9751</v>
      </c>
      <c r="RF58" s="148" t="s">
        <v>9737</v>
      </c>
      <c r="RG58" s="235" t="s">
        <v>9773</v>
      </c>
      <c r="RH58" s="1746" t="s">
        <v>9766</v>
      </c>
      <c r="RI58" s="1760" t="s">
        <v>9763</v>
      </c>
      <c r="RJ58" s="148" t="s">
        <v>9760</v>
      </c>
      <c r="RK58" s="148" t="s">
        <v>9766</v>
      </c>
      <c r="RL58" s="148" t="s">
        <v>9747</v>
      </c>
      <c r="RM58" s="148" t="s">
        <v>9748</v>
      </c>
      <c r="RN58" s="148" t="s">
        <v>9762</v>
      </c>
      <c r="RO58" s="148" t="s">
        <v>9740</v>
      </c>
      <c r="RP58" s="148" t="s">
        <v>9756</v>
      </c>
      <c r="RQ58" s="1746"/>
      <c r="RR58" s="1746"/>
      <c r="RS58" s="1746"/>
      <c r="RT58" s="1746"/>
      <c r="RU58" s="1746"/>
      <c r="RV58" s="1746"/>
      <c r="RW58" s="1746" t="s">
        <v>9737</v>
      </c>
      <c r="RX58" s="1746" t="s">
        <v>9737</v>
      </c>
      <c r="RY58" s="1746" t="s">
        <v>9735</v>
      </c>
      <c r="RZ58" s="148" t="s">
        <v>9753</v>
      </c>
      <c r="SA58" s="1746" t="s">
        <v>9728</v>
      </c>
      <c r="SB58" s="1746" t="s">
        <v>9751</v>
      </c>
      <c r="SC58" s="148" t="s">
        <v>9754</v>
      </c>
      <c r="SD58" s="1746" t="s">
        <v>9760</v>
      </c>
      <c r="SE58" s="1746" t="s">
        <v>9760</v>
      </c>
      <c r="SF58" s="1746" t="s">
        <v>9747</v>
      </c>
      <c r="SG58" s="1746"/>
      <c r="SH58" s="1746" t="s">
        <v>9754</v>
      </c>
      <c r="SI58" s="1746" t="s">
        <v>9729</v>
      </c>
      <c r="SJ58" s="1746"/>
      <c r="SK58" s="1746"/>
      <c r="SL58" s="1746"/>
    </row>
    <row r="59" ht="15.75" customHeight="1">
      <c r="A59" s="1517"/>
      <c r="B59" s="131"/>
      <c r="C59" s="131"/>
      <c r="D59" s="131"/>
      <c r="E59" s="1739" t="s">
        <v>9769</v>
      </c>
      <c r="F59" s="1739" t="s">
        <v>9769</v>
      </c>
      <c r="G59" s="1739" t="s">
        <v>9741</v>
      </c>
      <c r="H59" s="387"/>
      <c r="I59" s="387"/>
      <c r="J59" s="387" t="s">
        <v>9754</v>
      </c>
      <c r="K59" s="131"/>
      <c r="L59" s="131"/>
      <c r="M59" s="1767"/>
      <c r="N59" s="1741"/>
      <c r="O59" s="339"/>
      <c r="P59" s="339" t="s">
        <v>9768</v>
      </c>
      <c r="Q59" s="1741"/>
      <c r="R59" s="1741"/>
      <c r="S59" s="1741"/>
      <c r="T59" s="448"/>
      <c r="U59" s="1741" t="s">
        <v>9754</v>
      </c>
      <c r="V59" s="1741"/>
      <c r="W59" s="1741"/>
      <c r="X59" s="448"/>
      <c r="Y59" s="448"/>
      <c r="Z59" s="339"/>
      <c r="AA59" s="339" t="s">
        <v>9769</v>
      </c>
      <c r="AB59" s="339" t="s">
        <v>9767</v>
      </c>
      <c r="AC59" s="339" t="s">
        <v>9739</v>
      </c>
      <c r="AD59" s="387"/>
      <c r="AE59" s="387"/>
      <c r="AF59" s="387" t="s">
        <v>9706</v>
      </c>
      <c r="AG59" s="448"/>
      <c r="AH59" s="448"/>
      <c r="AI59" s="448" t="s">
        <v>9710</v>
      </c>
      <c r="AJ59" s="1742" t="s">
        <v>9732</v>
      </c>
      <c r="AK59" s="1742" t="s">
        <v>9748</v>
      </c>
      <c r="AL59" s="1741"/>
      <c r="AM59" s="235" t="s">
        <v>9791</v>
      </c>
      <c r="AN59" s="1742" t="s">
        <v>9746</v>
      </c>
      <c r="AO59" s="1742" t="s">
        <v>9732</v>
      </c>
      <c r="AP59" s="458"/>
      <c r="AQ59" s="457"/>
      <c r="AR59" s="387"/>
      <c r="AS59" s="387"/>
      <c r="AT59" s="1739"/>
      <c r="AU59" s="159" t="s">
        <v>9770</v>
      </c>
      <c r="AV59" s="1739" t="s">
        <v>9769</v>
      </c>
      <c r="AW59" s="448"/>
      <c r="AX59" s="193" t="s">
        <v>9779</v>
      </c>
      <c r="AY59" s="1741"/>
      <c r="AZ59" s="1741"/>
      <c r="BA59" s="339" t="s">
        <v>9758</v>
      </c>
      <c r="BB59" s="339" t="s">
        <v>9734</v>
      </c>
      <c r="BC59" s="339" t="s">
        <v>9769</v>
      </c>
      <c r="BD59" s="387" t="s">
        <v>9754</v>
      </c>
      <c r="BE59" s="1741" t="s">
        <v>9747</v>
      </c>
      <c r="BF59" s="1741" t="s">
        <v>9751</v>
      </c>
      <c r="BG59" s="1741"/>
      <c r="BH59" s="1741"/>
      <c r="BI59" s="387"/>
      <c r="BJ59" s="387"/>
      <c r="BK59" s="387" t="s">
        <v>9747</v>
      </c>
      <c r="BL59" s="1741" t="s">
        <v>9750</v>
      </c>
      <c r="BM59" s="1741" t="s">
        <v>9750</v>
      </c>
      <c r="BN59" s="1741" t="s">
        <v>9746</v>
      </c>
      <c r="BO59" s="1743" t="s">
        <v>9783</v>
      </c>
      <c r="BP59" s="1743" t="s">
        <v>9783</v>
      </c>
      <c r="BQ59" s="1743" t="s">
        <v>9754</v>
      </c>
      <c r="BR59" s="131"/>
      <c r="BS59" s="131"/>
      <c r="BT59" s="131"/>
      <c r="BU59" s="387"/>
      <c r="BV59" s="387"/>
      <c r="BW59" s="1741" t="s">
        <v>9783</v>
      </c>
      <c r="BX59" s="1741" t="s">
        <v>9783</v>
      </c>
      <c r="BY59" s="1741" t="s">
        <v>9747</v>
      </c>
      <c r="BZ59" s="339"/>
      <c r="CA59" s="339"/>
      <c r="CB59" s="1742" t="s">
        <v>9739</v>
      </c>
      <c r="CC59" s="1742" t="s">
        <v>9729</v>
      </c>
      <c r="CD59" s="1743"/>
      <c r="CE59" s="1743"/>
      <c r="CF59" s="1752"/>
      <c r="CG59" s="1741"/>
      <c r="CH59" s="1741"/>
      <c r="CI59" s="1740"/>
      <c r="CJ59" s="1740"/>
      <c r="CK59" s="448" t="s">
        <v>9747</v>
      </c>
      <c r="CL59" s="448" t="s">
        <v>9741</v>
      </c>
      <c r="CM59" s="448"/>
      <c r="CN59" s="448"/>
      <c r="CO59" s="448" t="s">
        <v>9754</v>
      </c>
      <c r="CP59" s="448" t="s">
        <v>9739</v>
      </c>
      <c r="CQ59" s="448" t="s">
        <v>9735</v>
      </c>
      <c r="CR59" s="1743" t="s">
        <v>9762</v>
      </c>
      <c r="CS59" s="339" t="s">
        <v>9739</v>
      </c>
      <c r="CT59" s="339" t="s">
        <v>9750</v>
      </c>
      <c r="CU59" s="1750"/>
      <c r="CV59" s="1739" t="s">
        <v>9766</v>
      </c>
      <c r="CW59" s="1739"/>
      <c r="CX59" s="1739"/>
      <c r="CY59" s="1742"/>
      <c r="CZ59" s="339" t="s">
        <v>9784</v>
      </c>
      <c r="DA59" s="1741" t="s">
        <v>9754</v>
      </c>
      <c r="DB59" s="1741" t="s">
        <v>9734</v>
      </c>
      <c r="DC59" s="1741"/>
      <c r="DD59" s="1741"/>
      <c r="DE59" s="1742" t="s">
        <v>9741</v>
      </c>
      <c r="DF59" s="448"/>
      <c r="DG59" s="448" t="s">
        <v>9747</v>
      </c>
      <c r="DH59" s="1743" t="s">
        <v>9734</v>
      </c>
      <c r="DI59" s="1743" t="s">
        <v>9753</v>
      </c>
      <c r="DJ59" s="1742" t="s">
        <v>9706</v>
      </c>
      <c r="DK59" s="387"/>
      <c r="DL59" s="1741" t="s">
        <v>9710</v>
      </c>
      <c r="DM59" s="387"/>
      <c r="DN59" s="387"/>
      <c r="DO59" s="1739"/>
      <c r="DP59" s="1739"/>
      <c r="DQ59" s="1741"/>
      <c r="DR59" s="448" t="s">
        <v>9762</v>
      </c>
      <c r="DS59" s="1742" t="s">
        <v>9728</v>
      </c>
      <c r="DT59" s="249"/>
      <c r="DU59" s="1739" t="s">
        <v>9746</v>
      </c>
      <c r="DV59" s="339" t="s">
        <v>9783</v>
      </c>
      <c r="DW59" s="1739"/>
      <c r="DX59" s="1741" t="s">
        <v>9754</v>
      </c>
      <c r="DY59" s="1741" t="s">
        <v>9747</v>
      </c>
      <c r="DZ59" s="1739"/>
      <c r="EA59" s="387" t="s">
        <v>9764</v>
      </c>
      <c r="EB59" s="387" t="s">
        <v>9769</v>
      </c>
      <c r="EC59" s="448"/>
      <c r="ED59" s="1741"/>
      <c r="EE59" s="397"/>
      <c r="EF59" s="365"/>
      <c r="EG59" s="193" t="s">
        <v>9763</v>
      </c>
      <c r="EH59" s="1742"/>
      <c r="EI59" s="387"/>
      <c r="EJ59" s="387" t="s">
        <v>9783</v>
      </c>
      <c r="EK59" s="1741"/>
      <c r="EL59" s="1741" t="s">
        <v>9747</v>
      </c>
      <c r="EM59" s="448" t="s">
        <v>9742</v>
      </c>
      <c r="EN59" s="1744" t="s">
        <v>9741</v>
      </c>
      <c r="EO59" s="1764" t="s">
        <v>9774</v>
      </c>
      <c r="EP59" s="1766" t="s">
        <v>9773</v>
      </c>
      <c r="EQ59" s="284" t="s">
        <v>9774</v>
      </c>
      <c r="ER59" s="387"/>
      <c r="ES59" s="393"/>
      <c r="ET59" s="1741" t="s">
        <v>9726</v>
      </c>
      <c r="EU59" s="448" t="s">
        <v>9707</v>
      </c>
      <c r="EV59" s="1742"/>
      <c r="EW59" s="131"/>
      <c r="EX59" s="131"/>
      <c r="EY59" s="131" t="s">
        <v>9783</v>
      </c>
      <c r="EZ59" s="339"/>
      <c r="FA59" s="339"/>
      <c r="FB59" s="339" t="s">
        <v>9747</v>
      </c>
      <c r="FC59" s="393"/>
      <c r="FD59" s="387" t="s">
        <v>9766</v>
      </c>
      <c r="FE59" s="387" t="s">
        <v>9734</v>
      </c>
      <c r="FF59" s="1741" t="s">
        <v>9767</v>
      </c>
      <c r="FG59" s="1741" t="s">
        <v>9739</v>
      </c>
      <c r="FH59" s="1741"/>
      <c r="FI59" s="1752"/>
      <c r="FJ59" s="159" t="s">
        <v>9689</v>
      </c>
      <c r="FK59" s="1739" t="s">
        <v>9758</v>
      </c>
      <c r="FL59" s="131"/>
      <c r="FM59" s="1739"/>
      <c r="FN59" s="448" t="s">
        <v>9759</v>
      </c>
      <c r="FO59" s="387"/>
      <c r="FP59" s="387"/>
      <c r="FQ59" s="339"/>
      <c r="FR59" s="1742" t="s">
        <v>9747</v>
      </c>
      <c r="FS59" s="1742" t="s">
        <v>9754</v>
      </c>
      <c r="FT59" s="1740"/>
      <c r="FU59" s="1740" t="s">
        <v>9750</v>
      </c>
      <c r="FV59" s="131" t="s">
        <v>9754</v>
      </c>
      <c r="FW59" s="131" t="s">
        <v>9747</v>
      </c>
      <c r="FX59" s="1740"/>
      <c r="FY59" s="1742"/>
      <c r="FZ59" s="192" t="s">
        <v>9736</v>
      </c>
      <c r="GA59" s="131"/>
      <c r="GB59" s="387"/>
      <c r="GC59" s="393"/>
      <c r="GD59" s="1741" t="s">
        <v>9766</v>
      </c>
      <c r="GE59" s="131" t="s">
        <v>9769</v>
      </c>
      <c r="GF59" s="1742"/>
      <c r="GG59" s="131"/>
      <c r="GH59" s="387"/>
      <c r="GI59" s="448" t="s">
        <v>9757</v>
      </c>
      <c r="GJ59" s="339"/>
      <c r="GK59" s="339"/>
      <c r="GL59" s="1739"/>
      <c r="GM59" s="387"/>
      <c r="GN59" s="387" t="s">
        <v>9747</v>
      </c>
      <c r="GO59" s="448"/>
      <c r="GP59" s="1763"/>
      <c r="GQ59" s="1744" t="s">
        <v>9768</v>
      </c>
      <c r="GR59" s="1742" t="s">
        <v>9729</v>
      </c>
      <c r="GS59" s="1743" t="s">
        <v>9739</v>
      </c>
      <c r="GT59" s="1744"/>
      <c r="GU59" s="387"/>
      <c r="GV59" s="339" t="s">
        <v>9747</v>
      </c>
      <c r="GW59" s="1761"/>
      <c r="GX59" s="448" t="s">
        <v>9766</v>
      </c>
      <c r="GY59" s="339" t="s">
        <v>9743</v>
      </c>
      <c r="GZ59" s="448" t="s">
        <v>9734</v>
      </c>
      <c r="HA59" s="1743" t="s">
        <v>9739</v>
      </c>
      <c r="HB59" s="1742" t="s">
        <v>9740</v>
      </c>
      <c r="HC59" s="448" t="s">
        <v>9731</v>
      </c>
      <c r="HD59" s="1743"/>
      <c r="HE59" s="1739" t="s">
        <v>9768</v>
      </c>
      <c r="HF59" s="339"/>
      <c r="HG59" s="387" t="s">
        <v>9767</v>
      </c>
      <c r="HH59" s="1744" t="s">
        <v>9745</v>
      </c>
      <c r="HI59" s="1741" t="s">
        <v>9767</v>
      </c>
      <c r="HJ59" s="1741" t="s">
        <v>9734</v>
      </c>
      <c r="HK59" s="1739"/>
      <c r="HL59" s="1739" t="s">
        <v>9754</v>
      </c>
      <c r="HM59" s="1741"/>
      <c r="HN59" s="1741" t="s">
        <v>9769</v>
      </c>
      <c r="HO59" s="1742" t="s">
        <v>9739</v>
      </c>
      <c r="HP59" s="1743"/>
      <c r="HQ59" s="1739" t="s">
        <v>9765</v>
      </c>
      <c r="HR59" s="1739"/>
      <c r="HS59" s="458"/>
      <c r="HT59" s="1743" t="s">
        <v>9767</v>
      </c>
      <c r="HU59" s="1744"/>
      <c r="HV59" s="1744" t="s">
        <v>9754</v>
      </c>
      <c r="HW59" s="387"/>
      <c r="HX59" s="387"/>
      <c r="HY59" s="1743"/>
      <c r="HZ59" s="1739"/>
      <c r="IA59" s="1741" t="s">
        <v>9739</v>
      </c>
      <c r="IB59" s="1740"/>
      <c r="IC59" s="448"/>
      <c r="ID59" s="1741"/>
      <c r="IE59" s="1742" t="s">
        <v>9754</v>
      </c>
      <c r="IF59" s="339"/>
      <c r="IG59" s="1739"/>
      <c r="IH59" s="1742" t="s">
        <v>9742</v>
      </c>
      <c r="II59" s="1742" t="s">
        <v>9706</v>
      </c>
      <c r="IJ59" s="339" t="s">
        <v>9769</v>
      </c>
      <c r="IK59" s="1741" t="s">
        <v>9766</v>
      </c>
      <c r="IL59" s="387" t="s">
        <v>9765</v>
      </c>
      <c r="IM59" s="131"/>
      <c r="IN59" s="1743"/>
      <c r="IO59" s="131" t="s">
        <v>9748</v>
      </c>
      <c r="IP59" s="1740" t="s">
        <v>9726</v>
      </c>
      <c r="IQ59" s="1739" t="s">
        <v>9738</v>
      </c>
      <c r="IR59" s="131" t="s">
        <v>9743</v>
      </c>
      <c r="IS59" s="131" t="s">
        <v>9767</v>
      </c>
      <c r="IT59" s="131" t="s">
        <v>9747</v>
      </c>
      <c r="IU59" s="131" t="s">
        <v>9737</v>
      </c>
      <c r="IV59" s="1739"/>
      <c r="IW59" s="1739" t="s">
        <v>9766</v>
      </c>
      <c r="IX59" s="1739" t="s">
        <v>9751</v>
      </c>
      <c r="IY59" s="387"/>
      <c r="IZ59" s="387"/>
      <c r="JA59" s="387" t="s">
        <v>9747</v>
      </c>
      <c r="JB59" s="1743"/>
      <c r="JC59" s="1743"/>
      <c r="JD59" s="1753"/>
      <c r="JE59" s="1740" t="s">
        <v>9754</v>
      </c>
      <c r="JF59" s="1739"/>
      <c r="JG59" s="1740"/>
      <c r="JH59" s="193" t="s">
        <v>9779</v>
      </c>
      <c r="JI59" s="448"/>
      <c r="JJ59" s="235" t="s">
        <v>9773</v>
      </c>
      <c r="JK59" s="131"/>
      <c r="JL59" s="131" t="s">
        <v>9766</v>
      </c>
      <c r="JM59" s="131" t="s">
        <v>9757</v>
      </c>
      <c r="JN59" s="1741"/>
      <c r="JO59" s="1741" t="s">
        <v>9739</v>
      </c>
      <c r="JP59" s="1741" t="s">
        <v>9734</v>
      </c>
      <c r="JQ59" s="387"/>
      <c r="JR59" s="387"/>
      <c r="JS59" s="1740"/>
      <c r="JT59" s="367"/>
      <c r="JU59" s="1740" t="s">
        <v>9757</v>
      </c>
      <c r="JV59" s="1740" t="s">
        <v>9757</v>
      </c>
      <c r="JW59" s="1740" t="s">
        <v>9750</v>
      </c>
      <c r="JX59" s="387"/>
      <c r="JY59" s="393"/>
      <c r="JZ59" s="1741"/>
      <c r="KA59" s="131" t="s">
        <v>9751</v>
      </c>
      <c r="KB59" s="1741" t="s">
        <v>9747</v>
      </c>
      <c r="KC59" s="1740" t="s">
        <v>9753</v>
      </c>
      <c r="KD59" s="1741" t="s">
        <v>9732</v>
      </c>
      <c r="KE59" s="1743"/>
      <c r="KF59" s="159" t="s">
        <v>9689</v>
      </c>
      <c r="KG59" s="1741"/>
      <c r="KH59" s="1742"/>
      <c r="KI59" s="387" t="s">
        <v>9754</v>
      </c>
      <c r="KJ59" s="387" t="s">
        <v>9734</v>
      </c>
      <c r="KK59" s="339"/>
      <c r="KL59" s="1741" t="s">
        <v>9769</v>
      </c>
      <c r="KM59" s="387"/>
      <c r="KN59" s="1743"/>
      <c r="KO59" s="1742" t="s">
        <v>9754</v>
      </c>
      <c r="KP59" s="448" t="s">
        <v>9757</v>
      </c>
      <c r="KQ59" s="448" t="s">
        <v>9743</v>
      </c>
      <c r="KR59" s="1744" t="s">
        <v>9764</v>
      </c>
      <c r="KS59" s="1743"/>
      <c r="KT59" s="1743" t="s">
        <v>9769</v>
      </c>
      <c r="KU59" s="1743" t="s">
        <v>9748</v>
      </c>
      <c r="KV59" s="387" t="s">
        <v>9747</v>
      </c>
      <c r="KW59" s="1739" t="s">
        <v>9739</v>
      </c>
      <c r="KX59" s="131"/>
      <c r="KY59" s="339"/>
      <c r="KZ59" s="339"/>
      <c r="LA59" s="339"/>
      <c r="LB59" s="1743" t="s">
        <v>9758</v>
      </c>
      <c r="LC59" s="448" t="s">
        <v>9758</v>
      </c>
      <c r="LD59" s="131"/>
      <c r="LE59" s="131"/>
      <c r="LF59" s="448"/>
      <c r="LG59" s="1739"/>
      <c r="LH59" s="387" t="s">
        <v>9766</v>
      </c>
      <c r="LI59" s="387"/>
      <c r="LJ59" s="387"/>
      <c r="LK59" s="339"/>
      <c r="LL59" s="1739" t="s">
        <v>9762</v>
      </c>
      <c r="LM59" s="1741" t="s">
        <v>9769</v>
      </c>
      <c r="LN59" s="1744" t="s">
        <v>9747</v>
      </c>
      <c r="LO59" s="448" t="s">
        <v>9746</v>
      </c>
      <c r="LP59" s="1741" t="s">
        <v>9739</v>
      </c>
      <c r="LQ59" s="1741"/>
      <c r="LR59" s="192" t="s">
        <v>9689</v>
      </c>
      <c r="LS59" s="131" t="s">
        <v>9758</v>
      </c>
      <c r="LT59" s="131"/>
      <c r="LU59" s="131" t="s">
        <v>9747</v>
      </c>
      <c r="LV59" s="387"/>
      <c r="LW59" s="387" t="s">
        <v>9754</v>
      </c>
      <c r="LX59" s="1740" t="s">
        <v>9727</v>
      </c>
      <c r="LY59" s="1744"/>
      <c r="LZ59" s="339" t="s">
        <v>9743</v>
      </c>
      <c r="MA59" s="1739" t="s">
        <v>9760</v>
      </c>
      <c r="MB59" s="1743"/>
      <c r="MC59" s="387"/>
      <c r="MD59" s="1739" t="s">
        <v>9761</v>
      </c>
      <c r="ME59" s="1739" t="s">
        <v>9739</v>
      </c>
      <c r="MF59" s="1741" t="s">
        <v>9739</v>
      </c>
      <c r="MG59" s="1744" t="s">
        <v>9742</v>
      </c>
      <c r="MH59" s="448"/>
      <c r="MI59" s="131" t="s">
        <v>9766</v>
      </c>
      <c r="MJ59" s="1743"/>
      <c r="MK59" s="1743" t="s">
        <v>9762</v>
      </c>
      <c r="ML59" s="1741"/>
      <c r="MM59" s="1742"/>
      <c r="MN59" s="1740" t="s">
        <v>9747</v>
      </c>
      <c r="MO59" s="131" t="s">
        <v>9729</v>
      </c>
      <c r="MP59" s="1744" t="s">
        <v>9747</v>
      </c>
      <c r="MQ59" s="1744" t="s">
        <v>9743</v>
      </c>
      <c r="MR59" s="1744" t="s">
        <v>9754</v>
      </c>
      <c r="MS59" s="1744" t="s">
        <v>9737</v>
      </c>
      <c r="MT59" s="131" t="s">
        <v>9766</v>
      </c>
      <c r="MU59" s="387" t="s">
        <v>9754</v>
      </c>
      <c r="MV59" s="1740" t="s">
        <v>9732</v>
      </c>
      <c r="MW59" s="387"/>
      <c r="MX59" s="1743"/>
      <c r="MY59" s="1743" t="s">
        <v>9754</v>
      </c>
      <c r="MZ59" s="387"/>
      <c r="NA59" s="387"/>
      <c r="NB59" s="387"/>
      <c r="NC59" s="387"/>
      <c r="ND59" s="387"/>
      <c r="NE59" s="1742"/>
      <c r="NF59" s="1743" t="s">
        <v>9769</v>
      </c>
      <c r="NG59" s="1742"/>
      <c r="NH59" s="387"/>
      <c r="NI59" s="1740"/>
      <c r="NJ59" s="387" t="s">
        <v>9754</v>
      </c>
      <c r="NK59" s="387"/>
      <c r="NL59" s="387" t="s">
        <v>9754</v>
      </c>
      <c r="NM59" s="387" t="s">
        <v>9747</v>
      </c>
      <c r="NN59" s="1741" t="s">
        <v>9739</v>
      </c>
      <c r="NO59" s="387" t="s">
        <v>9747</v>
      </c>
      <c r="NP59" s="1743" t="s">
        <v>9739</v>
      </c>
      <c r="NQ59" s="1739" t="s">
        <v>9732</v>
      </c>
      <c r="NR59" s="387" t="s">
        <v>9732</v>
      </c>
      <c r="NS59" s="387" t="s">
        <v>9761</v>
      </c>
      <c r="NT59" s="1739" t="s">
        <v>9753</v>
      </c>
      <c r="NU59" s="131" t="s">
        <v>9728</v>
      </c>
      <c r="NV59" s="339" t="s">
        <v>9742</v>
      </c>
      <c r="NW59" s="1739" t="s">
        <v>9730</v>
      </c>
      <c r="NX59" s="1739" t="s">
        <v>9730</v>
      </c>
      <c r="NY59" s="1739" t="s">
        <v>9730</v>
      </c>
      <c r="NZ59" s="1739" t="s">
        <v>9730</v>
      </c>
      <c r="OA59" s="131"/>
      <c r="OB59" s="131"/>
      <c r="OC59" s="131" t="s">
        <v>9739</v>
      </c>
      <c r="OD59" s="1741" t="s">
        <v>9754</v>
      </c>
      <c r="OE59" s="1741" t="s">
        <v>9749</v>
      </c>
      <c r="OF59" s="1741" t="s">
        <v>9741</v>
      </c>
      <c r="OG59" s="387"/>
      <c r="OH59" s="387" t="s">
        <v>9765</v>
      </c>
      <c r="OI59" s="387" t="s">
        <v>9757</v>
      </c>
      <c r="OJ59" s="1741"/>
      <c r="OK59" s="1741"/>
      <c r="OL59" s="1741"/>
      <c r="OM59" s="159" t="s">
        <v>9745</v>
      </c>
      <c r="ON59" s="1741" t="s">
        <v>9747</v>
      </c>
      <c r="OO59" s="1739"/>
      <c r="OP59" s="1739"/>
      <c r="OQ59" s="387"/>
      <c r="OR59" s="387"/>
      <c r="OS59" s="387"/>
      <c r="OT59" s="131"/>
      <c r="OU59" s="131"/>
      <c r="OV59" s="387" t="s">
        <v>9742</v>
      </c>
      <c r="OW59" s="387" t="s">
        <v>9740</v>
      </c>
      <c r="OX59" s="1743" t="s">
        <v>9739</v>
      </c>
      <c r="OY59" s="1743" t="s">
        <v>9742</v>
      </c>
      <c r="OZ59" s="131"/>
      <c r="PA59" s="131"/>
      <c r="PB59" s="339"/>
      <c r="PC59" s="1742"/>
      <c r="PD59" s="367"/>
      <c r="PE59" s="339"/>
      <c r="PF59" s="365"/>
      <c r="PG59" s="1740"/>
      <c r="PH59" s="1741"/>
      <c r="PI59" s="1741" t="s">
        <v>9761</v>
      </c>
      <c r="PJ59" s="1742"/>
      <c r="PK59" s="1742"/>
      <c r="PL59" s="448"/>
      <c r="PM59" s="448" t="s">
        <v>9765</v>
      </c>
      <c r="PN59" s="448" t="s">
        <v>9734</v>
      </c>
      <c r="PO59" s="448" t="s">
        <v>9754</v>
      </c>
      <c r="PP59" s="448" t="s">
        <v>9754</v>
      </c>
      <c r="PQ59" s="1741" t="s">
        <v>9754</v>
      </c>
      <c r="PR59" s="1741" t="s">
        <v>9747</v>
      </c>
      <c r="PS59" s="448" t="s">
        <v>9743</v>
      </c>
      <c r="PT59" s="1744" t="s">
        <v>9754</v>
      </c>
      <c r="PU59" s="1743" t="s">
        <v>9754</v>
      </c>
      <c r="PV59" s="1743" t="s">
        <v>9739</v>
      </c>
      <c r="PW59" s="339" t="s">
        <v>9784</v>
      </c>
      <c r="PX59" s="448" t="s">
        <v>9768</v>
      </c>
      <c r="PY59" s="448" t="s">
        <v>9747</v>
      </c>
      <c r="PZ59" s="131" t="s">
        <v>9747</v>
      </c>
      <c r="QA59" s="131" t="s">
        <v>9751</v>
      </c>
      <c r="QB59" s="1741"/>
      <c r="QC59" s="1742" t="s">
        <v>9737</v>
      </c>
      <c r="QD59" s="1742" t="s">
        <v>9754</v>
      </c>
      <c r="QE59" s="1744"/>
      <c r="QF59" s="448" t="s">
        <v>9754</v>
      </c>
      <c r="QG59" s="387" t="s">
        <v>9769</v>
      </c>
      <c r="QH59" s="387" t="s">
        <v>9766</v>
      </c>
      <c r="QI59" s="387" t="s">
        <v>9734</v>
      </c>
      <c r="QJ59" s="1744" t="s">
        <v>9739</v>
      </c>
      <c r="QK59" s="387" t="s">
        <v>9766</v>
      </c>
      <c r="QL59" s="387" t="s">
        <v>9760</v>
      </c>
      <c r="QM59" s="1741"/>
      <c r="QN59" s="1741"/>
      <c r="QO59" s="448" t="s">
        <v>9747</v>
      </c>
      <c r="QP59" s="448" t="s">
        <v>9764</v>
      </c>
      <c r="QQ59" s="387" t="s">
        <v>9739</v>
      </c>
      <c r="QR59" s="387" t="s">
        <v>9734</v>
      </c>
      <c r="QS59" s="131"/>
      <c r="QT59" s="387"/>
      <c r="QU59" s="387"/>
      <c r="QV59" s="387"/>
      <c r="QW59" s="1740"/>
      <c r="QX59" s="1740" t="s">
        <v>9756</v>
      </c>
      <c r="QY59" s="1744" t="s">
        <v>9740</v>
      </c>
      <c r="QZ59" s="1743"/>
      <c r="RA59" s="1742" t="s">
        <v>9732</v>
      </c>
      <c r="RB59" s="1743" t="s">
        <v>9753</v>
      </c>
      <c r="RC59" s="387" t="s">
        <v>9751</v>
      </c>
      <c r="RD59" s="339" t="s">
        <v>9734</v>
      </c>
      <c r="RE59" s="1739" t="s">
        <v>9739</v>
      </c>
      <c r="RF59" s="1740" t="s">
        <v>9750</v>
      </c>
      <c r="RG59" s="193" t="s">
        <v>9779</v>
      </c>
      <c r="RH59" s="131" t="s">
        <v>9769</v>
      </c>
      <c r="RI59" s="397"/>
      <c r="RJ59" s="448" t="s">
        <v>9745</v>
      </c>
      <c r="RK59" s="1741" t="s">
        <v>9769</v>
      </c>
      <c r="RL59" s="1739" t="s">
        <v>9754</v>
      </c>
      <c r="RM59" s="1740" t="s">
        <v>9727</v>
      </c>
      <c r="RN59" s="1743" t="s">
        <v>9766</v>
      </c>
      <c r="RO59" s="1744" t="s">
        <v>9741</v>
      </c>
      <c r="RP59" s="1740" t="s">
        <v>9750</v>
      </c>
      <c r="RQ59" s="1739"/>
      <c r="RR59" s="1739"/>
      <c r="RS59" s="1739"/>
      <c r="RT59" s="1739"/>
      <c r="RU59" s="1739"/>
      <c r="RV59" s="1739"/>
      <c r="RW59" s="339" t="s">
        <v>9750</v>
      </c>
      <c r="RX59" s="1742" t="s">
        <v>9750</v>
      </c>
      <c r="RY59" s="387" t="s">
        <v>9740</v>
      </c>
      <c r="RZ59" s="1740" t="s">
        <v>9741</v>
      </c>
      <c r="SA59" s="448" t="s">
        <v>9732</v>
      </c>
      <c r="SB59" s="1741" t="s">
        <v>9739</v>
      </c>
      <c r="SC59" s="1740" t="s">
        <v>9766</v>
      </c>
      <c r="SD59" s="1744" t="s">
        <v>9750</v>
      </c>
      <c r="SE59" s="1744" t="s">
        <v>9750</v>
      </c>
      <c r="SF59" s="339" t="s">
        <v>9754</v>
      </c>
      <c r="SG59" s="387"/>
      <c r="SH59" s="387" t="s">
        <v>9761</v>
      </c>
      <c r="SI59" s="1744" t="s">
        <v>9738</v>
      </c>
      <c r="SJ59" s="131"/>
      <c r="SK59" s="131"/>
      <c r="SL59" s="1743"/>
    </row>
    <row r="60" ht="15.75" customHeight="1">
      <c r="A60" s="1517"/>
      <c r="B60" s="148"/>
      <c r="C60" s="148"/>
      <c r="D60" s="148"/>
      <c r="E60" s="276"/>
      <c r="F60" s="276"/>
      <c r="G60" s="148" t="s">
        <v>9745</v>
      </c>
      <c r="H60" s="148"/>
      <c r="I60" s="148"/>
      <c r="J60" s="148" t="s">
        <v>9762</v>
      </c>
      <c r="K60" s="148"/>
      <c r="L60" s="148"/>
      <c r="M60" s="192" t="s">
        <v>9689</v>
      </c>
      <c r="N60" s="148"/>
      <c r="O60" s="148"/>
      <c r="P60" s="148" t="s">
        <v>9769</v>
      </c>
      <c r="Q60" s="148"/>
      <c r="R60" s="148"/>
      <c r="S60" s="148"/>
      <c r="T60" s="148"/>
      <c r="U60" s="148" t="s">
        <v>9767</v>
      </c>
      <c r="V60" s="148"/>
      <c r="W60" s="148"/>
      <c r="X60" s="148"/>
      <c r="Y60" s="148"/>
      <c r="Z60" s="148"/>
      <c r="AA60" s="276"/>
      <c r="AB60" s="148" t="s">
        <v>9766</v>
      </c>
      <c r="AC60" s="148" t="s">
        <v>9749</v>
      </c>
      <c r="AD60" s="148"/>
      <c r="AE60" s="148"/>
      <c r="AF60" s="148" t="s">
        <v>9710</v>
      </c>
      <c r="AG60" s="148"/>
      <c r="AH60" s="148"/>
      <c r="AI60" s="148" t="s">
        <v>9748</v>
      </c>
      <c r="AJ60" s="148" t="s">
        <v>9729</v>
      </c>
      <c r="AK60" s="148" t="s">
        <v>9728</v>
      </c>
      <c r="AL60" s="148"/>
      <c r="AM60" s="235" t="s">
        <v>9730</v>
      </c>
      <c r="AN60" s="148" t="s">
        <v>9737</v>
      </c>
      <c r="AO60" s="148" t="s">
        <v>9729</v>
      </c>
      <c r="AP60" s="148"/>
      <c r="AQ60" s="159" t="s">
        <v>9773</v>
      </c>
      <c r="AR60" s="148"/>
      <c r="AS60" s="148"/>
      <c r="AT60" s="148"/>
      <c r="AU60" s="253"/>
      <c r="AV60" s="276"/>
      <c r="AW60" s="148"/>
      <c r="AX60" s="253"/>
      <c r="AY60" s="148"/>
      <c r="AZ60" s="148"/>
      <c r="BA60" s="148" t="s">
        <v>9754</v>
      </c>
      <c r="BB60" s="148" t="s">
        <v>9764</v>
      </c>
      <c r="BC60" s="148" t="s">
        <v>9765</v>
      </c>
      <c r="BD60" s="148" t="s">
        <v>9761</v>
      </c>
      <c r="BE60" s="148" t="s">
        <v>9758</v>
      </c>
      <c r="BF60" s="148" t="s">
        <v>9739</v>
      </c>
      <c r="BG60" s="148"/>
      <c r="BH60" s="148"/>
      <c r="BI60" s="148"/>
      <c r="BJ60" s="148"/>
      <c r="BK60" s="148" t="s">
        <v>9754</v>
      </c>
      <c r="BL60" s="148" t="s">
        <v>9743</v>
      </c>
      <c r="BM60" s="148" t="s">
        <v>9743</v>
      </c>
      <c r="BN60" s="148" t="s">
        <v>9741</v>
      </c>
      <c r="BO60" s="148"/>
      <c r="BP60" s="148"/>
      <c r="BQ60" s="148" t="s">
        <v>9766</v>
      </c>
      <c r="BR60" s="148"/>
      <c r="BS60" s="148"/>
      <c r="BT60" s="148"/>
      <c r="BU60" s="148"/>
      <c r="BV60" s="148"/>
      <c r="BW60" s="148"/>
      <c r="BX60" s="148"/>
      <c r="BY60" s="148" t="s">
        <v>9754</v>
      </c>
      <c r="BZ60" s="148"/>
      <c r="CA60" s="148"/>
      <c r="CB60" s="148" t="s">
        <v>9757</v>
      </c>
      <c r="CC60" s="148" t="s">
        <v>9746</v>
      </c>
      <c r="CD60" s="148"/>
      <c r="CE60" s="148"/>
      <c r="CF60" s="148"/>
      <c r="CG60" s="148"/>
      <c r="CH60" s="148"/>
      <c r="CI60" s="148"/>
      <c r="CJ60" s="148"/>
      <c r="CK60" s="148" t="s">
        <v>9754</v>
      </c>
      <c r="CL60" s="148" t="s">
        <v>9734</v>
      </c>
      <c r="CM60" s="148"/>
      <c r="CN60" s="148"/>
      <c r="CO60" s="148" t="s">
        <v>9784</v>
      </c>
      <c r="CP60" s="148" t="s">
        <v>9749</v>
      </c>
      <c r="CQ60" s="148" t="s">
        <v>9753</v>
      </c>
      <c r="CR60" s="148" t="s">
        <v>9766</v>
      </c>
      <c r="CS60" s="148" t="s">
        <v>9757</v>
      </c>
      <c r="CT60" s="148" t="s">
        <v>9743</v>
      </c>
      <c r="CU60" s="192" t="s">
        <v>9792</v>
      </c>
      <c r="CV60" s="148" t="s">
        <v>9769</v>
      </c>
      <c r="CW60" s="148"/>
      <c r="CX60" s="148"/>
      <c r="CY60" s="148"/>
      <c r="CZ60" s="148" t="s">
        <v>9766</v>
      </c>
      <c r="DA60" s="148" t="s">
        <v>9766</v>
      </c>
      <c r="DB60" s="148" t="s">
        <v>9751</v>
      </c>
      <c r="DC60" s="148"/>
      <c r="DD60" s="148"/>
      <c r="DE60" s="148" t="s">
        <v>9745</v>
      </c>
      <c r="DF60" s="148"/>
      <c r="DG60" s="148" t="s">
        <v>9754</v>
      </c>
      <c r="DH60" s="148" t="s">
        <v>9751</v>
      </c>
      <c r="DI60" s="148" t="s">
        <v>9740</v>
      </c>
      <c r="DJ60" s="148" t="s">
        <v>9721</v>
      </c>
      <c r="DK60" s="148"/>
      <c r="DL60" s="148" t="s">
        <v>9748</v>
      </c>
      <c r="DM60" s="148"/>
      <c r="DN60" s="148"/>
      <c r="DO60" s="148"/>
      <c r="DP60" s="148"/>
      <c r="DQ60" s="148"/>
      <c r="DR60" s="148" t="s">
        <v>9784</v>
      </c>
      <c r="DS60" s="148" t="s">
        <v>9732</v>
      </c>
      <c r="DT60" s="148"/>
      <c r="DU60" s="148" t="s">
        <v>9741</v>
      </c>
      <c r="DV60" s="148"/>
      <c r="DW60" s="148"/>
      <c r="DX60" s="148" t="s">
        <v>9767</v>
      </c>
      <c r="DY60" s="148" t="s">
        <v>9754</v>
      </c>
      <c r="DZ60" s="148"/>
      <c r="EA60" s="148" t="s">
        <v>9739</v>
      </c>
      <c r="EB60" s="148" t="s">
        <v>9765</v>
      </c>
      <c r="EC60" s="148"/>
      <c r="ED60" s="148"/>
      <c r="EE60" s="148"/>
      <c r="EF60" s="148"/>
      <c r="EG60" s="253"/>
      <c r="EH60" s="148"/>
      <c r="EI60" s="148"/>
      <c r="EJ60" s="148"/>
      <c r="EK60" s="148"/>
      <c r="EL60" s="148" t="s">
        <v>9754</v>
      </c>
      <c r="EM60" s="148" t="s">
        <v>9734</v>
      </c>
      <c r="EN60" s="148" t="s">
        <v>9734</v>
      </c>
      <c r="EO60" s="253"/>
      <c r="EP60" s="253"/>
      <c r="EQ60" s="253"/>
      <c r="ER60" s="148"/>
      <c r="ES60" s="159" t="s">
        <v>9779</v>
      </c>
      <c r="ET60" s="148" t="s">
        <v>9748</v>
      </c>
      <c r="EU60" s="148" t="s">
        <v>9703</v>
      </c>
      <c r="EV60" s="148"/>
      <c r="EW60" s="148"/>
      <c r="EX60" s="148"/>
      <c r="EY60" s="276"/>
      <c r="EZ60" s="148"/>
      <c r="FA60" s="148"/>
      <c r="FB60" s="148" t="s">
        <v>9754</v>
      </c>
      <c r="FC60" s="159" t="s">
        <v>9679</v>
      </c>
      <c r="FD60" s="148" t="s">
        <v>9769</v>
      </c>
      <c r="FE60" s="148" t="s">
        <v>9751</v>
      </c>
      <c r="FF60" s="148" t="s">
        <v>9761</v>
      </c>
      <c r="FG60" s="148" t="s">
        <v>9757</v>
      </c>
      <c r="FH60" s="148"/>
      <c r="FI60" s="148"/>
      <c r="FJ60" s="253"/>
      <c r="FK60" s="148" t="s">
        <v>9754</v>
      </c>
      <c r="FL60" s="148"/>
      <c r="FM60" s="148"/>
      <c r="FN60" s="148" t="s">
        <v>9768</v>
      </c>
      <c r="FO60" s="148"/>
      <c r="FP60" s="148"/>
      <c r="FQ60" s="148"/>
      <c r="FR60" s="148" t="s">
        <v>9754</v>
      </c>
      <c r="FS60" s="148"/>
      <c r="FT60" s="148"/>
      <c r="FU60" s="148" t="s">
        <v>9743</v>
      </c>
      <c r="FV60" s="148" t="s">
        <v>9784</v>
      </c>
      <c r="FW60" s="148" t="s">
        <v>9758</v>
      </c>
      <c r="FX60" s="148"/>
      <c r="FY60" s="148"/>
      <c r="FZ60" s="235" t="s">
        <v>9775</v>
      </c>
      <c r="GA60" s="148"/>
      <c r="GB60" s="148"/>
      <c r="GC60" s="159" t="s">
        <v>9793</v>
      </c>
      <c r="GD60" s="148" t="s">
        <v>9769</v>
      </c>
      <c r="GE60" s="148" t="s">
        <v>9765</v>
      </c>
      <c r="GF60" s="148"/>
      <c r="GG60" s="148"/>
      <c r="GH60" s="148"/>
      <c r="GI60" s="148" t="s">
        <v>9747</v>
      </c>
      <c r="GJ60" s="148"/>
      <c r="GK60" s="148"/>
      <c r="GL60" s="148"/>
      <c r="GM60" s="148"/>
      <c r="GN60" s="148" t="s">
        <v>9754</v>
      </c>
      <c r="GO60" s="148"/>
      <c r="GP60" s="148"/>
      <c r="GQ60" s="276"/>
      <c r="GR60" s="148" t="s">
        <v>9746</v>
      </c>
      <c r="GS60" s="148" t="s">
        <v>9747</v>
      </c>
      <c r="GT60" s="148"/>
      <c r="GU60" s="148"/>
      <c r="GV60" s="148" t="s">
        <v>9754</v>
      </c>
      <c r="GW60" s="148"/>
      <c r="GX60" s="148" t="s">
        <v>9769</v>
      </c>
      <c r="GY60" s="148" t="s">
        <v>9734</v>
      </c>
      <c r="GZ60" s="148" t="s">
        <v>9764</v>
      </c>
      <c r="HA60" s="148" t="s">
        <v>9747</v>
      </c>
      <c r="HB60" s="148" t="s">
        <v>9750</v>
      </c>
      <c r="HC60" s="148" t="s">
        <v>9748</v>
      </c>
      <c r="HD60" s="148"/>
      <c r="HE60" s="148" t="s">
        <v>9769</v>
      </c>
      <c r="HF60" s="148"/>
      <c r="HG60" s="148" t="s">
        <v>9766</v>
      </c>
      <c r="HH60" s="148" t="s">
        <v>9743</v>
      </c>
      <c r="HI60" s="148" t="s">
        <v>9766</v>
      </c>
      <c r="HJ60" s="148" t="s">
        <v>9751</v>
      </c>
      <c r="HK60" s="148"/>
      <c r="HL60" s="148" t="s">
        <v>9766</v>
      </c>
      <c r="HM60" s="148"/>
      <c r="HN60" s="148"/>
      <c r="HO60" s="148" t="s">
        <v>9747</v>
      </c>
      <c r="HP60" s="148"/>
      <c r="HQ60" s="148"/>
      <c r="HR60" s="148"/>
      <c r="HS60" s="148"/>
      <c r="HT60" s="148" t="s">
        <v>9759</v>
      </c>
      <c r="HU60" s="148"/>
      <c r="HV60" s="148" t="s">
        <v>9766</v>
      </c>
      <c r="HW60" s="148"/>
      <c r="HX60" s="148"/>
      <c r="HY60" s="148"/>
      <c r="HZ60" s="148"/>
      <c r="IA60" s="148" t="s">
        <v>9747</v>
      </c>
      <c r="IB60" s="148"/>
      <c r="IC60" s="148"/>
      <c r="ID60" s="148"/>
      <c r="IE60" s="148" t="s">
        <v>9784</v>
      </c>
      <c r="IF60" s="148"/>
      <c r="IG60" s="148"/>
      <c r="IH60" s="148" t="s">
        <v>9743</v>
      </c>
      <c r="II60" s="148" t="s">
        <v>9721</v>
      </c>
      <c r="IJ60" s="148" t="s">
        <v>9783</v>
      </c>
      <c r="IK60" s="148" t="s">
        <v>9769</v>
      </c>
      <c r="IL60" s="148" t="s">
        <v>9783</v>
      </c>
      <c r="IM60" s="148"/>
      <c r="IN60" s="148"/>
      <c r="IO60" s="148" t="s">
        <v>9728</v>
      </c>
      <c r="IP60" s="148" t="s">
        <v>9732</v>
      </c>
      <c r="IQ60" s="148" t="s">
        <v>9741</v>
      </c>
      <c r="IR60" s="148" t="s">
        <v>9739</v>
      </c>
      <c r="IS60" s="148" t="s">
        <v>9766</v>
      </c>
      <c r="IT60" s="148" t="s">
        <v>9754</v>
      </c>
      <c r="IU60" s="148" t="s">
        <v>9745</v>
      </c>
      <c r="IV60" s="148"/>
      <c r="IW60" s="148" t="s">
        <v>9769</v>
      </c>
      <c r="IX60" s="148" t="s">
        <v>9739</v>
      </c>
      <c r="IY60" s="148"/>
      <c r="IZ60" s="148"/>
      <c r="JA60" s="148" t="s">
        <v>9754</v>
      </c>
      <c r="JB60" s="148"/>
      <c r="JC60" s="148"/>
      <c r="JD60" s="159" t="s">
        <v>9783</v>
      </c>
      <c r="JE60" s="148" t="s">
        <v>9767</v>
      </c>
      <c r="JF60" s="148"/>
      <c r="JG60" s="148"/>
      <c r="JH60" s="253"/>
      <c r="JI60" s="148"/>
      <c r="JJ60" s="193" t="s">
        <v>9779</v>
      </c>
      <c r="JK60" s="1746"/>
      <c r="JL60" s="1746" t="s">
        <v>9769</v>
      </c>
      <c r="JM60" s="1746" t="s">
        <v>9747</v>
      </c>
      <c r="JN60" s="1746"/>
      <c r="JO60" s="1746" t="s">
        <v>9757</v>
      </c>
      <c r="JP60" s="1746" t="s">
        <v>9764</v>
      </c>
      <c r="JQ60" s="1746"/>
      <c r="JR60" s="1746"/>
      <c r="JS60" s="148"/>
      <c r="JT60" s="159" t="s">
        <v>9774</v>
      </c>
      <c r="JU60" s="148" t="s">
        <v>9747</v>
      </c>
      <c r="JV60" s="148" t="s">
        <v>9747</v>
      </c>
      <c r="JW60" s="148" t="s">
        <v>9743</v>
      </c>
      <c r="JX60" s="1746"/>
      <c r="JY60" s="192" t="s">
        <v>9689</v>
      </c>
      <c r="JZ60" s="1746"/>
      <c r="KA60" s="1746" t="s">
        <v>9739</v>
      </c>
      <c r="KB60" s="1746" t="s">
        <v>9754</v>
      </c>
      <c r="KC60" s="148" t="s">
        <v>9734</v>
      </c>
      <c r="KD60" s="1746" t="s">
        <v>9753</v>
      </c>
      <c r="KE60" s="1746"/>
      <c r="KF60" s="253"/>
      <c r="KG60" s="1746"/>
      <c r="KH60" s="1746"/>
      <c r="KI60" s="1746" t="s">
        <v>9766</v>
      </c>
      <c r="KJ60" s="148" t="s">
        <v>9751</v>
      </c>
      <c r="KK60" s="1746"/>
      <c r="KL60" s="1746" t="s">
        <v>9783</v>
      </c>
      <c r="KM60" s="1746"/>
      <c r="KN60" s="1746"/>
      <c r="KO60" s="148"/>
      <c r="KP60" s="1746" t="s">
        <v>9747</v>
      </c>
      <c r="KQ60" s="148" t="s">
        <v>9734</v>
      </c>
      <c r="KR60" s="148" t="s">
        <v>9751</v>
      </c>
      <c r="KS60" s="1746"/>
      <c r="KT60" s="1746"/>
      <c r="KU60" s="148" t="s">
        <v>9728</v>
      </c>
      <c r="KV60" s="1746" t="s">
        <v>9754</v>
      </c>
      <c r="KW60" s="148" t="s">
        <v>9749</v>
      </c>
      <c r="KX60" s="1746"/>
      <c r="KY60" s="1746"/>
      <c r="KZ60" s="1746"/>
      <c r="LA60" s="1746"/>
      <c r="LB60" s="1746" t="s">
        <v>9754</v>
      </c>
      <c r="LC60" s="1746" t="s">
        <v>9754</v>
      </c>
      <c r="LD60" s="148"/>
      <c r="LE60" s="1746"/>
      <c r="LF60" s="1746"/>
      <c r="LG60" s="1746"/>
      <c r="LH60" s="148" t="s">
        <v>9769</v>
      </c>
      <c r="LI60" s="1746"/>
      <c r="LJ60" s="1746"/>
      <c r="LK60" s="1746"/>
      <c r="LL60" s="1746" t="s">
        <v>9766</v>
      </c>
      <c r="LM60" s="1746"/>
      <c r="LN60" s="1746" t="s">
        <v>9754</v>
      </c>
      <c r="LO60" s="1746" t="s">
        <v>9741</v>
      </c>
      <c r="LP60" s="148" t="s">
        <v>9747</v>
      </c>
      <c r="LQ60" s="1746"/>
      <c r="LR60" s="1760" t="s">
        <v>9773</v>
      </c>
      <c r="LS60" s="148" t="s">
        <v>9754</v>
      </c>
      <c r="LT60" s="1746"/>
      <c r="LU60" s="148" t="s">
        <v>9754</v>
      </c>
      <c r="LV60" s="1746"/>
      <c r="LW60" s="148" t="s">
        <v>9759</v>
      </c>
      <c r="LX60" s="148" t="s">
        <v>9728</v>
      </c>
      <c r="LY60" s="1746"/>
      <c r="LZ60" s="1746" t="s">
        <v>9751</v>
      </c>
      <c r="MA60" s="1746" t="s">
        <v>9752</v>
      </c>
      <c r="MB60" s="1746"/>
      <c r="MC60" s="148"/>
      <c r="MD60" s="1746" t="s">
        <v>9766</v>
      </c>
      <c r="ME60" s="1746" t="s">
        <v>9747</v>
      </c>
      <c r="MF60" s="1746" t="s">
        <v>9757</v>
      </c>
      <c r="MG60" s="148" t="s">
        <v>9743</v>
      </c>
      <c r="MH60" s="1746"/>
      <c r="MI60" s="1746" t="s">
        <v>9769</v>
      </c>
      <c r="MJ60" s="1746"/>
      <c r="MK60" s="1746" t="s">
        <v>9767</v>
      </c>
      <c r="ML60" s="1746"/>
      <c r="MM60" s="148"/>
      <c r="MN60" s="148" t="s">
        <v>9754</v>
      </c>
      <c r="MO60" s="148" t="s">
        <v>9753</v>
      </c>
      <c r="MP60" s="1746" t="s">
        <v>9754</v>
      </c>
      <c r="MQ60" s="1746" t="s">
        <v>9734</v>
      </c>
      <c r="MR60" s="1746" t="s">
        <v>9784</v>
      </c>
      <c r="MS60" s="148" t="s">
        <v>9743</v>
      </c>
      <c r="MT60" s="148" t="s">
        <v>9768</v>
      </c>
      <c r="MU60" s="1746" t="s">
        <v>9784</v>
      </c>
      <c r="MV60" s="148" t="s">
        <v>9738</v>
      </c>
      <c r="MW60" s="1746"/>
      <c r="MX60" s="1746"/>
      <c r="MY60" s="276"/>
      <c r="MZ60" s="1746"/>
      <c r="NA60" s="1746"/>
      <c r="NB60" s="148"/>
      <c r="NC60" s="1746"/>
      <c r="ND60" s="1746"/>
      <c r="NE60" s="1746"/>
      <c r="NF60" s="148" t="s">
        <v>9765</v>
      </c>
      <c r="NG60" s="1746"/>
      <c r="NH60" s="1746"/>
      <c r="NI60" s="148"/>
      <c r="NJ60" s="148" t="s">
        <v>9767</v>
      </c>
      <c r="NK60" s="1746"/>
      <c r="NL60" s="1746" t="s">
        <v>9762</v>
      </c>
      <c r="NM60" s="1746" t="s">
        <v>9754</v>
      </c>
      <c r="NN60" s="1746" t="s">
        <v>9747</v>
      </c>
      <c r="NO60" s="1746" t="s">
        <v>9754</v>
      </c>
      <c r="NP60" s="1746" t="s">
        <v>9747</v>
      </c>
      <c r="NQ60" s="1746" t="s">
        <v>9736</v>
      </c>
      <c r="NR60" s="1746" t="s">
        <v>9736</v>
      </c>
      <c r="NS60" s="1746" t="s">
        <v>9766</v>
      </c>
      <c r="NT60" s="1746" t="s">
        <v>9741</v>
      </c>
      <c r="NU60" s="1746" t="s">
        <v>9732</v>
      </c>
      <c r="NV60" s="1746" t="s">
        <v>9743</v>
      </c>
      <c r="NW60" s="1746" t="s">
        <v>9728</v>
      </c>
      <c r="NX60" s="1746" t="s">
        <v>9728</v>
      </c>
      <c r="NY60" s="1746" t="s">
        <v>9728</v>
      </c>
      <c r="NZ60" s="1746" t="s">
        <v>9728</v>
      </c>
      <c r="OA60" s="1746"/>
      <c r="OB60" s="1746"/>
      <c r="OC60" s="1746" t="s">
        <v>9757</v>
      </c>
      <c r="OD60" s="1746" t="s">
        <v>9767</v>
      </c>
      <c r="OE60" s="1746" t="s">
        <v>9757</v>
      </c>
      <c r="OF60" s="1746" t="s">
        <v>9760</v>
      </c>
      <c r="OG60" s="1746"/>
      <c r="OH60" s="1746"/>
      <c r="OI60" s="1746" t="s">
        <v>9747</v>
      </c>
      <c r="OJ60" s="1746"/>
      <c r="OK60" s="1746"/>
      <c r="OL60" s="1746"/>
      <c r="OM60" s="1737"/>
      <c r="ON60" s="1746" t="s">
        <v>9754</v>
      </c>
      <c r="OO60" s="1746"/>
      <c r="OP60" s="148"/>
      <c r="OQ60" s="1746"/>
      <c r="OR60" s="1746"/>
      <c r="OS60" s="1746"/>
      <c r="OT60" s="1746"/>
      <c r="OU60" s="1746"/>
      <c r="OV60" s="1746" t="s">
        <v>9734</v>
      </c>
      <c r="OW60" s="1746" t="s">
        <v>9741</v>
      </c>
      <c r="OX60" s="1746" t="s">
        <v>9747</v>
      </c>
      <c r="OY60" s="1746" t="s">
        <v>9734</v>
      </c>
      <c r="OZ60" s="1746"/>
      <c r="PA60" s="1746"/>
      <c r="PB60" s="1746"/>
      <c r="PC60" s="1746"/>
      <c r="PD60" s="192" t="s">
        <v>9689</v>
      </c>
      <c r="PE60" s="1746"/>
      <c r="PF60" s="1746"/>
      <c r="PG60" s="148"/>
      <c r="PH60" s="1746"/>
      <c r="PI60" s="1746" t="s">
        <v>9766</v>
      </c>
      <c r="PJ60" s="1746"/>
      <c r="PK60" s="1746"/>
      <c r="PL60" s="1746"/>
      <c r="PM60" s="1746"/>
      <c r="PN60" s="1746" t="s">
        <v>9739</v>
      </c>
      <c r="PO60" s="1746" t="s">
        <v>9767</v>
      </c>
      <c r="PP60" s="1746" t="s">
        <v>9767</v>
      </c>
      <c r="PQ60" s="1746" t="s">
        <v>9767</v>
      </c>
      <c r="PR60" s="148" t="s">
        <v>9754</v>
      </c>
      <c r="PS60" s="1746" t="s">
        <v>9734</v>
      </c>
      <c r="PT60" s="1746" t="s">
        <v>9759</v>
      </c>
      <c r="PU60" s="1746" t="s">
        <v>9767</v>
      </c>
      <c r="PV60" s="1746" t="s">
        <v>9747</v>
      </c>
      <c r="PW60" s="1746"/>
      <c r="PX60" s="1746" t="s">
        <v>9769</v>
      </c>
      <c r="PY60" s="148" t="s">
        <v>9754</v>
      </c>
      <c r="PZ60" s="1746" t="s">
        <v>9754</v>
      </c>
      <c r="QA60" s="1746" t="s">
        <v>9739</v>
      </c>
      <c r="QB60" s="1746"/>
      <c r="QC60" s="1746" t="s">
        <v>9750</v>
      </c>
      <c r="QD60" s="1746"/>
      <c r="QE60" s="1746"/>
      <c r="QF60" s="1746"/>
      <c r="QG60" s="1746" t="s">
        <v>9783</v>
      </c>
      <c r="QH60" s="1746" t="s">
        <v>9769</v>
      </c>
      <c r="QI60" s="1746" t="s">
        <v>9751</v>
      </c>
      <c r="QJ60" s="1746" t="s">
        <v>9747</v>
      </c>
      <c r="QK60" s="1746" t="s">
        <v>9769</v>
      </c>
      <c r="QL60" s="148" t="s">
        <v>9745</v>
      </c>
      <c r="QM60" s="1746"/>
      <c r="QN60" s="1746"/>
      <c r="QO60" s="1746" t="s">
        <v>9754</v>
      </c>
      <c r="QP60" s="1746" t="s">
        <v>9751</v>
      </c>
      <c r="QQ60" s="1746" t="s">
        <v>9749</v>
      </c>
      <c r="QR60" s="1746" t="s">
        <v>9764</v>
      </c>
      <c r="QS60" s="1746"/>
      <c r="QT60" s="1746"/>
      <c r="QU60" s="1746"/>
      <c r="QV60" s="1746"/>
      <c r="QW60" s="148"/>
      <c r="QX60" s="148" t="s">
        <v>9745</v>
      </c>
      <c r="QY60" s="148" t="s">
        <v>9741</v>
      </c>
      <c r="QZ60" s="148"/>
      <c r="RA60" s="148" t="s">
        <v>9735</v>
      </c>
      <c r="RB60" s="148" t="s">
        <v>9740</v>
      </c>
      <c r="RC60" s="1746" t="s">
        <v>9739</v>
      </c>
      <c r="RD60" s="148" t="s">
        <v>9751</v>
      </c>
      <c r="RE60" s="1746" t="s">
        <v>9747</v>
      </c>
      <c r="RF60" s="148" t="s">
        <v>9743</v>
      </c>
      <c r="RG60" s="253"/>
      <c r="RH60" s="1748"/>
      <c r="RI60" s="1746"/>
      <c r="RJ60" s="148" t="s">
        <v>9742</v>
      </c>
      <c r="RK60" s="148" t="s">
        <v>9783</v>
      </c>
      <c r="RL60" s="148" t="s">
        <v>9784</v>
      </c>
      <c r="RM60" s="148" t="s">
        <v>9728</v>
      </c>
      <c r="RN60" s="148" t="s">
        <v>9769</v>
      </c>
      <c r="RO60" s="148" t="s">
        <v>9737</v>
      </c>
      <c r="RP60" s="148" t="s">
        <v>9743</v>
      </c>
      <c r="RQ60" s="1746"/>
      <c r="RR60" s="1746"/>
      <c r="RS60" s="1746"/>
      <c r="RT60" s="1746"/>
      <c r="RU60" s="1746"/>
      <c r="RV60" s="1746"/>
      <c r="RW60" s="1746" t="s">
        <v>9742</v>
      </c>
      <c r="RX60" s="1746" t="s">
        <v>9742</v>
      </c>
      <c r="RY60" s="1746" t="s">
        <v>9746</v>
      </c>
      <c r="RZ60" s="148" t="s">
        <v>9737</v>
      </c>
      <c r="SA60" s="1746" t="s">
        <v>9736</v>
      </c>
      <c r="SB60" s="1746" t="s">
        <v>9747</v>
      </c>
      <c r="SC60" s="148" t="s">
        <v>9769</v>
      </c>
      <c r="SD60" s="1746" t="s">
        <v>9743</v>
      </c>
      <c r="SE60" s="1746" t="s">
        <v>9743</v>
      </c>
      <c r="SF60" s="1746" t="s">
        <v>9784</v>
      </c>
      <c r="SG60" s="1746"/>
      <c r="SH60" s="1746" t="s">
        <v>9765</v>
      </c>
      <c r="SI60" s="1746" t="s">
        <v>9733</v>
      </c>
      <c r="SJ60" s="1746"/>
      <c r="SK60" s="1746"/>
      <c r="SL60" s="1746"/>
    </row>
    <row r="61" ht="15.75" customHeight="1">
      <c r="A61" s="1517"/>
      <c r="B61" s="131"/>
      <c r="C61" s="131"/>
      <c r="D61" s="131"/>
      <c r="E61" s="1764" t="s">
        <v>9794</v>
      </c>
      <c r="F61" s="284" t="s">
        <v>9794</v>
      </c>
      <c r="G61" s="1739" t="s">
        <v>9734</v>
      </c>
      <c r="H61" s="387"/>
      <c r="I61" s="387"/>
      <c r="J61" s="387" t="s">
        <v>9761</v>
      </c>
      <c r="K61" s="131"/>
      <c r="L61" s="131"/>
      <c r="M61" s="235" t="s">
        <v>9773</v>
      </c>
      <c r="N61" s="1741"/>
      <c r="O61" s="339"/>
      <c r="P61" s="367"/>
      <c r="Q61" s="1741"/>
      <c r="R61" s="1741"/>
      <c r="S61" s="1741"/>
      <c r="T61" s="448"/>
      <c r="U61" s="1741" t="s">
        <v>9766</v>
      </c>
      <c r="V61" s="1741"/>
      <c r="W61" s="1741"/>
      <c r="X61" s="448"/>
      <c r="Y61" s="448"/>
      <c r="Z61" s="339"/>
      <c r="AA61" s="192" t="s">
        <v>9789</v>
      </c>
      <c r="AB61" s="339" t="s">
        <v>9769</v>
      </c>
      <c r="AC61" s="339" t="s">
        <v>9747</v>
      </c>
      <c r="AD61" s="387"/>
      <c r="AE61" s="387"/>
      <c r="AF61" s="387" t="s">
        <v>9748</v>
      </c>
      <c r="AG61" s="448"/>
      <c r="AH61" s="448"/>
      <c r="AI61" s="448" t="s">
        <v>9728</v>
      </c>
      <c r="AJ61" s="1742" t="s">
        <v>9746</v>
      </c>
      <c r="AK61" s="1742" t="s">
        <v>9732</v>
      </c>
      <c r="AL61" s="1741"/>
      <c r="AM61" s="193" t="s">
        <v>9775</v>
      </c>
      <c r="AN61" s="1742" t="s">
        <v>9750</v>
      </c>
      <c r="AO61" s="1742" t="s">
        <v>9746</v>
      </c>
      <c r="AP61" s="448"/>
      <c r="AQ61" s="458"/>
      <c r="AR61" s="387"/>
      <c r="AS61" s="387"/>
      <c r="AT61" s="1739"/>
      <c r="AU61" s="1739"/>
      <c r="AV61" s="159" t="s">
        <v>9770</v>
      </c>
      <c r="AW61" s="448"/>
      <c r="AX61" s="448"/>
      <c r="AY61" s="1741"/>
      <c r="AZ61" s="1741"/>
      <c r="BA61" s="339" t="s">
        <v>9767</v>
      </c>
      <c r="BB61" s="339" t="s">
        <v>9739</v>
      </c>
      <c r="BC61" s="339"/>
      <c r="BD61" s="387" t="s">
        <v>9766</v>
      </c>
      <c r="BE61" s="1741" t="s">
        <v>9754</v>
      </c>
      <c r="BF61" s="1741" t="s">
        <v>9749</v>
      </c>
      <c r="BG61" s="1741"/>
      <c r="BH61" s="1741"/>
      <c r="BI61" s="387"/>
      <c r="BJ61" s="387"/>
      <c r="BK61" s="387" t="s">
        <v>9761</v>
      </c>
      <c r="BL61" s="1741" t="s">
        <v>9734</v>
      </c>
      <c r="BM61" s="1741" t="s">
        <v>9734</v>
      </c>
      <c r="BN61" s="1741" t="s">
        <v>9737</v>
      </c>
      <c r="BO61" s="1743"/>
      <c r="BP61" s="1743"/>
      <c r="BQ61" s="1743" t="s">
        <v>9769</v>
      </c>
      <c r="BR61" s="131"/>
      <c r="BS61" s="131"/>
      <c r="BT61" s="131"/>
      <c r="BU61" s="387"/>
      <c r="BV61" s="387"/>
      <c r="BW61" s="1741"/>
      <c r="BX61" s="1741"/>
      <c r="BY61" s="1741" t="s">
        <v>9766</v>
      </c>
      <c r="BZ61" s="339"/>
      <c r="CA61" s="339"/>
      <c r="CB61" s="1742" t="s">
        <v>9747</v>
      </c>
      <c r="CC61" s="1742" t="s">
        <v>9741</v>
      </c>
      <c r="CD61" s="1743"/>
      <c r="CE61" s="1743"/>
      <c r="CF61" s="1741"/>
      <c r="CG61" s="1741"/>
      <c r="CH61" s="1741"/>
      <c r="CI61" s="1740"/>
      <c r="CJ61" s="1740"/>
      <c r="CK61" s="448" t="s">
        <v>9766</v>
      </c>
      <c r="CL61" s="448" t="s">
        <v>9764</v>
      </c>
      <c r="CM61" s="448"/>
      <c r="CN61" s="448"/>
      <c r="CO61" s="448"/>
      <c r="CP61" s="448" t="s">
        <v>9747</v>
      </c>
      <c r="CQ61" s="448" t="s">
        <v>9740</v>
      </c>
      <c r="CR61" s="1743" t="s">
        <v>9769</v>
      </c>
      <c r="CS61" s="339" t="s">
        <v>9747</v>
      </c>
      <c r="CT61" s="339" t="s">
        <v>9734</v>
      </c>
      <c r="CU61" s="193" t="s">
        <v>9771</v>
      </c>
      <c r="CV61" s="1750"/>
      <c r="CW61" s="1739"/>
      <c r="CX61" s="1739"/>
      <c r="CY61" s="1742"/>
      <c r="CZ61" s="339"/>
      <c r="DA61" s="1741" t="s">
        <v>9769</v>
      </c>
      <c r="DB61" s="1741" t="s">
        <v>9739</v>
      </c>
      <c r="DC61" s="1741"/>
      <c r="DD61" s="1741"/>
      <c r="DE61" s="1742" t="s">
        <v>9743</v>
      </c>
      <c r="DF61" s="448"/>
      <c r="DG61" s="448"/>
      <c r="DH61" s="1743" t="s">
        <v>9739</v>
      </c>
      <c r="DI61" s="1743" t="s">
        <v>9741</v>
      </c>
      <c r="DJ61" s="1742" t="s">
        <v>9724</v>
      </c>
      <c r="DK61" s="387"/>
      <c r="DL61" s="1741" t="s">
        <v>9728</v>
      </c>
      <c r="DM61" s="387"/>
      <c r="DN61" s="387"/>
      <c r="DO61" s="1739"/>
      <c r="DP61" s="1739"/>
      <c r="DQ61" s="1741"/>
      <c r="DR61" s="448" t="s">
        <v>9761</v>
      </c>
      <c r="DS61" s="1742" t="s">
        <v>9729</v>
      </c>
      <c r="DT61" s="131"/>
      <c r="DU61" s="1739" t="s">
        <v>9737</v>
      </c>
      <c r="DV61" s="339"/>
      <c r="DW61" s="1739"/>
      <c r="DX61" s="1741" t="s">
        <v>9766</v>
      </c>
      <c r="DY61" s="1741" t="s">
        <v>9761</v>
      </c>
      <c r="DZ61" s="1739"/>
      <c r="EA61" s="387" t="s">
        <v>9747</v>
      </c>
      <c r="EB61" s="387"/>
      <c r="EC61" s="448"/>
      <c r="ED61" s="1741"/>
      <c r="EE61" s="387"/>
      <c r="EF61" s="339"/>
      <c r="EG61" s="1739"/>
      <c r="EH61" s="1742"/>
      <c r="EI61" s="387"/>
      <c r="EJ61" s="387"/>
      <c r="EK61" s="1741"/>
      <c r="EL61" s="1741" t="s">
        <v>9767</v>
      </c>
      <c r="EM61" s="448" t="s">
        <v>9751</v>
      </c>
      <c r="EN61" s="1744" t="s">
        <v>9751</v>
      </c>
      <c r="EO61" s="387"/>
      <c r="EP61" s="339"/>
      <c r="EQ61" s="339"/>
      <c r="ER61" s="387"/>
      <c r="ES61" s="397"/>
      <c r="ET61" s="1741" t="s">
        <v>9728</v>
      </c>
      <c r="EU61" s="448" t="s">
        <v>9711</v>
      </c>
      <c r="EV61" s="1742"/>
      <c r="EW61" s="131"/>
      <c r="EX61" s="131"/>
      <c r="EY61" s="159" t="s">
        <v>9775</v>
      </c>
      <c r="EZ61" s="339"/>
      <c r="FA61" s="339"/>
      <c r="FB61" s="339" t="s">
        <v>9767</v>
      </c>
      <c r="FC61" s="397"/>
      <c r="FD61" s="387" t="s">
        <v>9765</v>
      </c>
      <c r="FE61" s="387" t="s">
        <v>9739</v>
      </c>
      <c r="FF61" s="1741"/>
      <c r="FG61" s="1741" t="s">
        <v>9747</v>
      </c>
      <c r="FH61" s="1741"/>
      <c r="FI61" s="1741"/>
      <c r="FJ61" s="1739"/>
      <c r="FK61" s="1739" t="s">
        <v>9766</v>
      </c>
      <c r="FL61" s="131"/>
      <c r="FM61" s="1739"/>
      <c r="FN61" s="457"/>
      <c r="FO61" s="387"/>
      <c r="FP61" s="387"/>
      <c r="FQ61" s="339"/>
      <c r="FR61" s="1742"/>
      <c r="FS61" s="1742"/>
      <c r="FT61" s="1740"/>
      <c r="FU61" s="1740" t="s">
        <v>9734</v>
      </c>
      <c r="FV61" s="131"/>
      <c r="FW61" s="131" t="s">
        <v>9754</v>
      </c>
      <c r="FX61" s="1740"/>
      <c r="FY61" s="1742"/>
      <c r="FZ61" s="193" t="s">
        <v>9795</v>
      </c>
      <c r="GA61" s="131"/>
      <c r="GB61" s="387"/>
      <c r="GC61" s="397"/>
      <c r="GD61" s="1741"/>
      <c r="GE61" s="131"/>
      <c r="GF61" s="1742"/>
      <c r="GG61" s="131"/>
      <c r="GH61" s="387"/>
      <c r="GI61" s="448" t="s">
        <v>9758</v>
      </c>
      <c r="GJ61" s="339"/>
      <c r="GK61" s="339"/>
      <c r="GL61" s="1739"/>
      <c r="GM61" s="387"/>
      <c r="GN61" s="387" t="s">
        <v>9761</v>
      </c>
      <c r="GO61" s="448"/>
      <c r="GP61" s="1744"/>
      <c r="GQ61" s="159" t="s">
        <v>9773</v>
      </c>
      <c r="GR61" s="1742" t="s">
        <v>9741</v>
      </c>
      <c r="GS61" s="1743" t="s">
        <v>9754</v>
      </c>
      <c r="GT61" s="1744"/>
      <c r="GU61" s="387"/>
      <c r="GV61" s="339" t="s">
        <v>9784</v>
      </c>
      <c r="GW61" s="1743"/>
      <c r="GX61" s="448"/>
      <c r="GY61" s="339" t="s">
        <v>9751</v>
      </c>
      <c r="GZ61" s="448" t="s">
        <v>9751</v>
      </c>
      <c r="HA61" s="1743" t="s">
        <v>9754</v>
      </c>
      <c r="HB61" s="1742" t="s">
        <v>9734</v>
      </c>
      <c r="HC61" s="448" t="s">
        <v>9728</v>
      </c>
      <c r="HD61" s="1743"/>
      <c r="HE61" s="1750"/>
      <c r="HF61" s="339"/>
      <c r="HG61" s="387" t="s">
        <v>9769</v>
      </c>
      <c r="HH61" s="1744" t="s">
        <v>9734</v>
      </c>
      <c r="HI61" s="1741" t="s">
        <v>9769</v>
      </c>
      <c r="HJ61" s="1741" t="s">
        <v>9739</v>
      </c>
      <c r="HK61" s="1739"/>
      <c r="HL61" s="1739" t="s">
        <v>9769</v>
      </c>
      <c r="HM61" s="1741"/>
      <c r="HN61" s="1741"/>
      <c r="HO61" s="1742" t="s">
        <v>9754</v>
      </c>
      <c r="HP61" s="1743"/>
      <c r="HQ61" s="1739"/>
      <c r="HR61" s="1739"/>
      <c r="HS61" s="448"/>
      <c r="HT61" s="1743" t="s">
        <v>9768</v>
      </c>
      <c r="HU61" s="1744"/>
      <c r="HV61" s="1744" t="s">
        <v>9769</v>
      </c>
      <c r="HW61" s="387"/>
      <c r="HX61" s="387"/>
      <c r="HY61" s="1743"/>
      <c r="HZ61" s="1739"/>
      <c r="IA61" s="1741" t="s">
        <v>9754</v>
      </c>
      <c r="IB61" s="1740"/>
      <c r="IC61" s="448"/>
      <c r="ID61" s="1741"/>
      <c r="IE61" s="1742"/>
      <c r="IF61" s="339"/>
      <c r="IG61" s="1739"/>
      <c r="IH61" s="1742" t="s">
        <v>9734</v>
      </c>
      <c r="II61" s="1742" t="s">
        <v>9724</v>
      </c>
      <c r="IJ61" s="339"/>
      <c r="IK61" s="1741" t="s">
        <v>9783</v>
      </c>
      <c r="IL61" s="393"/>
      <c r="IM61" s="131"/>
      <c r="IN61" s="1743"/>
      <c r="IO61" s="131" t="s">
        <v>9732</v>
      </c>
      <c r="IP61" s="1740" t="s">
        <v>9736</v>
      </c>
      <c r="IQ61" s="1739" t="s">
        <v>9737</v>
      </c>
      <c r="IR61" s="131" t="s">
        <v>9757</v>
      </c>
      <c r="IS61" s="131" t="s">
        <v>9769</v>
      </c>
      <c r="IT61" s="131" t="s">
        <v>9767</v>
      </c>
      <c r="IU61" s="131" t="s">
        <v>9734</v>
      </c>
      <c r="IV61" s="1739"/>
      <c r="IW61" s="1739"/>
      <c r="IX61" s="1739" t="s">
        <v>9749</v>
      </c>
      <c r="IY61" s="387"/>
      <c r="IZ61" s="387"/>
      <c r="JA61" s="387" t="s">
        <v>9761</v>
      </c>
      <c r="JB61" s="1743"/>
      <c r="JC61" s="1743"/>
      <c r="JD61" s="1752"/>
      <c r="JE61" s="1740" t="s">
        <v>9761</v>
      </c>
      <c r="JF61" s="1739"/>
      <c r="JG61" s="1740"/>
      <c r="JH61" s="339"/>
      <c r="JI61" s="448"/>
      <c r="JJ61" s="249"/>
      <c r="JK61" s="131"/>
      <c r="JL61" s="131" t="s">
        <v>9765</v>
      </c>
      <c r="JM61" s="131" t="s">
        <v>9754</v>
      </c>
      <c r="JN61" s="1741"/>
      <c r="JO61" s="1741" t="s">
        <v>9747</v>
      </c>
      <c r="JP61" s="1741" t="s">
        <v>9751</v>
      </c>
      <c r="JQ61" s="387"/>
      <c r="JR61" s="387"/>
      <c r="JS61" s="1740"/>
      <c r="JT61" s="365"/>
      <c r="JU61" s="1740" t="s">
        <v>9754</v>
      </c>
      <c r="JV61" s="1740" t="s">
        <v>9754</v>
      </c>
      <c r="JW61" s="1740" t="s">
        <v>9734</v>
      </c>
      <c r="JX61" s="387"/>
      <c r="JY61" s="235" t="s">
        <v>9773</v>
      </c>
      <c r="JZ61" s="1741"/>
      <c r="KA61" s="131" t="s">
        <v>9757</v>
      </c>
      <c r="KB61" s="1741" t="s">
        <v>9767</v>
      </c>
      <c r="KC61" s="1740" t="s">
        <v>9751</v>
      </c>
      <c r="KD61" s="1741" t="s">
        <v>9741</v>
      </c>
      <c r="KE61" s="1743"/>
      <c r="KF61" s="339"/>
      <c r="KG61" s="1741"/>
      <c r="KH61" s="1742"/>
      <c r="KI61" s="387" t="s">
        <v>9769</v>
      </c>
      <c r="KJ61" s="387" t="s">
        <v>9739</v>
      </c>
      <c r="KK61" s="339"/>
      <c r="KL61" s="1741"/>
      <c r="KM61" s="387"/>
      <c r="KN61" s="1743"/>
      <c r="KO61" s="1742"/>
      <c r="KP61" s="448" t="s">
        <v>9754</v>
      </c>
      <c r="KQ61" s="448" t="s">
        <v>9764</v>
      </c>
      <c r="KR61" s="1744" t="s">
        <v>9739</v>
      </c>
      <c r="KS61" s="1743"/>
      <c r="KT61" s="1743"/>
      <c r="KU61" s="1743" t="s">
        <v>9732</v>
      </c>
      <c r="KV61" s="387" t="s">
        <v>9766</v>
      </c>
      <c r="KW61" s="1739" t="s">
        <v>9757</v>
      </c>
      <c r="KX61" s="131"/>
      <c r="KY61" s="339"/>
      <c r="KZ61" s="339"/>
      <c r="LA61" s="339"/>
      <c r="LB61" s="1754"/>
      <c r="LC61" s="448"/>
      <c r="LD61" s="131"/>
      <c r="LE61" s="131"/>
      <c r="LF61" s="448"/>
      <c r="LG61" s="1739"/>
      <c r="LH61" s="387" t="s">
        <v>9765</v>
      </c>
      <c r="LI61" s="387"/>
      <c r="LJ61" s="387"/>
      <c r="LK61" s="339"/>
      <c r="LL61" s="1739" t="s">
        <v>9769</v>
      </c>
      <c r="LM61" s="1741"/>
      <c r="LN61" s="1744" t="s">
        <v>9784</v>
      </c>
      <c r="LO61" s="448" t="s">
        <v>9737</v>
      </c>
      <c r="LP61" s="1741" t="s">
        <v>9754</v>
      </c>
      <c r="LQ61" s="1741"/>
      <c r="LR61" s="249"/>
      <c r="LS61" s="131" t="s">
        <v>9759</v>
      </c>
      <c r="LT61" s="131"/>
      <c r="LU61" s="131" t="s">
        <v>9767</v>
      </c>
      <c r="LV61" s="387"/>
      <c r="LW61" s="387" t="s">
        <v>9769</v>
      </c>
      <c r="LX61" s="1740" t="s">
        <v>9732</v>
      </c>
      <c r="LY61" s="1744"/>
      <c r="LZ61" s="339" t="s">
        <v>9739</v>
      </c>
      <c r="MA61" s="1739" t="s">
        <v>9742</v>
      </c>
      <c r="MB61" s="1743"/>
      <c r="MC61" s="387"/>
      <c r="MD61" s="1739" t="s">
        <v>9769</v>
      </c>
      <c r="ME61" s="1739" t="s">
        <v>9754</v>
      </c>
      <c r="MF61" s="1741" t="s">
        <v>9747</v>
      </c>
      <c r="MG61" s="1744" t="s">
        <v>9751</v>
      </c>
      <c r="MH61" s="448"/>
      <c r="MI61" s="131"/>
      <c r="MJ61" s="1743"/>
      <c r="MK61" s="1743" t="s">
        <v>9766</v>
      </c>
      <c r="ML61" s="1741"/>
      <c r="MM61" s="1742"/>
      <c r="MN61" s="1767"/>
      <c r="MO61" s="131" t="s">
        <v>9746</v>
      </c>
      <c r="MP61" s="1744" t="s">
        <v>9784</v>
      </c>
      <c r="MQ61" s="1744" t="s">
        <v>9764</v>
      </c>
      <c r="MR61" s="1744"/>
      <c r="MS61" s="1744" t="s">
        <v>9734</v>
      </c>
      <c r="MT61" s="131" t="s">
        <v>9769</v>
      </c>
      <c r="MU61" s="387"/>
      <c r="MV61" s="1740" t="s">
        <v>9753</v>
      </c>
      <c r="MW61" s="387"/>
      <c r="MX61" s="1743"/>
      <c r="MY61" s="192" t="s">
        <v>9796</v>
      </c>
      <c r="MZ61" s="387"/>
      <c r="NA61" s="387"/>
      <c r="NB61" s="387"/>
      <c r="NC61" s="387"/>
      <c r="ND61" s="387"/>
      <c r="NE61" s="1742"/>
      <c r="NF61" s="1743"/>
      <c r="NG61" s="1742"/>
      <c r="NH61" s="387"/>
      <c r="NI61" s="1740"/>
      <c r="NJ61" s="387" t="s">
        <v>9759</v>
      </c>
      <c r="NK61" s="387"/>
      <c r="NL61" s="387" t="s">
        <v>9767</v>
      </c>
      <c r="NM61" s="387" t="s">
        <v>9762</v>
      </c>
      <c r="NN61" s="1741" t="s">
        <v>9754</v>
      </c>
      <c r="NO61" s="387" t="s">
        <v>9762</v>
      </c>
      <c r="NP61" s="1743" t="s">
        <v>9754</v>
      </c>
      <c r="NQ61" s="1739" t="s">
        <v>9753</v>
      </c>
      <c r="NR61" s="387" t="s">
        <v>9753</v>
      </c>
      <c r="NS61" s="387" t="s">
        <v>9769</v>
      </c>
      <c r="NT61" s="1739" t="s">
        <v>9744</v>
      </c>
      <c r="NU61" s="131" t="s">
        <v>9736</v>
      </c>
      <c r="NV61" s="339" t="s">
        <v>9739</v>
      </c>
      <c r="NW61" s="1739" t="s">
        <v>9732</v>
      </c>
      <c r="NX61" s="1739" t="s">
        <v>9732</v>
      </c>
      <c r="NY61" s="1739" t="s">
        <v>9732</v>
      </c>
      <c r="NZ61" s="1739" t="s">
        <v>9732</v>
      </c>
      <c r="OA61" s="131"/>
      <c r="OB61" s="131"/>
      <c r="OC61" s="131" t="s">
        <v>9747</v>
      </c>
      <c r="OD61" s="1741" t="s">
        <v>9766</v>
      </c>
      <c r="OE61" s="1741" t="s">
        <v>9747</v>
      </c>
      <c r="OF61" s="1741" t="s">
        <v>9745</v>
      </c>
      <c r="OG61" s="387"/>
      <c r="OH61" s="387"/>
      <c r="OI61" s="387" t="s">
        <v>9754</v>
      </c>
      <c r="OJ61" s="1741"/>
      <c r="OK61" s="1741"/>
      <c r="OL61" s="1741"/>
      <c r="OM61" s="1741"/>
      <c r="ON61" s="1741" t="s">
        <v>9767</v>
      </c>
      <c r="OO61" s="1739"/>
      <c r="OP61" s="1739"/>
      <c r="OQ61" s="387"/>
      <c r="OR61" s="387"/>
      <c r="OS61" s="387"/>
      <c r="OT61" s="131"/>
      <c r="OU61" s="131"/>
      <c r="OV61" s="387" t="s">
        <v>9751</v>
      </c>
      <c r="OW61" s="387" t="s">
        <v>9744</v>
      </c>
      <c r="OX61" s="1743" t="s">
        <v>9754</v>
      </c>
      <c r="OY61" s="1743" t="s">
        <v>9751</v>
      </c>
      <c r="OZ61" s="131"/>
      <c r="PA61" s="131"/>
      <c r="PB61" s="339"/>
      <c r="PC61" s="1742"/>
      <c r="PD61" s="193" t="s">
        <v>9773</v>
      </c>
      <c r="PE61" s="339"/>
      <c r="PF61" s="339"/>
      <c r="PG61" s="1740"/>
      <c r="PH61" s="1741"/>
      <c r="PI61" s="1741" t="s">
        <v>9769</v>
      </c>
      <c r="PJ61" s="1742"/>
      <c r="PK61" s="1742"/>
      <c r="PL61" s="448"/>
      <c r="PM61" s="448"/>
      <c r="PN61" s="448" t="s">
        <v>9757</v>
      </c>
      <c r="PO61" s="448" t="s">
        <v>9768</v>
      </c>
      <c r="PP61" s="448" t="s">
        <v>9768</v>
      </c>
      <c r="PQ61" s="1741" t="s">
        <v>9768</v>
      </c>
      <c r="PR61" s="1741" t="s">
        <v>9767</v>
      </c>
      <c r="PS61" s="448" t="s">
        <v>9764</v>
      </c>
      <c r="PT61" s="1744" t="s">
        <v>9768</v>
      </c>
      <c r="PU61" s="1743"/>
      <c r="PV61" s="1743" t="s">
        <v>9758</v>
      </c>
      <c r="PW61" s="339"/>
      <c r="PX61" s="448"/>
      <c r="PY61" s="448" t="s">
        <v>9767</v>
      </c>
      <c r="PZ61" s="131" t="s">
        <v>9762</v>
      </c>
      <c r="QA61" s="131" t="s">
        <v>9757</v>
      </c>
      <c r="QB61" s="1741"/>
      <c r="QC61" s="1742" t="s">
        <v>9743</v>
      </c>
      <c r="QD61" s="1742"/>
      <c r="QE61" s="1744"/>
      <c r="QF61" s="448"/>
      <c r="QG61" s="387"/>
      <c r="QH61" s="387" t="s">
        <v>9783</v>
      </c>
      <c r="QI61" s="387" t="s">
        <v>9739</v>
      </c>
      <c r="QJ61" s="1744" t="s">
        <v>9754</v>
      </c>
      <c r="QK61" s="387"/>
      <c r="QL61" s="387" t="s">
        <v>9734</v>
      </c>
      <c r="QM61" s="1741"/>
      <c r="QN61" s="1741"/>
      <c r="QO61" s="448" t="s">
        <v>9767</v>
      </c>
      <c r="QP61" s="448" t="s">
        <v>9755</v>
      </c>
      <c r="QQ61" s="387" t="s">
        <v>9747</v>
      </c>
      <c r="QR61" s="387" t="s">
        <v>9751</v>
      </c>
      <c r="QS61" s="131"/>
      <c r="QT61" s="387"/>
      <c r="QU61" s="387"/>
      <c r="QV61" s="387"/>
      <c r="QW61" s="1740"/>
      <c r="QX61" s="1740" t="s">
        <v>9734</v>
      </c>
      <c r="QY61" s="1744" t="s">
        <v>9756</v>
      </c>
      <c r="QZ61" s="1743"/>
      <c r="RA61" s="1742" t="s">
        <v>9741</v>
      </c>
      <c r="RB61" s="1743" t="s">
        <v>9741</v>
      </c>
      <c r="RC61" s="387" t="s">
        <v>9749</v>
      </c>
      <c r="RD61" s="339" t="s">
        <v>9739</v>
      </c>
      <c r="RE61" s="1739" t="s">
        <v>9754</v>
      </c>
      <c r="RF61" s="1740" t="s">
        <v>9734</v>
      </c>
      <c r="RG61" s="131"/>
      <c r="RH61" s="159" t="s">
        <v>9797</v>
      </c>
      <c r="RI61" s="387"/>
      <c r="RJ61" s="448" t="s">
        <v>9734</v>
      </c>
      <c r="RK61" s="1741"/>
      <c r="RL61" s="1739"/>
      <c r="RM61" s="1740" t="s">
        <v>9732</v>
      </c>
      <c r="RN61" s="1743"/>
      <c r="RO61" s="1744" t="s">
        <v>9743</v>
      </c>
      <c r="RP61" s="1740" t="s">
        <v>9734</v>
      </c>
      <c r="RQ61" s="1739"/>
      <c r="RR61" s="1739"/>
      <c r="RS61" s="1739"/>
      <c r="RT61" s="1739"/>
      <c r="RU61" s="1739"/>
      <c r="RV61" s="1739"/>
      <c r="RW61" s="339" t="s">
        <v>9743</v>
      </c>
      <c r="RX61" s="1742" t="s">
        <v>9743</v>
      </c>
      <c r="RY61" s="387" t="s">
        <v>9741</v>
      </c>
      <c r="RZ61" s="1740" t="s">
        <v>9760</v>
      </c>
      <c r="SA61" s="448" t="s">
        <v>9753</v>
      </c>
      <c r="SB61" s="1741" t="s">
        <v>9754</v>
      </c>
      <c r="SC61" s="1740" t="s">
        <v>9783</v>
      </c>
      <c r="SD61" s="1744" t="s">
        <v>9764</v>
      </c>
      <c r="SE61" s="1744" t="s">
        <v>9764</v>
      </c>
      <c r="SF61" s="339"/>
      <c r="SG61" s="387"/>
      <c r="SH61" s="387"/>
      <c r="SI61" s="1744" t="s">
        <v>9753</v>
      </c>
      <c r="SJ61" s="131"/>
      <c r="SK61" s="131"/>
      <c r="SL61" s="1743"/>
    </row>
    <row r="62" ht="15.75" customHeight="1">
      <c r="A62" s="1517"/>
      <c r="B62" s="148"/>
      <c r="C62" s="148"/>
      <c r="D62" s="148"/>
      <c r="E62" s="253"/>
      <c r="F62" s="253"/>
      <c r="G62" s="148" t="s">
        <v>9751</v>
      </c>
      <c r="H62" s="148"/>
      <c r="I62" s="148"/>
      <c r="J62" s="148" t="s">
        <v>9766</v>
      </c>
      <c r="K62" s="148"/>
      <c r="L62" s="148"/>
      <c r="M62" s="193" t="s">
        <v>9779</v>
      </c>
      <c r="N62" s="148"/>
      <c r="O62" s="148"/>
      <c r="P62" s="192" t="s">
        <v>9770</v>
      </c>
      <c r="Q62" s="148"/>
      <c r="R62" s="148"/>
      <c r="S62" s="148"/>
      <c r="T62" s="148"/>
      <c r="U62" s="148" t="s">
        <v>9769</v>
      </c>
      <c r="V62" s="148"/>
      <c r="W62" s="148"/>
      <c r="X62" s="148"/>
      <c r="Y62" s="148"/>
      <c r="Z62" s="148"/>
      <c r="AA62" s="193" t="s">
        <v>9761</v>
      </c>
      <c r="AB62" s="148" t="s">
        <v>9783</v>
      </c>
      <c r="AC62" s="148" t="s">
        <v>9754</v>
      </c>
      <c r="AD62" s="148"/>
      <c r="AE62" s="148"/>
      <c r="AF62" s="148" t="s">
        <v>9728</v>
      </c>
      <c r="AG62" s="148"/>
      <c r="AH62" s="148"/>
      <c r="AI62" s="148" t="s">
        <v>9732</v>
      </c>
      <c r="AJ62" s="148" t="s">
        <v>9737</v>
      </c>
      <c r="AK62" s="148" t="s">
        <v>9729</v>
      </c>
      <c r="AL62" s="148"/>
      <c r="AM62" s="253"/>
      <c r="AN62" s="148" t="s">
        <v>9752</v>
      </c>
      <c r="AO62" s="148" t="s">
        <v>9741</v>
      </c>
      <c r="AP62" s="148"/>
      <c r="AQ62" s="148"/>
      <c r="AR62" s="148"/>
      <c r="AS62" s="148"/>
      <c r="AT62" s="148"/>
      <c r="AU62" s="148"/>
      <c r="AV62" s="253"/>
      <c r="AW62" s="148"/>
      <c r="AX62" s="148"/>
      <c r="AY62" s="148"/>
      <c r="AZ62" s="148"/>
      <c r="BA62" s="148"/>
      <c r="BB62" s="148" t="s">
        <v>9747</v>
      </c>
      <c r="BC62" s="148"/>
      <c r="BD62" s="148" t="s">
        <v>9769</v>
      </c>
      <c r="BE62" s="148" t="s">
        <v>9766</v>
      </c>
      <c r="BF62" s="148" t="s">
        <v>9747</v>
      </c>
      <c r="BG62" s="148"/>
      <c r="BH62" s="148"/>
      <c r="BI62" s="148"/>
      <c r="BJ62" s="148"/>
      <c r="BK62" s="148" t="s">
        <v>9766</v>
      </c>
      <c r="BL62" s="148" t="s">
        <v>9739</v>
      </c>
      <c r="BM62" s="148" t="s">
        <v>9739</v>
      </c>
      <c r="BN62" s="148" t="s">
        <v>9750</v>
      </c>
      <c r="BO62" s="148"/>
      <c r="BP62" s="148"/>
      <c r="BQ62" s="148" t="s">
        <v>9783</v>
      </c>
      <c r="BR62" s="148"/>
      <c r="BS62" s="148"/>
      <c r="BT62" s="148"/>
      <c r="BU62" s="148"/>
      <c r="BV62" s="148"/>
      <c r="BW62" s="148"/>
      <c r="BX62" s="148"/>
      <c r="BY62" s="148" t="s">
        <v>9769</v>
      </c>
      <c r="BZ62" s="148"/>
      <c r="CA62" s="148"/>
      <c r="CB62" s="148" t="s">
        <v>9754</v>
      </c>
      <c r="CC62" s="148" t="s">
        <v>9737</v>
      </c>
      <c r="CD62" s="148"/>
      <c r="CE62" s="148"/>
      <c r="CF62" s="148"/>
      <c r="CG62" s="148"/>
      <c r="CH62" s="148"/>
      <c r="CI62" s="148"/>
      <c r="CJ62" s="148"/>
      <c r="CK62" s="148"/>
      <c r="CL62" s="148" t="s">
        <v>9751</v>
      </c>
      <c r="CM62" s="148"/>
      <c r="CN62" s="148"/>
      <c r="CO62" s="148"/>
      <c r="CP62" s="148" t="s">
        <v>9754</v>
      </c>
      <c r="CQ62" s="148" t="s">
        <v>9741</v>
      </c>
      <c r="CR62" s="148" t="s">
        <v>9783</v>
      </c>
      <c r="CS62" s="148" t="s">
        <v>9754</v>
      </c>
      <c r="CT62" s="148" t="s">
        <v>9739</v>
      </c>
      <c r="CU62" s="253"/>
      <c r="CV62" s="192" t="s">
        <v>9792</v>
      </c>
      <c r="CW62" s="148"/>
      <c r="CX62" s="148"/>
      <c r="CY62" s="148"/>
      <c r="CZ62" s="148"/>
      <c r="DA62" s="148" t="s">
        <v>9783</v>
      </c>
      <c r="DB62" s="148" t="s">
        <v>9747</v>
      </c>
      <c r="DC62" s="148"/>
      <c r="DD62" s="148"/>
      <c r="DE62" s="148" t="s">
        <v>9734</v>
      </c>
      <c r="DF62" s="148"/>
      <c r="DG62" s="148"/>
      <c r="DH62" s="148" t="s">
        <v>9749</v>
      </c>
      <c r="DI62" s="148" t="s">
        <v>9744</v>
      </c>
      <c r="DJ62" s="148" t="s">
        <v>9728</v>
      </c>
      <c r="DK62" s="148"/>
      <c r="DL62" s="148" t="s">
        <v>9732</v>
      </c>
      <c r="DM62" s="148"/>
      <c r="DN62" s="148"/>
      <c r="DO62" s="148"/>
      <c r="DP62" s="148"/>
      <c r="DQ62" s="148"/>
      <c r="DR62" s="148" t="s">
        <v>9765</v>
      </c>
      <c r="DS62" s="148" t="s">
        <v>9740</v>
      </c>
      <c r="DT62" s="148"/>
      <c r="DU62" s="148" t="s">
        <v>9756</v>
      </c>
      <c r="DV62" s="148"/>
      <c r="DW62" s="148"/>
      <c r="DX62" s="148" t="s">
        <v>9769</v>
      </c>
      <c r="DY62" s="148" t="s">
        <v>9766</v>
      </c>
      <c r="DZ62" s="148"/>
      <c r="EA62" s="148" t="s">
        <v>9754</v>
      </c>
      <c r="EB62" s="148"/>
      <c r="EC62" s="148"/>
      <c r="ED62" s="148"/>
      <c r="EE62" s="148"/>
      <c r="EF62" s="148"/>
      <c r="EG62" s="148"/>
      <c r="EH62" s="148"/>
      <c r="EI62" s="148"/>
      <c r="EJ62" s="148"/>
      <c r="EK62" s="148"/>
      <c r="EL62" s="148" t="s">
        <v>9761</v>
      </c>
      <c r="EM62" s="148" t="s">
        <v>9739</v>
      </c>
      <c r="EN62" s="148" t="s">
        <v>9739</v>
      </c>
      <c r="EO62" s="148"/>
      <c r="EP62" s="148"/>
      <c r="EQ62" s="148"/>
      <c r="ER62" s="148"/>
      <c r="ES62" s="148"/>
      <c r="ET62" s="148" t="s">
        <v>9732</v>
      </c>
      <c r="EU62" s="148" t="s">
        <v>9718</v>
      </c>
      <c r="EV62" s="148"/>
      <c r="EW62" s="148"/>
      <c r="EX62" s="148"/>
      <c r="EY62" s="253"/>
      <c r="EZ62" s="148"/>
      <c r="FA62" s="148"/>
      <c r="FB62" s="148" t="s">
        <v>9766</v>
      </c>
      <c r="FC62" s="148"/>
      <c r="FD62" s="276"/>
      <c r="FE62" s="148" t="s">
        <v>9747</v>
      </c>
      <c r="FF62" s="148"/>
      <c r="FG62" s="148" t="s">
        <v>9758</v>
      </c>
      <c r="FH62" s="148"/>
      <c r="FI62" s="148"/>
      <c r="FJ62" s="148"/>
      <c r="FK62" s="148" t="s">
        <v>9769</v>
      </c>
      <c r="FL62" s="148"/>
      <c r="FM62" s="148"/>
      <c r="FN62" s="159" t="s">
        <v>9773</v>
      </c>
      <c r="FO62" s="148"/>
      <c r="FP62" s="148"/>
      <c r="FQ62" s="148"/>
      <c r="FR62" s="148"/>
      <c r="FS62" s="148"/>
      <c r="FT62" s="148"/>
      <c r="FU62" s="148" t="s">
        <v>9739</v>
      </c>
      <c r="FV62" s="148"/>
      <c r="FW62" s="148" t="s">
        <v>9784</v>
      </c>
      <c r="FX62" s="148"/>
      <c r="FY62" s="148"/>
      <c r="FZ62" s="253"/>
      <c r="GA62" s="148"/>
      <c r="GB62" s="148"/>
      <c r="GC62" s="148"/>
      <c r="GD62" s="148"/>
      <c r="GE62" s="148"/>
      <c r="GF62" s="148"/>
      <c r="GG62" s="148"/>
      <c r="GH62" s="148"/>
      <c r="GI62" s="148" t="s">
        <v>9754</v>
      </c>
      <c r="GJ62" s="148"/>
      <c r="GK62" s="148"/>
      <c r="GL62" s="148"/>
      <c r="GM62" s="148"/>
      <c r="GN62" s="148" t="s">
        <v>9766</v>
      </c>
      <c r="GO62" s="148"/>
      <c r="GP62" s="148"/>
      <c r="GQ62" s="253"/>
      <c r="GR62" s="148" t="s">
        <v>9737</v>
      </c>
      <c r="GS62" s="148" t="s">
        <v>9784</v>
      </c>
      <c r="GT62" s="148"/>
      <c r="GU62" s="148"/>
      <c r="GV62" s="148" t="s">
        <v>9766</v>
      </c>
      <c r="GW62" s="148"/>
      <c r="GX62" s="1768" t="s">
        <v>9770</v>
      </c>
      <c r="GY62" s="148" t="s">
        <v>9739</v>
      </c>
      <c r="GZ62" s="148" t="s">
        <v>9755</v>
      </c>
      <c r="HA62" s="148" t="s">
        <v>9762</v>
      </c>
      <c r="HB62" s="148" t="s">
        <v>9739</v>
      </c>
      <c r="HC62" s="148" t="s">
        <v>9732</v>
      </c>
      <c r="HD62" s="148"/>
      <c r="HE62" s="159" t="s">
        <v>9689</v>
      </c>
      <c r="HF62" s="148"/>
      <c r="HG62" s="276"/>
      <c r="HH62" s="148" t="s">
        <v>9764</v>
      </c>
      <c r="HI62" s="148"/>
      <c r="HJ62" s="148" t="s">
        <v>9747</v>
      </c>
      <c r="HK62" s="148"/>
      <c r="HL62" s="148"/>
      <c r="HM62" s="148"/>
      <c r="HN62" s="148"/>
      <c r="HO62" s="148" t="s">
        <v>9761</v>
      </c>
      <c r="HP62" s="148"/>
      <c r="HQ62" s="148"/>
      <c r="HR62" s="148"/>
      <c r="HS62" s="148"/>
      <c r="HT62" s="148" t="s">
        <v>9769</v>
      </c>
      <c r="HU62" s="148"/>
      <c r="HV62" s="148"/>
      <c r="HW62" s="148"/>
      <c r="HX62" s="148"/>
      <c r="HY62" s="148"/>
      <c r="HZ62" s="148"/>
      <c r="IA62" s="148" t="s">
        <v>9784</v>
      </c>
      <c r="IB62" s="148"/>
      <c r="IC62" s="148"/>
      <c r="ID62" s="148"/>
      <c r="IE62" s="148"/>
      <c r="IF62" s="148"/>
      <c r="IG62" s="148"/>
      <c r="IH62" s="148" t="s">
        <v>9751</v>
      </c>
      <c r="II62" s="148" t="s">
        <v>9748</v>
      </c>
      <c r="IJ62" s="148"/>
      <c r="IK62" s="148"/>
      <c r="IL62" s="159" t="s">
        <v>9773</v>
      </c>
      <c r="IM62" s="148"/>
      <c r="IN62" s="148"/>
      <c r="IO62" s="148" t="s">
        <v>9736</v>
      </c>
      <c r="IP62" s="148" t="s">
        <v>9741</v>
      </c>
      <c r="IQ62" s="148" t="s">
        <v>9750</v>
      </c>
      <c r="IR62" s="148" t="s">
        <v>9747</v>
      </c>
      <c r="IS62" s="148"/>
      <c r="IT62" s="148" t="s">
        <v>9766</v>
      </c>
      <c r="IU62" s="148" t="s">
        <v>9751</v>
      </c>
      <c r="IV62" s="148"/>
      <c r="IW62" s="148"/>
      <c r="IX62" s="148" t="s">
        <v>9747</v>
      </c>
      <c r="IY62" s="148"/>
      <c r="IZ62" s="148"/>
      <c r="JA62" s="148" t="s">
        <v>9766</v>
      </c>
      <c r="JB62" s="148"/>
      <c r="JC62" s="148"/>
      <c r="JD62" s="148"/>
      <c r="JE62" s="148" t="s">
        <v>9766</v>
      </c>
      <c r="JF62" s="148"/>
      <c r="JG62" s="148"/>
      <c r="JH62" s="148"/>
      <c r="JI62" s="148"/>
      <c r="JJ62" s="148"/>
      <c r="JK62" s="1746"/>
      <c r="JL62" s="1746"/>
      <c r="JM62" s="1746" t="s">
        <v>9761</v>
      </c>
      <c r="JN62" s="1746"/>
      <c r="JO62" s="1746" t="s">
        <v>9754</v>
      </c>
      <c r="JP62" s="1746" t="s">
        <v>9755</v>
      </c>
      <c r="JQ62" s="1746"/>
      <c r="JR62" s="1746"/>
      <c r="JS62" s="148"/>
      <c r="JT62" s="148"/>
      <c r="JU62" s="148" t="s">
        <v>9784</v>
      </c>
      <c r="JV62" s="148" t="s">
        <v>9784</v>
      </c>
      <c r="JW62" s="148" t="s">
        <v>9739</v>
      </c>
      <c r="JX62" s="1746"/>
      <c r="JY62" s="1757" t="s">
        <v>9779</v>
      </c>
      <c r="JZ62" s="1746"/>
      <c r="KA62" s="1746" t="s">
        <v>9747</v>
      </c>
      <c r="KB62" s="1746" t="s">
        <v>9766</v>
      </c>
      <c r="KC62" s="148" t="s">
        <v>9739</v>
      </c>
      <c r="KD62" s="1746" t="s">
        <v>9734</v>
      </c>
      <c r="KE62" s="1746"/>
      <c r="KF62" s="148"/>
      <c r="KG62" s="1746"/>
      <c r="KH62" s="1746"/>
      <c r="KI62" s="1748"/>
      <c r="KJ62" s="148" t="s">
        <v>9747</v>
      </c>
      <c r="KK62" s="1746"/>
      <c r="KL62" s="1746"/>
      <c r="KM62" s="1746"/>
      <c r="KN62" s="1746"/>
      <c r="KO62" s="148"/>
      <c r="KP62" s="1746" t="s">
        <v>9766</v>
      </c>
      <c r="KQ62" s="148" t="s">
        <v>9739</v>
      </c>
      <c r="KR62" s="148" t="s">
        <v>9757</v>
      </c>
      <c r="KS62" s="1746"/>
      <c r="KT62" s="1746"/>
      <c r="KU62" s="148" t="s">
        <v>9736</v>
      </c>
      <c r="KV62" s="1746" t="s">
        <v>9769</v>
      </c>
      <c r="KW62" s="148" t="s">
        <v>9747</v>
      </c>
      <c r="KX62" s="1746"/>
      <c r="KY62" s="1746"/>
      <c r="KZ62" s="1746"/>
      <c r="LA62" s="1746"/>
      <c r="LB62" s="159" t="s">
        <v>9689</v>
      </c>
      <c r="LC62" s="1746"/>
      <c r="LD62" s="148"/>
      <c r="LE62" s="1746"/>
      <c r="LF62" s="1746"/>
      <c r="LG62" s="1746"/>
      <c r="LH62" s="148"/>
      <c r="LI62" s="1746"/>
      <c r="LJ62" s="1746"/>
      <c r="LK62" s="1746"/>
      <c r="LL62" s="1746"/>
      <c r="LM62" s="1746"/>
      <c r="LN62" s="1746"/>
      <c r="LO62" s="1746" t="s">
        <v>9750</v>
      </c>
      <c r="LP62" s="148" t="s">
        <v>9784</v>
      </c>
      <c r="LQ62" s="1746"/>
      <c r="LR62" s="1746"/>
      <c r="LS62" s="148" t="s">
        <v>9766</v>
      </c>
      <c r="LT62" s="1746"/>
      <c r="LU62" s="148" t="s">
        <v>9766</v>
      </c>
      <c r="LV62" s="1746"/>
      <c r="LW62" s="276"/>
      <c r="LX62" s="148" t="s">
        <v>9733</v>
      </c>
      <c r="LY62" s="1746"/>
      <c r="LZ62" s="1746" t="s">
        <v>9757</v>
      </c>
      <c r="MA62" s="1746" t="s">
        <v>9743</v>
      </c>
      <c r="MB62" s="1746"/>
      <c r="MC62" s="148"/>
      <c r="MD62" s="1746" t="s">
        <v>9765</v>
      </c>
      <c r="ME62" s="1746" t="s">
        <v>9767</v>
      </c>
      <c r="MF62" s="1746" t="s">
        <v>9754</v>
      </c>
      <c r="MG62" s="148" t="s">
        <v>9739</v>
      </c>
      <c r="MH62" s="1746"/>
      <c r="MI62" s="1746"/>
      <c r="MJ62" s="1746"/>
      <c r="MK62" s="1746" t="s">
        <v>9769</v>
      </c>
      <c r="ML62" s="1746"/>
      <c r="MM62" s="148"/>
      <c r="MN62" s="159" t="s">
        <v>9774</v>
      </c>
      <c r="MO62" s="148" t="s">
        <v>9737</v>
      </c>
      <c r="MP62" s="1746"/>
      <c r="MQ62" s="1746" t="s">
        <v>9739</v>
      </c>
      <c r="MR62" s="1746"/>
      <c r="MS62" s="148" t="s">
        <v>9764</v>
      </c>
      <c r="MT62" s="276"/>
      <c r="MU62" s="1746"/>
      <c r="MV62" s="148" t="s">
        <v>9740</v>
      </c>
      <c r="MW62" s="1746"/>
      <c r="MX62" s="1746"/>
      <c r="MY62" s="235" t="s">
        <v>9798</v>
      </c>
      <c r="MZ62" s="1746"/>
      <c r="NA62" s="1746"/>
      <c r="NB62" s="148"/>
      <c r="NC62" s="1746"/>
      <c r="ND62" s="1746"/>
      <c r="NE62" s="1746"/>
      <c r="NF62" s="148"/>
      <c r="NG62" s="1746"/>
      <c r="NH62" s="1746"/>
      <c r="NI62" s="148"/>
      <c r="NJ62" s="148" t="s">
        <v>9766</v>
      </c>
      <c r="NK62" s="1746"/>
      <c r="NL62" s="1746" t="s">
        <v>9766</v>
      </c>
      <c r="NM62" s="1746" t="s">
        <v>9767</v>
      </c>
      <c r="NN62" s="1746" t="s">
        <v>9766</v>
      </c>
      <c r="NO62" s="1746" t="s">
        <v>9766</v>
      </c>
      <c r="NP62" s="1746" t="s">
        <v>9762</v>
      </c>
      <c r="NQ62" s="1746" t="s">
        <v>9741</v>
      </c>
      <c r="NR62" s="1746" t="s">
        <v>9741</v>
      </c>
      <c r="NS62" s="1746" t="s">
        <v>9765</v>
      </c>
      <c r="NT62" s="1746" t="s">
        <v>9760</v>
      </c>
      <c r="NU62" s="1746" t="s">
        <v>9753</v>
      </c>
      <c r="NV62" s="1746" t="s">
        <v>9757</v>
      </c>
      <c r="NW62" s="1746" t="s">
        <v>9729</v>
      </c>
      <c r="NX62" s="1746" t="s">
        <v>9729</v>
      </c>
      <c r="NY62" s="1746" t="s">
        <v>9729</v>
      </c>
      <c r="NZ62" s="1746" t="s">
        <v>9729</v>
      </c>
      <c r="OA62" s="1746"/>
      <c r="OB62" s="1746"/>
      <c r="OC62" s="1746" t="s">
        <v>9754</v>
      </c>
      <c r="OD62" s="1746" t="s">
        <v>9769</v>
      </c>
      <c r="OE62" s="1746" t="s">
        <v>9758</v>
      </c>
      <c r="OF62" s="1746" t="s">
        <v>9742</v>
      </c>
      <c r="OG62" s="1746"/>
      <c r="OH62" s="1746"/>
      <c r="OI62" s="1746" t="s">
        <v>9762</v>
      </c>
      <c r="OJ62" s="1746"/>
      <c r="OK62" s="1746"/>
      <c r="OL62" s="1746"/>
      <c r="OM62" s="1746"/>
      <c r="ON62" s="1746" t="s">
        <v>9761</v>
      </c>
      <c r="OO62" s="1746"/>
      <c r="OP62" s="148"/>
      <c r="OQ62" s="1746"/>
      <c r="OR62" s="1746"/>
      <c r="OS62" s="1746"/>
      <c r="OT62" s="1746"/>
      <c r="OU62" s="1746"/>
      <c r="OV62" s="1746" t="s">
        <v>9739</v>
      </c>
      <c r="OW62" s="1746" t="s">
        <v>9760</v>
      </c>
      <c r="OX62" s="1746" t="s">
        <v>9762</v>
      </c>
      <c r="OY62" s="1746" t="s">
        <v>9739</v>
      </c>
      <c r="OZ62" s="1746"/>
      <c r="PA62" s="1746"/>
      <c r="PB62" s="1746"/>
      <c r="PC62" s="1746"/>
      <c r="PD62" s="1737"/>
      <c r="PE62" s="1746"/>
      <c r="PF62" s="1746"/>
      <c r="PG62" s="148"/>
      <c r="PH62" s="1746"/>
      <c r="PI62" s="1746" t="s">
        <v>9765</v>
      </c>
      <c r="PJ62" s="1746"/>
      <c r="PK62" s="1746"/>
      <c r="PL62" s="1746"/>
      <c r="PM62" s="1746"/>
      <c r="PN62" s="1746" t="s">
        <v>9747</v>
      </c>
      <c r="PO62" s="1748"/>
      <c r="PP62" s="1748"/>
      <c r="PQ62" s="1746"/>
      <c r="PR62" s="148" t="s">
        <v>9766</v>
      </c>
      <c r="PS62" s="1746" t="s">
        <v>9739</v>
      </c>
      <c r="PT62" s="1748"/>
      <c r="PU62" s="1746"/>
      <c r="PV62" s="1746" t="s">
        <v>9754</v>
      </c>
      <c r="PW62" s="1746"/>
      <c r="PX62" s="1746"/>
      <c r="PY62" s="148" t="s">
        <v>9766</v>
      </c>
      <c r="PZ62" s="1746" t="s">
        <v>9784</v>
      </c>
      <c r="QA62" s="1746" t="s">
        <v>9747</v>
      </c>
      <c r="QB62" s="1746"/>
      <c r="QC62" s="1746" t="s">
        <v>9734</v>
      </c>
      <c r="QD62" s="1746"/>
      <c r="QE62" s="1746"/>
      <c r="QF62" s="1746"/>
      <c r="QG62" s="1746"/>
      <c r="QH62" s="1746"/>
      <c r="QI62" s="1746" t="s">
        <v>9749</v>
      </c>
      <c r="QJ62" s="1746" t="s">
        <v>9761</v>
      </c>
      <c r="QK62" s="1746"/>
      <c r="QL62" s="148" t="s">
        <v>9764</v>
      </c>
      <c r="QM62" s="1746"/>
      <c r="QN62" s="1746"/>
      <c r="QO62" s="1746" t="s">
        <v>9766</v>
      </c>
      <c r="QP62" s="1746" t="s">
        <v>9739</v>
      </c>
      <c r="QQ62" s="1746" t="s">
        <v>9754</v>
      </c>
      <c r="QR62" s="1746" t="s">
        <v>9755</v>
      </c>
      <c r="QS62" s="1746"/>
      <c r="QT62" s="1746"/>
      <c r="QU62" s="1746"/>
      <c r="QV62" s="1746"/>
      <c r="QW62" s="148"/>
      <c r="QX62" s="148" t="s">
        <v>9751</v>
      </c>
      <c r="QY62" s="148" t="s">
        <v>9745</v>
      </c>
      <c r="QZ62" s="148"/>
      <c r="RA62" s="148" t="s">
        <v>9752</v>
      </c>
      <c r="RB62" s="148" t="s">
        <v>9744</v>
      </c>
      <c r="RC62" s="1746" t="s">
        <v>9757</v>
      </c>
      <c r="RD62" s="148" t="s">
        <v>9747</v>
      </c>
      <c r="RE62" s="1746" t="s">
        <v>9766</v>
      </c>
      <c r="RF62" s="148" t="s">
        <v>9739</v>
      </c>
      <c r="RG62" s="148"/>
      <c r="RH62" s="1737"/>
      <c r="RI62" s="1746"/>
      <c r="RJ62" s="148" t="s">
        <v>9764</v>
      </c>
      <c r="RK62" s="148"/>
      <c r="RL62" s="148"/>
      <c r="RM62" s="148" t="s">
        <v>9729</v>
      </c>
      <c r="RN62" s="148"/>
      <c r="RO62" s="148" t="s">
        <v>9734</v>
      </c>
      <c r="RP62" s="148" t="s">
        <v>9739</v>
      </c>
      <c r="RQ62" s="1746"/>
      <c r="RR62" s="1746"/>
      <c r="RS62" s="1746"/>
      <c r="RT62" s="1746"/>
      <c r="RU62" s="1746"/>
      <c r="RV62" s="1746"/>
      <c r="RW62" s="1746" t="s">
        <v>9739</v>
      </c>
      <c r="RX62" s="1746" t="s">
        <v>9739</v>
      </c>
      <c r="RY62" s="1746" t="s">
        <v>9737</v>
      </c>
      <c r="RZ62" s="148" t="s">
        <v>9750</v>
      </c>
      <c r="SA62" s="1746" t="s">
        <v>9741</v>
      </c>
      <c r="SB62" s="1746" t="s">
        <v>9762</v>
      </c>
      <c r="SC62" s="148"/>
      <c r="SD62" s="1746" t="s">
        <v>9739</v>
      </c>
      <c r="SE62" s="1746" t="s">
        <v>9739</v>
      </c>
      <c r="SF62" s="1746"/>
      <c r="SG62" s="1746"/>
      <c r="SH62" s="1746"/>
      <c r="SI62" s="1746" t="s">
        <v>9740</v>
      </c>
      <c r="SJ62" s="1746"/>
      <c r="SK62" s="1746"/>
      <c r="SL62" s="1746"/>
    </row>
    <row r="63" ht="15.75" customHeight="1">
      <c r="A63" s="1517"/>
      <c r="B63" s="131"/>
      <c r="C63" s="131"/>
      <c r="D63" s="131"/>
      <c r="E63" s="1739"/>
      <c r="F63" s="1739"/>
      <c r="G63" s="1739" t="s">
        <v>9739</v>
      </c>
      <c r="H63" s="387"/>
      <c r="I63" s="387"/>
      <c r="J63" s="387" t="s">
        <v>9769</v>
      </c>
      <c r="K63" s="131"/>
      <c r="L63" s="131"/>
      <c r="M63" s="1769"/>
      <c r="N63" s="1741"/>
      <c r="O63" s="339"/>
      <c r="P63" s="193" t="s">
        <v>9779</v>
      </c>
      <c r="Q63" s="1741"/>
      <c r="R63" s="1741"/>
      <c r="S63" s="1741"/>
      <c r="T63" s="448"/>
      <c r="U63" s="1741"/>
      <c r="V63" s="1741"/>
      <c r="W63" s="1741"/>
      <c r="X63" s="448"/>
      <c r="Y63" s="448"/>
      <c r="Z63" s="339"/>
      <c r="AA63" s="365"/>
      <c r="AB63" s="339"/>
      <c r="AC63" s="339" t="s">
        <v>9767</v>
      </c>
      <c r="AD63" s="387"/>
      <c r="AE63" s="387"/>
      <c r="AF63" s="387" t="s">
        <v>9732</v>
      </c>
      <c r="AG63" s="448"/>
      <c r="AH63" s="448"/>
      <c r="AI63" s="448" t="s">
        <v>9736</v>
      </c>
      <c r="AJ63" s="1742" t="s">
        <v>9750</v>
      </c>
      <c r="AK63" s="1742" t="s">
        <v>9746</v>
      </c>
      <c r="AL63" s="1741"/>
      <c r="AM63" s="339"/>
      <c r="AN63" s="1742" t="s">
        <v>9742</v>
      </c>
      <c r="AO63" s="1742" t="s">
        <v>9737</v>
      </c>
      <c r="AP63" s="448"/>
      <c r="AQ63" s="448"/>
      <c r="AR63" s="387"/>
      <c r="AS63" s="387"/>
      <c r="AT63" s="1739"/>
      <c r="AU63" s="1739"/>
      <c r="AV63" s="1739"/>
      <c r="AW63" s="448"/>
      <c r="AX63" s="448"/>
      <c r="AY63" s="1741"/>
      <c r="AZ63" s="1741"/>
      <c r="BA63" s="339"/>
      <c r="BB63" s="339" t="s">
        <v>9758</v>
      </c>
      <c r="BC63" s="339"/>
      <c r="BD63" s="387" t="s">
        <v>9765</v>
      </c>
      <c r="BE63" s="1741" t="s">
        <v>9769</v>
      </c>
      <c r="BF63" s="1741" t="s">
        <v>9758</v>
      </c>
      <c r="BG63" s="1741"/>
      <c r="BH63" s="1741"/>
      <c r="BI63" s="387"/>
      <c r="BJ63" s="387"/>
      <c r="BK63" s="387" t="s">
        <v>9769</v>
      </c>
      <c r="BL63" s="1741" t="s">
        <v>9757</v>
      </c>
      <c r="BM63" s="1741" t="s">
        <v>9757</v>
      </c>
      <c r="BN63" s="1741" t="s">
        <v>9743</v>
      </c>
      <c r="BO63" s="1743"/>
      <c r="BP63" s="1743"/>
      <c r="BQ63" s="1743"/>
      <c r="BR63" s="131"/>
      <c r="BS63" s="131"/>
      <c r="BT63" s="131"/>
      <c r="BU63" s="387"/>
      <c r="BV63" s="387"/>
      <c r="BW63" s="1741"/>
      <c r="BX63" s="1741"/>
      <c r="BY63" s="1741" t="s">
        <v>9783</v>
      </c>
      <c r="BZ63" s="339"/>
      <c r="CA63" s="339"/>
      <c r="CB63" s="1742" t="s">
        <v>9784</v>
      </c>
      <c r="CC63" s="1742" t="s">
        <v>9756</v>
      </c>
      <c r="CD63" s="1743"/>
      <c r="CE63" s="1743"/>
      <c r="CF63" s="1741"/>
      <c r="CG63" s="1741"/>
      <c r="CH63" s="1741"/>
      <c r="CI63" s="1740"/>
      <c r="CJ63" s="1740"/>
      <c r="CK63" s="448"/>
      <c r="CL63" s="448" t="s">
        <v>9739</v>
      </c>
      <c r="CM63" s="448"/>
      <c r="CN63" s="448"/>
      <c r="CO63" s="448"/>
      <c r="CP63" s="448" t="s">
        <v>9784</v>
      </c>
      <c r="CQ63" s="448" t="s">
        <v>9743</v>
      </c>
      <c r="CR63" s="1743"/>
      <c r="CS63" s="339" t="s">
        <v>9784</v>
      </c>
      <c r="CT63" s="339" t="s">
        <v>9757</v>
      </c>
      <c r="CU63" s="1739"/>
      <c r="CV63" s="193" t="s">
        <v>9771</v>
      </c>
      <c r="CW63" s="1739"/>
      <c r="CX63" s="1739"/>
      <c r="CY63" s="1742"/>
      <c r="CZ63" s="339"/>
      <c r="DA63" s="1741"/>
      <c r="DB63" s="1741" t="s">
        <v>9754</v>
      </c>
      <c r="DC63" s="1741"/>
      <c r="DD63" s="1741"/>
      <c r="DE63" s="1742" t="s">
        <v>9751</v>
      </c>
      <c r="DF63" s="448"/>
      <c r="DG63" s="448"/>
      <c r="DH63" s="1743" t="s">
        <v>9747</v>
      </c>
      <c r="DI63" s="1743" t="s">
        <v>9760</v>
      </c>
      <c r="DJ63" s="1742" t="s">
        <v>9732</v>
      </c>
      <c r="DK63" s="387"/>
      <c r="DL63" s="1741" t="s">
        <v>9729</v>
      </c>
      <c r="DM63" s="387"/>
      <c r="DN63" s="387"/>
      <c r="DO63" s="1739"/>
      <c r="DP63" s="1739"/>
      <c r="DQ63" s="1741"/>
      <c r="DR63" s="448"/>
      <c r="DS63" s="1742" t="s">
        <v>9746</v>
      </c>
      <c r="DT63" s="131"/>
      <c r="DU63" s="1739" t="s">
        <v>9743</v>
      </c>
      <c r="DV63" s="339"/>
      <c r="DW63" s="1739"/>
      <c r="DX63" s="1741" t="s">
        <v>9783</v>
      </c>
      <c r="DY63" s="1741" t="s">
        <v>9769</v>
      </c>
      <c r="DZ63" s="1739"/>
      <c r="EA63" s="387" t="s">
        <v>9761</v>
      </c>
      <c r="EB63" s="387"/>
      <c r="EC63" s="448"/>
      <c r="ED63" s="1741"/>
      <c r="EE63" s="387"/>
      <c r="EF63" s="339"/>
      <c r="EG63" s="1739"/>
      <c r="EH63" s="1742"/>
      <c r="EI63" s="387"/>
      <c r="EJ63" s="387"/>
      <c r="EK63" s="1741"/>
      <c r="EL63" s="1741" t="s">
        <v>9769</v>
      </c>
      <c r="EM63" s="448" t="s">
        <v>9747</v>
      </c>
      <c r="EN63" s="1744" t="s">
        <v>9747</v>
      </c>
      <c r="EO63" s="387"/>
      <c r="EP63" s="339"/>
      <c r="EQ63" s="339"/>
      <c r="ER63" s="387"/>
      <c r="ES63" s="387"/>
      <c r="ET63" s="1741" t="s">
        <v>9736</v>
      </c>
      <c r="EU63" s="448" t="s">
        <v>9722</v>
      </c>
      <c r="EV63" s="1742"/>
      <c r="EW63" s="131"/>
      <c r="EX63" s="131"/>
      <c r="EY63" s="131"/>
      <c r="EZ63" s="339"/>
      <c r="FA63" s="339"/>
      <c r="FB63" s="339" t="s">
        <v>9769</v>
      </c>
      <c r="FC63" s="387"/>
      <c r="FD63" s="159" t="s">
        <v>9679</v>
      </c>
      <c r="FE63" s="387" t="s">
        <v>9754</v>
      </c>
      <c r="FF63" s="1741"/>
      <c r="FG63" s="1741" t="s">
        <v>9754</v>
      </c>
      <c r="FH63" s="1741"/>
      <c r="FI63" s="1741"/>
      <c r="FJ63" s="1739"/>
      <c r="FK63" s="1750"/>
      <c r="FL63" s="131"/>
      <c r="FM63" s="1739"/>
      <c r="FN63" s="458"/>
      <c r="FO63" s="387"/>
      <c r="FP63" s="387"/>
      <c r="FQ63" s="339"/>
      <c r="FR63" s="1742"/>
      <c r="FS63" s="1742"/>
      <c r="FT63" s="1740"/>
      <c r="FU63" s="1740" t="s">
        <v>9757</v>
      </c>
      <c r="FV63" s="131"/>
      <c r="FW63" s="131" t="s">
        <v>9759</v>
      </c>
      <c r="FX63" s="1740"/>
      <c r="FY63" s="1742"/>
      <c r="FZ63" s="339"/>
      <c r="GA63" s="131"/>
      <c r="GB63" s="387"/>
      <c r="GC63" s="387"/>
      <c r="GD63" s="1741"/>
      <c r="GE63" s="131"/>
      <c r="GF63" s="1742"/>
      <c r="GG63" s="131"/>
      <c r="GH63" s="387"/>
      <c r="GI63" s="448" t="s">
        <v>9767</v>
      </c>
      <c r="GJ63" s="339"/>
      <c r="GK63" s="339"/>
      <c r="GL63" s="1739"/>
      <c r="GM63" s="387"/>
      <c r="GN63" s="387" t="s">
        <v>9769</v>
      </c>
      <c r="GO63" s="448"/>
      <c r="GP63" s="1744"/>
      <c r="GQ63" s="1744"/>
      <c r="GR63" s="1742" t="s">
        <v>9756</v>
      </c>
      <c r="GS63" s="1743"/>
      <c r="GT63" s="1744"/>
      <c r="GU63" s="387"/>
      <c r="GV63" s="339" t="s">
        <v>9769</v>
      </c>
      <c r="GW63" s="1743"/>
      <c r="GX63" s="448"/>
      <c r="GY63" s="339" t="s">
        <v>9749</v>
      </c>
      <c r="GZ63" s="448" t="s">
        <v>9739</v>
      </c>
      <c r="HA63" s="1743" t="s">
        <v>9767</v>
      </c>
      <c r="HB63" s="1742" t="s">
        <v>9747</v>
      </c>
      <c r="HC63" s="448" t="s">
        <v>9740</v>
      </c>
      <c r="HD63" s="1743"/>
      <c r="HE63" s="1755"/>
      <c r="HF63" s="339"/>
      <c r="HG63" s="192" t="s">
        <v>9682</v>
      </c>
      <c r="HH63" s="1744" t="s">
        <v>9755</v>
      </c>
      <c r="HI63" s="1741"/>
      <c r="HJ63" s="1741" t="s">
        <v>9754</v>
      </c>
      <c r="HK63" s="1739"/>
      <c r="HL63" s="1739"/>
      <c r="HM63" s="1741"/>
      <c r="HN63" s="1741"/>
      <c r="HO63" s="1742" t="s">
        <v>9766</v>
      </c>
      <c r="HP63" s="1743"/>
      <c r="HQ63" s="1739"/>
      <c r="HR63" s="1739"/>
      <c r="HS63" s="448"/>
      <c r="HT63" s="1754"/>
      <c r="HU63" s="1744"/>
      <c r="HV63" s="1744"/>
      <c r="HW63" s="387"/>
      <c r="HX63" s="387"/>
      <c r="HY63" s="1743"/>
      <c r="HZ63" s="1739"/>
      <c r="IA63" s="1741"/>
      <c r="IB63" s="1740"/>
      <c r="IC63" s="448"/>
      <c r="ID63" s="1741"/>
      <c r="IE63" s="1742"/>
      <c r="IF63" s="339"/>
      <c r="IG63" s="1739"/>
      <c r="IH63" s="1742" t="s">
        <v>9739</v>
      </c>
      <c r="II63" s="1742" t="s">
        <v>9728</v>
      </c>
      <c r="IJ63" s="339"/>
      <c r="IK63" s="1741"/>
      <c r="IL63" s="397"/>
      <c r="IM63" s="131"/>
      <c r="IN63" s="1743"/>
      <c r="IO63" s="131" t="s">
        <v>9753</v>
      </c>
      <c r="IP63" s="1740" t="s">
        <v>9737</v>
      </c>
      <c r="IQ63" s="1739" t="s">
        <v>9743</v>
      </c>
      <c r="IR63" s="131" t="s">
        <v>9758</v>
      </c>
      <c r="IS63" s="131"/>
      <c r="IT63" s="131" t="s">
        <v>9769</v>
      </c>
      <c r="IU63" s="131" t="s">
        <v>9755</v>
      </c>
      <c r="IV63" s="1739"/>
      <c r="IW63" s="1739"/>
      <c r="IX63" s="1739" t="s">
        <v>9754</v>
      </c>
      <c r="IY63" s="387"/>
      <c r="IZ63" s="387"/>
      <c r="JA63" s="387" t="s">
        <v>9769</v>
      </c>
      <c r="JB63" s="1743"/>
      <c r="JC63" s="1743"/>
      <c r="JD63" s="1741"/>
      <c r="JE63" s="1740" t="s">
        <v>9769</v>
      </c>
      <c r="JF63" s="1739"/>
      <c r="JG63" s="1740"/>
      <c r="JH63" s="339"/>
      <c r="JI63" s="448"/>
      <c r="JJ63" s="131"/>
      <c r="JK63" s="131"/>
      <c r="JL63" s="131"/>
      <c r="JM63" s="131" t="s">
        <v>9766</v>
      </c>
      <c r="JN63" s="1741"/>
      <c r="JO63" s="1741" t="s">
        <v>9767</v>
      </c>
      <c r="JP63" s="1741" t="s">
        <v>9739</v>
      </c>
      <c r="JQ63" s="387"/>
      <c r="JR63" s="387"/>
      <c r="JS63" s="1740"/>
      <c r="JT63" s="339"/>
      <c r="JU63" s="1740"/>
      <c r="JV63" s="1740"/>
      <c r="JW63" s="1740" t="s">
        <v>9757</v>
      </c>
      <c r="JX63" s="387"/>
      <c r="JY63" s="235" t="s">
        <v>9777</v>
      </c>
      <c r="JZ63" s="1741"/>
      <c r="KA63" s="131" t="s">
        <v>9754</v>
      </c>
      <c r="KB63" s="1741" t="s">
        <v>9769</v>
      </c>
      <c r="KC63" s="1740" t="s">
        <v>9747</v>
      </c>
      <c r="KD63" s="1741" t="s">
        <v>9751</v>
      </c>
      <c r="KE63" s="1743"/>
      <c r="KF63" s="339"/>
      <c r="KG63" s="1741"/>
      <c r="KH63" s="1742"/>
      <c r="KI63" s="159" t="s">
        <v>9770</v>
      </c>
      <c r="KJ63" s="387" t="s">
        <v>9754</v>
      </c>
      <c r="KK63" s="339"/>
      <c r="KL63" s="1741"/>
      <c r="KM63" s="387"/>
      <c r="KN63" s="1743"/>
      <c r="KO63" s="1742"/>
      <c r="KP63" s="448" t="s">
        <v>9769</v>
      </c>
      <c r="KQ63" s="448" t="s">
        <v>9749</v>
      </c>
      <c r="KR63" s="1744" t="s">
        <v>9747</v>
      </c>
      <c r="KS63" s="1743"/>
      <c r="KT63" s="1743"/>
      <c r="KU63" s="1743" t="s">
        <v>9753</v>
      </c>
      <c r="KV63" s="387"/>
      <c r="KW63" s="1739" t="s">
        <v>9754</v>
      </c>
      <c r="KX63" s="131"/>
      <c r="KY63" s="339"/>
      <c r="KZ63" s="339"/>
      <c r="LA63" s="339"/>
      <c r="LB63" s="235" t="s">
        <v>9775</v>
      </c>
      <c r="LC63" s="448"/>
      <c r="LD63" s="131"/>
      <c r="LE63" s="131"/>
      <c r="LF63" s="448"/>
      <c r="LG63" s="1739"/>
      <c r="LH63" s="387"/>
      <c r="LI63" s="387"/>
      <c r="LJ63" s="387"/>
      <c r="LK63" s="339"/>
      <c r="LL63" s="1739"/>
      <c r="LM63" s="1741"/>
      <c r="LN63" s="1744"/>
      <c r="LO63" s="448" t="s">
        <v>9743</v>
      </c>
      <c r="LP63" s="1741" t="s">
        <v>9766</v>
      </c>
      <c r="LQ63" s="1741"/>
      <c r="LR63" s="131"/>
      <c r="LS63" s="131" t="s">
        <v>9768</v>
      </c>
      <c r="LT63" s="131"/>
      <c r="LU63" s="131"/>
      <c r="LV63" s="387"/>
      <c r="LW63" s="159" t="s">
        <v>9773</v>
      </c>
      <c r="LX63" s="1740" t="s">
        <v>9753</v>
      </c>
      <c r="LY63" s="1744"/>
      <c r="LZ63" s="339" t="s">
        <v>9747</v>
      </c>
      <c r="MA63" s="1739" t="s">
        <v>9751</v>
      </c>
      <c r="MB63" s="1743"/>
      <c r="MC63" s="387"/>
      <c r="MD63" s="1739"/>
      <c r="ME63" s="1739" t="s">
        <v>9761</v>
      </c>
      <c r="MF63" s="1741" t="s">
        <v>9784</v>
      </c>
      <c r="MG63" s="1744" t="s">
        <v>9757</v>
      </c>
      <c r="MH63" s="448"/>
      <c r="MI63" s="131"/>
      <c r="MJ63" s="1743"/>
      <c r="MK63" s="1754"/>
      <c r="ML63" s="1741"/>
      <c r="MM63" s="1742"/>
      <c r="MN63" s="1769"/>
      <c r="MO63" s="131" t="s">
        <v>9750</v>
      </c>
      <c r="MP63" s="1744"/>
      <c r="MQ63" s="1744" t="s">
        <v>9747</v>
      </c>
      <c r="MR63" s="1744"/>
      <c r="MS63" s="1744" t="s">
        <v>9751</v>
      </c>
      <c r="MT63" s="192" t="s">
        <v>9736</v>
      </c>
      <c r="MU63" s="387"/>
      <c r="MV63" s="1740" t="s">
        <v>9741</v>
      </c>
      <c r="MW63" s="387"/>
      <c r="MX63" s="1743"/>
      <c r="MY63" s="235" t="s">
        <v>9799</v>
      </c>
      <c r="MZ63" s="387"/>
      <c r="NA63" s="387"/>
      <c r="NB63" s="387"/>
      <c r="NC63" s="387"/>
      <c r="ND63" s="387"/>
      <c r="NE63" s="1742"/>
      <c r="NF63" s="1743"/>
      <c r="NG63" s="1742"/>
      <c r="NH63" s="387"/>
      <c r="NI63" s="1740"/>
      <c r="NJ63" s="387" t="s">
        <v>9768</v>
      </c>
      <c r="NK63" s="387"/>
      <c r="NL63" s="387" t="s">
        <v>9769</v>
      </c>
      <c r="NM63" s="387" t="s">
        <v>9766</v>
      </c>
      <c r="NN63" s="1741" t="s">
        <v>9769</v>
      </c>
      <c r="NO63" s="387" t="s">
        <v>9769</v>
      </c>
      <c r="NP63" s="1743" t="s">
        <v>9766</v>
      </c>
      <c r="NQ63" s="1739" t="s">
        <v>9737</v>
      </c>
      <c r="NR63" s="387" t="s">
        <v>9737</v>
      </c>
      <c r="NS63" s="387"/>
      <c r="NT63" s="1739" t="s">
        <v>9750</v>
      </c>
      <c r="NU63" s="131" t="s">
        <v>9741</v>
      </c>
      <c r="NV63" s="339" t="s">
        <v>9747</v>
      </c>
      <c r="NW63" s="1739" t="s">
        <v>9746</v>
      </c>
      <c r="NX63" s="1739" t="s">
        <v>9746</v>
      </c>
      <c r="NY63" s="1739" t="s">
        <v>9746</v>
      </c>
      <c r="NZ63" s="1739" t="s">
        <v>9746</v>
      </c>
      <c r="OA63" s="131"/>
      <c r="OB63" s="131"/>
      <c r="OC63" s="131" t="s">
        <v>9767</v>
      </c>
      <c r="OD63" s="1741" t="s">
        <v>9783</v>
      </c>
      <c r="OE63" s="1741" t="s">
        <v>9754</v>
      </c>
      <c r="OF63" s="1741" t="s">
        <v>9734</v>
      </c>
      <c r="OG63" s="387"/>
      <c r="OH63" s="387"/>
      <c r="OI63" s="387" t="s">
        <v>9767</v>
      </c>
      <c r="OJ63" s="1741"/>
      <c r="OK63" s="1741"/>
      <c r="OL63" s="1741"/>
      <c r="OM63" s="1741"/>
      <c r="ON63" s="1741" t="s">
        <v>9766</v>
      </c>
      <c r="OO63" s="1739"/>
      <c r="OP63" s="1739"/>
      <c r="OQ63" s="387"/>
      <c r="OR63" s="387"/>
      <c r="OS63" s="387"/>
      <c r="OT63" s="131"/>
      <c r="OU63" s="131"/>
      <c r="OV63" s="387" t="s">
        <v>9747</v>
      </c>
      <c r="OW63" s="387" t="s">
        <v>9756</v>
      </c>
      <c r="OX63" s="1743" t="s">
        <v>9766</v>
      </c>
      <c r="OY63" s="1743" t="s">
        <v>9747</v>
      </c>
      <c r="OZ63" s="131"/>
      <c r="PA63" s="131"/>
      <c r="PB63" s="339"/>
      <c r="PC63" s="1742"/>
      <c r="PD63" s="339"/>
      <c r="PE63" s="339"/>
      <c r="PF63" s="339"/>
      <c r="PG63" s="1740"/>
      <c r="PH63" s="1741"/>
      <c r="PI63" s="1741"/>
      <c r="PJ63" s="1742"/>
      <c r="PK63" s="1742"/>
      <c r="PL63" s="448"/>
      <c r="PM63" s="448"/>
      <c r="PN63" s="448" t="s">
        <v>9758</v>
      </c>
      <c r="PO63" s="1764" t="s">
        <v>9773</v>
      </c>
      <c r="PP63" s="239" t="s">
        <v>9800</v>
      </c>
      <c r="PQ63" s="1741"/>
      <c r="PR63" s="1741" t="s">
        <v>9769</v>
      </c>
      <c r="PS63" s="448" t="s">
        <v>9747</v>
      </c>
      <c r="PT63" s="159" t="s">
        <v>9773</v>
      </c>
      <c r="PU63" s="1743"/>
      <c r="PV63" s="1743" t="s">
        <v>9767</v>
      </c>
      <c r="PW63" s="339"/>
      <c r="PX63" s="448"/>
      <c r="PY63" s="448" t="s">
        <v>9768</v>
      </c>
      <c r="PZ63" s="131"/>
      <c r="QA63" s="131" t="s">
        <v>9754</v>
      </c>
      <c r="QB63" s="1741"/>
      <c r="QC63" s="1742" t="s">
        <v>9739</v>
      </c>
      <c r="QD63" s="1742"/>
      <c r="QE63" s="1744"/>
      <c r="QF63" s="448"/>
      <c r="QG63" s="387"/>
      <c r="QH63" s="387"/>
      <c r="QI63" s="387" t="s">
        <v>9747</v>
      </c>
      <c r="QJ63" s="1744" t="s">
        <v>9766</v>
      </c>
      <c r="QK63" s="387"/>
      <c r="QL63" s="387" t="s">
        <v>9751</v>
      </c>
      <c r="QM63" s="1741"/>
      <c r="QN63" s="1741"/>
      <c r="QO63" s="448" t="s">
        <v>9769</v>
      </c>
      <c r="QP63" s="448" t="s">
        <v>9749</v>
      </c>
      <c r="QQ63" s="387" t="s">
        <v>9766</v>
      </c>
      <c r="QR63" s="387" t="s">
        <v>9739</v>
      </c>
      <c r="QS63" s="131"/>
      <c r="QT63" s="387"/>
      <c r="QU63" s="387"/>
      <c r="QV63" s="387"/>
      <c r="QW63" s="1740"/>
      <c r="QX63" s="1740" t="s">
        <v>9739</v>
      </c>
      <c r="QY63" s="1744" t="s">
        <v>9743</v>
      </c>
      <c r="QZ63" s="1743"/>
      <c r="RA63" s="1742" t="s">
        <v>9745</v>
      </c>
      <c r="RB63" s="1743" t="s">
        <v>9760</v>
      </c>
      <c r="RC63" s="387" t="s">
        <v>9747</v>
      </c>
      <c r="RD63" s="339" t="s">
        <v>9754</v>
      </c>
      <c r="RE63" s="1739" t="s">
        <v>9769</v>
      </c>
      <c r="RF63" s="1740" t="s">
        <v>9757</v>
      </c>
      <c r="RG63" s="131"/>
      <c r="RH63" s="131"/>
      <c r="RI63" s="387"/>
      <c r="RJ63" s="448" t="s">
        <v>9751</v>
      </c>
      <c r="RK63" s="1741"/>
      <c r="RL63" s="1739"/>
      <c r="RM63" s="1740" t="s">
        <v>9746</v>
      </c>
      <c r="RN63" s="1743"/>
      <c r="RO63" s="1744" t="s">
        <v>9764</v>
      </c>
      <c r="RP63" s="1740" t="s">
        <v>9747</v>
      </c>
      <c r="RQ63" s="1739"/>
      <c r="RR63" s="1739"/>
      <c r="RS63" s="1739"/>
      <c r="RT63" s="1739"/>
      <c r="RU63" s="1739"/>
      <c r="RV63" s="1739"/>
      <c r="RW63" s="339" t="s">
        <v>9757</v>
      </c>
      <c r="RX63" s="1742" t="s">
        <v>9757</v>
      </c>
      <c r="RY63" s="387" t="s">
        <v>9750</v>
      </c>
      <c r="RZ63" s="1740" t="s">
        <v>9742</v>
      </c>
      <c r="SA63" s="448" t="s">
        <v>9760</v>
      </c>
      <c r="SB63" s="1741" t="s">
        <v>9766</v>
      </c>
      <c r="SC63" s="1740"/>
      <c r="SD63" s="1744" t="s">
        <v>9747</v>
      </c>
      <c r="SE63" s="1744" t="s">
        <v>9747</v>
      </c>
      <c r="SF63" s="339"/>
      <c r="SG63" s="387"/>
      <c r="SH63" s="387"/>
      <c r="SI63" s="1744" t="s">
        <v>9741</v>
      </c>
      <c r="SJ63" s="131"/>
      <c r="SK63" s="131"/>
      <c r="SL63" s="1743"/>
    </row>
    <row r="64" ht="15.75" customHeight="1">
      <c r="A64" s="1517"/>
      <c r="B64" s="148"/>
      <c r="C64" s="148"/>
      <c r="D64" s="148"/>
      <c r="E64" s="148"/>
      <c r="F64" s="148"/>
      <c r="G64" s="148" t="s">
        <v>9747</v>
      </c>
      <c r="H64" s="148"/>
      <c r="I64" s="148"/>
      <c r="J64" s="148" t="s">
        <v>9765</v>
      </c>
      <c r="K64" s="148"/>
      <c r="L64" s="148"/>
      <c r="M64" s="148"/>
      <c r="N64" s="148"/>
      <c r="O64" s="148"/>
      <c r="P64" s="253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 t="s">
        <v>9766</v>
      </c>
      <c r="AD64" s="148"/>
      <c r="AE64" s="148"/>
      <c r="AF64" s="148" t="s">
        <v>9736</v>
      </c>
      <c r="AG64" s="148"/>
      <c r="AH64" s="148"/>
      <c r="AI64" s="148" t="s">
        <v>9753</v>
      </c>
      <c r="AJ64" s="148" t="s">
        <v>9742</v>
      </c>
      <c r="AK64" s="148" t="s">
        <v>9741</v>
      </c>
      <c r="AL64" s="148"/>
      <c r="AM64" s="148"/>
      <c r="AN64" s="148" t="s">
        <v>9743</v>
      </c>
      <c r="AO64" s="148" t="s">
        <v>9750</v>
      </c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 t="s">
        <v>9754</v>
      </c>
      <c r="BC64" s="148"/>
      <c r="BD64" s="148" t="s">
        <v>9783</v>
      </c>
      <c r="BE64" s="148" t="s">
        <v>9783</v>
      </c>
      <c r="BF64" s="148" t="s">
        <v>9754</v>
      </c>
      <c r="BG64" s="148"/>
      <c r="BH64" s="148"/>
      <c r="BI64" s="148"/>
      <c r="BJ64" s="148"/>
      <c r="BK64" s="148" t="s">
        <v>9765</v>
      </c>
      <c r="BL64" s="148" t="s">
        <v>9747</v>
      </c>
      <c r="BM64" s="148" t="s">
        <v>9747</v>
      </c>
      <c r="BN64" s="148" t="s">
        <v>9734</v>
      </c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 t="s">
        <v>9761</v>
      </c>
      <c r="CC64" s="148" t="s">
        <v>9750</v>
      </c>
      <c r="CD64" s="148"/>
      <c r="CE64" s="148"/>
      <c r="CF64" s="148"/>
      <c r="CG64" s="148"/>
      <c r="CH64" s="148"/>
      <c r="CI64" s="148"/>
      <c r="CJ64" s="148"/>
      <c r="CK64" s="148"/>
      <c r="CL64" s="148" t="s">
        <v>9749</v>
      </c>
      <c r="CM64" s="148"/>
      <c r="CN64" s="148"/>
      <c r="CO64" s="148"/>
      <c r="CP64" s="148"/>
      <c r="CQ64" s="148" t="s">
        <v>9734</v>
      </c>
      <c r="CR64" s="148"/>
      <c r="CS64" s="148"/>
      <c r="CT64" s="148" t="s">
        <v>9747</v>
      </c>
      <c r="CU64" s="148"/>
      <c r="CV64" s="253"/>
      <c r="CW64" s="148"/>
      <c r="CX64" s="148"/>
      <c r="CY64" s="148"/>
      <c r="CZ64" s="148"/>
      <c r="DA64" s="148"/>
      <c r="DB64" s="148" t="s">
        <v>9766</v>
      </c>
      <c r="DC64" s="148"/>
      <c r="DD64" s="148"/>
      <c r="DE64" s="148" t="s">
        <v>9739</v>
      </c>
      <c r="DF64" s="148"/>
      <c r="DG64" s="148"/>
      <c r="DH64" s="148" t="s">
        <v>9754</v>
      </c>
      <c r="DI64" s="148" t="s">
        <v>9756</v>
      </c>
      <c r="DJ64" s="148" t="s">
        <v>9729</v>
      </c>
      <c r="DK64" s="148"/>
      <c r="DL64" s="148" t="s">
        <v>9753</v>
      </c>
      <c r="DM64" s="148"/>
      <c r="DN64" s="148"/>
      <c r="DO64" s="148"/>
      <c r="DP64" s="148"/>
      <c r="DQ64" s="148"/>
      <c r="DR64" s="148"/>
      <c r="DS64" s="148" t="s">
        <v>9741</v>
      </c>
      <c r="DT64" s="148"/>
      <c r="DU64" s="148" t="s">
        <v>9734</v>
      </c>
      <c r="DV64" s="148"/>
      <c r="DW64" s="148"/>
      <c r="DX64" s="276"/>
      <c r="DY64" s="148" t="s">
        <v>9783</v>
      </c>
      <c r="DZ64" s="148"/>
      <c r="EA64" s="148" t="s">
        <v>9766</v>
      </c>
      <c r="EB64" s="148"/>
      <c r="EC64" s="148"/>
      <c r="ED64" s="148"/>
      <c r="EE64" s="148"/>
      <c r="EF64" s="148"/>
      <c r="EG64" s="148"/>
      <c r="EH64" s="148"/>
      <c r="EI64" s="148"/>
      <c r="EJ64" s="148"/>
      <c r="EK64" s="148"/>
      <c r="EL64" s="148" t="s">
        <v>9765</v>
      </c>
      <c r="EM64" s="148" t="s">
        <v>9754</v>
      </c>
      <c r="EN64" s="148" t="s">
        <v>9754</v>
      </c>
      <c r="EO64" s="148"/>
      <c r="EP64" s="148"/>
      <c r="EQ64" s="148"/>
      <c r="ER64" s="148"/>
      <c r="ES64" s="148"/>
      <c r="ET64" s="148" t="s">
        <v>9741</v>
      </c>
      <c r="EU64" s="148" t="s">
        <v>9721</v>
      </c>
      <c r="EV64" s="148"/>
      <c r="EW64" s="148"/>
      <c r="EX64" s="148"/>
      <c r="EY64" s="148"/>
      <c r="EZ64" s="148"/>
      <c r="FA64" s="148"/>
      <c r="FB64" s="148" t="s">
        <v>9783</v>
      </c>
      <c r="FC64" s="148"/>
      <c r="FD64" s="253"/>
      <c r="FE64" s="148" t="s">
        <v>9767</v>
      </c>
      <c r="FF64" s="148"/>
      <c r="FG64" s="148" t="s">
        <v>9767</v>
      </c>
      <c r="FH64" s="148"/>
      <c r="FI64" s="148"/>
      <c r="FJ64" s="148"/>
      <c r="FK64" s="192" t="s">
        <v>9689</v>
      </c>
      <c r="FL64" s="148"/>
      <c r="FM64" s="148"/>
      <c r="FN64" s="148"/>
      <c r="FO64" s="148"/>
      <c r="FP64" s="148"/>
      <c r="FQ64" s="148"/>
      <c r="FR64" s="148"/>
      <c r="FS64" s="148"/>
      <c r="FT64" s="148"/>
      <c r="FU64" s="148" t="s">
        <v>9747</v>
      </c>
      <c r="FV64" s="148"/>
      <c r="FW64" s="148" t="s">
        <v>9768</v>
      </c>
      <c r="FX64" s="148"/>
      <c r="FY64" s="148"/>
      <c r="FZ64" s="148"/>
      <c r="GA64" s="148"/>
      <c r="GB64" s="148"/>
      <c r="GC64" s="148"/>
      <c r="GD64" s="148"/>
      <c r="GE64" s="148"/>
      <c r="GF64" s="148"/>
      <c r="GG64" s="148"/>
      <c r="GH64" s="148"/>
      <c r="GI64" s="148" t="s">
        <v>9766</v>
      </c>
      <c r="GJ64" s="148"/>
      <c r="GK64" s="148"/>
      <c r="GL64" s="148"/>
      <c r="GM64" s="148"/>
      <c r="GN64" s="148" t="s">
        <v>9765</v>
      </c>
      <c r="GO64" s="148"/>
      <c r="GP64" s="148"/>
      <c r="GQ64" s="148"/>
      <c r="GR64" s="148" t="s">
        <v>9750</v>
      </c>
      <c r="GS64" s="148"/>
      <c r="GT64" s="148"/>
      <c r="GU64" s="148"/>
      <c r="GV64" s="148"/>
      <c r="GW64" s="148"/>
      <c r="GX64" s="148"/>
      <c r="GY64" s="148" t="s">
        <v>9747</v>
      </c>
      <c r="GZ64" s="148" t="s">
        <v>9749</v>
      </c>
      <c r="HA64" s="148" t="s">
        <v>9766</v>
      </c>
      <c r="HB64" s="148" t="s">
        <v>9754</v>
      </c>
      <c r="HC64" s="148" t="s">
        <v>9741</v>
      </c>
      <c r="HD64" s="148"/>
      <c r="HE64" s="148"/>
      <c r="HF64" s="148"/>
      <c r="HG64" s="193" t="s">
        <v>9770</v>
      </c>
      <c r="HH64" s="148" t="s">
        <v>9739</v>
      </c>
      <c r="HI64" s="148"/>
      <c r="HJ64" s="148" t="s">
        <v>9767</v>
      </c>
      <c r="HK64" s="148"/>
      <c r="HL64" s="148"/>
      <c r="HM64" s="148"/>
      <c r="HN64" s="148"/>
      <c r="HO64" s="148" t="s">
        <v>9769</v>
      </c>
      <c r="HP64" s="148"/>
      <c r="HQ64" s="148"/>
      <c r="HR64" s="148"/>
      <c r="HS64" s="148"/>
      <c r="HT64" s="159" t="s">
        <v>9773</v>
      </c>
      <c r="HU64" s="148"/>
      <c r="HV64" s="148"/>
      <c r="HW64" s="148"/>
      <c r="HX64" s="148"/>
      <c r="HY64" s="148"/>
      <c r="HZ64" s="148"/>
      <c r="IA64" s="148"/>
      <c r="IB64" s="148"/>
      <c r="IC64" s="148"/>
      <c r="ID64" s="148"/>
      <c r="IE64" s="148"/>
      <c r="IF64" s="148"/>
      <c r="IG64" s="148"/>
      <c r="IH64" s="148" t="s">
        <v>9747</v>
      </c>
      <c r="II64" s="148" t="s">
        <v>9732</v>
      </c>
      <c r="IJ64" s="148"/>
      <c r="IK64" s="148"/>
      <c r="IL64" s="148"/>
      <c r="IM64" s="148"/>
      <c r="IN64" s="148"/>
      <c r="IO64" s="148" t="s">
        <v>9740</v>
      </c>
      <c r="IP64" s="148" t="s">
        <v>9756</v>
      </c>
      <c r="IQ64" s="148" t="s">
        <v>9739</v>
      </c>
      <c r="IR64" s="148" t="s">
        <v>9754</v>
      </c>
      <c r="IS64" s="148"/>
      <c r="IT64" s="148"/>
      <c r="IU64" s="148" t="s">
        <v>9739</v>
      </c>
      <c r="IV64" s="148"/>
      <c r="IW64" s="148"/>
      <c r="IX64" s="148" t="s">
        <v>9767</v>
      </c>
      <c r="IY64" s="148"/>
      <c r="IZ64" s="148"/>
      <c r="JA64" s="148" t="s">
        <v>9765</v>
      </c>
      <c r="JB64" s="148"/>
      <c r="JC64" s="148"/>
      <c r="JD64" s="148"/>
      <c r="JE64" s="276"/>
      <c r="JF64" s="148"/>
      <c r="JG64" s="148"/>
      <c r="JH64" s="148"/>
      <c r="JI64" s="148"/>
      <c r="JJ64" s="148"/>
      <c r="JK64" s="1746"/>
      <c r="JL64" s="1746"/>
      <c r="JM64" s="1746" t="s">
        <v>9769</v>
      </c>
      <c r="JN64" s="1746"/>
      <c r="JO64" s="1746" t="s">
        <v>9766</v>
      </c>
      <c r="JP64" s="1746" t="s">
        <v>9757</v>
      </c>
      <c r="JQ64" s="1746"/>
      <c r="JR64" s="1746"/>
      <c r="JS64" s="148"/>
      <c r="JT64" s="148"/>
      <c r="JU64" s="148"/>
      <c r="JV64" s="148"/>
      <c r="JW64" s="148" t="s">
        <v>9747</v>
      </c>
      <c r="JX64" s="1746"/>
      <c r="JY64" s="1770" t="s">
        <v>9771</v>
      </c>
      <c r="JZ64" s="1746"/>
      <c r="KA64" s="1746" t="s">
        <v>9767</v>
      </c>
      <c r="KB64" s="1746"/>
      <c r="KC64" s="148" t="s">
        <v>9754</v>
      </c>
      <c r="KD64" s="1746" t="s">
        <v>9739</v>
      </c>
      <c r="KE64" s="1746"/>
      <c r="KF64" s="148"/>
      <c r="KG64" s="1746"/>
      <c r="KH64" s="1746"/>
      <c r="KI64" s="1737"/>
      <c r="KJ64" s="148" t="s">
        <v>9761</v>
      </c>
      <c r="KK64" s="1746"/>
      <c r="KL64" s="1746"/>
      <c r="KM64" s="1746"/>
      <c r="KN64" s="1746"/>
      <c r="KO64" s="148"/>
      <c r="KP64" s="1746"/>
      <c r="KQ64" s="148" t="s">
        <v>9747</v>
      </c>
      <c r="KR64" s="148" t="s">
        <v>9754</v>
      </c>
      <c r="KS64" s="1746"/>
      <c r="KT64" s="1746"/>
      <c r="KU64" s="148" t="s">
        <v>9740</v>
      </c>
      <c r="KV64" s="1746"/>
      <c r="KW64" s="148" t="s">
        <v>9766</v>
      </c>
      <c r="KX64" s="1746"/>
      <c r="KY64" s="1746"/>
      <c r="KZ64" s="1746"/>
      <c r="LA64" s="1746"/>
      <c r="LB64" s="1746"/>
      <c r="LC64" s="1746"/>
      <c r="LD64" s="148"/>
      <c r="LE64" s="1746"/>
      <c r="LF64" s="1746"/>
      <c r="LG64" s="1746"/>
      <c r="LH64" s="148"/>
      <c r="LI64" s="1746"/>
      <c r="LJ64" s="1746"/>
      <c r="LK64" s="1746"/>
      <c r="LL64" s="1746"/>
      <c r="LM64" s="1746"/>
      <c r="LN64" s="1746"/>
      <c r="LO64" s="1746" t="s">
        <v>9734</v>
      </c>
      <c r="LP64" s="148" t="s">
        <v>9769</v>
      </c>
      <c r="LQ64" s="1746"/>
      <c r="LR64" s="1746"/>
      <c r="LS64" s="148" t="s">
        <v>9769</v>
      </c>
      <c r="LT64" s="1746"/>
      <c r="LU64" s="148"/>
      <c r="LV64" s="1746"/>
      <c r="LW64" s="253"/>
      <c r="LX64" s="148" t="s">
        <v>9740</v>
      </c>
      <c r="LY64" s="1746"/>
      <c r="LZ64" s="1746" t="s">
        <v>9754</v>
      </c>
      <c r="MA64" s="1746" t="s">
        <v>9739</v>
      </c>
      <c r="MB64" s="1746"/>
      <c r="MC64" s="148"/>
      <c r="MD64" s="1746"/>
      <c r="ME64" s="1746" t="s">
        <v>9766</v>
      </c>
      <c r="MF64" s="1746"/>
      <c r="MG64" s="148" t="s">
        <v>9747</v>
      </c>
      <c r="MH64" s="1746"/>
      <c r="MI64" s="1746"/>
      <c r="MJ64" s="1746"/>
      <c r="MK64" s="1759" t="s">
        <v>9770</v>
      </c>
      <c r="ML64" s="1746"/>
      <c r="MM64" s="148"/>
      <c r="MN64" s="148"/>
      <c r="MO64" s="148" t="s">
        <v>9742</v>
      </c>
      <c r="MP64" s="1746"/>
      <c r="MQ64" s="1746" t="s">
        <v>9754</v>
      </c>
      <c r="MR64" s="1746"/>
      <c r="MS64" s="148" t="s">
        <v>9739</v>
      </c>
      <c r="MT64" s="193" t="s">
        <v>9773</v>
      </c>
      <c r="MU64" s="1746"/>
      <c r="MV64" s="148" t="s">
        <v>9737</v>
      </c>
      <c r="MW64" s="1746"/>
      <c r="MX64" s="1746"/>
      <c r="MY64" s="235" t="s">
        <v>9790</v>
      </c>
      <c r="MZ64" s="1746"/>
      <c r="NA64" s="1746"/>
      <c r="NB64" s="148"/>
      <c r="NC64" s="1746"/>
      <c r="ND64" s="1746"/>
      <c r="NE64" s="1746"/>
      <c r="NF64" s="148"/>
      <c r="NG64" s="1746"/>
      <c r="NH64" s="1746"/>
      <c r="NI64" s="148"/>
      <c r="NJ64" s="148" t="s">
        <v>9769</v>
      </c>
      <c r="NK64" s="1746"/>
      <c r="NL64" s="1748"/>
      <c r="NM64" s="1746" t="s">
        <v>9769</v>
      </c>
      <c r="NN64" s="1746" t="s">
        <v>9783</v>
      </c>
      <c r="NO64" s="1746" t="s">
        <v>9783</v>
      </c>
      <c r="NP64" s="1746" t="s">
        <v>9769</v>
      </c>
      <c r="NQ64" s="1746" t="s">
        <v>9750</v>
      </c>
      <c r="NR64" s="1746" t="s">
        <v>9750</v>
      </c>
      <c r="NS64" s="1746"/>
      <c r="NT64" s="1746" t="s">
        <v>9745</v>
      </c>
      <c r="NU64" s="1746" t="s">
        <v>9760</v>
      </c>
      <c r="NV64" s="1746" t="s">
        <v>9758</v>
      </c>
      <c r="NW64" s="1746" t="s">
        <v>9741</v>
      </c>
      <c r="NX64" s="1746" t="s">
        <v>9741</v>
      </c>
      <c r="NY64" s="1746" t="s">
        <v>9741</v>
      </c>
      <c r="NZ64" s="1746" t="s">
        <v>9741</v>
      </c>
      <c r="OA64" s="1746"/>
      <c r="OB64" s="1746"/>
      <c r="OC64" s="1746" t="s">
        <v>9766</v>
      </c>
      <c r="OD64" s="1746" t="s">
        <v>1694</v>
      </c>
      <c r="OE64" s="1746" t="s">
        <v>9767</v>
      </c>
      <c r="OF64" s="1746" t="s">
        <v>9751</v>
      </c>
      <c r="OG64" s="1746"/>
      <c r="OH64" s="1746"/>
      <c r="OI64" s="1746" t="s">
        <v>9761</v>
      </c>
      <c r="OJ64" s="1746"/>
      <c r="OK64" s="1746"/>
      <c r="OL64" s="1746"/>
      <c r="OM64" s="1746"/>
      <c r="ON64" s="1746" t="s">
        <v>9769</v>
      </c>
      <c r="OO64" s="1746"/>
      <c r="OP64" s="148"/>
      <c r="OQ64" s="1746"/>
      <c r="OR64" s="1746"/>
      <c r="OS64" s="1746"/>
      <c r="OT64" s="1746"/>
      <c r="OU64" s="1746"/>
      <c r="OV64" s="1746" t="s">
        <v>9754</v>
      </c>
      <c r="OW64" s="1746" t="s">
        <v>9745</v>
      </c>
      <c r="OX64" s="1746" t="s">
        <v>9769</v>
      </c>
      <c r="OY64" s="1746" t="s">
        <v>9754</v>
      </c>
      <c r="OZ64" s="1746"/>
      <c r="PA64" s="1746"/>
      <c r="PB64" s="1746"/>
      <c r="PC64" s="1746"/>
      <c r="PD64" s="1746"/>
      <c r="PE64" s="1746"/>
      <c r="PF64" s="1746"/>
      <c r="PG64" s="148"/>
      <c r="PH64" s="1746"/>
      <c r="PI64" s="1746"/>
      <c r="PJ64" s="1746"/>
      <c r="PK64" s="1746"/>
      <c r="PL64" s="1746"/>
      <c r="PM64" s="1746"/>
      <c r="PN64" s="1746" t="s">
        <v>9754</v>
      </c>
      <c r="PO64" s="1737"/>
      <c r="PP64" s="1770" t="s">
        <v>9773</v>
      </c>
      <c r="PQ64" s="1746"/>
      <c r="PR64" s="148"/>
      <c r="PS64" s="1746" t="s">
        <v>9754</v>
      </c>
      <c r="PT64" s="1737"/>
      <c r="PU64" s="1746"/>
      <c r="PV64" s="1746"/>
      <c r="PW64" s="1746"/>
      <c r="PX64" s="1746"/>
      <c r="PY64" s="148" t="s">
        <v>9769</v>
      </c>
      <c r="PZ64" s="1746"/>
      <c r="QA64" s="1746" t="s">
        <v>9762</v>
      </c>
      <c r="QB64" s="1746"/>
      <c r="QC64" s="1746" t="s">
        <v>9757</v>
      </c>
      <c r="QD64" s="1746"/>
      <c r="QE64" s="1746"/>
      <c r="QF64" s="1746"/>
      <c r="QG64" s="1746"/>
      <c r="QH64" s="1746"/>
      <c r="QI64" s="1746" t="s">
        <v>9754</v>
      </c>
      <c r="QJ64" s="1746" t="s">
        <v>9769</v>
      </c>
      <c r="QK64" s="1746"/>
      <c r="QL64" s="148" t="s">
        <v>9739</v>
      </c>
      <c r="QM64" s="1746"/>
      <c r="QN64" s="1746"/>
      <c r="QO64" s="1748"/>
      <c r="QP64" s="1746" t="s">
        <v>9747</v>
      </c>
      <c r="QQ64" s="1746" t="s">
        <v>9769</v>
      </c>
      <c r="QR64" s="1746" t="s">
        <v>9749</v>
      </c>
      <c r="QS64" s="1746"/>
      <c r="QT64" s="1746"/>
      <c r="QU64" s="1746"/>
      <c r="QV64" s="1746"/>
      <c r="QW64" s="148"/>
      <c r="QX64" s="148" t="s">
        <v>9757</v>
      </c>
      <c r="QY64" s="148" t="s">
        <v>9734</v>
      </c>
      <c r="QZ64" s="148"/>
      <c r="RA64" s="148" t="s">
        <v>9743</v>
      </c>
      <c r="RB64" s="148" t="s">
        <v>9756</v>
      </c>
      <c r="RC64" s="1746" t="s">
        <v>9754</v>
      </c>
      <c r="RD64" s="148" t="s">
        <v>9766</v>
      </c>
      <c r="RE64" s="1746" t="s">
        <v>9783</v>
      </c>
      <c r="RF64" s="148" t="s">
        <v>9747</v>
      </c>
      <c r="RG64" s="148"/>
      <c r="RH64" s="1746"/>
      <c r="RI64" s="1746"/>
      <c r="RJ64" s="148" t="s">
        <v>9755</v>
      </c>
      <c r="RK64" s="148"/>
      <c r="RL64" s="148"/>
      <c r="RM64" s="148" t="s">
        <v>9741</v>
      </c>
      <c r="RN64" s="148"/>
      <c r="RO64" s="148" t="s">
        <v>9751</v>
      </c>
      <c r="RP64" s="148" t="s">
        <v>9754</v>
      </c>
      <c r="RQ64" s="1746"/>
      <c r="RR64" s="1746"/>
      <c r="RS64" s="1746"/>
      <c r="RT64" s="1746"/>
      <c r="RU64" s="1746"/>
      <c r="RV64" s="1746"/>
      <c r="RW64" s="1746" t="s">
        <v>9747</v>
      </c>
      <c r="RX64" s="1746" t="s">
        <v>9747</v>
      </c>
      <c r="RY64" s="1746" t="s">
        <v>9742</v>
      </c>
      <c r="RZ64" s="148" t="s">
        <v>9743</v>
      </c>
      <c r="SA64" s="1746" t="s">
        <v>9756</v>
      </c>
      <c r="SB64" s="1746" t="s">
        <v>9769</v>
      </c>
      <c r="SC64" s="148"/>
      <c r="SD64" s="1746" t="s">
        <v>9754</v>
      </c>
      <c r="SE64" s="1746" t="s">
        <v>9754</v>
      </c>
      <c r="SF64" s="1746"/>
      <c r="SG64" s="1746"/>
      <c r="SH64" s="1746"/>
      <c r="SI64" s="1746" t="s">
        <v>9737</v>
      </c>
      <c r="SJ64" s="1746"/>
      <c r="SK64" s="1746"/>
      <c r="SL64" s="1746"/>
    </row>
    <row r="65" ht="15.75" customHeight="1">
      <c r="A65" s="1517"/>
      <c r="B65" s="131"/>
      <c r="C65" s="131"/>
      <c r="D65" s="131"/>
      <c r="E65" s="1739"/>
      <c r="F65" s="1739"/>
      <c r="G65" s="1739" t="s">
        <v>9754</v>
      </c>
      <c r="H65" s="387"/>
      <c r="I65" s="387"/>
      <c r="J65" s="387" t="s">
        <v>9783</v>
      </c>
      <c r="K65" s="131"/>
      <c r="L65" s="131"/>
      <c r="M65" s="1740"/>
      <c r="N65" s="1741"/>
      <c r="O65" s="339"/>
      <c r="P65" s="339"/>
      <c r="Q65" s="1741"/>
      <c r="R65" s="1741"/>
      <c r="S65" s="1741"/>
      <c r="T65" s="448"/>
      <c r="U65" s="1741"/>
      <c r="V65" s="1741"/>
      <c r="W65" s="1741"/>
      <c r="X65" s="448"/>
      <c r="Y65" s="448"/>
      <c r="Z65" s="339"/>
      <c r="AA65" s="339"/>
      <c r="AB65" s="339"/>
      <c r="AC65" s="339" t="s">
        <v>9769</v>
      </c>
      <c r="AD65" s="387"/>
      <c r="AE65" s="387"/>
      <c r="AF65" s="387" t="s">
        <v>9753</v>
      </c>
      <c r="AG65" s="448"/>
      <c r="AH65" s="448"/>
      <c r="AI65" s="448" t="s">
        <v>9741</v>
      </c>
      <c r="AJ65" s="1742" t="s">
        <v>9743</v>
      </c>
      <c r="AK65" s="1742" t="s">
        <v>9737</v>
      </c>
      <c r="AL65" s="1741"/>
      <c r="AM65" s="339"/>
      <c r="AN65" s="1742" t="s">
        <v>9734</v>
      </c>
      <c r="AO65" s="1742" t="s">
        <v>9752</v>
      </c>
      <c r="AP65" s="448"/>
      <c r="AQ65" s="448"/>
      <c r="AR65" s="387"/>
      <c r="AS65" s="387"/>
      <c r="AT65" s="1739"/>
      <c r="AU65" s="1739"/>
      <c r="AV65" s="1739"/>
      <c r="AW65" s="448"/>
      <c r="AX65" s="448"/>
      <c r="AY65" s="1741"/>
      <c r="AZ65" s="1741"/>
      <c r="BA65" s="339"/>
      <c r="BB65" s="339" t="s">
        <v>9767</v>
      </c>
      <c r="BC65" s="339"/>
      <c r="BD65" s="387"/>
      <c r="BE65" s="1741"/>
      <c r="BF65" s="1741" t="s">
        <v>9766</v>
      </c>
      <c r="BG65" s="1741"/>
      <c r="BH65" s="1741"/>
      <c r="BI65" s="387"/>
      <c r="BJ65" s="387"/>
      <c r="BK65" s="387" t="s">
        <v>9783</v>
      </c>
      <c r="BL65" s="1741" t="s">
        <v>9754</v>
      </c>
      <c r="BM65" s="1741" t="s">
        <v>9754</v>
      </c>
      <c r="BN65" s="1741" t="s">
        <v>9739</v>
      </c>
      <c r="BO65" s="1743"/>
      <c r="BP65" s="1743"/>
      <c r="BQ65" s="1743"/>
      <c r="BR65" s="131"/>
      <c r="BS65" s="131"/>
      <c r="BT65" s="131"/>
      <c r="BU65" s="387"/>
      <c r="BV65" s="387"/>
      <c r="BW65" s="1741"/>
      <c r="BX65" s="1741"/>
      <c r="BY65" s="1741"/>
      <c r="BZ65" s="339"/>
      <c r="CA65" s="339"/>
      <c r="CB65" s="1742" t="s">
        <v>9766</v>
      </c>
      <c r="CC65" s="1742" t="s">
        <v>9743</v>
      </c>
      <c r="CD65" s="1743"/>
      <c r="CE65" s="1743"/>
      <c r="CF65" s="1741"/>
      <c r="CG65" s="1741"/>
      <c r="CH65" s="1741"/>
      <c r="CI65" s="1740"/>
      <c r="CJ65" s="1740"/>
      <c r="CK65" s="448"/>
      <c r="CL65" s="448" t="s">
        <v>9747</v>
      </c>
      <c r="CM65" s="448"/>
      <c r="CN65" s="448"/>
      <c r="CO65" s="448"/>
      <c r="CP65" s="448"/>
      <c r="CQ65" s="448" t="s">
        <v>9764</v>
      </c>
      <c r="CR65" s="1743"/>
      <c r="CS65" s="339"/>
      <c r="CT65" s="339" t="s">
        <v>9754</v>
      </c>
      <c r="CU65" s="1739"/>
      <c r="CV65" s="1739"/>
      <c r="CW65" s="1739"/>
      <c r="CX65" s="1739"/>
      <c r="CY65" s="1742"/>
      <c r="CZ65" s="339"/>
      <c r="DA65" s="1741"/>
      <c r="DB65" s="1741" t="s">
        <v>9769</v>
      </c>
      <c r="DC65" s="1741"/>
      <c r="DD65" s="1741"/>
      <c r="DE65" s="1742" t="s">
        <v>9747</v>
      </c>
      <c r="DF65" s="448"/>
      <c r="DG65" s="448"/>
      <c r="DH65" s="1743" t="s">
        <v>9766</v>
      </c>
      <c r="DI65" s="1743" t="s">
        <v>9745</v>
      </c>
      <c r="DJ65" s="1742" t="s">
        <v>9746</v>
      </c>
      <c r="DK65" s="387"/>
      <c r="DL65" s="1741" t="s">
        <v>9741</v>
      </c>
      <c r="DM65" s="387"/>
      <c r="DN65" s="387"/>
      <c r="DO65" s="1739"/>
      <c r="DP65" s="1739"/>
      <c r="DQ65" s="1741"/>
      <c r="DR65" s="448"/>
      <c r="DS65" s="1742" t="s">
        <v>9737</v>
      </c>
      <c r="DT65" s="131"/>
      <c r="DU65" s="1739" t="s">
        <v>9739</v>
      </c>
      <c r="DV65" s="339"/>
      <c r="DW65" s="1739"/>
      <c r="DX65" s="159" t="s">
        <v>9770</v>
      </c>
      <c r="DY65" s="1741"/>
      <c r="DZ65" s="1739"/>
      <c r="EA65" s="387" t="s">
        <v>9769</v>
      </c>
      <c r="EB65" s="387"/>
      <c r="EC65" s="448"/>
      <c r="ED65" s="1741"/>
      <c r="EE65" s="387"/>
      <c r="EF65" s="339"/>
      <c r="EG65" s="1739"/>
      <c r="EH65" s="1742"/>
      <c r="EI65" s="387"/>
      <c r="EJ65" s="387"/>
      <c r="EK65" s="1741"/>
      <c r="EL65" s="1741" t="s">
        <v>9783</v>
      </c>
      <c r="EM65" s="448" t="s">
        <v>9759</v>
      </c>
      <c r="EN65" s="1744" t="s">
        <v>9761</v>
      </c>
      <c r="EO65" s="387"/>
      <c r="EP65" s="339"/>
      <c r="EQ65" s="339"/>
      <c r="ER65" s="387"/>
      <c r="ES65" s="387"/>
      <c r="ET65" s="1741" t="s">
        <v>9760</v>
      </c>
      <c r="EU65" s="448" t="s">
        <v>9724</v>
      </c>
      <c r="EV65" s="1742"/>
      <c r="EW65" s="131"/>
      <c r="EX65" s="131"/>
      <c r="EY65" s="131"/>
      <c r="EZ65" s="339"/>
      <c r="FA65" s="339"/>
      <c r="FB65" s="339"/>
      <c r="FC65" s="387"/>
      <c r="FD65" s="387"/>
      <c r="FE65" s="387" t="s">
        <v>9761</v>
      </c>
      <c r="FF65" s="1741"/>
      <c r="FG65" s="1741" t="s">
        <v>9761</v>
      </c>
      <c r="FH65" s="1741"/>
      <c r="FI65" s="1741"/>
      <c r="FJ65" s="1739"/>
      <c r="FK65" s="193" t="s">
        <v>9779</v>
      </c>
      <c r="FL65" s="131"/>
      <c r="FM65" s="1739"/>
      <c r="FN65" s="448"/>
      <c r="FO65" s="387"/>
      <c r="FP65" s="387"/>
      <c r="FQ65" s="339"/>
      <c r="FR65" s="1742"/>
      <c r="FS65" s="1742"/>
      <c r="FT65" s="1740"/>
      <c r="FU65" s="1740" t="s">
        <v>9754</v>
      </c>
      <c r="FV65" s="131"/>
      <c r="FW65" s="269"/>
      <c r="FX65" s="1740"/>
      <c r="FY65" s="1742"/>
      <c r="FZ65" s="339"/>
      <c r="GA65" s="131"/>
      <c r="GB65" s="387"/>
      <c r="GC65" s="387"/>
      <c r="GD65" s="1741"/>
      <c r="GE65" s="131"/>
      <c r="GF65" s="1742"/>
      <c r="GG65" s="131"/>
      <c r="GH65" s="387"/>
      <c r="GI65" s="448" t="s">
        <v>9769</v>
      </c>
      <c r="GJ65" s="339"/>
      <c r="GK65" s="339"/>
      <c r="GL65" s="1739"/>
      <c r="GM65" s="387"/>
      <c r="GN65" s="387"/>
      <c r="GO65" s="448"/>
      <c r="GP65" s="1744"/>
      <c r="GQ65" s="1744"/>
      <c r="GR65" s="1742" t="s">
        <v>9743</v>
      </c>
      <c r="GS65" s="1743"/>
      <c r="GT65" s="1744"/>
      <c r="GU65" s="387"/>
      <c r="GV65" s="339"/>
      <c r="GW65" s="1743"/>
      <c r="GX65" s="448"/>
      <c r="GY65" s="339" t="s">
        <v>9754</v>
      </c>
      <c r="GZ65" s="448" t="s">
        <v>9747</v>
      </c>
      <c r="HA65" s="1743" t="s">
        <v>9769</v>
      </c>
      <c r="HB65" s="1742" t="s">
        <v>9766</v>
      </c>
      <c r="HC65" s="448" t="s">
        <v>9760</v>
      </c>
      <c r="HD65" s="1743"/>
      <c r="HE65" s="1739"/>
      <c r="HF65" s="339"/>
      <c r="HG65" s="397"/>
      <c r="HH65" s="1744" t="s">
        <v>9749</v>
      </c>
      <c r="HI65" s="1741"/>
      <c r="HJ65" s="1741" t="s">
        <v>9766</v>
      </c>
      <c r="HK65" s="1739"/>
      <c r="HL65" s="1739"/>
      <c r="HM65" s="1741"/>
      <c r="HN65" s="1741"/>
      <c r="HO65" s="1742"/>
      <c r="HP65" s="1743"/>
      <c r="HQ65" s="1739"/>
      <c r="HR65" s="1739"/>
      <c r="HS65" s="448"/>
      <c r="HT65" s="1761"/>
      <c r="HU65" s="1744"/>
      <c r="HV65" s="1744"/>
      <c r="HW65" s="387"/>
      <c r="HX65" s="387"/>
      <c r="HY65" s="1743"/>
      <c r="HZ65" s="1739"/>
      <c r="IA65" s="1741"/>
      <c r="IB65" s="1740"/>
      <c r="IC65" s="448"/>
      <c r="ID65" s="1741"/>
      <c r="IE65" s="1742"/>
      <c r="IF65" s="339"/>
      <c r="IG65" s="1739"/>
      <c r="IH65" s="1742" t="s">
        <v>9754</v>
      </c>
      <c r="II65" s="1742" t="s">
        <v>9729</v>
      </c>
      <c r="IJ65" s="339"/>
      <c r="IK65" s="1741"/>
      <c r="IL65" s="387"/>
      <c r="IM65" s="131"/>
      <c r="IN65" s="1743"/>
      <c r="IO65" s="131" t="s">
        <v>9741</v>
      </c>
      <c r="IP65" s="1740" t="s">
        <v>9750</v>
      </c>
      <c r="IQ65" s="1739" t="s">
        <v>9747</v>
      </c>
      <c r="IR65" s="131" t="s">
        <v>9784</v>
      </c>
      <c r="IS65" s="131"/>
      <c r="IT65" s="131"/>
      <c r="IU65" s="131" t="s">
        <v>9757</v>
      </c>
      <c r="IV65" s="1739"/>
      <c r="IW65" s="1739"/>
      <c r="IX65" s="1739" t="s">
        <v>9766</v>
      </c>
      <c r="IY65" s="387"/>
      <c r="IZ65" s="387"/>
      <c r="JA65" s="387" t="s">
        <v>9783</v>
      </c>
      <c r="JB65" s="1743"/>
      <c r="JC65" s="1743"/>
      <c r="JD65" s="1741"/>
      <c r="JE65" s="159" t="s">
        <v>9783</v>
      </c>
      <c r="JF65" s="1739"/>
      <c r="JG65" s="1740"/>
      <c r="JH65" s="339"/>
      <c r="JI65" s="448"/>
      <c r="JJ65" s="131"/>
      <c r="JK65" s="131"/>
      <c r="JL65" s="131"/>
      <c r="JM65" s="131" t="s">
        <v>9765</v>
      </c>
      <c r="JN65" s="1741"/>
      <c r="JO65" s="1741" t="s">
        <v>9769</v>
      </c>
      <c r="JP65" s="1741" t="s">
        <v>9747</v>
      </c>
      <c r="JQ65" s="387"/>
      <c r="JR65" s="387"/>
      <c r="JS65" s="1740"/>
      <c r="JT65" s="339"/>
      <c r="JU65" s="1740"/>
      <c r="JV65" s="1740"/>
      <c r="JW65" s="1740" t="s">
        <v>9754</v>
      </c>
      <c r="JX65" s="387"/>
      <c r="JY65" s="397"/>
      <c r="JZ65" s="1741"/>
      <c r="KA65" s="131" t="s">
        <v>9766</v>
      </c>
      <c r="KB65" s="1741"/>
      <c r="KC65" s="1740" t="s">
        <v>9767</v>
      </c>
      <c r="KD65" s="1741" t="s">
        <v>9747</v>
      </c>
      <c r="KE65" s="1743"/>
      <c r="KF65" s="339"/>
      <c r="KG65" s="1741"/>
      <c r="KH65" s="1742"/>
      <c r="KI65" s="387"/>
      <c r="KJ65" s="387" t="s">
        <v>9766</v>
      </c>
      <c r="KK65" s="339"/>
      <c r="KL65" s="1741"/>
      <c r="KM65" s="387"/>
      <c r="KN65" s="1743"/>
      <c r="KO65" s="1742"/>
      <c r="KP65" s="448"/>
      <c r="KQ65" s="448" t="s">
        <v>9754</v>
      </c>
      <c r="KR65" s="1744" t="s">
        <v>9762</v>
      </c>
      <c r="KS65" s="1743"/>
      <c r="KT65" s="1743"/>
      <c r="KU65" s="1743" t="s">
        <v>9741</v>
      </c>
      <c r="KV65" s="387"/>
      <c r="KW65" s="1739" t="s">
        <v>9769</v>
      </c>
      <c r="KX65" s="131"/>
      <c r="KY65" s="339"/>
      <c r="KZ65" s="339"/>
      <c r="LA65" s="339"/>
      <c r="LB65" s="1743"/>
      <c r="LC65" s="448"/>
      <c r="LD65" s="131"/>
      <c r="LE65" s="131"/>
      <c r="LF65" s="448"/>
      <c r="LG65" s="1739"/>
      <c r="LH65" s="387"/>
      <c r="LI65" s="387"/>
      <c r="LJ65" s="387"/>
      <c r="LK65" s="339"/>
      <c r="LL65" s="1739"/>
      <c r="LM65" s="1741"/>
      <c r="LN65" s="1744"/>
      <c r="LO65" s="448" t="s">
        <v>9739</v>
      </c>
      <c r="LP65" s="1741"/>
      <c r="LQ65" s="1741"/>
      <c r="LR65" s="131"/>
      <c r="LS65" s="269"/>
      <c r="LT65" s="131"/>
      <c r="LU65" s="131"/>
      <c r="LV65" s="387"/>
      <c r="LW65" s="387"/>
      <c r="LX65" s="1740" t="s">
        <v>9745</v>
      </c>
      <c r="LY65" s="1744"/>
      <c r="LZ65" s="339" t="s">
        <v>9784</v>
      </c>
      <c r="MA65" s="1739" t="s">
        <v>9757</v>
      </c>
      <c r="MB65" s="1743"/>
      <c r="MC65" s="387"/>
      <c r="MD65" s="1739"/>
      <c r="ME65" s="1739" t="s">
        <v>9769</v>
      </c>
      <c r="MF65" s="1741"/>
      <c r="MG65" s="1744" t="s">
        <v>9754</v>
      </c>
      <c r="MH65" s="448"/>
      <c r="MI65" s="131"/>
      <c r="MJ65" s="1743"/>
      <c r="MK65" s="1761"/>
      <c r="ML65" s="1741"/>
      <c r="MM65" s="1742"/>
      <c r="MN65" s="1740"/>
      <c r="MO65" s="131" t="s">
        <v>9743</v>
      </c>
      <c r="MP65" s="1744"/>
      <c r="MQ65" s="1744" t="s">
        <v>9784</v>
      </c>
      <c r="MR65" s="1744"/>
      <c r="MS65" s="1744" t="s">
        <v>9747</v>
      </c>
      <c r="MT65" s="249"/>
      <c r="MU65" s="387"/>
      <c r="MV65" s="1740" t="s">
        <v>9760</v>
      </c>
      <c r="MW65" s="387"/>
      <c r="MX65" s="1743"/>
      <c r="MY65" s="235" t="s">
        <v>9801</v>
      </c>
      <c r="MZ65" s="387"/>
      <c r="NA65" s="387"/>
      <c r="NB65" s="387"/>
      <c r="NC65" s="387"/>
      <c r="ND65" s="387"/>
      <c r="NE65" s="1742"/>
      <c r="NF65" s="1743"/>
      <c r="NG65" s="1742"/>
      <c r="NH65" s="387"/>
      <c r="NI65" s="1740"/>
      <c r="NJ65" s="393"/>
      <c r="NK65" s="387"/>
      <c r="NL65" s="159" t="s">
        <v>9779</v>
      </c>
      <c r="NM65" s="393"/>
      <c r="NN65" s="1741"/>
      <c r="NO65" s="387"/>
      <c r="NP65" s="1743" t="s">
        <v>9783</v>
      </c>
      <c r="NQ65" s="1739" t="s">
        <v>9743</v>
      </c>
      <c r="NR65" s="387" t="s">
        <v>9743</v>
      </c>
      <c r="NS65" s="387"/>
      <c r="NT65" s="1739" t="s">
        <v>9742</v>
      </c>
      <c r="NU65" s="131" t="s">
        <v>9756</v>
      </c>
      <c r="NV65" s="339" t="s">
        <v>9754</v>
      </c>
      <c r="NW65" s="1739" t="s">
        <v>9737</v>
      </c>
      <c r="NX65" s="1739" t="s">
        <v>9737</v>
      </c>
      <c r="NY65" s="1739" t="s">
        <v>9737</v>
      </c>
      <c r="NZ65" s="1739" t="s">
        <v>9737</v>
      </c>
      <c r="OA65" s="131"/>
      <c r="OB65" s="131"/>
      <c r="OC65" s="131" t="s">
        <v>9769</v>
      </c>
      <c r="OD65" s="1741" t="s">
        <v>1440</v>
      </c>
      <c r="OE65" s="1741" t="s">
        <v>9766</v>
      </c>
      <c r="OF65" s="1741" t="s">
        <v>9739</v>
      </c>
      <c r="OG65" s="387"/>
      <c r="OH65" s="387"/>
      <c r="OI65" s="387" t="s">
        <v>9766</v>
      </c>
      <c r="OJ65" s="1741"/>
      <c r="OK65" s="1741"/>
      <c r="OL65" s="1741"/>
      <c r="OM65" s="1741"/>
      <c r="ON65" s="1741" t="s">
        <v>9765</v>
      </c>
      <c r="OO65" s="1739"/>
      <c r="OP65" s="1739"/>
      <c r="OQ65" s="387"/>
      <c r="OR65" s="387"/>
      <c r="OS65" s="387"/>
      <c r="OT65" s="131"/>
      <c r="OU65" s="131"/>
      <c r="OV65" s="387" t="s">
        <v>9766</v>
      </c>
      <c r="OW65" s="387" t="s">
        <v>9742</v>
      </c>
      <c r="OX65" s="1743"/>
      <c r="OY65" s="1743" t="s">
        <v>9762</v>
      </c>
      <c r="OZ65" s="131"/>
      <c r="PA65" s="131"/>
      <c r="PB65" s="339"/>
      <c r="PC65" s="1742"/>
      <c r="PD65" s="339"/>
      <c r="PE65" s="339"/>
      <c r="PF65" s="339"/>
      <c r="PG65" s="1740"/>
      <c r="PH65" s="1741"/>
      <c r="PI65" s="1741"/>
      <c r="PJ65" s="1742"/>
      <c r="PK65" s="1742"/>
      <c r="PL65" s="448"/>
      <c r="PM65" s="448"/>
      <c r="PN65" s="448" t="s">
        <v>9767</v>
      </c>
      <c r="PO65" s="448"/>
      <c r="PP65" s="458"/>
      <c r="PQ65" s="1741"/>
      <c r="PR65" s="1741"/>
      <c r="PS65" s="448" t="s">
        <v>9784</v>
      </c>
      <c r="PT65" s="1744"/>
      <c r="PU65" s="1743"/>
      <c r="PV65" s="1743"/>
      <c r="PW65" s="339"/>
      <c r="PX65" s="448"/>
      <c r="PY65" s="448"/>
      <c r="PZ65" s="131"/>
      <c r="QA65" s="131" t="s">
        <v>9784</v>
      </c>
      <c r="QB65" s="1741"/>
      <c r="QC65" s="1742" t="s">
        <v>9747</v>
      </c>
      <c r="QD65" s="1742"/>
      <c r="QE65" s="1744"/>
      <c r="QF65" s="448"/>
      <c r="QG65" s="387"/>
      <c r="QH65" s="387"/>
      <c r="QI65" s="387" t="s">
        <v>9767</v>
      </c>
      <c r="QJ65" s="1744" t="s">
        <v>9783</v>
      </c>
      <c r="QK65" s="387"/>
      <c r="QL65" s="387" t="s">
        <v>9749</v>
      </c>
      <c r="QM65" s="1741"/>
      <c r="QN65" s="1741"/>
      <c r="QO65" s="159" t="s">
        <v>9770</v>
      </c>
      <c r="QP65" s="448" t="s">
        <v>9754</v>
      </c>
      <c r="QQ65" s="387" t="s">
        <v>9783</v>
      </c>
      <c r="QR65" s="387" t="s">
        <v>9747</v>
      </c>
      <c r="QS65" s="131"/>
      <c r="QT65" s="387"/>
      <c r="QU65" s="387"/>
      <c r="QV65" s="387"/>
      <c r="QW65" s="1740"/>
      <c r="QX65" s="1740" t="s">
        <v>9747</v>
      </c>
      <c r="QY65" s="1744" t="s">
        <v>9764</v>
      </c>
      <c r="QZ65" s="1743"/>
      <c r="RA65" s="1742" t="s">
        <v>9734</v>
      </c>
      <c r="RB65" s="1743" t="s">
        <v>9745</v>
      </c>
      <c r="RC65" s="387" t="s">
        <v>9767</v>
      </c>
      <c r="RD65" s="339" t="s">
        <v>9769</v>
      </c>
      <c r="RE65" s="1739"/>
      <c r="RF65" s="1740" t="s">
        <v>9754</v>
      </c>
      <c r="RG65" s="131"/>
      <c r="RH65" s="131"/>
      <c r="RI65" s="387"/>
      <c r="RJ65" s="448" t="s">
        <v>9739</v>
      </c>
      <c r="RK65" s="1741"/>
      <c r="RL65" s="1739"/>
      <c r="RM65" s="1740" t="s">
        <v>9737</v>
      </c>
      <c r="RN65" s="1743"/>
      <c r="RO65" s="1744" t="s">
        <v>9739</v>
      </c>
      <c r="RP65" s="1740"/>
      <c r="RQ65" s="1739"/>
      <c r="RR65" s="1739"/>
      <c r="RS65" s="1739"/>
      <c r="RT65" s="1739"/>
      <c r="RU65" s="1739"/>
      <c r="RV65" s="1739"/>
      <c r="RW65" s="339" t="s">
        <v>9758</v>
      </c>
      <c r="RX65" s="1742" t="s">
        <v>9758</v>
      </c>
      <c r="RY65" s="387" t="s">
        <v>9743</v>
      </c>
      <c r="RZ65" s="1740" t="s">
        <v>9751</v>
      </c>
      <c r="SA65" s="448" t="s">
        <v>9750</v>
      </c>
      <c r="SB65" s="1741" t="s">
        <v>9783</v>
      </c>
      <c r="SC65" s="1740"/>
      <c r="SD65" s="1744" t="s">
        <v>9767</v>
      </c>
      <c r="SE65" s="1744" t="s">
        <v>9767</v>
      </c>
      <c r="SF65" s="339"/>
      <c r="SG65" s="387"/>
      <c r="SH65" s="387"/>
      <c r="SI65" s="1744" t="s">
        <v>9750</v>
      </c>
      <c r="SJ65" s="131"/>
      <c r="SK65" s="131"/>
      <c r="SL65" s="1743"/>
    </row>
    <row r="66" ht="15.75" customHeight="1">
      <c r="A66" s="1517"/>
      <c r="B66" s="148"/>
      <c r="C66" s="148"/>
      <c r="D66" s="148"/>
      <c r="E66" s="148"/>
      <c r="F66" s="148"/>
      <c r="G66" s="148" t="s">
        <v>9767</v>
      </c>
      <c r="H66" s="148"/>
      <c r="I66" s="148"/>
      <c r="J66" s="276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 t="s">
        <v>9783</v>
      </c>
      <c r="AD66" s="148"/>
      <c r="AE66" s="148"/>
      <c r="AF66" s="148" t="s">
        <v>9741</v>
      </c>
      <c r="AG66" s="148"/>
      <c r="AH66" s="148"/>
      <c r="AI66" s="148" t="s">
        <v>9760</v>
      </c>
      <c r="AJ66" s="148" t="s">
        <v>9734</v>
      </c>
      <c r="AK66" s="148" t="s">
        <v>9750</v>
      </c>
      <c r="AL66" s="148"/>
      <c r="AM66" s="148"/>
      <c r="AN66" s="148" t="s">
        <v>9739</v>
      </c>
      <c r="AO66" s="148" t="s">
        <v>9742</v>
      </c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 t="s">
        <v>9769</v>
      </c>
      <c r="BG66" s="148"/>
      <c r="BH66" s="148"/>
      <c r="BI66" s="148"/>
      <c r="BJ66" s="148"/>
      <c r="BK66" s="276"/>
      <c r="BL66" s="148" t="s">
        <v>9784</v>
      </c>
      <c r="BM66" s="148" t="s">
        <v>9784</v>
      </c>
      <c r="BN66" s="148" t="s">
        <v>9757</v>
      </c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276"/>
      <c r="CC66" s="148" t="s">
        <v>9734</v>
      </c>
      <c r="CD66" s="148"/>
      <c r="CE66" s="148"/>
      <c r="CF66" s="148"/>
      <c r="CG66" s="148"/>
      <c r="CH66" s="148"/>
      <c r="CI66" s="148"/>
      <c r="CJ66" s="148"/>
      <c r="CK66" s="148"/>
      <c r="CL66" s="148" t="s">
        <v>9754</v>
      </c>
      <c r="CM66" s="148"/>
      <c r="CN66" s="148"/>
      <c r="CO66" s="148"/>
      <c r="CP66" s="148"/>
      <c r="CQ66" s="148" t="s">
        <v>9739</v>
      </c>
      <c r="CR66" s="148"/>
      <c r="CS66" s="148"/>
      <c r="CT66" s="148" t="s">
        <v>9784</v>
      </c>
      <c r="CU66" s="148"/>
      <c r="CV66" s="148"/>
      <c r="CW66" s="148"/>
      <c r="CX66" s="148"/>
      <c r="CY66" s="148"/>
      <c r="CZ66" s="148"/>
      <c r="DA66" s="148"/>
      <c r="DB66" s="148" t="s">
        <v>9783</v>
      </c>
      <c r="DC66" s="148"/>
      <c r="DD66" s="148"/>
      <c r="DE66" s="148" t="s">
        <v>9754</v>
      </c>
      <c r="DF66" s="148"/>
      <c r="DG66" s="148"/>
      <c r="DH66" s="148" t="s">
        <v>9769</v>
      </c>
      <c r="DI66" s="148" t="s">
        <v>9742</v>
      </c>
      <c r="DJ66" s="148" t="s">
        <v>9741</v>
      </c>
      <c r="DK66" s="148"/>
      <c r="DL66" s="148" t="s">
        <v>9756</v>
      </c>
      <c r="DM66" s="148"/>
      <c r="DN66" s="148"/>
      <c r="DO66" s="148"/>
      <c r="DP66" s="148"/>
      <c r="DQ66" s="148"/>
      <c r="DR66" s="148"/>
      <c r="DS66" s="148" t="s">
        <v>9750</v>
      </c>
      <c r="DT66" s="148"/>
      <c r="DU66" s="148" t="s">
        <v>9757</v>
      </c>
      <c r="DV66" s="148"/>
      <c r="DW66" s="148"/>
      <c r="DX66" s="253"/>
      <c r="DY66" s="148"/>
      <c r="DZ66" s="148"/>
      <c r="EA66" s="148" t="s">
        <v>9765</v>
      </c>
      <c r="EB66" s="148"/>
      <c r="EC66" s="148"/>
      <c r="ED66" s="148"/>
      <c r="EE66" s="148"/>
      <c r="EF66" s="148"/>
      <c r="EG66" s="148"/>
      <c r="EH66" s="148"/>
      <c r="EI66" s="148"/>
      <c r="EJ66" s="148"/>
      <c r="EK66" s="148"/>
      <c r="EL66" s="148"/>
      <c r="EM66" s="148" t="s">
        <v>9766</v>
      </c>
      <c r="EN66" s="148" t="s">
        <v>9766</v>
      </c>
      <c r="EO66" s="148"/>
      <c r="EP66" s="148"/>
      <c r="EQ66" s="148"/>
      <c r="ER66" s="148"/>
      <c r="ES66" s="148"/>
      <c r="ET66" s="148" t="s">
        <v>9750</v>
      </c>
      <c r="EU66" s="148" t="s">
        <v>9748</v>
      </c>
      <c r="EV66" s="148"/>
      <c r="EW66" s="148"/>
      <c r="EX66" s="148"/>
      <c r="EY66" s="148"/>
      <c r="EZ66" s="148"/>
      <c r="FA66" s="148"/>
      <c r="FB66" s="148"/>
      <c r="FC66" s="148"/>
      <c r="FD66" s="148"/>
      <c r="FE66" s="148" t="s">
        <v>9766</v>
      </c>
      <c r="FF66" s="148"/>
      <c r="FG66" s="148" t="s">
        <v>9766</v>
      </c>
      <c r="FH66" s="148"/>
      <c r="FI66" s="148"/>
      <c r="FJ66" s="148"/>
      <c r="FK66" s="253"/>
      <c r="FL66" s="148"/>
      <c r="FM66" s="148"/>
      <c r="FN66" s="148"/>
      <c r="FO66" s="148"/>
      <c r="FP66" s="148"/>
      <c r="FQ66" s="148"/>
      <c r="FR66" s="148"/>
      <c r="FS66" s="148"/>
      <c r="FT66" s="148"/>
      <c r="FU66" s="148" t="s">
        <v>9759</v>
      </c>
      <c r="FV66" s="148"/>
      <c r="FW66" s="159" t="s">
        <v>9773</v>
      </c>
      <c r="FX66" s="148"/>
      <c r="FY66" s="148"/>
      <c r="FZ66" s="148"/>
      <c r="GA66" s="148"/>
      <c r="GB66" s="148"/>
      <c r="GC66" s="148"/>
      <c r="GD66" s="148"/>
      <c r="GE66" s="148"/>
      <c r="GF66" s="148"/>
      <c r="GG66" s="148"/>
      <c r="GH66" s="148"/>
      <c r="GI66" s="148"/>
      <c r="GJ66" s="148"/>
      <c r="GK66" s="148"/>
      <c r="GL66" s="148"/>
      <c r="GM66" s="148"/>
      <c r="GN66" s="148"/>
      <c r="GO66" s="148"/>
      <c r="GP66" s="148"/>
      <c r="GQ66" s="148"/>
      <c r="GR66" s="148" t="s">
        <v>9734</v>
      </c>
      <c r="GS66" s="148"/>
      <c r="GT66" s="148"/>
      <c r="GU66" s="148"/>
      <c r="GV66" s="148"/>
      <c r="GW66" s="148"/>
      <c r="GX66" s="148"/>
      <c r="GY66" s="148" t="s">
        <v>9766</v>
      </c>
      <c r="GZ66" s="148" t="s">
        <v>9758</v>
      </c>
      <c r="HA66" s="148" t="s">
        <v>9783</v>
      </c>
      <c r="HB66" s="148" t="s">
        <v>9769</v>
      </c>
      <c r="HC66" s="148" t="s">
        <v>9750</v>
      </c>
      <c r="HD66" s="148"/>
      <c r="HE66" s="148"/>
      <c r="HF66" s="148"/>
      <c r="HG66" s="148"/>
      <c r="HH66" s="148" t="s">
        <v>9747</v>
      </c>
      <c r="HI66" s="148"/>
      <c r="HJ66" s="148" t="s">
        <v>9769</v>
      </c>
      <c r="HK66" s="148"/>
      <c r="HL66" s="148"/>
      <c r="HM66" s="148"/>
      <c r="HN66" s="148"/>
      <c r="HO66" s="148"/>
      <c r="HP66" s="148"/>
      <c r="HQ66" s="148"/>
      <c r="HR66" s="148"/>
      <c r="HS66" s="148"/>
      <c r="HT66" s="148"/>
      <c r="HU66" s="148"/>
      <c r="HV66" s="148"/>
      <c r="HW66" s="148"/>
      <c r="HX66" s="148"/>
      <c r="HY66" s="148"/>
      <c r="HZ66" s="148"/>
      <c r="IA66" s="148"/>
      <c r="IB66" s="148"/>
      <c r="IC66" s="148"/>
      <c r="ID66" s="148"/>
      <c r="IE66" s="148"/>
      <c r="IF66" s="148"/>
      <c r="IG66" s="148"/>
      <c r="IH66" s="148" t="s">
        <v>9761</v>
      </c>
      <c r="II66" s="148" t="s">
        <v>9746</v>
      </c>
      <c r="IJ66" s="148"/>
      <c r="IK66" s="148"/>
      <c r="IL66" s="148"/>
      <c r="IM66" s="148"/>
      <c r="IN66" s="148"/>
      <c r="IO66" s="148" t="s">
        <v>9744</v>
      </c>
      <c r="IP66" s="148" t="s">
        <v>9743</v>
      </c>
      <c r="IQ66" s="148" t="s">
        <v>9754</v>
      </c>
      <c r="IR66" s="148" t="s">
        <v>9767</v>
      </c>
      <c r="IS66" s="148"/>
      <c r="IT66" s="148"/>
      <c r="IU66" s="148" t="s">
        <v>9747</v>
      </c>
      <c r="IV66" s="148"/>
      <c r="IW66" s="148"/>
      <c r="IX66" s="148" t="s">
        <v>9769</v>
      </c>
      <c r="IY66" s="148"/>
      <c r="IZ66" s="148"/>
      <c r="JA66" s="148"/>
      <c r="JB66" s="148"/>
      <c r="JC66" s="148"/>
      <c r="JD66" s="148"/>
      <c r="JE66" s="253"/>
      <c r="JF66" s="148"/>
      <c r="JG66" s="148"/>
      <c r="JH66" s="148"/>
      <c r="JI66" s="148"/>
      <c r="JJ66" s="148"/>
      <c r="JK66" s="1746"/>
      <c r="JL66" s="1746"/>
      <c r="JM66" s="1746" t="s">
        <v>9783</v>
      </c>
      <c r="JN66" s="1746"/>
      <c r="JO66" s="1746"/>
      <c r="JP66" s="1746" t="s">
        <v>9754</v>
      </c>
      <c r="JQ66" s="1746"/>
      <c r="JR66" s="1746"/>
      <c r="JS66" s="148"/>
      <c r="JT66" s="148"/>
      <c r="JU66" s="148"/>
      <c r="JV66" s="148"/>
      <c r="JW66" s="148" t="s">
        <v>9784</v>
      </c>
      <c r="JX66" s="1746"/>
      <c r="JY66" s="1746"/>
      <c r="JZ66" s="1746"/>
      <c r="KA66" s="1746" t="s">
        <v>9769</v>
      </c>
      <c r="KB66" s="1746"/>
      <c r="KC66" s="148" t="s">
        <v>9766</v>
      </c>
      <c r="KD66" s="1746" t="s">
        <v>9754</v>
      </c>
      <c r="KE66" s="1746"/>
      <c r="KF66" s="148"/>
      <c r="KG66" s="1746"/>
      <c r="KH66" s="1746"/>
      <c r="KI66" s="1746"/>
      <c r="KJ66" s="148" t="s">
        <v>9769</v>
      </c>
      <c r="KK66" s="1746"/>
      <c r="KL66" s="1746"/>
      <c r="KM66" s="1746"/>
      <c r="KN66" s="1746"/>
      <c r="KO66" s="148"/>
      <c r="KP66" s="1746"/>
      <c r="KQ66" s="148" t="s">
        <v>9767</v>
      </c>
      <c r="KR66" s="148" t="s">
        <v>9766</v>
      </c>
      <c r="KS66" s="1746"/>
      <c r="KT66" s="1746"/>
      <c r="KU66" s="148" t="s">
        <v>9744</v>
      </c>
      <c r="KV66" s="1746"/>
      <c r="KW66" s="148"/>
      <c r="KX66" s="1746"/>
      <c r="KY66" s="1746"/>
      <c r="KZ66" s="1746"/>
      <c r="LA66" s="1746"/>
      <c r="LB66" s="1746"/>
      <c r="LC66" s="1746"/>
      <c r="LD66" s="148"/>
      <c r="LE66" s="1746"/>
      <c r="LF66" s="1746"/>
      <c r="LG66" s="1746"/>
      <c r="LH66" s="148"/>
      <c r="LI66" s="1746"/>
      <c r="LJ66" s="1746"/>
      <c r="LK66" s="1746"/>
      <c r="LL66" s="1746"/>
      <c r="LM66" s="1746"/>
      <c r="LN66" s="1746"/>
      <c r="LO66" s="1746" t="s">
        <v>9757</v>
      </c>
      <c r="LP66" s="148"/>
      <c r="LQ66" s="1746"/>
      <c r="LR66" s="1746"/>
      <c r="LS66" s="192" t="s">
        <v>9689</v>
      </c>
      <c r="LT66" s="1746"/>
      <c r="LU66" s="148"/>
      <c r="LV66" s="1746"/>
      <c r="LW66" s="148"/>
      <c r="LX66" s="148" t="s">
        <v>9734</v>
      </c>
      <c r="LY66" s="1746"/>
      <c r="LZ66" s="1746"/>
      <c r="MA66" s="1746" t="s">
        <v>9747</v>
      </c>
      <c r="MB66" s="1746"/>
      <c r="MC66" s="148"/>
      <c r="MD66" s="1746"/>
      <c r="ME66" s="1746" t="s">
        <v>9765</v>
      </c>
      <c r="MF66" s="1746"/>
      <c r="MG66" s="148" t="s">
        <v>9784</v>
      </c>
      <c r="MH66" s="1746"/>
      <c r="MI66" s="1746"/>
      <c r="MJ66" s="1746"/>
      <c r="MK66" s="1746"/>
      <c r="ML66" s="1746"/>
      <c r="MM66" s="148"/>
      <c r="MN66" s="148"/>
      <c r="MO66" s="148" t="s">
        <v>9734</v>
      </c>
      <c r="MP66" s="1746"/>
      <c r="MQ66" s="1746"/>
      <c r="MR66" s="1746"/>
      <c r="MS66" s="148" t="s">
        <v>9754</v>
      </c>
      <c r="MT66" s="148"/>
      <c r="MU66" s="1746"/>
      <c r="MV66" s="148" t="s">
        <v>9750</v>
      </c>
      <c r="MW66" s="1746"/>
      <c r="MX66" s="1746"/>
      <c r="MY66" s="193" t="s">
        <v>9802</v>
      </c>
      <c r="MZ66" s="1746"/>
      <c r="NA66" s="1746"/>
      <c r="NB66" s="148"/>
      <c r="NC66" s="1746"/>
      <c r="ND66" s="1746"/>
      <c r="NE66" s="1746"/>
      <c r="NF66" s="148"/>
      <c r="NG66" s="1746"/>
      <c r="NH66" s="1746"/>
      <c r="NI66" s="148"/>
      <c r="NJ66" s="159" t="s">
        <v>9773</v>
      </c>
      <c r="NK66" s="1746"/>
      <c r="NL66" s="1737"/>
      <c r="NM66" s="1759" t="s">
        <v>9779</v>
      </c>
      <c r="NN66" s="1746"/>
      <c r="NO66" s="1746"/>
      <c r="NP66" s="1746"/>
      <c r="NQ66" s="1746" t="s">
        <v>9734</v>
      </c>
      <c r="NR66" s="1746" t="s">
        <v>9734</v>
      </c>
      <c r="NS66" s="1746"/>
      <c r="NT66" s="1746" t="s">
        <v>9743</v>
      </c>
      <c r="NU66" s="1746" t="s">
        <v>9750</v>
      </c>
      <c r="NV66" s="1746" t="s">
        <v>9762</v>
      </c>
      <c r="NW66" s="1746" t="s">
        <v>9756</v>
      </c>
      <c r="NX66" s="1746" t="s">
        <v>9756</v>
      </c>
      <c r="NY66" s="1746" t="s">
        <v>9756</v>
      </c>
      <c r="NZ66" s="1746" t="s">
        <v>9756</v>
      </c>
      <c r="OA66" s="1746"/>
      <c r="OB66" s="1746"/>
      <c r="OC66" s="1746" t="s">
        <v>9783</v>
      </c>
      <c r="OD66" s="1746"/>
      <c r="OE66" s="1746" t="s">
        <v>9769</v>
      </c>
      <c r="OF66" s="1746" t="s">
        <v>9749</v>
      </c>
      <c r="OG66" s="1746"/>
      <c r="OH66" s="1746"/>
      <c r="OI66" s="1746" t="s">
        <v>9768</v>
      </c>
      <c r="OJ66" s="1746"/>
      <c r="OK66" s="1746"/>
      <c r="OL66" s="1746"/>
      <c r="OM66" s="1746"/>
      <c r="ON66" s="1746" t="s">
        <v>9783</v>
      </c>
      <c r="OO66" s="1746"/>
      <c r="OP66" s="148"/>
      <c r="OQ66" s="1746"/>
      <c r="OR66" s="1746"/>
      <c r="OS66" s="1746"/>
      <c r="OT66" s="1746"/>
      <c r="OU66" s="1746"/>
      <c r="OV66" s="1746" t="s">
        <v>9769</v>
      </c>
      <c r="OW66" s="1746" t="s">
        <v>9734</v>
      </c>
      <c r="OX66" s="1746"/>
      <c r="OY66" s="1746" t="s">
        <v>9766</v>
      </c>
      <c r="OZ66" s="1746"/>
      <c r="PA66" s="1746"/>
      <c r="PB66" s="1746"/>
      <c r="PC66" s="1746"/>
      <c r="PD66" s="1746"/>
      <c r="PE66" s="1746"/>
      <c r="PF66" s="1746"/>
      <c r="PG66" s="148"/>
      <c r="PH66" s="1746"/>
      <c r="PI66" s="1746"/>
      <c r="PJ66" s="1746"/>
      <c r="PK66" s="1746"/>
      <c r="PL66" s="1746"/>
      <c r="PM66" s="1746"/>
      <c r="PN66" s="1746" t="s">
        <v>9766</v>
      </c>
      <c r="PO66" s="1746"/>
      <c r="PP66" s="1746"/>
      <c r="PQ66" s="1746"/>
      <c r="PR66" s="148"/>
      <c r="PS66" s="1746"/>
      <c r="PT66" s="1746"/>
      <c r="PU66" s="1746"/>
      <c r="PV66" s="1746"/>
      <c r="PW66" s="1746"/>
      <c r="PX66" s="1746"/>
      <c r="PY66" s="148"/>
      <c r="PZ66" s="1746"/>
      <c r="QA66" s="1746" t="s">
        <v>9766</v>
      </c>
      <c r="QB66" s="1746"/>
      <c r="QC66" s="1746" t="s">
        <v>9754</v>
      </c>
      <c r="QD66" s="1746"/>
      <c r="QE66" s="1746"/>
      <c r="QF66" s="1746"/>
      <c r="QG66" s="1746"/>
      <c r="QH66" s="1746"/>
      <c r="QI66" s="1746" t="s">
        <v>9761</v>
      </c>
      <c r="QJ66" s="1746"/>
      <c r="QK66" s="1746"/>
      <c r="QL66" s="148" t="s">
        <v>9747</v>
      </c>
      <c r="QM66" s="1746"/>
      <c r="QN66" s="1746"/>
      <c r="QO66" s="1737"/>
      <c r="QP66" s="1746" t="s">
        <v>9767</v>
      </c>
      <c r="QQ66" s="1748"/>
      <c r="QR66" s="1746" t="s">
        <v>9754</v>
      </c>
      <c r="QS66" s="1746"/>
      <c r="QT66" s="1746"/>
      <c r="QU66" s="1746"/>
      <c r="QV66" s="1746"/>
      <c r="QW66" s="148"/>
      <c r="QX66" s="148" t="s">
        <v>9754</v>
      </c>
      <c r="QY66" s="148" t="s">
        <v>9755</v>
      </c>
      <c r="QZ66" s="148"/>
      <c r="RA66" s="148" t="s">
        <v>9751</v>
      </c>
      <c r="RB66" s="148" t="s">
        <v>9742</v>
      </c>
      <c r="RC66" s="1746" t="s">
        <v>9766</v>
      </c>
      <c r="RD66" s="148" t="s">
        <v>9783</v>
      </c>
      <c r="RE66" s="1746"/>
      <c r="RF66" s="148" t="s">
        <v>9759</v>
      </c>
      <c r="RG66" s="148"/>
      <c r="RH66" s="1746"/>
      <c r="RI66" s="1746"/>
      <c r="RJ66" s="148" t="s">
        <v>9749</v>
      </c>
      <c r="RK66" s="148"/>
      <c r="RL66" s="148"/>
      <c r="RM66" s="148" t="s">
        <v>9760</v>
      </c>
      <c r="RN66" s="148"/>
      <c r="RO66" s="148" t="s">
        <v>9747</v>
      </c>
      <c r="RP66" s="148"/>
      <c r="RQ66" s="1746"/>
      <c r="RR66" s="1746"/>
      <c r="RS66" s="1746"/>
      <c r="RT66" s="1746"/>
      <c r="RU66" s="1746"/>
      <c r="RV66" s="1746"/>
      <c r="RW66" s="1746" t="s">
        <v>9754</v>
      </c>
      <c r="RX66" s="1746" t="s">
        <v>9754</v>
      </c>
      <c r="RY66" s="1746" t="s">
        <v>9739</v>
      </c>
      <c r="RZ66" s="148" t="s">
        <v>9739</v>
      </c>
      <c r="SA66" s="1746" t="s">
        <v>9743</v>
      </c>
      <c r="SB66" s="1746"/>
      <c r="SC66" s="148"/>
      <c r="SD66" s="1746" t="s">
        <v>9759</v>
      </c>
      <c r="SE66" s="1746" t="s">
        <v>9759</v>
      </c>
      <c r="SF66" s="1746"/>
      <c r="SG66" s="1746"/>
      <c r="SH66" s="1746"/>
      <c r="SI66" s="1746" t="s">
        <v>9745</v>
      </c>
      <c r="SJ66" s="1746"/>
      <c r="SK66" s="1746"/>
      <c r="SL66" s="1746"/>
    </row>
    <row r="67" ht="15.75" customHeight="1">
      <c r="A67" s="1517"/>
      <c r="B67" s="131"/>
      <c r="C67" s="131"/>
      <c r="D67" s="131"/>
      <c r="E67" s="1739"/>
      <c r="F67" s="1739"/>
      <c r="G67" s="1739" t="s">
        <v>9759</v>
      </c>
      <c r="H67" s="387"/>
      <c r="I67" s="387"/>
      <c r="J67" s="192" t="s">
        <v>9736</v>
      </c>
      <c r="K67" s="131"/>
      <c r="L67" s="131"/>
      <c r="M67" s="1740"/>
      <c r="N67" s="1741"/>
      <c r="O67" s="339"/>
      <c r="P67" s="339"/>
      <c r="Q67" s="1741"/>
      <c r="R67" s="1741"/>
      <c r="S67" s="1741"/>
      <c r="T67" s="448"/>
      <c r="U67" s="1741"/>
      <c r="V67" s="1741"/>
      <c r="W67" s="1741"/>
      <c r="X67" s="448"/>
      <c r="Y67" s="448"/>
      <c r="Z67" s="339"/>
      <c r="AA67" s="339"/>
      <c r="AB67" s="339"/>
      <c r="AC67" s="339"/>
      <c r="AD67" s="387"/>
      <c r="AE67" s="387"/>
      <c r="AF67" s="387" t="s">
        <v>9760</v>
      </c>
      <c r="AG67" s="448"/>
      <c r="AH67" s="448"/>
      <c r="AI67" s="448" t="s">
        <v>9756</v>
      </c>
      <c r="AJ67" s="1742" t="s">
        <v>9739</v>
      </c>
      <c r="AK67" s="1742" t="s">
        <v>9742</v>
      </c>
      <c r="AL67" s="1741"/>
      <c r="AM67" s="339"/>
      <c r="AN67" s="1742" t="s">
        <v>9757</v>
      </c>
      <c r="AO67" s="1742" t="s">
        <v>9743</v>
      </c>
      <c r="AP67" s="448"/>
      <c r="AQ67" s="448"/>
      <c r="AR67" s="387"/>
      <c r="AS67" s="387"/>
      <c r="AT67" s="1739"/>
      <c r="AU67" s="1739"/>
      <c r="AV67" s="1739"/>
      <c r="AW67" s="448"/>
      <c r="AX67" s="448"/>
      <c r="AY67" s="1741"/>
      <c r="AZ67" s="1741"/>
      <c r="BA67" s="339"/>
      <c r="BB67" s="339"/>
      <c r="BC67" s="339"/>
      <c r="BD67" s="387"/>
      <c r="BE67" s="1741"/>
      <c r="BF67" s="1741" t="s">
        <v>9783</v>
      </c>
      <c r="BG67" s="1741"/>
      <c r="BH67" s="1741"/>
      <c r="BI67" s="387"/>
      <c r="BJ67" s="387"/>
      <c r="BK67" s="159" t="s">
        <v>9793</v>
      </c>
      <c r="BL67" s="1741"/>
      <c r="BM67" s="1741"/>
      <c r="BN67" s="1741" t="s">
        <v>9747</v>
      </c>
      <c r="BO67" s="1743"/>
      <c r="BP67" s="1743"/>
      <c r="BQ67" s="1743"/>
      <c r="BR67" s="131"/>
      <c r="BS67" s="131"/>
      <c r="BT67" s="131"/>
      <c r="BU67" s="387"/>
      <c r="BV67" s="387"/>
      <c r="BW67" s="1741"/>
      <c r="BX67" s="1741"/>
      <c r="BY67" s="1741"/>
      <c r="BZ67" s="339"/>
      <c r="CA67" s="339"/>
      <c r="CB67" s="159" t="s">
        <v>9771</v>
      </c>
      <c r="CC67" s="1742" t="s">
        <v>9739</v>
      </c>
      <c r="CD67" s="1743"/>
      <c r="CE67" s="1743"/>
      <c r="CF67" s="1741"/>
      <c r="CG67" s="1741"/>
      <c r="CH67" s="1741"/>
      <c r="CI67" s="1740"/>
      <c r="CJ67" s="1740"/>
      <c r="CK67" s="448"/>
      <c r="CL67" s="448" t="s">
        <v>9766</v>
      </c>
      <c r="CM67" s="448"/>
      <c r="CN67" s="448"/>
      <c r="CO67" s="448"/>
      <c r="CP67" s="448"/>
      <c r="CQ67" s="448" t="s">
        <v>9749</v>
      </c>
      <c r="CR67" s="1743"/>
      <c r="CS67" s="339"/>
      <c r="CT67" s="339"/>
      <c r="CU67" s="1739"/>
      <c r="CV67" s="1739"/>
      <c r="CW67" s="1739"/>
      <c r="CX67" s="1739"/>
      <c r="CY67" s="1742"/>
      <c r="CZ67" s="339"/>
      <c r="DA67" s="1741"/>
      <c r="DB67" s="1741"/>
      <c r="DC67" s="1741"/>
      <c r="DD67" s="1741"/>
      <c r="DE67" s="1742" t="s">
        <v>9767</v>
      </c>
      <c r="DF67" s="448"/>
      <c r="DG67" s="448"/>
      <c r="DH67" s="1743" t="s">
        <v>9783</v>
      </c>
      <c r="DI67" s="1743" t="s">
        <v>9734</v>
      </c>
      <c r="DJ67" s="1742" t="s">
        <v>9737</v>
      </c>
      <c r="DK67" s="387"/>
      <c r="DL67" s="1741" t="s">
        <v>9734</v>
      </c>
      <c r="DM67" s="387"/>
      <c r="DN67" s="387"/>
      <c r="DO67" s="1739"/>
      <c r="DP67" s="1739"/>
      <c r="DQ67" s="1741"/>
      <c r="DR67" s="448"/>
      <c r="DS67" s="1742" t="s">
        <v>9743</v>
      </c>
      <c r="DT67" s="131"/>
      <c r="DU67" s="1739" t="s">
        <v>9747</v>
      </c>
      <c r="DV67" s="339"/>
      <c r="DW67" s="1739"/>
      <c r="DX67" s="1741"/>
      <c r="DY67" s="1741"/>
      <c r="DZ67" s="1739"/>
      <c r="EA67" s="393"/>
      <c r="EB67" s="387"/>
      <c r="EC67" s="448"/>
      <c r="ED67" s="1741"/>
      <c r="EE67" s="387"/>
      <c r="EF67" s="339"/>
      <c r="EG67" s="1739"/>
      <c r="EH67" s="1742"/>
      <c r="EI67" s="387"/>
      <c r="EJ67" s="387"/>
      <c r="EK67" s="1741"/>
      <c r="EL67" s="1741"/>
      <c r="EM67" s="448" t="s">
        <v>9768</v>
      </c>
      <c r="EN67" s="1744" t="s">
        <v>9769</v>
      </c>
      <c r="EO67" s="387"/>
      <c r="EP67" s="339"/>
      <c r="EQ67" s="339"/>
      <c r="ER67" s="387"/>
      <c r="ES67" s="387"/>
      <c r="ET67" s="1741" t="s">
        <v>9734</v>
      </c>
      <c r="EU67" s="448" t="s">
        <v>9730</v>
      </c>
      <c r="EV67" s="1742"/>
      <c r="EW67" s="131"/>
      <c r="EX67" s="131"/>
      <c r="EY67" s="131"/>
      <c r="EZ67" s="339"/>
      <c r="FA67" s="339"/>
      <c r="FB67" s="339"/>
      <c r="FC67" s="387"/>
      <c r="FD67" s="387"/>
      <c r="FE67" s="387" t="s">
        <v>9769</v>
      </c>
      <c r="FF67" s="1741"/>
      <c r="FG67" s="1741" t="s">
        <v>9769</v>
      </c>
      <c r="FH67" s="1741"/>
      <c r="FI67" s="1741"/>
      <c r="FJ67" s="1739"/>
      <c r="FK67" s="1739"/>
      <c r="FL67" s="131"/>
      <c r="FM67" s="1739"/>
      <c r="FN67" s="448"/>
      <c r="FO67" s="387"/>
      <c r="FP67" s="387"/>
      <c r="FQ67" s="339"/>
      <c r="FR67" s="1742"/>
      <c r="FS67" s="1742"/>
      <c r="FT67" s="1740"/>
      <c r="FU67" s="1740" t="s">
        <v>9768</v>
      </c>
      <c r="FV67" s="131"/>
      <c r="FW67" s="249"/>
      <c r="FX67" s="1740"/>
      <c r="FY67" s="1742"/>
      <c r="FZ67" s="339"/>
      <c r="GA67" s="131"/>
      <c r="GB67" s="387"/>
      <c r="GC67" s="387"/>
      <c r="GD67" s="1741"/>
      <c r="GE67" s="131"/>
      <c r="GF67" s="1742"/>
      <c r="GG67" s="131"/>
      <c r="GH67" s="387"/>
      <c r="GI67" s="448"/>
      <c r="GJ67" s="339"/>
      <c r="GK67" s="339"/>
      <c r="GL67" s="1739"/>
      <c r="GM67" s="387"/>
      <c r="GN67" s="387"/>
      <c r="GO67" s="448"/>
      <c r="GP67" s="1744"/>
      <c r="GQ67" s="1744"/>
      <c r="GR67" s="1742" t="s">
        <v>9739</v>
      </c>
      <c r="GS67" s="1743"/>
      <c r="GT67" s="1744"/>
      <c r="GU67" s="387"/>
      <c r="GV67" s="339"/>
      <c r="GW67" s="1743"/>
      <c r="GX67" s="448"/>
      <c r="GY67" s="339" t="s">
        <v>9769</v>
      </c>
      <c r="GZ67" s="448" t="s">
        <v>9754</v>
      </c>
      <c r="HA67" s="1743"/>
      <c r="HB67" s="1742"/>
      <c r="HC67" s="448" t="s">
        <v>9734</v>
      </c>
      <c r="HD67" s="1743"/>
      <c r="HE67" s="1739"/>
      <c r="HF67" s="339"/>
      <c r="HG67" s="387"/>
      <c r="HH67" s="1744" t="s">
        <v>9754</v>
      </c>
      <c r="HI67" s="1741"/>
      <c r="HJ67" s="1741" t="s">
        <v>9783</v>
      </c>
      <c r="HK67" s="1739"/>
      <c r="HL67" s="1739"/>
      <c r="HM67" s="1741"/>
      <c r="HN67" s="1741"/>
      <c r="HO67" s="1742"/>
      <c r="HP67" s="1743"/>
      <c r="HQ67" s="1739"/>
      <c r="HR67" s="1739"/>
      <c r="HS67" s="448"/>
      <c r="HT67" s="1743"/>
      <c r="HU67" s="1744"/>
      <c r="HV67" s="1744"/>
      <c r="HW67" s="387"/>
      <c r="HX67" s="387"/>
      <c r="HY67" s="1743"/>
      <c r="HZ67" s="1739"/>
      <c r="IA67" s="1741"/>
      <c r="IB67" s="1740"/>
      <c r="IC67" s="448"/>
      <c r="ID67" s="1741"/>
      <c r="IE67" s="1742"/>
      <c r="IF67" s="339"/>
      <c r="IG67" s="1739"/>
      <c r="IH67" s="1742" t="s">
        <v>9766</v>
      </c>
      <c r="II67" s="1742" t="s">
        <v>9741</v>
      </c>
      <c r="IJ67" s="339"/>
      <c r="IK67" s="1741"/>
      <c r="IL67" s="387"/>
      <c r="IM67" s="131"/>
      <c r="IN67" s="1743"/>
      <c r="IO67" s="131" t="s">
        <v>9760</v>
      </c>
      <c r="IP67" s="1740" t="s">
        <v>9739</v>
      </c>
      <c r="IQ67" s="1739" t="s">
        <v>9759</v>
      </c>
      <c r="IR67" s="131"/>
      <c r="IS67" s="131"/>
      <c r="IT67" s="131"/>
      <c r="IU67" s="131" t="s">
        <v>9754</v>
      </c>
      <c r="IV67" s="1739"/>
      <c r="IW67" s="1739"/>
      <c r="IX67" s="1739" t="s">
        <v>9783</v>
      </c>
      <c r="IY67" s="387"/>
      <c r="IZ67" s="387"/>
      <c r="JA67" s="387"/>
      <c r="JB67" s="1743"/>
      <c r="JC67" s="1743"/>
      <c r="JD67" s="1741"/>
      <c r="JE67" s="1740"/>
      <c r="JF67" s="1739"/>
      <c r="JG67" s="1740"/>
      <c r="JH67" s="339"/>
      <c r="JI67" s="448"/>
      <c r="JJ67" s="131"/>
      <c r="JK67" s="131"/>
      <c r="JL67" s="131"/>
      <c r="JM67" s="131"/>
      <c r="JN67" s="1741"/>
      <c r="JO67" s="1741"/>
      <c r="JP67" s="1741" t="s">
        <v>9767</v>
      </c>
      <c r="JQ67" s="387"/>
      <c r="JR67" s="387"/>
      <c r="JS67" s="1740"/>
      <c r="JT67" s="339"/>
      <c r="JU67" s="1740"/>
      <c r="JV67" s="1740"/>
      <c r="JW67" s="1740"/>
      <c r="JX67" s="387"/>
      <c r="JY67" s="387"/>
      <c r="JZ67" s="1741"/>
      <c r="KA67" s="269"/>
      <c r="KB67" s="1741"/>
      <c r="KC67" s="1740" t="s">
        <v>9769</v>
      </c>
      <c r="KD67" s="1741" t="s">
        <v>9767</v>
      </c>
      <c r="KE67" s="1743"/>
      <c r="KF67" s="339"/>
      <c r="KG67" s="1741"/>
      <c r="KH67" s="1742"/>
      <c r="KI67" s="387"/>
      <c r="KJ67" s="387" t="s">
        <v>9783</v>
      </c>
      <c r="KK67" s="339"/>
      <c r="KL67" s="1741"/>
      <c r="KM67" s="387"/>
      <c r="KN67" s="1743"/>
      <c r="KO67" s="1742"/>
      <c r="KP67" s="448"/>
      <c r="KQ67" s="448" t="s">
        <v>9769</v>
      </c>
      <c r="KR67" s="1744" t="s">
        <v>9769</v>
      </c>
      <c r="KS67" s="1743"/>
      <c r="KT67" s="1743"/>
      <c r="KU67" s="1743" t="s">
        <v>9760</v>
      </c>
      <c r="KV67" s="387"/>
      <c r="KW67" s="1739"/>
      <c r="KX67" s="131"/>
      <c r="KY67" s="339"/>
      <c r="KZ67" s="339"/>
      <c r="LA67" s="339"/>
      <c r="LB67" s="1743"/>
      <c r="LC67" s="448"/>
      <c r="LD67" s="131"/>
      <c r="LE67" s="131"/>
      <c r="LF67" s="448"/>
      <c r="LG67" s="1739"/>
      <c r="LH67" s="387"/>
      <c r="LI67" s="387"/>
      <c r="LJ67" s="387"/>
      <c r="LK67" s="339"/>
      <c r="LL67" s="1739"/>
      <c r="LM67" s="1741"/>
      <c r="LN67" s="1744"/>
      <c r="LO67" s="448" t="s">
        <v>9747</v>
      </c>
      <c r="LP67" s="1741"/>
      <c r="LQ67" s="1741"/>
      <c r="LR67" s="131"/>
      <c r="LS67" s="193" t="s">
        <v>9773</v>
      </c>
      <c r="LT67" s="131"/>
      <c r="LU67" s="131"/>
      <c r="LV67" s="387"/>
      <c r="LW67" s="387"/>
      <c r="LX67" s="1740" t="s">
        <v>9751</v>
      </c>
      <c r="LY67" s="1744"/>
      <c r="LZ67" s="339"/>
      <c r="MA67" s="1739" t="s">
        <v>9754</v>
      </c>
      <c r="MB67" s="1743"/>
      <c r="MC67" s="387"/>
      <c r="MD67" s="1739"/>
      <c r="ME67" s="1739"/>
      <c r="MF67" s="1741"/>
      <c r="MG67" s="1744" t="s">
        <v>9766</v>
      </c>
      <c r="MH67" s="448"/>
      <c r="MI67" s="131"/>
      <c r="MJ67" s="1743"/>
      <c r="MK67" s="1743"/>
      <c r="ML67" s="1741"/>
      <c r="MM67" s="1742"/>
      <c r="MN67" s="1740"/>
      <c r="MO67" s="131" t="s">
        <v>9751</v>
      </c>
      <c r="MP67" s="1744"/>
      <c r="MQ67" s="1744"/>
      <c r="MR67" s="1744"/>
      <c r="MS67" s="1744" t="s">
        <v>9784</v>
      </c>
      <c r="MT67" s="131"/>
      <c r="MU67" s="387"/>
      <c r="MV67" s="1740" t="s">
        <v>9745</v>
      </c>
      <c r="MW67" s="387"/>
      <c r="MX67" s="1743"/>
      <c r="MY67" s="1761"/>
      <c r="MZ67" s="387"/>
      <c r="NA67" s="387"/>
      <c r="NB67" s="387"/>
      <c r="NC67" s="387"/>
      <c r="ND67" s="387"/>
      <c r="NE67" s="1742"/>
      <c r="NF67" s="1743"/>
      <c r="NG67" s="1742"/>
      <c r="NH67" s="387"/>
      <c r="NI67" s="1740"/>
      <c r="NJ67" s="397"/>
      <c r="NK67" s="387"/>
      <c r="NL67" s="387"/>
      <c r="NM67" s="397"/>
      <c r="NN67" s="1741"/>
      <c r="NO67" s="387"/>
      <c r="NP67" s="1743"/>
      <c r="NQ67" s="1739" t="s">
        <v>9739</v>
      </c>
      <c r="NR67" s="387" t="s">
        <v>9739</v>
      </c>
      <c r="NS67" s="387"/>
      <c r="NT67" s="1739" t="s">
        <v>9751</v>
      </c>
      <c r="NU67" s="131" t="s">
        <v>9752</v>
      </c>
      <c r="NV67" s="339" t="s">
        <v>9784</v>
      </c>
      <c r="NW67" s="1739" t="s">
        <v>9750</v>
      </c>
      <c r="NX67" s="1739" t="s">
        <v>9750</v>
      </c>
      <c r="NY67" s="1739" t="s">
        <v>9750</v>
      </c>
      <c r="NZ67" s="1739" t="s">
        <v>9750</v>
      </c>
      <c r="OA67" s="131"/>
      <c r="OB67" s="131"/>
      <c r="OC67" s="131"/>
      <c r="OD67" s="1741"/>
      <c r="OE67" s="1741" t="s">
        <v>9783</v>
      </c>
      <c r="OF67" s="1741" t="s">
        <v>9757</v>
      </c>
      <c r="OG67" s="387"/>
      <c r="OH67" s="387"/>
      <c r="OI67" s="387" t="s">
        <v>9769</v>
      </c>
      <c r="OJ67" s="1741"/>
      <c r="OK67" s="1741"/>
      <c r="OL67" s="1741"/>
      <c r="OM67" s="1741"/>
      <c r="ON67" s="1753"/>
      <c r="OO67" s="1739"/>
      <c r="OP67" s="1739"/>
      <c r="OQ67" s="387"/>
      <c r="OR67" s="387"/>
      <c r="OS67" s="387"/>
      <c r="OT67" s="131"/>
      <c r="OU67" s="131"/>
      <c r="OV67" s="387" t="s">
        <v>9783</v>
      </c>
      <c r="OW67" s="387" t="s">
        <v>9751</v>
      </c>
      <c r="OX67" s="1743"/>
      <c r="OY67" s="1743" t="s">
        <v>9769</v>
      </c>
      <c r="OZ67" s="131"/>
      <c r="PA67" s="131"/>
      <c r="PB67" s="339"/>
      <c r="PC67" s="1742"/>
      <c r="PD67" s="339"/>
      <c r="PE67" s="339"/>
      <c r="PF67" s="339"/>
      <c r="PG67" s="1740"/>
      <c r="PH67" s="1741"/>
      <c r="PI67" s="1741"/>
      <c r="PJ67" s="1742"/>
      <c r="PK67" s="1742"/>
      <c r="PL67" s="448"/>
      <c r="PM67" s="448"/>
      <c r="PN67" s="448" t="s">
        <v>9769</v>
      </c>
      <c r="PO67" s="448"/>
      <c r="PP67" s="448"/>
      <c r="PQ67" s="1741"/>
      <c r="PR67" s="1741"/>
      <c r="PS67" s="448"/>
      <c r="PT67" s="1744"/>
      <c r="PU67" s="1743"/>
      <c r="PV67" s="1743"/>
      <c r="PW67" s="339"/>
      <c r="PX67" s="448"/>
      <c r="PY67" s="448"/>
      <c r="PZ67" s="131"/>
      <c r="QA67" s="131" t="s">
        <v>9769</v>
      </c>
      <c r="QB67" s="1741"/>
      <c r="QC67" s="1742" t="s">
        <v>9784</v>
      </c>
      <c r="QD67" s="1742"/>
      <c r="QE67" s="1744"/>
      <c r="QF67" s="448"/>
      <c r="QG67" s="387"/>
      <c r="QH67" s="387"/>
      <c r="QI67" s="387" t="s">
        <v>9766</v>
      </c>
      <c r="QJ67" s="1744"/>
      <c r="QK67" s="387"/>
      <c r="QL67" s="387" t="s">
        <v>9754</v>
      </c>
      <c r="QM67" s="1741"/>
      <c r="QN67" s="1741"/>
      <c r="QO67" s="448"/>
      <c r="QP67" s="448" t="s">
        <v>9766</v>
      </c>
      <c r="QQ67" s="159" t="s">
        <v>9729</v>
      </c>
      <c r="QR67" s="387" t="s">
        <v>9767</v>
      </c>
      <c r="QS67" s="131"/>
      <c r="QT67" s="387"/>
      <c r="QU67" s="387"/>
      <c r="QV67" s="387"/>
      <c r="QW67" s="1740"/>
      <c r="QX67" s="1740" t="s">
        <v>9766</v>
      </c>
      <c r="QY67" s="1744" t="s">
        <v>9739</v>
      </c>
      <c r="QZ67" s="1743"/>
      <c r="RA67" s="1742" t="s">
        <v>9739</v>
      </c>
      <c r="RB67" s="1743" t="s">
        <v>9734</v>
      </c>
      <c r="RC67" s="387" t="s">
        <v>9769</v>
      </c>
      <c r="RD67" s="367"/>
      <c r="RE67" s="1739"/>
      <c r="RF67" s="1740" t="s">
        <v>9768</v>
      </c>
      <c r="RG67" s="131"/>
      <c r="RH67" s="131"/>
      <c r="RI67" s="387"/>
      <c r="RJ67" s="448" t="s">
        <v>9747</v>
      </c>
      <c r="RK67" s="1741"/>
      <c r="RL67" s="1739"/>
      <c r="RM67" s="1740" t="s">
        <v>9750</v>
      </c>
      <c r="RN67" s="1743"/>
      <c r="RO67" s="1744" t="s">
        <v>9754</v>
      </c>
      <c r="RP67" s="1740"/>
      <c r="RQ67" s="1739"/>
      <c r="RR67" s="1739"/>
      <c r="RS67" s="1739"/>
      <c r="RT67" s="1739"/>
      <c r="RU67" s="1739"/>
      <c r="RV67" s="1739"/>
      <c r="RW67" s="339" t="s">
        <v>9784</v>
      </c>
      <c r="RX67" s="1742" t="s">
        <v>9784</v>
      </c>
      <c r="RY67" s="387" t="s">
        <v>9757</v>
      </c>
      <c r="RZ67" s="1740" t="s">
        <v>9747</v>
      </c>
      <c r="SA67" s="448" t="s">
        <v>9751</v>
      </c>
      <c r="SB67" s="1741"/>
      <c r="SC67" s="1740"/>
      <c r="SD67" s="1744" t="s">
        <v>9766</v>
      </c>
      <c r="SE67" s="1744" t="s">
        <v>9766</v>
      </c>
      <c r="SF67" s="339"/>
      <c r="SG67" s="387"/>
      <c r="SH67" s="387"/>
      <c r="SI67" s="1744" t="s">
        <v>9743</v>
      </c>
      <c r="SJ67" s="131"/>
      <c r="SK67" s="131"/>
      <c r="SL67" s="1743"/>
    </row>
    <row r="68" ht="15.75" customHeight="1">
      <c r="A68" s="1517"/>
      <c r="B68" s="148"/>
      <c r="C68" s="148"/>
      <c r="D68" s="148"/>
      <c r="E68" s="148"/>
      <c r="F68" s="148"/>
      <c r="G68" s="148" t="s">
        <v>9766</v>
      </c>
      <c r="H68" s="148"/>
      <c r="I68" s="148"/>
      <c r="J68" s="193" t="s">
        <v>9764</v>
      </c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 t="s">
        <v>9756</v>
      </c>
      <c r="AG68" s="148"/>
      <c r="AH68" s="148"/>
      <c r="AI68" s="148" t="s">
        <v>9742</v>
      </c>
      <c r="AJ68" s="148" t="s">
        <v>9757</v>
      </c>
      <c r="AK68" s="148" t="s">
        <v>9743</v>
      </c>
      <c r="AL68" s="148"/>
      <c r="AM68" s="148"/>
      <c r="AN68" s="148" t="s">
        <v>9747</v>
      </c>
      <c r="AO68" s="148" t="s">
        <v>9734</v>
      </c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253"/>
      <c r="BL68" s="148"/>
      <c r="BM68" s="148"/>
      <c r="BN68" s="148" t="s">
        <v>9754</v>
      </c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253"/>
      <c r="CC68" s="148" t="s">
        <v>9757</v>
      </c>
      <c r="CD68" s="148"/>
      <c r="CE68" s="148"/>
      <c r="CF68" s="148"/>
      <c r="CG68" s="148"/>
      <c r="CH68" s="148"/>
      <c r="CI68" s="148"/>
      <c r="CJ68" s="148"/>
      <c r="CK68" s="148"/>
      <c r="CL68" s="148" t="s">
        <v>9769</v>
      </c>
      <c r="CM68" s="148"/>
      <c r="CN68" s="148"/>
      <c r="CO68" s="148"/>
      <c r="CP68" s="148"/>
      <c r="CQ68" s="148" t="s">
        <v>9747</v>
      </c>
      <c r="CR68" s="148"/>
      <c r="CS68" s="148"/>
      <c r="CT68" s="148"/>
      <c r="CU68" s="148"/>
      <c r="CV68" s="148"/>
      <c r="CW68" s="148"/>
      <c r="CX68" s="148"/>
      <c r="CY68" s="148"/>
      <c r="CZ68" s="148"/>
      <c r="DA68" s="148"/>
      <c r="DB68" s="148"/>
      <c r="DC68" s="148"/>
      <c r="DD68" s="148"/>
      <c r="DE68" s="148" t="s">
        <v>9761</v>
      </c>
      <c r="DF68" s="148"/>
      <c r="DG68" s="148"/>
      <c r="DH68" s="148"/>
      <c r="DI68" s="148" t="s">
        <v>9751</v>
      </c>
      <c r="DJ68" s="148" t="s">
        <v>9750</v>
      </c>
      <c r="DK68" s="148"/>
      <c r="DL68" s="148" t="s">
        <v>9751</v>
      </c>
      <c r="DM68" s="148"/>
      <c r="DN68" s="148"/>
      <c r="DO68" s="148"/>
      <c r="DP68" s="148"/>
      <c r="DQ68" s="148"/>
      <c r="DR68" s="148"/>
      <c r="DS68" s="148" t="s">
        <v>9734</v>
      </c>
      <c r="DT68" s="148"/>
      <c r="DU68" s="148" t="s">
        <v>9754</v>
      </c>
      <c r="DV68" s="148"/>
      <c r="DW68" s="148"/>
      <c r="DX68" s="148"/>
      <c r="DY68" s="148"/>
      <c r="DZ68" s="148"/>
      <c r="EA68" s="159" t="s">
        <v>9774</v>
      </c>
      <c r="EB68" s="148"/>
      <c r="EC68" s="148"/>
      <c r="ED68" s="148"/>
      <c r="EE68" s="148"/>
      <c r="EF68" s="148"/>
      <c r="EG68" s="148"/>
      <c r="EH68" s="148"/>
      <c r="EI68" s="148"/>
      <c r="EJ68" s="148"/>
      <c r="EK68" s="148"/>
      <c r="EL68" s="148"/>
      <c r="EM68" s="148" t="s">
        <v>9769</v>
      </c>
      <c r="EN68" s="148" t="s">
        <v>9783</v>
      </c>
      <c r="EO68" s="148"/>
      <c r="EP68" s="148"/>
      <c r="EQ68" s="148"/>
      <c r="ER68" s="148"/>
      <c r="ES68" s="148"/>
      <c r="ET68" s="148" t="s">
        <v>9751</v>
      </c>
      <c r="EU68" s="148" t="s">
        <v>9728</v>
      </c>
      <c r="EV68" s="148"/>
      <c r="EW68" s="148"/>
      <c r="EX68" s="148"/>
      <c r="EY68" s="148"/>
      <c r="EZ68" s="148"/>
      <c r="FA68" s="148"/>
      <c r="FB68" s="148"/>
      <c r="FC68" s="148"/>
      <c r="FD68" s="148"/>
      <c r="FE68" s="148" t="s">
        <v>9765</v>
      </c>
      <c r="FF68" s="148"/>
      <c r="FG68" s="148"/>
      <c r="FH68" s="148"/>
      <c r="FI68" s="148"/>
      <c r="FJ68" s="148"/>
      <c r="FK68" s="148"/>
      <c r="FL68" s="148"/>
      <c r="FM68" s="148"/>
      <c r="FN68" s="148"/>
      <c r="FO68" s="148"/>
      <c r="FP68" s="148"/>
      <c r="FQ68" s="148"/>
      <c r="FR68" s="148"/>
      <c r="FS68" s="148"/>
      <c r="FT68" s="148"/>
      <c r="FU68" s="148" t="s">
        <v>9769</v>
      </c>
      <c r="FV68" s="148"/>
      <c r="FW68" s="148"/>
      <c r="FX68" s="148"/>
      <c r="FY68" s="148"/>
      <c r="FZ68" s="148"/>
      <c r="GA68" s="148"/>
      <c r="GB68" s="148"/>
      <c r="GC68" s="148"/>
      <c r="GD68" s="148"/>
      <c r="GE68" s="148"/>
      <c r="GF68" s="148"/>
      <c r="GG68" s="148"/>
      <c r="GH68" s="148"/>
      <c r="GI68" s="148"/>
      <c r="GJ68" s="148"/>
      <c r="GK68" s="148"/>
      <c r="GL68" s="148"/>
      <c r="GM68" s="148"/>
      <c r="GN68" s="148"/>
      <c r="GO68" s="148"/>
      <c r="GP68" s="148"/>
      <c r="GQ68" s="148"/>
      <c r="GR68" s="148" t="s">
        <v>9757</v>
      </c>
      <c r="GS68" s="148"/>
      <c r="GT68" s="148"/>
      <c r="GU68" s="148"/>
      <c r="GV68" s="148"/>
      <c r="GW68" s="148"/>
      <c r="GX68" s="148"/>
      <c r="GY68" s="148"/>
      <c r="GZ68" s="148" t="s">
        <v>9767</v>
      </c>
      <c r="HA68" s="148"/>
      <c r="HB68" s="148"/>
      <c r="HC68" s="148" t="s">
        <v>9751</v>
      </c>
      <c r="HD68" s="148"/>
      <c r="HE68" s="148"/>
      <c r="HF68" s="148"/>
      <c r="HG68" s="148"/>
      <c r="HH68" s="148" t="s">
        <v>9767</v>
      </c>
      <c r="HI68" s="148"/>
      <c r="HJ68" s="148"/>
      <c r="HK68" s="148"/>
      <c r="HL68" s="148"/>
      <c r="HM68" s="148"/>
      <c r="HN68" s="148"/>
      <c r="HO68" s="148"/>
      <c r="HP68" s="148"/>
      <c r="HQ68" s="148"/>
      <c r="HR68" s="148"/>
      <c r="HS68" s="148"/>
      <c r="HT68" s="148"/>
      <c r="HU68" s="148"/>
      <c r="HV68" s="148"/>
      <c r="HW68" s="148"/>
      <c r="HX68" s="148"/>
      <c r="HY68" s="148"/>
      <c r="HZ68" s="148"/>
      <c r="IA68" s="148"/>
      <c r="IB68" s="148"/>
      <c r="IC68" s="148"/>
      <c r="ID68" s="148"/>
      <c r="IE68" s="148"/>
      <c r="IF68" s="148"/>
      <c r="IG68" s="148"/>
      <c r="IH68" s="148" t="s">
        <v>9769</v>
      </c>
      <c r="II68" s="148" t="s">
        <v>9737</v>
      </c>
      <c r="IJ68" s="148"/>
      <c r="IK68" s="148"/>
      <c r="IL68" s="148"/>
      <c r="IM68" s="148"/>
      <c r="IN68" s="148"/>
      <c r="IO68" s="148" t="s">
        <v>9756</v>
      </c>
      <c r="IP68" s="148" t="s">
        <v>9747</v>
      </c>
      <c r="IQ68" s="148" t="s">
        <v>9766</v>
      </c>
      <c r="IR68" s="148"/>
      <c r="IS68" s="148"/>
      <c r="IT68" s="148"/>
      <c r="IU68" s="148" t="s">
        <v>9767</v>
      </c>
      <c r="IV68" s="148"/>
      <c r="IW68" s="148"/>
      <c r="IX68" s="148"/>
      <c r="IY68" s="148"/>
      <c r="IZ68" s="148"/>
      <c r="JA68" s="148"/>
      <c r="JB68" s="148"/>
      <c r="JC68" s="148"/>
      <c r="JD68" s="148"/>
      <c r="JE68" s="148"/>
      <c r="JF68" s="148"/>
      <c r="JG68" s="148"/>
      <c r="JH68" s="148"/>
      <c r="JI68" s="148"/>
      <c r="JJ68" s="148"/>
      <c r="JK68" s="1746"/>
      <c r="JL68" s="1746"/>
      <c r="JM68" s="1746"/>
      <c r="JN68" s="1746"/>
      <c r="JO68" s="1746"/>
      <c r="JP68" s="1746" t="s">
        <v>9766</v>
      </c>
      <c r="JQ68" s="1746"/>
      <c r="JR68" s="1746"/>
      <c r="JS68" s="148"/>
      <c r="JT68" s="148"/>
      <c r="JU68" s="148"/>
      <c r="JV68" s="148"/>
      <c r="JW68" s="148"/>
      <c r="JX68" s="1746"/>
      <c r="JY68" s="1746"/>
      <c r="JZ68" s="1746"/>
      <c r="KA68" s="159" t="s">
        <v>9727</v>
      </c>
      <c r="KB68" s="1746"/>
      <c r="KC68" s="148" t="s">
        <v>9783</v>
      </c>
      <c r="KD68" s="1746" t="s">
        <v>9766</v>
      </c>
      <c r="KE68" s="1746"/>
      <c r="KF68" s="148"/>
      <c r="KG68" s="1746"/>
      <c r="KH68" s="1746"/>
      <c r="KI68" s="1746"/>
      <c r="KJ68" s="276"/>
      <c r="KK68" s="1746"/>
      <c r="KL68" s="1746"/>
      <c r="KM68" s="1746"/>
      <c r="KN68" s="1746"/>
      <c r="KO68" s="148"/>
      <c r="KP68" s="1746"/>
      <c r="KQ68" s="148"/>
      <c r="KR68" s="148"/>
      <c r="KS68" s="1746"/>
      <c r="KT68" s="1746"/>
      <c r="KU68" s="148" t="s">
        <v>9756</v>
      </c>
      <c r="KV68" s="1746"/>
      <c r="KW68" s="148"/>
      <c r="KX68" s="1746"/>
      <c r="KY68" s="1746"/>
      <c r="KZ68" s="1746"/>
      <c r="LA68" s="1746"/>
      <c r="LB68" s="1746"/>
      <c r="LC68" s="1746"/>
      <c r="LD68" s="148"/>
      <c r="LE68" s="1746"/>
      <c r="LF68" s="1746"/>
      <c r="LG68" s="1746"/>
      <c r="LH68" s="148"/>
      <c r="LI68" s="1746"/>
      <c r="LJ68" s="1746"/>
      <c r="LK68" s="1746"/>
      <c r="LL68" s="1746"/>
      <c r="LM68" s="1746"/>
      <c r="LN68" s="1746"/>
      <c r="LO68" s="1746" t="s">
        <v>9754</v>
      </c>
      <c r="LP68" s="148"/>
      <c r="LQ68" s="1746"/>
      <c r="LR68" s="1746"/>
      <c r="LS68" s="253"/>
      <c r="LT68" s="1746"/>
      <c r="LU68" s="148"/>
      <c r="LV68" s="1746"/>
      <c r="LW68" s="148"/>
      <c r="LX68" s="148" t="s">
        <v>9755</v>
      </c>
      <c r="LY68" s="1746"/>
      <c r="LZ68" s="1746"/>
      <c r="MA68" s="1746" t="s">
        <v>9784</v>
      </c>
      <c r="MB68" s="1746"/>
      <c r="MC68" s="148"/>
      <c r="MD68" s="1746"/>
      <c r="ME68" s="1771"/>
      <c r="MF68" s="1746"/>
      <c r="MG68" s="148" t="s">
        <v>9769</v>
      </c>
      <c r="MH68" s="1746"/>
      <c r="MI68" s="1746"/>
      <c r="MJ68" s="1746"/>
      <c r="MK68" s="1746"/>
      <c r="ML68" s="1746"/>
      <c r="MM68" s="148"/>
      <c r="MN68" s="148"/>
      <c r="MO68" s="148" t="s">
        <v>9739</v>
      </c>
      <c r="MP68" s="1746"/>
      <c r="MQ68" s="1746"/>
      <c r="MR68" s="1746"/>
      <c r="MS68" s="148" t="s">
        <v>9766</v>
      </c>
      <c r="MT68" s="148"/>
      <c r="MU68" s="1746"/>
      <c r="MV68" s="148" t="s">
        <v>9743</v>
      </c>
      <c r="MW68" s="1746"/>
      <c r="MX68" s="1746"/>
      <c r="MY68" s="148"/>
      <c r="MZ68" s="1746"/>
      <c r="NA68" s="1746"/>
      <c r="NB68" s="148"/>
      <c r="NC68" s="1746"/>
      <c r="ND68" s="1746"/>
      <c r="NE68" s="1746"/>
      <c r="NF68" s="148"/>
      <c r="NG68" s="1746"/>
      <c r="NH68" s="1746"/>
      <c r="NI68" s="148"/>
      <c r="NJ68" s="148"/>
      <c r="NK68" s="1746"/>
      <c r="NL68" s="1746"/>
      <c r="NM68" s="1746"/>
      <c r="NN68" s="1746"/>
      <c r="NO68" s="1746"/>
      <c r="NP68" s="1746"/>
      <c r="NQ68" s="1746" t="s">
        <v>9757</v>
      </c>
      <c r="NR68" s="1746" t="s">
        <v>9757</v>
      </c>
      <c r="NS68" s="1746"/>
      <c r="NT68" s="1746" t="s">
        <v>9739</v>
      </c>
      <c r="NU68" s="1746" t="s">
        <v>9745</v>
      </c>
      <c r="NV68" s="1746"/>
      <c r="NW68" s="1746" t="s">
        <v>9742</v>
      </c>
      <c r="NX68" s="1746" t="s">
        <v>9742</v>
      </c>
      <c r="NY68" s="1746" t="s">
        <v>9742</v>
      </c>
      <c r="NZ68" s="1746" t="s">
        <v>9742</v>
      </c>
      <c r="OA68" s="1746"/>
      <c r="OB68" s="1746"/>
      <c r="OC68" s="1746"/>
      <c r="OD68" s="1746"/>
      <c r="OE68" s="1748"/>
      <c r="OF68" s="1746" t="s">
        <v>9747</v>
      </c>
      <c r="OG68" s="1746"/>
      <c r="OH68" s="1746"/>
      <c r="OI68" s="1746" t="s">
        <v>9765</v>
      </c>
      <c r="OJ68" s="1746"/>
      <c r="OK68" s="1746"/>
      <c r="OL68" s="1746"/>
      <c r="OM68" s="1746"/>
      <c r="ON68" s="159" t="s">
        <v>9745</v>
      </c>
      <c r="OO68" s="1746"/>
      <c r="OP68" s="148"/>
      <c r="OQ68" s="1746"/>
      <c r="OR68" s="1746"/>
      <c r="OS68" s="1746"/>
      <c r="OT68" s="1746"/>
      <c r="OU68" s="1746"/>
      <c r="OV68" s="1746"/>
      <c r="OW68" s="1746" t="s">
        <v>9739</v>
      </c>
      <c r="OX68" s="1746"/>
      <c r="OY68" s="1746"/>
      <c r="OZ68" s="1746"/>
      <c r="PA68" s="1746"/>
      <c r="PB68" s="1746"/>
      <c r="PC68" s="1746"/>
      <c r="PD68" s="1746"/>
      <c r="PE68" s="1746"/>
      <c r="PF68" s="1746"/>
      <c r="PG68" s="148"/>
      <c r="PH68" s="1746"/>
      <c r="PI68" s="1746"/>
      <c r="PJ68" s="1746"/>
      <c r="PK68" s="1746"/>
      <c r="PL68" s="1746"/>
      <c r="PM68" s="1746"/>
      <c r="PN68" s="1746"/>
      <c r="PO68" s="1746"/>
      <c r="PP68" s="1746"/>
      <c r="PQ68" s="1746"/>
      <c r="PR68" s="148"/>
      <c r="PS68" s="1746"/>
      <c r="PT68" s="1746"/>
      <c r="PU68" s="1746"/>
      <c r="PV68" s="1746"/>
      <c r="PW68" s="1746"/>
      <c r="PX68" s="1746"/>
      <c r="PY68" s="148"/>
      <c r="PZ68" s="1746"/>
      <c r="QA68" s="1748"/>
      <c r="QB68" s="1746"/>
      <c r="QC68" s="1746"/>
      <c r="QD68" s="1746"/>
      <c r="QE68" s="1746"/>
      <c r="QF68" s="1746"/>
      <c r="QG68" s="1746"/>
      <c r="QH68" s="1746"/>
      <c r="QI68" s="1746" t="s">
        <v>9769</v>
      </c>
      <c r="QJ68" s="1746"/>
      <c r="QK68" s="1746"/>
      <c r="QL68" s="148" t="s">
        <v>9762</v>
      </c>
      <c r="QM68" s="1746"/>
      <c r="QN68" s="1746"/>
      <c r="QO68" s="1746"/>
      <c r="QP68" s="1746" t="s">
        <v>9769</v>
      </c>
      <c r="QQ68" s="1737"/>
      <c r="QR68" s="1746" t="s">
        <v>9766</v>
      </c>
      <c r="QS68" s="1746"/>
      <c r="QT68" s="1746"/>
      <c r="QU68" s="1746"/>
      <c r="QV68" s="1746"/>
      <c r="QW68" s="148"/>
      <c r="QX68" s="148" t="s">
        <v>9769</v>
      </c>
      <c r="QY68" s="148" t="s">
        <v>9749</v>
      </c>
      <c r="QZ68" s="148"/>
      <c r="RA68" s="148" t="s">
        <v>9747</v>
      </c>
      <c r="RB68" s="148" t="s">
        <v>9751</v>
      </c>
      <c r="RC68" s="1746"/>
      <c r="RD68" s="159" t="s">
        <v>9793</v>
      </c>
      <c r="RE68" s="1746"/>
      <c r="RF68" s="148" t="s">
        <v>9769</v>
      </c>
      <c r="RG68" s="148"/>
      <c r="RH68" s="1746"/>
      <c r="RI68" s="1746"/>
      <c r="RJ68" s="148" t="s">
        <v>9758</v>
      </c>
      <c r="RK68" s="148"/>
      <c r="RL68" s="148"/>
      <c r="RM68" s="148" t="s">
        <v>9745</v>
      </c>
      <c r="RN68" s="148"/>
      <c r="RO68" s="148" t="s">
        <v>9784</v>
      </c>
      <c r="RP68" s="148"/>
      <c r="RQ68" s="1746"/>
      <c r="RR68" s="1746"/>
      <c r="RS68" s="1746"/>
      <c r="RT68" s="1746"/>
      <c r="RU68" s="1746"/>
      <c r="RV68" s="1746"/>
      <c r="RW68" s="1746"/>
      <c r="RX68" s="1746"/>
      <c r="RY68" s="1746" t="s">
        <v>9747</v>
      </c>
      <c r="RZ68" s="148" t="s">
        <v>9754</v>
      </c>
      <c r="SA68" s="1746" t="s">
        <v>9739</v>
      </c>
      <c r="SB68" s="1746"/>
      <c r="SC68" s="148"/>
      <c r="SD68" s="1746" t="s">
        <v>9768</v>
      </c>
      <c r="SE68" s="1746" t="s">
        <v>9768</v>
      </c>
      <c r="SF68" s="1746"/>
      <c r="SG68" s="1746"/>
      <c r="SH68" s="1746"/>
      <c r="SI68" s="1746" t="s">
        <v>9764</v>
      </c>
      <c r="SJ68" s="1746"/>
      <c r="SK68" s="1746"/>
      <c r="SL68" s="1746"/>
    </row>
    <row r="69" ht="15.75" customHeight="1">
      <c r="A69" s="1517"/>
      <c r="B69" s="131"/>
      <c r="C69" s="131"/>
      <c r="D69" s="131"/>
      <c r="E69" s="1739"/>
      <c r="F69" s="1739"/>
      <c r="G69" s="1739" t="s">
        <v>9768</v>
      </c>
      <c r="H69" s="387"/>
      <c r="I69" s="387"/>
      <c r="J69" s="397"/>
      <c r="K69" s="131"/>
      <c r="L69" s="131"/>
      <c r="M69" s="1740"/>
      <c r="N69" s="1741"/>
      <c r="O69" s="339"/>
      <c r="P69" s="339"/>
      <c r="Q69" s="1741"/>
      <c r="R69" s="1741"/>
      <c r="S69" s="1741"/>
      <c r="T69" s="448"/>
      <c r="U69" s="1741"/>
      <c r="V69" s="1741"/>
      <c r="W69" s="1741"/>
      <c r="X69" s="448"/>
      <c r="Y69" s="448"/>
      <c r="Z69" s="339"/>
      <c r="AA69" s="339"/>
      <c r="AB69" s="339"/>
      <c r="AC69" s="339"/>
      <c r="AD69" s="387"/>
      <c r="AE69" s="387"/>
      <c r="AF69" s="387" t="s">
        <v>9742</v>
      </c>
      <c r="AG69" s="448"/>
      <c r="AH69" s="448"/>
      <c r="AI69" s="448" t="s">
        <v>9734</v>
      </c>
      <c r="AJ69" s="1742" t="s">
        <v>9747</v>
      </c>
      <c r="AK69" s="1742" t="s">
        <v>9734</v>
      </c>
      <c r="AL69" s="1741"/>
      <c r="AM69" s="339"/>
      <c r="AN69" s="1742" t="s">
        <v>9754</v>
      </c>
      <c r="AO69" s="1742" t="s">
        <v>9739</v>
      </c>
      <c r="AP69" s="448"/>
      <c r="AQ69" s="448"/>
      <c r="AR69" s="387"/>
      <c r="AS69" s="387"/>
      <c r="AT69" s="1739"/>
      <c r="AU69" s="1739"/>
      <c r="AV69" s="1739"/>
      <c r="AW69" s="448"/>
      <c r="AX69" s="448"/>
      <c r="AY69" s="1741"/>
      <c r="AZ69" s="1741"/>
      <c r="BA69" s="339"/>
      <c r="BB69" s="339"/>
      <c r="BC69" s="339"/>
      <c r="BD69" s="387"/>
      <c r="BE69" s="1741"/>
      <c r="BF69" s="1741"/>
      <c r="BG69" s="1741"/>
      <c r="BH69" s="1741"/>
      <c r="BI69" s="387"/>
      <c r="BJ69" s="387"/>
      <c r="BK69" s="387"/>
      <c r="BL69" s="1741"/>
      <c r="BM69" s="1741"/>
      <c r="BN69" s="1741" t="s">
        <v>9784</v>
      </c>
      <c r="BO69" s="1743"/>
      <c r="BP69" s="1743"/>
      <c r="BQ69" s="1743"/>
      <c r="BR69" s="131"/>
      <c r="BS69" s="131"/>
      <c r="BT69" s="131"/>
      <c r="BU69" s="387"/>
      <c r="BV69" s="387"/>
      <c r="BW69" s="1741"/>
      <c r="BX69" s="1741"/>
      <c r="BY69" s="1741"/>
      <c r="BZ69" s="339"/>
      <c r="CA69" s="339"/>
      <c r="CB69" s="1742"/>
      <c r="CC69" s="1742" t="s">
        <v>9747</v>
      </c>
      <c r="CD69" s="1743"/>
      <c r="CE69" s="1743"/>
      <c r="CF69" s="1741"/>
      <c r="CG69" s="1741"/>
      <c r="CH69" s="1741"/>
      <c r="CI69" s="1740"/>
      <c r="CJ69" s="1740"/>
      <c r="CK69" s="448"/>
      <c r="CL69" s="448"/>
      <c r="CM69" s="448"/>
      <c r="CN69" s="448"/>
      <c r="CO69" s="448"/>
      <c r="CP69" s="448"/>
      <c r="CQ69" s="448" t="s">
        <v>9754</v>
      </c>
      <c r="CR69" s="1743"/>
      <c r="CS69" s="339"/>
      <c r="CT69" s="339"/>
      <c r="CU69" s="1739"/>
      <c r="CV69" s="1739"/>
      <c r="CW69" s="1739"/>
      <c r="CX69" s="1739"/>
      <c r="CY69" s="1742"/>
      <c r="CZ69" s="339"/>
      <c r="DA69" s="1741"/>
      <c r="DB69" s="1741"/>
      <c r="DC69" s="1741"/>
      <c r="DD69" s="1741"/>
      <c r="DE69" s="1742" t="s">
        <v>9766</v>
      </c>
      <c r="DF69" s="448"/>
      <c r="DG69" s="448"/>
      <c r="DH69" s="1743"/>
      <c r="DI69" s="1743" t="s">
        <v>9739</v>
      </c>
      <c r="DJ69" s="1742" t="s">
        <v>9742</v>
      </c>
      <c r="DK69" s="387"/>
      <c r="DL69" s="1741" t="s">
        <v>9739</v>
      </c>
      <c r="DM69" s="387"/>
      <c r="DN69" s="387"/>
      <c r="DO69" s="1739"/>
      <c r="DP69" s="1739"/>
      <c r="DQ69" s="1741"/>
      <c r="DR69" s="448"/>
      <c r="DS69" s="1742" t="s">
        <v>9739</v>
      </c>
      <c r="DT69" s="131"/>
      <c r="DU69" s="1739" t="s">
        <v>9784</v>
      </c>
      <c r="DV69" s="339"/>
      <c r="DW69" s="1739"/>
      <c r="DX69" s="1741"/>
      <c r="DY69" s="1741"/>
      <c r="DZ69" s="1739"/>
      <c r="EA69" s="397"/>
      <c r="EB69" s="387"/>
      <c r="EC69" s="448"/>
      <c r="ED69" s="1741"/>
      <c r="EE69" s="387"/>
      <c r="EF69" s="339"/>
      <c r="EG69" s="1739"/>
      <c r="EH69" s="1742"/>
      <c r="EI69" s="387"/>
      <c r="EJ69" s="387"/>
      <c r="EK69" s="1741"/>
      <c r="EL69" s="1741"/>
      <c r="EM69" s="457"/>
      <c r="EN69" s="1744"/>
      <c r="EO69" s="387"/>
      <c r="EP69" s="339"/>
      <c r="EQ69" s="339"/>
      <c r="ER69" s="387"/>
      <c r="ES69" s="387"/>
      <c r="ET69" s="1741" t="s">
        <v>9739</v>
      </c>
      <c r="EU69" s="448" t="s">
        <v>9732</v>
      </c>
      <c r="EV69" s="1742"/>
      <c r="EW69" s="131"/>
      <c r="EX69" s="131"/>
      <c r="EY69" s="131"/>
      <c r="EZ69" s="339"/>
      <c r="FA69" s="339"/>
      <c r="FB69" s="339"/>
      <c r="FC69" s="387"/>
      <c r="FD69" s="387"/>
      <c r="FE69" s="387" t="s">
        <v>9783</v>
      </c>
      <c r="FF69" s="1741"/>
      <c r="FG69" s="1741"/>
      <c r="FH69" s="1741"/>
      <c r="FI69" s="1741"/>
      <c r="FJ69" s="1739"/>
      <c r="FK69" s="1739"/>
      <c r="FL69" s="131"/>
      <c r="FM69" s="1739"/>
      <c r="FN69" s="448"/>
      <c r="FO69" s="387"/>
      <c r="FP69" s="387"/>
      <c r="FQ69" s="339"/>
      <c r="FR69" s="1742"/>
      <c r="FS69" s="1742"/>
      <c r="FT69" s="1740"/>
      <c r="FU69" s="1767"/>
      <c r="FV69" s="131"/>
      <c r="FW69" s="131"/>
      <c r="FX69" s="1740"/>
      <c r="FY69" s="1742"/>
      <c r="FZ69" s="339"/>
      <c r="GA69" s="131"/>
      <c r="GB69" s="387"/>
      <c r="GC69" s="387"/>
      <c r="GD69" s="1741"/>
      <c r="GE69" s="131"/>
      <c r="GF69" s="1742"/>
      <c r="GG69" s="131"/>
      <c r="GH69" s="387"/>
      <c r="GI69" s="448"/>
      <c r="GJ69" s="339"/>
      <c r="GK69" s="339"/>
      <c r="GL69" s="1739"/>
      <c r="GM69" s="387"/>
      <c r="GN69" s="387"/>
      <c r="GO69" s="448"/>
      <c r="GP69" s="1744"/>
      <c r="GQ69" s="1744"/>
      <c r="GR69" s="1742" t="s">
        <v>9747</v>
      </c>
      <c r="GS69" s="1743"/>
      <c r="GT69" s="1744"/>
      <c r="GU69" s="387"/>
      <c r="GV69" s="339"/>
      <c r="GW69" s="1743"/>
      <c r="GX69" s="448"/>
      <c r="GY69" s="339"/>
      <c r="GZ69" s="448" t="s">
        <v>9766</v>
      </c>
      <c r="HA69" s="1743"/>
      <c r="HB69" s="1742"/>
      <c r="HC69" s="448" t="s">
        <v>9739</v>
      </c>
      <c r="HD69" s="1743"/>
      <c r="HE69" s="1739"/>
      <c r="HF69" s="339"/>
      <c r="HG69" s="387"/>
      <c r="HH69" s="1744" t="s">
        <v>9761</v>
      </c>
      <c r="HI69" s="1741"/>
      <c r="HJ69" s="1741"/>
      <c r="HK69" s="1739"/>
      <c r="HL69" s="1739"/>
      <c r="HM69" s="1741"/>
      <c r="HN69" s="1741"/>
      <c r="HO69" s="1742"/>
      <c r="HP69" s="1743"/>
      <c r="HQ69" s="1739"/>
      <c r="HR69" s="1739"/>
      <c r="HS69" s="448"/>
      <c r="HT69" s="1743"/>
      <c r="HU69" s="1744"/>
      <c r="HV69" s="1744"/>
      <c r="HW69" s="387"/>
      <c r="HX69" s="387"/>
      <c r="HY69" s="1743"/>
      <c r="HZ69" s="1739"/>
      <c r="IA69" s="1741"/>
      <c r="IB69" s="1740"/>
      <c r="IC69" s="448"/>
      <c r="ID69" s="1741"/>
      <c r="IE69" s="1742"/>
      <c r="IF69" s="339"/>
      <c r="IG69" s="1739"/>
      <c r="IH69" s="1742"/>
      <c r="II69" s="1742" t="s">
        <v>9756</v>
      </c>
      <c r="IJ69" s="339"/>
      <c r="IK69" s="1741"/>
      <c r="IL69" s="387"/>
      <c r="IM69" s="131"/>
      <c r="IN69" s="1743"/>
      <c r="IO69" s="131" t="s">
        <v>9750</v>
      </c>
      <c r="IP69" s="1740" t="s">
        <v>9754</v>
      </c>
      <c r="IQ69" s="1739" t="s">
        <v>9768</v>
      </c>
      <c r="IR69" s="131"/>
      <c r="IS69" s="131"/>
      <c r="IT69" s="131"/>
      <c r="IU69" s="131" t="s">
        <v>9766</v>
      </c>
      <c r="IV69" s="1739"/>
      <c r="IW69" s="1739"/>
      <c r="IX69" s="1739"/>
      <c r="IY69" s="387"/>
      <c r="IZ69" s="387"/>
      <c r="JA69" s="387"/>
      <c r="JB69" s="1743"/>
      <c r="JC69" s="1743"/>
      <c r="JD69" s="1741"/>
      <c r="JE69" s="1740"/>
      <c r="JF69" s="1739"/>
      <c r="JG69" s="1740"/>
      <c r="JH69" s="339"/>
      <c r="JI69" s="448"/>
      <c r="JJ69" s="131"/>
      <c r="JK69" s="131"/>
      <c r="JL69" s="131"/>
      <c r="JM69" s="131"/>
      <c r="JN69" s="1741"/>
      <c r="JO69" s="1741"/>
      <c r="JP69" s="1741" t="s">
        <v>9768</v>
      </c>
      <c r="JQ69" s="387"/>
      <c r="JR69" s="387"/>
      <c r="JS69" s="1740"/>
      <c r="JT69" s="339"/>
      <c r="JU69" s="1740"/>
      <c r="JV69" s="1740"/>
      <c r="JW69" s="1740"/>
      <c r="JX69" s="387"/>
      <c r="JY69" s="387"/>
      <c r="JZ69" s="1741"/>
      <c r="KA69" s="249"/>
      <c r="KB69" s="1741"/>
      <c r="KC69" s="1740"/>
      <c r="KD69" s="1741" t="s">
        <v>9769</v>
      </c>
      <c r="KE69" s="1743"/>
      <c r="KF69" s="339"/>
      <c r="KG69" s="1741"/>
      <c r="KH69" s="1742"/>
      <c r="KI69" s="387"/>
      <c r="KJ69" s="159" t="s">
        <v>9770</v>
      </c>
      <c r="KK69" s="339"/>
      <c r="KL69" s="1741"/>
      <c r="KM69" s="387"/>
      <c r="KN69" s="1743"/>
      <c r="KO69" s="1742"/>
      <c r="KP69" s="448"/>
      <c r="KQ69" s="448"/>
      <c r="KR69" s="1744"/>
      <c r="KS69" s="1743"/>
      <c r="KT69" s="1743"/>
      <c r="KU69" s="1743" t="s">
        <v>9750</v>
      </c>
      <c r="KV69" s="387"/>
      <c r="KW69" s="1739"/>
      <c r="KX69" s="131"/>
      <c r="KY69" s="339"/>
      <c r="KZ69" s="339"/>
      <c r="LA69" s="339"/>
      <c r="LB69" s="1743"/>
      <c r="LC69" s="448"/>
      <c r="LD69" s="131"/>
      <c r="LE69" s="131"/>
      <c r="LF69" s="448"/>
      <c r="LG69" s="1739"/>
      <c r="LH69" s="387"/>
      <c r="LI69" s="387"/>
      <c r="LJ69" s="387"/>
      <c r="LK69" s="339"/>
      <c r="LL69" s="1739"/>
      <c r="LM69" s="1741"/>
      <c r="LN69" s="1744"/>
      <c r="LO69" s="448" t="s">
        <v>9784</v>
      </c>
      <c r="LP69" s="1741"/>
      <c r="LQ69" s="1741"/>
      <c r="LR69" s="131"/>
      <c r="LS69" s="131"/>
      <c r="LT69" s="131"/>
      <c r="LU69" s="131"/>
      <c r="LV69" s="387"/>
      <c r="LW69" s="387"/>
      <c r="LX69" s="1740" t="s">
        <v>9739</v>
      </c>
      <c r="LY69" s="1744"/>
      <c r="LZ69" s="339"/>
      <c r="MA69" s="1739"/>
      <c r="MB69" s="1743"/>
      <c r="MC69" s="387"/>
      <c r="MD69" s="1739"/>
      <c r="ME69" s="1739"/>
      <c r="MF69" s="1741"/>
      <c r="MG69" s="1765"/>
      <c r="MH69" s="448"/>
      <c r="MI69" s="131"/>
      <c r="MJ69" s="1743"/>
      <c r="MK69" s="1743"/>
      <c r="ML69" s="1741"/>
      <c r="MM69" s="1742"/>
      <c r="MN69" s="1740"/>
      <c r="MO69" s="131" t="s">
        <v>9757</v>
      </c>
      <c r="MP69" s="1744"/>
      <c r="MQ69" s="1744"/>
      <c r="MR69" s="1744"/>
      <c r="MS69" s="1744" t="s">
        <v>9769</v>
      </c>
      <c r="MT69" s="131"/>
      <c r="MU69" s="387"/>
      <c r="MV69" s="1740" t="s">
        <v>9734</v>
      </c>
      <c r="MW69" s="387"/>
      <c r="MX69" s="1743"/>
      <c r="MY69" s="1743"/>
      <c r="MZ69" s="387"/>
      <c r="NA69" s="387"/>
      <c r="NB69" s="387"/>
      <c r="NC69" s="387"/>
      <c r="ND69" s="387"/>
      <c r="NE69" s="1742"/>
      <c r="NF69" s="1743"/>
      <c r="NG69" s="1742"/>
      <c r="NH69" s="387"/>
      <c r="NI69" s="1740"/>
      <c r="NJ69" s="387"/>
      <c r="NK69" s="387"/>
      <c r="NL69" s="387"/>
      <c r="NM69" s="387"/>
      <c r="NN69" s="1741"/>
      <c r="NO69" s="387"/>
      <c r="NP69" s="1743"/>
      <c r="NQ69" s="1739" t="s">
        <v>9747</v>
      </c>
      <c r="NR69" s="387" t="s">
        <v>9747</v>
      </c>
      <c r="NS69" s="387"/>
      <c r="NT69" s="1739" t="s">
        <v>9747</v>
      </c>
      <c r="NU69" s="131" t="s">
        <v>9743</v>
      </c>
      <c r="NV69" s="339"/>
      <c r="NW69" s="1739" t="s">
        <v>9743</v>
      </c>
      <c r="NX69" s="1739" t="s">
        <v>9743</v>
      </c>
      <c r="NY69" s="1739" t="s">
        <v>9743</v>
      </c>
      <c r="NZ69" s="1739" t="s">
        <v>9743</v>
      </c>
      <c r="OA69" s="131"/>
      <c r="OB69" s="131"/>
      <c r="OC69" s="131"/>
      <c r="OD69" s="1741"/>
      <c r="OE69" s="159" t="s">
        <v>9793</v>
      </c>
      <c r="OF69" s="1741" t="s">
        <v>9758</v>
      </c>
      <c r="OG69" s="387"/>
      <c r="OH69" s="387"/>
      <c r="OI69" s="387" t="s">
        <v>9783</v>
      </c>
      <c r="OJ69" s="1741"/>
      <c r="OK69" s="1741"/>
      <c r="OL69" s="1741"/>
      <c r="OM69" s="1741"/>
      <c r="ON69" s="1752"/>
      <c r="OO69" s="1739"/>
      <c r="OP69" s="1739"/>
      <c r="OQ69" s="387"/>
      <c r="OR69" s="387"/>
      <c r="OS69" s="387"/>
      <c r="OT69" s="131"/>
      <c r="OU69" s="131"/>
      <c r="OV69" s="387"/>
      <c r="OW69" s="387" t="s">
        <v>9747</v>
      </c>
      <c r="OX69" s="1743"/>
      <c r="OY69" s="1743"/>
      <c r="OZ69" s="131"/>
      <c r="PA69" s="131"/>
      <c r="PB69" s="339"/>
      <c r="PC69" s="1742"/>
      <c r="PD69" s="339"/>
      <c r="PE69" s="339"/>
      <c r="PF69" s="339"/>
      <c r="PG69" s="1740"/>
      <c r="PH69" s="1741"/>
      <c r="PI69" s="1741"/>
      <c r="PJ69" s="1742"/>
      <c r="PK69" s="1742"/>
      <c r="PL69" s="448"/>
      <c r="PM69" s="448"/>
      <c r="PN69" s="448"/>
      <c r="PO69" s="448"/>
      <c r="PP69" s="448"/>
      <c r="PQ69" s="1741"/>
      <c r="PR69" s="1741"/>
      <c r="PS69" s="448"/>
      <c r="PT69" s="1744"/>
      <c r="PU69" s="1743"/>
      <c r="PV69" s="1743"/>
      <c r="PW69" s="339"/>
      <c r="PX69" s="448"/>
      <c r="PY69" s="448"/>
      <c r="PZ69" s="131"/>
      <c r="QA69" s="159" t="s">
        <v>9779</v>
      </c>
      <c r="QB69" s="1741"/>
      <c r="QC69" s="1742"/>
      <c r="QD69" s="1742"/>
      <c r="QE69" s="1744"/>
      <c r="QF69" s="448"/>
      <c r="QG69" s="387"/>
      <c r="QH69" s="387"/>
      <c r="QI69" s="387" t="s">
        <v>9783</v>
      </c>
      <c r="QJ69" s="1744"/>
      <c r="QK69" s="387"/>
      <c r="QL69" s="387" t="s">
        <v>9766</v>
      </c>
      <c r="QM69" s="1741"/>
      <c r="QN69" s="1741"/>
      <c r="QO69" s="448"/>
      <c r="QP69" s="448" t="s">
        <v>9783</v>
      </c>
      <c r="QQ69" s="387"/>
      <c r="QR69" s="387" t="s">
        <v>9769</v>
      </c>
      <c r="QS69" s="131"/>
      <c r="QT69" s="387"/>
      <c r="QU69" s="387"/>
      <c r="QV69" s="387"/>
      <c r="QW69" s="1740"/>
      <c r="QX69" s="1740" t="s">
        <v>9783</v>
      </c>
      <c r="QY69" s="1744" t="s">
        <v>9747</v>
      </c>
      <c r="QZ69" s="1743"/>
      <c r="RA69" s="1742" t="s">
        <v>9754</v>
      </c>
      <c r="RB69" s="1743" t="s">
        <v>9739</v>
      </c>
      <c r="RC69" s="387"/>
      <c r="RD69" s="365"/>
      <c r="RE69" s="1739"/>
      <c r="RF69" s="1767"/>
      <c r="RG69" s="131"/>
      <c r="RH69" s="131"/>
      <c r="RI69" s="387"/>
      <c r="RJ69" s="448" t="s">
        <v>9754</v>
      </c>
      <c r="RK69" s="1741"/>
      <c r="RL69" s="1739"/>
      <c r="RM69" s="1740" t="s">
        <v>9743</v>
      </c>
      <c r="RN69" s="1743"/>
      <c r="RO69" s="1744" t="s">
        <v>9766</v>
      </c>
      <c r="RP69" s="1740"/>
      <c r="RQ69" s="1739"/>
      <c r="RR69" s="1739"/>
      <c r="RS69" s="1739"/>
      <c r="RT69" s="1739"/>
      <c r="RU69" s="1739"/>
      <c r="RV69" s="1739"/>
      <c r="RW69" s="339"/>
      <c r="RX69" s="1742"/>
      <c r="RY69" s="387" t="s">
        <v>9758</v>
      </c>
      <c r="RZ69" s="1740" t="s">
        <v>9762</v>
      </c>
      <c r="SA69" s="448" t="s">
        <v>9747</v>
      </c>
      <c r="SB69" s="1741"/>
      <c r="SC69" s="1740"/>
      <c r="SD69" s="1744" t="s">
        <v>9769</v>
      </c>
      <c r="SE69" s="1744" t="s">
        <v>9769</v>
      </c>
      <c r="SF69" s="339"/>
      <c r="SG69" s="387"/>
      <c r="SH69" s="387"/>
      <c r="SI69" s="1744" t="s">
        <v>9751</v>
      </c>
      <c r="SJ69" s="131"/>
      <c r="SK69" s="131"/>
      <c r="SL69" s="1743"/>
    </row>
    <row r="70" ht="15.75" customHeight="1">
      <c r="A70" s="1517"/>
      <c r="B70" s="148"/>
      <c r="C70" s="148"/>
      <c r="D70" s="148"/>
      <c r="E70" s="148"/>
      <c r="F70" s="148"/>
      <c r="G70" s="148" t="s">
        <v>9769</v>
      </c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 t="s">
        <v>9734</v>
      </c>
      <c r="AG70" s="148"/>
      <c r="AH70" s="148"/>
      <c r="AI70" s="148" t="s">
        <v>9751</v>
      </c>
      <c r="AJ70" s="148" t="s">
        <v>9754</v>
      </c>
      <c r="AK70" s="148" t="s">
        <v>9739</v>
      </c>
      <c r="AL70" s="148"/>
      <c r="AM70" s="148"/>
      <c r="AN70" s="148" t="s">
        <v>9766</v>
      </c>
      <c r="AO70" s="148" t="s">
        <v>9757</v>
      </c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 t="s">
        <v>9754</v>
      </c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 t="s">
        <v>9784</v>
      </c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 t="s">
        <v>9769</v>
      </c>
      <c r="DF70" s="148"/>
      <c r="DG70" s="148"/>
      <c r="DH70" s="148"/>
      <c r="DI70" s="148" t="s">
        <v>9749</v>
      </c>
      <c r="DJ70" s="148" t="s">
        <v>9743</v>
      </c>
      <c r="DK70" s="148"/>
      <c r="DL70" s="148" t="s">
        <v>9747</v>
      </c>
      <c r="DM70" s="148"/>
      <c r="DN70" s="148"/>
      <c r="DO70" s="148"/>
      <c r="DP70" s="148"/>
      <c r="DQ70" s="148"/>
      <c r="DR70" s="148"/>
      <c r="DS70" s="148" t="s">
        <v>9757</v>
      </c>
      <c r="DT70" s="148"/>
      <c r="DU70" s="148"/>
      <c r="DV70" s="148"/>
      <c r="DW70" s="148"/>
      <c r="DX70" s="148"/>
      <c r="DY70" s="148"/>
      <c r="DZ70" s="148"/>
      <c r="EA70" s="148"/>
      <c r="EB70" s="148"/>
      <c r="EC70" s="148"/>
      <c r="ED70" s="148"/>
      <c r="EE70" s="148"/>
      <c r="EF70" s="148"/>
      <c r="EG70" s="148"/>
      <c r="EH70" s="148"/>
      <c r="EI70" s="148"/>
      <c r="EJ70" s="148"/>
      <c r="EK70" s="148"/>
      <c r="EL70" s="148"/>
      <c r="EM70" s="159" t="s">
        <v>9773</v>
      </c>
      <c r="EN70" s="148"/>
      <c r="EO70" s="148"/>
      <c r="EP70" s="148"/>
      <c r="EQ70" s="148"/>
      <c r="ER70" s="148"/>
      <c r="ES70" s="148"/>
      <c r="ET70" s="148" t="s">
        <v>9747</v>
      </c>
      <c r="EU70" s="148" t="s">
        <v>9729</v>
      </c>
      <c r="EV70" s="148"/>
      <c r="EW70" s="148"/>
      <c r="EX70" s="148"/>
      <c r="EY70" s="148"/>
      <c r="EZ70" s="148"/>
      <c r="FA70" s="148"/>
      <c r="FB70" s="148"/>
      <c r="FC70" s="148"/>
      <c r="FD70" s="148"/>
      <c r="FE70" s="148"/>
      <c r="FF70" s="148"/>
      <c r="FG70" s="148"/>
      <c r="FH70" s="148"/>
      <c r="FI70" s="148"/>
      <c r="FJ70" s="148"/>
      <c r="FK70" s="148"/>
      <c r="FL70" s="148"/>
      <c r="FM70" s="148"/>
      <c r="FN70" s="148"/>
      <c r="FO70" s="148"/>
      <c r="FP70" s="148"/>
      <c r="FQ70" s="148"/>
      <c r="FR70" s="148"/>
      <c r="FS70" s="148"/>
      <c r="FT70" s="148"/>
      <c r="FU70" s="159" t="s">
        <v>9773</v>
      </c>
      <c r="FV70" s="148"/>
      <c r="FW70" s="148"/>
      <c r="FX70" s="148"/>
      <c r="FY70" s="148"/>
      <c r="FZ70" s="148"/>
      <c r="GA70" s="148"/>
      <c r="GB70" s="148"/>
      <c r="GC70" s="148"/>
      <c r="GD70" s="148"/>
      <c r="GE70" s="148"/>
      <c r="GF70" s="148"/>
      <c r="GG70" s="148"/>
      <c r="GH70" s="148"/>
      <c r="GI70" s="148"/>
      <c r="GJ70" s="148"/>
      <c r="GK70" s="148"/>
      <c r="GL70" s="148"/>
      <c r="GM70" s="148"/>
      <c r="GN70" s="148"/>
      <c r="GO70" s="148"/>
      <c r="GP70" s="148"/>
      <c r="GQ70" s="148"/>
      <c r="GR70" s="148" t="s">
        <v>9754</v>
      </c>
      <c r="GS70" s="148"/>
      <c r="GT70" s="148"/>
      <c r="GU70" s="148"/>
      <c r="GV70" s="148"/>
      <c r="GW70" s="148"/>
      <c r="GX70" s="148"/>
      <c r="GY70" s="148"/>
      <c r="GZ70" s="148" t="s">
        <v>9768</v>
      </c>
      <c r="HA70" s="148"/>
      <c r="HB70" s="148"/>
      <c r="HC70" s="148" t="s">
        <v>9747</v>
      </c>
      <c r="HD70" s="148"/>
      <c r="HE70" s="148"/>
      <c r="HF70" s="148"/>
      <c r="HG70" s="148"/>
      <c r="HH70" s="148" t="s">
        <v>9766</v>
      </c>
      <c r="HI70" s="148"/>
      <c r="HJ70" s="148"/>
      <c r="HK70" s="148"/>
      <c r="HL70" s="148"/>
      <c r="HM70" s="148"/>
      <c r="HN70" s="148"/>
      <c r="HO70" s="148"/>
      <c r="HP70" s="148"/>
      <c r="HQ70" s="148"/>
      <c r="HR70" s="148"/>
      <c r="HS70" s="148"/>
      <c r="HT70" s="148"/>
      <c r="HU70" s="148"/>
      <c r="HV70" s="148"/>
      <c r="HW70" s="148"/>
      <c r="HX70" s="148"/>
      <c r="HY70" s="148"/>
      <c r="HZ70" s="148"/>
      <c r="IA70" s="148"/>
      <c r="IB70" s="148"/>
      <c r="IC70" s="148"/>
      <c r="ID70" s="148"/>
      <c r="IE70" s="148"/>
      <c r="IF70" s="148"/>
      <c r="IG70" s="148"/>
      <c r="IH70" s="148"/>
      <c r="II70" s="148" t="s">
        <v>9750</v>
      </c>
      <c r="IJ70" s="148"/>
      <c r="IK70" s="148"/>
      <c r="IL70" s="148"/>
      <c r="IM70" s="148"/>
      <c r="IN70" s="148"/>
      <c r="IO70" s="148" t="s">
        <v>9742</v>
      </c>
      <c r="IP70" s="148" t="s">
        <v>9759</v>
      </c>
      <c r="IQ70" s="148" t="s">
        <v>9769</v>
      </c>
      <c r="IR70" s="148"/>
      <c r="IS70" s="148"/>
      <c r="IT70" s="148"/>
      <c r="IU70" s="148" t="s">
        <v>9769</v>
      </c>
      <c r="IV70" s="148"/>
      <c r="IW70" s="148"/>
      <c r="IX70" s="148"/>
      <c r="IY70" s="148"/>
      <c r="IZ70" s="148"/>
      <c r="JA70" s="148"/>
      <c r="JB70" s="148"/>
      <c r="JC70" s="148"/>
      <c r="JD70" s="148"/>
      <c r="JE70" s="148"/>
      <c r="JF70" s="148"/>
      <c r="JG70" s="148"/>
      <c r="JH70" s="148"/>
      <c r="JI70" s="148"/>
      <c r="JJ70" s="148"/>
      <c r="JK70" s="1746"/>
      <c r="JL70" s="1746"/>
      <c r="JM70" s="1746"/>
      <c r="JN70" s="1746"/>
      <c r="JO70" s="1746"/>
      <c r="JP70" s="1746" t="s">
        <v>9769</v>
      </c>
      <c r="JQ70" s="1746"/>
      <c r="JR70" s="1746"/>
      <c r="JS70" s="148"/>
      <c r="JT70" s="148"/>
      <c r="JU70" s="148"/>
      <c r="JV70" s="148"/>
      <c r="JW70" s="148"/>
      <c r="JX70" s="1746"/>
      <c r="JY70" s="1746"/>
      <c r="JZ70" s="1746"/>
      <c r="KA70" s="1746"/>
      <c r="KB70" s="1746"/>
      <c r="KC70" s="148"/>
      <c r="KD70" s="1746" t="s">
        <v>9783</v>
      </c>
      <c r="KE70" s="1746"/>
      <c r="KF70" s="148"/>
      <c r="KG70" s="1746"/>
      <c r="KH70" s="1746"/>
      <c r="KI70" s="1746"/>
      <c r="KJ70" s="253"/>
      <c r="KK70" s="1746"/>
      <c r="KL70" s="1746"/>
      <c r="KM70" s="1746"/>
      <c r="KN70" s="1746"/>
      <c r="KO70" s="148"/>
      <c r="KP70" s="1746"/>
      <c r="KQ70" s="148"/>
      <c r="KR70" s="148"/>
      <c r="KS70" s="1746"/>
      <c r="KT70" s="1746"/>
      <c r="KU70" s="148" t="s">
        <v>9742</v>
      </c>
      <c r="KV70" s="1746"/>
      <c r="KW70" s="148"/>
      <c r="KX70" s="1746"/>
      <c r="KY70" s="1746"/>
      <c r="KZ70" s="1746"/>
      <c r="LA70" s="1746"/>
      <c r="LB70" s="1746"/>
      <c r="LC70" s="1746"/>
      <c r="LD70" s="148"/>
      <c r="LE70" s="1746"/>
      <c r="LF70" s="1746"/>
      <c r="LG70" s="1746"/>
      <c r="LH70" s="148"/>
      <c r="LI70" s="1746"/>
      <c r="LJ70" s="1746"/>
      <c r="LK70" s="1746"/>
      <c r="LL70" s="1746"/>
      <c r="LM70" s="1746"/>
      <c r="LN70" s="1746"/>
      <c r="LO70" s="1746"/>
      <c r="LP70" s="148"/>
      <c r="LQ70" s="1746"/>
      <c r="LR70" s="1746"/>
      <c r="LS70" s="148"/>
      <c r="LT70" s="1746"/>
      <c r="LU70" s="148"/>
      <c r="LV70" s="1746"/>
      <c r="LW70" s="148"/>
      <c r="LX70" s="148" t="s">
        <v>9749</v>
      </c>
      <c r="LY70" s="1746"/>
      <c r="LZ70" s="1746"/>
      <c r="MA70" s="1746"/>
      <c r="MB70" s="1746"/>
      <c r="MC70" s="148"/>
      <c r="MD70" s="1746"/>
      <c r="ME70" s="1746"/>
      <c r="MF70" s="1746"/>
      <c r="MG70" s="1758" t="s">
        <v>9779</v>
      </c>
      <c r="MH70" s="1746"/>
      <c r="MI70" s="1746"/>
      <c r="MJ70" s="1746"/>
      <c r="MK70" s="1746"/>
      <c r="ML70" s="1746"/>
      <c r="MM70" s="148"/>
      <c r="MN70" s="148"/>
      <c r="MO70" s="148" t="s">
        <v>9747</v>
      </c>
      <c r="MP70" s="1746"/>
      <c r="MQ70" s="1746"/>
      <c r="MR70" s="1746"/>
      <c r="MS70" s="148"/>
      <c r="MT70" s="148"/>
      <c r="MU70" s="1746"/>
      <c r="MV70" s="148" t="s">
        <v>9764</v>
      </c>
      <c r="MW70" s="1746"/>
      <c r="MX70" s="1746"/>
      <c r="MY70" s="148"/>
      <c r="MZ70" s="1746"/>
      <c r="NA70" s="1746"/>
      <c r="NB70" s="148"/>
      <c r="NC70" s="1746"/>
      <c r="ND70" s="1746"/>
      <c r="NE70" s="1746"/>
      <c r="NF70" s="148"/>
      <c r="NG70" s="1746"/>
      <c r="NH70" s="1746"/>
      <c r="NI70" s="148"/>
      <c r="NJ70" s="148"/>
      <c r="NK70" s="1746"/>
      <c r="NL70" s="1746"/>
      <c r="NM70" s="1746"/>
      <c r="NN70" s="1746"/>
      <c r="NO70" s="1746"/>
      <c r="NP70" s="1746"/>
      <c r="NQ70" s="1746" t="s">
        <v>9754</v>
      </c>
      <c r="NR70" s="1746" t="s">
        <v>9754</v>
      </c>
      <c r="NS70" s="1746"/>
      <c r="NT70" s="1746" t="s">
        <v>9754</v>
      </c>
      <c r="NU70" s="1746" t="s">
        <v>9751</v>
      </c>
      <c r="NV70" s="1746"/>
      <c r="NW70" s="1746" t="s">
        <v>9751</v>
      </c>
      <c r="NX70" s="1746" t="s">
        <v>9751</v>
      </c>
      <c r="NY70" s="1746" t="s">
        <v>9751</v>
      </c>
      <c r="NZ70" s="1746" t="s">
        <v>9751</v>
      </c>
      <c r="OA70" s="1746"/>
      <c r="OB70" s="1746"/>
      <c r="OC70" s="1746"/>
      <c r="OD70" s="1746"/>
      <c r="OE70" s="1737"/>
      <c r="OF70" s="1746" t="s">
        <v>9754</v>
      </c>
      <c r="OG70" s="1746"/>
      <c r="OH70" s="1746"/>
      <c r="OI70" s="1746"/>
      <c r="OJ70" s="1746"/>
      <c r="OK70" s="1746"/>
      <c r="OL70" s="1746"/>
      <c r="OM70" s="1746"/>
      <c r="ON70" s="1746"/>
      <c r="OO70" s="1746"/>
      <c r="OP70" s="148"/>
      <c r="OQ70" s="1746"/>
      <c r="OR70" s="1746"/>
      <c r="OS70" s="1746"/>
      <c r="OT70" s="1746"/>
      <c r="OU70" s="1746"/>
      <c r="OV70" s="1746"/>
      <c r="OW70" s="1746" t="s">
        <v>9754</v>
      </c>
      <c r="OX70" s="1746"/>
      <c r="OY70" s="1746"/>
      <c r="OZ70" s="1746"/>
      <c r="PA70" s="1746"/>
      <c r="PB70" s="1746"/>
      <c r="PC70" s="1746"/>
      <c r="PD70" s="1746"/>
      <c r="PE70" s="1746"/>
      <c r="PF70" s="1746"/>
      <c r="PG70" s="148"/>
      <c r="PH70" s="1746"/>
      <c r="PI70" s="1746"/>
      <c r="PJ70" s="1746"/>
      <c r="PK70" s="1746"/>
      <c r="PL70" s="1746"/>
      <c r="PM70" s="1746"/>
      <c r="PN70" s="1746"/>
      <c r="PO70" s="1746"/>
      <c r="PP70" s="1746"/>
      <c r="PQ70" s="1746"/>
      <c r="PR70" s="148"/>
      <c r="PS70" s="1746"/>
      <c r="PT70" s="1746"/>
      <c r="PU70" s="1746"/>
      <c r="PV70" s="1746"/>
      <c r="PW70" s="1746"/>
      <c r="PX70" s="1746"/>
      <c r="PY70" s="148"/>
      <c r="PZ70" s="1746"/>
      <c r="QA70" s="1737"/>
      <c r="QB70" s="1746"/>
      <c r="QC70" s="1746"/>
      <c r="QD70" s="1746"/>
      <c r="QE70" s="1746"/>
      <c r="QF70" s="1746"/>
      <c r="QG70" s="1746"/>
      <c r="QH70" s="1746"/>
      <c r="QI70" s="1748"/>
      <c r="QJ70" s="1746"/>
      <c r="QK70" s="1746"/>
      <c r="QL70" s="148" t="s">
        <v>9769</v>
      </c>
      <c r="QM70" s="1746"/>
      <c r="QN70" s="1746"/>
      <c r="QO70" s="1746"/>
      <c r="QP70" s="1748"/>
      <c r="QQ70" s="1746"/>
      <c r="QR70" s="1746" t="s">
        <v>9783</v>
      </c>
      <c r="QS70" s="1746"/>
      <c r="QT70" s="1746"/>
      <c r="QU70" s="1746"/>
      <c r="QV70" s="1746"/>
      <c r="QW70" s="148"/>
      <c r="QX70" s="148"/>
      <c r="QY70" s="148" t="s">
        <v>9754</v>
      </c>
      <c r="QZ70" s="148"/>
      <c r="RA70" s="148" t="s">
        <v>9767</v>
      </c>
      <c r="RB70" s="148" t="s">
        <v>9749</v>
      </c>
      <c r="RC70" s="1746"/>
      <c r="RD70" s="148"/>
      <c r="RE70" s="1746"/>
      <c r="RF70" s="159" t="s">
        <v>9773</v>
      </c>
      <c r="RG70" s="148"/>
      <c r="RH70" s="1746"/>
      <c r="RI70" s="1746"/>
      <c r="RJ70" s="148" t="s">
        <v>9767</v>
      </c>
      <c r="RK70" s="148"/>
      <c r="RL70" s="148"/>
      <c r="RM70" s="148" t="s">
        <v>9734</v>
      </c>
      <c r="RN70" s="148"/>
      <c r="RO70" s="148" t="s">
        <v>9769</v>
      </c>
      <c r="RP70" s="148"/>
      <c r="RQ70" s="1746"/>
      <c r="RR70" s="1746"/>
      <c r="RS70" s="1746"/>
      <c r="RT70" s="1746"/>
      <c r="RU70" s="1746"/>
      <c r="RV70" s="1746"/>
      <c r="RW70" s="1746"/>
      <c r="RX70" s="1746"/>
      <c r="RY70" s="1746" t="s">
        <v>9754</v>
      </c>
      <c r="RZ70" s="148" t="s">
        <v>9784</v>
      </c>
      <c r="SA70" s="1746" t="s">
        <v>9754</v>
      </c>
      <c r="SB70" s="1746"/>
      <c r="SC70" s="148"/>
      <c r="SD70" s="1746" t="s">
        <v>9783</v>
      </c>
      <c r="SE70" s="1746" t="s">
        <v>9783</v>
      </c>
      <c r="SF70" s="1746"/>
      <c r="SG70" s="1746"/>
      <c r="SH70" s="1746"/>
      <c r="SI70" s="1746" t="s">
        <v>9755</v>
      </c>
      <c r="SJ70" s="1746"/>
      <c r="SK70" s="1746"/>
      <c r="SL70" s="1746"/>
    </row>
    <row r="71" ht="15.75" customHeight="1">
      <c r="A71" s="1517"/>
      <c r="B71" s="131"/>
      <c r="C71" s="131"/>
      <c r="D71" s="131"/>
      <c r="E71" s="1739"/>
      <c r="F71" s="1739"/>
      <c r="G71" s="1750"/>
      <c r="H71" s="387"/>
      <c r="I71" s="387"/>
      <c r="J71" s="387"/>
      <c r="K71" s="131"/>
      <c r="L71" s="131"/>
      <c r="M71" s="1740"/>
      <c r="N71" s="1741"/>
      <c r="O71" s="339"/>
      <c r="P71" s="339"/>
      <c r="Q71" s="1741"/>
      <c r="R71" s="1741"/>
      <c r="S71" s="1741"/>
      <c r="T71" s="448"/>
      <c r="U71" s="1741"/>
      <c r="V71" s="1741"/>
      <c r="W71" s="1741"/>
      <c r="X71" s="448"/>
      <c r="Y71" s="448"/>
      <c r="Z71" s="339"/>
      <c r="AA71" s="339"/>
      <c r="AB71" s="339"/>
      <c r="AC71" s="339"/>
      <c r="AD71" s="387"/>
      <c r="AE71" s="387"/>
      <c r="AF71" s="387" t="s">
        <v>9751</v>
      </c>
      <c r="AG71" s="448"/>
      <c r="AH71" s="448"/>
      <c r="AI71" s="448" t="s">
        <v>9739</v>
      </c>
      <c r="AJ71" s="1742" t="s">
        <v>9766</v>
      </c>
      <c r="AK71" s="1742" t="s">
        <v>9757</v>
      </c>
      <c r="AL71" s="1741"/>
      <c r="AM71" s="339"/>
      <c r="AN71" s="1742"/>
      <c r="AO71" s="1742" t="s">
        <v>9747</v>
      </c>
      <c r="AP71" s="448"/>
      <c r="AQ71" s="448"/>
      <c r="AR71" s="387"/>
      <c r="AS71" s="387"/>
      <c r="AT71" s="1739"/>
      <c r="AU71" s="1739"/>
      <c r="AV71" s="1739"/>
      <c r="AW71" s="448"/>
      <c r="AX71" s="448"/>
      <c r="AY71" s="1741"/>
      <c r="AZ71" s="1741"/>
      <c r="BA71" s="339"/>
      <c r="BB71" s="339"/>
      <c r="BC71" s="339"/>
      <c r="BD71" s="387"/>
      <c r="BE71" s="1741"/>
      <c r="BF71" s="1741"/>
      <c r="BG71" s="1741"/>
      <c r="BH71" s="1741"/>
      <c r="BI71" s="387"/>
      <c r="BJ71" s="387"/>
      <c r="BK71" s="387"/>
      <c r="BL71" s="1741"/>
      <c r="BM71" s="1741"/>
      <c r="BN71" s="1741"/>
      <c r="BO71" s="1743"/>
      <c r="BP71" s="1743"/>
      <c r="BQ71" s="1743"/>
      <c r="BR71" s="131"/>
      <c r="BS71" s="131"/>
      <c r="BT71" s="131"/>
      <c r="BU71" s="387"/>
      <c r="BV71" s="387"/>
      <c r="BW71" s="1741"/>
      <c r="BX71" s="1741"/>
      <c r="BY71" s="1741"/>
      <c r="BZ71" s="339"/>
      <c r="CA71" s="339"/>
      <c r="CB71" s="1742"/>
      <c r="CC71" s="1742" t="s">
        <v>9784</v>
      </c>
      <c r="CD71" s="1743"/>
      <c r="CE71" s="1743"/>
      <c r="CF71" s="1741"/>
      <c r="CG71" s="1741"/>
      <c r="CH71" s="1741"/>
      <c r="CI71" s="1740"/>
      <c r="CJ71" s="1740"/>
      <c r="CK71" s="448"/>
      <c r="CL71" s="448"/>
      <c r="CM71" s="448"/>
      <c r="CN71" s="448"/>
      <c r="CO71" s="448"/>
      <c r="CP71" s="448"/>
      <c r="CQ71" s="448" t="s">
        <v>9766</v>
      </c>
      <c r="CR71" s="1743"/>
      <c r="CS71" s="339"/>
      <c r="CT71" s="339"/>
      <c r="CU71" s="1739"/>
      <c r="CV71" s="1739"/>
      <c r="CW71" s="1739"/>
      <c r="CX71" s="1739"/>
      <c r="CY71" s="1742"/>
      <c r="CZ71" s="339"/>
      <c r="DA71" s="1741"/>
      <c r="DB71" s="1741"/>
      <c r="DC71" s="1741"/>
      <c r="DD71" s="1741"/>
      <c r="DE71" s="1742" t="s">
        <v>9783</v>
      </c>
      <c r="DF71" s="448"/>
      <c r="DG71" s="448"/>
      <c r="DH71" s="1743"/>
      <c r="DI71" s="1743" t="s">
        <v>9747</v>
      </c>
      <c r="DJ71" s="1742" t="s">
        <v>9734</v>
      </c>
      <c r="DK71" s="387"/>
      <c r="DL71" s="1741" t="s">
        <v>9754</v>
      </c>
      <c r="DM71" s="387"/>
      <c r="DN71" s="387"/>
      <c r="DO71" s="1739"/>
      <c r="DP71" s="1739"/>
      <c r="DQ71" s="1741"/>
      <c r="DR71" s="448"/>
      <c r="DS71" s="1742" t="s">
        <v>9747</v>
      </c>
      <c r="DT71" s="131"/>
      <c r="DU71" s="1739"/>
      <c r="DV71" s="339"/>
      <c r="DW71" s="1739"/>
      <c r="DX71" s="1741"/>
      <c r="DY71" s="1741"/>
      <c r="DZ71" s="1739"/>
      <c r="EA71" s="387"/>
      <c r="EB71" s="387"/>
      <c r="EC71" s="448"/>
      <c r="ED71" s="1741"/>
      <c r="EE71" s="387"/>
      <c r="EF71" s="339"/>
      <c r="EG71" s="1739"/>
      <c r="EH71" s="1742"/>
      <c r="EI71" s="387"/>
      <c r="EJ71" s="387"/>
      <c r="EK71" s="1741"/>
      <c r="EL71" s="1741"/>
      <c r="EM71" s="458"/>
      <c r="EN71" s="1744"/>
      <c r="EO71" s="387"/>
      <c r="EP71" s="339"/>
      <c r="EQ71" s="339"/>
      <c r="ER71" s="387"/>
      <c r="ES71" s="387"/>
      <c r="ET71" s="1741" t="s">
        <v>9754</v>
      </c>
      <c r="EU71" s="448" t="s">
        <v>9738</v>
      </c>
      <c r="EV71" s="1742"/>
      <c r="EW71" s="131"/>
      <c r="EX71" s="131"/>
      <c r="EY71" s="131"/>
      <c r="EZ71" s="339"/>
      <c r="FA71" s="339"/>
      <c r="FB71" s="339"/>
      <c r="FC71" s="387"/>
      <c r="FD71" s="387"/>
      <c r="FE71" s="387"/>
      <c r="FF71" s="1741"/>
      <c r="FG71" s="1741"/>
      <c r="FH71" s="1741"/>
      <c r="FI71" s="1741"/>
      <c r="FJ71" s="1739"/>
      <c r="FK71" s="1739"/>
      <c r="FL71" s="131"/>
      <c r="FM71" s="1739"/>
      <c r="FN71" s="448"/>
      <c r="FO71" s="387"/>
      <c r="FP71" s="387"/>
      <c r="FQ71" s="339"/>
      <c r="FR71" s="1742"/>
      <c r="FS71" s="1742"/>
      <c r="FT71" s="1740"/>
      <c r="FU71" s="1769"/>
      <c r="FV71" s="131"/>
      <c r="FW71" s="131"/>
      <c r="FX71" s="1740"/>
      <c r="FY71" s="1742"/>
      <c r="FZ71" s="339"/>
      <c r="GA71" s="131"/>
      <c r="GB71" s="387"/>
      <c r="GC71" s="387"/>
      <c r="GD71" s="1741"/>
      <c r="GE71" s="131"/>
      <c r="GF71" s="1742"/>
      <c r="GG71" s="131"/>
      <c r="GH71" s="387"/>
      <c r="GI71" s="448"/>
      <c r="GJ71" s="339"/>
      <c r="GK71" s="339"/>
      <c r="GL71" s="1739"/>
      <c r="GM71" s="387"/>
      <c r="GN71" s="387"/>
      <c r="GO71" s="448"/>
      <c r="GP71" s="1744"/>
      <c r="GQ71" s="1744"/>
      <c r="GR71" s="1742" t="s">
        <v>9784</v>
      </c>
      <c r="GS71" s="1743"/>
      <c r="GT71" s="1744"/>
      <c r="GU71" s="387"/>
      <c r="GV71" s="339"/>
      <c r="GW71" s="1743"/>
      <c r="GX71" s="448"/>
      <c r="GY71" s="339"/>
      <c r="GZ71" s="448" t="s">
        <v>9769</v>
      </c>
      <c r="HA71" s="1743"/>
      <c r="HB71" s="1742"/>
      <c r="HC71" s="448" t="s">
        <v>9754</v>
      </c>
      <c r="HD71" s="1743"/>
      <c r="HE71" s="1739"/>
      <c r="HF71" s="339"/>
      <c r="HG71" s="387"/>
      <c r="HH71" s="1744" t="s">
        <v>9769</v>
      </c>
      <c r="HI71" s="1741"/>
      <c r="HJ71" s="1741"/>
      <c r="HK71" s="1739"/>
      <c r="HL71" s="1739"/>
      <c r="HM71" s="1741"/>
      <c r="HN71" s="1741"/>
      <c r="HO71" s="1742"/>
      <c r="HP71" s="1743"/>
      <c r="HQ71" s="1739"/>
      <c r="HR71" s="1739"/>
      <c r="HS71" s="448"/>
      <c r="HT71" s="1743"/>
      <c r="HU71" s="1744"/>
      <c r="HV71" s="1744"/>
      <c r="HW71" s="387"/>
      <c r="HX71" s="387"/>
      <c r="HY71" s="1743"/>
      <c r="HZ71" s="1739"/>
      <c r="IA71" s="1741"/>
      <c r="IB71" s="1740"/>
      <c r="IC71" s="448"/>
      <c r="ID71" s="1741"/>
      <c r="IE71" s="1742"/>
      <c r="IF71" s="339"/>
      <c r="IG71" s="1739"/>
      <c r="IH71" s="1742"/>
      <c r="II71" s="1742" t="s">
        <v>9742</v>
      </c>
      <c r="IJ71" s="339"/>
      <c r="IK71" s="1741"/>
      <c r="IL71" s="387"/>
      <c r="IM71" s="131"/>
      <c r="IN71" s="1743"/>
      <c r="IO71" s="131" t="s">
        <v>9734</v>
      </c>
      <c r="IP71" s="1740" t="s">
        <v>9761</v>
      </c>
      <c r="IQ71" s="1750"/>
      <c r="IR71" s="131"/>
      <c r="IS71" s="131"/>
      <c r="IT71" s="131"/>
      <c r="IU71" s="131" t="s">
        <v>9783</v>
      </c>
      <c r="IV71" s="1739"/>
      <c r="IW71" s="1739"/>
      <c r="IX71" s="1739"/>
      <c r="IY71" s="387"/>
      <c r="IZ71" s="387"/>
      <c r="JA71" s="387"/>
      <c r="JB71" s="1743"/>
      <c r="JC71" s="1743"/>
      <c r="JD71" s="1741"/>
      <c r="JE71" s="1740"/>
      <c r="JF71" s="1739"/>
      <c r="JG71" s="1740"/>
      <c r="JH71" s="339"/>
      <c r="JI71" s="448"/>
      <c r="JJ71" s="131"/>
      <c r="JK71" s="131"/>
      <c r="JL71" s="131"/>
      <c r="JM71" s="131"/>
      <c r="JN71" s="1741"/>
      <c r="JO71" s="1741"/>
      <c r="JP71" s="1741"/>
      <c r="JQ71" s="387"/>
      <c r="JR71" s="387"/>
      <c r="JS71" s="1740"/>
      <c r="JT71" s="339"/>
      <c r="JU71" s="1740"/>
      <c r="JV71" s="1740"/>
      <c r="JW71" s="1740"/>
      <c r="JX71" s="387"/>
      <c r="JY71" s="387"/>
      <c r="JZ71" s="1741"/>
      <c r="KA71" s="131"/>
      <c r="KB71" s="1741"/>
      <c r="KC71" s="1740"/>
      <c r="KD71" s="1741"/>
      <c r="KE71" s="1743"/>
      <c r="KF71" s="339"/>
      <c r="KG71" s="1741"/>
      <c r="KH71" s="1742"/>
      <c r="KI71" s="387"/>
      <c r="KJ71" s="387"/>
      <c r="KK71" s="339"/>
      <c r="KL71" s="1741"/>
      <c r="KM71" s="387"/>
      <c r="KN71" s="1743"/>
      <c r="KO71" s="1742"/>
      <c r="KP71" s="448"/>
      <c r="KQ71" s="448"/>
      <c r="KR71" s="1744"/>
      <c r="KS71" s="1743"/>
      <c r="KT71" s="1743"/>
      <c r="KU71" s="1743" t="s">
        <v>9734</v>
      </c>
      <c r="KV71" s="387"/>
      <c r="KW71" s="1739"/>
      <c r="KX71" s="131"/>
      <c r="KY71" s="339"/>
      <c r="KZ71" s="339"/>
      <c r="LA71" s="339"/>
      <c r="LB71" s="1743"/>
      <c r="LC71" s="448"/>
      <c r="LD71" s="131"/>
      <c r="LE71" s="131"/>
      <c r="LF71" s="448"/>
      <c r="LG71" s="1739"/>
      <c r="LH71" s="387"/>
      <c r="LI71" s="387"/>
      <c r="LJ71" s="387"/>
      <c r="LK71" s="339"/>
      <c r="LL71" s="1739"/>
      <c r="LM71" s="1741"/>
      <c r="LN71" s="1744"/>
      <c r="LO71" s="448"/>
      <c r="LP71" s="1741"/>
      <c r="LQ71" s="1741"/>
      <c r="LR71" s="131"/>
      <c r="LS71" s="131"/>
      <c r="LT71" s="131"/>
      <c r="LU71" s="131"/>
      <c r="LV71" s="387"/>
      <c r="LW71" s="387"/>
      <c r="LX71" s="1740" t="s">
        <v>9747</v>
      </c>
      <c r="LY71" s="1744"/>
      <c r="LZ71" s="339"/>
      <c r="MA71" s="1739"/>
      <c r="MB71" s="1743"/>
      <c r="MC71" s="387"/>
      <c r="MD71" s="1739"/>
      <c r="ME71" s="1739"/>
      <c r="MF71" s="1741"/>
      <c r="MG71" s="1763"/>
      <c r="MH71" s="448"/>
      <c r="MI71" s="131"/>
      <c r="MJ71" s="1743"/>
      <c r="MK71" s="1743"/>
      <c r="ML71" s="1741"/>
      <c r="MM71" s="1742"/>
      <c r="MN71" s="1740"/>
      <c r="MO71" s="131" t="s">
        <v>9754</v>
      </c>
      <c r="MP71" s="1744"/>
      <c r="MQ71" s="1744"/>
      <c r="MR71" s="1744"/>
      <c r="MS71" s="1744"/>
      <c r="MT71" s="131"/>
      <c r="MU71" s="387"/>
      <c r="MV71" s="1740" t="s">
        <v>9751</v>
      </c>
      <c r="MW71" s="387"/>
      <c r="MX71" s="1743"/>
      <c r="MY71" s="1743"/>
      <c r="MZ71" s="387"/>
      <c r="NA71" s="387"/>
      <c r="NB71" s="387"/>
      <c r="NC71" s="387"/>
      <c r="ND71" s="387"/>
      <c r="NE71" s="1742"/>
      <c r="NF71" s="1743"/>
      <c r="NG71" s="1742"/>
      <c r="NH71" s="387"/>
      <c r="NI71" s="1740"/>
      <c r="NJ71" s="387"/>
      <c r="NK71" s="387"/>
      <c r="NL71" s="387"/>
      <c r="NM71" s="387"/>
      <c r="NN71" s="1741"/>
      <c r="NO71" s="387"/>
      <c r="NP71" s="1743"/>
      <c r="NQ71" s="1739" t="s">
        <v>9767</v>
      </c>
      <c r="NR71" s="387" t="s">
        <v>9767</v>
      </c>
      <c r="NS71" s="387"/>
      <c r="NT71" s="1739" t="s">
        <v>9767</v>
      </c>
      <c r="NU71" s="131" t="s">
        <v>9739</v>
      </c>
      <c r="NV71" s="339"/>
      <c r="NW71" s="1739" t="s">
        <v>9739</v>
      </c>
      <c r="NX71" s="1739" t="s">
        <v>9739</v>
      </c>
      <c r="NY71" s="1739" t="s">
        <v>9739</v>
      </c>
      <c r="NZ71" s="1739" t="s">
        <v>9739</v>
      </c>
      <c r="OA71" s="131"/>
      <c r="OB71" s="131"/>
      <c r="OC71" s="131"/>
      <c r="OD71" s="1741"/>
      <c r="OE71" s="1741"/>
      <c r="OF71" s="1741" t="s">
        <v>9767</v>
      </c>
      <c r="OG71" s="387"/>
      <c r="OH71" s="387"/>
      <c r="OI71" s="387"/>
      <c r="OJ71" s="1741"/>
      <c r="OK71" s="1741"/>
      <c r="OL71" s="1741"/>
      <c r="OM71" s="1741"/>
      <c r="ON71" s="1741"/>
      <c r="OO71" s="1739"/>
      <c r="OP71" s="1739"/>
      <c r="OQ71" s="387"/>
      <c r="OR71" s="387"/>
      <c r="OS71" s="387"/>
      <c r="OT71" s="131"/>
      <c r="OU71" s="131"/>
      <c r="OV71" s="387"/>
      <c r="OW71" s="387" t="s">
        <v>9767</v>
      </c>
      <c r="OX71" s="1743"/>
      <c r="OY71" s="1743"/>
      <c r="OZ71" s="131"/>
      <c r="PA71" s="131"/>
      <c r="PB71" s="339"/>
      <c r="PC71" s="1742"/>
      <c r="PD71" s="339"/>
      <c r="PE71" s="339"/>
      <c r="PF71" s="339"/>
      <c r="PG71" s="1740"/>
      <c r="PH71" s="1741"/>
      <c r="PI71" s="1741"/>
      <c r="PJ71" s="1742"/>
      <c r="PK71" s="1742"/>
      <c r="PL71" s="448"/>
      <c r="PM71" s="448"/>
      <c r="PN71" s="448"/>
      <c r="PO71" s="448"/>
      <c r="PP71" s="448"/>
      <c r="PQ71" s="1741"/>
      <c r="PR71" s="1741"/>
      <c r="PS71" s="448"/>
      <c r="PT71" s="1744"/>
      <c r="PU71" s="1743"/>
      <c r="PV71" s="1743"/>
      <c r="PW71" s="339"/>
      <c r="PX71" s="448"/>
      <c r="PY71" s="448"/>
      <c r="PZ71" s="131"/>
      <c r="QA71" s="131"/>
      <c r="QB71" s="1741"/>
      <c r="QC71" s="1742"/>
      <c r="QD71" s="1742"/>
      <c r="QE71" s="1744"/>
      <c r="QF71" s="448"/>
      <c r="QG71" s="387"/>
      <c r="QH71" s="387"/>
      <c r="QI71" s="159" t="s">
        <v>9779</v>
      </c>
      <c r="QJ71" s="1744"/>
      <c r="QK71" s="387"/>
      <c r="QL71" s="387" t="s">
        <v>9783</v>
      </c>
      <c r="QM71" s="1741"/>
      <c r="QN71" s="1741"/>
      <c r="QO71" s="448"/>
      <c r="QP71" s="159" t="s">
        <v>9770</v>
      </c>
      <c r="QQ71" s="387"/>
      <c r="QR71" s="393"/>
      <c r="QS71" s="131"/>
      <c r="QT71" s="387"/>
      <c r="QU71" s="387"/>
      <c r="QV71" s="387"/>
      <c r="QW71" s="1740"/>
      <c r="QX71" s="1740"/>
      <c r="QY71" s="1744" t="s">
        <v>9767</v>
      </c>
      <c r="QZ71" s="1743"/>
      <c r="RA71" s="1742" t="s">
        <v>9761</v>
      </c>
      <c r="RB71" s="1743" t="s">
        <v>9747</v>
      </c>
      <c r="RC71" s="387"/>
      <c r="RD71" s="339"/>
      <c r="RE71" s="1739"/>
      <c r="RF71" s="1769"/>
      <c r="RG71" s="131"/>
      <c r="RH71" s="131"/>
      <c r="RI71" s="387"/>
      <c r="RJ71" s="448" t="s">
        <v>9766</v>
      </c>
      <c r="RK71" s="1741"/>
      <c r="RL71" s="1739"/>
      <c r="RM71" s="1740" t="s">
        <v>9751</v>
      </c>
      <c r="RN71" s="1743"/>
      <c r="RO71" s="1765"/>
      <c r="RP71" s="1740"/>
      <c r="RQ71" s="1739"/>
      <c r="RR71" s="1739"/>
      <c r="RS71" s="1739"/>
      <c r="RT71" s="1739"/>
      <c r="RU71" s="1739"/>
      <c r="RV71" s="1739"/>
      <c r="RW71" s="339"/>
      <c r="RX71" s="1742"/>
      <c r="RY71" s="387" t="s">
        <v>9784</v>
      </c>
      <c r="RZ71" s="1740" t="s">
        <v>9767</v>
      </c>
      <c r="SA71" s="448" t="s">
        <v>9784</v>
      </c>
      <c r="SB71" s="1741"/>
      <c r="SC71" s="1740"/>
      <c r="SD71" s="1744"/>
      <c r="SE71" s="1744"/>
      <c r="SF71" s="339"/>
      <c r="SG71" s="387"/>
      <c r="SH71" s="387"/>
      <c r="SI71" s="1744" t="s">
        <v>9739</v>
      </c>
      <c r="SJ71" s="131"/>
      <c r="SK71" s="131"/>
      <c r="SL71" s="1743"/>
    </row>
    <row r="72" ht="15.75" customHeight="1">
      <c r="A72" s="1517"/>
      <c r="B72" s="148"/>
      <c r="C72" s="148"/>
      <c r="D72" s="148"/>
      <c r="E72" s="148"/>
      <c r="F72" s="148"/>
      <c r="G72" s="159" t="s">
        <v>9773</v>
      </c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 t="s">
        <v>9739</v>
      </c>
      <c r="AG72" s="148"/>
      <c r="AH72" s="148"/>
      <c r="AI72" s="148" t="s">
        <v>9749</v>
      </c>
      <c r="AJ72" s="148" t="s">
        <v>9769</v>
      </c>
      <c r="AK72" s="148" t="s">
        <v>9747</v>
      </c>
      <c r="AL72" s="148"/>
      <c r="AM72" s="148"/>
      <c r="AN72" s="148"/>
      <c r="AO72" s="148" t="s">
        <v>9754</v>
      </c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 t="s">
        <v>9761</v>
      </c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 t="s">
        <v>9769</v>
      </c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 t="s">
        <v>9754</v>
      </c>
      <c r="DJ72" s="148" t="s">
        <v>9751</v>
      </c>
      <c r="DK72" s="148"/>
      <c r="DL72" s="148" t="s">
        <v>9767</v>
      </c>
      <c r="DM72" s="148"/>
      <c r="DN72" s="148"/>
      <c r="DO72" s="148"/>
      <c r="DP72" s="148"/>
      <c r="DQ72" s="148"/>
      <c r="DR72" s="148"/>
      <c r="DS72" s="148" t="s">
        <v>9754</v>
      </c>
      <c r="DT72" s="148"/>
      <c r="DU72" s="148"/>
      <c r="DV72" s="148"/>
      <c r="DW72" s="148"/>
      <c r="DX72" s="148"/>
      <c r="DY72" s="148"/>
      <c r="DZ72" s="148"/>
      <c r="EA72" s="148"/>
      <c r="EB72" s="148"/>
      <c r="EC72" s="148"/>
      <c r="ED72" s="148"/>
      <c r="EE72" s="148"/>
      <c r="EF72" s="148"/>
      <c r="EG72" s="148"/>
      <c r="EH72" s="148"/>
      <c r="EI72" s="148"/>
      <c r="EJ72" s="148"/>
      <c r="EK72" s="148"/>
      <c r="EL72" s="148"/>
      <c r="EM72" s="148"/>
      <c r="EN72" s="148"/>
      <c r="EO72" s="148"/>
      <c r="EP72" s="148"/>
      <c r="EQ72" s="148"/>
      <c r="ER72" s="148"/>
      <c r="ES72" s="148"/>
      <c r="ET72" s="148" t="s">
        <v>9767</v>
      </c>
      <c r="EU72" s="148" t="s">
        <v>9733</v>
      </c>
      <c r="EV72" s="148"/>
      <c r="EW72" s="148"/>
      <c r="EX72" s="148"/>
      <c r="EY72" s="148"/>
      <c r="EZ72" s="148"/>
      <c r="FA72" s="148"/>
      <c r="FB72" s="148"/>
      <c r="FC72" s="148"/>
      <c r="FD72" s="148"/>
      <c r="FE72" s="148"/>
      <c r="FF72" s="148"/>
      <c r="FG72" s="148"/>
      <c r="FH72" s="148"/>
      <c r="FI72" s="148"/>
      <c r="FJ72" s="148"/>
      <c r="FK72" s="148"/>
      <c r="FL72" s="148"/>
      <c r="FM72" s="148"/>
      <c r="FN72" s="148"/>
      <c r="FO72" s="148"/>
      <c r="FP72" s="148"/>
      <c r="FQ72" s="148"/>
      <c r="FR72" s="148"/>
      <c r="FS72" s="148"/>
      <c r="FT72" s="148"/>
      <c r="FU72" s="148"/>
      <c r="FV72" s="148"/>
      <c r="FW72" s="148"/>
      <c r="FX72" s="148"/>
      <c r="FY72" s="148"/>
      <c r="FZ72" s="148"/>
      <c r="GA72" s="148"/>
      <c r="GB72" s="148"/>
      <c r="GC72" s="148"/>
      <c r="GD72" s="148"/>
      <c r="GE72" s="148"/>
      <c r="GF72" s="148"/>
      <c r="GG72" s="148"/>
      <c r="GH72" s="148"/>
      <c r="GI72" s="148"/>
      <c r="GJ72" s="148"/>
      <c r="GK72" s="148"/>
      <c r="GL72" s="148"/>
      <c r="GM72" s="148"/>
      <c r="GN72" s="148"/>
      <c r="GO72" s="148"/>
      <c r="GP72" s="148"/>
      <c r="GQ72" s="148"/>
      <c r="GR72" s="148" t="s">
        <v>9761</v>
      </c>
      <c r="GS72" s="148"/>
      <c r="GT72" s="148"/>
      <c r="GU72" s="148"/>
      <c r="GV72" s="148"/>
      <c r="GW72" s="148"/>
      <c r="GX72" s="148"/>
      <c r="GY72" s="148"/>
      <c r="GZ72" s="276"/>
      <c r="HA72" s="148"/>
      <c r="HB72" s="148"/>
      <c r="HC72" s="148" t="s">
        <v>9766</v>
      </c>
      <c r="HD72" s="148"/>
      <c r="HE72" s="148"/>
      <c r="HF72" s="148"/>
      <c r="HG72" s="148"/>
      <c r="HH72" s="148"/>
      <c r="HI72" s="148"/>
      <c r="HJ72" s="148"/>
      <c r="HK72" s="148"/>
      <c r="HL72" s="148"/>
      <c r="HM72" s="148"/>
      <c r="HN72" s="148"/>
      <c r="HO72" s="148"/>
      <c r="HP72" s="148"/>
      <c r="HQ72" s="148"/>
      <c r="HR72" s="148"/>
      <c r="HS72" s="148"/>
      <c r="HT72" s="148"/>
      <c r="HU72" s="148"/>
      <c r="HV72" s="148"/>
      <c r="HW72" s="148"/>
      <c r="HX72" s="148"/>
      <c r="HY72" s="148"/>
      <c r="HZ72" s="148"/>
      <c r="IA72" s="148"/>
      <c r="IB72" s="148"/>
      <c r="IC72" s="148"/>
      <c r="ID72" s="148"/>
      <c r="IE72" s="148"/>
      <c r="IF72" s="148"/>
      <c r="IG72" s="148"/>
      <c r="IH72" s="148"/>
      <c r="II72" s="148" t="s">
        <v>9743</v>
      </c>
      <c r="IJ72" s="148"/>
      <c r="IK72" s="148"/>
      <c r="IL72" s="148"/>
      <c r="IM72" s="148"/>
      <c r="IN72" s="148"/>
      <c r="IO72" s="148" t="s">
        <v>9764</v>
      </c>
      <c r="IP72" s="148" t="s">
        <v>9766</v>
      </c>
      <c r="IQ72" s="159" t="s">
        <v>9774</v>
      </c>
      <c r="IR72" s="148"/>
      <c r="IS72" s="148"/>
      <c r="IT72" s="148"/>
      <c r="IU72" s="148"/>
      <c r="IV72" s="148"/>
      <c r="IW72" s="148"/>
      <c r="IX72" s="148"/>
      <c r="IY72" s="148"/>
      <c r="IZ72" s="148"/>
      <c r="JA72" s="148"/>
      <c r="JB72" s="148"/>
      <c r="JC72" s="148"/>
      <c r="JD72" s="148"/>
      <c r="JE72" s="148"/>
      <c r="JF72" s="148"/>
      <c r="JG72" s="148"/>
      <c r="JH72" s="148"/>
      <c r="JI72" s="148"/>
      <c r="JJ72" s="148"/>
      <c r="JK72" s="1746"/>
      <c r="JL72" s="1746"/>
      <c r="JM72" s="1746"/>
      <c r="JN72" s="1746"/>
      <c r="JO72" s="1746"/>
      <c r="JP72" s="1746"/>
      <c r="JQ72" s="1746"/>
      <c r="JR72" s="1746"/>
      <c r="JS72" s="148"/>
      <c r="JT72" s="148"/>
      <c r="JU72" s="148"/>
      <c r="JV72" s="148"/>
      <c r="JW72" s="148"/>
      <c r="JX72" s="1746"/>
      <c r="JY72" s="1746"/>
      <c r="JZ72" s="1746"/>
      <c r="KA72" s="1746"/>
      <c r="KB72" s="1746"/>
      <c r="KC72" s="148"/>
      <c r="KD72" s="1746"/>
      <c r="KE72" s="1746"/>
      <c r="KF72" s="148"/>
      <c r="KG72" s="1746"/>
      <c r="KH72" s="1746"/>
      <c r="KI72" s="1746"/>
      <c r="KJ72" s="148"/>
      <c r="KK72" s="1746"/>
      <c r="KL72" s="1746"/>
      <c r="KM72" s="1746"/>
      <c r="KN72" s="1746"/>
      <c r="KO72" s="148"/>
      <c r="KP72" s="1746"/>
      <c r="KQ72" s="148"/>
      <c r="KR72" s="148"/>
      <c r="KS72" s="1746"/>
      <c r="KT72" s="1746"/>
      <c r="KU72" s="148" t="s">
        <v>9764</v>
      </c>
      <c r="KV72" s="1746"/>
      <c r="KW72" s="148"/>
      <c r="KX72" s="1746"/>
      <c r="KY72" s="1746"/>
      <c r="KZ72" s="1746"/>
      <c r="LA72" s="1746"/>
      <c r="LB72" s="1746"/>
      <c r="LC72" s="1746"/>
      <c r="LD72" s="148"/>
      <c r="LE72" s="1746"/>
      <c r="LF72" s="1746"/>
      <c r="LG72" s="1746"/>
      <c r="LH72" s="148"/>
      <c r="LI72" s="1746"/>
      <c r="LJ72" s="1746"/>
      <c r="LK72" s="1746"/>
      <c r="LL72" s="1746"/>
      <c r="LM72" s="1746"/>
      <c r="LN72" s="1746"/>
      <c r="LO72" s="1746"/>
      <c r="LP72" s="148"/>
      <c r="LQ72" s="1746"/>
      <c r="LR72" s="1746"/>
      <c r="LS72" s="148"/>
      <c r="LT72" s="1746"/>
      <c r="LU72" s="148"/>
      <c r="LV72" s="1746"/>
      <c r="LW72" s="148"/>
      <c r="LX72" s="148" t="s">
        <v>9754</v>
      </c>
      <c r="LY72" s="1746"/>
      <c r="LZ72" s="1746"/>
      <c r="MA72" s="1746"/>
      <c r="MB72" s="1746"/>
      <c r="MC72" s="148"/>
      <c r="MD72" s="1746"/>
      <c r="ME72" s="1746"/>
      <c r="MF72" s="1746"/>
      <c r="MG72" s="148"/>
      <c r="MH72" s="1746"/>
      <c r="MI72" s="1746"/>
      <c r="MJ72" s="1746"/>
      <c r="MK72" s="1746"/>
      <c r="ML72" s="1746"/>
      <c r="MM72" s="148"/>
      <c r="MN72" s="148"/>
      <c r="MO72" s="148" t="s">
        <v>9784</v>
      </c>
      <c r="MP72" s="1746"/>
      <c r="MQ72" s="1746"/>
      <c r="MR72" s="1746"/>
      <c r="MS72" s="148"/>
      <c r="MT72" s="148"/>
      <c r="MU72" s="1746"/>
      <c r="MV72" s="148" t="s">
        <v>9755</v>
      </c>
      <c r="MW72" s="1746"/>
      <c r="MX72" s="1746"/>
      <c r="MY72" s="148"/>
      <c r="MZ72" s="1746"/>
      <c r="NA72" s="1746"/>
      <c r="NB72" s="148"/>
      <c r="NC72" s="1746"/>
      <c r="ND72" s="1746"/>
      <c r="NE72" s="1746"/>
      <c r="NF72" s="148"/>
      <c r="NG72" s="1746"/>
      <c r="NH72" s="1746"/>
      <c r="NI72" s="148"/>
      <c r="NJ72" s="148"/>
      <c r="NK72" s="1746"/>
      <c r="NL72" s="1746"/>
      <c r="NM72" s="1746"/>
      <c r="NN72" s="1746"/>
      <c r="NO72" s="1746"/>
      <c r="NP72" s="1746"/>
      <c r="NQ72" s="1746" t="s">
        <v>9759</v>
      </c>
      <c r="NR72" s="1746" t="s">
        <v>9759</v>
      </c>
      <c r="NS72" s="1746"/>
      <c r="NT72" s="1746" t="s">
        <v>9766</v>
      </c>
      <c r="NU72" s="1746" t="s">
        <v>9747</v>
      </c>
      <c r="NV72" s="1746"/>
      <c r="NW72" s="1746" t="s">
        <v>9749</v>
      </c>
      <c r="NX72" s="1746" t="s">
        <v>9749</v>
      </c>
      <c r="NY72" s="1746" t="s">
        <v>9749</v>
      </c>
      <c r="NZ72" s="1746" t="s">
        <v>9749</v>
      </c>
      <c r="OA72" s="1746"/>
      <c r="OB72" s="1746"/>
      <c r="OC72" s="1746"/>
      <c r="OD72" s="1746"/>
      <c r="OE72" s="1746"/>
      <c r="OF72" s="1746" t="s">
        <v>9766</v>
      </c>
      <c r="OG72" s="1746"/>
      <c r="OH72" s="1746"/>
      <c r="OI72" s="1746"/>
      <c r="OJ72" s="1746"/>
      <c r="OK72" s="1746"/>
      <c r="OL72" s="1746"/>
      <c r="OM72" s="1746"/>
      <c r="ON72" s="1746"/>
      <c r="OO72" s="1746"/>
      <c r="OP72" s="148"/>
      <c r="OQ72" s="1746"/>
      <c r="OR72" s="1746"/>
      <c r="OS72" s="1746"/>
      <c r="OT72" s="1746"/>
      <c r="OU72" s="1746"/>
      <c r="OV72" s="1746"/>
      <c r="OW72" s="1746" t="s">
        <v>9761</v>
      </c>
      <c r="OX72" s="1746"/>
      <c r="OY72" s="1746"/>
      <c r="OZ72" s="1746"/>
      <c r="PA72" s="1746"/>
      <c r="PB72" s="1746"/>
      <c r="PC72" s="1746"/>
      <c r="PD72" s="1746"/>
      <c r="PE72" s="1746"/>
      <c r="PF72" s="1746"/>
      <c r="PG72" s="148"/>
      <c r="PH72" s="1746"/>
      <c r="PI72" s="1746"/>
      <c r="PJ72" s="1746"/>
      <c r="PK72" s="1746"/>
      <c r="PL72" s="1746"/>
      <c r="PM72" s="1746"/>
      <c r="PN72" s="1746"/>
      <c r="PO72" s="1746"/>
      <c r="PP72" s="1746"/>
      <c r="PQ72" s="1746"/>
      <c r="PR72" s="148"/>
      <c r="PS72" s="1746"/>
      <c r="PT72" s="1746"/>
      <c r="PU72" s="1746"/>
      <c r="PV72" s="1746"/>
      <c r="PW72" s="1746"/>
      <c r="PX72" s="1746"/>
      <c r="PY72" s="148"/>
      <c r="PZ72" s="1746"/>
      <c r="QA72" s="1746"/>
      <c r="QB72" s="1746"/>
      <c r="QC72" s="1746"/>
      <c r="QD72" s="1746"/>
      <c r="QE72" s="1746"/>
      <c r="QF72" s="1746"/>
      <c r="QG72" s="1746"/>
      <c r="QH72" s="1746"/>
      <c r="QI72" s="1737"/>
      <c r="QJ72" s="1746"/>
      <c r="QK72" s="1746"/>
      <c r="QL72" s="148"/>
      <c r="QM72" s="1746"/>
      <c r="QN72" s="1746"/>
      <c r="QO72" s="1746"/>
      <c r="QP72" s="1737"/>
      <c r="QQ72" s="1746"/>
      <c r="QR72" s="159" t="s">
        <v>9729</v>
      </c>
      <c r="QS72" s="1746"/>
      <c r="QT72" s="1746"/>
      <c r="QU72" s="1746"/>
      <c r="QV72" s="1746"/>
      <c r="QW72" s="148"/>
      <c r="QX72" s="148"/>
      <c r="QY72" s="148" t="s">
        <v>9761</v>
      </c>
      <c r="QZ72" s="148"/>
      <c r="RA72" s="148" t="s">
        <v>9766</v>
      </c>
      <c r="RB72" s="148" t="s">
        <v>9754</v>
      </c>
      <c r="RC72" s="1746"/>
      <c r="RD72" s="148"/>
      <c r="RE72" s="1746"/>
      <c r="RF72" s="148"/>
      <c r="RG72" s="148"/>
      <c r="RH72" s="1746"/>
      <c r="RI72" s="1746"/>
      <c r="RJ72" s="148" t="s">
        <v>9768</v>
      </c>
      <c r="RK72" s="148"/>
      <c r="RL72" s="148"/>
      <c r="RM72" s="148" t="s">
        <v>9755</v>
      </c>
      <c r="RN72" s="148"/>
      <c r="RO72" s="159" t="s">
        <v>9793</v>
      </c>
      <c r="RP72" s="148"/>
      <c r="RQ72" s="1746"/>
      <c r="RR72" s="1746"/>
      <c r="RS72" s="1746"/>
      <c r="RT72" s="1746"/>
      <c r="RU72" s="1746"/>
      <c r="RV72" s="1746"/>
      <c r="RW72" s="1746"/>
      <c r="RX72" s="1746"/>
      <c r="RY72" s="1746"/>
      <c r="RZ72" s="148" t="s">
        <v>9766</v>
      </c>
      <c r="SA72" s="1746" t="s">
        <v>9767</v>
      </c>
      <c r="SB72" s="1746"/>
      <c r="SC72" s="148"/>
      <c r="SD72" s="1746"/>
      <c r="SE72" s="1746"/>
      <c r="SF72" s="1746"/>
      <c r="SG72" s="1746"/>
      <c r="SH72" s="1746"/>
      <c r="SI72" s="1746" t="s">
        <v>9749</v>
      </c>
      <c r="SJ72" s="1746"/>
      <c r="SK72" s="1746"/>
      <c r="SL72" s="1746"/>
    </row>
    <row r="73" ht="15.75" customHeight="1">
      <c r="A73" s="1517"/>
      <c r="B73" s="131"/>
      <c r="C73" s="131"/>
      <c r="D73" s="131"/>
      <c r="E73" s="1739"/>
      <c r="F73" s="1739"/>
      <c r="G73" s="1755"/>
      <c r="H73" s="387"/>
      <c r="I73" s="387"/>
      <c r="J73" s="387"/>
      <c r="K73" s="131"/>
      <c r="L73" s="131"/>
      <c r="M73" s="1740"/>
      <c r="N73" s="1741"/>
      <c r="O73" s="339"/>
      <c r="P73" s="339"/>
      <c r="Q73" s="1741"/>
      <c r="R73" s="1741"/>
      <c r="S73" s="1741"/>
      <c r="T73" s="448"/>
      <c r="U73" s="1741"/>
      <c r="V73" s="1741"/>
      <c r="W73" s="1741"/>
      <c r="X73" s="448"/>
      <c r="Y73" s="448"/>
      <c r="Z73" s="339"/>
      <c r="AA73" s="339"/>
      <c r="AB73" s="339"/>
      <c r="AC73" s="339"/>
      <c r="AD73" s="387"/>
      <c r="AE73" s="387"/>
      <c r="AF73" s="387" t="s">
        <v>9749</v>
      </c>
      <c r="AG73" s="448"/>
      <c r="AH73" s="448"/>
      <c r="AI73" s="448" t="s">
        <v>9747</v>
      </c>
      <c r="AJ73" s="1742"/>
      <c r="AK73" s="1742" t="s">
        <v>9754</v>
      </c>
      <c r="AL73" s="1741"/>
      <c r="AM73" s="339"/>
      <c r="AN73" s="1742"/>
      <c r="AO73" s="1742" t="s">
        <v>9766</v>
      </c>
      <c r="AP73" s="448"/>
      <c r="AQ73" s="448"/>
      <c r="AR73" s="387"/>
      <c r="AS73" s="387"/>
      <c r="AT73" s="1739"/>
      <c r="AU73" s="1739"/>
      <c r="AV73" s="1739"/>
      <c r="AW73" s="448"/>
      <c r="AX73" s="448"/>
      <c r="AY73" s="1741"/>
      <c r="AZ73" s="1741"/>
      <c r="BA73" s="339"/>
      <c r="BB73" s="339"/>
      <c r="BC73" s="339"/>
      <c r="BD73" s="387"/>
      <c r="BE73" s="1741"/>
      <c r="BF73" s="1741"/>
      <c r="BG73" s="1741"/>
      <c r="BH73" s="1741"/>
      <c r="BI73" s="387"/>
      <c r="BJ73" s="387"/>
      <c r="BK73" s="387"/>
      <c r="BL73" s="1741"/>
      <c r="BM73" s="1741"/>
      <c r="BN73" s="1741"/>
      <c r="BO73" s="1743"/>
      <c r="BP73" s="1743"/>
      <c r="BQ73" s="1743"/>
      <c r="BR73" s="131"/>
      <c r="BS73" s="131"/>
      <c r="BT73" s="131"/>
      <c r="BU73" s="387"/>
      <c r="BV73" s="387"/>
      <c r="BW73" s="1741"/>
      <c r="BX73" s="1741"/>
      <c r="BY73" s="1741"/>
      <c r="BZ73" s="339"/>
      <c r="CA73" s="339"/>
      <c r="CB73" s="1742"/>
      <c r="CC73" s="1742" t="s">
        <v>9766</v>
      </c>
      <c r="CD73" s="1743"/>
      <c r="CE73" s="1743"/>
      <c r="CF73" s="1741"/>
      <c r="CG73" s="1741"/>
      <c r="CH73" s="1741"/>
      <c r="CI73" s="1740"/>
      <c r="CJ73" s="1740"/>
      <c r="CK73" s="448"/>
      <c r="CL73" s="448"/>
      <c r="CM73" s="448"/>
      <c r="CN73" s="448"/>
      <c r="CO73" s="448"/>
      <c r="CP73" s="448"/>
      <c r="CQ73" s="448"/>
      <c r="CR73" s="1743"/>
      <c r="CS73" s="339"/>
      <c r="CT73" s="339"/>
      <c r="CU73" s="1739"/>
      <c r="CV73" s="1739"/>
      <c r="CW73" s="1739"/>
      <c r="CX73" s="1739"/>
      <c r="CY73" s="1742"/>
      <c r="CZ73" s="339"/>
      <c r="DA73" s="1741"/>
      <c r="DB73" s="1741"/>
      <c r="DC73" s="1741"/>
      <c r="DD73" s="1741"/>
      <c r="DE73" s="1742"/>
      <c r="DF73" s="448"/>
      <c r="DG73" s="448"/>
      <c r="DH73" s="1743"/>
      <c r="DI73" s="1743" t="s">
        <v>9767</v>
      </c>
      <c r="DJ73" s="1742" t="s">
        <v>9739</v>
      </c>
      <c r="DK73" s="387"/>
      <c r="DL73" s="1741" t="s">
        <v>9761</v>
      </c>
      <c r="DM73" s="387"/>
      <c r="DN73" s="387"/>
      <c r="DO73" s="1739"/>
      <c r="DP73" s="1739"/>
      <c r="DQ73" s="1741"/>
      <c r="DR73" s="448"/>
      <c r="DS73" s="1742" t="s">
        <v>9784</v>
      </c>
      <c r="DT73" s="131"/>
      <c r="DU73" s="1739"/>
      <c r="DV73" s="339"/>
      <c r="DW73" s="1739"/>
      <c r="DX73" s="1741"/>
      <c r="DY73" s="1741"/>
      <c r="DZ73" s="1739"/>
      <c r="EA73" s="387"/>
      <c r="EB73" s="387"/>
      <c r="EC73" s="448"/>
      <c r="ED73" s="1741"/>
      <c r="EE73" s="387"/>
      <c r="EF73" s="339"/>
      <c r="EG73" s="1739"/>
      <c r="EH73" s="1742"/>
      <c r="EI73" s="387"/>
      <c r="EJ73" s="387"/>
      <c r="EK73" s="1741"/>
      <c r="EL73" s="1741"/>
      <c r="EM73" s="448"/>
      <c r="EN73" s="1744"/>
      <c r="EO73" s="387"/>
      <c r="EP73" s="339"/>
      <c r="EQ73" s="339"/>
      <c r="ER73" s="387"/>
      <c r="ES73" s="387"/>
      <c r="ET73" s="1741" t="s">
        <v>9759</v>
      </c>
      <c r="EU73" s="448" t="s">
        <v>9746</v>
      </c>
      <c r="EV73" s="1742"/>
      <c r="EW73" s="131"/>
      <c r="EX73" s="131"/>
      <c r="EY73" s="131"/>
      <c r="EZ73" s="339"/>
      <c r="FA73" s="339"/>
      <c r="FB73" s="339"/>
      <c r="FC73" s="387"/>
      <c r="FD73" s="387"/>
      <c r="FE73" s="387"/>
      <c r="FF73" s="1741"/>
      <c r="FG73" s="1741"/>
      <c r="FH73" s="1741"/>
      <c r="FI73" s="1741"/>
      <c r="FJ73" s="1739"/>
      <c r="FK73" s="1739"/>
      <c r="FL73" s="131"/>
      <c r="FM73" s="1739"/>
      <c r="FN73" s="448"/>
      <c r="FO73" s="387"/>
      <c r="FP73" s="387"/>
      <c r="FQ73" s="339"/>
      <c r="FR73" s="1742"/>
      <c r="FS73" s="1742"/>
      <c r="FT73" s="1740"/>
      <c r="FU73" s="1740"/>
      <c r="FV73" s="131"/>
      <c r="FW73" s="131"/>
      <c r="FX73" s="1740"/>
      <c r="FY73" s="1742"/>
      <c r="FZ73" s="339"/>
      <c r="GA73" s="131"/>
      <c r="GB73" s="387"/>
      <c r="GC73" s="387"/>
      <c r="GD73" s="1741"/>
      <c r="GE73" s="131"/>
      <c r="GF73" s="1742"/>
      <c r="GG73" s="131"/>
      <c r="GH73" s="387"/>
      <c r="GI73" s="448"/>
      <c r="GJ73" s="339"/>
      <c r="GK73" s="339"/>
      <c r="GL73" s="1739"/>
      <c r="GM73" s="387"/>
      <c r="GN73" s="387"/>
      <c r="GO73" s="448"/>
      <c r="GP73" s="1744"/>
      <c r="GQ73" s="1744"/>
      <c r="GR73" s="1742" t="s">
        <v>9766</v>
      </c>
      <c r="GS73" s="1743"/>
      <c r="GT73" s="1744"/>
      <c r="GU73" s="387"/>
      <c r="GV73" s="339"/>
      <c r="GW73" s="1743"/>
      <c r="GX73" s="448"/>
      <c r="GY73" s="339"/>
      <c r="GZ73" s="192" t="s">
        <v>9770</v>
      </c>
      <c r="HA73" s="1743"/>
      <c r="HB73" s="1742"/>
      <c r="HC73" s="448" t="s">
        <v>9769</v>
      </c>
      <c r="HD73" s="1743"/>
      <c r="HE73" s="1739"/>
      <c r="HF73" s="339"/>
      <c r="HG73" s="387"/>
      <c r="HH73" s="1744"/>
      <c r="HI73" s="1741"/>
      <c r="HJ73" s="1741"/>
      <c r="HK73" s="1739"/>
      <c r="HL73" s="1739"/>
      <c r="HM73" s="1741"/>
      <c r="HN73" s="1741"/>
      <c r="HO73" s="1742"/>
      <c r="HP73" s="1743"/>
      <c r="HQ73" s="1739"/>
      <c r="HR73" s="1739"/>
      <c r="HS73" s="448"/>
      <c r="HT73" s="1743"/>
      <c r="HU73" s="1744"/>
      <c r="HV73" s="1744"/>
      <c r="HW73" s="387"/>
      <c r="HX73" s="387"/>
      <c r="HY73" s="1743"/>
      <c r="HZ73" s="1739"/>
      <c r="IA73" s="1741"/>
      <c r="IB73" s="1740"/>
      <c r="IC73" s="448"/>
      <c r="ID73" s="1741"/>
      <c r="IE73" s="1742"/>
      <c r="IF73" s="339"/>
      <c r="IG73" s="1739"/>
      <c r="IH73" s="1742"/>
      <c r="II73" s="1742" t="s">
        <v>9734</v>
      </c>
      <c r="IJ73" s="339"/>
      <c r="IK73" s="1741"/>
      <c r="IL73" s="387"/>
      <c r="IM73" s="131"/>
      <c r="IN73" s="1743"/>
      <c r="IO73" s="131" t="s">
        <v>9751</v>
      </c>
      <c r="IP73" s="1740" t="s">
        <v>9768</v>
      </c>
      <c r="IQ73" s="1755"/>
      <c r="IR73" s="131"/>
      <c r="IS73" s="131"/>
      <c r="IT73" s="131"/>
      <c r="IU73" s="131"/>
      <c r="IV73" s="1739"/>
      <c r="IW73" s="1739"/>
      <c r="IX73" s="1739"/>
      <c r="IY73" s="387"/>
      <c r="IZ73" s="387"/>
      <c r="JA73" s="387"/>
      <c r="JB73" s="1743"/>
      <c r="JC73" s="1743"/>
      <c r="JD73" s="1741"/>
      <c r="JE73" s="1740"/>
      <c r="JF73" s="1739"/>
      <c r="JG73" s="1740"/>
      <c r="JH73" s="339"/>
      <c r="JI73" s="448"/>
      <c r="JJ73" s="131"/>
      <c r="JK73" s="131"/>
      <c r="JL73" s="131"/>
      <c r="JM73" s="131"/>
      <c r="JN73" s="1741"/>
      <c r="JO73" s="1741"/>
      <c r="JP73" s="1741"/>
      <c r="JQ73" s="387"/>
      <c r="JR73" s="387"/>
      <c r="JS73" s="1740"/>
      <c r="JT73" s="339"/>
      <c r="JU73" s="1740"/>
      <c r="JV73" s="1740"/>
      <c r="JW73" s="1740"/>
      <c r="JX73" s="387"/>
      <c r="JY73" s="387"/>
      <c r="JZ73" s="1741"/>
      <c r="KA73" s="131"/>
      <c r="KB73" s="1741"/>
      <c r="KC73" s="1740"/>
      <c r="KD73" s="1741"/>
      <c r="KE73" s="1743"/>
      <c r="KF73" s="339"/>
      <c r="KG73" s="1741"/>
      <c r="KH73" s="1742"/>
      <c r="KI73" s="387"/>
      <c r="KJ73" s="387"/>
      <c r="KK73" s="339"/>
      <c r="KL73" s="1741"/>
      <c r="KM73" s="387"/>
      <c r="KN73" s="1743"/>
      <c r="KO73" s="1742"/>
      <c r="KP73" s="448"/>
      <c r="KQ73" s="448"/>
      <c r="KR73" s="1744"/>
      <c r="KS73" s="1743"/>
      <c r="KT73" s="1743"/>
      <c r="KU73" s="1743" t="s">
        <v>9751</v>
      </c>
      <c r="KV73" s="387"/>
      <c r="KW73" s="1739"/>
      <c r="KX73" s="131"/>
      <c r="KY73" s="339"/>
      <c r="KZ73" s="339"/>
      <c r="LA73" s="339"/>
      <c r="LB73" s="1743"/>
      <c r="LC73" s="448"/>
      <c r="LD73" s="131"/>
      <c r="LE73" s="131"/>
      <c r="LF73" s="448"/>
      <c r="LG73" s="1739"/>
      <c r="LH73" s="387"/>
      <c r="LI73" s="387"/>
      <c r="LJ73" s="387"/>
      <c r="LK73" s="339"/>
      <c r="LL73" s="1739"/>
      <c r="LM73" s="1741"/>
      <c r="LN73" s="1744"/>
      <c r="LO73" s="448"/>
      <c r="LP73" s="1741"/>
      <c r="LQ73" s="1741"/>
      <c r="LR73" s="131"/>
      <c r="LS73" s="131"/>
      <c r="LT73" s="131"/>
      <c r="LU73" s="131"/>
      <c r="LV73" s="387"/>
      <c r="LW73" s="387"/>
      <c r="LX73" s="1740" t="s">
        <v>9766</v>
      </c>
      <c r="LY73" s="1744"/>
      <c r="LZ73" s="339"/>
      <c r="MA73" s="1739"/>
      <c r="MB73" s="1743"/>
      <c r="MC73" s="387" t="s">
        <v>4510</v>
      </c>
      <c r="MD73" s="1739"/>
      <c r="ME73" s="1739"/>
      <c r="MF73" s="1741"/>
      <c r="MG73" s="1744"/>
      <c r="MH73" s="448"/>
      <c r="MI73" s="131"/>
      <c r="MJ73" s="1743"/>
      <c r="MK73" s="1743"/>
      <c r="ML73" s="1741"/>
      <c r="MM73" s="1742"/>
      <c r="MN73" s="1740"/>
      <c r="MO73" s="131" t="s">
        <v>9767</v>
      </c>
      <c r="MP73" s="1744"/>
      <c r="MQ73" s="1744"/>
      <c r="MR73" s="1744"/>
      <c r="MS73" s="1744"/>
      <c r="MT73" s="131"/>
      <c r="MU73" s="387"/>
      <c r="MV73" s="1740" t="s">
        <v>9739</v>
      </c>
      <c r="MW73" s="387"/>
      <c r="MX73" s="1743"/>
      <c r="MY73" s="1743"/>
      <c r="MZ73" s="387"/>
      <c r="NA73" s="387"/>
      <c r="NB73" s="387"/>
      <c r="NC73" s="387"/>
      <c r="ND73" s="387"/>
      <c r="NE73" s="1742"/>
      <c r="NF73" s="1743"/>
      <c r="NG73" s="1742"/>
      <c r="NH73" s="387"/>
      <c r="NI73" s="1740"/>
      <c r="NJ73" s="387"/>
      <c r="NK73" s="387"/>
      <c r="NL73" s="387"/>
      <c r="NM73" s="387"/>
      <c r="NN73" s="1741"/>
      <c r="NO73" s="387"/>
      <c r="NP73" s="1743"/>
      <c r="NQ73" s="1739" t="s">
        <v>9761</v>
      </c>
      <c r="NR73" s="387" t="s">
        <v>9761</v>
      </c>
      <c r="NS73" s="387"/>
      <c r="NT73" s="1739" t="s">
        <v>9769</v>
      </c>
      <c r="NU73" s="131" t="s">
        <v>9754</v>
      </c>
      <c r="NV73" s="339"/>
      <c r="NW73" s="1739" t="s">
        <v>9757</v>
      </c>
      <c r="NX73" s="1739" t="s">
        <v>9757</v>
      </c>
      <c r="NY73" s="1739" t="s">
        <v>9757</v>
      </c>
      <c r="NZ73" s="1739" t="s">
        <v>9757</v>
      </c>
      <c r="OA73" s="131"/>
      <c r="OB73" s="131"/>
      <c r="OC73" s="131"/>
      <c r="OD73" s="1741"/>
      <c r="OE73" s="1741"/>
      <c r="OF73" s="1741" t="s">
        <v>9769</v>
      </c>
      <c r="OG73" s="387"/>
      <c r="OH73" s="387"/>
      <c r="OI73" s="387"/>
      <c r="OJ73" s="1741"/>
      <c r="OK73" s="1741"/>
      <c r="OL73" s="1741"/>
      <c r="OM73" s="1741"/>
      <c r="ON73" s="1741"/>
      <c r="OO73" s="1739"/>
      <c r="OP73" s="1739"/>
      <c r="OQ73" s="387"/>
      <c r="OR73" s="387"/>
      <c r="OS73" s="387"/>
      <c r="OT73" s="131"/>
      <c r="OU73" s="131"/>
      <c r="OV73" s="387"/>
      <c r="OW73" s="387" t="s">
        <v>9766</v>
      </c>
      <c r="OX73" s="1743"/>
      <c r="OY73" s="1743"/>
      <c r="OZ73" s="131"/>
      <c r="PA73" s="131"/>
      <c r="PB73" s="339"/>
      <c r="PC73" s="1742"/>
      <c r="PD73" s="339"/>
      <c r="PE73" s="339"/>
      <c r="PF73" s="339"/>
      <c r="PG73" s="1740"/>
      <c r="PH73" s="1741"/>
      <c r="PI73" s="1741"/>
      <c r="PJ73" s="1742"/>
      <c r="PK73" s="1742"/>
      <c r="PL73" s="448"/>
      <c r="PM73" s="448"/>
      <c r="PN73" s="448"/>
      <c r="PO73" s="448"/>
      <c r="PP73" s="448"/>
      <c r="PQ73" s="1741"/>
      <c r="PR73" s="1741"/>
      <c r="PS73" s="448"/>
      <c r="PT73" s="1744"/>
      <c r="PU73" s="1743"/>
      <c r="PV73" s="1743"/>
      <c r="PW73" s="339"/>
      <c r="PX73" s="448"/>
      <c r="PY73" s="448"/>
      <c r="PZ73" s="131"/>
      <c r="QA73" s="131"/>
      <c r="QB73" s="1741"/>
      <c r="QC73" s="1742"/>
      <c r="QD73" s="1742"/>
      <c r="QE73" s="1744"/>
      <c r="QF73" s="448"/>
      <c r="QG73" s="387"/>
      <c r="QH73" s="387"/>
      <c r="QI73" s="387"/>
      <c r="QJ73" s="1744"/>
      <c r="QK73" s="387"/>
      <c r="QL73" s="387"/>
      <c r="QM73" s="1741"/>
      <c r="QN73" s="1741"/>
      <c r="QO73" s="448"/>
      <c r="QP73" s="448"/>
      <c r="QQ73" s="387"/>
      <c r="QR73" s="397"/>
      <c r="QS73" s="131"/>
      <c r="QT73" s="387"/>
      <c r="QU73" s="387"/>
      <c r="QV73" s="387"/>
      <c r="QW73" s="1740"/>
      <c r="QX73" s="1740"/>
      <c r="QY73" s="1744" t="s">
        <v>9766</v>
      </c>
      <c r="QZ73" s="1743"/>
      <c r="RA73" s="1742" t="s">
        <v>9769</v>
      </c>
      <c r="RB73" s="1743" t="s">
        <v>9762</v>
      </c>
      <c r="RC73" s="387"/>
      <c r="RD73" s="339"/>
      <c r="RE73" s="1739"/>
      <c r="RF73" s="1740"/>
      <c r="RG73" s="131"/>
      <c r="RH73" s="131"/>
      <c r="RI73" s="387"/>
      <c r="RJ73" s="448" t="s">
        <v>9769</v>
      </c>
      <c r="RK73" s="1741"/>
      <c r="RL73" s="1739"/>
      <c r="RM73" s="1740" t="s">
        <v>9739</v>
      </c>
      <c r="RN73" s="1743"/>
      <c r="RO73" s="1763"/>
      <c r="RP73" s="1740"/>
      <c r="RQ73" s="1739"/>
      <c r="RR73" s="1739"/>
      <c r="RS73" s="1739"/>
      <c r="RT73" s="1739"/>
      <c r="RU73" s="1739"/>
      <c r="RV73" s="1739"/>
      <c r="RW73" s="339"/>
      <c r="RX73" s="1742"/>
      <c r="RY73" s="387"/>
      <c r="RZ73" s="1740" t="s">
        <v>9769</v>
      </c>
      <c r="SA73" s="448" t="s">
        <v>9761</v>
      </c>
      <c r="SB73" s="1741"/>
      <c r="SC73" s="1740"/>
      <c r="SD73" s="1744"/>
      <c r="SE73" s="1744"/>
      <c r="SF73" s="339"/>
      <c r="SG73" s="387"/>
      <c r="SH73" s="387"/>
      <c r="SI73" s="1744" t="s">
        <v>9747</v>
      </c>
      <c r="SJ73" s="131"/>
      <c r="SK73" s="131"/>
      <c r="SL73" s="1743"/>
    </row>
    <row r="74" ht="15.75" customHeight="1">
      <c r="A74" s="1517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 t="s">
        <v>9747</v>
      </c>
      <c r="AG74" s="148"/>
      <c r="AH74" s="148"/>
      <c r="AI74" s="148" t="s">
        <v>9754</v>
      </c>
      <c r="AJ74" s="148"/>
      <c r="AK74" s="148" t="s">
        <v>9766</v>
      </c>
      <c r="AL74" s="148"/>
      <c r="AM74" s="148"/>
      <c r="AN74" s="148"/>
      <c r="AO74" s="276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 t="s">
        <v>9769</v>
      </c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  <c r="CT74" s="148"/>
      <c r="CU74" s="148"/>
      <c r="CV74" s="148"/>
      <c r="CW74" s="148"/>
      <c r="CX74" s="148"/>
      <c r="CY74" s="148"/>
      <c r="CZ74" s="148"/>
      <c r="DA74" s="148"/>
      <c r="DB74" s="148"/>
      <c r="DC74" s="148"/>
      <c r="DD74" s="148"/>
      <c r="DE74" s="148"/>
      <c r="DF74" s="148"/>
      <c r="DG74" s="148"/>
      <c r="DH74" s="148"/>
      <c r="DI74" s="148" t="s">
        <v>9761</v>
      </c>
      <c r="DJ74" s="148" t="s">
        <v>9757</v>
      </c>
      <c r="DK74" s="148"/>
      <c r="DL74" s="148" t="s">
        <v>9766</v>
      </c>
      <c r="DM74" s="148"/>
      <c r="DN74" s="148"/>
      <c r="DO74" s="148"/>
      <c r="DP74" s="148"/>
      <c r="DQ74" s="148"/>
      <c r="DR74" s="148"/>
      <c r="DS74" s="148"/>
      <c r="DT74" s="148"/>
      <c r="DU74" s="148"/>
      <c r="DV74" s="148"/>
      <c r="DW74" s="148"/>
      <c r="DX74" s="148"/>
      <c r="DY74" s="148"/>
      <c r="DZ74" s="148"/>
      <c r="EA74" s="148"/>
      <c r="EB74" s="148"/>
      <c r="EC74" s="148"/>
      <c r="ED74" s="148"/>
      <c r="EE74" s="148"/>
      <c r="EF74" s="148"/>
      <c r="EG74" s="148"/>
      <c r="EH74" s="148"/>
      <c r="EI74" s="148"/>
      <c r="EJ74" s="148"/>
      <c r="EK74" s="148"/>
      <c r="EL74" s="148"/>
      <c r="EM74" s="148"/>
      <c r="EN74" s="148"/>
      <c r="EO74" s="148"/>
      <c r="EP74" s="148"/>
      <c r="EQ74" s="148"/>
      <c r="ER74" s="148"/>
      <c r="ES74" s="148"/>
      <c r="ET74" s="148" t="s">
        <v>9761</v>
      </c>
      <c r="EU74" s="148" t="s">
        <v>9741</v>
      </c>
      <c r="EV74" s="148"/>
      <c r="EW74" s="148"/>
      <c r="EX74" s="148"/>
      <c r="EY74" s="148"/>
      <c r="EZ74" s="148"/>
      <c r="FA74" s="148"/>
      <c r="FB74" s="148"/>
      <c r="FC74" s="148"/>
      <c r="FD74" s="148"/>
      <c r="FE74" s="148"/>
      <c r="FF74" s="148"/>
      <c r="FG74" s="148"/>
      <c r="FH74" s="148"/>
      <c r="FI74" s="148"/>
      <c r="FJ74" s="148"/>
      <c r="FK74" s="148"/>
      <c r="FL74" s="148"/>
      <c r="FM74" s="148"/>
      <c r="FN74" s="148"/>
      <c r="FO74" s="148"/>
      <c r="FP74" s="148"/>
      <c r="FQ74" s="148"/>
      <c r="FR74" s="148"/>
      <c r="FS74" s="148"/>
      <c r="FT74" s="148"/>
      <c r="FU74" s="148"/>
      <c r="FV74" s="148"/>
      <c r="FW74" s="148"/>
      <c r="FX74" s="148"/>
      <c r="FY74" s="148"/>
      <c r="FZ74" s="148"/>
      <c r="GA74" s="148"/>
      <c r="GB74" s="148"/>
      <c r="GC74" s="148"/>
      <c r="GD74" s="148"/>
      <c r="GE74" s="148"/>
      <c r="GF74" s="148"/>
      <c r="GG74" s="148"/>
      <c r="GH74" s="148"/>
      <c r="GI74" s="148"/>
      <c r="GJ74" s="148"/>
      <c r="GK74" s="148"/>
      <c r="GL74" s="148"/>
      <c r="GM74" s="148"/>
      <c r="GN74" s="148"/>
      <c r="GO74" s="148"/>
      <c r="GP74" s="148"/>
      <c r="GQ74" s="148"/>
      <c r="GR74" s="148" t="s">
        <v>9769</v>
      </c>
      <c r="GS74" s="148"/>
      <c r="GT74" s="148"/>
      <c r="GU74" s="148"/>
      <c r="GV74" s="148"/>
      <c r="GW74" s="148"/>
      <c r="GX74" s="148"/>
      <c r="GY74" s="148"/>
      <c r="GZ74" s="193" t="s">
        <v>9783</v>
      </c>
      <c r="HA74" s="148"/>
      <c r="HB74" s="148"/>
      <c r="HC74" s="148" t="s">
        <v>9783</v>
      </c>
      <c r="HD74" s="148"/>
      <c r="HE74" s="148"/>
      <c r="HF74" s="148"/>
      <c r="HG74" s="148"/>
      <c r="HH74" s="148"/>
      <c r="HI74" s="148"/>
      <c r="HJ74" s="148"/>
      <c r="HK74" s="148"/>
      <c r="HL74" s="148"/>
      <c r="HM74" s="148"/>
      <c r="HN74" s="148"/>
      <c r="HO74" s="148"/>
      <c r="HP74" s="148"/>
      <c r="HQ74" s="148"/>
      <c r="HR74" s="148"/>
      <c r="HS74" s="148"/>
      <c r="HT74" s="148"/>
      <c r="HU74" s="148"/>
      <c r="HV74" s="148"/>
      <c r="HW74" s="148"/>
      <c r="HX74" s="148"/>
      <c r="HY74" s="148"/>
      <c r="HZ74" s="148"/>
      <c r="IA74" s="148"/>
      <c r="IB74" s="148"/>
      <c r="IC74" s="148"/>
      <c r="ID74" s="148"/>
      <c r="IE74" s="148"/>
      <c r="IF74" s="148"/>
      <c r="IG74" s="148"/>
      <c r="IH74" s="148"/>
      <c r="II74" s="148" t="s">
        <v>9751</v>
      </c>
      <c r="IJ74" s="148"/>
      <c r="IK74" s="148"/>
      <c r="IL74" s="148"/>
      <c r="IM74" s="148"/>
      <c r="IN74" s="148"/>
      <c r="IO74" s="148" t="s">
        <v>9739</v>
      </c>
      <c r="IP74" s="148" t="s">
        <v>9769</v>
      </c>
      <c r="IQ74" s="148"/>
      <c r="IR74" s="148"/>
      <c r="IS74" s="148"/>
      <c r="IT74" s="148"/>
      <c r="IU74" s="148"/>
      <c r="IV74" s="148"/>
      <c r="IW74" s="148"/>
      <c r="IX74" s="148"/>
      <c r="IY74" s="148"/>
      <c r="IZ74" s="148"/>
      <c r="JA74" s="148"/>
      <c r="JB74" s="148"/>
      <c r="JC74" s="148"/>
      <c r="JD74" s="148"/>
      <c r="JE74" s="148"/>
      <c r="JF74" s="148"/>
      <c r="JG74" s="148"/>
      <c r="JH74" s="148"/>
      <c r="JI74" s="148"/>
      <c r="JJ74" s="148"/>
      <c r="JK74" s="1746"/>
      <c r="JL74" s="1746"/>
      <c r="JM74" s="1746"/>
      <c r="JN74" s="1746"/>
      <c r="JO74" s="1746"/>
      <c r="JP74" s="1746"/>
      <c r="JQ74" s="1746"/>
      <c r="JR74" s="1746"/>
      <c r="JS74" s="148"/>
      <c r="JT74" s="148"/>
      <c r="JU74" s="148"/>
      <c r="JV74" s="148"/>
      <c r="JW74" s="148"/>
      <c r="JX74" s="1746"/>
      <c r="JY74" s="1746"/>
      <c r="JZ74" s="1746"/>
      <c r="KA74" s="1746"/>
      <c r="KB74" s="1746"/>
      <c r="KC74" s="148"/>
      <c r="KD74" s="1746"/>
      <c r="KE74" s="1746"/>
      <c r="KF74" s="148"/>
      <c r="KG74" s="1746"/>
      <c r="KH74" s="1746"/>
      <c r="KI74" s="1746"/>
      <c r="KJ74" s="148"/>
      <c r="KK74" s="1746"/>
      <c r="KL74" s="1746"/>
      <c r="KM74" s="1746"/>
      <c r="KN74" s="1746"/>
      <c r="KO74" s="148"/>
      <c r="KP74" s="1746"/>
      <c r="KQ74" s="148"/>
      <c r="KR74" s="148"/>
      <c r="KS74" s="1746"/>
      <c r="KT74" s="1746"/>
      <c r="KU74" s="148" t="s">
        <v>9739</v>
      </c>
      <c r="KV74" s="1746"/>
      <c r="KW74" s="148"/>
      <c r="KX74" s="1746"/>
      <c r="KY74" s="1746"/>
      <c r="KZ74" s="1746"/>
      <c r="LA74" s="1746"/>
      <c r="LB74" s="1746"/>
      <c r="LC74" s="1746"/>
      <c r="LD74" s="148"/>
      <c r="LE74" s="1746"/>
      <c r="LF74" s="1746"/>
      <c r="LG74" s="1746"/>
      <c r="LH74" s="148"/>
      <c r="LI74" s="1746"/>
      <c r="LJ74" s="1746"/>
      <c r="LK74" s="1746"/>
      <c r="LL74" s="1746"/>
      <c r="LM74" s="1746"/>
      <c r="LN74" s="1746"/>
      <c r="LO74" s="1746"/>
      <c r="LP74" s="148"/>
      <c r="LQ74" s="1746"/>
      <c r="LR74" s="1746"/>
      <c r="LS74" s="148"/>
      <c r="LT74" s="1746"/>
      <c r="LU74" s="148"/>
      <c r="LV74" s="1746"/>
      <c r="LW74" s="148"/>
      <c r="LX74" s="148" t="s">
        <v>9769</v>
      </c>
      <c r="LY74" s="1746"/>
      <c r="LZ74" s="1746"/>
      <c r="MA74" s="1746"/>
      <c r="MB74" s="1746"/>
      <c r="MC74" s="148"/>
      <c r="MD74" s="1746"/>
      <c r="ME74" s="1746"/>
      <c r="MF74" s="1746"/>
      <c r="MG74" s="148"/>
      <c r="MH74" s="1746"/>
      <c r="MI74" s="1746"/>
      <c r="MJ74" s="1746"/>
      <c r="MK74" s="1746"/>
      <c r="ML74" s="1746"/>
      <c r="MM74" s="148"/>
      <c r="MN74" s="148"/>
      <c r="MO74" s="148" t="s">
        <v>9766</v>
      </c>
      <c r="MP74" s="1746"/>
      <c r="MQ74" s="1746"/>
      <c r="MR74" s="1746"/>
      <c r="MS74" s="148"/>
      <c r="MT74" s="148"/>
      <c r="MU74" s="1746"/>
      <c r="MV74" s="148" t="s">
        <v>9747</v>
      </c>
      <c r="MW74" s="1746"/>
      <c r="MX74" s="1746"/>
      <c r="MY74" s="148"/>
      <c r="MZ74" s="1746"/>
      <c r="NA74" s="1746"/>
      <c r="NB74" s="148"/>
      <c r="NC74" s="1746"/>
      <c r="ND74" s="1746"/>
      <c r="NE74" s="1746"/>
      <c r="NF74" s="148"/>
      <c r="NG74" s="1746"/>
      <c r="NH74" s="1746"/>
      <c r="NI74" s="148"/>
      <c r="NJ74" s="148"/>
      <c r="NK74" s="1746"/>
      <c r="NL74" s="1746"/>
      <c r="NM74" s="1746"/>
      <c r="NN74" s="1746"/>
      <c r="NO74" s="1746"/>
      <c r="NP74" s="1746"/>
      <c r="NQ74" s="1746" t="s">
        <v>9768</v>
      </c>
      <c r="NR74" s="1746" t="s">
        <v>9768</v>
      </c>
      <c r="NS74" s="1746"/>
      <c r="NT74" s="1746" t="s">
        <v>9783</v>
      </c>
      <c r="NU74" s="1746" t="s">
        <v>9759</v>
      </c>
      <c r="NV74" s="1746"/>
      <c r="NW74" s="1746" t="s">
        <v>9747</v>
      </c>
      <c r="NX74" s="1746" t="s">
        <v>9747</v>
      </c>
      <c r="NY74" s="1746" t="s">
        <v>9747</v>
      </c>
      <c r="NZ74" s="1746" t="s">
        <v>9747</v>
      </c>
      <c r="OA74" s="1746"/>
      <c r="OB74" s="1746"/>
      <c r="OC74" s="1746"/>
      <c r="OD74" s="1746"/>
      <c r="OE74" s="1746"/>
      <c r="OF74" s="1746" t="s">
        <v>9783</v>
      </c>
      <c r="OG74" s="1746"/>
      <c r="OH74" s="1746"/>
      <c r="OI74" s="1746"/>
      <c r="OJ74" s="1746"/>
      <c r="OK74" s="1746"/>
      <c r="OL74" s="1746"/>
      <c r="OM74" s="1746"/>
      <c r="ON74" s="1746"/>
      <c r="OO74" s="1746"/>
      <c r="OP74" s="148"/>
      <c r="OQ74" s="1746"/>
      <c r="OR74" s="1746"/>
      <c r="OS74" s="1746"/>
      <c r="OT74" s="1746"/>
      <c r="OU74" s="1746"/>
      <c r="OV74" s="1746"/>
      <c r="OW74" s="1746" t="s">
        <v>9769</v>
      </c>
      <c r="OX74" s="1746"/>
      <c r="OY74" s="1746"/>
      <c r="OZ74" s="1746"/>
      <c r="PA74" s="1746"/>
      <c r="PB74" s="1746"/>
      <c r="PC74" s="1746"/>
      <c r="PD74" s="1746"/>
      <c r="PE74" s="1746"/>
      <c r="PF74" s="1746"/>
      <c r="PG74" s="148"/>
      <c r="PH74" s="1746"/>
      <c r="PI74" s="1746"/>
      <c r="PJ74" s="1746"/>
      <c r="PK74" s="1746"/>
      <c r="PL74" s="1746"/>
      <c r="PM74" s="1746"/>
      <c r="PN74" s="1746"/>
      <c r="PO74" s="1746"/>
      <c r="PP74" s="1746"/>
      <c r="PQ74" s="1746"/>
      <c r="PR74" s="148"/>
      <c r="PS74" s="1746"/>
      <c r="PT74" s="1746"/>
      <c r="PU74" s="1746"/>
      <c r="PV74" s="1746"/>
      <c r="PW74" s="1746"/>
      <c r="PX74" s="1746"/>
      <c r="PY74" s="148"/>
      <c r="PZ74" s="1746"/>
      <c r="QA74" s="1746"/>
      <c r="QB74" s="1746"/>
      <c r="QC74" s="1746"/>
      <c r="QD74" s="1746"/>
      <c r="QE74" s="1746"/>
      <c r="QF74" s="1746"/>
      <c r="QG74" s="1746"/>
      <c r="QH74" s="1746"/>
      <c r="QI74" s="1746"/>
      <c r="QJ74" s="1746"/>
      <c r="QK74" s="1746"/>
      <c r="QL74" s="148"/>
      <c r="QM74" s="1746"/>
      <c r="QN74" s="1746"/>
      <c r="QO74" s="1746"/>
      <c r="QP74" s="1746"/>
      <c r="QQ74" s="1746"/>
      <c r="QR74" s="1746"/>
      <c r="QS74" s="1746"/>
      <c r="QT74" s="1746"/>
      <c r="QU74" s="1746"/>
      <c r="QV74" s="1746"/>
      <c r="QW74" s="148"/>
      <c r="QX74" s="148"/>
      <c r="QY74" s="148" t="s">
        <v>9769</v>
      </c>
      <c r="QZ74" s="148"/>
      <c r="RA74" s="148" t="s">
        <v>9783</v>
      </c>
      <c r="RB74" s="148" t="s">
        <v>9767</v>
      </c>
      <c r="RC74" s="1746"/>
      <c r="RD74" s="148"/>
      <c r="RE74" s="1746"/>
      <c r="RF74" s="148"/>
      <c r="RG74" s="148"/>
      <c r="RH74" s="1746"/>
      <c r="RI74" s="1746"/>
      <c r="RJ74" s="276"/>
      <c r="RK74" s="148"/>
      <c r="RL74" s="148"/>
      <c r="RM74" s="148" t="s">
        <v>9749</v>
      </c>
      <c r="RN74" s="148"/>
      <c r="RO74" s="148"/>
      <c r="RP74" s="148"/>
      <c r="RQ74" s="1746"/>
      <c r="RR74" s="1746"/>
      <c r="RS74" s="1746"/>
      <c r="RT74" s="1746"/>
      <c r="RU74" s="1746"/>
      <c r="RV74" s="1746"/>
      <c r="RW74" s="1746"/>
      <c r="RX74" s="1746"/>
      <c r="RY74" s="1746"/>
      <c r="RZ74" s="148"/>
      <c r="SA74" s="1746" t="s">
        <v>9766</v>
      </c>
      <c r="SB74" s="1746"/>
      <c r="SC74" s="148"/>
      <c r="SD74" s="1746"/>
      <c r="SE74" s="1746"/>
      <c r="SF74" s="1746"/>
      <c r="SG74" s="1746"/>
      <c r="SH74" s="1746"/>
      <c r="SI74" s="1746" t="s">
        <v>9754</v>
      </c>
      <c r="SJ74" s="1746"/>
      <c r="SK74" s="1746"/>
      <c r="SL74" s="1746"/>
    </row>
    <row r="75" ht="15.75" customHeight="1">
      <c r="A75" s="1517"/>
      <c r="B75" s="131"/>
      <c r="C75" s="131"/>
      <c r="D75" s="131"/>
      <c r="E75" s="1739"/>
      <c r="F75" s="1739"/>
      <c r="G75" s="1739"/>
      <c r="H75" s="387"/>
      <c r="I75" s="387"/>
      <c r="J75" s="387"/>
      <c r="K75" s="131"/>
      <c r="L75" s="131"/>
      <c r="M75" s="1740"/>
      <c r="N75" s="1741"/>
      <c r="O75" s="339"/>
      <c r="P75" s="339"/>
      <c r="Q75" s="1741"/>
      <c r="R75" s="1741"/>
      <c r="S75" s="1741"/>
      <c r="T75" s="448"/>
      <c r="U75" s="1741"/>
      <c r="V75" s="1741"/>
      <c r="W75" s="1741"/>
      <c r="X75" s="448"/>
      <c r="Y75" s="448"/>
      <c r="Z75" s="339"/>
      <c r="AA75" s="339"/>
      <c r="AB75" s="339"/>
      <c r="AC75" s="339"/>
      <c r="AD75" s="387"/>
      <c r="AE75" s="387"/>
      <c r="AF75" s="387" t="s">
        <v>9754</v>
      </c>
      <c r="AG75" s="448"/>
      <c r="AH75" s="448"/>
      <c r="AI75" s="448" t="s">
        <v>9767</v>
      </c>
      <c r="AJ75" s="1742"/>
      <c r="AK75" s="1742" t="s">
        <v>9769</v>
      </c>
      <c r="AL75" s="1741"/>
      <c r="AM75" s="339"/>
      <c r="AN75" s="1742"/>
      <c r="AO75" s="159" t="s">
        <v>9774</v>
      </c>
      <c r="AP75" s="448"/>
      <c r="AQ75" s="448"/>
      <c r="AR75" s="387"/>
      <c r="AS75" s="387"/>
      <c r="AT75" s="1739"/>
      <c r="AU75" s="1739"/>
      <c r="AV75" s="1739"/>
      <c r="AW75" s="448"/>
      <c r="AX75" s="448"/>
      <c r="AY75" s="1741"/>
      <c r="AZ75" s="1741"/>
      <c r="BA75" s="339"/>
      <c r="BB75" s="339"/>
      <c r="BC75" s="339"/>
      <c r="BD75" s="387"/>
      <c r="BE75" s="1741"/>
      <c r="BF75" s="1741"/>
      <c r="BG75" s="1741"/>
      <c r="BH75" s="1741"/>
      <c r="BI75" s="387"/>
      <c r="BJ75" s="387"/>
      <c r="BK75" s="387"/>
      <c r="BL75" s="1741"/>
      <c r="BM75" s="1741"/>
      <c r="BN75" s="1741"/>
      <c r="BO75" s="1743"/>
      <c r="BP75" s="1743"/>
      <c r="BQ75" s="1743"/>
      <c r="BR75" s="131"/>
      <c r="BS75" s="131"/>
      <c r="BT75" s="131"/>
      <c r="BU75" s="387"/>
      <c r="BV75" s="387"/>
      <c r="BW75" s="1741"/>
      <c r="BX75" s="1741"/>
      <c r="BY75" s="1741"/>
      <c r="BZ75" s="339"/>
      <c r="CA75" s="339"/>
      <c r="CB75" s="1742"/>
      <c r="CC75" s="1756"/>
      <c r="CD75" s="1743"/>
      <c r="CE75" s="1743"/>
      <c r="CF75" s="1741"/>
      <c r="CG75" s="1741"/>
      <c r="CH75" s="1741"/>
      <c r="CI75" s="1740"/>
      <c r="CJ75" s="1740"/>
      <c r="CK75" s="448"/>
      <c r="CL75" s="448"/>
      <c r="CM75" s="448"/>
      <c r="CN75" s="448"/>
      <c r="CO75" s="448"/>
      <c r="CP75" s="448"/>
      <c r="CQ75" s="448"/>
      <c r="CR75" s="1743"/>
      <c r="CS75" s="339"/>
      <c r="CT75" s="339"/>
      <c r="CU75" s="1739"/>
      <c r="CV75" s="1739"/>
      <c r="CW75" s="1739"/>
      <c r="CX75" s="1739"/>
      <c r="CY75" s="1742"/>
      <c r="CZ75" s="339"/>
      <c r="DA75" s="1741"/>
      <c r="DB75" s="1741"/>
      <c r="DC75" s="1741"/>
      <c r="DD75" s="1741"/>
      <c r="DE75" s="1742"/>
      <c r="DF75" s="448"/>
      <c r="DG75" s="448"/>
      <c r="DH75" s="1743"/>
      <c r="DI75" s="1743" t="s">
        <v>9766</v>
      </c>
      <c r="DJ75" s="1742" t="s">
        <v>9747</v>
      </c>
      <c r="DK75" s="387"/>
      <c r="DL75" s="1741" t="s">
        <v>9769</v>
      </c>
      <c r="DM75" s="387"/>
      <c r="DN75" s="387"/>
      <c r="DO75" s="1739"/>
      <c r="DP75" s="1739"/>
      <c r="DQ75" s="1741"/>
      <c r="DR75" s="448"/>
      <c r="DS75" s="1742"/>
      <c r="DT75" s="131"/>
      <c r="DU75" s="1739"/>
      <c r="DV75" s="339"/>
      <c r="DW75" s="1739"/>
      <c r="DX75" s="1741"/>
      <c r="DY75" s="1741"/>
      <c r="DZ75" s="1739"/>
      <c r="EA75" s="387"/>
      <c r="EB75" s="387"/>
      <c r="EC75" s="448"/>
      <c r="ED75" s="1741"/>
      <c r="EE75" s="387"/>
      <c r="EF75" s="339"/>
      <c r="EG75" s="1739"/>
      <c r="EH75" s="1742"/>
      <c r="EI75" s="387"/>
      <c r="EJ75" s="387"/>
      <c r="EK75" s="1741"/>
      <c r="EL75" s="1741"/>
      <c r="EM75" s="448"/>
      <c r="EN75" s="1744"/>
      <c r="EO75" s="387"/>
      <c r="EP75" s="339"/>
      <c r="EQ75" s="339"/>
      <c r="ER75" s="387"/>
      <c r="ES75" s="387"/>
      <c r="ET75" s="1741" t="s">
        <v>9766</v>
      </c>
      <c r="EU75" s="448" t="s">
        <v>9737</v>
      </c>
      <c r="EV75" s="1742"/>
      <c r="EW75" s="131"/>
      <c r="EX75" s="131"/>
      <c r="EY75" s="131"/>
      <c r="EZ75" s="339"/>
      <c r="FA75" s="339"/>
      <c r="FB75" s="339"/>
      <c r="FC75" s="387"/>
      <c r="FD75" s="387"/>
      <c r="FE75" s="387"/>
      <c r="FF75" s="1741"/>
      <c r="FG75" s="1741"/>
      <c r="FH75" s="1741"/>
      <c r="FI75" s="1741"/>
      <c r="FJ75" s="1739"/>
      <c r="FK75" s="1739"/>
      <c r="FL75" s="131"/>
      <c r="FM75" s="1739"/>
      <c r="FN75" s="448"/>
      <c r="FO75" s="387"/>
      <c r="FP75" s="387"/>
      <c r="FQ75" s="339"/>
      <c r="FR75" s="1742"/>
      <c r="FS75" s="1742"/>
      <c r="FT75" s="1740"/>
      <c r="FU75" s="1740"/>
      <c r="FV75" s="131"/>
      <c r="FW75" s="131"/>
      <c r="FX75" s="1740"/>
      <c r="FY75" s="1742"/>
      <c r="FZ75" s="339"/>
      <c r="GA75" s="131"/>
      <c r="GB75" s="387"/>
      <c r="GC75" s="387"/>
      <c r="GD75" s="1741"/>
      <c r="GE75" s="131"/>
      <c r="GF75" s="1742"/>
      <c r="GG75" s="131"/>
      <c r="GH75" s="387"/>
      <c r="GI75" s="448"/>
      <c r="GJ75" s="339"/>
      <c r="GK75" s="339"/>
      <c r="GL75" s="1739"/>
      <c r="GM75" s="387"/>
      <c r="GN75" s="387"/>
      <c r="GO75" s="448"/>
      <c r="GP75" s="1744"/>
      <c r="GQ75" s="1744"/>
      <c r="GR75" s="1756"/>
      <c r="GS75" s="1743"/>
      <c r="GT75" s="1744"/>
      <c r="GU75" s="387"/>
      <c r="GV75" s="339"/>
      <c r="GW75" s="1743"/>
      <c r="GX75" s="448"/>
      <c r="GY75" s="339"/>
      <c r="GZ75" s="458"/>
      <c r="HA75" s="1743"/>
      <c r="HB75" s="1742"/>
      <c r="HC75" s="448"/>
      <c r="HD75" s="1743"/>
      <c r="HE75" s="1739"/>
      <c r="HF75" s="339"/>
      <c r="HG75" s="387"/>
      <c r="HH75" s="1744"/>
      <c r="HI75" s="1741"/>
      <c r="HJ75" s="1741"/>
      <c r="HK75" s="1739"/>
      <c r="HL75" s="1739"/>
      <c r="HM75" s="1741"/>
      <c r="HN75" s="1741"/>
      <c r="HO75" s="1742"/>
      <c r="HP75" s="1743"/>
      <c r="HQ75" s="1739"/>
      <c r="HR75" s="1739"/>
      <c r="HS75" s="448"/>
      <c r="HT75" s="1743"/>
      <c r="HU75" s="1744"/>
      <c r="HV75" s="1744"/>
      <c r="HW75" s="387"/>
      <c r="HX75" s="387"/>
      <c r="HY75" s="1743"/>
      <c r="HZ75" s="1739"/>
      <c r="IA75" s="1741"/>
      <c r="IB75" s="1740"/>
      <c r="IC75" s="448"/>
      <c r="ID75" s="1741"/>
      <c r="IE75" s="1742"/>
      <c r="IF75" s="339"/>
      <c r="IG75" s="1739"/>
      <c r="IH75" s="1742"/>
      <c r="II75" s="1742" t="s">
        <v>9739</v>
      </c>
      <c r="IJ75" s="339"/>
      <c r="IK75" s="1741"/>
      <c r="IL75" s="387"/>
      <c r="IM75" s="131"/>
      <c r="IN75" s="1743"/>
      <c r="IO75" s="131" t="s">
        <v>9747</v>
      </c>
      <c r="IP75" s="1740" t="s">
        <v>9765</v>
      </c>
      <c r="IQ75" s="1739"/>
      <c r="IR75" s="131"/>
      <c r="IS75" s="131"/>
      <c r="IT75" s="131"/>
      <c r="IU75" s="131"/>
      <c r="IV75" s="1739"/>
      <c r="IW75" s="1739"/>
      <c r="IX75" s="1739"/>
      <c r="IY75" s="387"/>
      <c r="IZ75" s="387"/>
      <c r="JA75" s="387"/>
      <c r="JB75" s="1743"/>
      <c r="JC75" s="1743"/>
      <c r="JD75" s="1741"/>
      <c r="JE75" s="1740"/>
      <c r="JF75" s="1739"/>
      <c r="JG75" s="1740"/>
      <c r="JH75" s="339"/>
      <c r="JI75" s="448"/>
      <c r="JJ75" s="131"/>
      <c r="JK75" s="131"/>
      <c r="JL75" s="131"/>
      <c r="JM75" s="131"/>
      <c r="JN75" s="1741"/>
      <c r="JO75" s="1741"/>
      <c r="JP75" s="1741"/>
      <c r="JQ75" s="387"/>
      <c r="JR75" s="387"/>
      <c r="JS75" s="1740"/>
      <c r="JT75" s="339"/>
      <c r="JU75" s="1740"/>
      <c r="JV75" s="1740"/>
      <c r="JW75" s="1740"/>
      <c r="JX75" s="387"/>
      <c r="JY75" s="387"/>
      <c r="JZ75" s="1741"/>
      <c r="KA75" s="131"/>
      <c r="KB75" s="1741"/>
      <c r="KC75" s="1740"/>
      <c r="KD75" s="1741"/>
      <c r="KE75" s="1743"/>
      <c r="KF75" s="339"/>
      <c r="KG75" s="1741"/>
      <c r="KH75" s="1742"/>
      <c r="KI75" s="387"/>
      <c r="KJ75" s="387"/>
      <c r="KK75" s="339"/>
      <c r="KL75" s="1741"/>
      <c r="KM75" s="387"/>
      <c r="KN75" s="1743"/>
      <c r="KO75" s="1742"/>
      <c r="KP75" s="448"/>
      <c r="KQ75" s="448"/>
      <c r="KR75" s="1744"/>
      <c r="KS75" s="1743"/>
      <c r="KT75" s="1743"/>
      <c r="KU75" s="1743" t="s">
        <v>9747</v>
      </c>
      <c r="KV75" s="387"/>
      <c r="KW75" s="1739"/>
      <c r="KX75" s="131"/>
      <c r="KY75" s="339"/>
      <c r="KZ75" s="339"/>
      <c r="LA75" s="339"/>
      <c r="LB75" s="1743"/>
      <c r="LC75" s="448"/>
      <c r="LD75" s="131"/>
      <c r="LE75" s="131"/>
      <c r="LF75" s="448"/>
      <c r="LG75" s="1739"/>
      <c r="LH75" s="387"/>
      <c r="LI75" s="387"/>
      <c r="LJ75" s="387"/>
      <c r="LK75" s="339"/>
      <c r="LL75" s="1739"/>
      <c r="LM75" s="1741"/>
      <c r="LN75" s="1744"/>
      <c r="LO75" s="448"/>
      <c r="LP75" s="1741"/>
      <c r="LQ75" s="1741"/>
      <c r="LR75" s="131"/>
      <c r="LS75" s="131"/>
      <c r="LT75" s="131"/>
      <c r="LU75" s="131"/>
      <c r="LV75" s="387"/>
      <c r="LW75" s="387"/>
      <c r="LX75" s="1740" t="s">
        <v>9783</v>
      </c>
      <c r="LY75" s="1744"/>
      <c r="LZ75" s="339"/>
      <c r="MA75" s="1739"/>
      <c r="MB75" s="1743"/>
      <c r="MC75" s="387"/>
      <c r="MD75" s="1739"/>
      <c r="ME75" s="1739"/>
      <c r="MF75" s="1741"/>
      <c r="MG75" s="1744"/>
      <c r="MH75" s="448"/>
      <c r="MI75" s="131"/>
      <c r="MJ75" s="1743"/>
      <c r="MK75" s="1743"/>
      <c r="ML75" s="1741"/>
      <c r="MM75" s="1742"/>
      <c r="MN75" s="1740"/>
      <c r="MO75" s="131" t="s">
        <v>9769</v>
      </c>
      <c r="MP75" s="1744"/>
      <c r="MQ75" s="1744"/>
      <c r="MR75" s="1744"/>
      <c r="MS75" s="1744"/>
      <c r="MT75" s="131"/>
      <c r="MU75" s="387"/>
      <c r="MV75" s="1740" t="s">
        <v>9754</v>
      </c>
      <c r="MW75" s="387"/>
      <c r="MX75" s="1743"/>
      <c r="MY75" s="1743"/>
      <c r="MZ75" s="387"/>
      <c r="NA75" s="387"/>
      <c r="NB75" s="387"/>
      <c r="NC75" s="387"/>
      <c r="ND75" s="387"/>
      <c r="NE75" s="1742"/>
      <c r="NF75" s="1743"/>
      <c r="NG75" s="1742"/>
      <c r="NH75" s="387"/>
      <c r="NI75" s="1740"/>
      <c r="NJ75" s="387"/>
      <c r="NK75" s="387"/>
      <c r="NL75" s="387"/>
      <c r="NM75" s="387"/>
      <c r="NN75" s="1741"/>
      <c r="NO75" s="387"/>
      <c r="NP75" s="1743"/>
      <c r="NQ75" s="1739" t="s">
        <v>9765</v>
      </c>
      <c r="NR75" s="387" t="s">
        <v>9765</v>
      </c>
      <c r="NS75" s="387"/>
      <c r="NT75" s="1739"/>
      <c r="NU75" s="131" t="s">
        <v>9761</v>
      </c>
      <c r="NV75" s="339"/>
      <c r="NW75" s="1739" t="s">
        <v>9754</v>
      </c>
      <c r="NX75" s="1739" t="s">
        <v>9754</v>
      </c>
      <c r="NY75" s="1739" t="s">
        <v>9754</v>
      </c>
      <c r="NZ75" s="1739" t="s">
        <v>9754</v>
      </c>
      <c r="OA75" s="131"/>
      <c r="OB75" s="131"/>
      <c r="OC75" s="131"/>
      <c r="OD75" s="1741"/>
      <c r="OE75" s="1741"/>
      <c r="OF75" s="1753"/>
      <c r="OG75" s="387"/>
      <c r="OH75" s="387"/>
      <c r="OI75" s="387"/>
      <c r="OJ75" s="1741"/>
      <c r="OK75" s="1741"/>
      <c r="OL75" s="1741"/>
      <c r="OM75" s="1741"/>
      <c r="ON75" s="1741"/>
      <c r="OO75" s="1739"/>
      <c r="OP75" s="1739"/>
      <c r="OQ75" s="387"/>
      <c r="OR75" s="387"/>
      <c r="OS75" s="387"/>
      <c r="OT75" s="131"/>
      <c r="OU75" s="131"/>
      <c r="OV75" s="387"/>
      <c r="OW75" s="387" t="s">
        <v>9783</v>
      </c>
      <c r="OX75" s="1743"/>
      <c r="OY75" s="1743"/>
      <c r="OZ75" s="131"/>
      <c r="PA75" s="131"/>
      <c r="PB75" s="339"/>
      <c r="PC75" s="1742"/>
      <c r="PD75" s="339"/>
      <c r="PE75" s="339"/>
      <c r="PF75" s="339"/>
      <c r="PG75" s="1740"/>
      <c r="PH75" s="1741"/>
      <c r="PI75" s="1741"/>
      <c r="PJ75" s="1742"/>
      <c r="PK75" s="1742"/>
      <c r="PL75" s="448"/>
      <c r="PM75" s="448"/>
      <c r="PN75" s="448"/>
      <c r="PO75" s="448"/>
      <c r="PP75" s="448"/>
      <c r="PQ75" s="1741"/>
      <c r="PR75" s="1741"/>
      <c r="PS75" s="448"/>
      <c r="PT75" s="1744"/>
      <c r="PU75" s="1743"/>
      <c r="PV75" s="1743"/>
      <c r="PW75" s="339"/>
      <c r="PX75" s="448"/>
      <c r="PY75" s="448"/>
      <c r="PZ75" s="131"/>
      <c r="QA75" s="131"/>
      <c r="QB75" s="1741"/>
      <c r="QC75" s="1742"/>
      <c r="QD75" s="1742"/>
      <c r="QE75" s="1744"/>
      <c r="QF75" s="448"/>
      <c r="QG75" s="387"/>
      <c r="QH75" s="387"/>
      <c r="QI75" s="387"/>
      <c r="QJ75" s="1744"/>
      <c r="QK75" s="387"/>
      <c r="QL75" s="387"/>
      <c r="QM75" s="1741"/>
      <c r="QN75" s="1741"/>
      <c r="QO75" s="448"/>
      <c r="QP75" s="448"/>
      <c r="QQ75" s="387"/>
      <c r="QR75" s="387"/>
      <c r="QS75" s="131"/>
      <c r="QT75" s="387"/>
      <c r="QU75" s="387"/>
      <c r="QV75" s="387"/>
      <c r="QW75" s="1740"/>
      <c r="QX75" s="1740"/>
      <c r="QY75" s="1744"/>
      <c r="QZ75" s="1743"/>
      <c r="RA75" s="1742"/>
      <c r="RB75" s="1743" t="s">
        <v>9761</v>
      </c>
      <c r="RC75" s="387"/>
      <c r="RD75" s="339"/>
      <c r="RE75" s="1739"/>
      <c r="RF75" s="1740"/>
      <c r="RG75" s="131"/>
      <c r="RH75" s="131"/>
      <c r="RI75" s="387"/>
      <c r="RJ75" s="192" t="s">
        <v>9770</v>
      </c>
      <c r="RK75" s="1741"/>
      <c r="RL75" s="1739"/>
      <c r="RM75" s="1740" t="s">
        <v>9757</v>
      </c>
      <c r="RN75" s="1743"/>
      <c r="RO75" s="1744"/>
      <c r="RP75" s="1740"/>
      <c r="RQ75" s="1739"/>
      <c r="RR75" s="1739"/>
      <c r="RS75" s="1739"/>
      <c r="RT75" s="1739"/>
      <c r="RU75" s="1739"/>
      <c r="RV75" s="1739"/>
      <c r="RW75" s="339"/>
      <c r="RX75" s="1742"/>
      <c r="RY75" s="387"/>
      <c r="RZ75" s="1740"/>
      <c r="SA75" s="448" t="s">
        <v>9769</v>
      </c>
      <c r="SB75" s="1741"/>
      <c r="SC75" s="1740"/>
      <c r="SD75" s="1744"/>
      <c r="SE75" s="1744"/>
      <c r="SF75" s="339"/>
      <c r="SG75" s="387"/>
      <c r="SH75" s="387"/>
      <c r="SI75" s="1744" t="s">
        <v>9767</v>
      </c>
      <c r="SJ75" s="131"/>
      <c r="SK75" s="131"/>
      <c r="SL75" s="1743"/>
    </row>
    <row r="76" ht="15.75" customHeight="1">
      <c r="A76" s="1517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 t="s">
        <v>9767</v>
      </c>
      <c r="AG76" s="148"/>
      <c r="AH76" s="148"/>
      <c r="AI76" s="148" t="s">
        <v>9761</v>
      </c>
      <c r="AJ76" s="148"/>
      <c r="AK76" s="148"/>
      <c r="AL76" s="148"/>
      <c r="AM76" s="148"/>
      <c r="AN76" s="148"/>
      <c r="AO76" s="253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59" t="s">
        <v>9771</v>
      </c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  <c r="CT76" s="148"/>
      <c r="CU76" s="148"/>
      <c r="CV76" s="148"/>
      <c r="CW76" s="148"/>
      <c r="CX76" s="148"/>
      <c r="CY76" s="148"/>
      <c r="CZ76" s="148"/>
      <c r="DA76" s="148"/>
      <c r="DB76" s="148"/>
      <c r="DC76" s="148"/>
      <c r="DD76" s="148"/>
      <c r="DE76" s="148"/>
      <c r="DF76" s="148"/>
      <c r="DG76" s="148"/>
      <c r="DH76" s="148"/>
      <c r="DI76" s="148" t="s">
        <v>9769</v>
      </c>
      <c r="DJ76" s="148" t="s">
        <v>9754</v>
      </c>
      <c r="DK76" s="148"/>
      <c r="DL76" s="148" t="s">
        <v>9783</v>
      </c>
      <c r="DM76" s="148"/>
      <c r="DN76" s="148"/>
      <c r="DO76" s="148"/>
      <c r="DP76" s="148"/>
      <c r="DQ76" s="148"/>
      <c r="DR76" s="148"/>
      <c r="DS76" s="148"/>
      <c r="DT76" s="148"/>
      <c r="DU76" s="148"/>
      <c r="DV76" s="148"/>
      <c r="DW76" s="148"/>
      <c r="DX76" s="148"/>
      <c r="DY76" s="148"/>
      <c r="DZ76" s="148"/>
      <c r="EA76" s="148"/>
      <c r="EB76" s="148"/>
      <c r="EC76" s="148"/>
      <c r="ED76" s="148"/>
      <c r="EE76" s="148"/>
      <c r="EF76" s="148"/>
      <c r="EG76" s="148"/>
      <c r="EH76" s="148"/>
      <c r="EI76" s="148"/>
      <c r="EJ76" s="148"/>
      <c r="EK76" s="148"/>
      <c r="EL76" s="148"/>
      <c r="EM76" s="148"/>
      <c r="EN76" s="148"/>
      <c r="EO76" s="148"/>
      <c r="EP76" s="148"/>
      <c r="EQ76" s="148"/>
      <c r="ER76" s="148"/>
      <c r="ES76" s="148"/>
      <c r="ET76" s="148" t="s">
        <v>9768</v>
      </c>
      <c r="EU76" s="148" t="s">
        <v>9760</v>
      </c>
      <c r="EV76" s="148"/>
      <c r="EW76" s="148"/>
      <c r="EX76" s="148"/>
      <c r="EY76" s="148"/>
      <c r="EZ76" s="148"/>
      <c r="FA76" s="148"/>
      <c r="FB76" s="148"/>
      <c r="FC76" s="148"/>
      <c r="FD76" s="148"/>
      <c r="FE76" s="148"/>
      <c r="FF76" s="148"/>
      <c r="FG76" s="148"/>
      <c r="FH76" s="148"/>
      <c r="FI76" s="148"/>
      <c r="FJ76" s="148"/>
      <c r="FK76" s="148"/>
      <c r="FL76" s="148"/>
      <c r="FM76" s="148"/>
      <c r="FN76" s="148"/>
      <c r="FO76" s="148"/>
      <c r="FP76" s="148"/>
      <c r="FQ76" s="148"/>
      <c r="FR76" s="148"/>
      <c r="FS76" s="148"/>
      <c r="FT76" s="148"/>
      <c r="FU76" s="148"/>
      <c r="FV76" s="148"/>
      <c r="FW76" s="148"/>
      <c r="FX76" s="148"/>
      <c r="FY76" s="148"/>
      <c r="FZ76" s="148"/>
      <c r="GA76" s="148"/>
      <c r="GB76" s="148"/>
      <c r="GC76" s="148"/>
      <c r="GD76" s="148"/>
      <c r="GE76" s="148"/>
      <c r="GF76" s="148"/>
      <c r="GG76" s="148"/>
      <c r="GH76" s="148"/>
      <c r="GI76" s="148"/>
      <c r="GJ76" s="148"/>
      <c r="GK76" s="148"/>
      <c r="GL76" s="148"/>
      <c r="GM76" s="148"/>
      <c r="GN76" s="148"/>
      <c r="GO76" s="148"/>
      <c r="GP76" s="148"/>
      <c r="GQ76" s="148"/>
      <c r="GR76" s="159" t="s">
        <v>9771</v>
      </c>
      <c r="GS76" s="148"/>
      <c r="GT76" s="148"/>
      <c r="GU76" s="148"/>
      <c r="GV76" s="148"/>
      <c r="GW76" s="148"/>
      <c r="GX76" s="148"/>
      <c r="GY76" s="148"/>
      <c r="GZ76" s="148"/>
      <c r="HA76" s="148"/>
      <c r="HB76" s="148"/>
      <c r="HC76" s="148"/>
      <c r="HD76" s="148"/>
      <c r="HE76" s="148"/>
      <c r="HF76" s="148"/>
      <c r="HG76" s="148"/>
      <c r="HH76" s="148"/>
      <c r="HI76" s="148"/>
      <c r="HJ76" s="148"/>
      <c r="HK76" s="148"/>
      <c r="HL76" s="148"/>
      <c r="HM76" s="148"/>
      <c r="HN76" s="148"/>
      <c r="HO76" s="148"/>
      <c r="HP76" s="148"/>
      <c r="HQ76" s="148"/>
      <c r="HR76" s="148"/>
      <c r="HS76" s="148"/>
      <c r="HT76" s="148"/>
      <c r="HU76" s="148"/>
      <c r="HV76" s="148"/>
      <c r="HW76" s="148"/>
      <c r="HX76" s="148"/>
      <c r="HY76" s="148"/>
      <c r="HZ76" s="148"/>
      <c r="IA76" s="148"/>
      <c r="IB76" s="148"/>
      <c r="IC76" s="148"/>
      <c r="ID76" s="148"/>
      <c r="IE76" s="148"/>
      <c r="IF76" s="148"/>
      <c r="IG76" s="148"/>
      <c r="IH76" s="148"/>
      <c r="II76" s="148" t="s">
        <v>9757</v>
      </c>
      <c r="IJ76" s="148"/>
      <c r="IK76" s="148"/>
      <c r="IL76" s="148"/>
      <c r="IM76" s="148"/>
      <c r="IN76" s="148"/>
      <c r="IO76" s="148" t="s">
        <v>9754</v>
      </c>
      <c r="IP76" s="276"/>
      <c r="IQ76" s="148"/>
      <c r="IR76" s="148"/>
      <c r="IS76" s="148"/>
      <c r="IT76" s="148"/>
      <c r="IU76" s="148"/>
      <c r="IV76" s="148"/>
      <c r="IW76" s="148"/>
      <c r="IX76" s="148"/>
      <c r="IY76" s="148"/>
      <c r="IZ76" s="148"/>
      <c r="JA76" s="148"/>
      <c r="JB76" s="148"/>
      <c r="JC76" s="148"/>
      <c r="JD76" s="148"/>
      <c r="JE76" s="148"/>
      <c r="JF76" s="148"/>
      <c r="JG76" s="148"/>
      <c r="JH76" s="148"/>
      <c r="JI76" s="148"/>
      <c r="JJ76" s="148"/>
      <c r="JK76" s="1746"/>
      <c r="JL76" s="1746"/>
      <c r="JM76" s="1746"/>
      <c r="JN76" s="1746"/>
      <c r="JO76" s="1746"/>
      <c r="JP76" s="1746"/>
      <c r="JQ76" s="1746"/>
      <c r="JR76" s="1746"/>
      <c r="JS76" s="148"/>
      <c r="JT76" s="148"/>
      <c r="JU76" s="148"/>
      <c r="JV76" s="148"/>
      <c r="JW76" s="148"/>
      <c r="JX76" s="1746"/>
      <c r="JY76" s="1746"/>
      <c r="JZ76" s="1746"/>
      <c r="KA76" s="1746"/>
      <c r="KB76" s="1746"/>
      <c r="KC76" s="148"/>
      <c r="KD76" s="1746"/>
      <c r="KE76" s="1746"/>
      <c r="KF76" s="148"/>
      <c r="KG76" s="1746"/>
      <c r="KH76" s="1746"/>
      <c r="KI76" s="1746"/>
      <c r="KJ76" s="148"/>
      <c r="KK76" s="1746"/>
      <c r="KL76" s="1746"/>
      <c r="KM76" s="1746"/>
      <c r="KN76" s="1746"/>
      <c r="KO76" s="148"/>
      <c r="KP76" s="1746"/>
      <c r="KQ76" s="148"/>
      <c r="KR76" s="148"/>
      <c r="KS76" s="1746"/>
      <c r="KT76" s="1746"/>
      <c r="KU76" s="148" t="s">
        <v>9754</v>
      </c>
      <c r="KV76" s="1746"/>
      <c r="KW76" s="148"/>
      <c r="KX76" s="1746"/>
      <c r="KY76" s="1746"/>
      <c r="KZ76" s="1746"/>
      <c r="LA76" s="1746"/>
      <c r="LB76" s="1746"/>
      <c r="LC76" s="1746"/>
      <c r="LD76" s="148"/>
      <c r="LE76" s="1746"/>
      <c r="LF76" s="1746"/>
      <c r="LG76" s="1746"/>
      <c r="LH76" s="148"/>
      <c r="LI76" s="1746"/>
      <c r="LJ76" s="1746"/>
      <c r="LK76" s="1746"/>
      <c r="LL76" s="1746"/>
      <c r="LM76" s="1746"/>
      <c r="LN76" s="1746"/>
      <c r="LO76" s="1746"/>
      <c r="LP76" s="148"/>
      <c r="LQ76" s="1746"/>
      <c r="LR76" s="1746"/>
      <c r="LS76" s="148"/>
      <c r="LT76" s="1746"/>
      <c r="LU76" s="148"/>
      <c r="LV76" s="1746"/>
      <c r="LW76" s="148"/>
      <c r="LX76" s="148"/>
      <c r="LY76" s="1746"/>
      <c r="LZ76" s="1746"/>
      <c r="MA76" s="1746"/>
      <c r="MB76" s="1746"/>
      <c r="MC76" s="148"/>
      <c r="MD76" s="1746"/>
      <c r="ME76" s="1746"/>
      <c r="MF76" s="1746"/>
      <c r="MG76" s="148"/>
      <c r="MH76" s="1746"/>
      <c r="MI76" s="1746"/>
      <c r="MJ76" s="1746"/>
      <c r="MK76" s="1746"/>
      <c r="ML76" s="1746"/>
      <c r="MM76" s="148"/>
      <c r="MN76" s="148"/>
      <c r="MO76" s="148"/>
      <c r="MP76" s="1746"/>
      <c r="MQ76" s="1746"/>
      <c r="MR76" s="1746"/>
      <c r="MS76" s="148"/>
      <c r="MT76" s="148"/>
      <c r="MU76" s="1746"/>
      <c r="MV76" s="148" t="s">
        <v>9767</v>
      </c>
      <c r="MW76" s="1746"/>
      <c r="MX76" s="1746"/>
      <c r="MY76" s="148"/>
      <c r="MZ76" s="1746"/>
      <c r="NA76" s="1746"/>
      <c r="NB76" s="148"/>
      <c r="NC76" s="1746"/>
      <c r="ND76" s="1746"/>
      <c r="NE76" s="1746"/>
      <c r="NF76" s="148"/>
      <c r="NG76" s="1746"/>
      <c r="NH76" s="1746"/>
      <c r="NI76" s="148"/>
      <c r="NJ76" s="148"/>
      <c r="NK76" s="1746"/>
      <c r="NL76" s="1746"/>
      <c r="NM76" s="1746"/>
      <c r="NN76" s="1746"/>
      <c r="NO76" s="1746"/>
      <c r="NP76" s="1746"/>
      <c r="NQ76" s="1746"/>
      <c r="NR76" s="1746"/>
      <c r="NS76" s="1746"/>
      <c r="NT76" s="1746"/>
      <c r="NU76" s="1746" t="s">
        <v>9766</v>
      </c>
      <c r="NV76" s="1746"/>
      <c r="NW76" s="1746" t="s">
        <v>9762</v>
      </c>
      <c r="NX76" s="1746" t="s">
        <v>9762</v>
      </c>
      <c r="NY76" s="1746" t="s">
        <v>9762</v>
      </c>
      <c r="NZ76" s="1746" t="s">
        <v>9762</v>
      </c>
      <c r="OA76" s="1746"/>
      <c r="OB76" s="1746"/>
      <c r="OC76" s="1746"/>
      <c r="OD76" s="1746"/>
      <c r="OE76" s="1746"/>
      <c r="OF76" s="1759" t="s">
        <v>9793</v>
      </c>
      <c r="OG76" s="1746"/>
      <c r="OH76" s="1746"/>
      <c r="OI76" s="1746"/>
      <c r="OJ76" s="1746"/>
      <c r="OK76" s="1746"/>
      <c r="OL76" s="1746"/>
      <c r="OM76" s="1746"/>
      <c r="ON76" s="1746"/>
      <c r="OO76" s="1746"/>
      <c r="OP76" s="148"/>
      <c r="OQ76" s="1746"/>
      <c r="OR76" s="1746"/>
      <c r="OS76" s="1746"/>
      <c r="OT76" s="1746"/>
      <c r="OU76" s="1746"/>
      <c r="OV76" s="1746"/>
      <c r="OW76" s="1746"/>
      <c r="OX76" s="1746"/>
      <c r="OY76" s="1746"/>
      <c r="OZ76" s="1746"/>
      <c r="PA76" s="1746"/>
      <c r="PB76" s="1746"/>
      <c r="PC76" s="1746"/>
      <c r="PD76" s="1746"/>
      <c r="PE76" s="1746"/>
      <c r="PF76" s="1746"/>
      <c r="PG76" s="148"/>
      <c r="PH76" s="1746"/>
      <c r="PI76" s="1746"/>
      <c r="PJ76" s="1746"/>
      <c r="PK76" s="1746"/>
      <c r="PL76" s="1746"/>
      <c r="PM76" s="1746"/>
      <c r="PN76" s="1746"/>
      <c r="PO76" s="1746"/>
      <c r="PP76" s="1746"/>
      <c r="PQ76" s="1746"/>
      <c r="PR76" s="148"/>
      <c r="PS76" s="1746"/>
      <c r="PT76" s="1746"/>
      <c r="PU76" s="1746"/>
      <c r="PV76" s="1746"/>
      <c r="PW76" s="1746"/>
      <c r="PX76" s="1746"/>
      <c r="PY76" s="148"/>
      <c r="PZ76" s="1746"/>
      <c r="QA76" s="1746"/>
      <c r="QB76" s="1746"/>
      <c r="QC76" s="1746"/>
      <c r="QD76" s="1746"/>
      <c r="QE76" s="1746"/>
      <c r="QF76" s="1746"/>
      <c r="QG76" s="1746"/>
      <c r="QH76" s="1746"/>
      <c r="QI76" s="1746"/>
      <c r="QJ76" s="1746"/>
      <c r="QK76" s="1746"/>
      <c r="QL76" s="148"/>
      <c r="QM76" s="1746"/>
      <c r="QN76" s="1746"/>
      <c r="QO76" s="1746"/>
      <c r="QP76" s="1746"/>
      <c r="QQ76" s="1746"/>
      <c r="QR76" s="1746"/>
      <c r="QS76" s="1746"/>
      <c r="QT76" s="1746"/>
      <c r="QU76" s="1746"/>
      <c r="QV76" s="1746"/>
      <c r="QW76" s="148"/>
      <c r="QX76" s="148"/>
      <c r="QY76" s="148"/>
      <c r="QZ76" s="148"/>
      <c r="RA76" s="148"/>
      <c r="RB76" s="148" t="s">
        <v>9766</v>
      </c>
      <c r="RC76" s="1746"/>
      <c r="RD76" s="148"/>
      <c r="RE76" s="1746"/>
      <c r="RF76" s="148"/>
      <c r="RG76" s="148"/>
      <c r="RH76" s="1746"/>
      <c r="RI76" s="1746"/>
      <c r="RJ76" s="235" t="s">
        <v>9779</v>
      </c>
      <c r="RK76" s="148"/>
      <c r="RL76" s="148"/>
      <c r="RM76" s="148" t="s">
        <v>9747</v>
      </c>
      <c r="RN76" s="148"/>
      <c r="RO76" s="148"/>
      <c r="RP76" s="148"/>
      <c r="RQ76" s="1746"/>
      <c r="RR76" s="1746"/>
      <c r="RS76" s="1746"/>
      <c r="RT76" s="1746"/>
      <c r="RU76" s="1746"/>
      <c r="RV76" s="1746"/>
      <c r="RW76" s="1746"/>
      <c r="RX76" s="1746"/>
      <c r="RY76" s="1746"/>
      <c r="RZ76" s="148"/>
      <c r="SA76" s="1746"/>
      <c r="SB76" s="1746"/>
      <c r="SC76" s="148"/>
      <c r="SD76" s="1746"/>
      <c r="SE76" s="1746"/>
      <c r="SF76" s="1746"/>
      <c r="SG76" s="1746"/>
      <c r="SH76" s="1746"/>
      <c r="SI76" s="1746" t="s">
        <v>9766</v>
      </c>
      <c r="SJ76" s="1746"/>
      <c r="SK76" s="1746"/>
      <c r="SL76" s="1746"/>
    </row>
    <row r="77" ht="15.75" customHeight="1">
      <c r="A77" s="1517"/>
      <c r="B77" s="131"/>
      <c r="C77" s="131"/>
      <c r="D77" s="131"/>
      <c r="E77" s="1739"/>
      <c r="F77" s="1739"/>
      <c r="G77" s="1739"/>
      <c r="H77" s="387"/>
      <c r="I77" s="387"/>
      <c r="J77" s="387"/>
      <c r="K77" s="131"/>
      <c r="L77" s="131"/>
      <c r="M77" s="1740"/>
      <c r="N77" s="1741"/>
      <c r="O77" s="339"/>
      <c r="P77" s="339"/>
      <c r="Q77" s="1741"/>
      <c r="R77" s="1741"/>
      <c r="S77" s="1741"/>
      <c r="T77" s="448"/>
      <c r="U77" s="1741"/>
      <c r="V77" s="1741"/>
      <c r="W77" s="1741"/>
      <c r="X77" s="448"/>
      <c r="Y77" s="448"/>
      <c r="Z77" s="339"/>
      <c r="AA77" s="339"/>
      <c r="AB77" s="339"/>
      <c r="AC77" s="339"/>
      <c r="AD77" s="387"/>
      <c r="AE77" s="387"/>
      <c r="AF77" s="387" t="s">
        <v>9761</v>
      </c>
      <c r="AG77" s="448"/>
      <c r="AH77" s="448"/>
      <c r="AI77" s="448" t="s">
        <v>9766</v>
      </c>
      <c r="AJ77" s="1742"/>
      <c r="AK77" s="1742"/>
      <c r="AL77" s="1741"/>
      <c r="AM77" s="339"/>
      <c r="AN77" s="1742"/>
      <c r="AO77" s="1742"/>
      <c r="AP77" s="448"/>
      <c r="AQ77" s="448"/>
      <c r="AR77" s="387"/>
      <c r="AS77" s="387"/>
      <c r="AT77" s="1739"/>
      <c r="AU77" s="1739"/>
      <c r="AV77" s="1739"/>
      <c r="AW77" s="448"/>
      <c r="AX77" s="448"/>
      <c r="AY77" s="1741"/>
      <c r="AZ77" s="1741"/>
      <c r="BA77" s="339"/>
      <c r="BB77" s="339"/>
      <c r="BC77" s="339"/>
      <c r="BD77" s="387"/>
      <c r="BE77" s="1741"/>
      <c r="BF77" s="1741"/>
      <c r="BG77" s="1741"/>
      <c r="BH77" s="1741"/>
      <c r="BI77" s="387"/>
      <c r="BJ77" s="387"/>
      <c r="BK77" s="387"/>
      <c r="BL77" s="1741"/>
      <c r="BM77" s="1741"/>
      <c r="BN77" s="1741"/>
      <c r="BO77" s="1743"/>
      <c r="BP77" s="1743"/>
      <c r="BQ77" s="1743"/>
      <c r="BR77" s="131"/>
      <c r="BS77" s="131"/>
      <c r="BT77" s="131"/>
      <c r="BU77" s="387"/>
      <c r="BV77" s="387"/>
      <c r="BW77" s="1741"/>
      <c r="BX77" s="1741"/>
      <c r="BY77" s="1741"/>
      <c r="BZ77" s="339"/>
      <c r="CA77" s="339"/>
      <c r="CB77" s="1742"/>
      <c r="CC77" s="1762"/>
      <c r="CD77" s="1743"/>
      <c r="CE77" s="1743"/>
      <c r="CF77" s="1741"/>
      <c r="CG77" s="1741"/>
      <c r="CH77" s="1741"/>
      <c r="CI77" s="1740"/>
      <c r="CJ77" s="1740"/>
      <c r="CK77" s="448"/>
      <c r="CL77" s="448"/>
      <c r="CM77" s="448"/>
      <c r="CN77" s="448"/>
      <c r="CO77" s="448"/>
      <c r="CP77" s="448"/>
      <c r="CQ77" s="448"/>
      <c r="CR77" s="1743"/>
      <c r="CS77" s="339"/>
      <c r="CT77" s="339"/>
      <c r="CU77" s="1739"/>
      <c r="CV77" s="1739"/>
      <c r="CW77" s="1739"/>
      <c r="CX77" s="1739"/>
      <c r="CY77" s="1742"/>
      <c r="CZ77" s="339"/>
      <c r="DA77" s="1741"/>
      <c r="DB77" s="1741"/>
      <c r="DC77" s="1741"/>
      <c r="DD77" s="1741"/>
      <c r="DE77" s="1742"/>
      <c r="DF77" s="448"/>
      <c r="DG77" s="448"/>
      <c r="DH77" s="1743"/>
      <c r="DI77" s="1743" t="s">
        <v>9783</v>
      </c>
      <c r="DJ77" s="1742" t="s">
        <v>9766</v>
      </c>
      <c r="DK77" s="387"/>
      <c r="DL77" s="1741"/>
      <c r="DM77" s="387"/>
      <c r="DN77" s="387"/>
      <c r="DO77" s="1739"/>
      <c r="DP77" s="1739"/>
      <c r="DQ77" s="1741"/>
      <c r="DR77" s="448"/>
      <c r="DS77" s="1742"/>
      <c r="DT77" s="131"/>
      <c r="DU77" s="1739"/>
      <c r="DV77" s="339"/>
      <c r="DW77" s="1739"/>
      <c r="DX77" s="1741"/>
      <c r="DY77" s="1741"/>
      <c r="DZ77" s="1739"/>
      <c r="EA77" s="387"/>
      <c r="EB77" s="387"/>
      <c r="EC77" s="448"/>
      <c r="ED77" s="1741"/>
      <c r="EE77" s="387"/>
      <c r="EF77" s="339"/>
      <c r="EG77" s="1739"/>
      <c r="EH77" s="1742"/>
      <c r="EI77" s="387"/>
      <c r="EJ77" s="387"/>
      <c r="EK77" s="1741"/>
      <c r="EL77" s="1741"/>
      <c r="EM77" s="448"/>
      <c r="EN77" s="1744"/>
      <c r="EO77" s="387"/>
      <c r="EP77" s="339"/>
      <c r="EQ77" s="339"/>
      <c r="ER77" s="387"/>
      <c r="ES77" s="387"/>
      <c r="ET77" s="1741" t="s">
        <v>9769</v>
      </c>
      <c r="EU77" s="448" t="s">
        <v>9756</v>
      </c>
      <c r="EV77" s="1742"/>
      <c r="EW77" s="131"/>
      <c r="EX77" s="131"/>
      <c r="EY77" s="131"/>
      <c r="EZ77" s="339"/>
      <c r="FA77" s="339"/>
      <c r="FB77" s="339"/>
      <c r="FC77" s="387"/>
      <c r="FD77" s="387"/>
      <c r="FE77" s="387"/>
      <c r="FF77" s="1741"/>
      <c r="FG77" s="1741"/>
      <c r="FH77" s="1741"/>
      <c r="FI77" s="1741"/>
      <c r="FJ77" s="1739"/>
      <c r="FK77" s="1739"/>
      <c r="FL77" s="131"/>
      <c r="FM77" s="1739"/>
      <c r="FN77" s="448"/>
      <c r="FO77" s="387"/>
      <c r="FP77" s="387"/>
      <c r="FQ77" s="339"/>
      <c r="FR77" s="1742"/>
      <c r="FS77" s="1742"/>
      <c r="FT77" s="1740"/>
      <c r="FU77" s="1740"/>
      <c r="FV77" s="131"/>
      <c r="FW77" s="131"/>
      <c r="FX77" s="1740"/>
      <c r="FY77" s="1742"/>
      <c r="FZ77" s="339"/>
      <c r="GA77" s="131"/>
      <c r="GB77" s="387"/>
      <c r="GC77" s="387"/>
      <c r="GD77" s="1741"/>
      <c r="GE77" s="131"/>
      <c r="GF77" s="1742"/>
      <c r="GG77" s="131"/>
      <c r="GH77" s="387"/>
      <c r="GI77" s="448"/>
      <c r="GJ77" s="339"/>
      <c r="GK77" s="339"/>
      <c r="GL77" s="1739"/>
      <c r="GM77" s="387"/>
      <c r="GN77" s="387"/>
      <c r="GO77" s="448"/>
      <c r="GP77" s="1744"/>
      <c r="GQ77" s="1744"/>
      <c r="GR77" s="1762"/>
      <c r="GS77" s="1743"/>
      <c r="GT77" s="1744"/>
      <c r="GU77" s="387"/>
      <c r="GV77" s="339"/>
      <c r="GW77" s="1743"/>
      <c r="GX77" s="448"/>
      <c r="GY77" s="339"/>
      <c r="GZ77" s="448"/>
      <c r="HA77" s="1743"/>
      <c r="HB77" s="1742"/>
      <c r="HC77" s="448"/>
      <c r="HD77" s="1743"/>
      <c r="HE77" s="1739"/>
      <c r="HF77" s="339"/>
      <c r="HG77" s="387"/>
      <c r="HH77" s="1744"/>
      <c r="HI77" s="1741"/>
      <c r="HJ77" s="1741"/>
      <c r="HK77" s="1739"/>
      <c r="HL77" s="1739"/>
      <c r="HM77" s="1741"/>
      <c r="HN77" s="1741"/>
      <c r="HO77" s="1742"/>
      <c r="HP77" s="1743"/>
      <c r="HQ77" s="1739"/>
      <c r="HR77" s="1739"/>
      <c r="HS77" s="448"/>
      <c r="HT77" s="1743"/>
      <c r="HU77" s="1744"/>
      <c r="HV77" s="1744"/>
      <c r="HW77" s="387"/>
      <c r="HX77" s="387"/>
      <c r="HY77" s="1743"/>
      <c r="HZ77" s="1739"/>
      <c r="IA77" s="1741"/>
      <c r="IB77" s="1740"/>
      <c r="IC77" s="448"/>
      <c r="ID77" s="1741"/>
      <c r="IE77" s="1742"/>
      <c r="IF77" s="339"/>
      <c r="IG77" s="1739"/>
      <c r="IH77" s="1742"/>
      <c r="II77" s="1742" t="s">
        <v>9747</v>
      </c>
      <c r="IJ77" s="339"/>
      <c r="IK77" s="1741"/>
      <c r="IL77" s="387"/>
      <c r="IM77" s="131"/>
      <c r="IN77" s="1743"/>
      <c r="IO77" s="131" t="s">
        <v>9767</v>
      </c>
      <c r="IP77" s="159" t="s">
        <v>9774</v>
      </c>
      <c r="IQ77" s="1739"/>
      <c r="IR77" s="131"/>
      <c r="IS77" s="131"/>
      <c r="IT77" s="131"/>
      <c r="IU77" s="131"/>
      <c r="IV77" s="1739"/>
      <c r="IW77" s="1739"/>
      <c r="IX77" s="1739"/>
      <c r="IY77" s="387"/>
      <c r="IZ77" s="387"/>
      <c r="JA77" s="387"/>
      <c r="JB77" s="1743"/>
      <c r="JC77" s="1743"/>
      <c r="JD77" s="1741"/>
      <c r="JE77" s="1740"/>
      <c r="JF77" s="1739"/>
      <c r="JG77" s="1740"/>
      <c r="JH77" s="339"/>
      <c r="JI77" s="448"/>
      <c r="JJ77" s="131"/>
      <c r="JK77" s="131"/>
      <c r="JL77" s="131"/>
      <c r="JM77" s="131"/>
      <c r="JN77" s="1741"/>
      <c r="JO77" s="1741"/>
      <c r="JP77" s="1741"/>
      <c r="JQ77" s="387"/>
      <c r="JR77" s="387"/>
      <c r="JS77" s="1740"/>
      <c r="JT77" s="339"/>
      <c r="JU77" s="1740"/>
      <c r="JV77" s="1740"/>
      <c r="JW77" s="1740"/>
      <c r="JX77" s="387"/>
      <c r="JY77" s="387"/>
      <c r="JZ77" s="1741"/>
      <c r="KA77" s="131"/>
      <c r="KB77" s="1741"/>
      <c r="KC77" s="1740"/>
      <c r="KD77" s="1741"/>
      <c r="KE77" s="1743"/>
      <c r="KF77" s="339"/>
      <c r="KG77" s="1741"/>
      <c r="KH77" s="1742"/>
      <c r="KI77" s="387"/>
      <c r="KJ77" s="387"/>
      <c r="KK77" s="339"/>
      <c r="KL77" s="1741"/>
      <c r="KM77" s="387"/>
      <c r="KN77" s="1743"/>
      <c r="KO77" s="1742"/>
      <c r="KP77" s="448"/>
      <c r="KQ77" s="448"/>
      <c r="KR77" s="1744"/>
      <c r="KS77" s="1743"/>
      <c r="KT77" s="1743"/>
      <c r="KU77" s="1743" t="s">
        <v>9762</v>
      </c>
      <c r="KV77" s="387"/>
      <c r="KW77" s="1739"/>
      <c r="KX77" s="131"/>
      <c r="KY77" s="339"/>
      <c r="KZ77" s="339"/>
      <c r="LA77" s="339"/>
      <c r="LB77" s="1743"/>
      <c r="LC77" s="448"/>
      <c r="LD77" s="131"/>
      <c r="LE77" s="131"/>
      <c r="LF77" s="448"/>
      <c r="LG77" s="1739"/>
      <c r="LH77" s="387"/>
      <c r="LI77" s="387"/>
      <c r="LJ77" s="387"/>
      <c r="LK77" s="339"/>
      <c r="LL77" s="1739"/>
      <c r="LM77" s="1741"/>
      <c r="LN77" s="1744"/>
      <c r="LO77" s="448"/>
      <c r="LP77" s="1741"/>
      <c r="LQ77" s="1741"/>
      <c r="LR77" s="131"/>
      <c r="LS77" s="131"/>
      <c r="LT77" s="131"/>
      <c r="LU77" s="131"/>
      <c r="LV77" s="387"/>
      <c r="LW77" s="387"/>
      <c r="LX77" s="1740"/>
      <c r="LY77" s="1744"/>
      <c r="LZ77" s="339"/>
      <c r="MA77" s="1739"/>
      <c r="MB77" s="1743"/>
      <c r="MC77" s="387"/>
      <c r="MD77" s="1739"/>
      <c r="ME77" s="1739"/>
      <c r="MF77" s="1741"/>
      <c r="MG77" s="1744"/>
      <c r="MH77" s="448"/>
      <c r="MI77" s="131"/>
      <c r="MJ77" s="1743"/>
      <c r="MK77" s="1743"/>
      <c r="ML77" s="1741"/>
      <c r="MM77" s="1742"/>
      <c r="MN77" s="1740"/>
      <c r="MO77" s="131"/>
      <c r="MP77" s="1744"/>
      <c r="MQ77" s="1744"/>
      <c r="MR77" s="1744"/>
      <c r="MS77" s="1744"/>
      <c r="MT77" s="131"/>
      <c r="MU77" s="387"/>
      <c r="MV77" s="1740" t="s">
        <v>9766</v>
      </c>
      <c r="MW77" s="387"/>
      <c r="MX77" s="1743"/>
      <c r="MY77" s="1743"/>
      <c r="MZ77" s="387"/>
      <c r="NA77" s="387"/>
      <c r="NB77" s="387"/>
      <c r="NC77" s="387"/>
      <c r="ND77" s="387"/>
      <c r="NE77" s="1742"/>
      <c r="NF77" s="1743"/>
      <c r="NG77" s="1742"/>
      <c r="NH77" s="387"/>
      <c r="NI77" s="1740"/>
      <c r="NJ77" s="387"/>
      <c r="NK77" s="387"/>
      <c r="NL77" s="387"/>
      <c r="NM77" s="387"/>
      <c r="NN77" s="1741"/>
      <c r="NO77" s="387"/>
      <c r="NP77" s="1743"/>
      <c r="NQ77" s="1739"/>
      <c r="NR77" s="387"/>
      <c r="NS77" s="387"/>
      <c r="NT77" s="1739"/>
      <c r="NU77" s="131" t="s">
        <v>9769</v>
      </c>
      <c r="NV77" s="339"/>
      <c r="NW77" s="1739" t="s">
        <v>9784</v>
      </c>
      <c r="NX77" s="1739" t="s">
        <v>9784</v>
      </c>
      <c r="NY77" s="1739" t="s">
        <v>9784</v>
      </c>
      <c r="NZ77" s="1739" t="s">
        <v>9784</v>
      </c>
      <c r="OA77" s="131"/>
      <c r="OB77" s="131"/>
      <c r="OC77" s="131"/>
      <c r="OD77" s="1741"/>
      <c r="OE77" s="1741"/>
      <c r="OF77" s="1752"/>
      <c r="OG77" s="387"/>
      <c r="OH77" s="387"/>
      <c r="OI77" s="387"/>
      <c r="OJ77" s="1741"/>
      <c r="OK77" s="1741"/>
      <c r="OL77" s="1741"/>
      <c r="OM77" s="1741"/>
      <c r="ON77" s="1741"/>
      <c r="OO77" s="1739"/>
      <c r="OP77" s="1739"/>
      <c r="OQ77" s="387"/>
      <c r="OR77" s="387"/>
      <c r="OS77" s="387"/>
      <c r="OT77" s="131"/>
      <c r="OU77" s="131"/>
      <c r="OV77" s="387"/>
      <c r="OW77" s="387"/>
      <c r="OX77" s="1743"/>
      <c r="OY77" s="1743"/>
      <c r="OZ77" s="131"/>
      <c r="PA77" s="131"/>
      <c r="PB77" s="339"/>
      <c r="PC77" s="1742"/>
      <c r="PD77" s="339"/>
      <c r="PE77" s="339"/>
      <c r="PF77" s="339"/>
      <c r="PG77" s="1740"/>
      <c r="PH77" s="1741"/>
      <c r="PI77" s="1741"/>
      <c r="PJ77" s="1742"/>
      <c r="PK77" s="1742"/>
      <c r="PL77" s="448"/>
      <c r="PM77" s="448"/>
      <c r="PN77" s="448"/>
      <c r="PO77" s="448"/>
      <c r="PP77" s="448"/>
      <c r="PQ77" s="1741"/>
      <c r="PR77" s="1741"/>
      <c r="PS77" s="448"/>
      <c r="PT77" s="1744"/>
      <c r="PU77" s="1743"/>
      <c r="PV77" s="1743"/>
      <c r="PW77" s="339"/>
      <c r="PX77" s="448"/>
      <c r="PY77" s="448"/>
      <c r="PZ77" s="131"/>
      <c r="QA77" s="131"/>
      <c r="QB77" s="1741"/>
      <c r="QC77" s="1742"/>
      <c r="QD77" s="1742"/>
      <c r="QE77" s="1744"/>
      <c r="QF77" s="448"/>
      <c r="QG77" s="387"/>
      <c r="QH77" s="387"/>
      <c r="QI77" s="387"/>
      <c r="QJ77" s="1744"/>
      <c r="QK77" s="387"/>
      <c r="QL77" s="387"/>
      <c r="QM77" s="1741"/>
      <c r="QN77" s="1741"/>
      <c r="QO77" s="448"/>
      <c r="QP77" s="448"/>
      <c r="QQ77" s="387"/>
      <c r="QR77" s="387"/>
      <c r="QS77" s="131"/>
      <c r="QT77" s="387"/>
      <c r="QU77" s="387"/>
      <c r="QV77" s="387"/>
      <c r="QW77" s="1740"/>
      <c r="QX77" s="1740"/>
      <c r="QY77" s="1744"/>
      <c r="QZ77" s="1743"/>
      <c r="RA77" s="1742"/>
      <c r="RB77" s="1743" t="s">
        <v>9769</v>
      </c>
      <c r="RC77" s="387"/>
      <c r="RD77" s="339"/>
      <c r="RE77" s="1739"/>
      <c r="RF77" s="1740"/>
      <c r="RG77" s="131"/>
      <c r="RH77" s="131"/>
      <c r="RI77" s="387"/>
      <c r="RJ77" s="193" t="s">
        <v>9783</v>
      </c>
      <c r="RK77" s="1741"/>
      <c r="RL77" s="1739"/>
      <c r="RM77" s="1740" t="s">
        <v>9754</v>
      </c>
      <c r="RN77" s="1743"/>
      <c r="RO77" s="1744"/>
      <c r="RP77" s="1740"/>
      <c r="RQ77" s="1739"/>
      <c r="RR77" s="1739"/>
      <c r="RS77" s="1739"/>
      <c r="RT77" s="1739"/>
      <c r="RU77" s="1739"/>
      <c r="RV77" s="1739"/>
      <c r="RW77" s="339"/>
      <c r="RX77" s="1742"/>
      <c r="RY77" s="387"/>
      <c r="RZ77" s="1740"/>
      <c r="SA77" s="448"/>
      <c r="SB77" s="1741"/>
      <c r="SC77" s="1740"/>
      <c r="SD77" s="1744"/>
      <c r="SE77" s="1744"/>
      <c r="SF77" s="339"/>
      <c r="SG77" s="387"/>
      <c r="SH77" s="387"/>
      <c r="SI77" s="1744" t="s">
        <v>9769</v>
      </c>
      <c r="SJ77" s="131"/>
      <c r="SK77" s="131"/>
      <c r="SL77" s="1743"/>
    </row>
    <row r="78" ht="15.75" customHeight="1">
      <c r="A78" s="1517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 t="s">
        <v>9766</v>
      </c>
      <c r="AG78" s="148"/>
      <c r="AH78" s="148"/>
      <c r="AI78" s="148" t="s">
        <v>9769</v>
      </c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  <c r="DI78" s="148"/>
      <c r="DJ78" s="148" t="s">
        <v>9769</v>
      </c>
      <c r="DK78" s="148"/>
      <c r="DL78" s="148"/>
      <c r="DM78" s="148"/>
      <c r="DN78" s="148"/>
      <c r="DO78" s="148"/>
      <c r="DP78" s="148"/>
      <c r="DQ78" s="148"/>
      <c r="DR78" s="148"/>
      <c r="DS78" s="148"/>
      <c r="DT78" s="148"/>
      <c r="DU78" s="148"/>
      <c r="DV78" s="148"/>
      <c r="DW78" s="148"/>
      <c r="DX78" s="148"/>
      <c r="DY78" s="148"/>
      <c r="DZ78" s="148"/>
      <c r="EA78" s="148"/>
      <c r="EB78" s="148"/>
      <c r="EC78" s="148"/>
      <c r="ED78" s="148"/>
      <c r="EE78" s="148"/>
      <c r="EF78" s="148"/>
      <c r="EG78" s="148"/>
      <c r="EH78" s="148"/>
      <c r="EI78" s="148"/>
      <c r="EJ78" s="148"/>
      <c r="EK78" s="148"/>
      <c r="EL78" s="148"/>
      <c r="EM78" s="148"/>
      <c r="EN78" s="148"/>
      <c r="EO78" s="148"/>
      <c r="EP78" s="148"/>
      <c r="EQ78" s="148"/>
      <c r="ER78" s="148"/>
      <c r="ES78" s="148"/>
      <c r="ET78" s="148" t="s">
        <v>9765</v>
      </c>
      <c r="EU78" s="148" t="s">
        <v>9750</v>
      </c>
      <c r="EV78" s="148"/>
      <c r="EW78" s="148"/>
      <c r="EX78" s="148"/>
      <c r="EY78" s="148"/>
      <c r="EZ78" s="148"/>
      <c r="FA78" s="148"/>
      <c r="FB78" s="148"/>
      <c r="FC78" s="148"/>
      <c r="FD78" s="148"/>
      <c r="FE78" s="148"/>
      <c r="FF78" s="148"/>
      <c r="FG78" s="148"/>
      <c r="FH78" s="148"/>
      <c r="FI78" s="148"/>
      <c r="FJ78" s="148"/>
      <c r="FK78" s="148"/>
      <c r="FL78" s="148"/>
      <c r="FM78" s="148"/>
      <c r="FN78" s="148"/>
      <c r="FO78" s="148"/>
      <c r="FP78" s="148"/>
      <c r="FQ78" s="148"/>
      <c r="FR78" s="148"/>
      <c r="FS78" s="148"/>
      <c r="FT78" s="148"/>
      <c r="FU78" s="148"/>
      <c r="FV78" s="148"/>
      <c r="FW78" s="148"/>
      <c r="FX78" s="148"/>
      <c r="FY78" s="148"/>
      <c r="FZ78" s="148"/>
      <c r="GA78" s="148"/>
      <c r="GB78" s="148"/>
      <c r="GC78" s="148"/>
      <c r="GD78" s="148"/>
      <c r="GE78" s="148"/>
      <c r="GF78" s="148"/>
      <c r="GG78" s="148"/>
      <c r="GH78" s="148"/>
      <c r="GI78" s="148"/>
      <c r="GJ78" s="148"/>
      <c r="GK78" s="148"/>
      <c r="GL78" s="148"/>
      <c r="GM78" s="148"/>
      <c r="GN78" s="148"/>
      <c r="GO78" s="148"/>
      <c r="GP78" s="148"/>
      <c r="GQ78" s="148"/>
      <c r="GR78" s="148"/>
      <c r="GS78" s="148"/>
      <c r="GT78" s="148"/>
      <c r="GU78" s="148"/>
      <c r="GV78" s="148"/>
      <c r="GW78" s="148"/>
      <c r="GX78" s="148"/>
      <c r="GY78" s="148"/>
      <c r="GZ78" s="148"/>
      <c r="HA78" s="148"/>
      <c r="HB78" s="148"/>
      <c r="HC78" s="148"/>
      <c r="HD78" s="148"/>
      <c r="HE78" s="148"/>
      <c r="HF78" s="148"/>
      <c r="HG78" s="148"/>
      <c r="HH78" s="148"/>
      <c r="HI78" s="148"/>
      <c r="HJ78" s="148"/>
      <c r="HK78" s="148"/>
      <c r="HL78" s="148"/>
      <c r="HM78" s="148"/>
      <c r="HN78" s="148"/>
      <c r="HO78" s="148"/>
      <c r="HP78" s="148"/>
      <c r="HQ78" s="148"/>
      <c r="HR78" s="148"/>
      <c r="HS78" s="148"/>
      <c r="HT78" s="148"/>
      <c r="HU78" s="148"/>
      <c r="HV78" s="148"/>
      <c r="HW78" s="148"/>
      <c r="HX78" s="148"/>
      <c r="HY78" s="148"/>
      <c r="HZ78" s="148"/>
      <c r="IA78" s="148"/>
      <c r="IB78" s="148"/>
      <c r="IC78" s="148"/>
      <c r="ID78" s="148"/>
      <c r="IE78" s="148"/>
      <c r="IF78" s="148"/>
      <c r="IG78" s="148"/>
      <c r="IH78" s="148"/>
      <c r="II78" s="148" t="s">
        <v>9754</v>
      </c>
      <c r="IJ78" s="148"/>
      <c r="IK78" s="148"/>
      <c r="IL78" s="148"/>
      <c r="IM78" s="148"/>
      <c r="IN78" s="148"/>
      <c r="IO78" s="148" t="s">
        <v>9761</v>
      </c>
      <c r="IP78" s="253"/>
      <c r="IQ78" s="148"/>
      <c r="IR78" s="148"/>
      <c r="IS78" s="148"/>
      <c r="IT78" s="148"/>
      <c r="IU78" s="148"/>
      <c r="IV78" s="148"/>
      <c r="IW78" s="148"/>
      <c r="IX78" s="148"/>
      <c r="IY78" s="148"/>
      <c r="IZ78" s="148"/>
      <c r="JA78" s="148"/>
      <c r="JB78" s="148"/>
      <c r="JC78" s="148"/>
      <c r="JD78" s="148"/>
      <c r="JE78" s="148"/>
      <c r="JF78" s="148"/>
      <c r="JG78" s="148"/>
      <c r="JH78" s="148"/>
      <c r="JI78" s="148"/>
      <c r="JJ78" s="148"/>
      <c r="JK78" s="1746"/>
      <c r="JL78" s="1746"/>
      <c r="JM78" s="1746"/>
      <c r="JN78" s="1746"/>
      <c r="JO78" s="1746"/>
      <c r="JP78" s="1746"/>
      <c r="JQ78" s="1746"/>
      <c r="JR78" s="1746"/>
      <c r="JS78" s="148"/>
      <c r="JT78" s="148"/>
      <c r="JU78" s="148"/>
      <c r="JV78" s="148"/>
      <c r="JW78" s="148"/>
      <c r="JX78" s="1746"/>
      <c r="JY78" s="1746"/>
      <c r="JZ78" s="1746"/>
      <c r="KA78" s="1746"/>
      <c r="KB78" s="1746"/>
      <c r="KC78" s="148"/>
      <c r="KD78" s="1746"/>
      <c r="KE78" s="1746"/>
      <c r="KF78" s="148"/>
      <c r="KG78" s="1746"/>
      <c r="KH78" s="1746"/>
      <c r="KI78" s="1746"/>
      <c r="KJ78" s="148"/>
      <c r="KK78" s="1746"/>
      <c r="KL78" s="1746"/>
      <c r="KM78" s="1746"/>
      <c r="KN78" s="1746"/>
      <c r="KO78" s="148"/>
      <c r="KP78" s="1746"/>
      <c r="KQ78" s="148"/>
      <c r="KR78" s="148"/>
      <c r="KS78" s="1746"/>
      <c r="KT78" s="1746"/>
      <c r="KU78" s="148" t="s">
        <v>9767</v>
      </c>
      <c r="KV78" s="1746"/>
      <c r="KW78" s="148"/>
      <c r="KX78" s="1746"/>
      <c r="KY78" s="1746"/>
      <c r="KZ78" s="1746"/>
      <c r="LA78" s="1746"/>
      <c r="LB78" s="1746"/>
      <c r="LC78" s="1746"/>
      <c r="LD78" s="148"/>
      <c r="LE78" s="1746"/>
      <c r="LF78" s="1746"/>
      <c r="LG78" s="1746"/>
      <c r="LH78" s="148"/>
      <c r="LI78" s="1746"/>
      <c r="LJ78" s="1746"/>
      <c r="LK78" s="1746"/>
      <c r="LL78" s="1746"/>
      <c r="LM78" s="1746"/>
      <c r="LN78" s="1746"/>
      <c r="LO78" s="1746"/>
      <c r="LP78" s="148"/>
      <c r="LQ78" s="1746"/>
      <c r="LR78" s="1746"/>
      <c r="LS78" s="148"/>
      <c r="LT78" s="1746"/>
      <c r="LU78" s="148"/>
      <c r="LV78" s="1746"/>
      <c r="LW78" s="148"/>
      <c r="LX78" s="148"/>
      <c r="LY78" s="1746"/>
      <c r="LZ78" s="1746"/>
      <c r="MA78" s="1746"/>
      <c r="MB78" s="1746"/>
      <c r="MC78" s="148"/>
      <c r="MD78" s="1746"/>
      <c r="ME78" s="1746"/>
      <c r="MF78" s="1746"/>
      <c r="MG78" s="148"/>
      <c r="MH78" s="1746"/>
      <c r="MI78" s="1746"/>
      <c r="MJ78" s="1746"/>
      <c r="MK78" s="1746"/>
      <c r="ML78" s="1746"/>
      <c r="MM78" s="148"/>
      <c r="MN78" s="148"/>
      <c r="MO78" s="148"/>
      <c r="MP78" s="1746"/>
      <c r="MQ78" s="1746"/>
      <c r="MR78" s="1746"/>
      <c r="MS78" s="148"/>
      <c r="MT78" s="148"/>
      <c r="MU78" s="1746"/>
      <c r="MV78" s="148" t="s">
        <v>9769</v>
      </c>
      <c r="MW78" s="1746"/>
      <c r="MX78" s="1746"/>
      <c r="MY78" s="148"/>
      <c r="MZ78" s="1746"/>
      <c r="NA78" s="1746"/>
      <c r="NB78" s="148"/>
      <c r="NC78" s="1746"/>
      <c r="ND78" s="1746"/>
      <c r="NE78" s="1746"/>
      <c r="NF78" s="148"/>
      <c r="NG78" s="1746"/>
      <c r="NH78" s="1746"/>
      <c r="NI78" s="148"/>
      <c r="NJ78" s="148"/>
      <c r="NK78" s="1746"/>
      <c r="NL78" s="1746"/>
      <c r="NM78" s="1746"/>
      <c r="NN78" s="1746"/>
      <c r="NO78" s="1746"/>
      <c r="NP78" s="1746"/>
      <c r="NQ78" s="1746"/>
      <c r="NR78" s="1746"/>
      <c r="NS78" s="1746"/>
      <c r="NT78" s="1746"/>
      <c r="NU78" s="1746" t="s">
        <v>9765</v>
      </c>
      <c r="NV78" s="1746"/>
      <c r="NW78" s="1746" t="s">
        <v>9767</v>
      </c>
      <c r="NX78" s="1746" t="s">
        <v>9767</v>
      </c>
      <c r="NY78" s="1746" t="s">
        <v>9767</v>
      </c>
      <c r="NZ78" s="1746" t="s">
        <v>9767</v>
      </c>
      <c r="OA78" s="1746"/>
      <c r="OB78" s="1746"/>
      <c r="OC78" s="1746"/>
      <c r="OD78" s="1746"/>
      <c r="OE78" s="1746"/>
      <c r="OF78" s="1746"/>
      <c r="OG78" s="1746"/>
      <c r="OH78" s="1746"/>
      <c r="OI78" s="1746"/>
      <c r="OJ78" s="1746"/>
      <c r="OK78" s="1746"/>
      <c r="OL78" s="1746"/>
      <c r="OM78" s="1746"/>
      <c r="ON78" s="1746"/>
      <c r="OO78" s="1746"/>
      <c r="OP78" s="148"/>
      <c r="OQ78" s="1746"/>
      <c r="OR78" s="1746"/>
      <c r="OS78" s="1746"/>
      <c r="OT78" s="1746"/>
      <c r="OU78" s="1746"/>
      <c r="OV78" s="1746"/>
      <c r="OW78" s="1746"/>
      <c r="OX78" s="1746"/>
      <c r="OY78" s="1746"/>
      <c r="OZ78" s="1746"/>
      <c r="PA78" s="1746"/>
      <c r="PB78" s="1746"/>
      <c r="PC78" s="1746"/>
      <c r="PD78" s="1746"/>
      <c r="PE78" s="1746"/>
      <c r="PF78" s="1746"/>
      <c r="PG78" s="148"/>
      <c r="PH78" s="1746"/>
      <c r="PI78" s="1746"/>
      <c r="PJ78" s="1746"/>
      <c r="PK78" s="1746"/>
      <c r="PL78" s="1746"/>
      <c r="PM78" s="1746"/>
      <c r="PN78" s="1746"/>
      <c r="PO78" s="1746"/>
      <c r="PP78" s="1746"/>
      <c r="PQ78" s="1746"/>
      <c r="PR78" s="148"/>
      <c r="PS78" s="1746"/>
      <c r="PT78" s="1746"/>
      <c r="PU78" s="1746"/>
      <c r="PV78" s="1746"/>
      <c r="PW78" s="1746"/>
      <c r="PX78" s="1746"/>
      <c r="PY78" s="148"/>
      <c r="PZ78" s="1746"/>
      <c r="QA78" s="1746"/>
      <c r="QB78" s="1746"/>
      <c r="QC78" s="1746"/>
      <c r="QD78" s="1746"/>
      <c r="QE78" s="1746"/>
      <c r="QF78" s="1746"/>
      <c r="QG78" s="1746"/>
      <c r="QH78" s="1746"/>
      <c r="QI78" s="1746"/>
      <c r="QJ78" s="1746"/>
      <c r="QK78" s="1746"/>
      <c r="QL78" s="148"/>
      <c r="QM78" s="1746"/>
      <c r="QN78" s="1746"/>
      <c r="QO78" s="1746"/>
      <c r="QP78" s="1746"/>
      <c r="QQ78" s="1746"/>
      <c r="QR78" s="1746"/>
      <c r="QS78" s="1746"/>
      <c r="QT78" s="1746"/>
      <c r="QU78" s="1746"/>
      <c r="QV78" s="1746"/>
      <c r="QW78" s="148"/>
      <c r="QX78" s="148"/>
      <c r="QY78" s="148"/>
      <c r="QZ78" s="148"/>
      <c r="RA78" s="148"/>
      <c r="RB78" s="148" t="s">
        <v>9783</v>
      </c>
      <c r="RC78" s="1746"/>
      <c r="RD78" s="148"/>
      <c r="RE78" s="1746"/>
      <c r="RF78" s="148"/>
      <c r="RG78" s="148"/>
      <c r="RH78" s="1746"/>
      <c r="RI78" s="1746"/>
      <c r="RJ78" s="253"/>
      <c r="RK78" s="148"/>
      <c r="RL78" s="148"/>
      <c r="RM78" s="148" t="s">
        <v>9784</v>
      </c>
      <c r="RN78" s="148"/>
      <c r="RO78" s="148"/>
      <c r="RP78" s="148"/>
      <c r="RQ78" s="1746"/>
      <c r="RR78" s="1746"/>
      <c r="RS78" s="1746"/>
      <c r="RT78" s="1746"/>
      <c r="RU78" s="1746"/>
      <c r="RV78" s="1746"/>
      <c r="RW78" s="1746"/>
      <c r="RX78" s="1746"/>
      <c r="RY78" s="1746"/>
      <c r="RZ78" s="148"/>
      <c r="SA78" s="1746"/>
      <c r="SB78" s="1746"/>
      <c r="SC78" s="148"/>
      <c r="SD78" s="1746"/>
      <c r="SE78" s="1746"/>
      <c r="SF78" s="1746"/>
      <c r="SG78" s="1746"/>
      <c r="SH78" s="1746"/>
      <c r="SI78" s="1746" t="s">
        <v>9783</v>
      </c>
      <c r="SJ78" s="1746"/>
      <c r="SK78" s="1746"/>
      <c r="SL78" s="1746"/>
    </row>
    <row r="79" ht="15.75" customHeight="1">
      <c r="A79" s="1517"/>
      <c r="B79" s="131"/>
      <c r="C79" s="131"/>
      <c r="D79" s="131"/>
      <c r="E79" s="1739"/>
      <c r="F79" s="1739"/>
      <c r="G79" s="1739"/>
      <c r="H79" s="387"/>
      <c r="I79" s="387"/>
      <c r="J79" s="387"/>
      <c r="K79" s="131"/>
      <c r="L79" s="131"/>
      <c r="M79" s="1740"/>
      <c r="N79" s="1741"/>
      <c r="O79" s="339"/>
      <c r="P79" s="339"/>
      <c r="Q79" s="1741"/>
      <c r="R79" s="1741"/>
      <c r="S79" s="1741"/>
      <c r="T79" s="448"/>
      <c r="U79" s="1741"/>
      <c r="V79" s="1741"/>
      <c r="W79" s="1741"/>
      <c r="X79" s="448"/>
      <c r="Y79" s="448"/>
      <c r="Z79" s="339"/>
      <c r="AA79" s="339"/>
      <c r="AB79" s="339"/>
      <c r="AC79" s="339"/>
      <c r="AD79" s="387"/>
      <c r="AE79" s="387"/>
      <c r="AF79" s="387" t="s">
        <v>9769</v>
      </c>
      <c r="AG79" s="448"/>
      <c r="AH79" s="448"/>
      <c r="AI79" s="448" t="s">
        <v>9783</v>
      </c>
      <c r="AJ79" s="1742"/>
      <c r="AK79" s="1742"/>
      <c r="AL79" s="1741"/>
      <c r="AM79" s="339"/>
      <c r="AN79" s="1742"/>
      <c r="AO79" s="1742"/>
      <c r="AP79" s="448"/>
      <c r="AQ79" s="448"/>
      <c r="AR79" s="387"/>
      <c r="AS79" s="387"/>
      <c r="AT79" s="1739"/>
      <c r="AU79" s="1739"/>
      <c r="AV79" s="1739"/>
      <c r="AW79" s="448"/>
      <c r="AX79" s="448"/>
      <c r="AY79" s="1741"/>
      <c r="AZ79" s="1741"/>
      <c r="BA79" s="339"/>
      <c r="BB79" s="339"/>
      <c r="BC79" s="339"/>
      <c r="BD79" s="387"/>
      <c r="BE79" s="1741"/>
      <c r="BF79" s="1741"/>
      <c r="BG79" s="1741"/>
      <c r="BH79" s="1741"/>
      <c r="BI79" s="387"/>
      <c r="BJ79" s="387"/>
      <c r="BK79" s="387"/>
      <c r="BL79" s="1741"/>
      <c r="BM79" s="1741"/>
      <c r="BN79" s="1741"/>
      <c r="BO79" s="1743"/>
      <c r="BP79" s="1743"/>
      <c r="BQ79" s="1743"/>
      <c r="BR79" s="131"/>
      <c r="BS79" s="131"/>
      <c r="BT79" s="131"/>
      <c r="BU79" s="387"/>
      <c r="BV79" s="387"/>
      <c r="BW79" s="1741"/>
      <c r="BX79" s="1741"/>
      <c r="BY79" s="1741"/>
      <c r="BZ79" s="339"/>
      <c r="CA79" s="339"/>
      <c r="CB79" s="1742"/>
      <c r="CC79" s="1742"/>
      <c r="CD79" s="1743"/>
      <c r="CE79" s="1743"/>
      <c r="CF79" s="1741"/>
      <c r="CG79" s="1741"/>
      <c r="CH79" s="1741"/>
      <c r="CI79" s="1740"/>
      <c r="CJ79" s="1740"/>
      <c r="CK79" s="448"/>
      <c r="CL79" s="448"/>
      <c r="CM79" s="448"/>
      <c r="CN79" s="448"/>
      <c r="CO79" s="448"/>
      <c r="CP79" s="448"/>
      <c r="CQ79" s="448"/>
      <c r="CR79" s="1743"/>
      <c r="CS79" s="339"/>
      <c r="CT79" s="339"/>
      <c r="CU79" s="1739"/>
      <c r="CV79" s="1739"/>
      <c r="CW79" s="1739"/>
      <c r="CX79" s="1739"/>
      <c r="CY79" s="1742"/>
      <c r="CZ79" s="339"/>
      <c r="DA79" s="1741"/>
      <c r="DB79" s="1741"/>
      <c r="DC79" s="1741"/>
      <c r="DD79" s="1741"/>
      <c r="DE79" s="1742"/>
      <c r="DF79" s="448"/>
      <c r="DG79" s="448"/>
      <c r="DH79" s="1743"/>
      <c r="DI79" s="1743"/>
      <c r="DJ79" s="1742" t="s">
        <v>9783</v>
      </c>
      <c r="DK79" s="387"/>
      <c r="DL79" s="1741"/>
      <c r="DM79" s="387"/>
      <c r="DN79" s="387"/>
      <c r="DO79" s="1739"/>
      <c r="DP79" s="1739"/>
      <c r="DQ79" s="1741"/>
      <c r="DR79" s="448"/>
      <c r="DS79" s="1742"/>
      <c r="DT79" s="131"/>
      <c r="DU79" s="1739"/>
      <c r="DV79" s="339"/>
      <c r="DW79" s="1739"/>
      <c r="DX79" s="1741"/>
      <c r="DY79" s="1741"/>
      <c r="DZ79" s="1739"/>
      <c r="EA79" s="387"/>
      <c r="EB79" s="387"/>
      <c r="EC79" s="448"/>
      <c r="ED79" s="1741"/>
      <c r="EE79" s="387"/>
      <c r="EF79" s="339"/>
      <c r="EG79" s="1739"/>
      <c r="EH79" s="1742"/>
      <c r="EI79" s="387"/>
      <c r="EJ79" s="387"/>
      <c r="EK79" s="1741"/>
      <c r="EL79" s="1741"/>
      <c r="EM79" s="448"/>
      <c r="EN79" s="1744"/>
      <c r="EO79" s="387"/>
      <c r="EP79" s="339"/>
      <c r="EQ79" s="339"/>
      <c r="ER79" s="387"/>
      <c r="ES79" s="387"/>
      <c r="ET79" s="1753"/>
      <c r="EU79" s="448" t="s">
        <v>9743</v>
      </c>
      <c r="EV79" s="1742"/>
      <c r="EW79" s="131"/>
      <c r="EX79" s="131"/>
      <c r="EY79" s="131"/>
      <c r="EZ79" s="339"/>
      <c r="FA79" s="339"/>
      <c r="FB79" s="339"/>
      <c r="FC79" s="387"/>
      <c r="FD79" s="387"/>
      <c r="FE79" s="387"/>
      <c r="FF79" s="1741"/>
      <c r="FG79" s="1741"/>
      <c r="FH79" s="1741"/>
      <c r="FI79" s="1741"/>
      <c r="FJ79" s="1739"/>
      <c r="FK79" s="1739"/>
      <c r="FL79" s="131"/>
      <c r="FM79" s="1739"/>
      <c r="FN79" s="448"/>
      <c r="FO79" s="387"/>
      <c r="FP79" s="387"/>
      <c r="FQ79" s="339"/>
      <c r="FR79" s="1742"/>
      <c r="FS79" s="1742"/>
      <c r="FT79" s="1740"/>
      <c r="FU79" s="1740"/>
      <c r="FV79" s="131"/>
      <c r="FW79" s="131"/>
      <c r="FX79" s="1740"/>
      <c r="FY79" s="1742"/>
      <c r="FZ79" s="339"/>
      <c r="GA79" s="131"/>
      <c r="GB79" s="387"/>
      <c r="GC79" s="387"/>
      <c r="GD79" s="1741"/>
      <c r="GE79" s="131"/>
      <c r="GF79" s="1742"/>
      <c r="GG79" s="131"/>
      <c r="GH79" s="387"/>
      <c r="GI79" s="448"/>
      <c r="GJ79" s="339"/>
      <c r="GK79" s="339"/>
      <c r="GL79" s="1739"/>
      <c r="GM79" s="387"/>
      <c r="GN79" s="387"/>
      <c r="GO79" s="448"/>
      <c r="GP79" s="1744"/>
      <c r="GQ79" s="1744"/>
      <c r="GR79" s="1742"/>
      <c r="GS79" s="1743"/>
      <c r="GT79" s="1744"/>
      <c r="GU79" s="387"/>
      <c r="GV79" s="339"/>
      <c r="GW79" s="1743"/>
      <c r="GX79" s="448"/>
      <c r="GY79" s="339"/>
      <c r="GZ79" s="448"/>
      <c r="HA79" s="1743"/>
      <c r="HB79" s="1742"/>
      <c r="HC79" s="448"/>
      <c r="HD79" s="1743"/>
      <c r="HE79" s="1739"/>
      <c r="HF79" s="339"/>
      <c r="HG79" s="387"/>
      <c r="HH79" s="1744"/>
      <c r="HI79" s="1741"/>
      <c r="HJ79" s="1741"/>
      <c r="HK79" s="1739"/>
      <c r="HL79" s="1739"/>
      <c r="HM79" s="1741"/>
      <c r="HN79" s="1741"/>
      <c r="HO79" s="1742"/>
      <c r="HP79" s="1743"/>
      <c r="HQ79" s="1739"/>
      <c r="HR79" s="1739"/>
      <c r="HS79" s="448"/>
      <c r="HT79" s="1743"/>
      <c r="HU79" s="1744"/>
      <c r="HV79" s="1744"/>
      <c r="HW79" s="387"/>
      <c r="HX79" s="387"/>
      <c r="HY79" s="1743"/>
      <c r="HZ79" s="1739"/>
      <c r="IA79" s="1741"/>
      <c r="IB79" s="1740"/>
      <c r="IC79" s="448"/>
      <c r="ID79" s="1741"/>
      <c r="IE79" s="1742"/>
      <c r="IF79" s="339"/>
      <c r="IG79" s="1739"/>
      <c r="IH79" s="1742"/>
      <c r="II79" s="1742" t="s">
        <v>9766</v>
      </c>
      <c r="IJ79" s="339"/>
      <c r="IK79" s="1741"/>
      <c r="IL79" s="387"/>
      <c r="IM79" s="131"/>
      <c r="IN79" s="1743"/>
      <c r="IO79" s="131" t="s">
        <v>9766</v>
      </c>
      <c r="IP79" s="1740"/>
      <c r="IQ79" s="1739"/>
      <c r="IR79" s="131"/>
      <c r="IS79" s="131"/>
      <c r="IT79" s="131"/>
      <c r="IU79" s="131"/>
      <c r="IV79" s="1739"/>
      <c r="IW79" s="1739"/>
      <c r="IX79" s="1739"/>
      <c r="IY79" s="387"/>
      <c r="IZ79" s="387"/>
      <c r="JA79" s="387"/>
      <c r="JB79" s="1743"/>
      <c r="JC79" s="1743"/>
      <c r="JD79" s="1741"/>
      <c r="JE79" s="1740"/>
      <c r="JF79" s="1739"/>
      <c r="JG79" s="1740"/>
      <c r="JH79" s="339"/>
      <c r="JI79" s="448"/>
      <c r="JJ79" s="131"/>
      <c r="JK79" s="131"/>
      <c r="JL79" s="131"/>
      <c r="JM79" s="131"/>
      <c r="JN79" s="1741"/>
      <c r="JO79" s="1741"/>
      <c r="JP79" s="1741"/>
      <c r="JQ79" s="387"/>
      <c r="JR79" s="387"/>
      <c r="JS79" s="1740"/>
      <c r="JT79" s="339"/>
      <c r="JU79" s="1740"/>
      <c r="JV79" s="1740"/>
      <c r="JW79" s="1740"/>
      <c r="JX79" s="387"/>
      <c r="JY79" s="387"/>
      <c r="JZ79" s="1741"/>
      <c r="KA79" s="131"/>
      <c r="KB79" s="1741"/>
      <c r="KC79" s="1740"/>
      <c r="KD79" s="1741"/>
      <c r="KE79" s="1743"/>
      <c r="KF79" s="339"/>
      <c r="KG79" s="1741"/>
      <c r="KH79" s="1742"/>
      <c r="KI79" s="387"/>
      <c r="KJ79" s="387"/>
      <c r="KK79" s="339"/>
      <c r="KL79" s="1741"/>
      <c r="KM79" s="387"/>
      <c r="KN79" s="1743"/>
      <c r="KO79" s="1742"/>
      <c r="KP79" s="448"/>
      <c r="KQ79" s="448"/>
      <c r="KR79" s="1744"/>
      <c r="KS79" s="1743"/>
      <c r="KT79" s="1743"/>
      <c r="KU79" s="1743" t="s">
        <v>9761</v>
      </c>
      <c r="KV79" s="387"/>
      <c r="KW79" s="1739"/>
      <c r="KX79" s="131"/>
      <c r="KY79" s="339"/>
      <c r="KZ79" s="339"/>
      <c r="LA79" s="339"/>
      <c r="LB79" s="1743"/>
      <c r="LC79" s="448"/>
      <c r="LD79" s="131"/>
      <c r="LE79" s="131"/>
      <c r="LF79" s="448"/>
      <c r="LG79" s="1739"/>
      <c r="LH79" s="387"/>
      <c r="LI79" s="387"/>
      <c r="LJ79" s="387"/>
      <c r="LK79" s="339"/>
      <c r="LL79" s="1739"/>
      <c r="LM79" s="1741"/>
      <c r="LN79" s="1744"/>
      <c r="LO79" s="448"/>
      <c r="LP79" s="1741"/>
      <c r="LQ79" s="1741"/>
      <c r="LR79" s="131"/>
      <c r="LS79" s="131"/>
      <c r="LT79" s="131"/>
      <c r="LU79" s="131"/>
      <c r="LV79" s="387"/>
      <c r="LW79" s="387"/>
      <c r="LX79" s="1740"/>
      <c r="LY79" s="1744"/>
      <c r="LZ79" s="339"/>
      <c r="MA79" s="1739"/>
      <c r="MB79" s="1743"/>
      <c r="MC79" s="387"/>
      <c r="MD79" s="1739"/>
      <c r="ME79" s="1739"/>
      <c r="MF79" s="1741"/>
      <c r="MG79" s="1744"/>
      <c r="MH79" s="448"/>
      <c r="MI79" s="131"/>
      <c r="MJ79" s="1743"/>
      <c r="MK79" s="1743"/>
      <c r="ML79" s="1741"/>
      <c r="MM79" s="1742"/>
      <c r="MN79" s="1740"/>
      <c r="MO79" s="131"/>
      <c r="MP79" s="1744"/>
      <c r="MQ79" s="1744"/>
      <c r="MR79" s="1744"/>
      <c r="MS79" s="1744"/>
      <c r="MT79" s="131"/>
      <c r="MU79" s="387"/>
      <c r="MV79" s="1740"/>
      <c r="MW79" s="387"/>
      <c r="MX79" s="1743"/>
      <c r="MY79" s="1743"/>
      <c r="MZ79" s="387"/>
      <c r="NA79" s="387"/>
      <c r="NB79" s="387"/>
      <c r="NC79" s="387"/>
      <c r="ND79" s="387"/>
      <c r="NE79" s="1742"/>
      <c r="NF79" s="1743"/>
      <c r="NG79" s="1742"/>
      <c r="NH79" s="387"/>
      <c r="NI79" s="1740"/>
      <c r="NJ79" s="387"/>
      <c r="NK79" s="387"/>
      <c r="NL79" s="387"/>
      <c r="NM79" s="387"/>
      <c r="NN79" s="1741"/>
      <c r="NO79" s="387"/>
      <c r="NP79" s="1743"/>
      <c r="NQ79" s="1739"/>
      <c r="NR79" s="387"/>
      <c r="NS79" s="387"/>
      <c r="NT79" s="1739"/>
      <c r="NU79" s="131"/>
      <c r="NV79" s="339"/>
      <c r="NW79" s="1739" t="s">
        <v>9766</v>
      </c>
      <c r="NX79" s="1739" t="s">
        <v>9766</v>
      </c>
      <c r="NY79" s="1739" t="s">
        <v>9766</v>
      </c>
      <c r="NZ79" s="1739" t="s">
        <v>9766</v>
      </c>
      <c r="OA79" s="131"/>
      <c r="OB79" s="131"/>
      <c r="OC79" s="131"/>
      <c r="OD79" s="1741"/>
      <c r="OE79" s="1741"/>
      <c r="OF79" s="1741"/>
      <c r="OG79" s="387"/>
      <c r="OH79" s="387"/>
      <c r="OI79" s="387"/>
      <c r="OJ79" s="1741"/>
      <c r="OK79" s="1741"/>
      <c r="OL79" s="1741"/>
      <c r="OM79" s="1741"/>
      <c r="ON79" s="1741"/>
      <c r="OO79" s="1739"/>
      <c r="OP79" s="1739"/>
      <c r="OQ79" s="387"/>
      <c r="OR79" s="387"/>
      <c r="OS79" s="387"/>
      <c r="OT79" s="131"/>
      <c r="OU79" s="131"/>
      <c r="OV79" s="387"/>
      <c r="OW79" s="387"/>
      <c r="OX79" s="1743"/>
      <c r="OY79" s="1743"/>
      <c r="OZ79" s="131"/>
      <c r="PA79" s="131"/>
      <c r="PB79" s="339"/>
      <c r="PC79" s="1742"/>
      <c r="PD79" s="339"/>
      <c r="PE79" s="339"/>
      <c r="PF79" s="339"/>
      <c r="PG79" s="1740"/>
      <c r="PH79" s="1741"/>
      <c r="PI79" s="1741"/>
      <c r="PJ79" s="1742"/>
      <c r="PK79" s="1742"/>
      <c r="PL79" s="448"/>
      <c r="PM79" s="448"/>
      <c r="PN79" s="448"/>
      <c r="PO79" s="448"/>
      <c r="PP79" s="448"/>
      <c r="PQ79" s="1741"/>
      <c r="PR79" s="1741"/>
      <c r="PS79" s="448"/>
      <c r="PT79" s="1744"/>
      <c r="PU79" s="1743"/>
      <c r="PV79" s="1743"/>
      <c r="PW79" s="339"/>
      <c r="PX79" s="448"/>
      <c r="PY79" s="448"/>
      <c r="PZ79" s="131"/>
      <c r="QA79" s="131"/>
      <c r="QB79" s="1741"/>
      <c r="QC79" s="1742"/>
      <c r="QD79" s="1742"/>
      <c r="QE79" s="1744"/>
      <c r="QF79" s="448"/>
      <c r="QG79" s="387"/>
      <c r="QH79" s="387"/>
      <c r="QI79" s="387"/>
      <c r="QJ79" s="1744"/>
      <c r="QK79" s="387"/>
      <c r="QL79" s="387"/>
      <c r="QM79" s="1741"/>
      <c r="QN79" s="1741"/>
      <c r="QO79" s="448"/>
      <c r="QP79" s="448"/>
      <c r="QQ79" s="387"/>
      <c r="QR79" s="387"/>
      <c r="QS79" s="131"/>
      <c r="QT79" s="387"/>
      <c r="QU79" s="387"/>
      <c r="QV79" s="387"/>
      <c r="QW79" s="1740"/>
      <c r="QX79" s="1740"/>
      <c r="QY79" s="1744"/>
      <c r="QZ79" s="1743"/>
      <c r="RA79" s="1742"/>
      <c r="RB79" s="1743"/>
      <c r="RC79" s="387"/>
      <c r="RD79" s="339"/>
      <c r="RE79" s="1739"/>
      <c r="RF79" s="1740"/>
      <c r="RG79" s="131"/>
      <c r="RH79" s="131"/>
      <c r="RI79" s="387"/>
      <c r="RJ79" s="448"/>
      <c r="RK79" s="1741"/>
      <c r="RL79" s="1739"/>
      <c r="RM79" s="1740" t="s">
        <v>9767</v>
      </c>
      <c r="RN79" s="1743"/>
      <c r="RO79" s="1744"/>
      <c r="RP79" s="1740"/>
      <c r="RQ79" s="1739"/>
      <c r="RR79" s="1739"/>
      <c r="RS79" s="1739"/>
      <c r="RT79" s="1739"/>
      <c r="RU79" s="1739"/>
      <c r="RV79" s="1739"/>
      <c r="RW79" s="339"/>
      <c r="RX79" s="1742"/>
      <c r="RY79" s="387"/>
      <c r="RZ79" s="1740"/>
      <c r="SA79" s="448"/>
      <c r="SB79" s="1741"/>
      <c r="SC79" s="1740"/>
      <c r="SD79" s="1744"/>
      <c r="SE79" s="1744"/>
      <c r="SF79" s="339"/>
      <c r="SG79" s="387"/>
      <c r="SH79" s="387"/>
      <c r="SI79" s="1744"/>
      <c r="SJ79" s="131"/>
      <c r="SK79" s="131"/>
      <c r="SL79" s="1743"/>
    </row>
    <row r="80" ht="15.75" customHeight="1">
      <c r="A80" s="1517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 t="s">
        <v>9783</v>
      </c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  <c r="CR80" s="148"/>
      <c r="CS80" s="148"/>
      <c r="CT80" s="148"/>
      <c r="CU80" s="148"/>
      <c r="CV80" s="148"/>
      <c r="CW80" s="148"/>
      <c r="CX80" s="148"/>
      <c r="CY80" s="148"/>
      <c r="CZ80" s="148"/>
      <c r="DA80" s="148"/>
      <c r="DB80" s="148"/>
      <c r="DC80" s="148"/>
      <c r="DD80" s="148"/>
      <c r="DE80" s="148"/>
      <c r="DF80" s="148"/>
      <c r="DG80" s="148"/>
      <c r="DH80" s="148"/>
      <c r="DI80" s="148"/>
      <c r="DJ80" s="148"/>
      <c r="DK80" s="148"/>
      <c r="DL80" s="148"/>
      <c r="DM80" s="148"/>
      <c r="DN80" s="148"/>
      <c r="DO80" s="148"/>
      <c r="DP80" s="148"/>
      <c r="DQ80" s="148"/>
      <c r="DR80" s="148"/>
      <c r="DS80" s="148"/>
      <c r="DT80" s="148"/>
      <c r="DU80" s="148"/>
      <c r="DV80" s="148"/>
      <c r="DW80" s="148"/>
      <c r="DX80" s="148"/>
      <c r="DY80" s="148"/>
      <c r="DZ80" s="148"/>
      <c r="EA80" s="148"/>
      <c r="EB80" s="148"/>
      <c r="EC80" s="148"/>
      <c r="ED80" s="148"/>
      <c r="EE80" s="148"/>
      <c r="EF80" s="148"/>
      <c r="EG80" s="148"/>
      <c r="EH80" s="148"/>
      <c r="EI80" s="148"/>
      <c r="EJ80" s="148"/>
      <c r="EK80" s="148"/>
      <c r="EL80" s="148"/>
      <c r="EM80" s="148"/>
      <c r="EN80" s="148"/>
      <c r="EO80" s="148"/>
      <c r="EP80" s="148"/>
      <c r="EQ80" s="148"/>
      <c r="ER80" s="148"/>
      <c r="ES80" s="148"/>
      <c r="ET80" s="159" t="s">
        <v>9774</v>
      </c>
      <c r="EU80" s="148" t="s">
        <v>9751</v>
      </c>
      <c r="EV80" s="148"/>
      <c r="EW80" s="148"/>
      <c r="EX80" s="148"/>
      <c r="EY80" s="148"/>
      <c r="EZ80" s="148"/>
      <c r="FA80" s="148"/>
      <c r="FB80" s="148"/>
      <c r="FC80" s="148"/>
      <c r="FD80" s="148"/>
      <c r="FE80" s="148"/>
      <c r="FF80" s="148"/>
      <c r="FG80" s="148"/>
      <c r="FH80" s="148"/>
      <c r="FI80" s="148"/>
      <c r="FJ80" s="148"/>
      <c r="FK80" s="148"/>
      <c r="FL80" s="148"/>
      <c r="FM80" s="148"/>
      <c r="FN80" s="148"/>
      <c r="FO80" s="148"/>
      <c r="FP80" s="148"/>
      <c r="FQ80" s="148"/>
      <c r="FR80" s="148"/>
      <c r="FS80" s="148"/>
      <c r="FT80" s="148"/>
      <c r="FU80" s="148"/>
      <c r="FV80" s="148"/>
      <c r="FW80" s="148"/>
      <c r="FX80" s="148"/>
      <c r="FY80" s="148"/>
      <c r="FZ80" s="148"/>
      <c r="GA80" s="148"/>
      <c r="GB80" s="148"/>
      <c r="GC80" s="148"/>
      <c r="GD80" s="148"/>
      <c r="GE80" s="148"/>
      <c r="GF80" s="148"/>
      <c r="GG80" s="148"/>
      <c r="GH80" s="148"/>
      <c r="GI80" s="148"/>
      <c r="GJ80" s="148"/>
      <c r="GK80" s="148"/>
      <c r="GL80" s="148"/>
      <c r="GM80" s="148"/>
      <c r="GN80" s="148"/>
      <c r="GO80" s="148"/>
      <c r="GP80" s="148"/>
      <c r="GQ80" s="148"/>
      <c r="GR80" s="148"/>
      <c r="GS80" s="148"/>
      <c r="GT80" s="148"/>
      <c r="GU80" s="148"/>
      <c r="GV80" s="148"/>
      <c r="GW80" s="148"/>
      <c r="GX80" s="148"/>
      <c r="GY80" s="148"/>
      <c r="GZ80" s="148"/>
      <c r="HA80" s="148"/>
      <c r="HB80" s="148"/>
      <c r="HC80" s="148"/>
      <c r="HD80" s="148"/>
      <c r="HE80" s="148"/>
      <c r="HF80" s="148"/>
      <c r="HG80" s="148"/>
      <c r="HH80" s="148"/>
      <c r="HI80" s="148"/>
      <c r="HJ80" s="148"/>
      <c r="HK80" s="148"/>
      <c r="HL80" s="148"/>
      <c r="HM80" s="148"/>
      <c r="HN80" s="148"/>
      <c r="HO80" s="148"/>
      <c r="HP80" s="148"/>
      <c r="HQ80" s="148"/>
      <c r="HR80" s="148"/>
      <c r="HS80" s="148"/>
      <c r="HT80" s="148"/>
      <c r="HU80" s="148"/>
      <c r="HV80" s="148"/>
      <c r="HW80" s="148"/>
      <c r="HX80" s="148"/>
      <c r="HY80" s="148"/>
      <c r="HZ80" s="148"/>
      <c r="IA80" s="148"/>
      <c r="IB80" s="148"/>
      <c r="IC80" s="148"/>
      <c r="ID80" s="148"/>
      <c r="IE80" s="148"/>
      <c r="IF80" s="148"/>
      <c r="IG80" s="148"/>
      <c r="IH80" s="148"/>
      <c r="II80" s="148" t="s">
        <v>9769</v>
      </c>
      <c r="IJ80" s="148"/>
      <c r="IK80" s="148"/>
      <c r="IL80" s="148"/>
      <c r="IM80" s="148"/>
      <c r="IN80" s="148"/>
      <c r="IO80" s="148" t="s">
        <v>9769</v>
      </c>
      <c r="IP80" s="148"/>
      <c r="IQ80" s="148"/>
      <c r="IR80" s="148"/>
      <c r="IS80" s="148"/>
      <c r="IT80" s="148"/>
      <c r="IU80" s="148"/>
      <c r="IV80" s="148"/>
      <c r="IW80" s="148"/>
      <c r="IX80" s="148"/>
      <c r="IY80" s="148"/>
      <c r="IZ80" s="148"/>
      <c r="JA80" s="148"/>
      <c r="JB80" s="148"/>
      <c r="JC80" s="148"/>
      <c r="JD80" s="148"/>
      <c r="JE80" s="148"/>
      <c r="JF80" s="148"/>
      <c r="JG80" s="148"/>
      <c r="JH80" s="148"/>
      <c r="JI80" s="148"/>
      <c r="JJ80" s="148"/>
      <c r="JK80" s="1746"/>
      <c r="JL80" s="1746"/>
      <c r="JM80" s="1746"/>
      <c r="JN80" s="1746"/>
      <c r="JO80" s="1746"/>
      <c r="JP80" s="1746"/>
      <c r="JQ80" s="1746"/>
      <c r="JR80" s="1746"/>
      <c r="JS80" s="148"/>
      <c r="JT80" s="148"/>
      <c r="JU80" s="148"/>
      <c r="JV80" s="148"/>
      <c r="JW80" s="148"/>
      <c r="JX80" s="1746"/>
      <c r="JY80" s="1746"/>
      <c r="JZ80" s="1746"/>
      <c r="KA80" s="1746"/>
      <c r="KB80" s="1746"/>
      <c r="KC80" s="148"/>
      <c r="KD80" s="1746"/>
      <c r="KE80" s="1746"/>
      <c r="KF80" s="148"/>
      <c r="KG80" s="1746"/>
      <c r="KH80" s="1746"/>
      <c r="KI80" s="1746"/>
      <c r="KJ80" s="148"/>
      <c r="KK80" s="1746"/>
      <c r="KL80" s="1746"/>
      <c r="KM80" s="1746"/>
      <c r="KN80" s="1746"/>
      <c r="KO80" s="148"/>
      <c r="KP80" s="1746"/>
      <c r="KQ80" s="148"/>
      <c r="KR80" s="148"/>
      <c r="KS80" s="1746"/>
      <c r="KT80" s="1746"/>
      <c r="KU80" s="148" t="s">
        <v>9766</v>
      </c>
      <c r="KV80" s="1746"/>
      <c r="KW80" s="148"/>
      <c r="KX80" s="1746"/>
      <c r="KY80" s="1746"/>
      <c r="KZ80" s="1746"/>
      <c r="LA80" s="1746"/>
      <c r="LB80" s="1746"/>
      <c r="LC80" s="1746"/>
      <c r="LD80" s="148"/>
      <c r="LE80" s="1746"/>
      <c r="LF80" s="1746"/>
      <c r="LG80" s="1746"/>
      <c r="LH80" s="148"/>
      <c r="LI80" s="1746"/>
      <c r="LJ80" s="1746"/>
      <c r="LK80" s="1746"/>
      <c r="LL80" s="1746"/>
      <c r="LM80" s="1746"/>
      <c r="LN80" s="1746"/>
      <c r="LO80" s="1746"/>
      <c r="LP80" s="148"/>
      <c r="LQ80" s="1746"/>
      <c r="LR80" s="1746"/>
      <c r="LS80" s="148"/>
      <c r="LT80" s="1746"/>
      <c r="LU80" s="148"/>
      <c r="LV80" s="1746"/>
      <c r="LW80" s="148"/>
      <c r="LX80" s="148"/>
      <c r="LY80" s="1746"/>
      <c r="LZ80" s="1746"/>
      <c r="MA80" s="1746"/>
      <c r="MB80" s="1746"/>
      <c r="MC80" s="148"/>
      <c r="MD80" s="1746"/>
      <c r="ME80" s="1746"/>
      <c r="MF80" s="1746"/>
      <c r="MG80" s="148"/>
      <c r="MH80" s="1746"/>
      <c r="MI80" s="1746"/>
      <c r="MJ80" s="1746"/>
      <c r="MK80" s="1746"/>
      <c r="ML80" s="1746"/>
      <c r="MM80" s="148"/>
      <c r="MN80" s="148"/>
      <c r="MO80" s="148"/>
      <c r="MP80" s="1746"/>
      <c r="MQ80" s="1746"/>
      <c r="MR80" s="1746"/>
      <c r="MS80" s="148"/>
      <c r="MT80" s="148"/>
      <c r="MU80" s="1746"/>
      <c r="MV80" s="148"/>
      <c r="MW80" s="1746"/>
      <c r="MX80" s="1746"/>
      <c r="MY80" s="148"/>
      <c r="MZ80" s="1746"/>
      <c r="NA80" s="1746"/>
      <c r="NB80" s="148"/>
      <c r="NC80" s="1746"/>
      <c r="ND80" s="1746"/>
      <c r="NE80" s="1746"/>
      <c r="NF80" s="148"/>
      <c r="NG80" s="1746"/>
      <c r="NH80" s="1746"/>
      <c r="NI80" s="148"/>
      <c r="NJ80" s="148"/>
      <c r="NK80" s="1746"/>
      <c r="NL80" s="1746"/>
      <c r="NM80" s="1746"/>
      <c r="NN80" s="1746"/>
      <c r="NO80" s="1746"/>
      <c r="NP80" s="1746"/>
      <c r="NQ80" s="1746"/>
      <c r="NR80" s="1746"/>
      <c r="NS80" s="1746"/>
      <c r="NT80" s="1746"/>
      <c r="NU80" s="1746"/>
      <c r="NV80" s="1746"/>
      <c r="NW80" s="1746" t="s">
        <v>9769</v>
      </c>
      <c r="NX80" s="1746" t="s">
        <v>9769</v>
      </c>
      <c r="NY80" s="1746" t="s">
        <v>9769</v>
      </c>
      <c r="NZ80" s="1746" t="s">
        <v>9769</v>
      </c>
      <c r="OA80" s="1746"/>
      <c r="OB80" s="1746"/>
      <c r="OC80" s="1746"/>
      <c r="OD80" s="1746"/>
      <c r="OE80" s="1746"/>
      <c r="OF80" s="1746"/>
      <c r="OG80" s="1746"/>
      <c r="OH80" s="1746"/>
      <c r="OI80" s="1746"/>
      <c r="OJ80" s="1746"/>
      <c r="OK80" s="1746"/>
      <c r="OL80" s="1746"/>
      <c r="OM80" s="1746"/>
      <c r="ON80" s="1746"/>
      <c r="OO80" s="1746"/>
      <c r="OP80" s="148"/>
      <c r="OQ80" s="1746"/>
      <c r="OR80" s="1746"/>
      <c r="OS80" s="1746"/>
      <c r="OT80" s="1746"/>
      <c r="OU80" s="1746"/>
      <c r="OV80" s="1746"/>
      <c r="OW80" s="1746"/>
      <c r="OX80" s="1746"/>
      <c r="OY80" s="1746"/>
      <c r="OZ80" s="1746"/>
      <c r="PA80" s="1746"/>
      <c r="PB80" s="1746"/>
      <c r="PC80" s="1746"/>
      <c r="PD80" s="1746"/>
      <c r="PE80" s="1746"/>
      <c r="PF80" s="1746"/>
      <c r="PG80" s="148"/>
      <c r="PH80" s="1746"/>
      <c r="PI80" s="1746"/>
      <c r="PJ80" s="1746"/>
      <c r="PK80" s="1746"/>
      <c r="PL80" s="1746"/>
      <c r="PM80" s="1746"/>
      <c r="PN80" s="1746"/>
      <c r="PO80" s="1746"/>
      <c r="PP80" s="1746"/>
      <c r="PQ80" s="1746"/>
      <c r="PR80" s="148"/>
      <c r="PS80" s="1746"/>
      <c r="PT80" s="1746"/>
      <c r="PU80" s="1746"/>
      <c r="PV80" s="1746"/>
      <c r="PW80" s="1746"/>
      <c r="PX80" s="1746"/>
      <c r="PY80" s="148"/>
      <c r="PZ80" s="1746"/>
      <c r="QA80" s="1746"/>
      <c r="QB80" s="1746"/>
      <c r="QC80" s="1746"/>
      <c r="QD80" s="1746"/>
      <c r="QE80" s="1746"/>
      <c r="QF80" s="1746"/>
      <c r="QG80" s="1746"/>
      <c r="QH80" s="1746"/>
      <c r="QI80" s="1746"/>
      <c r="QJ80" s="1746"/>
      <c r="QK80" s="1746"/>
      <c r="QL80" s="148"/>
      <c r="QM80" s="1746"/>
      <c r="QN80" s="1746"/>
      <c r="QO80" s="1746"/>
      <c r="QP80" s="1746"/>
      <c r="QQ80" s="1746"/>
      <c r="QR80" s="1746"/>
      <c r="QS80" s="1746"/>
      <c r="QT80" s="1746"/>
      <c r="QU80" s="1746"/>
      <c r="QV80" s="1746"/>
      <c r="QW80" s="148"/>
      <c r="QX80" s="148"/>
      <c r="QY80" s="148"/>
      <c r="QZ80" s="148"/>
      <c r="RA80" s="148"/>
      <c r="RB80" s="148"/>
      <c r="RC80" s="1746"/>
      <c r="RD80" s="148"/>
      <c r="RE80" s="1746"/>
      <c r="RF80" s="148"/>
      <c r="RG80" s="148"/>
      <c r="RH80" s="1746"/>
      <c r="RI80" s="1746"/>
      <c r="RJ80" s="148"/>
      <c r="RK80" s="148"/>
      <c r="RL80" s="148"/>
      <c r="RM80" s="148" t="s">
        <v>9766</v>
      </c>
      <c r="RN80" s="148"/>
      <c r="RO80" s="148"/>
      <c r="RP80" s="148"/>
      <c r="RQ80" s="1746"/>
      <c r="RR80" s="1746"/>
      <c r="RS80" s="1746"/>
      <c r="RT80" s="1746"/>
      <c r="RU80" s="1746"/>
      <c r="RV80" s="1746"/>
      <c r="RW80" s="1746"/>
      <c r="RX80" s="1746"/>
      <c r="RY80" s="1746"/>
      <c r="RZ80" s="148"/>
      <c r="SA80" s="1746"/>
      <c r="SB80" s="1746"/>
      <c r="SC80" s="148"/>
      <c r="SD80" s="1746"/>
      <c r="SE80" s="1746"/>
      <c r="SF80" s="1746"/>
      <c r="SG80" s="1746"/>
      <c r="SH80" s="1746"/>
      <c r="SI80" s="1746"/>
      <c r="SJ80" s="1746"/>
      <c r="SK80" s="1746"/>
      <c r="SL80" s="1746"/>
    </row>
    <row r="81" ht="15.75" customHeight="1">
      <c r="A81" s="1517"/>
      <c r="B81" s="131"/>
      <c r="C81" s="131"/>
      <c r="D81" s="131"/>
      <c r="E81" s="1739"/>
      <c r="F81" s="1739"/>
      <c r="G81" s="1739"/>
      <c r="H81" s="387"/>
      <c r="I81" s="387"/>
      <c r="J81" s="387"/>
      <c r="K81" s="131"/>
      <c r="L81" s="131"/>
      <c r="M81" s="1740"/>
      <c r="N81" s="1741"/>
      <c r="O81" s="339"/>
      <c r="P81" s="339"/>
      <c r="Q81" s="1741"/>
      <c r="R81" s="1741"/>
      <c r="S81" s="1741"/>
      <c r="T81" s="448"/>
      <c r="U81" s="1741"/>
      <c r="V81" s="1741"/>
      <c r="W81" s="1741"/>
      <c r="X81" s="448"/>
      <c r="Y81" s="448"/>
      <c r="Z81" s="339"/>
      <c r="AA81" s="339"/>
      <c r="AB81" s="339"/>
      <c r="AC81" s="339"/>
      <c r="AD81" s="387"/>
      <c r="AE81" s="387"/>
      <c r="AF81" s="387"/>
      <c r="AG81" s="448"/>
      <c r="AH81" s="448"/>
      <c r="AI81" s="448"/>
      <c r="AJ81" s="1742"/>
      <c r="AK81" s="1742"/>
      <c r="AL81" s="1741"/>
      <c r="AM81" s="339"/>
      <c r="AN81" s="1742"/>
      <c r="AO81" s="1742"/>
      <c r="AP81" s="448"/>
      <c r="AQ81" s="448"/>
      <c r="AR81" s="387"/>
      <c r="AS81" s="387"/>
      <c r="AT81" s="1739"/>
      <c r="AU81" s="1739"/>
      <c r="AV81" s="1739"/>
      <c r="AW81" s="448"/>
      <c r="AX81" s="448"/>
      <c r="AY81" s="1741"/>
      <c r="AZ81" s="1741"/>
      <c r="BA81" s="339"/>
      <c r="BB81" s="339"/>
      <c r="BC81" s="339"/>
      <c r="BD81" s="387"/>
      <c r="BE81" s="1741"/>
      <c r="BF81" s="1741"/>
      <c r="BG81" s="1741"/>
      <c r="BH81" s="1741"/>
      <c r="BI81" s="387"/>
      <c r="BJ81" s="387"/>
      <c r="BK81" s="387"/>
      <c r="BL81" s="1741"/>
      <c r="BM81" s="1741"/>
      <c r="BN81" s="1741"/>
      <c r="BO81" s="1743"/>
      <c r="BP81" s="1743"/>
      <c r="BQ81" s="1743"/>
      <c r="BR81" s="131"/>
      <c r="BS81" s="131"/>
      <c r="BT81" s="131"/>
      <c r="BU81" s="387"/>
      <c r="BV81" s="387"/>
      <c r="BW81" s="1741"/>
      <c r="BX81" s="1741"/>
      <c r="BY81" s="1741"/>
      <c r="BZ81" s="339"/>
      <c r="CA81" s="339"/>
      <c r="CB81" s="1742"/>
      <c r="CC81" s="1742"/>
      <c r="CD81" s="1743"/>
      <c r="CE81" s="1743"/>
      <c r="CF81" s="1741"/>
      <c r="CG81" s="1741"/>
      <c r="CH81" s="1741"/>
      <c r="CI81" s="1740"/>
      <c r="CJ81" s="1740"/>
      <c r="CK81" s="448"/>
      <c r="CL81" s="448"/>
      <c r="CM81" s="448"/>
      <c r="CN81" s="448"/>
      <c r="CO81" s="448"/>
      <c r="CP81" s="448"/>
      <c r="CQ81" s="448"/>
      <c r="CR81" s="1743"/>
      <c r="CS81" s="339"/>
      <c r="CT81" s="339"/>
      <c r="CU81" s="1739"/>
      <c r="CV81" s="1739"/>
      <c r="CW81" s="1739"/>
      <c r="CX81" s="1739"/>
      <c r="CY81" s="1742"/>
      <c r="CZ81" s="339"/>
      <c r="DA81" s="1741"/>
      <c r="DB81" s="1741"/>
      <c r="DC81" s="1741"/>
      <c r="DD81" s="1741"/>
      <c r="DE81" s="1742"/>
      <c r="DF81" s="448"/>
      <c r="DG81" s="448"/>
      <c r="DH81" s="1743"/>
      <c r="DI81" s="1743"/>
      <c r="DJ81" s="1742"/>
      <c r="DK81" s="387"/>
      <c r="DL81" s="1741"/>
      <c r="DM81" s="387"/>
      <c r="DN81" s="387"/>
      <c r="DO81" s="1739"/>
      <c r="DP81" s="1739"/>
      <c r="DQ81" s="1741"/>
      <c r="DR81" s="448"/>
      <c r="DS81" s="1742"/>
      <c r="DT81" s="131"/>
      <c r="DU81" s="1739"/>
      <c r="DV81" s="339"/>
      <c r="DW81" s="1739"/>
      <c r="DX81" s="1741"/>
      <c r="DY81" s="1741"/>
      <c r="DZ81" s="1739"/>
      <c r="EA81" s="387"/>
      <c r="EB81" s="387"/>
      <c r="EC81" s="448"/>
      <c r="ED81" s="1741"/>
      <c r="EE81" s="387"/>
      <c r="EF81" s="339"/>
      <c r="EG81" s="1739"/>
      <c r="EH81" s="1742"/>
      <c r="EI81" s="387"/>
      <c r="EJ81" s="387"/>
      <c r="EK81" s="1741"/>
      <c r="EL81" s="1741"/>
      <c r="EM81" s="448"/>
      <c r="EN81" s="1744"/>
      <c r="EO81" s="387"/>
      <c r="EP81" s="339"/>
      <c r="EQ81" s="339"/>
      <c r="ER81" s="387"/>
      <c r="ES81" s="387"/>
      <c r="ET81" s="1752"/>
      <c r="EU81" s="448" t="s">
        <v>9739</v>
      </c>
      <c r="EV81" s="1742"/>
      <c r="EW81" s="131"/>
      <c r="EX81" s="131"/>
      <c r="EY81" s="131"/>
      <c r="EZ81" s="339"/>
      <c r="FA81" s="339"/>
      <c r="FB81" s="339"/>
      <c r="FC81" s="387"/>
      <c r="FD81" s="387"/>
      <c r="FE81" s="387"/>
      <c r="FF81" s="1741"/>
      <c r="FG81" s="1741"/>
      <c r="FH81" s="1741"/>
      <c r="FI81" s="1741"/>
      <c r="FJ81" s="1739"/>
      <c r="FK81" s="1739"/>
      <c r="FL81" s="131"/>
      <c r="FM81" s="1739"/>
      <c r="FN81" s="448"/>
      <c r="FO81" s="387"/>
      <c r="FP81" s="387"/>
      <c r="FQ81" s="339"/>
      <c r="FR81" s="1742"/>
      <c r="FS81" s="1742"/>
      <c r="FT81" s="1740"/>
      <c r="FU81" s="1740"/>
      <c r="FV81" s="131"/>
      <c r="FW81" s="131"/>
      <c r="FX81" s="1740"/>
      <c r="FY81" s="1742"/>
      <c r="FZ81" s="339"/>
      <c r="GA81" s="131"/>
      <c r="GB81" s="387"/>
      <c r="GC81" s="387"/>
      <c r="GD81" s="1741"/>
      <c r="GE81" s="131"/>
      <c r="GF81" s="1742"/>
      <c r="GG81" s="131"/>
      <c r="GH81" s="387"/>
      <c r="GI81" s="448"/>
      <c r="GJ81" s="339"/>
      <c r="GK81" s="339"/>
      <c r="GL81" s="1739"/>
      <c r="GM81" s="387"/>
      <c r="GN81" s="387"/>
      <c r="GO81" s="448"/>
      <c r="GP81" s="1744"/>
      <c r="GQ81" s="1744"/>
      <c r="GR81" s="1742"/>
      <c r="GS81" s="1743"/>
      <c r="GT81" s="1744"/>
      <c r="GU81" s="387"/>
      <c r="GV81" s="339"/>
      <c r="GW81" s="1743"/>
      <c r="GX81" s="448"/>
      <c r="GY81" s="339"/>
      <c r="GZ81" s="448"/>
      <c r="HA81" s="1743"/>
      <c r="HB81" s="1742"/>
      <c r="HC81" s="448"/>
      <c r="HD81" s="1743"/>
      <c r="HE81" s="1739"/>
      <c r="HF81" s="339"/>
      <c r="HG81" s="387"/>
      <c r="HH81" s="1744"/>
      <c r="HI81" s="1741"/>
      <c r="HJ81" s="1741"/>
      <c r="HK81" s="1739"/>
      <c r="HL81" s="1739"/>
      <c r="HM81" s="1741"/>
      <c r="HN81" s="1741"/>
      <c r="HO81" s="1742"/>
      <c r="HP81" s="1743"/>
      <c r="HQ81" s="1739"/>
      <c r="HR81" s="1739"/>
      <c r="HS81" s="448"/>
      <c r="HT81" s="1743"/>
      <c r="HU81" s="1744"/>
      <c r="HV81" s="1744"/>
      <c r="HW81" s="387"/>
      <c r="HX81" s="387"/>
      <c r="HY81" s="1743"/>
      <c r="HZ81" s="1739"/>
      <c r="IA81" s="1741"/>
      <c r="IB81" s="1740"/>
      <c r="IC81" s="448"/>
      <c r="ID81" s="1741"/>
      <c r="IE81" s="1742"/>
      <c r="IF81" s="339"/>
      <c r="IG81" s="1739"/>
      <c r="IH81" s="1742"/>
      <c r="II81" s="1742" t="s">
        <v>9783</v>
      </c>
      <c r="IJ81" s="339"/>
      <c r="IK81" s="1741"/>
      <c r="IL81" s="387"/>
      <c r="IM81" s="131"/>
      <c r="IN81" s="1743"/>
      <c r="IO81" s="131" t="s">
        <v>9783</v>
      </c>
      <c r="IP81" s="1740"/>
      <c r="IQ81" s="1739"/>
      <c r="IR81" s="131"/>
      <c r="IS81" s="131"/>
      <c r="IT81" s="131"/>
      <c r="IU81" s="131"/>
      <c r="IV81" s="1739"/>
      <c r="IW81" s="1739"/>
      <c r="IX81" s="1739"/>
      <c r="IY81" s="387"/>
      <c r="IZ81" s="387"/>
      <c r="JA81" s="387"/>
      <c r="JB81" s="1743"/>
      <c r="JC81" s="1743"/>
      <c r="JD81" s="1741"/>
      <c r="JE81" s="1740"/>
      <c r="JF81" s="1739"/>
      <c r="JG81" s="1740"/>
      <c r="JH81" s="339"/>
      <c r="JI81" s="448"/>
      <c r="JJ81" s="131"/>
      <c r="JK81" s="131"/>
      <c r="JL81" s="131"/>
      <c r="JM81" s="131"/>
      <c r="JN81" s="1741"/>
      <c r="JO81" s="1741"/>
      <c r="JP81" s="1741"/>
      <c r="JQ81" s="387"/>
      <c r="JR81" s="387"/>
      <c r="JS81" s="1740"/>
      <c r="JT81" s="339"/>
      <c r="JU81" s="1740"/>
      <c r="JV81" s="1740"/>
      <c r="JW81" s="1740"/>
      <c r="JX81" s="387"/>
      <c r="JY81" s="387"/>
      <c r="JZ81" s="1741"/>
      <c r="KA81" s="131"/>
      <c r="KB81" s="1741"/>
      <c r="KC81" s="1740"/>
      <c r="KD81" s="1741"/>
      <c r="KE81" s="1743"/>
      <c r="KF81" s="339"/>
      <c r="KG81" s="1741"/>
      <c r="KH81" s="1742"/>
      <c r="KI81" s="387"/>
      <c r="KJ81" s="387"/>
      <c r="KK81" s="339"/>
      <c r="KL81" s="1741"/>
      <c r="KM81" s="387"/>
      <c r="KN81" s="1743"/>
      <c r="KO81" s="1742"/>
      <c r="KP81" s="448"/>
      <c r="KQ81" s="448"/>
      <c r="KR81" s="1744"/>
      <c r="KS81" s="1743"/>
      <c r="KT81" s="1743"/>
      <c r="KU81" s="1743" t="s">
        <v>9769</v>
      </c>
      <c r="KV81" s="387"/>
      <c r="KW81" s="1739"/>
      <c r="KX81" s="131"/>
      <c r="KY81" s="339"/>
      <c r="KZ81" s="339"/>
      <c r="LA81" s="339"/>
      <c r="LB81" s="1743"/>
      <c r="LC81" s="448"/>
      <c r="LD81" s="131"/>
      <c r="LE81" s="131"/>
      <c r="LF81" s="448"/>
      <c r="LG81" s="1739"/>
      <c r="LH81" s="387"/>
      <c r="LI81" s="387"/>
      <c r="LJ81" s="387"/>
      <c r="LK81" s="339"/>
      <c r="LL81" s="1739"/>
      <c r="LM81" s="1741"/>
      <c r="LN81" s="1744"/>
      <c r="LO81" s="448"/>
      <c r="LP81" s="1741"/>
      <c r="LQ81" s="1741"/>
      <c r="LR81" s="131"/>
      <c r="LS81" s="131"/>
      <c r="LT81" s="131"/>
      <c r="LU81" s="131"/>
      <c r="LV81" s="387"/>
      <c r="LW81" s="387"/>
      <c r="LX81" s="1740"/>
      <c r="LY81" s="1744"/>
      <c r="LZ81" s="339"/>
      <c r="MA81" s="1739"/>
      <c r="MB81" s="1743"/>
      <c r="MC81" s="387"/>
      <c r="MD81" s="1739"/>
      <c r="ME81" s="1739"/>
      <c r="MF81" s="1741"/>
      <c r="MG81" s="1744"/>
      <c r="MH81" s="448"/>
      <c r="MI81" s="131"/>
      <c r="MJ81" s="1743"/>
      <c r="MK81" s="1743"/>
      <c r="ML81" s="1741"/>
      <c r="MM81" s="1742"/>
      <c r="MN81" s="1740"/>
      <c r="MO81" s="131"/>
      <c r="MP81" s="1744"/>
      <c r="MQ81" s="1744"/>
      <c r="MR81" s="1744"/>
      <c r="MS81" s="1744"/>
      <c r="MT81" s="131"/>
      <c r="MU81" s="387"/>
      <c r="MV81" s="1740"/>
      <c r="MW81" s="387"/>
      <c r="MX81" s="1743"/>
      <c r="MY81" s="1743"/>
      <c r="MZ81" s="387"/>
      <c r="NA81" s="387"/>
      <c r="NB81" s="387"/>
      <c r="NC81" s="387"/>
      <c r="ND81" s="387"/>
      <c r="NE81" s="1742"/>
      <c r="NF81" s="1743"/>
      <c r="NG81" s="1742"/>
      <c r="NH81" s="387"/>
      <c r="NI81" s="1740"/>
      <c r="NJ81" s="387"/>
      <c r="NK81" s="387"/>
      <c r="NL81" s="387"/>
      <c r="NM81" s="387"/>
      <c r="NN81" s="1741"/>
      <c r="NO81" s="387"/>
      <c r="NP81" s="1743"/>
      <c r="NQ81" s="1739"/>
      <c r="NR81" s="387"/>
      <c r="NS81" s="387"/>
      <c r="NT81" s="1739"/>
      <c r="NU81" s="131"/>
      <c r="NV81" s="339"/>
      <c r="NW81" s="1739"/>
      <c r="NX81" s="1739"/>
      <c r="NY81" s="1739"/>
      <c r="NZ81" s="1739"/>
      <c r="OA81" s="131"/>
      <c r="OB81" s="131"/>
      <c r="OC81" s="131"/>
      <c r="OD81" s="1741"/>
      <c r="OE81" s="1741"/>
      <c r="OF81" s="1741"/>
      <c r="OG81" s="387"/>
      <c r="OH81" s="387"/>
      <c r="OI81" s="387"/>
      <c r="OJ81" s="1741"/>
      <c r="OK81" s="1741"/>
      <c r="OL81" s="1741"/>
      <c r="OM81" s="1741"/>
      <c r="ON81" s="1741"/>
      <c r="OO81" s="1739"/>
      <c r="OP81" s="1739"/>
      <c r="OQ81" s="387"/>
      <c r="OR81" s="387"/>
      <c r="OS81" s="387"/>
      <c r="OT81" s="131"/>
      <c r="OU81" s="131"/>
      <c r="OV81" s="387"/>
      <c r="OW81" s="387"/>
      <c r="OX81" s="1743"/>
      <c r="OY81" s="1743"/>
      <c r="OZ81" s="131"/>
      <c r="PA81" s="131"/>
      <c r="PB81" s="339"/>
      <c r="PC81" s="1742"/>
      <c r="PD81" s="339"/>
      <c r="PE81" s="339"/>
      <c r="PF81" s="339"/>
      <c r="PG81" s="1740"/>
      <c r="PH81" s="1741"/>
      <c r="PI81" s="1741"/>
      <c r="PJ81" s="1742"/>
      <c r="PK81" s="1742"/>
      <c r="PL81" s="448"/>
      <c r="PM81" s="448"/>
      <c r="PN81" s="448"/>
      <c r="PO81" s="448"/>
      <c r="PP81" s="448"/>
      <c r="PQ81" s="1741"/>
      <c r="PR81" s="1741"/>
      <c r="PS81" s="448"/>
      <c r="PT81" s="1744"/>
      <c r="PU81" s="1743"/>
      <c r="PV81" s="1743"/>
      <c r="PW81" s="339"/>
      <c r="PX81" s="448"/>
      <c r="PY81" s="448"/>
      <c r="PZ81" s="131"/>
      <c r="QA81" s="131"/>
      <c r="QB81" s="1741"/>
      <c r="QC81" s="1742"/>
      <c r="QD81" s="1742"/>
      <c r="QE81" s="1744"/>
      <c r="QF81" s="448"/>
      <c r="QG81" s="387"/>
      <c r="QH81" s="387"/>
      <c r="QI81" s="387"/>
      <c r="QJ81" s="1744"/>
      <c r="QK81" s="387"/>
      <c r="QL81" s="387"/>
      <c r="QM81" s="1741"/>
      <c r="QN81" s="1741"/>
      <c r="QO81" s="448"/>
      <c r="QP81" s="448"/>
      <c r="QQ81" s="387"/>
      <c r="QR81" s="387"/>
      <c r="QS81" s="131"/>
      <c r="QT81" s="387"/>
      <c r="QU81" s="387"/>
      <c r="QV81" s="387"/>
      <c r="QW81" s="1740"/>
      <c r="QX81" s="1740"/>
      <c r="QY81" s="1744"/>
      <c r="QZ81" s="1743"/>
      <c r="RA81" s="1742"/>
      <c r="RB81" s="1743"/>
      <c r="RC81" s="387"/>
      <c r="RD81" s="339"/>
      <c r="RE81" s="1739"/>
      <c r="RF81" s="1740"/>
      <c r="RG81" s="131"/>
      <c r="RH81" s="131"/>
      <c r="RI81" s="387"/>
      <c r="RJ81" s="448"/>
      <c r="RK81" s="1741"/>
      <c r="RL81" s="1739"/>
      <c r="RM81" s="1740" t="s">
        <v>9769</v>
      </c>
      <c r="RN81" s="1743"/>
      <c r="RO81" s="1744"/>
      <c r="RP81" s="1740"/>
      <c r="RQ81" s="1739"/>
      <c r="RR81" s="1739"/>
      <c r="RS81" s="1739"/>
      <c r="RT81" s="1739"/>
      <c r="RU81" s="1739"/>
      <c r="RV81" s="1739"/>
      <c r="RW81" s="339"/>
      <c r="RX81" s="1742"/>
      <c r="RY81" s="387"/>
      <c r="RZ81" s="1740"/>
      <c r="SA81" s="448"/>
      <c r="SB81" s="1741"/>
      <c r="SC81" s="1740"/>
      <c r="SD81" s="1744"/>
      <c r="SE81" s="1744"/>
      <c r="SF81" s="339"/>
      <c r="SG81" s="387"/>
      <c r="SH81" s="387"/>
      <c r="SI81" s="1744"/>
      <c r="SJ81" s="131"/>
      <c r="SK81" s="131"/>
      <c r="SL81" s="1743"/>
    </row>
    <row r="82" ht="15.75" customHeight="1">
      <c r="A82" s="1517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  <c r="CR82" s="148"/>
      <c r="CS82" s="148"/>
      <c r="CT82" s="148"/>
      <c r="CU82" s="148"/>
      <c r="CV82" s="148"/>
      <c r="CW82" s="148"/>
      <c r="CX82" s="148"/>
      <c r="CY82" s="148"/>
      <c r="CZ82" s="148"/>
      <c r="DA82" s="148"/>
      <c r="DB82" s="148"/>
      <c r="DC82" s="148"/>
      <c r="DD82" s="148"/>
      <c r="DE82" s="148"/>
      <c r="DF82" s="148"/>
      <c r="DG82" s="148"/>
      <c r="DH82" s="148"/>
      <c r="DI82" s="148"/>
      <c r="DJ82" s="148"/>
      <c r="DK82" s="148"/>
      <c r="DL82" s="148"/>
      <c r="DM82" s="148"/>
      <c r="DN82" s="148"/>
      <c r="DO82" s="148"/>
      <c r="DP82" s="148"/>
      <c r="DQ82" s="148"/>
      <c r="DR82" s="148"/>
      <c r="DS82" s="148"/>
      <c r="DT82" s="148"/>
      <c r="DU82" s="148"/>
      <c r="DV82" s="148"/>
      <c r="DW82" s="148"/>
      <c r="DX82" s="148"/>
      <c r="DY82" s="148"/>
      <c r="DZ82" s="148"/>
      <c r="EA82" s="148"/>
      <c r="EB82" s="148"/>
      <c r="EC82" s="148"/>
      <c r="ED82" s="148"/>
      <c r="EE82" s="148"/>
      <c r="EF82" s="148"/>
      <c r="EG82" s="148"/>
      <c r="EH82" s="148"/>
      <c r="EI82" s="148"/>
      <c r="EJ82" s="148"/>
      <c r="EK82" s="148"/>
      <c r="EL82" s="148"/>
      <c r="EM82" s="148"/>
      <c r="EN82" s="148"/>
      <c r="EO82" s="148"/>
      <c r="EP82" s="148"/>
      <c r="EQ82" s="148"/>
      <c r="ER82" s="148"/>
      <c r="ES82" s="148"/>
      <c r="ET82" s="148"/>
      <c r="EU82" s="148" t="s">
        <v>9749</v>
      </c>
      <c r="EV82" s="148"/>
      <c r="EW82" s="148"/>
      <c r="EX82" s="148"/>
      <c r="EY82" s="148"/>
      <c r="EZ82" s="148"/>
      <c r="FA82" s="148"/>
      <c r="FB82" s="148"/>
      <c r="FC82" s="148"/>
      <c r="FD82" s="148"/>
      <c r="FE82" s="148"/>
      <c r="FF82" s="148"/>
      <c r="FG82" s="148"/>
      <c r="FH82" s="148"/>
      <c r="FI82" s="148"/>
      <c r="FJ82" s="148"/>
      <c r="FK82" s="148"/>
      <c r="FL82" s="148"/>
      <c r="FM82" s="148"/>
      <c r="FN82" s="148"/>
      <c r="FO82" s="148"/>
      <c r="FP82" s="148"/>
      <c r="FQ82" s="148"/>
      <c r="FR82" s="148"/>
      <c r="FS82" s="148"/>
      <c r="FT82" s="148"/>
      <c r="FU82" s="148"/>
      <c r="FV82" s="148"/>
      <c r="FW82" s="148"/>
      <c r="FX82" s="148"/>
      <c r="FY82" s="148"/>
      <c r="FZ82" s="148"/>
      <c r="GA82" s="148"/>
      <c r="GB82" s="148"/>
      <c r="GC82" s="148"/>
      <c r="GD82" s="148"/>
      <c r="GE82" s="148"/>
      <c r="GF82" s="148"/>
      <c r="GG82" s="148"/>
      <c r="GH82" s="148"/>
      <c r="GI82" s="148"/>
      <c r="GJ82" s="148"/>
      <c r="GK82" s="148"/>
      <c r="GL82" s="148"/>
      <c r="GM82" s="148"/>
      <c r="GN82" s="148"/>
      <c r="GO82" s="148"/>
      <c r="GP82" s="148"/>
      <c r="GQ82" s="148"/>
      <c r="GR82" s="148"/>
      <c r="GS82" s="148"/>
      <c r="GT82" s="148"/>
      <c r="GU82" s="148"/>
      <c r="GV82" s="148"/>
      <c r="GW82" s="148"/>
      <c r="GX82" s="148"/>
      <c r="GY82" s="148"/>
      <c r="GZ82" s="148"/>
      <c r="HA82" s="148"/>
      <c r="HB82" s="148"/>
      <c r="HC82" s="148"/>
      <c r="HD82" s="148"/>
      <c r="HE82" s="148"/>
      <c r="HF82" s="148"/>
      <c r="HG82" s="148"/>
      <c r="HH82" s="148"/>
      <c r="HI82" s="148"/>
      <c r="HJ82" s="148"/>
      <c r="HK82" s="148"/>
      <c r="HL82" s="148"/>
      <c r="HM82" s="148"/>
      <c r="HN82" s="148"/>
      <c r="HO82" s="148"/>
      <c r="HP82" s="148"/>
      <c r="HQ82" s="148"/>
      <c r="HR82" s="148"/>
      <c r="HS82" s="148"/>
      <c r="HT82" s="148"/>
      <c r="HU82" s="148"/>
      <c r="HV82" s="148"/>
      <c r="HW82" s="148"/>
      <c r="HX82" s="148"/>
      <c r="HY82" s="148"/>
      <c r="HZ82" s="148"/>
      <c r="IA82" s="148"/>
      <c r="IB82" s="148"/>
      <c r="IC82" s="148"/>
      <c r="ID82" s="148"/>
      <c r="IE82" s="148"/>
      <c r="IF82" s="148"/>
      <c r="IG82" s="148"/>
      <c r="IH82" s="148"/>
      <c r="II82" s="148"/>
      <c r="IJ82" s="148"/>
      <c r="IK82" s="148"/>
      <c r="IL82" s="148"/>
      <c r="IM82" s="148"/>
      <c r="IN82" s="148"/>
      <c r="IO82" s="148"/>
      <c r="IP82" s="148"/>
      <c r="IQ82" s="148"/>
      <c r="IR82" s="148"/>
      <c r="IS82" s="148"/>
      <c r="IT82" s="148"/>
      <c r="IU82" s="148"/>
      <c r="IV82" s="148"/>
      <c r="IW82" s="148"/>
      <c r="IX82" s="148"/>
      <c r="IY82" s="148"/>
      <c r="IZ82" s="148"/>
      <c r="JA82" s="148"/>
      <c r="JB82" s="148"/>
      <c r="JC82" s="148"/>
      <c r="JD82" s="148"/>
      <c r="JE82" s="148"/>
      <c r="JF82" s="148"/>
      <c r="JG82" s="148"/>
      <c r="JH82" s="148"/>
      <c r="JI82" s="148"/>
      <c r="JJ82" s="148"/>
      <c r="JK82" s="1746"/>
      <c r="JL82" s="1746"/>
      <c r="JM82" s="1746"/>
      <c r="JN82" s="1746"/>
      <c r="JO82" s="1746"/>
      <c r="JP82" s="1746"/>
      <c r="JQ82" s="1746"/>
      <c r="JR82" s="1746"/>
      <c r="JS82" s="148"/>
      <c r="JT82" s="148"/>
      <c r="JU82" s="148"/>
      <c r="JV82" s="148"/>
      <c r="JW82" s="148"/>
      <c r="JX82" s="1746"/>
      <c r="JY82" s="1746"/>
      <c r="JZ82" s="1746"/>
      <c r="KA82" s="1746"/>
      <c r="KB82" s="1746"/>
      <c r="KC82" s="148"/>
      <c r="KD82" s="1746"/>
      <c r="KE82" s="1746"/>
      <c r="KF82" s="148"/>
      <c r="KG82" s="1746"/>
      <c r="KH82" s="1746"/>
      <c r="KI82" s="1746"/>
      <c r="KJ82" s="148"/>
      <c r="KK82" s="1746"/>
      <c r="KL82" s="1746"/>
      <c r="KM82" s="1746"/>
      <c r="KN82" s="1746"/>
      <c r="KO82" s="148"/>
      <c r="KP82" s="1746"/>
      <c r="KQ82" s="148"/>
      <c r="KR82" s="148"/>
      <c r="KS82" s="1746"/>
      <c r="KT82" s="1746"/>
      <c r="KU82" s="148" t="s">
        <v>9783</v>
      </c>
      <c r="KV82" s="1746"/>
      <c r="KW82" s="148"/>
      <c r="KX82" s="1746"/>
      <c r="KY82" s="1746"/>
      <c r="KZ82" s="1746"/>
      <c r="LA82" s="1746"/>
      <c r="LB82" s="1746"/>
      <c r="LC82" s="1746"/>
      <c r="LD82" s="148"/>
      <c r="LE82" s="1746"/>
      <c r="LF82" s="1746"/>
      <c r="LG82" s="1746"/>
      <c r="LH82" s="148"/>
      <c r="LI82" s="1746"/>
      <c r="LJ82" s="1746"/>
      <c r="LK82" s="1746"/>
      <c r="LL82" s="1746"/>
      <c r="LM82" s="1746"/>
      <c r="LN82" s="1746"/>
      <c r="LO82" s="1746"/>
      <c r="LP82" s="148"/>
      <c r="LQ82" s="1746"/>
      <c r="LR82" s="1746"/>
      <c r="LS82" s="148"/>
      <c r="LT82" s="1746"/>
      <c r="LU82" s="148"/>
      <c r="LV82" s="1746"/>
      <c r="LW82" s="148"/>
      <c r="LX82" s="148"/>
      <c r="LY82" s="1746"/>
      <c r="LZ82" s="1746"/>
      <c r="MA82" s="1746"/>
      <c r="MB82" s="1746"/>
      <c r="MC82" s="148"/>
      <c r="MD82" s="1746"/>
      <c r="ME82" s="1746"/>
      <c r="MF82" s="1746"/>
      <c r="MG82" s="148"/>
      <c r="MH82" s="1746"/>
      <c r="MI82" s="1746"/>
      <c r="MJ82" s="1746"/>
      <c r="MK82" s="1746"/>
      <c r="ML82" s="1746"/>
      <c r="MM82" s="148"/>
      <c r="MN82" s="148"/>
      <c r="MO82" s="148"/>
      <c r="MP82" s="1746"/>
      <c r="MQ82" s="1746"/>
      <c r="MR82" s="1746"/>
      <c r="MS82" s="148"/>
      <c r="MT82" s="148"/>
      <c r="MU82" s="1746"/>
      <c r="MV82" s="148"/>
      <c r="MW82" s="1746"/>
      <c r="MX82" s="1746"/>
      <c r="MY82" s="148"/>
      <c r="MZ82" s="1746"/>
      <c r="NA82" s="1746"/>
      <c r="NB82" s="148"/>
      <c r="NC82" s="1746"/>
      <c r="ND82" s="1746"/>
      <c r="NE82" s="1746"/>
      <c r="NF82" s="148"/>
      <c r="NG82" s="1746"/>
      <c r="NH82" s="1746"/>
      <c r="NI82" s="148"/>
      <c r="NJ82" s="148"/>
      <c r="NK82" s="1746"/>
      <c r="NL82" s="1746"/>
      <c r="NM82" s="1746"/>
      <c r="NN82" s="1746"/>
      <c r="NO82" s="1746"/>
      <c r="NP82" s="1746"/>
      <c r="NQ82" s="1746"/>
      <c r="NR82" s="1746"/>
      <c r="NS82" s="1746"/>
      <c r="NT82" s="1746"/>
      <c r="NU82" s="1746"/>
      <c r="NV82" s="1746"/>
      <c r="NW82" s="1746"/>
      <c r="NX82" s="1746"/>
      <c r="NY82" s="1746"/>
      <c r="NZ82" s="1746"/>
      <c r="OA82" s="1746"/>
      <c r="OB82" s="1746"/>
      <c r="OC82" s="1746"/>
      <c r="OD82" s="1746"/>
      <c r="OE82" s="1746"/>
      <c r="OF82" s="1746"/>
      <c r="OG82" s="1746"/>
      <c r="OH82" s="1746"/>
      <c r="OI82" s="1746"/>
      <c r="OJ82" s="1746"/>
      <c r="OK82" s="1746"/>
      <c r="OL82" s="1746"/>
      <c r="OM82" s="1746"/>
      <c r="ON82" s="1746"/>
      <c r="OO82" s="1746"/>
      <c r="OP82" s="148"/>
      <c r="OQ82" s="1746"/>
      <c r="OR82" s="1746"/>
      <c r="OS82" s="1746"/>
      <c r="OT82" s="1746"/>
      <c r="OU82" s="1746"/>
      <c r="OV82" s="1746"/>
      <c r="OW82" s="1746"/>
      <c r="OX82" s="1746"/>
      <c r="OY82" s="1746"/>
      <c r="OZ82" s="1746"/>
      <c r="PA82" s="1746"/>
      <c r="PB82" s="1746"/>
      <c r="PC82" s="1746"/>
      <c r="PD82" s="1746"/>
      <c r="PE82" s="1746"/>
      <c r="PF82" s="1746"/>
      <c r="PG82" s="148"/>
      <c r="PH82" s="1746"/>
      <c r="PI82" s="1746"/>
      <c r="PJ82" s="1746"/>
      <c r="PK82" s="1746"/>
      <c r="PL82" s="1746"/>
      <c r="PM82" s="1746"/>
      <c r="PN82" s="1746"/>
      <c r="PO82" s="1746"/>
      <c r="PP82" s="1746"/>
      <c r="PQ82" s="1746"/>
      <c r="PR82" s="148"/>
      <c r="PS82" s="1746"/>
      <c r="PT82" s="1746"/>
      <c r="PU82" s="1746"/>
      <c r="PV82" s="1746"/>
      <c r="PW82" s="1746"/>
      <c r="PX82" s="1746"/>
      <c r="PY82" s="148"/>
      <c r="PZ82" s="1746"/>
      <c r="QA82" s="1746"/>
      <c r="QB82" s="1746"/>
      <c r="QC82" s="1746"/>
      <c r="QD82" s="1746"/>
      <c r="QE82" s="1746"/>
      <c r="QF82" s="1746"/>
      <c r="QG82" s="1746"/>
      <c r="QH82" s="1746"/>
      <c r="QI82" s="1746"/>
      <c r="QJ82" s="1746"/>
      <c r="QK82" s="1746"/>
      <c r="QL82" s="148"/>
      <c r="QM82" s="1746"/>
      <c r="QN82" s="1746"/>
      <c r="QO82" s="1746"/>
      <c r="QP82" s="1746"/>
      <c r="QQ82" s="1746"/>
      <c r="QR82" s="1746"/>
      <c r="QS82" s="1746"/>
      <c r="QT82" s="1746"/>
      <c r="QU82" s="1746"/>
      <c r="QV82" s="1746"/>
      <c r="QW82" s="148"/>
      <c r="QX82" s="148"/>
      <c r="QY82" s="148"/>
      <c r="QZ82" s="148"/>
      <c r="RA82" s="148"/>
      <c r="RB82" s="148"/>
      <c r="RC82" s="1746"/>
      <c r="RD82" s="148"/>
      <c r="RE82" s="1746"/>
      <c r="RF82" s="148"/>
      <c r="RG82" s="148"/>
      <c r="RH82" s="1746"/>
      <c r="RI82" s="1746"/>
      <c r="RJ82" s="148"/>
      <c r="RK82" s="148"/>
      <c r="RL82" s="148"/>
      <c r="RM82" s="148"/>
      <c r="RN82" s="148"/>
      <c r="RO82" s="148"/>
      <c r="RP82" s="148"/>
      <c r="RQ82" s="1746"/>
      <c r="RR82" s="1746"/>
      <c r="RS82" s="1746"/>
      <c r="RT82" s="1746"/>
      <c r="RU82" s="1746"/>
      <c r="RV82" s="1746"/>
      <c r="RW82" s="1746"/>
      <c r="RX82" s="1746"/>
      <c r="RY82" s="1746"/>
      <c r="RZ82" s="148"/>
      <c r="SA82" s="1746"/>
      <c r="SB82" s="1746"/>
      <c r="SC82" s="148"/>
      <c r="SD82" s="1746"/>
      <c r="SE82" s="1746"/>
      <c r="SF82" s="1746"/>
      <c r="SG82" s="1746"/>
      <c r="SH82" s="1746"/>
      <c r="SI82" s="1746"/>
      <c r="SJ82" s="1746"/>
      <c r="SK82" s="1746"/>
      <c r="SL82" s="1746"/>
    </row>
    <row r="83" ht="15.75" customHeight="1">
      <c r="A83" s="1517"/>
      <c r="B83" s="131"/>
      <c r="C83" s="131"/>
      <c r="D83" s="131"/>
      <c r="E83" s="1739"/>
      <c r="F83" s="1739"/>
      <c r="G83" s="1739"/>
      <c r="H83" s="387"/>
      <c r="I83" s="387"/>
      <c r="J83" s="387"/>
      <c r="K83" s="131"/>
      <c r="L83" s="131"/>
      <c r="M83" s="1740"/>
      <c r="N83" s="1741"/>
      <c r="O83" s="339"/>
      <c r="P83" s="339"/>
      <c r="Q83" s="1741"/>
      <c r="R83" s="1741"/>
      <c r="S83" s="1741"/>
      <c r="T83" s="448"/>
      <c r="U83" s="1741"/>
      <c r="V83" s="1741"/>
      <c r="W83" s="1741"/>
      <c r="X83" s="448"/>
      <c r="Y83" s="448"/>
      <c r="Z83" s="339"/>
      <c r="AA83" s="339"/>
      <c r="AB83" s="339"/>
      <c r="AC83" s="339"/>
      <c r="AD83" s="387"/>
      <c r="AE83" s="387"/>
      <c r="AF83" s="387"/>
      <c r="AG83" s="448"/>
      <c r="AH83" s="448"/>
      <c r="AI83" s="448"/>
      <c r="AJ83" s="1742"/>
      <c r="AK83" s="1742"/>
      <c r="AL83" s="1741"/>
      <c r="AM83" s="339"/>
      <c r="AN83" s="1742"/>
      <c r="AO83" s="1742"/>
      <c r="AP83" s="448"/>
      <c r="AQ83" s="448"/>
      <c r="AR83" s="387"/>
      <c r="AS83" s="387"/>
      <c r="AT83" s="1739"/>
      <c r="AU83" s="1739"/>
      <c r="AV83" s="1739"/>
      <c r="AW83" s="448"/>
      <c r="AX83" s="448"/>
      <c r="AY83" s="1741"/>
      <c r="AZ83" s="1741"/>
      <c r="BA83" s="339"/>
      <c r="BB83" s="339"/>
      <c r="BC83" s="339"/>
      <c r="BD83" s="387"/>
      <c r="BE83" s="1741"/>
      <c r="BF83" s="1741"/>
      <c r="BG83" s="1741"/>
      <c r="BH83" s="1741"/>
      <c r="BI83" s="387"/>
      <c r="BJ83" s="387"/>
      <c r="BK83" s="387"/>
      <c r="BL83" s="1741"/>
      <c r="BM83" s="1741"/>
      <c r="BN83" s="1741"/>
      <c r="BO83" s="1743"/>
      <c r="BP83" s="1743"/>
      <c r="BQ83" s="1743"/>
      <c r="BR83" s="131"/>
      <c r="BS83" s="131"/>
      <c r="BT83" s="131"/>
      <c r="BU83" s="387"/>
      <c r="BV83" s="387"/>
      <c r="BW83" s="1741"/>
      <c r="BX83" s="1741"/>
      <c r="BY83" s="1741"/>
      <c r="BZ83" s="339"/>
      <c r="CA83" s="339"/>
      <c r="CB83" s="1742"/>
      <c r="CC83" s="1742"/>
      <c r="CD83" s="1743"/>
      <c r="CE83" s="1743"/>
      <c r="CF83" s="1741"/>
      <c r="CG83" s="1741"/>
      <c r="CH83" s="1741"/>
      <c r="CI83" s="1740"/>
      <c r="CJ83" s="1740"/>
      <c r="CK83" s="448"/>
      <c r="CL83" s="448"/>
      <c r="CM83" s="448"/>
      <c r="CN83" s="448"/>
      <c r="CO83" s="448"/>
      <c r="CP83" s="448"/>
      <c r="CQ83" s="448"/>
      <c r="CR83" s="1743"/>
      <c r="CS83" s="339"/>
      <c r="CT83" s="339"/>
      <c r="CU83" s="1739"/>
      <c r="CV83" s="1739"/>
      <c r="CW83" s="1739"/>
      <c r="CX83" s="1739"/>
      <c r="CY83" s="1742"/>
      <c r="CZ83" s="339"/>
      <c r="DA83" s="1741"/>
      <c r="DB83" s="1741"/>
      <c r="DC83" s="1741"/>
      <c r="DD83" s="1741"/>
      <c r="DE83" s="1742"/>
      <c r="DF83" s="448"/>
      <c r="DG83" s="448"/>
      <c r="DH83" s="1743"/>
      <c r="DI83" s="1743"/>
      <c r="DJ83" s="1742"/>
      <c r="DK83" s="387"/>
      <c r="DL83" s="1741"/>
      <c r="DM83" s="387"/>
      <c r="DN83" s="387"/>
      <c r="DO83" s="1739"/>
      <c r="DP83" s="1739"/>
      <c r="DQ83" s="1741"/>
      <c r="DR83" s="448"/>
      <c r="DS83" s="1742"/>
      <c r="DT83" s="131"/>
      <c r="DU83" s="1739"/>
      <c r="DV83" s="339"/>
      <c r="DW83" s="1739"/>
      <c r="DX83" s="1741"/>
      <c r="DY83" s="1741"/>
      <c r="DZ83" s="1739"/>
      <c r="EA83" s="387"/>
      <c r="EB83" s="387"/>
      <c r="EC83" s="448"/>
      <c r="ED83" s="1741"/>
      <c r="EE83" s="387"/>
      <c r="EF83" s="339"/>
      <c r="EG83" s="1739"/>
      <c r="EH83" s="1742"/>
      <c r="EI83" s="387"/>
      <c r="EJ83" s="387"/>
      <c r="EK83" s="1741"/>
      <c r="EL83" s="1741"/>
      <c r="EM83" s="448"/>
      <c r="EN83" s="1744"/>
      <c r="EO83" s="387"/>
      <c r="EP83" s="339"/>
      <c r="EQ83" s="339"/>
      <c r="ER83" s="387"/>
      <c r="ES83" s="387"/>
      <c r="ET83" s="1741"/>
      <c r="EU83" s="448" t="s">
        <v>9757</v>
      </c>
      <c r="EV83" s="1742"/>
      <c r="EW83" s="131"/>
      <c r="EX83" s="131"/>
      <c r="EY83" s="131"/>
      <c r="EZ83" s="339"/>
      <c r="FA83" s="339"/>
      <c r="FB83" s="339"/>
      <c r="FC83" s="387"/>
      <c r="FD83" s="387"/>
      <c r="FE83" s="387"/>
      <c r="FF83" s="1741"/>
      <c r="FG83" s="1741"/>
      <c r="FH83" s="1741"/>
      <c r="FI83" s="1741"/>
      <c r="FJ83" s="1739"/>
      <c r="FK83" s="1739"/>
      <c r="FL83" s="131"/>
      <c r="FM83" s="1739"/>
      <c r="FN83" s="448"/>
      <c r="FO83" s="387"/>
      <c r="FP83" s="387"/>
      <c r="FQ83" s="339"/>
      <c r="FR83" s="1742"/>
      <c r="FS83" s="1742"/>
      <c r="FT83" s="1740"/>
      <c r="FU83" s="1740"/>
      <c r="FV83" s="131"/>
      <c r="FW83" s="131"/>
      <c r="FX83" s="1740"/>
      <c r="FY83" s="1742"/>
      <c r="FZ83" s="339"/>
      <c r="GA83" s="131"/>
      <c r="GB83" s="387"/>
      <c r="GC83" s="387"/>
      <c r="GD83" s="1741"/>
      <c r="GE83" s="131"/>
      <c r="GF83" s="1742"/>
      <c r="GG83" s="131"/>
      <c r="GH83" s="387"/>
      <c r="GI83" s="448"/>
      <c r="GJ83" s="339"/>
      <c r="GK83" s="339"/>
      <c r="GL83" s="1739"/>
      <c r="GM83" s="387"/>
      <c r="GN83" s="387"/>
      <c r="GO83" s="448"/>
      <c r="GP83" s="1744"/>
      <c r="GQ83" s="1744"/>
      <c r="GR83" s="1742"/>
      <c r="GS83" s="1743"/>
      <c r="GT83" s="1744"/>
      <c r="GU83" s="387"/>
      <c r="GV83" s="339"/>
      <c r="GW83" s="1743"/>
      <c r="GX83" s="448"/>
      <c r="GY83" s="339"/>
      <c r="GZ83" s="448"/>
      <c r="HA83" s="1743"/>
      <c r="HB83" s="1742"/>
      <c r="HC83" s="448"/>
      <c r="HD83" s="1743"/>
      <c r="HE83" s="1739"/>
      <c r="HF83" s="339"/>
      <c r="HG83" s="387"/>
      <c r="HH83" s="1744"/>
      <c r="HI83" s="1741"/>
      <c r="HJ83" s="1741"/>
      <c r="HK83" s="1739"/>
      <c r="HL83" s="1739"/>
      <c r="HM83" s="1741"/>
      <c r="HN83" s="1741"/>
      <c r="HO83" s="1742"/>
      <c r="HP83" s="1743"/>
      <c r="HQ83" s="1739"/>
      <c r="HR83" s="1739"/>
      <c r="HS83" s="448"/>
      <c r="HT83" s="1743"/>
      <c r="HU83" s="1744"/>
      <c r="HV83" s="1744"/>
      <c r="HW83" s="387"/>
      <c r="HX83" s="387"/>
      <c r="HY83" s="1743"/>
      <c r="HZ83" s="1739"/>
      <c r="IA83" s="1741"/>
      <c r="IB83" s="1740"/>
      <c r="IC83" s="448"/>
      <c r="ID83" s="1741"/>
      <c r="IE83" s="1742"/>
      <c r="IF83" s="339"/>
      <c r="IG83" s="1739"/>
      <c r="IH83" s="1742"/>
      <c r="II83" s="1742"/>
      <c r="IJ83" s="339"/>
      <c r="IK83" s="1741"/>
      <c r="IL83" s="387"/>
      <c r="IM83" s="131"/>
      <c r="IN83" s="1743"/>
      <c r="IO83" s="131"/>
      <c r="IP83" s="1740"/>
      <c r="IQ83" s="1739"/>
      <c r="IR83" s="131"/>
      <c r="IS83" s="131"/>
      <c r="IT83" s="131"/>
      <c r="IU83" s="131"/>
      <c r="IV83" s="1739"/>
      <c r="IW83" s="1739"/>
      <c r="IX83" s="1739"/>
      <c r="IY83" s="387"/>
      <c r="IZ83" s="387"/>
      <c r="JA83" s="387"/>
      <c r="JB83" s="1743"/>
      <c r="JC83" s="1743"/>
      <c r="JD83" s="1741"/>
      <c r="JE83" s="1740"/>
      <c r="JF83" s="1739"/>
      <c r="JG83" s="1740"/>
      <c r="JH83" s="339"/>
      <c r="JI83" s="448"/>
      <c r="JJ83" s="131"/>
      <c r="JK83" s="131"/>
      <c r="JL83" s="131"/>
      <c r="JM83" s="131"/>
      <c r="JN83" s="1741"/>
      <c r="JO83" s="1741"/>
      <c r="JP83" s="1741"/>
      <c r="JQ83" s="387"/>
      <c r="JR83" s="387"/>
      <c r="JS83" s="1740"/>
      <c r="JT83" s="339"/>
      <c r="JU83" s="1740"/>
      <c r="JV83" s="1740"/>
      <c r="JW83" s="1740"/>
      <c r="JX83" s="387"/>
      <c r="JY83" s="387"/>
      <c r="JZ83" s="1741"/>
      <c r="KA83" s="131"/>
      <c r="KB83" s="1741"/>
      <c r="KC83" s="1740"/>
      <c r="KD83" s="1741"/>
      <c r="KE83" s="1743"/>
      <c r="KF83" s="339"/>
      <c r="KG83" s="1741"/>
      <c r="KH83" s="1742"/>
      <c r="KI83" s="387"/>
      <c r="KJ83" s="387"/>
      <c r="KK83" s="339"/>
      <c r="KL83" s="1741"/>
      <c r="KM83" s="387"/>
      <c r="KN83" s="1743"/>
      <c r="KO83" s="1742"/>
      <c r="KP83" s="448"/>
      <c r="KQ83" s="448"/>
      <c r="KR83" s="1744"/>
      <c r="KS83" s="1743"/>
      <c r="KT83" s="1743"/>
      <c r="KU83" s="1743"/>
      <c r="KV83" s="387"/>
      <c r="KW83" s="1739"/>
      <c r="KX83" s="131"/>
      <c r="KY83" s="339"/>
      <c r="KZ83" s="339"/>
      <c r="LA83" s="339"/>
      <c r="LB83" s="1743"/>
      <c r="LC83" s="448"/>
      <c r="LD83" s="131"/>
      <c r="LE83" s="131"/>
      <c r="LF83" s="448"/>
      <c r="LG83" s="1739"/>
      <c r="LH83" s="387"/>
      <c r="LI83" s="387"/>
      <c r="LJ83" s="387"/>
      <c r="LK83" s="339"/>
      <c r="LL83" s="1739"/>
      <c r="LM83" s="1741"/>
      <c r="LN83" s="1744"/>
      <c r="LO83" s="448"/>
      <c r="LP83" s="1741"/>
      <c r="LQ83" s="1741"/>
      <c r="LR83" s="131"/>
      <c r="LS83" s="131"/>
      <c r="LT83" s="131"/>
      <c r="LU83" s="131"/>
      <c r="LV83" s="387"/>
      <c r="LW83" s="387"/>
      <c r="LX83" s="1740"/>
      <c r="LY83" s="1744"/>
      <c r="LZ83" s="339"/>
      <c r="MA83" s="1739"/>
      <c r="MB83" s="1743"/>
      <c r="MC83" s="387"/>
      <c r="MD83" s="1739"/>
      <c r="ME83" s="1739"/>
      <c r="MF83" s="1741"/>
      <c r="MG83" s="1744"/>
      <c r="MH83" s="448"/>
      <c r="MI83" s="131"/>
      <c r="MJ83" s="1743"/>
      <c r="MK83" s="1743"/>
      <c r="ML83" s="1741"/>
      <c r="MM83" s="1742"/>
      <c r="MN83" s="1740"/>
      <c r="MO83" s="131"/>
      <c r="MP83" s="1744"/>
      <c r="MQ83" s="1744"/>
      <c r="MR83" s="1744"/>
      <c r="MS83" s="1744"/>
      <c r="MT83" s="131"/>
      <c r="MU83" s="387"/>
      <c r="MV83" s="1740"/>
      <c r="MW83" s="387"/>
      <c r="MX83" s="1743"/>
      <c r="MY83" s="1743"/>
      <c r="MZ83" s="387"/>
      <c r="NA83" s="387"/>
      <c r="NB83" s="387"/>
      <c r="NC83" s="387"/>
      <c r="ND83" s="387"/>
      <c r="NE83" s="1742"/>
      <c r="NF83" s="1743"/>
      <c r="NG83" s="1742"/>
      <c r="NH83" s="387"/>
      <c r="NI83" s="1740"/>
      <c r="NJ83" s="387"/>
      <c r="NK83" s="387"/>
      <c r="NL83" s="387"/>
      <c r="NM83" s="387"/>
      <c r="NN83" s="1741"/>
      <c r="NO83" s="387"/>
      <c r="NP83" s="1743"/>
      <c r="NQ83" s="1739"/>
      <c r="NR83" s="387"/>
      <c r="NS83" s="387"/>
      <c r="NT83" s="1739"/>
      <c r="NU83" s="131"/>
      <c r="NV83" s="339"/>
      <c r="NW83" s="1739"/>
      <c r="NX83" s="1739"/>
      <c r="NY83" s="1739"/>
      <c r="NZ83" s="1739"/>
      <c r="OA83" s="131"/>
      <c r="OB83" s="131"/>
      <c r="OC83" s="131"/>
      <c r="OD83" s="1741"/>
      <c r="OE83" s="1741"/>
      <c r="OF83" s="1741"/>
      <c r="OG83" s="387"/>
      <c r="OH83" s="387"/>
      <c r="OI83" s="387"/>
      <c r="OJ83" s="1741"/>
      <c r="OK83" s="1741"/>
      <c r="OL83" s="1741"/>
      <c r="OM83" s="1741"/>
      <c r="ON83" s="1741"/>
      <c r="OO83" s="1739"/>
      <c r="OP83" s="1739"/>
      <c r="OQ83" s="387"/>
      <c r="OR83" s="387"/>
      <c r="OS83" s="387"/>
      <c r="OT83" s="131"/>
      <c r="OU83" s="131"/>
      <c r="OV83" s="387"/>
      <c r="OW83" s="387"/>
      <c r="OX83" s="1743"/>
      <c r="OY83" s="1743"/>
      <c r="OZ83" s="131"/>
      <c r="PA83" s="131"/>
      <c r="PB83" s="339"/>
      <c r="PC83" s="1742"/>
      <c r="PD83" s="339"/>
      <c r="PE83" s="339"/>
      <c r="PF83" s="339"/>
      <c r="PG83" s="1740"/>
      <c r="PH83" s="1741"/>
      <c r="PI83" s="1741"/>
      <c r="PJ83" s="1742"/>
      <c r="PK83" s="1742"/>
      <c r="PL83" s="448"/>
      <c r="PM83" s="448"/>
      <c r="PN83" s="448"/>
      <c r="PO83" s="448"/>
      <c r="PP83" s="448"/>
      <c r="PQ83" s="1741"/>
      <c r="PR83" s="1741"/>
      <c r="PS83" s="448"/>
      <c r="PT83" s="1744"/>
      <c r="PU83" s="1743"/>
      <c r="PV83" s="1743"/>
      <c r="PW83" s="339"/>
      <c r="PX83" s="448"/>
      <c r="PY83" s="448"/>
      <c r="PZ83" s="131"/>
      <c r="QA83" s="131"/>
      <c r="QB83" s="1741"/>
      <c r="QC83" s="1742"/>
      <c r="QD83" s="1742"/>
      <c r="QE83" s="1744"/>
      <c r="QF83" s="448"/>
      <c r="QG83" s="387"/>
      <c r="QH83" s="387"/>
      <c r="QI83" s="387"/>
      <c r="QJ83" s="1744"/>
      <c r="QK83" s="387"/>
      <c r="QL83" s="387"/>
      <c r="QM83" s="1741"/>
      <c r="QN83" s="1741"/>
      <c r="QO83" s="448"/>
      <c r="QP83" s="448"/>
      <c r="QQ83" s="387"/>
      <c r="QR83" s="387"/>
      <c r="QS83" s="131"/>
      <c r="QT83" s="387"/>
      <c r="QU83" s="387"/>
      <c r="QV83" s="387"/>
      <c r="QW83" s="1740"/>
      <c r="QX83" s="1740"/>
      <c r="QY83" s="1744"/>
      <c r="QZ83" s="1743"/>
      <c r="RA83" s="1742"/>
      <c r="RB83" s="1743"/>
      <c r="RC83" s="387"/>
      <c r="RD83" s="339"/>
      <c r="RE83" s="1739"/>
      <c r="RF83" s="1740"/>
      <c r="RG83" s="131"/>
      <c r="RH83" s="131"/>
      <c r="RI83" s="387"/>
      <c r="RJ83" s="448"/>
      <c r="RK83" s="1741"/>
      <c r="RL83" s="1739"/>
      <c r="RM83" s="1740"/>
      <c r="RN83" s="1743"/>
      <c r="RO83" s="1744"/>
      <c r="RP83" s="1740"/>
      <c r="RQ83" s="1739"/>
      <c r="RR83" s="1739"/>
      <c r="RS83" s="1739"/>
      <c r="RT83" s="1739"/>
      <c r="RU83" s="1739"/>
      <c r="RV83" s="1739"/>
      <c r="RW83" s="339"/>
      <c r="RX83" s="1742"/>
      <c r="RY83" s="387"/>
      <c r="RZ83" s="1740"/>
      <c r="SA83" s="448"/>
      <c r="SB83" s="1741"/>
      <c r="SC83" s="1740"/>
      <c r="SD83" s="1744"/>
      <c r="SE83" s="1744"/>
      <c r="SF83" s="339"/>
      <c r="SG83" s="387"/>
      <c r="SH83" s="387"/>
      <c r="SI83" s="1744"/>
      <c r="SJ83" s="131"/>
      <c r="SK83" s="131"/>
      <c r="SL83" s="1743"/>
    </row>
    <row r="84" ht="15.75" customHeight="1">
      <c r="A84" s="1517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48"/>
      <c r="DP84" s="148"/>
      <c r="DQ84" s="148"/>
      <c r="DR84" s="148"/>
      <c r="DS84" s="148"/>
      <c r="DT84" s="148"/>
      <c r="DU84" s="148"/>
      <c r="DV84" s="148"/>
      <c r="DW84" s="148"/>
      <c r="DX84" s="148"/>
      <c r="DY84" s="148"/>
      <c r="DZ84" s="148"/>
      <c r="EA84" s="148"/>
      <c r="EB84" s="148"/>
      <c r="EC84" s="148"/>
      <c r="ED84" s="148"/>
      <c r="EE84" s="148"/>
      <c r="EF84" s="148"/>
      <c r="EG84" s="148"/>
      <c r="EH84" s="148"/>
      <c r="EI84" s="148"/>
      <c r="EJ84" s="148"/>
      <c r="EK84" s="148"/>
      <c r="EL84" s="148"/>
      <c r="EM84" s="148"/>
      <c r="EN84" s="148"/>
      <c r="EO84" s="148"/>
      <c r="EP84" s="148"/>
      <c r="EQ84" s="148"/>
      <c r="ER84" s="148"/>
      <c r="ES84" s="148"/>
      <c r="ET84" s="148"/>
      <c r="EU84" s="448" t="s">
        <v>9747</v>
      </c>
      <c r="EV84" s="148"/>
      <c r="EW84" s="148"/>
      <c r="EX84" s="148"/>
      <c r="EY84" s="148"/>
      <c r="EZ84" s="148"/>
      <c r="FA84" s="148"/>
      <c r="FB84" s="148"/>
      <c r="FC84" s="148"/>
      <c r="FD84" s="148"/>
      <c r="FE84" s="148"/>
      <c r="FF84" s="148"/>
      <c r="FG84" s="148"/>
      <c r="FH84" s="148"/>
      <c r="FI84" s="148"/>
      <c r="FJ84" s="148"/>
      <c r="FK84" s="148"/>
      <c r="FL84" s="148"/>
      <c r="FM84" s="148"/>
      <c r="FN84" s="148"/>
      <c r="FO84" s="148"/>
      <c r="FP84" s="148"/>
      <c r="FQ84" s="148"/>
      <c r="FR84" s="148"/>
      <c r="FS84" s="148"/>
      <c r="FT84" s="148"/>
      <c r="FU84" s="148"/>
      <c r="FV84" s="148"/>
      <c r="FW84" s="148"/>
      <c r="FX84" s="148"/>
      <c r="FY84" s="148"/>
      <c r="FZ84" s="148"/>
      <c r="GA84" s="148"/>
      <c r="GB84" s="148"/>
      <c r="GC84" s="148"/>
      <c r="GD84" s="148"/>
      <c r="GE84" s="148"/>
      <c r="GF84" s="148"/>
      <c r="GG84" s="148"/>
      <c r="GH84" s="148"/>
      <c r="GI84" s="148"/>
      <c r="GJ84" s="148"/>
      <c r="GK84" s="148"/>
      <c r="GL84" s="148"/>
      <c r="GM84" s="148"/>
      <c r="GN84" s="148"/>
      <c r="GO84" s="148"/>
      <c r="GP84" s="148"/>
      <c r="GQ84" s="148"/>
      <c r="GR84" s="148"/>
      <c r="GS84" s="148"/>
      <c r="GT84" s="148"/>
      <c r="GU84" s="148"/>
      <c r="GV84" s="148"/>
      <c r="GW84" s="148"/>
      <c r="GX84" s="148"/>
      <c r="GY84" s="148"/>
      <c r="GZ84" s="148"/>
      <c r="HA84" s="148"/>
      <c r="HB84" s="148"/>
      <c r="HC84" s="148"/>
      <c r="HD84" s="148"/>
      <c r="HE84" s="148"/>
      <c r="HF84" s="148"/>
      <c r="HG84" s="148"/>
      <c r="HH84" s="148"/>
      <c r="HI84" s="148"/>
      <c r="HJ84" s="148"/>
      <c r="HK84" s="148"/>
      <c r="HL84" s="148"/>
      <c r="HM84" s="148"/>
      <c r="HN84" s="148"/>
      <c r="HO84" s="148"/>
      <c r="HP84" s="148"/>
      <c r="HQ84" s="148"/>
      <c r="HR84" s="148"/>
      <c r="HS84" s="148"/>
      <c r="HT84" s="148"/>
      <c r="HU84" s="148"/>
      <c r="HV84" s="148"/>
      <c r="HW84" s="148"/>
      <c r="HX84" s="148"/>
      <c r="HY84" s="148"/>
      <c r="HZ84" s="148"/>
      <c r="IA84" s="148"/>
      <c r="IB84" s="148"/>
      <c r="IC84" s="148"/>
      <c r="ID84" s="148"/>
      <c r="IE84" s="148"/>
      <c r="IF84" s="148"/>
      <c r="IG84" s="148"/>
      <c r="IH84" s="148"/>
      <c r="II84" s="148"/>
      <c r="IJ84" s="148"/>
      <c r="IK84" s="148"/>
      <c r="IL84" s="148"/>
      <c r="IM84" s="148"/>
      <c r="IN84" s="148"/>
      <c r="IO84" s="148"/>
      <c r="IP84" s="148"/>
      <c r="IQ84" s="148"/>
      <c r="IR84" s="148"/>
      <c r="IS84" s="148"/>
      <c r="IT84" s="148"/>
      <c r="IU84" s="148"/>
      <c r="IV84" s="148"/>
      <c r="IW84" s="148"/>
      <c r="IX84" s="148"/>
      <c r="IY84" s="148"/>
      <c r="IZ84" s="148"/>
      <c r="JA84" s="148"/>
      <c r="JB84" s="148"/>
      <c r="JC84" s="148"/>
      <c r="JD84" s="148"/>
      <c r="JE84" s="148"/>
      <c r="JF84" s="148"/>
      <c r="JG84" s="148"/>
      <c r="JH84" s="148"/>
      <c r="JI84" s="148"/>
      <c r="JJ84" s="148"/>
      <c r="JK84" s="148"/>
      <c r="JL84" s="148"/>
      <c r="JM84" s="148"/>
      <c r="JN84" s="148"/>
      <c r="JO84" s="148"/>
      <c r="JP84" s="148"/>
      <c r="JQ84" s="148"/>
      <c r="JR84" s="148"/>
      <c r="JS84" s="148"/>
      <c r="JT84" s="148"/>
      <c r="JU84" s="148"/>
      <c r="JV84" s="148"/>
      <c r="JW84" s="148"/>
      <c r="JX84" s="148"/>
      <c r="JY84" s="148"/>
      <c r="JZ84" s="148"/>
      <c r="KA84" s="148"/>
      <c r="KB84" s="148"/>
      <c r="KC84" s="148"/>
      <c r="KD84" s="148"/>
      <c r="KE84" s="148"/>
      <c r="KF84" s="148"/>
      <c r="KG84" s="148"/>
      <c r="KH84" s="148"/>
      <c r="KI84" s="148"/>
      <c r="KJ84" s="148"/>
      <c r="KK84" s="148"/>
      <c r="KL84" s="148"/>
      <c r="KM84" s="148"/>
      <c r="KN84" s="148"/>
      <c r="KO84" s="148"/>
      <c r="KP84" s="148"/>
      <c r="KQ84" s="148"/>
      <c r="KR84" s="148"/>
      <c r="KS84" s="148"/>
      <c r="KT84" s="148"/>
      <c r="KU84" s="148"/>
      <c r="KV84" s="148"/>
      <c r="KW84" s="148"/>
      <c r="KX84" s="148"/>
      <c r="KY84" s="148"/>
      <c r="KZ84" s="148"/>
      <c r="LA84" s="148"/>
      <c r="LB84" s="148"/>
      <c r="LC84" s="148"/>
      <c r="LD84" s="148"/>
      <c r="LE84" s="148"/>
      <c r="LF84" s="148"/>
      <c r="LG84" s="148"/>
      <c r="LH84" s="148"/>
      <c r="LI84" s="148"/>
      <c r="LJ84" s="148"/>
      <c r="LK84" s="148"/>
      <c r="LL84" s="148"/>
      <c r="LM84" s="148"/>
      <c r="LN84" s="148"/>
      <c r="LO84" s="148"/>
      <c r="LP84" s="148"/>
      <c r="LQ84" s="148"/>
      <c r="LR84" s="148"/>
      <c r="LS84" s="148"/>
      <c r="LT84" s="148"/>
      <c r="LU84" s="148"/>
      <c r="LV84" s="148"/>
      <c r="LW84" s="148"/>
      <c r="LX84" s="148"/>
      <c r="LY84" s="148"/>
      <c r="LZ84" s="148"/>
      <c r="MA84" s="148"/>
      <c r="MB84" s="148"/>
      <c r="MC84" s="148"/>
      <c r="MD84" s="148"/>
      <c r="ME84" s="148"/>
      <c r="MF84" s="148"/>
      <c r="MG84" s="148"/>
      <c r="MH84" s="148"/>
      <c r="MI84" s="148"/>
      <c r="MJ84" s="148"/>
      <c r="MK84" s="148"/>
      <c r="ML84" s="148"/>
      <c r="MM84" s="148"/>
      <c r="MN84" s="148"/>
      <c r="MO84" s="148"/>
      <c r="MP84" s="148"/>
      <c r="MQ84" s="148"/>
      <c r="MR84" s="148"/>
      <c r="MS84" s="148"/>
      <c r="MT84" s="148"/>
      <c r="MU84" s="148"/>
      <c r="MV84" s="148"/>
      <c r="MW84" s="148"/>
      <c r="MX84" s="148"/>
      <c r="MY84" s="148"/>
      <c r="MZ84" s="148"/>
      <c r="NA84" s="148"/>
      <c r="NB84" s="148"/>
      <c r="NC84" s="148"/>
      <c r="ND84" s="148"/>
      <c r="NE84" s="148"/>
      <c r="NF84" s="148"/>
      <c r="NG84" s="148"/>
      <c r="NH84" s="148"/>
      <c r="NI84" s="148"/>
      <c r="NJ84" s="148"/>
      <c r="NK84" s="148"/>
      <c r="NL84" s="148"/>
      <c r="NM84" s="148"/>
      <c r="NN84" s="148"/>
      <c r="NO84" s="148"/>
      <c r="NP84" s="148"/>
      <c r="NQ84" s="148"/>
      <c r="NR84" s="148"/>
      <c r="NS84" s="148"/>
      <c r="NT84" s="148"/>
      <c r="NU84" s="148"/>
      <c r="NV84" s="148"/>
      <c r="NW84" s="148"/>
      <c r="NX84" s="148"/>
      <c r="NY84" s="148"/>
      <c r="NZ84" s="148"/>
      <c r="OA84" s="148"/>
      <c r="OB84" s="148"/>
      <c r="OC84" s="148"/>
      <c r="OD84" s="148"/>
      <c r="OE84" s="148"/>
      <c r="OF84" s="148"/>
      <c r="OG84" s="148"/>
      <c r="OH84" s="148"/>
      <c r="OI84" s="148"/>
      <c r="OJ84" s="148"/>
      <c r="OK84" s="148"/>
      <c r="OL84" s="148"/>
      <c r="OM84" s="148"/>
      <c r="ON84" s="148"/>
      <c r="OO84" s="148"/>
      <c r="OP84" s="148"/>
      <c r="OQ84" s="148"/>
      <c r="OR84" s="148"/>
      <c r="OS84" s="148"/>
      <c r="OT84" s="148"/>
      <c r="OU84" s="148"/>
      <c r="OV84" s="148"/>
      <c r="OW84" s="148"/>
      <c r="OX84" s="148"/>
      <c r="OY84" s="148"/>
      <c r="OZ84" s="148"/>
      <c r="PA84" s="148"/>
      <c r="PB84" s="148"/>
      <c r="PC84" s="148"/>
      <c r="PD84" s="148"/>
      <c r="PE84" s="148"/>
      <c r="PF84" s="148"/>
      <c r="PG84" s="148"/>
      <c r="PH84" s="148"/>
      <c r="PI84" s="148"/>
      <c r="PJ84" s="148"/>
      <c r="PK84" s="148"/>
      <c r="PL84" s="148"/>
      <c r="PM84" s="148"/>
      <c r="PN84" s="148"/>
      <c r="PO84" s="148"/>
      <c r="PP84" s="148"/>
      <c r="PQ84" s="148"/>
      <c r="PR84" s="148"/>
      <c r="PS84" s="148"/>
      <c r="PT84" s="148"/>
      <c r="PU84" s="148"/>
      <c r="PV84" s="148"/>
      <c r="PW84" s="148"/>
      <c r="PX84" s="148"/>
      <c r="PY84" s="148"/>
      <c r="PZ84" s="148"/>
      <c r="QA84" s="148"/>
      <c r="QB84" s="148"/>
      <c r="QC84" s="148"/>
      <c r="QD84" s="148"/>
      <c r="QE84" s="148"/>
      <c r="QF84" s="148"/>
      <c r="QG84" s="148"/>
      <c r="QH84" s="148"/>
      <c r="QI84" s="148"/>
      <c r="QJ84" s="148"/>
      <c r="QK84" s="148"/>
      <c r="QL84" s="148"/>
      <c r="QM84" s="148"/>
      <c r="QN84" s="148"/>
      <c r="QO84" s="148"/>
      <c r="QP84" s="148"/>
      <c r="QQ84" s="148"/>
      <c r="QR84" s="148"/>
      <c r="QS84" s="148"/>
      <c r="QT84" s="148"/>
      <c r="QU84" s="148"/>
      <c r="QV84" s="148"/>
      <c r="QW84" s="148"/>
      <c r="QX84" s="148"/>
      <c r="QY84" s="148"/>
      <c r="QZ84" s="148"/>
      <c r="RA84" s="148"/>
      <c r="RB84" s="148"/>
      <c r="RC84" s="148"/>
      <c r="RD84" s="148"/>
      <c r="RE84" s="148"/>
      <c r="RF84" s="148"/>
      <c r="RG84" s="148"/>
      <c r="RH84" s="148"/>
      <c r="RI84" s="148"/>
      <c r="RJ84" s="148"/>
      <c r="RK84" s="148"/>
      <c r="RL84" s="148"/>
      <c r="RM84" s="148"/>
      <c r="RN84" s="148"/>
      <c r="RO84" s="148"/>
      <c r="RP84" s="148"/>
      <c r="RQ84" s="148"/>
      <c r="RR84" s="148"/>
      <c r="RS84" s="148"/>
      <c r="RT84" s="148"/>
      <c r="RU84" s="148"/>
      <c r="RV84" s="148"/>
      <c r="RW84" s="148"/>
      <c r="RX84" s="148"/>
      <c r="RY84" s="148"/>
      <c r="RZ84" s="148"/>
      <c r="SA84" s="148"/>
      <c r="SB84" s="148"/>
      <c r="SC84" s="148"/>
      <c r="SD84" s="148"/>
      <c r="SE84" s="148"/>
      <c r="SF84" s="148"/>
      <c r="SG84" s="148"/>
      <c r="SH84" s="148"/>
      <c r="SI84" s="148"/>
      <c r="SJ84" s="148"/>
      <c r="SK84" s="148"/>
      <c r="SL84" s="148"/>
    </row>
    <row r="85" ht="15.75" customHeight="1">
      <c r="A85" s="1517"/>
      <c r="B85" s="131"/>
      <c r="C85" s="131"/>
      <c r="D85" s="131"/>
      <c r="E85" s="1739"/>
      <c r="F85" s="1739"/>
      <c r="G85" s="1739"/>
      <c r="H85" s="387"/>
      <c r="I85" s="387"/>
      <c r="J85" s="387"/>
      <c r="K85" s="131"/>
      <c r="L85" s="131"/>
      <c r="M85" s="1740"/>
      <c r="N85" s="1741"/>
      <c r="O85" s="339"/>
      <c r="P85" s="339"/>
      <c r="Q85" s="1741"/>
      <c r="R85" s="1741"/>
      <c r="S85" s="1741"/>
      <c r="T85" s="448"/>
      <c r="U85" s="1741"/>
      <c r="V85" s="1741"/>
      <c r="W85" s="1741"/>
      <c r="X85" s="448"/>
      <c r="Y85" s="448"/>
      <c r="Z85" s="339"/>
      <c r="AA85" s="339"/>
      <c r="AB85" s="339"/>
      <c r="AC85" s="339"/>
      <c r="AD85" s="387"/>
      <c r="AE85" s="387"/>
      <c r="AF85" s="387"/>
      <c r="AG85" s="448"/>
      <c r="AH85" s="448"/>
      <c r="AI85" s="448"/>
      <c r="AJ85" s="1742"/>
      <c r="AK85" s="1742"/>
      <c r="AL85" s="1741"/>
      <c r="AM85" s="339"/>
      <c r="AN85" s="1742"/>
      <c r="AO85" s="1742"/>
      <c r="AP85" s="448"/>
      <c r="AQ85" s="448"/>
      <c r="AR85" s="387"/>
      <c r="AS85" s="387"/>
      <c r="AT85" s="1739"/>
      <c r="AU85" s="1739"/>
      <c r="AV85" s="1739"/>
      <c r="AW85" s="448"/>
      <c r="AX85" s="448"/>
      <c r="AY85" s="1741"/>
      <c r="AZ85" s="1741"/>
      <c r="BA85" s="339"/>
      <c r="BB85" s="339"/>
      <c r="BC85" s="339"/>
      <c r="BD85" s="387"/>
      <c r="BE85" s="1741"/>
      <c r="BF85" s="1741"/>
      <c r="BG85" s="1741"/>
      <c r="BH85" s="1741"/>
      <c r="BI85" s="387"/>
      <c r="BJ85" s="387"/>
      <c r="BK85" s="387"/>
      <c r="BL85" s="1741"/>
      <c r="BM85" s="1741"/>
      <c r="BN85" s="1741"/>
      <c r="BO85" s="1743"/>
      <c r="BP85" s="1743"/>
      <c r="BQ85" s="1743"/>
      <c r="BR85" s="131"/>
      <c r="BS85" s="131"/>
      <c r="BT85" s="131"/>
      <c r="BU85" s="387"/>
      <c r="BV85" s="387"/>
      <c r="BW85" s="1741"/>
      <c r="BX85" s="1741"/>
      <c r="BY85" s="1741"/>
      <c r="BZ85" s="339"/>
      <c r="CA85" s="339"/>
      <c r="CB85" s="1742"/>
      <c r="CC85" s="1742"/>
      <c r="CD85" s="1743"/>
      <c r="CE85" s="1743"/>
      <c r="CF85" s="1741"/>
      <c r="CG85" s="1741"/>
      <c r="CH85" s="1741"/>
      <c r="CI85" s="1740"/>
      <c r="CJ85" s="1740"/>
      <c r="CK85" s="448"/>
      <c r="CL85" s="448"/>
      <c r="CM85" s="448"/>
      <c r="CN85" s="448"/>
      <c r="CO85" s="448"/>
      <c r="CP85" s="448"/>
      <c r="CQ85" s="448"/>
      <c r="CR85" s="1743"/>
      <c r="CS85" s="339"/>
      <c r="CT85" s="339"/>
      <c r="CU85" s="1739"/>
      <c r="CV85" s="1739"/>
      <c r="CW85" s="1739"/>
      <c r="CX85" s="1739"/>
      <c r="CY85" s="1742"/>
      <c r="CZ85" s="339"/>
      <c r="DA85" s="1741"/>
      <c r="DB85" s="1741"/>
      <c r="DC85" s="1741"/>
      <c r="DD85" s="1741"/>
      <c r="DE85" s="1742"/>
      <c r="DF85" s="448"/>
      <c r="DG85" s="448"/>
      <c r="DH85" s="1743"/>
      <c r="DI85" s="1743"/>
      <c r="DJ85" s="1742"/>
      <c r="DK85" s="387"/>
      <c r="DL85" s="1741"/>
      <c r="DM85" s="387"/>
      <c r="DN85" s="387"/>
      <c r="DO85" s="1739"/>
      <c r="DP85" s="1739"/>
      <c r="DQ85" s="1741"/>
      <c r="DR85" s="448"/>
      <c r="DS85" s="1742"/>
      <c r="DT85" s="131"/>
      <c r="DU85" s="1739"/>
      <c r="DV85" s="339"/>
      <c r="DW85" s="1739"/>
      <c r="DX85" s="1741"/>
      <c r="DY85" s="1741"/>
      <c r="DZ85" s="1739"/>
      <c r="EA85" s="387"/>
      <c r="EB85" s="387"/>
      <c r="EC85" s="448"/>
      <c r="ED85" s="1741"/>
      <c r="EE85" s="387"/>
      <c r="EF85" s="339"/>
      <c r="EG85" s="1739"/>
      <c r="EH85" s="1742"/>
      <c r="EI85" s="387"/>
      <c r="EJ85" s="387"/>
      <c r="EK85" s="1741"/>
      <c r="EL85" s="1741"/>
      <c r="EM85" s="448"/>
      <c r="EN85" s="1744"/>
      <c r="EO85" s="387"/>
      <c r="EP85" s="339"/>
      <c r="EQ85" s="339"/>
      <c r="ER85" s="387"/>
      <c r="ES85" s="387"/>
      <c r="ET85" s="1741"/>
      <c r="EU85" s="148" t="s">
        <v>9754</v>
      </c>
      <c r="EV85" s="1742"/>
      <c r="EW85" s="131"/>
      <c r="EX85" s="131"/>
      <c r="EY85" s="131"/>
      <c r="EZ85" s="339"/>
      <c r="FA85" s="339"/>
      <c r="FB85" s="339"/>
      <c r="FC85" s="387"/>
      <c r="FD85" s="387"/>
      <c r="FE85" s="387"/>
      <c r="FF85" s="1741"/>
      <c r="FG85" s="1741"/>
      <c r="FH85" s="1741"/>
      <c r="FI85" s="1741"/>
      <c r="FJ85" s="1739"/>
      <c r="FK85" s="1739"/>
      <c r="FL85" s="131"/>
      <c r="FM85" s="1739"/>
      <c r="FN85" s="448"/>
      <c r="FO85" s="387"/>
      <c r="FP85" s="387"/>
      <c r="FQ85" s="339"/>
      <c r="FR85" s="1742"/>
      <c r="FS85" s="1742"/>
      <c r="FT85" s="1740"/>
      <c r="FU85" s="1740"/>
      <c r="FV85" s="131"/>
      <c r="FW85" s="131"/>
      <c r="FX85" s="1740"/>
      <c r="FY85" s="1742"/>
      <c r="FZ85" s="339"/>
      <c r="GA85" s="131"/>
      <c r="GB85" s="387"/>
      <c r="GC85" s="387"/>
      <c r="GD85" s="1741"/>
      <c r="GE85" s="131"/>
      <c r="GF85" s="1742"/>
      <c r="GG85" s="131"/>
      <c r="GH85" s="387"/>
      <c r="GI85" s="448"/>
      <c r="GJ85" s="339"/>
      <c r="GK85" s="339"/>
      <c r="GL85" s="1739"/>
      <c r="GM85" s="387"/>
      <c r="GN85" s="387"/>
      <c r="GO85" s="448"/>
      <c r="GP85" s="1744"/>
      <c r="GQ85" s="1744"/>
      <c r="GR85" s="1742"/>
      <c r="GS85" s="1743"/>
      <c r="GT85" s="1744"/>
      <c r="GU85" s="387"/>
      <c r="GV85" s="339"/>
      <c r="GW85" s="1743"/>
      <c r="GX85" s="448"/>
      <c r="GY85" s="339"/>
      <c r="GZ85" s="448"/>
      <c r="HA85" s="1743"/>
      <c r="HB85" s="1742"/>
      <c r="HC85" s="448"/>
      <c r="HD85" s="1743"/>
      <c r="HE85" s="1739"/>
      <c r="HF85" s="339"/>
      <c r="HG85" s="387"/>
      <c r="HH85" s="1744"/>
      <c r="HI85" s="1741"/>
      <c r="HJ85" s="1741"/>
      <c r="HK85" s="1739"/>
      <c r="HL85" s="1739"/>
      <c r="HM85" s="1741"/>
      <c r="HN85" s="1741"/>
      <c r="HO85" s="1742"/>
      <c r="HP85" s="1743"/>
      <c r="HQ85" s="1739"/>
      <c r="HR85" s="1739"/>
      <c r="HS85" s="448"/>
      <c r="HT85" s="1743"/>
      <c r="HU85" s="1744"/>
      <c r="HV85" s="1744"/>
      <c r="HW85" s="387"/>
      <c r="HX85" s="387"/>
      <c r="HY85" s="1743"/>
      <c r="HZ85" s="1739"/>
      <c r="IA85" s="1741"/>
      <c r="IB85" s="1740"/>
      <c r="IC85" s="448"/>
      <c r="ID85" s="1741"/>
      <c r="IE85" s="1742"/>
      <c r="IF85" s="339"/>
      <c r="IG85" s="1739"/>
      <c r="IH85" s="1742"/>
      <c r="II85" s="1742"/>
      <c r="IJ85" s="339"/>
      <c r="IK85" s="1741"/>
      <c r="IL85" s="387"/>
      <c r="IM85" s="131"/>
      <c r="IN85" s="1743"/>
      <c r="IO85" s="131"/>
      <c r="IP85" s="1740"/>
      <c r="IQ85" s="1739"/>
      <c r="IR85" s="131"/>
      <c r="IS85" s="131"/>
      <c r="IT85" s="131"/>
      <c r="IU85" s="131"/>
      <c r="IV85" s="1739"/>
      <c r="IW85" s="1739"/>
      <c r="IX85" s="1739"/>
      <c r="IY85" s="387"/>
      <c r="IZ85" s="387"/>
      <c r="JA85" s="387"/>
      <c r="JB85" s="1743"/>
      <c r="JC85" s="1743"/>
      <c r="JD85" s="1741"/>
      <c r="JE85" s="1740"/>
      <c r="JF85" s="1739"/>
      <c r="JG85" s="1740"/>
      <c r="JH85" s="339"/>
      <c r="JI85" s="448"/>
      <c r="JJ85" s="131"/>
      <c r="JK85" s="131"/>
      <c r="JL85" s="131"/>
      <c r="JM85" s="131"/>
      <c r="JN85" s="1741"/>
      <c r="JO85" s="1741"/>
      <c r="JP85" s="1741"/>
      <c r="JQ85" s="387"/>
      <c r="JR85" s="387"/>
      <c r="JS85" s="1740"/>
      <c r="JT85" s="339"/>
      <c r="JU85" s="1740"/>
      <c r="JV85" s="1740"/>
      <c r="JW85" s="1740"/>
      <c r="JX85" s="387"/>
      <c r="JY85" s="387"/>
      <c r="JZ85" s="1741"/>
      <c r="KA85" s="131"/>
      <c r="KB85" s="1741"/>
      <c r="KC85" s="1740"/>
      <c r="KD85" s="1741"/>
      <c r="KE85" s="1743"/>
      <c r="KF85" s="339"/>
      <c r="KG85" s="1741"/>
      <c r="KH85" s="1742"/>
      <c r="KI85" s="387"/>
      <c r="KJ85" s="387"/>
      <c r="KK85" s="339"/>
      <c r="KL85" s="1741"/>
      <c r="KM85" s="387"/>
      <c r="KN85" s="1743"/>
      <c r="KO85" s="1742"/>
      <c r="KP85" s="448"/>
      <c r="KQ85" s="448"/>
      <c r="KR85" s="1744"/>
      <c r="KS85" s="1743"/>
      <c r="KT85" s="1743"/>
      <c r="KU85" s="1743"/>
      <c r="KV85" s="387"/>
      <c r="KW85" s="1739"/>
      <c r="KX85" s="131"/>
      <c r="KY85" s="339"/>
      <c r="KZ85" s="339"/>
      <c r="LA85" s="339"/>
      <c r="LB85" s="1743"/>
      <c r="LC85" s="448"/>
      <c r="LD85" s="131"/>
      <c r="LE85" s="131"/>
      <c r="LF85" s="448"/>
      <c r="LG85" s="1739"/>
      <c r="LH85" s="387"/>
      <c r="LI85" s="387"/>
      <c r="LJ85" s="387"/>
      <c r="LK85" s="339"/>
      <c r="LL85" s="1739"/>
      <c r="LM85" s="1741"/>
      <c r="LN85" s="1744"/>
      <c r="LO85" s="448"/>
      <c r="LP85" s="1741"/>
      <c r="LQ85" s="1741"/>
      <c r="LR85" s="131"/>
      <c r="LS85" s="131"/>
      <c r="LT85" s="131"/>
      <c r="LU85" s="131"/>
      <c r="LV85" s="387"/>
      <c r="LW85" s="387"/>
      <c r="LX85" s="1740"/>
      <c r="LY85" s="1744"/>
      <c r="LZ85" s="339"/>
      <c r="MA85" s="1739"/>
      <c r="MB85" s="1743"/>
      <c r="MC85" s="387"/>
      <c r="MD85" s="1739"/>
      <c r="ME85" s="1739"/>
      <c r="MF85" s="1741"/>
      <c r="MG85" s="1744"/>
      <c r="MH85" s="448"/>
      <c r="MI85" s="131"/>
      <c r="MJ85" s="1743"/>
      <c r="MK85" s="1743"/>
      <c r="ML85" s="1741"/>
      <c r="MM85" s="1742"/>
      <c r="MN85" s="1740"/>
      <c r="MO85" s="131"/>
      <c r="MP85" s="1744"/>
      <c r="MQ85" s="1744"/>
      <c r="MR85" s="1744"/>
      <c r="MS85" s="1744"/>
      <c r="MT85" s="131"/>
      <c r="MU85" s="387"/>
      <c r="MV85" s="1740"/>
      <c r="MW85" s="387"/>
      <c r="MX85" s="1743"/>
      <c r="MY85" s="1743"/>
      <c r="MZ85" s="387"/>
      <c r="NA85" s="387"/>
      <c r="NB85" s="387"/>
      <c r="NC85" s="387"/>
      <c r="ND85" s="387"/>
      <c r="NE85" s="1742"/>
      <c r="NF85" s="1743"/>
      <c r="NG85" s="1742"/>
      <c r="NH85" s="387"/>
      <c r="NI85" s="1740"/>
      <c r="NJ85" s="387"/>
      <c r="NK85" s="387"/>
      <c r="NL85" s="387"/>
      <c r="NM85" s="387"/>
      <c r="NN85" s="1741"/>
      <c r="NO85" s="387"/>
      <c r="NP85" s="1743"/>
      <c r="NQ85" s="1739"/>
      <c r="NR85" s="387"/>
      <c r="NS85" s="387"/>
      <c r="NT85" s="1739"/>
      <c r="NU85" s="131"/>
      <c r="NV85" s="339"/>
      <c r="NW85" s="1739"/>
      <c r="NX85" s="1739"/>
      <c r="NY85" s="1739"/>
      <c r="NZ85" s="1739"/>
      <c r="OA85" s="131"/>
      <c r="OB85" s="131"/>
      <c r="OC85" s="131"/>
      <c r="OD85" s="1741"/>
      <c r="OE85" s="1741"/>
      <c r="OF85" s="1741"/>
      <c r="OG85" s="387"/>
      <c r="OH85" s="387"/>
      <c r="OI85" s="387"/>
      <c r="OJ85" s="1741"/>
      <c r="OK85" s="1741"/>
      <c r="OL85" s="1741"/>
      <c r="OM85" s="1741"/>
      <c r="ON85" s="1741"/>
      <c r="OO85" s="1739"/>
      <c r="OP85" s="1739"/>
      <c r="OQ85" s="387"/>
      <c r="OR85" s="387"/>
      <c r="OS85" s="387"/>
      <c r="OT85" s="131"/>
      <c r="OU85" s="131"/>
      <c r="OV85" s="387"/>
      <c r="OW85" s="387"/>
      <c r="OX85" s="1743"/>
      <c r="OY85" s="1743"/>
      <c r="OZ85" s="131"/>
      <c r="PA85" s="131"/>
      <c r="PB85" s="339"/>
      <c r="PC85" s="1742"/>
      <c r="PD85" s="339"/>
      <c r="PE85" s="339"/>
      <c r="PF85" s="339"/>
      <c r="PG85" s="1740"/>
      <c r="PH85" s="1741"/>
      <c r="PI85" s="1741"/>
      <c r="PJ85" s="1742"/>
      <c r="PK85" s="1742"/>
      <c r="PL85" s="448"/>
      <c r="PM85" s="448"/>
      <c r="PN85" s="448"/>
      <c r="PO85" s="448"/>
      <c r="PP85" s="448"/>
      <c r="PQ85" s="1741"/>
      <c r="PR85" s="1741"/>
      <c r="PS85" s="448"/>
      <c r="PT85" s="1744"/>
      <c r="PU85" s="1743"/>
      <c r="PV85" s="1743"/>
      <c r="PW85" s="339"/>
      <c r="PX85" s="448"/>
      <c r="PY85" s="448"/>
      <c r="PZ85" s="131"/>
      <c r="QA85" s="131"/>
      <c r="QB85" s="1741"/>
      <c r="QC85" s="1742"/>
      <c r="QD85" s="1742"/>
      <c r="QE85" s="1744"/>
      <c r="QF85" s="448"/>
      <c r="QG85" s="387"/>
      <c r="QH85" s="387"/>
      <c r="QI85" s="387"/>
      <c r="QJ85" s="1744"/>
      <c r="QK85" s="387"/>
      <c r="QL85" s="387"/>
      <c r="QM85" s="1741"/>
      <c r="QN85" s="1741"/>
      <c r="QO85" s="448"/>
      <c r="QP85" s="448"/>
      <c r="QQ85" s="387"/>
      <c r="QR85" s="387"/>
      <c r="QS85" s="131"/>
      <c r="QT85" s="387"/>
      <c r="QU85" s="387"/>
      <c r="QV85" s="387"/>
      <c r="QW85" s="1740"/>
      <c r="QX85" s="1740"/>
      <c r="QY85" s="1744"/>
      <c r="QZ85" s="1743"/>
      <c r="RA85" s="1742"/>
      <c r="RB85" s="1743"/>
      <c r="RC85" s="387"/>
      <c r="RD85" s="339"/>
      <c r="RE85" s="1739"/>
      <c r="RF85" s="1740"/>
      <c r="RG85" s="131"/>
      <c r="RH85" s="131"/>
      <c r="RI85" s="387"/>
      <c r="RJ85" s="448"/>
      <c r="RK85" s="1741"/>
      <c r="RL85" s="1739"/>
      <c r="RM85" s="1740"/>
      <c r="RN85" s="1743"/>
      <c r="RO85" s="1744"/>
      <c r="RP85" s="1740"/>
      <c r="RQ85" s="1739"/>
      <c r="RR85" s="1739"/>
      <c r="RS85" s="1739"/>
      <c r="RT85" s="1739"/>
      <c r="RU85" s="1739"/>
      <c r="RV85" s="1739"/>
      <c r="RW85" s="339"/>
      <c r="RX85" s="1742"/>
      <c r="RY85" s="387"/>
      <c r="RZ85" s="1740"/>
      <c r="SA85" s="448"/>
      <c r="SB85" s="1741"/>
      <c r="SC85" s="1740"/>
      <c r="SD85" s="1744"/>
      <c r="SE85" s="1744"/>
      <c r="SF85" s="339"/>
      <c r="SG85" s="387"/>
      <c r="SH85" s="387"/>
      <c r="SI85" s="1744"/>
      <c r="SJ85" s="131"/>
      <c r="SK85" s="131"/>
      <c r="SL85" s="1743"/>
    </row>
    <row r="86" ht="15.75" customHeight="1">
      <c r="A86" s="1517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  <c r="CG86" s="148"/>
      <c r="CH86" s="148"/>
      <c r="CI86" s="148"/>
      <c r="CJ86" s="148"/>
      <c r="CK86" s="148"/>
      <c r="CL86" s="148"/>
      <c r="CM86" s="148"/>
      <c r="CN86" s="148"/>
      <c r="CO86" s="148"/>
      <c r="CP86" s="148"/>
      <c r="CQ86" s="148"/>
      <c r="CR86" s="148"/>
      <c r="CS86" s="148"/>
      <c r="CT86" s="148"/>
      <c r="CU86" s="148"/>
      <c r="CV86" s="148"/>
      <c r="CW86" s="148"/>
      <c r="CX86" s="148"/>
      <c r="CY86" s="148"/>
      <c r="CZ86" s="148"/>
      <c r="DA86" s="148"/>
      <c r="DB86" s="148"/>
      <c r="DC86" s="148"/>
      <c r="DD86" s="148"/>
      <c r="DE86" s="148"/>
      <c r="DF86" s="148"/>
      <c r="DG86" s="148"/>
      <c r="DH86" s="148"/>
      <c r="DI86" s="148"/>
      <c r="DJ86" s="148"/>
      <c r="DK86" s="148"/>
      <c r="DL86" s="148"/>
      <c r="DM86" s="148"/>
      <c r="DN86" s="148"/>
      <c r="DO86" s="148"/>
      <c r="DP86" s="148"/>
      <c r="DQ86" s="148"/>
      <c r="DR86" s="148"/>
      <c r="DS86" s="148"/>
      <c r="DT86" s="148"/>
      <c r="DU86" s="148"/>
      <c r="DV86" s="148"/>
      <c r="DW86" s="148"/>
      <c r="DX86" s="148"/>
      <c r="DY86" s="148"/>
      <c r="DZ86" s="148"/>
      <c r="EA86" s="148"/>
      <c r="EB86" s="148"/>
      <c r="EC86" s="148"/>
      <c r="ED86" s="148"/>
      <c r="EE86" s="148"/>
      <c r="EF86" s="148"/>
      <c r="EG86" s="148"/>
      <c r="EH86" s="148"/>
      <c r="EI86" s="148"/>
      <c r="EJ86" s="148"/>
      <c r="EK86" s="148"/>
      <c r="EL86" s="148"/>
      <c r="EM86" s="148"/>
      <c r="EN86" s="148"/>
      <c r="EO86" s="148"/>
      <c r="EP86" s="148"/>
      <c r="EQ86" s="148"/>
      <c r="ER86" s="148"/>
      <c r="ES86" s="148"/>
      <c r="ET86" s="148"/>
      <c r="EU86" s="448" t="s">
        <v>9784</v>
      </c>
      <c r="EV86" s="148"/>
      <c r="EW86" s="148"/>
      <c r="EX86" s="148"/>
      <c r="EY86" s="148"/>
      <c r="EZ86" s="148"/>
      <c r="FA86" s="148"/>
      <c r="FB86" s="148"/>
      <c r="FC86" s="148"/>
      <c r="FD86" s="148"/>
      <c r="FE86" s="148"/>
      <c r="FF86" s="148"/>
      <c r="FG86" s="148"/>
      <c r="FH86" s="148"/>
      <c r="FI86" s="148"/>
      <c r="FJ86" s="148"/>
      <c r="FK86" s="148"/>
      <c r="FL86" s="148"/>
      <c r="FM86" s="148"/>
      <c r="FN86" s="148"/>
      <c r="FO86" s="148"/>
      <c r="FP86" s="148"/>
      <c r="FQ86" s="148"/>
      <c r="FR86" s="148"/>
      <c r="FS86" s="148"/>
      <c r="FT86" s="148"/>
      <c r="FU86" s="148"/>
      <c r="FV86" s="148"/>
      <c r="FW86" s="148"/>
      <c r="FX86" s="148"/>
      <c r="FY86" s="148"/>
      <c r="FZ86" s="148"/>
      <c r="GA86" s="148"/>
      <c r="GB86" s="148"/>
      <c r="GC86" s="148"/>
      <c r="GD86" s="148"/>
      <c r="GE86" s="148"/>
      <c r="GF86" s="148"/>
      <c r="GG86" s="148"/>
      <c r="GH86" s="148"/>
      <c r="GI86" s="148"/>
      <c r="GJ86" s="148"/>
      <c r="GK86" s="148"/>
      <c r="GL86" s="148"/>
      <c r="GM86" s="148"/>
      <c r="GN86" s="148"/>
      <c r="GO86" s="148"/>
      <c r="GP86" s="148"/>
      <c r="GQ86" s="148"/>
      <c r="GR86" s="148"/>
      <c r="GS86" s="148"/>
      <c r="GT86" s="148"/>
      <c r="GU86" s="148"/>
      <c r="GV86" s="148"/>
      <c r="GW86" s="148"/>
      <c r="GX86" s="148"/>
      <c r="GY86" s="148"/>
      <c r="GZ86" s="148"/>
      <c r="HA86" s="148"/>
      <c r="HB86" s="148"/>
      <c r="HC86" s="148"/>
      <c r="HD86" s="148"/>
      <c r="HE86" s="148"/>
      <c r="HF86" s="148"/>
      <c r="HG86" s="148"/>
      <c r="HH86" s="148"/>
      <c r="HI86" s="148"/>
      <c r="HJ86" s="148"/>
      <c r="HK86" s="148"/>
      <c r="HL86" s="148"/>
      <c r="HM86" s="148"/>
      <c r="HN86" s="148"/>
      <c r="HO86" s="148"/>
      <c r="HP86" s="148"/>
      <c r="HQ86" s="148"/>
      <c r="HR86" s="148"/>
      <c r="HS86" s="148"/>
      <c r="HT86" s="148"/>
      <c r="HU86" s="148"/>
      <c r="HV86" s="148"/>
      <c r="HW86" s="148"/>
      <c r="HX86" s="148"/>
      <c r="HY86" s="148"/>
      <c r="HZ86" s="148"/>
      <c r="IA86" s="148"/>
      <c r="IB86" s="148"/>
      <c r="IC86" s="148"/>
      <c r="ID86" s="148"/>
      <c r="IE86" s="148"/>
      <c r="IF86" s="148"/>
      <c r="IG86" s="148"/>
      <c r="IH86" s="148"/>
      <c r="II86" s="148"/>
      <c r="IJ86" s="148"/>
      <c r="IK86" s="148"/>
      <c r="IL86" s="148"/>
      <c r="IM86" s="148"/>
      <c r="IN86" s="148"/>
      <c r="IO86" s="148"/>
      <c r="IP86" s="148"/>
      <c r="IQ86" s="148"/>
      <c r="IR86" s="148"/>
      <c r="IS86" s="148"/>
      <c r="IT86" s="148"/>
      <c r="IU86" s="148"/>
      <c r="IV86" s="148"/>
      <c r="IW86" s="148"/>
      <c r="IX86" s="148"/>
      <c r="IY86" s="148"/>
      <c r="IZ86" s="148"/>
      <c r="JA86" s="148"/>
      <c r="JB86" s="148"/>
      <c r="JC86" s="148"/>
      <c r="JD86" s="148"/>
      <c r="JE86" s="148"/>
      <c r="JF86" s="148"/>
      <c r="JG86" s="148"/>
      <c r="JH86" s="148"/>
      <c r="JI86" s="148"/>
      <c r="JJ86" s="148"/>
      <c r="JK86" s="148"/>
      <c r="JL86" s="148"/>
      <c r="JM86" s="148"/>
      <c r="JN86" s="148"/>
      <c r="JO86" s="148"/>
      <c r="JP86" s="148"/>
      <c r="JQ86" s="148"/>
      <c r="JR86" s="148"/>
      <c r="JS86" s="148"/>
      <c r="JT86" s="148"/>
      <c r="JU86" s="148"/>
      <c r="JV86" s="148"/>
      <c r="JW86" s="148"/>
      <c r="JX86" s="148"/>
      <c r="JY86" s="148"/>
      <c r="JZ86" s="148"/>
      <c r="KA86" s="148"/>
      <c r="KB86" s="148"/>
      <c r="KC86" s="148"/>
      <c r="KD86" s="148"/>
      <c r="KE86" s="148"/>
      <c r="KF86" s="148"/>
      <c r="KG86" s="148"/>
      <c r="KH86" s="148"/>
      <c r="KI86" s="148"/>
      <c r="KJ86" s="148"/>
      <c r="KK86" s="148"/>
      <c r="KL86" s="148"/>
      <c r="KM86" s="148"/>
      <c r="KN86" s="148"/>
      <c r="KO86" s="148"/>
      <c r="KP86" s="148"/>
      <c r="KQ86" s="148"/>
      <c r="KR86" s="148"/>
      <c r="KS86" s="148"/>
      <c r="KT86" s="148"/>
      <c r="KU86" s="148"/>
      <c r="KV86" s="148"/>
      <c r="KW86" s="148"/>
      <c r="KX86" s="148"/>
      <c r="KY86" s="148"/>
      <c r="KZ86" s="148"/>
      <c r="LA86" s="148"/>
      <c r="LB86" s="148"/>
      <c r="LC86" s="148"/>
      <c r="LD86" s="148"/>
      <c r="LE86" s="148"/>
      <c r="LF86" s="148"/>
      <c r="LG86" s="148"/>
      <c r="LH86" s="148"/>
      <c r="LI86" s="148"/>
      <c r="LJ86" s="148"/>
      <c r="LK86" s="148"/>
      <c r="LL86" s="148"/>
      <c r="LM86" s="148"/>
      <c r="LN86" s="148"/>
      <c r="LO86" s="148"/>
      <c r="LP86" s="148"/>
      <c r="LQ86" s="148"/>
      <c r="LR86" s="148"/>
      <c r="LS86" s="148"/>
      <c r="LT86" s="148"/>
      <c r="LU86" s="148"/>
      <c r="LV86" s="148"/>
      <c r="LW86" s="148"/>
      <c r="LX86" s="148"/>
      <c r="LY86" s="148"/>
      <c r="LZ86" s="148"/>
      <c r="MA86" s="148"/>
      <c r="MB86" s="148"/>
      <c r="MC86" s="148"/>
      <c r="MD86" s="148"/>
      <c r="ME86" s="148"/>
      <c r="MF86" s="148"/>
      <c r="MG86" s="148"/>
      <c r="MH86" s="148"/>
      <c r="MI86" s="148"/>
      <c r="MJ86" s="148"/>
      <c r="MK86" s="148"/>
      <c r="ML86" s="148"/>
      <c r="MM86" s="148"/>
      <c r="MN86" s="148"/>
      <c r="MO86" s="148"/>
      <c r="MP86" s="148"/>
      <c r="MQ86" s="148"/>
      <c r="MR86" s="148"/>
      <c r="MS86" s="148"/>
      <c r="MT86" s="148"/>
      <c r="MU86" s="148"/>
      <c r="MV86" s="148"/>
      <c r="MW86" s="148"/>
      <c r="MX86" s="148"/>
      <c r="MY86" s="148"/>
      <c r="MZ86" s="148"/>
      <c r="NA86" s="148"/>
      <c r="NB86" s="148"/>
      <c r="NC86" s="148"/>
      <c r="ND86" s="148"/>
      <c r="NE86" s="148"/>
      <c r="NF86" s="148"/>
      <c r="NG86" s="148"/>
      <c r="NH86" s="148"/>
      <c r="NI86" s="148"/>
      <c r="NJ86" s="148"/>
      <c r="NK86" s="148"/>
      <c r="NL86" s="148"/>
      <c r="NM86" s="148"/>
      <c r="NN86" s="148"/>
      <c r="NO86" s="148"/>
      <c r="NP86" s="148"/>
      <c r="NQ86" s="148"/>
      <c r="NR86" s="148"/>
      <c r="NS86" s="148"/>
      <c r="NT86" s="148"/>
      <c r="NU86" s="148"/>
      <c r="NV86" s="148"/>
      <c r="NW86" s="148"/>
      <c r="NX86" s="148"/>
      <c r="NY86" s="148"/>
      <c r="NZ86" s="148"/>
      <c r="OA86" s="148"/>
      <c r="OB86" s="148"/>
      <c r="OC86" s="148"/>
      <c r="OD86" s="148"/>
      <c r="OE86" s="148"/>
      <c r="OF86" s="148"/>
      <c r="OG86" s="148"/>
      <c r="OH86" s="148"/>
      <c r="OI86" s="148"/>
      <c r="OJ86" s="148"/>
      <c r="OK86" s="148"/>
      <c r="OL86" s="148"/>
      <c r="OM86" s="148"/>
      <c r="ON86" s="148"/>
      <c r="OO86" s="148"/>
      <c r="OP86" s="148"/>
      <c r="OQ86" s="148"/>
      <c r="OR86" s="148"/>
      <c r="OS86" s="148"/>
      <c r="OT86" s="148"/>
      <c r="OU86" s="148"/>
      <c r="OV86" s="148"/>
      <c r="OW86" s="148"/>
      <c r="OX86" s="148"/>
      <c r="OY86" s="148"/>
      <c r="OZ86" s="148"/>
      <c r="PA86" s="148"/>
      <c r="PB86" s="148"/>
      <c r="PC86" s="148"/>
      <c r="PD86" s="148"/>
      <c r="PE86" s="148"/>
      <c r="PF86" s="148"/>
      <c r="PG86" s="148"/>
      <c r="PH86" s="148"/>
      <c r="PI86" s="148"/>
      <c r="PJ86" s="148"/>
      <c r="PK86" s="148"/>
      <c r="PL86" s="148"/>
      <c r="PM86" s="148"/>
      <c r="PN86" s="148"/>
      <c r="PO86" s="148"/>
      <c r="PP86" s="148"/>
      <c r="PQ86" s="148"/>
      <c r="PR86" s="148"/>
      <c r="PS86" s="148"/>
      <c r="PT86" s="148"/>
      <c r="PU86" s="148"/>
      <c r="PV86" s="148"/>
      <c r="PW86" s="148"/>
      <c r="PX86" s="148"/>
      <c r="PY86" s="148"/>
      <c r="PZ86" s="148"/>
      <c r="QA86" s="148"/>
      <c r="QB86" s="148"/>
      <c r="QC86" s="148"/>
      <c r="QD86" s="148"/>
      <c r="QE86" s="148"/>
      <c r="QF86" s="148"/>
      <c r="QG86" s="148"/>
      <c r="QH86" s="148"/>
      <c r="QI86" s="148"/>
      <c r="QJ86" s="148"/>
      <c r="QK86" s="148"/>
      <c r="QL86" s="148"/>
      <c r="QM86" s="148"/>
      <c r="QN86" s="148"/>
      <c r="QO86" s="148"/>
      <c r="QP86" s="148"/>
      <c r="QQ86" s="148"/>
      <c r="QR86" s="148"/>
      <c r="QS86" s="148"/>
      <c r="QT86" s="148"/>
      <c r="QU86" s="148"/>
      <c r="QV86" s="148"/>
      <c r="QW86" s="148"/>
      <c r="QX86" s="148"/>
      <c r="QY86" s="148"/>
      <c r="QZ86" s="148"/>
      <c r="RA86" s="148"/>
      <c r="RB86" s="148"/>
      <c r="RC86" s="148"/>
      <c r="RD86" s="148"/>
      <c r="RE86" s="148"/>
      <c r="RF86" s="148"/>
      <c r="RG86" s="148"/>
      <c r="RH86" s="148"/>
      <c r="RI86" s="148"/>
      <c r="RJ86" s="148"/>
      <c r="RK86" s="148"/>
      <c r="RL86" s="148"/>
      <c r="RM86" s="148"/>
      <c r="RN86" s="148"/>
      <c r="RO86" s="148"/>
      <c r="RP86" s="148"/>
      <c r="RQ86" s="148"/>
      <c r="RR86" s="148"/>
      <c r="RS86" s="148"/>
      <c r="RT86" s="148"/>
      <c r="RU86" s="148"/>
      <c r="RV86" s="148"/>
      <c r="RW86" s="148"/>
      <c r="RX86" s="148"/>
      <c r="RY86" s="148"/>
      <c r="RZ86" s="148"/>
      <c r="SA86" s="148"/>
      <c r="SB86" s="148"/>
      <c r="SC86" s="148"/>
      <c r="SD86" s="148"/>
      <c r="SE86" s="148"/>
      <c r="SF86" s="148"/>
      <c r="SG86" s="148"/>
      <c r="SH86" s="148"/>
      <c r="SI86" s="148"/>
      <c r="SJ86" s="148"/>
      <c r="SK86" s="148"/>
      <c r="SL86" s="148"/>
    </row>
    <row r="87" ht="15.75" customHeight="1">
      <c r="A87" s="1517"/>
      <c r="B87" s="131"/>
      <c r="C87" s="131"/>
      <c r="D87" s="131"/>
      <c r="E87" s="1739"/>
      <c r="F87" s="1739"/>
      <c r="G87" s="1739"/>
      <c r="H87" s="387"/>
      <c r="I87" s="387"/>
      <c r="J87" s="387"/>
      <c r="K87" s="131"/>
      <c r="L87" s="131"/>
      <c r="M87" s="1740"/>
      <c r="N87" s="1741"/>
      <c r="O87" s="339"/>
      <c r="P87" s="339"/>
      <c r="Q87" s="1741"/>
      <c r="R87" s="1741"/>
      <c r="S87" s="1741"/>
      <c r="T87" s="448"/>
      <c r="U87" s="1741"/>
      <c r="V87" s="1741"/>
      <c r="W87" s="1741"/>
      <c r="X87" s="448"/>
      <c r="Y87" s="448"/>
      <c r="Z87" s="339"/>
      <c r="AA87" s="339"/>
      <c r="AB87" s="339"/>
      <c r="AC87" s="339"/>
      <c r="AD87" s="387"/>
      <c r="AE87" s="387"/>
      <c r="AF87" s="387"/>
      <c r="AG87" s="448"/>
      <c r="AH87" s="448"/>
      <c r="AI87" s="448"/>
      <c r="AJ87" s="1742"/>
      <c r="AK87" s="1742"/>
      <c r="AL87" s="1741"/>
      <c r="AM87" s="339"/>
      <c r="AN87" s="1742"/>
      <c r="AO87" s="1742"/>
      <c r="AP87" s="448"/>
      <c r="AQ87" s="448"/>
      <c r="AR87" s="387"/>
      <c r="AS87" s="387"/>
      <c r="AT87" s="1739"/>
      <c r="AU87" s="1739"/>
      <c r="AV87" s="1739"/>
      <c r="AW87" s="448"/>
      <c r="AX87" s="448"/>
      <c r="AY87" s="1741"/>
      <c r="AZ87" s="1741"/>
      <c r="BA87" s="339"/>
      <c r="BB87" s="339"/>
      <c r="BC87" s="339"/>
      <c r="BD87" s="387"/>
      <c r="BE87" s="1741"/>
      <c r="BF87" s="1741"/>
      <c r="BG87" s="1741"/>
      <c r="BH87" s="1741"/>
      <c r="BI87" s="387"/>
      <c r="BJ87" s="387"/>
      <c r="BK87" s="387"/>
      <c r="BL87" s="1741"/>
      <c r="BM87" s="1741"/>
      <c r="BN87" s="1741"/>
      <c r="BO87" s="1743"/>
      <c r="BP87" s="1743"/>
      <c r="BQ87" s="1743"/>
      <c r="BR87" s="131"/>
      <c r="BS87" s="131"/>
      <c r="BT87" s="131"/>
      <c r="BU87" s="387"/>
      <c r="BV87" s="387"/>
      <c r="BW87" s="1741"/>
      <c r="BX87" s="1741"/>
      <c r="BY87" s="1741"/>
      <c r="BZ87" s="339"/>
      <c r="CA87" s="339"/>
      <c r="CB87" s="1742"/>
      <c r="CC87" s="1742"/>
      <c r="CD87" s="1743"/>
      <c r="CE87" s="1743"/>
      <c r="CF87" s="1741"/>
      <c r="CG87" s="1741"/>
      <c r="CH87" s="1741"/>
      <c r="CI87" s="1740"/>
      <c r="CJ87" s="1740"/>
      <c r="CK87" s="448"/>
      <c r="CL87" s="448"/>
      <c r="CM87" s="448"/>
      <c r="CN87" s="448"/>
      <c r="CO87" s="448"/>
      <c r="CP87" s="448"/>
      <c r="CQ87" s="448"/>
      <c r="CR87" s="1743"/>
      <c r="CS87" s="339"/>
      <c r="CT87" s="339"/>
      <c r="CU87" s="1739"/>
      <c r="CV87" s="1739"/>
      <c r="CW87" s="1739"/>
      <c r="CX87" s="1739"/>
      <c r="CY87" s="1742"/>
      <c r="CZ87" s="339"/>
      <c r="DA87" s="1741"/>
      <c r="DB87" s="1741"/>
      <c r="DC87" s="1741"/>
      <c r="DD87" s="1741"/>
      <c r="DE87" s="1742"/>
      <c r="DF87" s="448"/>
      <c r="DG87" s="448"/>
      <c r="DH87" s="1743"/>
      <c r="DI87" s="1743"/>
      <c r="DJ87" s="1742"/>
      <c r="DK87" s="387"/>
      <c r="DL87" s="1741"/>
      <c r="DM87" s="387"/>
      <c r="DN87" s="387"/>
      <c r="DO87" s="1739"/>
      <c r="DP87" s="1739"/>
      <c r="DQ87" s="1741"/>
      <c r="DR87" s="448"/>
      <c r="DS87" s="1742"/>
      <c r="DT87" s="131"/>
      <c r="DU87" s="1739"/>
      <c r="DV87" s="339"/>
      <c r="DW87" s="1739"/>
      <c r="DX87" s="1741"/>
      <c r="DY87" s="1741"/>
      <c r="DZ87" s="1739"/>
      <c r="EA87" s="387"/>
      <c r="EB87" s="387"/>
      <c r="EC87" s="448"/>
      <c r="ED87" s="1741"/>
      <c r="EE87" s="387"/>
      <c r="EF87" s="339"/>
      <c r="EG87" s="1739"/>
      <c r="EH87" s="1742"/>
      <c r="EI87" s="387"/>
      <c r="EJ87" s="387"/>
      <c r="EK87" s="1741"/>
      <c r="EL87" s="1741"/>
      <c r="EM87" s="448"/>
      <c r="EN87" s="1744"/>
      <c r="EO87" s="387"/>
      <c r="EP87" s="339"/>
      <c r="EQ87" s="339"/>
      <c r="ER87" s="387"/>
      <c r="ES87" s="387"/>
      <c r="ET87" s="1741"/>
      <c r="EU87" s="148" t="s">
        <v>9766</v>
      </c>
      <c r="EV87" s="1742"/>
      <c r="EW87" s="131"/>
      <c r="EX87" s="131"/>
      <c r="EY87" s="131"/>
      <c r="EZ87" s="339"/>
      <c r="FA87" s="339"/>
      <c r="FB87" s="339"/>
      <c r="FC87" s="387"/>
      <c r="FD87" s="387"/>
      <c r="FE87" s="387"/>
      <c r="FF87" s="1741"/>
      <c r="FG87" s="1741"/>
      <c r="FH87" s="1741"/>
      <c r="FI87" s="1741"/>
      <c r="FJ87" s="1739"/>
      <c r="FK87" s="1739"/>
      <c r="FL87" s="131"/>
      <c r="FM87" s="1739"/>
      <c r="FN87" s="448"/>
      <c r="FO87" s="387"/>
      <c r="FP87" s="387"/>
      <c r="FQ87" s="339"/>
      <c r="FR87" s="1742"/>
      <c r="FS87" s="1742"/>
      <c r="FT87" s="1740"/>
      <c r="FU87" s="1740"/>
      <c r="FV87" s="131"/>
      <c r="FW87" s="131"/>
      <c r="FX87" s="1740"/>
      <c r="FY87" s="1742"/>
      <c r="FZ87" s="339"/>
      <c r="GA87" s="131"/>
      <c r="GB87" s="387"/>
      <c r="GC87" s="387"/>
      <c r="GD87" s="1741"/>
      <c r="GE87" s="131"/>
      <c r="GF87" s="1742"/>
      <c r="GG87" s="131"/>
      <c r="GH87" s="387"/>
      <c r="GI87" s="448"/>
      <c r="GJ87" s="339"/>
      <c r="GK87" s="339"/>
      <c r="GL87" s="1739"/>
      <c r="GM87" s="387"/>
      <c r="GN87" s="387"/>
      <c r="GO87" s="448"/>
      <c r="GP87" s="1744"/>
      <c r="GQ87" s="1744"/>
      <c r="GR87" s="1742"/>
      <c r="GS87" s="1743"/>
      <c r="GT87" s="1744"/>
      <c r="GU87" s="387"/>
      <c r="GV87" s="339"/>
      <c r="GW87" s="1743"/>
      <c r="GX87" s="448"/>
      <c r="GY87" s="339"/>
      <c r="GZ87" s="448"/>
      <c r="HA87" s="1743"/>
      <c r="HB87" s="1742"/>
      <c r="HC87" s="448"/>
      <c r="HD87" s="1743"/>
      <c r="HE87" s="1739"/>
      <c r="HF87" s="339"/>
      <c r="HG87" s="387"/>
      <c r="HH87" s="1744"/>
      <c r="HI87" s="1741"/>
      <c r="HJ87" s="1741"/>
      <c r="HK87" s="1739"/>
      <c r="HL87" s="1739"/>
      <c r="HM87" s="1741"/>
      <c r="HN87" s="1741"/>
      <c r="HO87" s="1742"/>
      <c r="HP87" s="1743"/>
      <c r="HQ87" s="1739"/>
      <c r="HR87" s="1739"/>
      <c r="HS87" s="448"/>
      <c r="HT87" s="1743"/>
      <c r="HU87" s="1744"/>
      <c r="HV87" s="1744"/>
      <c r="HW87" s="387"/>
      <c r="HX87" s="387"/>
      <c r="HY87" s="1743"/>
      <c r="HZ87" s="1739"/>
      <c r="IA87" s="1741"/>
      <c r="IB87" s="1740"/>
      <c r="IC87" s="448"/>
      <c r="ID87" s="1741"/>
      <c r="IE87" s="1742"/>
      <c r="IF87" s="339"/>
      <c r="IG87" s="1739"/>
      <c r="IH87" s="1742"/>
      <c r="II87" s="1742"/>
      <c r="IJ87" s="339"/>
      <c r="IK87" s="1741"/>
      <c r="IL87" s="387"/>
      <c r="IM87" s="131"/>
      <c r="IN87" s="1743"/>
      <c r="IO87" s="131"/>
      <c r="IP87" s="1740"/>
      <c r="IQ87" s="1739"/>
      <c r="IR87" s="131"/>
      <c r="IS87" s="131"/>
      <c r="IT87" s="131"/>
      <c r="IU87" s="131"/>
      <c r="IV87" s="1739"/>
      <c r="IW87" s="1739"/>
      <c r="IX87" s="1739"/>
      <c r="IY87" s="387"/>
      <c r="IZ87" s="387"/>
      <c r="JA87" s="387"/>
      <c r="JB87" s="1743"/>
      <c r="JC87" s="1743"/>
      <c r="JD87" s="1741"/>
      <c r="JE87" s="1740"/>
      <c r="JF87" s="1739"/>
      <c r="JG87" s="1740"/>
      <c r="JH87" s="339"/>
      <c r="JI87" s="448"/>
      <c r="JJ87" s="131"/>
      <c r="JK87" s="131"/>
      <c r="JL87" s="131"/>
      <c r="JM87" s="131"/>
      <c r="JN87" s="1741"/>
      <c r="JO87" s="1741"/>
      <c r="JP87" s="1741"/>
      <c r="JQ87" s="387"/>
      <c r="JR87" s="387"/>
      <c r="JS87" s="1740"/>
      <c r="JT87" s="339"/>
      <c r="JU87" s="1740"/>
      <c r="JV87" s="1740"/>
      <c r="JW87" s="1740"/>
      <c r="JX87" s="387"/>
      <c r="JY87" s="387"/>
      <c r="JZ87" s="1741"/>
      <c r="KA87" s="131"/>
      <c r="KB87" s="1741"/>
      <c r="KC87" s="1740"/>
      <c r="KD87" s="1741"/>
      <c r="KE87" s="1743"/>
      <c r="KF87" s="339"/>
      <c r="KG87" s="1741"/>
      <c r="KH87" s="1742"/>
      <c r="KI87" s="387"/>
      <c r="KJ87" s="387"/>
      <c r="KK87" s="339"/>
      <c r="KL87" s="1741"/>
      <c r="KM87" s="387"/>
      <c r="KN87" s="1743"/>
      <c r="KO87" s="1742"/>
      <c r="KP87" s="448"/>
      <c r="KQ87" s="448"/>
      <c r="KR87" s="1744"/>
      <c r="KS87" s="1743"/>
      <c r="KT87" s="1743"/>
      <c r="KU87" s="1743"/>
      <c r="KV87" s="387"/>
      <c r="KW87" s="1739"/>
      <c r="KX87" s="131"/>
      <c r="KY87" s="339"/>
      <c r="KZ87" s="339"/>
      <c r="LA87" s="339"/>
      <c r="LB87" s="1743"/>
      <c r="LC87" s="448"/>
      <c r="LD87" s="131"/>
      <c r="LE87" s="131"/>
      <c r="LF87" s="448"/>
      <c r="LG87" s="1739"/>
      <c r="LH87" s="387"/>
      <c r="LI87" s="387"/>
      <c r="LJ87" s="387"/>
      <c r="LK87" s="339"/>
      <c r="LL87" s="1739"/>
      <c r="LM87" s="1741"/>
      <c r="LN87" s="1744"/>
      <c r="LO87" s="448"/>
      <c r="LP87" s="1741"/>
      <c r="LQ87" s="1741"/>
      <c r="LR87" s="131"/>
      <c r="LS87" s="131"/>
      <c r="LT87" s="131"/>
      <c r="LU87" s="131"/>
      <c r="LV87" s="387"/>
      <c r="LW87" s="387"/>
      <c r="LX87" s="1740"/>
      <c r="LY87" s="1744"/>
      <c r="LZ87" s="339"/>
      <c r="MA87" s="1739"/>
      <c r="MB87" s="1743"/>
      <c r="MC87" s="387"/>
      <c r="MD87" s="1739"/>
      <c r="ME87" s="1739"/>
      <c r="MF87" s="1741"/>
      <c r="MG87" s="1744"/>
      <c r="MH87" s="448"/>
      <c r="MI87" s="131"/>
      <c r="MJ87" s="1743"/>
      <c r="MK87" s="1743"/>
      <c r="ML87" s="1741"/>
      <c r="MM87" s="1742"/>
      <c r="MN87" s="1740"/>
      <c r="MO87" s="131"/>
      <c r="MP87" s="1744"/>
      <c r="MQ87" s="1744"/>
      <c r="MR87" s="1744"/>
      <c r="MS87" s="1744"/>
      <c r="MT87" s="131"/>
      <c r="MU87" s="387"/>
      <c r="MV87" s="1740"/>
      <c r="MW87" s="387"/>
      <c r="MX87" s="1743"/>
      <c r="MY87" s="1743"/>
      <c r="MZ87" s="387"/>
      <c r="NA87" s="387"/>
      <c r="NB87" s="387"/>
      <c r="NC87" s="387"/>
      <c r="ND87" s="387"/>
      <c r="NE87" s="1742"/>
      <c r="NF87" s="1743"/>
      <c r="NG87" s="1742"/>
      <c r="NH87" s="387"/>
      <c r="NI87" s="1740"/>
      <c r="NJ87" s="387"/>
      <c r="NK87" s="387"/>
      <c r="NL87" s="387"/>
      <c r="NM87" s="387"/>
      <c r="NN87" s="1741"/>
      <c r="NO87" s="387"/>
      <c r="NP87" s="1743"/>
      <c r="NQ87" s="1739"/>
      <c r="NR87" s="387"/>
      <c r="NS87" s="387"/>
      <c r="NT87" s="1739"/>
      <c r="NU87" s="131"/>
      <c r="NV87" s="339"/>
      <c r="NW87" s="1739"/>
      <c r="NX87" s="1739"/>
      <c r="NY87" s="1739"/>
      <c r="NZ87" s="1739"/>
      <c r="OA87" s="131"/>
      <c r="OB87" s="131"/>
      <c r="OC87" s="131"/>
      <c r="OD87" s="1741"/>
      <c r="OE87" s="1741"/>
      <c r="OF87" s="1741"/>
      <c r="OG87" s="387"/>
      <c r="OH87" s="387"/>
      <c r="OI87" s="387"/>
      <c r="OJ87" s="1741"/>
      <c r="OK87" s="1741"/>
      <c r="OL87" s="1741"/>
      <c r="OM87" s="1741"/>
      <c r="ON87" s="1741"/>
      <c r="OO87" s="1739"/>
      <c r="OP87" s="1739"/>
      <c r="OQ87" s="387"/>
      <c r="OR87" s="387"/>
      <c r="OS87" s="387"/>
      <c r="OT87" s="131"/>
      <c r="OU87" s="131"/>
      <c r="OV87" s="387"/>
      <c r="OW87" s="387"/>
      <c r="OX87" s="1743"/>
      <c r="OY87" s="1743"/>
      <c r="OZ87" s="131"/>
      <c r="PA87" s="131"/>
      <c r="PB87" s="339"/>
      <c r="PC87" s="1742"/>
      <c r="PD87" s="339"/>
      <c r="PE87" s="339"/>
      <c r="PF87" s="339"/>
      <c r="PG87" s="1740"/>
      <c r="PH87" s="1741"/>
      <c r="PI87" s="1741"/>
      <c r="PJ87" s="1742"/>
      <c r="PK87" s="1742"/>
      <c r="PL87" s="448"/>
      <c r="PM87" s="448"/>
      <c r="PN87" s="448"/>
      <c r="PO87" s="448"/>
      <c r="PP87" s="448"/>
      <c r="PQ87" s="1741"/>
      <c r="PR87" s="1741"/>
      <c r="PS87" s="448"/>
      <c r="PT87" s="1744"/>
      <c r="PU87" s="1743"/>
      <c r="PV87" s="1743"/>
      <c r="PW87" s="339"/>
      <c r="PX87" s="448"/>
      <c r="PY87" s="448"/>
      <c r="PZ87" s="131"/>
      <c r="QA87" s="131"/>
      <c r="QB87" s="1741"/>
      <c r="QC87" s="1742"/>
      <c r="QD87" s="1742"/>
      <c r="QE87" s="1744"/>
      <c r="QF87" s="448"/>
      <c r="QG87" s="387"/>
      <c r="QH87" s="387"/>
      <c r="QI87" s="387"/>
      <c r="QJ87" s="1744"/>
      <c r="QK87" s="387"/>
      <c r="QL87" s="387"/>
      <c r="QM87" s="1741"/>
      <c r="QN87" s="1741"/>
      <c r="QO87" s="448"/>
      <c r="QP87" s="448"/>
      <c r="QQ87" s="387"/>
      <c r="QR87" s="387"/>
      <c r="QS87" s="131"/>
      <c r="QT87" s="387"/>
      <c r="QU87" s="387"/>
      <c r="QV87" s="387"/>
      <c r="QW87" s="1740"/>
      <c r="QX87" s="1740"/>
      <c r="QY87" s="1744"/>
      <c r="QZ87" s="1743"/>
      <c r="RA87" s="1742"/>
      <c r="RB87" s="1743"/>
      <c r="RC87" s="387"/>
      <c r="RD87" s="339"/>
      <c r="RE87" s="1739"/>
      <c r="RF87" s="1740"/>
      <c r="RG87" s="131"/>
      <c r="RH87" s="131"/>
      <c r="RI87" s="387"/>
      <c r="RJ87" s="448"/>
      <c r="RK87" s="1741"/>
      <c r="RL87" s="1739"/>
      <c r="RM87" s="1740"/>
      <c r="RN87" s="1743"/>
      <c r="RO87" s="1744"/>
      <c r="RP87" s="1740"/>
      <c r="RQ87" s="1739"/>
      <c r="RR87" s="1739"/>
      <c r="RS87" s="1739"/>
      <c r="RT87" s="1739"/>
      <c r="RU87" s="1739"/>
      <c r="RV87" s="1739"/>
      <c r="RW87" s="339"/>
      <c r="RX87" s="1742"/>
      <c r="RY87" s="387"/>
      <c r="RZ87" s="1740"/>
      <c r="SA87" s="448"/>
      <c r="SB87" s="1741"/>
      <c r="SC87" s="1740"/>
      <c r="SD87" s="1744"/>
      <c r="SE87" s="1744"/>
      <c r="SF87" s="339"/>
      <c r="SG87" s="387"/>
      <c r="SH87" s="387"/>
      <c r="SI87" s="1744"/>
      <c r="SJ87" s="131"/>
      <c r="SK87" s="131"/>
      <c r="SL87" s="1743"/>
    </row>
    <row r="88" ht="15.75" customHeight="1">
      <c r="A88" s="1517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  <c r="BI88" s="148"/>
      <c r="BJ88" s="148"/>
      <c r="BK88" s="148"/>
      <c r="BL88" s="148"/>
      <c r="BM88" s="148"/>
      <c r="BN88" s="148"/>
      <c r="BO88" s="148"/>
      <c r="BP88" s="148"/>
      <c r="BQ88" s="148"/>
      <c r="BR88" s="148"/>
      <c r="BS88" s="148"/>
      <c r="BT88" s="148"/>
      <c r="BU88" s="148"/>
      <c r="BV88" s="148"/>
      <c r="BW88" s="148"/>
      <c r="BX88" s="148"/>
      <c r="BY88" s="148"/>
      <c r="BZ88" s="148"/>
      <c r="CA88" s="148"/>
      <c r="CB88" s="148"/>
      <c r="CC88" s="148"/>
      <c r="CD88" s="148"/>
      <c r="CE88" s="148"/>
      <c r="CF88" s="148"/>
      <c r="CG88" s="148"/>
      <c r="CH88" s="148"/>
      <c r="CI88" s="148"/>
      <c r="CJ88" s="148"/>
      <c r="CK88" s="148"/>
      <c r="CL88" s="148"/>
      <c r="CM88" s="148"/>
      <c r="CN88" s="148"/>
      <c r="CO88" s="148"/>
      <c r="CP88" s="148"/>
      <c r="CQ88" s="148"/>
      <c r="CR88" s="148"/>
      <c r="CS88" s="148"/>
      <c r="CT88" s="148"/>
      <c r="CU88" s="148"/>
      <c r="CV88" s="148"/>
      <c r="CW88" s="148"/>
      <c r="CX88" s="148"/>
      <c r="CY88" s="148"/>
      <c r="CZ88" s="148"/>
      <c r="DA88" s="148"/>
      <c r="DB88" s="148"/>
      <c r="DC88" s="148"/>
      <c r="DD88" s="148"/>
      <c r="DE88" s="148"/>
      <c r="DF88" s="148"/>
      <c r="DG88" s="148"/>
      <c r="DH88" s="148"/>
      <c r="DI88" s="148"/>
      <c r="DJ88" s="148"/>
      <c r="DK88" s="148"/>
      <c r="DL88" s="148"/>
      <c r="DM88" s="148"/>
      <c r="DN88" s="148"/>
      <c r="DO88" s="148"/>
      <c r="DP88" s="148"/>
      <c r="DQ88" s="148"/>
      <c r="DR88" s="148"/>
      <c r="DS88" s="148"/>
      <c r="DT88" s="148"/>
      <c r="DU88" s="148"/>
      <c r="DV88" s="148"/>
      <c r="DW88" s="148"/>
      <c r="DX88" s="148"/>
      <c r="DY88" s="148"/>
      <c r="DZ88" s="148"/>
      <c r="EA88" s="148"/>
      <c r="EB88" s="148"/>
      <c r="EC88" s="148"/>
      <c r="ED88" s="148"/>
      <c r="EE88" s="148"/>
      <c r="EF88" s="148"/>
      <c r="EG88" s="148"/>
      <c r="EH88" s="148"/>
      <c r="EI88" s="148"/>
      <c r="EJ88" s="148"/>
      <c r="EK88" s="148"/>
      <c r="EL88" s="148"/>
      <c r="EM88" s="148"/>
      <c r="EN88" s="148"/>
      <c r="EO88" s="148"/>
      <c r="EP88" s="148"/>
      <c r="EQ88" s="148"/>
      <c r="ER88" s="148"/>
      <c r="ES88" s="148"/>
      <c r="ET88" s="148"/>
      <c r="EU88" s="448" t="s">
        <v>9769</v>
      </c>
      <c r="EV88" s="148"/>
      <c r="EW88" s="148"/>
      <c r="EX88" s="148"/>
      <c r="EY88" s="148"/>
      <c r="EZ88" s="148"/>
      <c r="FA88" s="148"/>
      <c r="FB88" s="148"/>
      <c r="FC88" s="148"/>
      <c r="FD88" s="148"/>
      <c r="FE88" s="148"/>
      <c r="FF88" s="148"/>
      <c r="FG88" s="148"/>
      <c r="FH88" s="148"/>
      <c r="FI88" s="148"/>
      <c r="FJ88" s="148"/>
      <c r="FK88" s="148"/>
      <c r="FL88" s="148"/>
      <c r="FM88" s="148"/>
      <c r="FN88" s="148"/>
      <c r="FO88" s="148"/>
      <c r="FP88" s="148"/>
      <c r="FQ88" s="148"/>
      <c r="FR88" s="148"/>
      <c r="FS88" s="148"/>
      <c r="FT88" s="148"/>
      <c r="FU88" s="148"/>
      <c r="FV88" s="148"/>
      <c r="FW88" s="148"/>
      <c r="FX88" s="148"/>
      <c r="FY88" s="148"/>
      <c r="FZ88" s="148"/>
      <c r="GA88" s="148"/>
      <c r="GB88" s="148"/>
      <c r="GC88" s="148"/>
      <c r="GD88" s="148"/>
      <c r="GE88" s="148"/>
      <c r="GF88" s="148"/>
      <c r="GG88" s="148"/>
      <c r="GH88" s="148"/>
      <c r="GI88" s="148"/>
      <c r="GJ88" s="148"/>
      <c r="GK88" s="148"/>
      <c r="GL88" s="148"/>
      <c r="GM88" s="148"/>
      <c r="GN88" s="148"/>
      <c r="GO88" s="148"/>
      <c r="GP88" s="148"/>
      <c r="GQ88" s="148"/>
      <c r="GR88" s="148"/>
      <c r="GS88" s="148"/>
      <c r="GT88" s="148"/>
      <c r="GU88" s="148"/>
      <c r="GV88" s="148"/>
      <c r="GW88" s="148"/>
      <c r="GX88" s="148"/>
      <c r="GY88" s="148"/>
      <c r="GZ88" s="148"/>
      <c r="HA88" s="148"/>
      <c r="HB88" s="148"/>
      <c r="HC88" s="148"/>
      <c r="HD88" s="148"/>
      <c r="HE88" s="148"/>
      <c r="HF88" s="148"/>
      <c r="HG88" s="148"/>
      <c r="HH88" s="148"/>
      <c r="HI88" s="148"/>
      <c r="HJ88" s="148"/>
      <c r="HK88" s="148"/>
      <c r="HL88" s="148"/>
      <c r="HM88" s="148"/>
      <c r="HN88" s="148"/>
      <c r="HO88" s="148"/>
      <c r="HP88" s="148"/>
      <c r="HQ88" s="148"/>
      <c r="HR88" s="148"/>
      <c r="HS88" s="148"/>
      <c r="HT88" s="148"/>
      <c r="HU88" s="148"/>
      <c r="HV88" s="148"/>
      <c r="HW88" s="148"/>
      <c r="HX88" s="148"/>
      <c r="HY88" s="148"/>
      <c r="HZ88" s="148"/>
      <c r="IA88" s="148"/>
      <c r="IB88" s="148"/>
      <c r="IC88" s="148"/>
      <c r="ID88" s="148"/>
      <c r="IE88" s="148"/>
      <c r="IF88" s="148"/>
      <c r="IG88" s="148"/>
      <c r="IH88" s="148"/>
      <c r="II88" s="148"/>
      <c r="IJ88" s="148"/>
      <c r="IK88" s="148"/>
      <c r="IL88" s="148"/>
      <c r="IM88" s="148"/>
      <c r="IN88" s="148"/>
      <c r="IO88" s="148"/>
      <c r="IP88" s="148"/>
      <c r="IQ88" s="148"/>
      <c r="IR88" s="148"/>
      <c r="IS88" s="148"/>
      <c r="IT88" s="148"/>
      <c r="IU88" s="148"/>
      <c r="IV88" s="148"/>
      <c r="IW88" s="148"/>
      <c r="IX88" s="148"/>
      <c r="IY88" s="148"/>
      <c r="IZ88" s="148"/>
      <c r="JA88" s="148"/>
      <c r="JB88" s="148"/>
      <c r="JC88" s="148"/>
      <c r="JD88" s="148"/>
      <c r="JE88" s="148"/>
      <c r="JF88" s="148"/>
      <c r="JG88" s="148"/>
      <c r="JH88" s="148"/>
      <c r="JI88" s="148"/>
      <c r="JJ88" s="148"/>
      <c r="JK88" s="148"/>
      <c r="JL88" s="148"/>
      <c r="JM88" s="148"/>
      <c r="JN88" s="148"/>
      <c r="JO88" s="148"/>
      <c r="JP88" s="148"/>
      <c r="JQ88" s="148"/>
      <c r="JR88" s="148"/>
      <c r="JS88" s="148"/>
      <c r="JT88" s="148"/>
      <c r="JU88" s="148"/>
      <c r="JV88" s="148"/>
      <c r="JW88" s="148"/>
      <c r="JX88" s="148"/>
      <c r="JY88" s="148"/>
      <c r="JZ88" s="148"/>
      <c r="KA88" s="148"/>
      <c r="KB88" s="148"/>
      <c r="KC88" s="148"/>
      <c r="KD88" s="148"/>
      <c r="KE88" s="148"/>
      <c r="KF88" s="148"/>
      <c r="KG88" s="148"/>
      <c r="KH88" s="148"/>
      <c r="KI88" s="148"/>
      <c r="KJ88" s="148"/>
      <c r="KK88" s="148"/>
      <c r="KL88" s="148"/>
      <c r="KM88" s="148"/>
      <c r="KN88" s="148"/>
      <c r="KO88" s="148"/>
      <c r="KP88" s="148"/>
      <c r="KQ88" s="148"/>
      <c r="KR88" s="148"/>
      <c r="KS88" s="148"/>
      <c r="KT88" s="148"/>
      <c r="KU88" s="148"/>
      <c r="KV88" s="148"/>
      <c r="KW88" s="148"/>
      <c r="KX88" s="148"/>
      <c r="KY88" s="148"/>
      <c r="KZ88" s="148"/>
      <c r="LA88" s="148"/>
      <c r="LB88" s="148"/>
      <c r="LC88" s="148"/>
      <c r="LD88" s="148"/>
      <c r="LE88" s="148"/>
      <c r="LF88" s="148"/>
      <c r="LG88" s="148"/>
      <c r="LH88" s="148"/>
      <c r="LI88" s="148"/>
      <c r="LJ88" s="148"/>
      <c r="LK88" s="148"/>
      <c r="LL88" s="148"/>
      <c r="LM88" s="148"/>
      <c r="LN88" s="148"/>
      <c r="LO88" s="148"/>
      <c r="LP88" s="148"/>
      <c r="LQ88" s="148"/>
      <c r="LR88" s="148"/>
      <c r="LS88" s="148"/>
      <c r="LT88" s="148"/>
      <c r="LU88" s="148"/>
      <c r="LV88" s="148"/>
      <c r="LW88" s="148"/>
      <c r="LX88" s="148"/>
      <c r="LY88" s="148"/>
      <c r="LZ88" s="148"/>
      <c r="MA88" s="148"/>
      <c r="MB88" s="148"/>
      <c r="MC88" s="148"/>
      <c r="MD88" s="148"/>
      <c r="ME88" s="148"/>
      <c r="MF88" s="148"/>
      <c r="MG88" s="148"/>
      <c r="MH88" s="148"/>
      <c r="MI88" s="148"/>
      <c r="MJ88" s="148"/>
      <c r="MK88" s="148"/>
      <c r="ML88" s="148"/>
      <c r="MM88" s="148"/>
      <c r="MN88" s="148"/>
      <c r="MO88" s="148"/>
      <c r="MP88" s="148"/>
      <c r="MQ88" s="148"/>
      <c r="MR88" s="148"/>
      <c r="MS88" s="148"/>
      <c r="MT88" s="148"/>
      <c r="MU88" s="148"/>
      <c r="MV88" s="148"/>
      <c r="MW88" s="148"/>
      <c r="MX88" s="148"/>
      <c r="MY88" s="148"/>
      <c r="MZ88" s="148"/>
      <c r="NA88" s="148"/>
      <c r="NB88" s="148"/>
      <c r="NC88" s="148"/>
      <c r="ND88" s="148"/>
      <c r="NE88" s="148"/>
      <c r="NF88" s="148"/>
      <c r="NG88" s="148"/>
      <c r="NH88" s="148"/>
      <c r="NI88" s="148"/>
      <c r="NJ88" s="148"/>
      <c r="NK88" s="148"/>
      <c r="NL88" s="148"/>
      <c r="NM88" s="148"/>
      <c r="NN88" s="148"/>
      <c r="NO88" s="148"/>
      <c r="NP88" s="148"/>
      <c r="NQ88" s="148"/>
      <c r="NR88" s="148"/>
      <c r="NS88" s="148"/>
      <c r="NT88" s="148"/>
      <c r="NU88" s="148"/>
      <c r="NV88" s="148"/>
      <c r="NW88" s="148"/>
      <c r="NX88" s="148"/>
      <c r="NY88" s="148"/>
      <c r="NZ88" s="148"/>
      <c r="OA88" s="148"/>
      <c r="OB88" s="148"/>
      <c r="OC88" s="148"/>
      <c r="OD88" s="148"/>
      <c r="OE88" s="148"/>
      <c r="OF88" s="148"/>
      <c r="OG88" s="148"/>
      <c r="OH88" s="148"/>
      <c r="OI88" s="148"/>
      <c r="OJ88" s="148"/>
      <c r="OK88" s="148"/>
      <c r="OL88" s="148"/>
      <c r="OM88" s="148"/>
      <c r="ON88" s="148"/>
      <c r="OO88" s="148"/>
      <c r="OP88" s="148"/>
      <c r="OQ88" s="148"/>
      <c r="OR88" s="148"/>
      <c r="OS88" s="148"/>
      <c r="OT88" s="148"/>
      <c r="OU88" s="148"/>
      <c r="OV88" s="148"/>
      <c r="OW88" s="148"/>
      <c r="OX88" s="148"/>
      <c r="OY88" s="148"/>
      <c r="OZ88" s="148"/>
      <c r="PA88" s="148"/>
      <c r="PB88" s="148"/>
      <c r="PC88" s="148"/>
      <c r="PD88" s="148"/>
      <c r="PE88" s="148"/>
      <c r="PF88" s="148"/>
      <c r="PG88" s="148"/>
      <c r="PH88" s="148"/>
      <c r="PI88" s="148"/>
      <c r="PJ88" s="148"/>
      <c r="PK88" s="148"/>
      <c r="PL88" s="148"/>
      <c r="PM88" s="148"/>
      <c r="PN88" s="148"/>
      <c r="PO88" s="148"/>
      <c r="PP88" s="148"/>
      <c r="PQ88" s="148"/>
      <c r="PR88" s="148"/>
      <c r="PS88" s="148"/>
      <c r="PT88" s="148"/>
      <c r="PU88" s="148"/>
      <c r="PV88" s="148"/>
      <c r="PW88" s="148"/>
      <c r="PX88" s="148"/>
      <c r="PY88" s="148"/>
      <c r="PZ88" s="148"/>
      <c r="QA88" s="148"/>
      <c r="QB88" s="148"/>
      <c r="QC88" s="148"/>
      <c r="QD88" s="148"/>
      <c r="QE88" s="148"/>
      <c r="QF88" s="148"/>
      <c r="QG88" s="148"/>
      <c r="QH88" s="148"/>
      <c r="QI88" s="148"/>
      <c r="QJ88" s="148"/>
      <c r="QK88" s="148"/>
      <c r="QL88" s="148"/>
      <c r="QM88" s="148"/>
      <c r="QN88" s="148"/>
      <c r="QO88" s="148"/>
      <c r="QP88" s="148"/>
      <c r="QQ88" s="148"/>
      <c r="QR88" s="148"/>
      <c r="QS88" s="148"/>
      <c r="QT88" s="148"/>
      <c r="QU88" s="148"/>
      <c r="QV88" s="148"/>
      <c r="QW88" s="148"/>
      <c r="QX88" s="148"/>
      <c r="QY88" s="148"/>
      <c r="QZ88" s="148"/>
      <c r="RA88" s="148"/>
      <c r="RB88" s="148"/>
      <c r="RC88" s="148"/>
      <c r="RD88" s="148"/>
      <c r="RE88" s="148"/>
      <c r="RF88" s="148"/>
      <c r="RG88" s="148"/>
      <c r="RH88" s="148"/>
      <c r="RI88" s="148"/>
      <c r="RJ88" s="148"/>
      <c r="RK88" s="148"/>
      <c r="RL88" s="148"/>
      <c r="RM88" s="148"/>
      <c r="RN88" s="148"/>
      <c r="RO88" s="148"/>
      <c r="RP88" s="148"/>
      <c r="RQ88" s="148"/>
      <c r="RR88" s="148"/>
      <c r="RS88" s="148"/>
      <c r="RT88" s="148"/>
      <c r="RU88" s="148"/>
      <c r="RV88" s="148"/>
      <c r="RW88" s="148"/>
      <c r="RX88" s="148"/>
      <c r="RY88" s="148"/>
      <c r="RZ88" s="148"/>
      <c r="SA88" s="148"/>
      <c r="SB88" s="148"/>
      <c r="SC88" s="148"/>
      <c r="SD88" s="148"/>
      <c r="SE88" s="148"/>
      <c r="SF88" s="148"/>
      <c r="SG88" s="148"/>
      <c r="SH88" s="148"/>
      <c r="SI88" s="148"/>
      <c r="SJ88" s="148"/>
      <c r="SK88" s="148"/>
      <c r="SL88" s="148"/>
    </row>
    <row r="89" ht="15.75" customHeight="1">
      <c r="A89" s="1254"/>
      <c r="B89" s="1772"/>
      <c r="C89" s="1772"/>
      <c r="D89" s="1772"/>
      <c r="E89" s="1773"/>
      <c r="F89" s="1773"/>
      <c r="G89" s="1773"/>
      <c r="H89" s="1774"/>
      <c r="I89" s="1774"/>
      <c r="J89" s="1774"/>
      <c r="K89" s="1772"/>
      <c r="L89" s="1772"/>
      <c r="M89" s="1775"/>
      <c r="N89" s="1776"/>
      <c r="O89" s="1777"/>
      <c r="P89" s="1777"/>
      <c r="Q89" s="1776"/>
      <c r="R89" s="1776"/>
      <c r="S89" s="1776"/>
      <c r="T89" s="1778"/>
      <c r="U89" s="1776"/>
      <c r="V89" s="1776"/>
      <c r="W89" s="1776"/>
      <c r="X89" s="1778"/>
      <c r="Y89" s="1778"/>
      <c r="Z89" s="1777"/>
      <c r="AA89" s="1777"/>
      <c r="AB89" s="1777"/>
      <c r="AC89" s="1777"/>
      <c r="AD89" s="1774"/>
      <c r="AE89" s="1774"/>
      <c r="AF89" s="1774"/>
      <c r="AG89" s="1778"/>
      <c r="AH89" s="1778"/>
      <c r="AI89" s="1778"/>
      <c r="AJ89" s="1779"/>
      <c r="AK89" s="1779"/>
      <c r="AL89" s="1776"/>
      <c r="AM89" s="1777"/>
      <c r="AN89" s="1779"/>
      <c r="AO89" s="1779"/>
      <c r="AP89" s="1778"/>
      <c r="AQ89" s="1778"/>
      <c r="AR89" s="1774"/>
      <c r="AS89" s="1774"/>
      <c r="AT89" s="1773"/>
      <c r="AU89" s="1773"/>
      <c r="AV89" s="1773"/>
      <c r="AW89" s="1778"/>
      <c r="AX89" s="1778"/>
      <c r="AY89" s="1776"/>
      <c r="AZ89" s="1776"/>
      <c r="BA89" s="1777"/>
      <c r="BB89" s="1777"/>
      <c r="BC89" s="1777"/>
      <c r="BD89" s="1774"/>
      <c r="BE89" s="1776"/>
      <c r="BF89" s="1776"/>
      <c r="BG89" s="1776"/>
      <c r="BH89" s="1776"/>
      <c r="BI89" s="1774"/>
      <c r="BJ89" s="1774"/>
      <c r="BK89" s="1774"/>
      <c r="BL89" s="1776"/>
      <c r="BM89" s="1776"/>
      <c r="BN89" s="1776"/>
      <c r="BO89" s="1780"/>
      <c r="BP89" s="1780"/>
      <c r="BQ89" s="1780"/>
      <c r="BR89" s="1772"/>
      <c r="BS89" s="1772"/>
      <c r="BT89" s="1772"/>
      <c r="BU89" s="1774"/>
      <c r="BV89" s="1774"/>
      <c r="BW89" s="1776"/>
      <c r="BX89" s="1776"/>
      <c r="BY89" s="1776"/>
      <c r="BZ89" s="1777"/>
      <c r="CA89" s="1777"/>
      <c r="CB89" s="1779"/>
      <c r="CC89" s="1779"/>
      <c r="CD89" s="1780"/>
      <c r="CE89" s="1780"/>
      <c r="CF89" s="1776"/>
      <c r="CG89" s="1776"/>
      <c r="CH89" s="1776"/>
      <c r="CI89" s="1775"/>
      <c r="CJ89" s="1775"/>
      <c r="CK89" s="1778"/>
      <c r="CL89" s="1778"/>
      <c r="CM89" s="1778"/>
      <c r="CN89" s="1778"/>
      <c r="CO89" s="1778"/>
      <c r="CP89" s="1778"/>
      <c r="CQ89" s="1778"/>
      <c r="CR89" s="1780"/>
      <c r="CS89" s="1777"/>
      <c r="CT89" s="1777"/>
      <c r="CU89" s="1773"/>
      <c r="CV89" s="1773"/>
      <c r="CW89" s="1773"/>
      <c r="CX89" s="1773"/>
      <c r="CY89" s="1779"/>
      <c r="CZ89" s="1777"/>
      <c r="DA89" s="1776"/>
      <c r="DB89" s="1776"/>
      <c r="DC89" s="1776"/>
      <c r="DD89" s="1776"/>
      <c r="DE89" s="1779"/>
      <c r="DF89" s="1778"/>
      <c r="DG89" s="1778"/>
      <c r="DH89" s="1780"/>
      <c r="DI89" s="1780"/>
      <c r="DJ89" s="1779"/>
      <c r="DK89" s="1774"/>
      <c r="DL89" s="1776"/>
      <c r="DM89" s="1774"/>
      <c r="DN89" s="1774"/>
      <c r="DO89" s="1773"/>
      <c r="DP89" s="1773"/>
      <c r="DQ89" s="1776"/>
      <c r="DR89" s="1778"/>
      <c r="DS89" s="1779"/>
      <c r="DT89" s="1772"/>
      <c r="DU89" s="1773"/>
      <c r="DV89" s="1777"/>
      <c r="DW89" s="1773"/>
      <c r="DX89" s="1776"/>
      <c r="DY89" s="1776"/>
      <c r="DZ89" s="1773"/>
      <c r="EA89" s="1774"/>
      <c r="EB89" s="1774"/>
      <c r="EC89" s="1778"/>
      <c r="ED89" s="1776"/>
      <c r="EE89" s="1774"/>
      <c r="EF89" s="1777"/>
      <c r="EG89" s="1773"/>
      <c r="EH89" s="1779"/>
      <c r="EI89" s="1774"/>
      <c r="EJ89" s="1774"/>
      <c r="EK89" s="1776"/>
      <c r="EL89" s="1776"/>
      <c r="EM89" s="1778"/>
      <c r="EN89" s="1781"/>
      <c r="EO89" s="1774"/>
      <c r="EP89" s="1777"/>
      <c r="EQ89" s="1777"/>
      <c r="ER89" s="1774"/>
      <c r="ES89" s="1774"/>
      <c r="ET89" s="1776"/>
      <c r="EU89" s="1782" t="s">
        <v>9783</v>
      </c>
      <c r="EV89" s="1779"/>
      <c r="EW89" s="1772"/>
      <c r="EX89" s="1772"/>
      <c r="EY89" s="1772"/>
      <c r="EZ89" s="1777"/>
      <c r="FA89" s="1777"/>
      <c r="FB89" s="1777"/>
      <c r="FC89" s="1774"/>
      <c r="FD89" s="1774"/>
      <c r="FE89" s="1774"/>
      <c r="FF89" s="1776"/>
      <c r="FG89" s="1776"/>
      <c r="FH89" s="1776"/>
      <c r="FI89" s="1776"/>
      <c r="FJ89" s="1773"/>
      <c r="FK89" s="1773"/>
      <c r="FL89" s="1772"/>
      <c r="FM89" s="1773"/>
      <c r="FN89" s="1778"/>
      <c r="FO89" s="1774"/>
      <c r="FP89" s="1774"/>
      <c r="FQ89" s="1777"/>
      <c r="FR89" s="1779"/>
      <c r="FS89" s="1779"/>
      <c r="FT89" s="1775"/>
      <c r="FU89" s="1775"/>
      <c r="FV89" s="1772"/>
      <c r="FW89" s="1772"/>
      <c r="FX89" s="1775"/>
      <c r="FY89" s="1779"/>
      <c r="FZ89" s="1777"/>
      <c r="GA89" s="1772"/>
      <c r="GB89" s="1774"/>
      <c r="GC89" s="1774"/>
      <c r="GD89" s="1776"/>
      <c r="GE89" s="1772"/>
      <c r="GF89" s="1779"/>
      <c r="GG89" s="1772"/>
      <c r="GH89" s="1774"/>
      <c r="GI89" s="1778"/>
      <c r="GJ89" s="1777"/>
      <c r="GK89" s="1777"/>
      <c r="GL89" s="1773"/>
      <c r="GM89" s="1774"/>
      <c r="GN89" s="1774"/>
      <c r="GO89" s="1778"/>
      <c r="GP89" s="1781"/>
      <c r="GQ89" s="1781"/>
      <c r="GR89" s="1779"/>
      <c r="GS89" s="1780"/>
      <c r="GT89" s="1781"/>
      <c r="GU89" s="1774"/>
      <c r="GV89" s="1777"/>
      <c r="GW89" s="1780"/>
      <c r="GX89" s="1778"/>
      <c r="GY89" s="1777"/>
      <c r="GZ89" s="1778"/>
      <c r="HA89" s="1780"/>
      <c r="HB89" s="1779"/>
      <c r="HC89" s="1778"/>
      <c r="HD89" s="1780"/>
      <c r="HE89" s="1773"/>
      <c r="HF89" s="1777"/>
      <c r="HG89" s="1774"/>
      <c r="HH89" s="1781"/>
      <c r="HI89" s="1776"/>
      <c r="HJ89" s="1776"/>
      <c r="HK89" s="1773"/>
      <c r="HL89" s="1773"/>
      <c r="HM89" s="1776"/>
      <c r="HN89" s="1776"/>
      <c r="HO89" s="1779"/>
      <c r="HP89" s="1780"/>
      <c r="HQ89" s="1773"/>
      <c r="HR89" s="1773"/>
      <c r="HS89" s="1778"/>
      <c r="HT89" s="1780"/>
      <c r="HU89" s="1781"/>
      <c r="HV89" s="1781"/>
      <c r="HW89" s="1774"/>
      <c r="HX89" s="1774"/>
      <c r="HY89" s="1780"/>
      <c r="HZ89" s="1773"/>
      <c r="IA89" s="1776"/>
      <c r="IB89" s="1775"/>
      <c r="IC89" s="1778"/>
      <c r="ID89" s="1776"/>
      <c r="IE89" s="1779"/>
      <c r="IF89" s="1777"/>
      <c r="IG89" s="1773"/>
      <c r="IH89" s="1779"/>
      <c r="II89" s="1779"/>
      <c r="IJ89" s="1777"/>
      <c r="IK89" s="1776"/>
      <c r="IL89" s="1774"/>
      <c r="IM89" s="1772"/>
      <c r="IN89" s="1780"/>
      <c r="IO89" s="1772"/>
      <c r="IP89" s="1775"/>
      <c r="IQ89" s="1773"/>
      <c r="IR89" s="1772"/>
      <c r="IS89" s="1772"/>
      <c r="IT89" s="1772"/>
      <c r="IU89" s="1772"/>
      <c r="IV89" s="1773"/>
      <c r="IW89" s="1773"/>
      <c r="IX89" s="1773"/>
      <c r="IY89" s="1774"/>
      <c r="IZ89" s="1774"/>
      <c r="JA89" s="1774"/>
      <c r="JB89" s="1780"/>
      <c r="JC89" s="1780"/>
      <c r="JD89" s="1776"/>
      <c r="JE89" s="1775"/>
      <c r="JF89" s="1773"/>
      <c r="JG89" s="1775"/>
      <c r="JH89" s="1777"/>
      <c r="JI89" s="1778"/>
      <c r="JJ89" s="1772"/>
      <c r="JK89" s="1772"/>
      <c r="JL89" s="1772"/>
      <c r="JM89" s="1772"/>
      <c r="JN89" s="1776"/>
      <c r="JO89" s="1776"/>
      <c r="JP89" s="1776"/>
      <c r="JQ89" s="1774"/>
      <c r="JR89" s="1774"/>
      <c r="JS89" s="1775"/>
      <c r="JT89" s="1777"/>
      <c r="JU89" s="1775"/>
      <c r="JV89" s="1775"/>
      <c r="JW89" s="1775"/>
      <c r="JX89" s="1774"/>
      <c r="JY89" s="1774"/>
      <c r="JZ89" s="1776"/>
      <c r="KA89" s="1772"/>
      <c r="KB89" s="1776"/>
      <c r="KC89" s="1775"/>
      <c r="KD89" s="1776"/>
      <c r="KE89" s="1780"/>
      <c r="KF89" s="1777"/>
      <c r="KG89" s="1776"/>
      <c r="KH89" s="1779"/>
      <c r="KI89" s="1774"/>
      <c r="KJ89" s="1774"/>
      <c r="KK89" s="1777"/>
      <c r="KL89" s="1776"/>
      <c r="KM89" s="1774"/>
      <c r="KN89" s="1780"/>
      <c r="KO89" s="1779"/>
      <c r="KP89" s="1778"/>
      <c r="KQ89" s="1778"/>
      <c r="KR89" s="1781"/>
      <c r="KS89" s="1780"/>
      <c r="KT89" s="1780"/>
      <c r="KU89" s="1780"/>
      <c r="KV89" s="1774"/>
      <c r="KW89" s="1773"/>
      <c r="KX89" s="1772"/>
      <c r="KY89" s="1777"/>
      <c r="KZ89" s="1777"/>
      <c r="LA89" s="1777"/>
      <c r="LB89" s="1780"/>
      <c r="LC89" s="1778"/>
      <c r="LD89" s="1772"/>
      <c r="LE89" s="1772"/>
      <c r="LF89" s="1778"/>
      <c r="LG89" s="1773"/>
      <c r="LH89" s="1774"/>
      <c r="LI89" s="1774"/>
      <c r="LJ89" s="1774"/>
      <c r="LK89" s="1777"/>
      <c r="LL89" s="1773"/>
      <c r="LM89" s="1776"/>
      <c r="LN89" s="1781"/>
      <c r="LO89" s="1778"/>
      <c r="LP89" s="1776"/>
      <c r="LQ89" s="1776"/>
      <c r="LR89" s="1772"/>
      <c r="LS89" s="1772"/>
      <c r="LT89" s="1772"/>
      <c r="LU89" s="1772"/>
      <c r="LV89" s="1774"/>
      <c r="LW89" s="1774"/>
      <c r="LX89" s="1775"/>
      <c r="LY89" s="1781"/>
      <c r="LZ89" s="1777"/>
      <c r="MA89" s="1773"/>
      <c r="MB89" s="1780"/>
      <c r="MC89" s="1774"/>
      <c r="MD89" s="1773"/>
      <c r="ME89" s="1773"/>
      <c r="MF89" s="1776"/>
      <c r="MG89" s="1781"/>
      <c r="MH89" s="1778"/>
      <c r="MI89" s="1772"/>
      <c r="MJ89" s="1780"/>
      <c r="MK89" s="1780"/>
      <c r="ML89" s="1776"/>
      <c r="MM89" s="1779"/>
      <c r="MN89" s="1775"/>
      <c r="MO89" s="1772"/>
      <c r="MP89" s="1781"/>
      <c r="MQ89" s="1781"/>
      <c r="MR89" s="1781"/>
      <c r="MS89" s="1781"/>
      <c r="MT89" s="1772"/>
      <c r="MU89" s="1774"/>
      <c r="MV89" s="1775"/>
      <c r="MW89" s="1774"/>
      <c r="MX89" s="1780"/>
      <c r="MY89" s="1780"/>
      <c r="MZ89" s="1774"/>
      <c r="NA89" s="1774"/>
      <c r="NB89" s="1774"/>
      <c r="NC89" s="1774"/>
      <c r="ND89" s="1774"/>
      <c r="NE89" s="1779"/>
      <c r="NF89" s="1780"/>
      <c r="NG89" s="1779"/>
      <c r="NH89" s="1774"/>
      <c r="NI89" s="1775"/>
      <c r="NJ89" s="1774"/>
      <c r="NK89" s="1774"/>
      <c r="NL89" s="1774"/>
      <c r="NM89" s="1774"/>
      <c r="NN89" s="1776"/>
      <c r="NO89" s="1774"/>
      <c r="NP89" s="1780"/>
      <c r="NQ89" s="1773"/>
      <c r="NR89" s="1774"/>
      <c r="NS89" s="1774"/>
      <c r="NT89" s="1773"/>
      <c r="NU89" s="1772"/>
      <c r="NV89" s="1777"/>
      <c r="NW89" s="1773"/>
      <c r="NX89" s="1773"/>
      <c r="NY89" s="1773"/>
      <c r="NZ89" s="1773"/>
      <c r="OA89" s="1772"/>
      <c r="OB89" s="1772"/>
      <c r="OC89" s="1772"/>
      <c r="OD89" s="1776"/>
      <c r="OE89" s="1776"/>
      <c r="OF89" s="1776"/>
      <c r="OG89" s="1774"/>
      <c r="OH89" s="1774"/>
      <c r="OI89" s="1774"/>
      <c r="OJ89" s="1776"/>
      <c r="OK89" s="1776"/>
      <c r="OL89" s="1776"/>
      <c r="OM89" s="1776"/>
      <c r="ON89" s="1776"/>
      <c r="OO89" s="1773"/>
      <c r="OP89" s="1773"/>
      <c r="OQ89" s="1774"/>
      <c r="OR89" s="1774"/>
      <c r="OS89" s="1774"/>
      <c r="OT89" s="1772"/>
      <c r="OU89" s="1772"/>
      <c r="OV89" s="1774"/>
      <c r="OW89" s="1774"/>
      <c r="OX89" s="1780"/>
      <c r="OY89" s="1780"/>
      <c r="OZ89" s="1772"/>
      <c r="PA89" s="1772"/>
      <c r="PB89" s="1777"/>
      <c r="PC89" s="1779"/>
      <c r="PD89" s="1777"/>
      <c r="PE89" s="1777"/>
      <c r="PF89" s="1777"/>
      <c r="PG89" s="1775"/>
      <c r="PH89" s="1776"/>
      <c r="PI89" s="1776"/>
      <c r="PJ89" s="1779"/>
      <c r="PK89" s="1779"/>
      <c r="PL89" s="1778"/>
      <c r="PM89" s="1778"/>
      <c r="PN89" s="1778"/>
      <c r="PO89" s="1778"/>
      <c r="PP89" s="1778"/>
      <c r="PQ89" s="1776"/>
      <c r="PR89" s="1776"/>
      <c r="PS89" s="1778"/>
      <c r="PT89" s="1781"/>
      <c r="PU89" s="1780"/>
      <c r="PV89" s="1780"/>
      <c r="PW89" s="1777"/>
      <c r="PX89" s="1778"/>
      <c r="PY89" s="1778"/>
      <c r="PZ89" s="1772"/>
      <c r="QA89" s="1772"/>
      <c r="QB89" s="1776"/>
      <c r="QC89" s="1779"/>
      <c r="QD89" s="1779"/>
      <c r="QE89" s="1781"/>
      <c r="QF89" s="1778"/>
      <c r="QG89" s="1774"/>
      <c r="QH89" s="1774"/>
      <c r="QI89" s="1774"/>
      <c r="QJ89" s="1781"/>
      <c r="QK89" s="1774"/>
      <c r="QL89" s="1774"/>
      <c r="QM89" s="1776"/>
      <c r="QN89" s="1776"/>
      <c r="QO89" s="1778"/>
      <c r="QP89" s="1778"/>
      <c r="QQ89" s="1774"/>
      <c r="QR89" s="1774"/>
      <c r="QS89" s="1772"/>
      <c r="QT89" s="1774"/>
      <c r="QU89" s="1774"/>
      <c r="QV89" s="1774"/>
      <c r="QW89" s="1775"/>
      <c r="QX89" s="1775"/>
      <c r="QY89" s="1781"/>
      <c r="QZ89" s="1780"/>
      <c r="RA89" s="1779"/>
      <c r="RB89" s="1780"/>
      <c r="RC89" s="1774"/>
      <c r="RD89" s="1777"/>
      <c r="RE89" s="1773"/>
      <c r="RF89" s="1775"/>
      <c r="RG89" s="1772"/>
      <c r="RH89" s="1772"/>
      <c r="RI89" s="1774"/>
      <c r="RJ89" s="1778"/>
      <c r="RK89" s="1776"/>
      <c r="RL89" s="1773"/>
      <c r="RM89" s="1775"/>
      <c r="RN89" s="1780"/>
      <c r="RO89" s="1781"/>
      <c r="RP89" s="1775"/>
      <c r="RQ89" s="1773"/>
      <c r="RR89" s="1773"/>
      <c r="RS89" s="1773"/>
      <c r="RT89" s="1773"/>
      <c r="RU89" s="1773"/>
      <c r="RV89" s="1773"/>
      <c r="RW89" s="1777"/>
      <c r="RX89" s="1779"/>
      <c r="RY89" s="1774"/>
      <c r="RZ89" s="1775"/>
      <c r="SA89" s="1778"/>
      <c r="SB89" s="1776"/>
      <c r="SC89" s="1775"/>
      <c r="SD89" s="1781"/>
      <c r="SE89" s="1781"/>
      <c r="SF89" s="1777"/>
      <c r="SG89" s="1774"/>
      <c r="SH89" s="1774"/>
      <c r="SI89" s="1781"/>
      <c r="SJ89" s="1772"/>
      <c r="SK89" s="1772"/>
      <c r="SL89" s="1780"/>
    </row>
    <row r="90" ht="15.75" customHeight="1">
      <c r="A90" s="1726" t="s">
        <v>9803</v>
      </c>
      <c r="B90" s="1783" t="s">
        <v>9803</v>
      </c>
      <c r="C90" s="1636" t="s">
        <v>9803</v>
      </c>
      <c r="D90" s="1636" t="s">
        <v>9803</v>
      </c>
      <c r="E90" s="1638" t="s">
        <v>9803</v>
      </c>
      <c r="F90" s="1638" t="s">
        <v>9803</v>
      </c>
      <c r="G90" s="1638" t="s">
        <v>9803</v>
      </c>
      <c r="H90" s="1639" t="s">
        <v>9803</v>
      </c>
      <c r="I90" s="1639" t="s">
        <v>9803</v>
      </c>
      <c r="J90" s="1639" t="s">
        <v>9803</v>
      </c>
      <c r="K90" s="1636" t="s">
        <v>9803</v>
      </c>
      <c r="L90" s="1636" t="s">
        <v>9803</v>
      </c>
      <c r="M90" s="1640" t="s">
        <v>9803</v>
      </c>
      <c r="N90" s="1641" t="s">
        <v>9803</v>
      </c>
      <c r="O90" s="1642" t="s">
        <v>9803</v>
      </c>
      <c r="P90" s="1642" t="s">
        <v>9803</v>
      </c>
      <c r="Q90" s="1641" t="s">
        <v>9803</v>
      </c>
      <c r="R90" s="1641" t="s">
        <v>9803</v>
      </c>
      <c r="S90" s="1641" t="s">
        <v>9803</v>
      </c>
      <c r="T90" s="1643" t="s">
        <v>9803</v>
      </c>
      <c r="U90" s="1641" t="s">
        <v>9803</v>
      </c>
      <c r="V90" s="1641" t="s">
        <v>9803</v>
      </c>
      <c r="W90" s="1641" t="s">
        <v>9803</v>
      </c>
      <c r="X90" s="1643" t="s">
        <v>9803</v>
      </c>
      <c r="Y90" s="1643" t="s">
        <v>9803</v>
      </c>
      <c r="Z90" s="1642" t="s">
        <v>9803</v>
      </c>
      <c r="AA90" s="1642" t="s">
        <v>9803</v>
      </c>
      <c r="AB90" s="1642" t="s">
        <v>9803</v>
      </c>
      <c r="AC90" s="1642" t="s">
        <v>9803</v>
      </c>
      <c r="AD90" s="1639" t="s">
        <v>9803</v>
      </c>
      <c r="AE90" s="1639" t="s">
        <v>9803</v>
      </c>
      <c r="AF90" s="1639" t="s">
        <v>9803</v>
      </c>
      <c r="AG90" s="1643" t="s">
        <v>9803</v>
      </c>
      <c r="AH90" s="1643" t="s">
        <v>9803</v>
      </c>
      <c r="AI90" s="1643" t="s">
        <v>9803</v>
      </c>
      <c r="AJ90" s="1644" t="s">
        <v>9803</v>
      </c>
      <c r="AK90" s="1644" t="s">
        <v>9803</v>
      </c>
      <c r="AL90" s="1641" t="s">
        <v>9803</v>
      </c>
      <c r="AM90" s="1642" t="s">
        <v>9803</v>
      </c>
      <c r="AN90" s="1644" t="s">
        <v>9803</v>
      </c>
      <c r="AO90" s="1644" t="s">
        <v>9803</v>
      </c>
      <c r="AP90" s="1643" t="s">
        <v>9803</v>
      </c>
      <c r="AQ90" s="1643" t="s">
        <v>9803</v>
      </c>
      <c r="AR90" s="1639" t="s">
        <v>9803</v>
      </c>
      <c r="AS90" s="1639" t="s">
        <v>9803</v>
      </c>
      <c r="AT90" s="1638" t="s">
        <v>9803</v>
      </c>
      <c r="AU90" s="1638" t="s">
        <v>9803</v>
      </c>
      <c r="AV90" s="1638" t="s">
        <v>9803</v>
      </c>
      <c r="AW90" s="1643" t="s">
        <v>9803</v>
      </c>
      <c r="AX90" s="1643" t="s">
        <v>9803</v>
      </c>
      <c r="AY90" s="1641" t="s">
        <v>9803</v>
      </c>
      <c r="AZ90" s="1641" t="s">
        <v>9803</v>
      </c>
      <c r="BA90" s="1642" t="s">
        <v>9803</v>
      </c>
      <c r="BB90" s="1642" t="s">
        <v>9803</v>
      </c>
      <c r="BC90" s="1642" t="s">
        <v>9803</v>
      </c>
      <c r="BD90" s="1639" t="s">
        <v>9803</v>
      </c>
      <c r="BE90" s="1641" t="s">
        <v>9803</v>
      </c>
      <c r="BF90" s="1641" t="s">
        <v>9803</v>
      </c>
      <c r="BG90" s="1641" t="s">
        <v>9803</v>
      </c>
      <c r="BH90" s="1641" t="s">
        <v>9803</v>
      </c>
      <c r="BI90" s="1639" t="s">
        <v>9803</v>
      </c>
      <c r="BJ90" s="1639" t="s">
        <v>9803</v>
      </c>
      <c r="BK90" s="1639" t="s">
        <v>9803</v>
      </c>
      <c r="BL90" s="1641" t="s">
        <v>9803</v>
      </c>
      <c r="BM90" s="1641" t="s">
        <v>9803</v>
      </c>
      <c r="BN90" s="1641" t="s">
        <v>9803</v>
      </c>
      <c r="BO90" s="1645" t="s">
        <v>9803</v>
      </c>
      <c r="BP90" s="1645" t="s">
        <v>9803</v>
      </c>
      <c r="BQ90" s="1645" t="s">
        <v>9803</v>
      </c>
      <c r="BR90" s="1636" t="s">
        <v>9803</v>
      </c>
      <c r="BS90" s="1636" t="s">
        <v>9803</v>
      </c>
      <c r="BT90" s="1636" t="s">
        <v>9803</v>
      </c>
      <c r="BU90" s="1639" t="s">
        <v>9803</v>
      </c>
      <c r="BV90" s="1639" t="s">
        <v>9803</v>
      </c>
      <c r="BW90" s="1641" t="s">
        <v>9803</v>
      </c>
      <c r="BX90" s="1641" t="s">
        <v>9803</v>
      </c>
      <c r="BY90" s="1641" t="s">
        <v>9803</v>
      </c>
      <c r="BZ90" s="1642" t="s">
        <v>9803</v>
      </c>
      <c r="CA90" s="1642" t="s">
        <v>9803</v>
      </c>
      <c r="CB90" s="1644" t="s">
        <v>9803</v>
      </c>
      <c r="CC90" s="1644" t="s">
        <v>9803</v>
      </c>
      <c r="CD90" s="1645" t="s">
        <v>9803</v>
      </c>
      <c r="CE90" s="1645" t="s">
        <v>9803</v>
      </c>
      <c r="CF90" s="1641" t="s">
        <v>9803</v>
      </c>
      <c r="CG90" s="1641" t="s">
        <v>9803</v>
      </c>
      <c r="CH90" s="1641" t="s">
        <v>9803</v>
      </c>
      <c r="CI90" s="1640" t="s">
        <v>9803</v>
      </c>
      <c r="CJ90" s="1640" t="s">
        <v>9803</v>
      </c>
      <c r="CK90" s="1643" t="s">
        <v>9803</v>
      </c>
      <c r="CL90" s="1643" t="s">
        <v>9803</v>
      </c>
      <c r="CM90" s="1643" t="s">
        <v>9803</v>
      </c>
      <c r="CN90" s="1643" t="s">
        <v>9803</v>
      </c>
      <c r="CO90" s="1643" t="s">
        <v>9803</v>
      </c>
      <c r="CP90" s="1643" t="s">
        <v>9803</v>
      </c>
      <c r="CQ90" s="1643" t="s">
        <v>9803</v>
      </c>
      <c r="CR90" s="1645" t="s">
        <v>9803</v>
      </c>
      <c r="CS90" s="1642" t="s">
        <v>9803</v>
      </c>
      <c r="CT90" s="1642" t="s">
        <v>9803</v>
      </c>
      <c r="CU90" s="1638" t="s">
        <v>9803</v>
      </c>
      <c r="CV90" s="1638" t="s">
        <v>9803</v>
      </c>
      <c r="CW90" s="1638" t="s">
        <v>9803</v>
      </c>
      <c r="CX90" s="1638" t="s">
        <v>9803</v>
      </c>
      <c r="CY90" s="1644" t="s">
        <v>9803</v>
      </c>
      <c r="CZ90" s="1642" t="s">
        <v>9803</v>
      </c>
      <c r="DA90" s="1641" t="s">
        <v>9803</v>
      </c>
      <c r="DB90" s="1641" t="s">
        <v>9803</v>
      </c>
      <c r="DC90" s="1641" t="s">
        <v>9803</v>
      </c>
      <c r="DD90" s="1641" t="s">
        <v>9803</v>
      </c>
      <c r="DE90" s="1644" t="s">
        <v>9803</v>
      </c>
      <c r="DF90" s="1643" t="s">
        <v>9803</v>
      </c>
      <c r="DG90" s="1643" t="s">
        <v>9803</v>
      </c>
      <c r="DH90" s="1645" t="s">
        <v>9803</v>
      </c>
      <c r="DI90" s="1645" t="s">
        <v>9803</v>
      </c>
      <c r="DJ90" s="1644" t="s">
        <v>9803</v>
      </c>
      <c r="DK90" s="1639" t="s">
        <v>9803</v>
      </c>
      <c r="DL90" s="1641" t="s">
        <v>9803</v>
      </c>
      <c r="DM90" s="1639" t="s">
        <v>9803</v>
      </c>
      <c r="DN90" s="1639" t="s">
        <v>9803</v>
      </c>
      <c r="DO90" s="1638" t="s">
        <v>9803</v>
      </c>
      <c r="DP90" s="1638" t="s">
        <v>9803</v>
      </c>
      <c r="DQ90" s="1641" t="s">
        <v>9803</v>
      </c>
      <c r="DR90" s="1643" t="s">
        <v>9803</v>
      </c>
      <c r="DS90" s="1644" t="s">
        <v>9803</v>
      </c>
      <c r="DT90" s="1636" t="s">
        <v>9803</v>
      </c>
      <c r="DU90" s="1638" t="s">
        <v>9803</v>
      </c>
      <c r="DV90" s="1642" t="s">
        <v>9803</v>
      </c>
      <c r="DW90" s="1638" t="s">
        <v>9803</v>
      </c>
      <c r="DX90" s="1641" t="s">
        <v>9803</v>
      </c>
      <c r="DY90" s="1641" t="s">
        <v>9803</v>
      </c>
      <c r="DZ90" s="1638" t="s">
        <v>9803</v>
      </c>
      <c r="EA90" s="1639" t="s">
        <v>9803</v>
      </c>
      <c r="EB90" s="1639" t="s">
        <v>9803</v>
      </c>
      <c r="EC90" s="1643" t="s">
        <v>9803</v>
      </c>
      <c r="ED90" s="1641" t="s">
        <v>9803</v>
      </c>
      <c r="EE90" s="1639" t="s">
        <v>9803</v>
      </c>
      <c r="EF90" s="1642" t="s">
        <v>9803</v>
      </c>
      <c r="EG90" s="1638" t="s">
        <v>9803</v>
      </c>
      <c r="EH90" s="1644" t="s">
        <v>9803</v>
      </c>
      <c r="EI90" s="1639" t="s">
        <v>9803</v>
      </c>
      <c r="EJ90" s="1639" t="s">
        <v>9803</v>
      </c>
      <c r="EK90" s="1641" t="s">
        <v>9803</v>
      </c>
      <c r="EL90" s="1641" t="s">
        <v>9803</v>
      </c>
      <c r="EM90" s="1643" t="s">
        <v>9803</v>
      </c>
      <c r="EN90" s="1784" t="s">
        <v>9803</v>
      </c>
      <c r="EO90" s="1639" t="s">
        <v>9803</v>
      </c>
      <c r="EP90" s="1642" t="s">
        <v>9803</v>
      </c>
      <c r="EQ90" s="1642" t="s">
        <v>9803</v>
      </c>
      <c r="ER90" s="1639" t="s">
        <v>9803</v>
      </c>
      <c r="ES90" s="1639" t="s">
        <v>9803</v>
      </c>
      <c r="ET90" s="1641" t="s">
        <v>9803</v>
      </c>
      <c r="EU90" s="1643" t="s">
        <v>9803</v>
      </c>
      <c r="EV90" s="1644" t="s">
        <v>9803</v>
      </c>
      <c r="EW90" s="1636" t="s">
        <v>9803</v>
      </c>
      <c r="EX90" s="1636" t="s">
        <v>9803</v>
      </c>
      <c r="EY90" s="1636" t="s">
        <v>9803</v>
      </c>
      <c r="EZ90" s="1642" t="s">
        <v>9803</v>
      </c>
      <c r="FA90" s="1642" t="s">
        <v>9803</v>
      </c>
      <c r="FB90" s="1642" t="s">
        <v>9803</v>
      </c>
      <c r="FC90" s="1639" t="s">
        <v>9803</v>
      </c>
      <c r="FD90" s="1639" t="s">
        <v>9803</v>
      </c>
      <c r="FE90" s="1639" t="s">
        <v>9803</v>
      </c>
      <c r="FF90" s="1641" t="s">
        <v>9803</v>
      </c>
      <c r="FG90" s="1641" t="s">
        <v>9803</v>
      </c>
      <c r="FH90" s="1641" t="s">
        <v>9803</v>
      </c>
      <c r="FI90" s="1641" t="s">
        <v>9803</v>
      </c>
      <c r="FJ90" s="1638" t="s">
        <v>9803</v>
      </c>
      <c r="FK90" s="1638" t="s">
        <v>9803</v>
      </c>
      <c r="FL90" s="1636" t="s">
        <v>9803</v>
      </c>
      <c r="FM90" s="1638" t="s">
        <v>9803</v>
      </c>
      <c r="FN90" s="1643" t="s">
        <v>9803</v>
      </c>
      <c r="FO90" s="1639" t="s">
        <v>9803</v>
      </c>
      <c r="FP90" s="1639" t="s">
        <v>9803</v>
      </c>
      <c r="FQ90" s="1642" t="s">
        <v>9803</v>
      </c>
      <c r="FR90" s="1644" t="s">
        <v>9803</v>
      </c>
      <c r="FS90" s="1644" t="s">
        <v>9803</v>
      </c>
      <c r="FT90" s="1640" t="s">
        <v>9803</v>
      </c>
      <c r="FU90" s="1640" t="s">
        <v>9803</v>
      </c>
      <c r="FV90" s="1636" t="s">
        <v>9803</v>
      </c>
      <c r="FW90" s="1636" t="s">
        <v>9803</v>
      </c>
      <c r="FX90" s="1640" t="s">
        <v>9803</v>
      </c>
      <c r="FY90" s="1644" t="s">
        <v>9803</v>
      </c>
      <c r="FZ90" s="1642" t="s">
        <v>9803</v>
      </c>
      <c r="GA90" s="1636" t="s">
        <v>9803</v>
      </c>
      <c r="GB90" s="1639" t="s">
        <v>9803</v>
      </c>
      <c r="GC90" s="1639" t="s">
        <v>9803</v>
      </c>
      <c r="GD90" s="1641" t="s">
        <v>9803</v>
      </c>
      <c r="GE90" s="1636" t="s">
        <v>9803</v>
      </c>
      <c r="GF90" s="1644" t="s">
        <v>9803</v>
      </c>
      <c r="GG90" s="1636" t="s">
        <v>9803</v>
      </c>
      <c r="GH90" s="1639" t="s">
        <v>9803</v>
      </c>
      <c r="GI90" s="1643" t="s">
        <v>9803</v>
      </c>
      <c r="GJ90" s="1642" t="s">
        <v>9803</v>
      </c>
      <c r="GK90" s="1642" t="s">
        <v>9803</v>
      </c>
      <c r="GL90" s="1638" t="s">
        <v>9803</v>
      </c>
      <c r="GM90" s="1639" t="s">
        <v>9803</v>
      </c>
      <c r="GN90" s="1639" t="s">
        <v>9803</v>
      </c>
      <c r="GO90" s="1643" t="s">
        <v>9803</v>
      </c>
      <c r="GP90" s="1785" t="s">
        <v>9803</v>
      </c>
      <c r="GQ90" s="1784" t="s">
        <v>9803</v>
      </c>
      <c r="GR90" s="1644" t="s">
        <v>9803</v>
      </c>
      <c r="GS90" s="1645" t="s">
        <v>9803</v>
      </c>
      <c r="GT90" s="1784" t="s">
        <v>9803</v>
      </c>
      <c r="GU90" s="1639" t="s">
        <v>9803</v>
      </c>
      <c r="GV90" s="1642" t="s">
        <v>9803</v>
      </c>
      <c r="GW90" s="1645" t="s">
        <v>9803</v>
      </c>
      <c r="GX90" s="1643" t="s">
        <v>9803</v>
      </c>
      <c r="GY90" s="1642" t="s">
        <v>9803</v>
      </c>
      <c r="GZ90" s="1643" t="s">
        <v>9803</v>
      </c>
      <c r="HA90" s="1645" t="s">
        <v>9803</v>
      </c>
      <c r="HB90" s="1644" t="s">
        <v>9803</v>
      </c>
      <c r="HC90" s="1643" t="s">
        <v>9803</v>
      </c>
      <c r="HD90" s="1645" t="s">
        <v>9803</v>
      </c>
      <c r="HE90" s="1638" t="s">
        <v>9803</v>
      </c>
      <c r="HF90" s="1642" t="s">
        <v>9803</v>
      </c>
      <c r="HG90" s="1639" t="s">
        <v>9803</v>
      </c>
      <c r="HH90" s="1784" t="s">
        <v>9803</v>
      </c>
      <c r="HI90" s="1641" t="s">
        <v>9803</v>
      </c>
      <c r="HJ90" s="1641" t="s">
        <v>9803</v>
      </c>
      <c r="HK90" s="1638" t="s">
        <v>9803</v>
      </c>
      <c r="HL90" s="1638" t="s">
        <v>9803</v>
      </c>
      <c r="HM90" s="1641" t="s">
        <v>9803</v>
      </c>
      <c r="HN90" s="1641" t="s">
        <v>9803</v>
      </c>
      <c r="HO90" s="1644" t="s">
        <v>9803</v>
      </c>
      <c r="HP90" s="1645" t="s">
        <v>9803</v>
      </c>
      <c r="HQ90" s="1638" t="s">
        <v>9803</v>
      </c>
      <c r="HR90" s="1638" t="s">
        <v>9803</v>
      </c>
      <c r="HS90" s="1643" t="s">
        <v>9803</v>
      </c>
      <c r="HT90" s="1645" t="s">
        <v>9803</v>
      </c>
      <c r="HU90" s="1785" t="s">
        <v>9803</v>
      </c>
      <c r="HV90" s="1784" t="s">
        <v>9803</v>
      </c>
      <c r="HW90" s="1639" t="s">
        <v>9803</v>
      </c>
      <c r="HX90" s="1639" t="s">
        <v>9803</v>
      </c>
      <c r="HY90" s="1645" t="s">
        <v>9803</v>
      </c>
      <c r="HZ90" s="1638" t="s">
        <v>9803</v>
      </c>
      <c r="IA90" s="1641" t="s">
        <v>9803</v>
      </c>
      <c r="IB90" s="1640" t="s">
        <v>9803</v>
      </c>
      <c r="IC90" s="1643" t="s">
        <v>9803</v>
      </c>
      <c r="ID90" s="1641" t="s">
        <v>9803</v>
      </c>
      <c r="IE90" s="1644" t="s">
        <v>9803</v>
      </c>
      <c r="IF90" s="1642" t="s">
        <v>9803</v>
      </c>
      <c r="IG90" s="1638" t="s">
        <v>9803</v>
      </c>
      <c r="IH90" s="1644" t="s">
        <v>9803</v>
      </c>
      <c r="II90" s="1644" t="s">
        <v>9803</v>
      </c>
      <c r="IJ90" s="1642" t="s">
        <v>9803</v>
      </c>
      <c r="IK90" s="1641" t="s">
        <v>9803</v>
      </c>
      <c r="IL90" s="1639" t="s">
        <v>9803</v>
      </c>
      <c r="IM90" s="1636" t="s">
        <v>9803</v>
      </c>
      <c r="IN90" s="1645" t="s">
        <v>9803</v>
      </c>
      <c r="IO90" s="1636" t="s">
        <v>9803</v>
      </c>
      <c r="IP90" s="1640" t="s">
        <v>9803</v>
      </c>
      <c r="IQ90" s="1638" t="s">
        <v>9803</v>
      </c>
      <c r="IR90" s="1636" t="s">
        <v>9803</v>
      </c>
      <c r="IS90" s="1636" t="s">
        <v>9803</v>
      </c>
      <c r="IT90" s="1636" t="s">
        <v>9803</v>
      </c>
      <c r="IU90" s="1636" t="s">
        <v>9803</v>
      </c>
      <c r="IV90" s="1638" t="s">
        <v>9803</v>
      </c>
      <c r="IW90" s="1638" t="s">
        <v>9803</v>
      </c>
      <c r="IX90" s="1638" t="s">
        <v>9803</v>
      </c>
      <c r="IY90" s="1639" t="s">
        <v>9803</v>
      </c>
      <c r="IZ90" s="1639" t="s">
        <v>9803</v>
      </c>
      <c r="JA90" s="1639" t="s">
        <v>9803</v>
      </c>
      <c r="JB90" s="1645" t="s">
        <v>9803</v>
      </c>
      <c r="JC90" s="1645" t="s">
        <v>9803</v>
      </c>
      <c r="JD90" s="1641" t="s">
        <v>9803</v>
      </c>
      <c r="JE90" s="1640" t="s">
        <v>9803</v>
      </c>
      <c r="JF90" s="1638" t="s">
        <v>9803</v>
      </c>
      <c r="JG90" s="1640" t="s">
        <v>9803</v>
      </c>
      <c r="JH90" s="1642" t="s">
        <v>9803</v>
      </c>
      <c r="JI90" s="1643" t="s">
        <v>9803</v>
      </c>
      <c r="JJ90" s="1636" t="s">
        <v>9803</v>
      </c>
      <c r="JK90" s="1636" t="s">
        <v>9803</v>
      </c>
      <c r="JL90" s="1636" t="s">
        <v>9803</v>
      </c>
      <c r="JM90" s="1636" t="s">
        <v>9803</v>
      </c>
      <c r="JN90" s="1641" t="s">
        <v>9803</v>
      </c>
      <c r="JO90" s="1641" t="s">
        <v>9803</v>
      </c>
      <c r="JP90" s="1641" t="s">
        <v>9803</v>
      </c>
      <c r="JQ90" s="1639" t="s">
        <v>9803</v>
      </c>
      <c r="JR90" s="1639" t="s">
        <v>9803</v>
      </c>
      <c r="JS90" s="1640" t="s">
        <v>9803</v>
      </c>
      <c r="JT90" s="1642" t="s">
        <v>9803</v>
      </c>
      <c r="JU90" s="1640" t="s">
        <v>9803</v>
      </c>
      <c r="JV90" s="1640" t="s">
        <v>9803</v>
      </c>
      <c r="JW90" s="1640" t="s">
        <v>9803</v>
      </c>
      <c r="JX90" s="1639" t="s">
        <v>9803</v>
      </c>
      <c r="JY90" s="1639" t="s">
        <v>9803</v>
      </c>
      <c r="JZ90" s="1641" t="s">
        <v>9803</v>
      </c>
      <c r="KA90" s="1636" t="s">
        <v>9803</v>
      </c>
      <c r="KB90" s="1641" t="s">
        <v>9803</v>
      </c>
      <c r="KC90" s="1640" t="s">
        <v>9803</v>
      </c>
      <c r="KD90" s="1641" t="s">
        <v>9803</v>
      </c>
      <c r="KE90" s="1645" t="s">
        <v>9803</v>
      </c>
      <c r="KF90" s="1642" t="s">
        <v>9803</v>
      </c>
      <c r="KG90" s="1641" t="s">
        <v>9803</v>
      </c>
      <c r="KH90" s="1644" t="s">
        <v>9803</v>
      </c>
      <c r="KI90" s="1639" t="s">
        <v>9803</v>
      </c>
      <c r="KJ90" s="1639" t="s">
        <v>9803</v>
      </c>
      <c r="KK90" s="1642" t="s">
        <v>9803</v>
      </c>
      <c r="KL90" s="1641" t="s">
        <v>9803</v>
      </c>
      <c r="KM90" s="1639" t="s">
        <v>9803</v>
      </c>
      <c r="KN90" s="1645" t="s">
        <v>9803</v>
      </c>
      <c r="KO90" s="1644" t="s">
        <v>9803</v>
      </c>
      <c r="KP90" s="1643" t="s">
        <v>9803</v>
      </c>
      <c r="KQ90" s="1643" t="s">
        <v>9803</v>
      </c>
      <c r="KR90" s="1784" t="s">
        <v>9803</v>
      </c>
      <c r="KS90" s="1645" t="s">
        <v>9803</v>
      </c>
      <c r="KT90" s="1645" t="s">
        <v>9803</v>
      </c>
      <c r="KU90" s="1645" t="s">
        <v>9803</v>
      </c>
      <c r="KV90" s="1639" t="s">
        <v>9803</v>
      </c>
      <c r="KW90" s="1638" t="s">
        <v>9803</v>
      </c>
      <c r="KX90" s="1636" t="s">
        <v>9803</v>
      </c>
      <c r="KY90" s="1642" t="s">
        <v>9803</v>
      </c>
      <c r="KZ90" s="1642" t="s">
        <v>9803</v>
      </c>
      <c r="LA90" s="1642" t="s">
        <v>9803</v>
      </c>
      <c r="LB90" s="1645" t="s">
        <v>9803</v>
      </c>
      <c r="LC90" s="1643" t="s">
        <v>9803</v>
      </c>
      <c r="LD90" s="1636" t="s">
        <v>9803</v>
      </c>
      <c r="LE90" s="1636" t="s">
        <v>9803</v>
      </c>
      <c r="LF90" s="1643" t="s">
        <v>9803</v>
      </c>
      <c r="LG90" s="1638" t="s">
        <v>9803</v>
      </c>
      <c r="LH90" s="1639" t="s">
        <v>9803</v>
      </c>
      <c r="LI90" s="1639" t="s">
        <v>9803</v>
      </c>
      <c r="LJ90" s="1639" t="s">
        <v>9803</v>
      </c>
      <c r="LK90" s="1642" t="s">
        <v>9803</v>
      </c>
      <c r="LL90" s="1638" t="s">
        <v>9803</v>
      </c>
      <c r="LM90" s="1641" t="s">
        <v>9803</v>
      </c>
      <c r="LN90" s="1784" t="s">
        <v>9803</v>
      </c>
      <c r="LO90" s="1643" t="s">
        <v>9803</v>
      </c>
      <c r="LP90" s="1641" t="s">
        <v>9803</v>
      </c>
      <c r="LQ90" s="1641" t="s">
        <v>9803</v>
      </c>
      <c r="LR90" s="1636" t="s">
        <v>9803</v>
      </c>
      <c r="LS90" s="1636" t="s">
        <v>9803</v>
      </c>
      <c r="LT90" s="1636" t="s">
        <v>9803</v>
      </c>
      <c r="LU90" s="1636" t="s">
        <v>9803</v>
      </c>
      <c r="LV90" s="1639" t="s">
        <v>9803</v>
      </c>
      <c r="LW90" s="1639" t="s">
        <v>9803</v>
      </c>
      <c r="LX90" s="1640" t="s">
        <v>9803</v>
      </c>
      <c r="LY90" s="1784" t="s">
        <v>9803</v>
      </c>
      <c r="LZ90" s="1642" t="s">
        <v>9803</v>
      </c>
      <c r="MA90" s="1638" t="s">
        <v>9803</v>
      </c>
      <c r="MB90" s="1645" t="s">
        <v>9803</v>
      </c>
      <c r="MC90" s="1639" t="s">
        <v>9803</v>
      </c>
      <c r="MD90" s="1638" t="s">
        <v>9803</v>
      </c>
      <c r="ME90" s="1638" t="s">
        <v>9803</v>
      </c>
      <c r="MF90" s="1641" t="s">
        <v>9803</v>
      </c>
      <c r="MG90" s="1784" t="s">
        <v>9803</v>
      </c>
      <c r="MH90" s="1643" t="s">
        <v>9803</v>
      </c>
      <c r="MI90" s="1636" t="s">
        <v>9803</v>
      </c>
      <c r="MJ90" s="1645" t="s">
        <v>9803</v>
      </c>
      <c r="MK90" s="1645" t="s">
        <v>9803</v>
      </c>
      <c r="ML90" s="1641" t="s">
        <v>9803</v>
      </c>
      <c r="MM90" s="1644" t="s">
        <v>9803</v>
      </c>
      <c r="MN90" s="1640" t="s">
        <v>9803</v>
      </c>
      <c r="MO90" s="1636" t="s">
        <v>9803</v>
      </c>
      <c r="MP90" s="1785" t="s">
        <v>9803</v>
      </c>
      <c r="MQ90" s="1785" t="s">
        <v>9803</v>
      </c>
      <c r="MR90" s="1785" t="s">
        <v>9803</v>
      </c>
      <c r="MS90" s="1784" t="s">
        <v>9803</v>
      </c>
      <c r="MT90" s="1636" t="s">
        <v>9803</v>
      </c>
      <c r="MU90" s="1639" t="s">
        <v>9803</v>
      </c>
      <c r="MV90" s="1640" t="s">
        <v>9803</v>
      </c>
      <c r="MW90" s="1639" t="s">
        <v>9803</v>
      </c>
      <c r="MX90" s="1645" t="s">
        <v>9803</v>
      </c>
      <c r="MY90" s="1645" t="s">
        <v>9803</v>
      </c>
      <c r="MZ90" s="1639" t="s">
        <v>9803</v>
      </c>
      <c r="NA90" s="1639" t="s">
        <v>9803</v>
      </c>
      <c r="NB90" s="1639" t="s">
        <v>9803</v>
      </c>
      <c r="NC90" s="1639" t="s">
        <v>9803</v>
      </c>
      <c r="ND90" s="1639" t="s">
        <v>9803</v>
      </c>
      <c r="NE90" s="1644" t="s">
        <v>9803</v>
      </c>
      <c r="NF90" s="1645" t="s">
        <v>9803</v>
      </c>
      <c r="NG90" s="1644" t="s">
        <v>9803</v>
      </c>
      <c r="NH90" s="1639" t="s">
        <v>9803</v>
      </c>
      <c r="NI90" s="1640" t="s">
        <v>9803</v>
      </c>
      <c r="NJ90" s="1639" t="s">
        <v>9803</v>
      </c>
      <c r="NK90" s="1639" t="s">
        <v>9803</v>
      </c>
      <c r="NL90" s="1639" t="s">
        <v>9803</v>
      </c>
      <c r="NM90" s="1639" t="s">
        <v>9803</v>
      </c>
      <c r="NN90" s="1641" t="s">
        <v>9803</v>
      </c>
      <c r="NO90" s="1639" t="s">
        <v>9803</v>
      </c>
      <c r="NP90" s="1645" t="s">
        <v>9803</v>
      </c>
      <c r="NQ90" s="1638" t="s">
        <v>9803</v>
      </c>
      <c r="NR90" s="1639" t="s">
        <v>9803</v>
      </c>
      <c r="NS90" s="1639" t="s">
        <v>9803</v>
      </c>
      <c r="NT90" s="1638" t="s">
        <v>9803</v>
      </c>
      <c r="NU90" s="1636" t="s">
        <v>9803</v>
      </c>
      <c r="NV90" s="1642" t="s">
        <v>9803</v>
      </c>
      <c r="NW90" s="1638" t="s">
        <v>9803</v>
      </c>
      <c r="NX90" s="1638" t="s">
        <v>9803</v>
      </c>
      <c r="NY90" s="1638" t="s">
        <v>9803</v>
      </c>
      <c r="NZ90" s="1638" t="s">
        <v>9803</v>
      </c>
      <c r="OA90" s="1636" t="s">
        <v>9803</v>
      </c>
      <c r="OB90" s="1636" t="s">
        <v>9803</v>
      </c>
      <c r="OC90" s="1636" t="s">
        <v>9803</v>
      </c>
      <c r="OD90" s="1641" t="s">
        <v>9803</v>
      </c>
      <c r="OE90" s="1641" t="s">
        <v>9803</v>
      </c>
      <c r="OF90" s="1641" t="s">
        <v>9803</v>
      </c>
      <c r="OG90" s="1639" t="s">
        <v>9803</v>
      </c>
      <c r="OH90" s="1639" t="s">
        <v>9803</v>
      </c>
      <c r="OI90" s="1639" t="s">
        <v>9803</v>
      </c>
      <c r="OJ90" s="1641" t="s">
        <v>9803</v>
      </c>
      <c r="OK90" s="1641" t="s">
        <v>9803</v>
      </c>
      <c r="OL90" s="1641" t="s">
        <v>9803</v>
      </c>
      <c r="OM90" s="1641" t="s">
        <v>9803</v>
      </c>
      <c r="ON90" s="1641" t="s">
        <v>9803</v>
      </c>
      <c r="OO90" s="1638" t="s">
        <v>9803</v>
      </c>
      <c r="OP90" s="1638" t="s">
        <v>9803</v>
      </c>
      <c r="OQ90" s="1639" t="s">
        <v>9803</v>
      </c>
      <c r="OR90" s="1639" t="s">
        <v>9803</v>
      </c>
      <c r="OS90" s="1639" t="s">
        <v>9803</v>
      </c>
      <c r="OT90" s="1636" t="s">
        <v>9803</v>
      </c>
      <c r="OU90" s="1636" t="s">
        <v>9803</v>
      </c>
      <c r="OV90" s="1639" t="s">
        <v>9803</v>
      </c>
      <c r="OW90" s="1639" t="s">
        <v>9803</v>
      </c>
      <c r="OX90" s="1645" t="s">
        <v>9803</v>
      </c>
      <c r="OY90" s="1645" t="s">
        <v>9803</v>
      </c>
      <c r="OZ90" s="1636" t="s">
        <v>9803</v>
      </c>
      <c r="PA90" s="1636" t="s">
        <v>9803</v>
      </c>
      <c r="PB90" s="1642" t="s">
        <v>9803</v>
      </c>
      <c r="PC90" s="1644" t="s">
        <v>9803</v>
      </c>
      <c r="PD90" s="1642" t="s">
        <v>9803</v>
      </c>
      <c r="PE90" s="1642" t="s">
        <v>9803</v>
      </c>
      <c r="PF90" s="1642" t="s">
        <v>9803</v>
      </c>
      <c r="PG90" s="1640" t="s">
        <v>9803</v>
      </c>
      <c r="PH90" s="1641" t="s">
        <v>9803</v>
      </c>
      <c r="PI90" s="1641" t="s">
        <v>9803</v>
      </c>
      <c r="PJ90" s="1644" t="s">
        <v>9803</v>
      </c>
      <c r="PK90" s="1644" t="s">
        <v>9803</v>
      </c>
      <c r="PL90" s="1643" t="s">
        <v>9803</v>
      </c>
      <c r="PM90" s="1643" t="s">
        <v>9803</v>
      </c>
      <c r="PN90" s="1643" t="s">
        <v>9803</v>
      </c>
      <c r="PO90" s="1643" t="s">
        <v>9803</v>
      </c>
      <c r="PP90" s="1643" t="s">
        <v>9803</v>
      </c>
      <c r="PQ90" s="1641" t="s">
        <v>9803</v>
      </c>
      <c r="PR90" s="1641" t="s">
        <v>9803</v>
      </c>
      <c r="PS90" s="1643" t="s">
        <v>9803</v>
      </c>
      <c r="PT90" s="1784" t="s">
        <v>9803</v>
      </c>
      <c r="PU90" s="1645" t="s">
        <v>9803</v>
      </c>
      <c r="PV90" s="1645" t="s">
        <v>9803</v>
      </c>
      <c r="PW90" s="1642" t="s">
        <v>9803</v>
      </c>
      <c r="PX90" s="1643" t="s">
        <v>9803</v>
      </c>
      <c r="PY90" s="1643" t="s">
        <v>9803</v>
      </c>
      <c r="PZ90" s="1636" t="s">
        <v>9803</v>
      </c>
      <c r="QA90" s="1636" t="s">
        <v>9803</v>
      </c>
      <c r="QB90" s="1641" t="s">
        <v>9803</v>
      </c>
      <c r="QC90" s="1644" t="s">
        <v>9803</v>
      </c>
      <c r="QD90" s="1644" t="s">
        <v>9803</v>
      </c>
      <c r="QE90" s="1784" t="s">
        <v>9803</v>
      </c>
      <c r="QF90" s="1643" t="s">
        <v>9803</v>
      </c>
      <c r="QG90" s="1639" t="s">
        <v>9803</v>
      </c>
      <c r="QH90" s="1639" t="s">
        <v>9803</v>
      </c>
      <c r="QI90" s="1639" t="s">
        <v>9803</v>
      </c>
      <c r="QJ90" s="1784" t="s">
        <v>9803</v>
      </c>
      <c r="QK90" s="1639" t="s">
        <v>9803</v>
      </c>
      <c r="QL90" s="1639" t="s">
        <v>9803</v>
      </c>
      <c r="QM90" s="1641" t="s">
        <v>9803</v>
      </c>
      <c r="QN90" s="1641" t="s">
        <v>9803</v>
      </c>
      <c r="QO90" s="1643" t="s">
        <v>9803</v>
      </c>
      <c r="QP90" s="1643" t="s">
        <v>9803</v>
      </c>
      <c r="QQ90" s="1639" t="s">
        <v>9803</v>
      </c>
      <c r="QR90" s="1639" t="s">
        <v>9803</v>
      </c>
      <c r="QS90" s="1636" t="s">
        <v>9803</v>
      </c>
      <c r="QT90" s="1639" t="s">
        <v>9803</v>
      </c>
      <c r="QU90" s="1639" t="s">
        <v>9803</v>
      </c>
      <c r="QV90" s="1639" t="s">
        <v>9803</v>
      </c>
      <c r="QW90" s="1640" t="s">
        <v>9803</v>
      </c>
      <c r="QX90" s="1640" t="s">
        <v>9803</v>
      </c>
      <c r="QY90" s="1784" t="s">
        <v>9803</v>
      </c>
      <c r="QZ90" s="1645" t="s">
        <v>9803</v>
      </c>
      <c r="RA90" s="1644" t="s">
        <v>9803</v>
      </c>
      <c r="RB90" s="1645" t="s">
        <v>9803</v>
      </c>
      <c r="RC90" s="1639" t="s">
        <v>9803</v>
      </c>
      <c r="RD90" s="1642" t="s">
        <v>9803</v>
      </c>
      <c r="RE90" s="1638" t="s">
        <v>9803</v>
      </c>
      <c r="RF90" s="1640" t="s">
        <v>9803</v>
      </c>
      <c r="RG90" s="1636" t="s">
        <v>9803</v>
      </c>
      <c r="RH90" s="1636" t="s">
        <v>9803</v>
      </c>
      <c r="RI90" s="1639" t="s">
        <v>9803</v>
      </c>
      <c r="RJ90" s="1643" t="s">
        <v>9803</v>
      </c>
      <c r="RK90" s="1641" t="s">
        <v>9803</v>
      </c>
      <c r="RL90" s="1638" t="s">
        <v>9803</v>
      </c>
      <c r="RM90" s="1640" t="s">
        <v>9803</v>
      </c>
      <c r="RN90" s="1645" t="s">
        <v>9803</v>
      </c>
      <c r="RO90" s="1784" t="s">
        <v>9803</v>
      </c>
      <c r="RP90" s="1640" t="s">
        <v>9803</v>
      </c>
      <c r="RQ90" s="1638" t="s">
        <v>9803</v>
      </c>
      <c r="RR90" s="1638" t="s">
        <v>9803</v>
      </c>
      <c r="RS90" s="1638" t="s">
        <v>9803</v>
      </c>
      <c r="RT90" s="1638" t="s">
        <v>9803</v>
      </c>
      <c r="RU90" s="1638" t="s">
        <v>9803</v>
      </c>
      <c r="RV90" s="1638" t="s">
        <v>9803</v>
      </c>
      <c r="RW90" s="1642" t="s">
        <v>9803</v>
      </c>
      <c r="RX90" s="1644" t="s">
        <v>9803</v>
      </c>
      <c r="RY90" s="1639" t="s">
        <v>9803</v>
      </c>
      <c r="RZ90" s="1640" t="s">
        <v>9803</v>
      </c>
      <c r="SA90" s="1643" t="s">
        <v>9803</v>
      </c>
      <c r="SB90" s="1641" t="s">
        <v>9803</v>
      </c>
      <c r="SC90" s="1640" t="s">
        <v>9803</v>
      </c>
      <c r="SD90" s="1785" t="s">
        <v>9803</v>
      </c>
      <c r="SE90" s="1784" t="s">
        <v>9803</v>
      </c>
      <c r="SF90" s="1642" t="s">
        <v>9803</v>
      </c>
      <c r="SG90" s="1639" t="s">
        <v>9803</v>
      </c>
      <c r="SH90" s="1639" t="s">
        <v>9803</v>
      </c>
      <c r="SI90" s="1784" t="s">
        <v>9803</v>
      </c>
      <c r="SJ90" s="1636" t="s">
        <v>9803</v>
      </c>
      <c r="SK90" s="1636" t="s">
        <v>9803</v>
      </c>
      <c r="SL90" s="1645" t="s">
        <v>9803</v>
      </c>
    </row>
    <row r="91" ht="15.75" customHeight="1">
      <c r="A91" s="1517"/>
      <c r="B91" s="57" t="s">
        <v>828</v>
      </c>
      <c r="C91" s="57" t="s">
        <v>828</v>
      </c>
      <c r="D91" s="57" t="s">
        <v>828</v>
      </c>
      <c r="E91" s="57" t="s">
        <v>731</v>
      </c>
      <c r="F91" s="57" t="s">
        <v>731</v>
      </c>
      <c r="G91" s="57" t="s">
        <v>1957</v>
      </c>
      <c r="H91" s="57" t="s">
        <v>532</v>
      </c>
      <c r="I91" s="57" t="s">
        <v>532</v>
      </c>
      <c r="J91" s="57" t="s">
        <v>532</v>
      </c>
      <c r="K91" s="57" t="s">
        <v>2658</v>
      </c>
      <c r="L91" s="57" t="s">
        <v>3465</v>
      </c>
      <c r="M91" s="57" t="s">
        <v>1957</v>
      </c>
      <c r="N91" s="57" t="s">
        <v>914</v>
      </c>
      <c r="O91" s="57" t="s">
        <v>3465</v>
      </c>
      <c r="P91" s="57" t="s">
        <v>1957</v>
      </c>
      <c r="Q91" s="57" t="s">
        <v>1957</v>
      </c>
      <c r="R91" s="57" t="s">
        <v>1957</v>
      </c>
      <c r="S91" s="57" t="s">
        <v>1957</v>
      </c>
      <c r="T91" s="57" t="s">
        <v>2331</v>
      </c>
      <c r="U91" s="57" t="s">
        <v>2331</v>
      </c>
      <c r="V91" s="57" t="s">
        <v>1957</v>
      </c>
      <c r="W91" s="57" t="s">
        <v>1957</v>
      </c>
      <c r="X91" s="57" t="s">
        <v>2658</v>
      </c>
      <c r="Y91" s="57" t="s">
        <v>2658</v>
      </c>
      <c r="Z91" s="57" t="s">
        <v>1044</v>
      </c>
      <c r="AA91" s="57" t="s">
        <v>1044</v>
      </c>
      <c r="AB91" s="57" t="s">
        <v>828</v>
      </c>
      <c r="AC91" s="57" t="s">
        <v>828</v>
      </c>
      <c r="AD91" s="57" t="s">
        <v>3420</v>
      </c>
      <c r="AE91" s="57" t="s">
        <v>3420</v>
      </c>
      <c r="AF91" s="57" t="s">
        <v>731</v>
      </c>
      <c r="AG91" s="57" t="s">
        <v>1727</v>
      </c>
      <c r="AH91" s="57" t="s">
        <v>1727</v>
      </c>
      <c r="AI91" s="57" t="s">
        <v>731</v>
      </c>
      <c r="AJ91" s="57" t="s">
        <v>731</v>
      </c>
      <c r="AK91" s="57" t="s">
        <v>731</v>
      </c>
      <c r="AL91" s="57" t="s">
        <v>2492</v>
      </c>
      <c r="AM91" s="57" t="s">
        <v>2492</v>
      </c>
      <c r="AN91" s="57" t="s">
        <v>731</v>
      </c>
      <c r="AO91" s="57" t="s">
        <v>731</v>
      </c>
      <c r="AP91" s="57" t="s">
        <v>1957</v>
      </c>
      <c r="AQ91" s="57" t="s">
        <v>1957</v>
      </c>
      <c r="AR91" s="57" t="s">
        <v>2658</v>
      </c>
      <c r="AS91" s="57" t="s">
        <v>2658</v>
      </c>
      <c r="AT91" s="57" t="s">
        <v>2658</v>
      </c>
      <c r="AU91" s="57" t="s">
        <v>828</v>
      </c>
      <c r="AV91" s="57" t="s">
        <v>828</v>
      </c>
      <c r="AW91" s="57" t="s">
        <v>1921</v>
      </c>
      <c r="AX91" s="57" t="s">
        <v>1957</v>
      </c>
      <c r="AY91" s="57" t="s">
        <v>1727</v>
      </c>
      <c r="AZ91" s="57" t="s">
        <v>1727</v>
      </c>
      <c r="BA91" s="57" t="s">
        <v>2331</v>
      </c>
      <c r="BB91" s="57" t="s">
        <v>2331</v>
      </c>
      <c r="BC91" s="57" t="s">
        <v>532</v>
      </c>
      <c r="BD91" s="57" t="s">
        <v>532</v>
      </c>
      <c r="BE91" s="57" t="s">
        <v>731</v>
      </c>
      <c r="BF91" s="57" t="s">
        <v>731</v>
      </c>
      <c r="BG91" s="57" t="s">
        <v>3420</v>
      </c>
      <c r="BH91" s="57" t="s">
        <v>3420</v>
      </c>
      <c r="BI91" s="57" t="s">
        <v>532</v>
      </c>
      <c r="BJ91" s="57" t="s">
        <v>532</v>
      </c>
      <c r="BK91" s="57" t="s">
        <v>532</v>
      </c>
      <c r="BL91" s="57" t="s">
        <v>731</v>
      </c>
      <c r="BM91" s="57" t="s">
        <v>731</v>
      </c>
      <c r="BN91" s="57" t="s">
        <v>731</v>
      </c>
      <c r="BO91" s="57" t="s">
        <v>731</v>
      </c>
      <c r="BP91" s="57" t="s">
        <v>731</v>
      </c>
      <c r="BQ91" s="57" t="s">
        <v>731</v>
      </c>
      <c r="BR91" s="57" t="s">
        <v>1044</v>
      </c>
      <c r="BS91" s="57" t="s">
        <v>1044</v>
      </c>
      <c r="BT91" s="57" t="s">
        <v>1044</v>
      </c>
      <c r="BU91" s="57" t="s">
        <v>532</v>
      </c>
      <c r="BV91" s="57" t="s">
        <v>532</v>
      </c>
      <c r="BW91" s="57" t="s">
        <v>731</v>
      </c>
      <c r="BX91" s="57" t="s">
        <v>731</v>
      </c>
      <c r="BY91" s="57" t="s">
        <v>731</v>
      </c>
      <c r="BZ91" s="57" t="s">
        <v>2658</v>
      </c>
      <c r="CA91" s="57" t="s">
        <v>2658</v>
      </c>
      <c r="CB91" s="57" t="s">
        <v>532</v>
      </c>
      <c r="CC91" s="57" t="s">
        <v>532</v>
      </c>
      <c r="CD91" s="57" t="s">
        <v>3545</v>
      </c>
      <c r="CE91" s="57" t="s">
        <v>3545</v>
      </c>
      <c r="CF91" s="57" t="s">
        <v>1957</v>
      </c>
      <c r="CG91" s="57" t="s">
        <v>1957</v>
      </c>
      <c r="CH91" s="57" t="s">
        <v>1957</v>
      </c>
      <c r="CI91" s="57" t="s">
        <v>532</v>
      </c>
      <c r="CJ91" s="57" t="s">
        <v>532</v>
      </c>
      <c r="CK91" s="57" t="s">
        <v>731</v>
      </c>
      <c r="CL91" s="57" t="s">
        <v>731</v>
      </c>
      <c r="CM91" s="57" t="s">
        <v>532</v>
      </c>
      <c r="CN91" s="57" t="s">
        <v>532</v>
      </c>
      <c r="CO91" s="57" t="s">
        <v>731</v>
      </c>
      <c r="CP91" s="57" t="s">
        <v>731</v>
      </c>
      <c r="CQ91" s="57" t="s">
        <v>731</v>
      </c>
      <c r="CR91" s="57" t="s">
        <v>2658</v>
      </c>
      <c r="CS91" s="57" t="s">
        <v>731</v>
      </c>
      <c r="CT91" s="57" t="s">
        <v>731</v>
      </c>
      <c r="CU91" s="57" t="s">
        <v>532</v>
      </c>
      <c r="CV91" s="57" t="s">
        <v>532</v>
      </c>
      <c r="CW91" s="57" t="s">
        <v>1727</v>
      </c>
      <c r="CX91" s="57" t="s">
        <v>1727</v>
      </c>
      <c r="CY91" s="57" t="s">
        <v>2658</v>
      </c>
      <c r="CZ91" s="57" t="s">
        <v>1921</v>
      </c>
      <c r="DA91" s="57" t="s">
        <v>731</v>
      </c>
      <c r="DB91" s="57" t="s">
        <v>731</v>
      </c>
      <c r="DC91" s="57" t="s">
        <v>1044</v>
      </c>
      <c r="DD91" s="57" t="s">
        <v>731</v>
      </c>
      <c r="DE91" s="57" t="s">
        <v>731</v>
      </c>
      <c r="DF91" s="57" t="s">
        <v>2658</v>
      </c>
      <c r="DG91" s="57" t="s">
        <v>2658</v>
      </c>
      <c r="DH91" s="57" t="s">
        <v>2331</v>
      </c>
      <c r="DI91" s="57" t="s">
        <v>731</v>
      </c>
      <c r="DJ91" s="57" t="s">
        <v>731</v>
      </c>
      <c r="DK91" s="57" t="s">
        <v>1044</v>
      </c>
      <c r="DL91" s="57" t="s">
        <v>731</v>
      </c>
      <c r="DM91" s="57" t="s">
        <v>532</v>
      </c>
      <c r="DN91" s="57" t="s">
        <v>532</v>
      </c>
      <c r="DO91" s="57" t="s">
        <v>532</v>
      </c>
      <c r="DP91" s="57" t="s">
        <v>532</v>
      </c>
      <c r="DQ91" s="57" t="s">
        <v>532</v>
      </c>
      <c r="DR91" s="57" t="s">
        <v>532</v>
      </c>
      <c r="DS91" s="57" t="s">
        <v>731</v>
      </c>
      <c r="DT91" s="57" t="s">
        <v>828</v>
      </c>
      <c r="DU91" s="57" t="s">
        <v>987</v>
      </c>
      <c r="DV91" s="57" t="s">
        <v>731</v>
      </c>
      <c r="DW91" s="57" t="s">
        <v>731</v>
      </c>
      <c r="DX91" s="57" t="s">
        <v>828</v>
      </c>
      <c r="DY91" s="57" t="s">
        <v>2331</v>
      </c>
      <c r="DZ91" s="57" t="s">
        <v>914</v>
      </c>
      <c r="EA91" s="57" t="s">
        <v>532</v>
      </c>
      <c r="EB91" s="57" t="s">
        <v>532</v>
      </c>
      <c r="EC91" s="57" t="s">
        <v>914</v>
      </c>
      <c r="ED91" s="57" t="s">
        <v>3420</v>
      </c>
      <c r="EE91" s="57" t="s">
        <v>532</v>
      </c>
      <c r="EF91" s="57" t="s">
        <v>3420</v>
      </c>
      <c r="EG91" s="57" t="s">
        <v>3420</v>
      </c>
      <c r="EH91" s="57" t="s">
        <v>2331</v>
      </c>
      <c r="EI91" s="57" t="s">
        <v>532</v>
      </c>
      <c r="EJ91" s="57" t="s">
        <v>532</v>
      </c>
      <c r="EK91" s="57" t="s">
        <v>2331</v>
      </c>
      <c r="EL91" s="57" t="s">
        <v>532</v>
      </c>
      <c r="EM91" s="57" t="s">
        <v>1957</v>
      </c>
      <c r="EN91" s="57" t="s">
        <v>731</v>
      </c>
      <c r="EO91" s="57" t="s">
        <v>1957</v>
      </c>
      <c r="EP91" s="57" t="s">
        <v>1957</v>
      </c>
      <c r="EQ91" s="57" t="s">
        <v>1957</v>
      </c>
      <c r="ER91" s="57" t="s">
        <v>2331</v>
      </c>
      <c r="ES91" s="57" t="s">
        <v>2331</v>
      </c>
      <c r="ET91" s="57" t="s">
        <v>1957</v>
      </c>
      <c r="EU91" s="57" t="s">
        <v>731</v>
      </c>
      <c r="EV91" s="57" t="s">
        <v>9680</v>
      </c>
      <c r="EW91" s="57" t="s">
        <v>828</v>
      </c>
      <c r="EX91" s="57" t="s">
        <v>828</v>
      </c>
      <c r="EY91" s="57" t="s">
        <v>828</v>
      </c>
      <c r="EZ91" s="57" t="s">
        <v>2658</v>
      </c>
      <c r="FA91" s="57" t="s">
        <v>828</v>
      </c>
      <c r="FB91" s="57" t="s">
        <v>731</v>
      </c>
      <c r="FC91" s="57" t="s">
        <v>532</v>
      </c>
      <c r="FD91" s="57" t="s">
        <v>532</v>
      </c>
      <c r="FE91" s="57" t="s">
        <v>532</v>
      </c>
      <c r="FF91" s="57" t="s">
        <v>731</v>
      </c>
      <c r="FG91" s="57" t="s">
        <v>731</v>
      </c>
      <c r="FH91" s="57" t="s">
        <v>1957</v>
      </c>
      <c r="FI91" s="57" t="s">
        <v>1957</v>
      </c>
      <c r="FJ91" s="57" t="s">
        <v>1957</v>
      </c>
      <c r="FK91" s="57" t="s">
        <v>1957</v>
      </c>
      <c r="FL91" s="57" t="s">
        <v>1727</v>
      </c>
      <c r="FM91" s="57" t="s">
        <v>1727</v>
      </c>
      <c r="FN91" s="57" t="s">
        <v>1957</v>
      </c>
      <c r="FO91" s="57" t="s">
        <v>532</v>
      </c>
      <c r="FP91" s="57" t="s">
        <v>532</v>
      </c>
      <c r="FQ91" s="57" t="s">
        <v>3420</v>
      </c>
      <c r="FR91" s="57" t="s">
        <v>2331</v>
      </c>
      <c r="FS91" s="57" t="s">
        <v>3705</v>
      </c>
      <c r="FT91" s="57" t="s">
        <v>4172</v>
      </c>
      <c r="FU91" s="57" t="s">
        <v>1957</v>
      </c>
      <c r="FV91" s="57" t="s">
        <v>1957</v>
      </c>
      <c r="FW91" s="57" t="s">
        <v>1957</v>
      </c>
      <c r="FX91" s="57" t="s">
        <v>3545</v>
      </c>
      <c r="FY91" s="57" t="s">
        <v>731</v>
      </c>
      <c r="FZ91" s="57" t="s">
        <v>731</v>
      </c>
      <c r="GA91" s="57" t="s">
        <v>2658</v>
      </c>
      <c r="GB91" s="57" t="s">
        <v>532</v>
      </c>
      <c r="GC91" s="57" t="s">
        <v>532</v>
      </c>
      <c r="GD91" s="57" t="s">
        <v>731</v>
      </c>
      <c r="GE91" s="57" t="s">
        <v>532</v>
      </c>
      <c r="GF91" s="57" t="s">
        <v>3420</v>
      </c>
      <c r="GG91" s="57" t="s">
        <v>3420</v>
      </c>
      <c r="GH91" s="57" t="s">
        <v>3420</v>
      </c>
      <c r="GI91" s="57" t="s">
        <v>731</v>
      </c>
      <c r="GJ91" s="57" t="s">
        <v>3420</v>
      </c>
      <c r="GK91" s="57" t="s">
        <v>3420</v>
      </c>
      <c r="GL91" s="57" t="s">
        <v>1957</v>
      </c>
      <c r="GM91" s="57" t="s">
        <v>532</v>
      </c>
      <c r="GN91" s="57" t="s">
        <v>532</v>
      </c>
      <c r="GO91" s="57" t="s">
        <v>4172</v>
      </c>
      <c r="GP91" s="57" t="s">
        <v>1727</v>
      </c>
      <c r="GQ91" s="57" t="s">
        <v>1957</v>
      </c>
      <c r="GR91" s="57" t="s">
        <v>532</v>
      </c>
      <c r="GS91" s="57" t="s">
        <v>2331</v>
      </c>
      <c r="GT91" s="57" t="s">
        <v>914</v>
      </c>
      <c r="GU91" s="57" t="s">
        <v>914</v>
      </c>
      <c r="GV91" s="57" t="s">
        <v>1727</v>
      </c>
      <c r="GW91" s="57" t="s">
        <v>2658</v>
      </c>
      <c r="GX91" s="57" t="s">
        <v>3545</v>
      </c>
      <c r="GY91" s="57" t="s">
        <v>1921</v>
      </c>
      <c r="GZ91" s="57" t="s">
        <v>828</v>
      </c>
      <c r="HA91" s="57" t="s">
        <v>3545</v>
      </c>
      <c r="HB91" s="57" t="s">
        <v>731</v>
      </c>
      <c r="HC91" s="57" t="s">
        <v>731</v>
      </c>
      <c r="HD91" s="57" t="s">
        <v>532</v>
      </c>
      <c r="HE91" s="57" t="s">
        <v>828</v>
      </c>
      <c r="HF91" s="57" t="s">
        <v>3420</v>
      </c>
      <c r="HG91" s="57" t="s">
        <v>828</v>
      </c>
      <c r="HH91" s="57" t="s">
        <v>828</v>
      </c>
      <c r="HI91" s="57" t="s">
        <v>731</v>
      </c>
      <c r="HJ91" s="57" t="s">
        <v>731</v>
      </c>
      <c r="HK91" s="57" t="s">
        <v>2658</v>
      </c>
      <c r="HL91" s="57" t="s">
        <v>2658</v>
      </c>
      <c r="HM91" s="57" t="s">
        <v>2331</v>
      </c>
      <c r="HN91" s="57" t="s">
        <v>2331</v>
      </c>
      <c r="HO91" s="57" t="s">
        <v>2331</v>
      </c>
      <c r="HP91" s="57" t="s">
        <v>532</v>
      </c>
      <c r="HQ91" s="57" t="s">
        <v>532</v>
      </c>
      <c r="HR91" s="57" t="s">
        <v>2331</v>
      </c>
      <c r="HS91" s="57" t="s">
        <v>1957</v>
      </c>
      <c r="HT91" s="57" t="s">
        <v>1957</v>
      </c>
      <c r="HU91" s="57" t="s">
        <v>1727</v>
      </c>
      <c r="HV91" s="57" t="s">
        <v>1727</v>
      </c>
      <c r="HW91" s="57" t="s">
        <v>532</v>
      </c>
      <c r="HX91" s="57" t="s">
        <v>1044</v>
      </c>
      <c r="HY91" s="57" t="s">
        <v>1044</v>
      </c>
      <c r="HZ91" s="57" t="s">
        <v>2331</v>
      </c>
      <c r="IA91" s="57" t="s">
        <v>1727</v>
      </c>
      <c r="IB91" s="57" t="s">
        <v>914</v>
      </c>
      <c r="IC91" s="57" t="s">
        <v>2786</v>
      </c>
      <c r="ID91" s="57" t="s">
        <v>1727</v>
      </c>
      <c r="IE91" s="57" t="s">
        <v>987</v>
      </c>
      <c r="IF91" s="57" t="s">
        <v>731</v>
      </c>
      <c r="IG91" s="57" t="s">
        <v>731</v>
      </c>
      <c r="IH91" s="57" t="s">
        <v>731</v>
      </c>
      <c r="II91" s="57" t="s">
        <v>731</v>
      </c>
      <c r="IJ91" s="57" t="s">
        <v>3545</v>
      </c>
      <c r="IK91" s="57" t="s">
        <v>2658</v>
      </c>
      <c r="IL91" s="57" t="s">
        <v>532</v>
      </c>
      <c r="IM91" s="57" t="s">
        <v>2658</v>
      </c>
      <c r="IN91" s="57" t="s">
        <v>2658</v>
      </c>
      <c r="IO91" s="57" t="s">
        <v>731</v>
      </c>
      <c r="IP91" s="57" t="s">
        <v>1957</v>
      </c>
      <c r="IQ91" s="57" t="s">
        <v>1957</v>
      </c>
      <c r="IR91" s="57" t="s">
        <v>1727</v>
      </c>
      <c r="IS91" s="57" t="s">
        <v>828</v>
      </c>
      <c r="IT91" s="57" t="s">
        <v>828</v>
      </c>
      <c r="IU91" s="57" t="s">
        <v>828</v>
      </c>
      <c r="IV91" s="57" t="s">
        <v>3420</v>
      </c>
      <c r="IW91" s="57" t="s">
        <v>731</v>
      </c>
      <c r="IX91" s="57" t="s">
        <v>731</v>
      </c>
      <c r="IY91" s="57" t="s">
        <v>532</v>
      </c>
      <c r="IZ91" s="57" t="s">
        <v>532</v>
      </c>
      <c r="JA91" s="57" t="s">
        <v>532</v>
      </c>
      <c r="JB91" s="57" t="s">
        <v>1727</v>
      </c>
      <c r="JC91" s="57" t="s">
        <v>1727</v>
      </c>
      <c r="JD91" s="57" t="s">
        <v>828</v>
      </c>
      <c r="JE91" s="57" t="s">
        <v>828</v>
      </c>
      <c r="JF91" s="57" t="s">
        <v>2658</v>
      </c>
      <c r="JG91" s="57" t="s">
        <v>3465</v>
      </c>
      <c r="JH91" s="57" t="s">
        <v>1957</v>
      </c>
      <c r="JI91" s="57" t="s">
        <v>3465</v>
      </c>
      <c r="JJ91" s="57" t="s">
        <v>1957</v>
      </c>
      <c r="JK91" s="57" t="s">
        <v>2331</v>
      </c>
      <c r="JL91" s="57" t="s">
        <v>532</v>
      </c>
      <c r="JM91" s="57" t="s">
        <v>532</v>
      </c>
      <c r="JN91" s="57" t="s">
        <v>2658</v>
      </c>
      <c r="JO91" s="57" t="s">
        <v>828</v>
      </c>
      <c r="JP91" s="57" t="s">
        <v>1957</v>
      </c>
      <c r="JQ91" s="57" t="s">
        <v>1957</v>
      </c>
      <c r="JR91" s="57" t="s">
        <v>1957</v>
      </c>
      <c r="JS91" s="57" t="s">
        <v>1957</v>
      </c>
      <c r="JT91" s="57" t="s">
        <v>1957</v>
      </c>
      <c r="JU91" s="57" t="s">
        <v>731</v>
      </c>
      <c r="JV91" s="57" t="s">
        <v>731</v>
      </c>
      <c r="JW91" s="57" t="s">
        <v>731</v>
      </c>
      <c r="JX91" s="57" t="s">
        <v>2331</v>
      </c>
      <c r="JY91" s="57" t="s">
        <v>1957</v>
      </c>
      <c r="JZ91" s="57" t="s">
        <v>3420</v>
      </c>
      <c r="KA91" s="57" t="s">
        <v>828</v>
      </c>
      <c r="KB91" s="57" t="s">
        <v>731</v>
      </c>
      <c r="KC91" s="57" t="s">
        <v>731</v>
      </c>
      <c r="KD91" s="57" t="s">
        <v>731</v>
      </c>
      <c r="KE91" s="57" t="s">
        <v>828</v>
      </c>
      <c r="KF91" s="57" t="s">
        <v>1957</v>
      </c>
      <c r="KG91" s="57" t="s">
        <v>828</v>
      </c>
      <c r="KH91" s="57" t="s">
        <v>731</v>
      </c>
      <c r="KI91" s="57" t="s">
        <v>731</v>
      </c>
      <c r="KJ91" s="57" t="s">
        <v>731</v>
      </c>
      <c r="KK91" s="57" t="s">
        <v>731</v>
      </c>
      <c r="KL91" s="57" t="s">
        <v>731</v>
      </c>
      <c r="KM91" s="57" t="s">
        <v>2331</v>
      </c>
      <c r="KN91" s="57" t="s">
        <v>731</v>
      </c>
      <c r="KO91" s="57" t="s">
        <v>2331</v>
      </c>
      <c r="KP91" s="57" t="s">
        <v>2331</v>
      </c>
      <c r="KQ91" s="57" t="s">
        <v>731</v>
      </c>
      <c r="KR91" s="57" t="s">
        <v>987</v>
      </c>
      <c r="KS91" s="57" t="s">
        <v>828</v>
      </c>
      <c r="KT91" s="57" t="s">
        <v>828</v>
      </c>
      <c r="KU91" s="57" t="s">
        <v>731</v>
      </c>
      <c r="KV91" s="57" t="s">
        <v>731</v>
      </c>
      <c r="KW91" s="57" t="s">
        <v>731</v>
      </c>
      <c r="KX91" s="57" t="s">
        <v>3545</v>
      </c>
      <c r="KY91" s="57" t="s">
        <v>3545</v>
      </c>
      <c r="KZ91" s="57" t="s">
        <v>1794</v>
      </c>
      <c r="LA91" s="57" t="s">
        <v>1794</v>
      </c>
      <c r="LB91" s="57" t="s">
        <v>1957</v>
      </c>
      <c r="LC91" s="57" t="s">
        <v>1957</v>
      </c>
      <c r="LD91" s="57" t="s">
        <v>828</v>
      </c>
      <c r="LE91" s="57" t="s">
        <v>731</v>
      </c>
      <c r="LF91" s="57" t="s">
        <v>731</v>
      </c>
      <c r="LG91" s="57" t="s">
        <v>532</v>
      </c>
      <c r="LH91" s="57" t="s">
        <v>532</v>
      </c>
      <c r="LI91" s="57" t="s">
        <v>532</v>
      </c>
      <c r="LJ91" s="57" t="s">
        <v>532</v>
      </c>
      <c r="LK91" s="57" t="s">
        <v>2658</v>
      </c>
      <c r="LL91" s="57" t="s">
        <v>2658</v>
      </c>
      <c r="LM91" s="57" t="s">
        <v>2658</v>
      </c>
      <c r="LN91" s="57" t="s">
        <v>2331</v>
      </c>
      <c r="LO91" s="57" t="s">
        <v>731</v>
      </c>
      <c r="LP91" s="57" t="s">
        <v>731</v>
      </c>
      <c r="LQ91" s="57" t="s">
        <v>828</v>
      </c>
      <c r="LR91" s="57" t="s">
        <v>1957</v>
      </c>
      <c r="LS91" s="57" t="s">
        <v>1957</v>
      </c>
      <c r="LT91" s="57" t="s">
        <v>828</v>
      </c>
      <c r="LU91" s="57" t="s">
        <v>828</v>
      </c>
      <c r="LV91" s="57" t="s">
        <v>1957</v>
      </c>
      <c r="LW91" s="57" t="s">
        <v>1957</v>
      </c>
      <c r="LX91" s="57" t="s">
        <v>731</v>
      </c>
      <c r="LY91" s="57" t="s">
        <v>828</v>
      </c>
      <c r="LZ91" s="57" t="s">
        <v>1921</v>
      </c>
      <c r="MA91" s="57" t="s">
        <v>1921</v>
      </c>
      <c r="MB91" s="57" t="s">
        <v>532</v>
      </c>
      <c r="MC91" s="57" t="s">
        <v>532</v>
      </c>
      <c r="MD91" s="57" t="s">
        <v>828</v>
      </c>
      <c r="ME91" s="57" t="s">
        <v>532</v>
      </c>
      <c r="MF91" s="57" t="s">
        <v>4172</v>
      </c>
      <c r="MG91" s="57" t="s">
        <v>4172</v>
      </c>
      <c r="MH91" s="57" t="s">
        <v>2658</v>
      </c>
      <c r="MI91" s="57" t="s">
        <v>2658</v>
      </c>
      <c r="MJ91" s="57" t="s">
        <v>828</v>
      </c>
      <c r="MK91" s="57" t="s">
        <v>828</v>
      </c>
      <c r="ML91" s="57" t="s">
        <v>532</v>
      </c>
      <c r="MM91" s="57" t="s">
        <v>532</v>
      </c>
      <c r="MN91" s="57" t="s">
        <v>2331</v>
      </c>
      <c r="MO91" s="57" t="s">
        <v>731</v>
      </c>
      <c r="MP91" s="57" t="s">
        <v>2331</v>
      </c>
      <c r="MQ91" s="57" t="s">
        <v>2331</v>
      </c>
      <c r="MR91" s="57" t="s">
        <v>2331</v>
      </c>
      <c r="MS91" s="57" t="s">
        <v>731</v>
      </c>
      <c r="MT91" s="57" t="s">
        <v>1957</v>
      </c>
      <c r="MU91" s="57" t="s">
        <v>2331</v>
      </c>
      <c r="MV91" s="57" t="s">
        <v>828</v>
      </c>
      <c r="MW91" s="57" t="s">
        <v>914</v>
      </c>
      <c r="MX91" s="57" t="s">
        <v>2331</v>
      </c>
      <c r="MY91" s="57" t="s">
        <v>2331</v>
      </c>
      <c r="MZ91" s="57" t="s">
        <v>532</v>
      </c>
      <c r="NA91" s="57" t="s">
        <v>532</v>
      </c>
      <c r="NB91" s="57" t="s">
        <v>532</v>
      </c>
      <c r="NC91" s="57" t="s">
        <v>532</v>
      </c>
      <c r="ND91" s="57" t="s">
        <v>532</v>
      </c>
      <c r="NE91" s="57" t="s">
        <v>532</v>
      </c>
      <c r="NF91" s="57" t="s">
        <v>532</v>
      </c>
      <c r="NG91" s="57" t="s">
        <v>532</v>
      </c>
      <c r="NH91" s="57" t="s">
        <v>828</v>
      </c>
      <c r="NI91" s="57" t="s">
        <v>828</v>
      </c>
      <c r="NJ91" s="57" t="s">
        <v>1957</v>
      </c>
      <c r="NK91" s="57" t="s">
        <v>1921</v>
      </c>
      <c r="NL91" s="57" t="s">
        <v>828</v>
      </c>
      <c r="NM91" s="57" t="s">
        <v>828</v>
      </c>
      <c r="NN91" s="57" t="s">
        <v>731</v>
      </c>
      <c r="NO91" s="57" t="s">
        <v>987</v>
      </c>
      <c r="NP91" s="57" t="s">
        <v>987</v>
      </c>
      <c r="NQ91" s="57" t="s">
        <v>532</v>
      </c>
      <c r="NR91" s="57" t="s">
        <v>532</v>
      </c>
      <c r="NS91" s="57" t="s">
        <v>532</v>
      </c>
      <c r="NT91" s="57" t="s">
        <v>731</v>
      </c>
      <c r="NU91" s="57" t="s">
        <v>532</v>
      </c>
      <c r="NV91" s="57" t="s">
        <v>731</v>
      </c>
      <c r="NW91" s="57" t="s">
        <v>731</v>
      </c>
      <c r="NX91" s="57" t="s">
        <v>4172</v>
      </c>
      <c r="NY91" s="57" t="s">
        <v>1044</v>
      </c>
      <c r="NZ91" s="57" t="s">
        <v>1044</v>
      </c>
      <c r="OA91" s="57" t="s">
        <v>2658</v>
      </c>
      <c r="OB91" s="57" t="s">
        <v>2658</v>
      </c>
      <c r="OC91" s="57" t="s">
        <v>2658</v>
      </c>
      <c r="OD91" s="57" t="s">
        <v>731</v>
      </c>
      <c r="OE91" s="57" t="s">
        <v>731</v>
      </c>
      <c r="OF91" s="57" t="s">
        <v>731</v>
      </c>
      <c r="OG91" s="57" t="s">
        <v>532</v>
      </c>
      <c r="OH91" s="57" t="s">
        <v>532</v>
      </c>
      <c r="OI91" s="57" t="s">
        <v>532</v>
      </c>
      <c r="OJ91" s="57" t="s">
        <v>1957</v>
      </c>
      <c r="OK91" s="57" t="s">
        <v>1957</v>
      </c>
      <c r="OL91" s="57" t="s">
        <v>1957</v>
      </c>
      <c r="OM91" s="57" t="s">
        <v>828</v>
      </c>
      <c r="ON91" s="57" t="s">
        <v>532</v>
      </c>
      <c r="OO91" s="57" t="s">
        <v>2658</v>
      </c>
      <c r="OP91" s="57" t="s">
        <v>828</v>
      </c>
      <c r="OQ91" s="57" t="s">
        <v>828</v>
      </c>
      <c r="OR91" s="57" t="s">
        <v>828</v>
      </c>
      <c r="OS91" s="57" t="s">
        <v>828</v>
      </c>
      <c r="OT91" s="57" t="s">
        <v>2658</v>
      </c>
      <c r="OU91" s="57" t="s">
        <v>828</v>
      </c>
      <c r="OV91" s="57" t="s">
        <v>731</v>
      </c>
      <c r="OW91" s="57" t="s">
        <v>731</v>
      </c>
      <c r="OX91" s="57" t="s">
        <v>3545</v>
      </c>
      <c r="OY91" s="57" t="s">
        <v>3545</v>
      </c>
      <c r="OZ91" s="57" t="s">
        <v>2658</v>
      </c>
      <c r="PA91" s="57" t="s">
        <v>1727</v>
      </c>
      <c r="PB91" s="57" t="s">
        <v>1727</v>
      </c>
      <c r="PC91" s="57" t="s">
        <v>1727</v>
      </c>
      <c r="PD91" s="57" t="s">
        <v>1957</v>
      </c>
      <c r="PE91" s="57" t="s">
        <v>1957</v>
      </c>
      <c r="PF91" s="57" t="s">
        <v>1957</v>
      </c>
      <c r="PG91" s="57" t="s">
        <v>1794</v>
      </c>
      <c r="PH91" s="57" t="s">
        <v>532</v>
      </c>
      <c r="PI91" s="57" t="s">
        <v>532</v>
      </c>
      <c r="PJ91" s="57" t="s">
        <v>3420</v>
      </c>
      <c r="PK91" s="57" t="s">
        <v>3420</v>
      </c>
      <c r="PL91" s="57" t="s">
        <v>532</v>
      </c>
      <c r="PM91" s="57" t="s">
        <v>532</v>
      </c>
      <c r="PN91" s="57" t="s">
        <v>731</v>
      </c>
      <c r="PO91" s="57" t="s">
        <v>1957</v>
      </c>
      <c r="PP91" s="57" t="s">
        <v>1957</v>
      </c>
      <c r="PQ91" s="57" t="s">
        <v>3420</v>
      </c>
      <c r="PR91" s="57" t="s">
        <v>731</v>
      </c>
      <c r="PS91" s="57" t="s">
        <v>2331</v>
      </c>
      <c r="PT91" s="57" t="s">
        <v>1957</v>
      </c>
      <c r="PU91" s="57" t="s">
        <v>828</v>
      </c>
      <c r="PV91" s="57" t="s">
        <v>828</v>
      </c>
      <c r="PW91" s="57" t="s">
        <v>2331</v>
      </c>
      <c r="PX91" s="57" t="s">
        <v>828</v>
      </c>
      <c r="PY91" s="57" t="s">
        <v>828</v>
      </c>
      <c r="PZ91" s="57" t="s">
        <v>4172</v>
      </c>
      <c r="QA91" s="57" t="s">
        <v>4172</v>
      </c>
      <c r="QB91" s="57" t="s">
        <v>1727</v>
      </c>
      <c r="QC91" s="57" t="s">
        <v>4172</v>
      </c>
      <c r="QD91" s="57" t="s">
        <v>2331</v>
      </c>
      <c r="QE91" s="57" t="s">
        <v>2492</v>
      </c>
      <c r="QF91" s="57" t="s">
        <v>2331</v>
      </c>
      <c r="QG91" s="57" t="s">
        <v>828</v>
      </c>
      <c r="QH91" s="57" t="s">
        <v>828</v>
      </c>
      <c r="QI91" s="57" t="s">
        <v>828</v>
      </c>
      <c r="QJ91" s="57" t="s">
        <v>731</v>
      </c>
      <c r="QK91" s="57" t="s">
        <v>828</v>
      </c>
      <c r="QL91" s="57" t="s">
        <v>828</v>
      </c>
      <c r="QM91" s="57" t="s">
        <v>2658</v>
      </c>
      <c r="QN91" s="57" t="s">
        <v>2658</v>
      </c>
      <c r="QO91" s="57" t="s">
        <v>828</v>
      </c>
      <c r="QP91" s="57" t="s">
        <v>828</v>
      </c>
      <c r="QQ91" s="57" t="s">
        <v>828</v>
      </c>
      <c r="QR91" s="57" t="s">
        <v>828</v>
      </c>
      <c r="QS91" s="57" t="s">
        <v>828</v>
      </c>
      <c r="QT91" s="57" t="s">
        <v>1957</v>
      </c>
      <c r="QU91" s="57" t="s">
        <v>1957</v>
      </c>
      <c r="QV91" s="57" t="s">
        <v>1957</v>
      </c>
      <c r="QW91" s="57" t="s">
        <v>987</v>
      </c>
      <c r="QX91" s="57" t="s">
        <v>987</v>
      </c>
      <c r="QY91" s="57" t="s">
        <v>828</v>
      </c>
      <c r="QZ91" s="57" t="s">
        <v>3545</v>
      </c>
      <c r="RA91" s="57" t="s">
        <v>731</v>
      </c>
      <c r="RB91" s="57" t="s">
        <v>731</v>
      </c>
      <c r="RC91" s="57" t="s">
        <v>1044</v>
      </c>
      <c r="RD91" s="57" t="s">
        <v>731</v>
      </c>
      <c r="RE91" s="57" t="s">
        <v>731</v>
      </c>
      <c r="RF91" s="57" t="s">
        <v>1957</v>
      </c>
      <c r="RG91" s="57" t="s">
        <v>1957</v>
      </c>
      <c r="RH91" s="57" t="s">
        <v>828</v>
      </c>
      <c r="RI91" s="57" t="s">
        <v>2331</v>
      </c>
      <c r="RJ91" s="57" t="s">
        <v>828</v>
      </c>
      <c r="RK91" s="57" t="s">
        <v>828</v>
      </c>
      <c r="RL91" s="57" t="s">
        <v>2331</v>
      </c>
      <c r="RM91" s="57" t="s">
        <v>731</v>
      </c>
      <c r="RN91" s="57" t="s">
        <v>731</v>
      </c>
      <c r="RO91" s="57" t="s">
        <v>731</v>
      </c>
      <c r="RP91" s="57" t="s">
        <v>987</v>
      </c>
      <c r="RQ91" s="57" t="s">
        <v>2492</v>
      </c>
      <c r="RR91" s="57" t="s">
        <v>2492</v>
      </c>
      <c r="RS91" s="57" t="s">
        <v>2492</v>
      </c>
      <c r="RT91" s="57" t="s">
        <v>2492</v>
      </c>
      <c r="RU91" s="57" t="s">
        <v>2492</v>
      </c>
      <c r="RV91" s="57" t="s">
        <v>2492</v>
      </c>
      <c r="RW91" s="57" t="s">
        <v>731</v>
      </c>
      <c r="RX91" s="57" t="s">
        <v>731</v>
      </c>
      <c r="RY91" s="57" t="s">
        <v>731</v>
      </c>
      <c r="RZ91" s="57" t="s">
        <v>828</v>
      </c>
      <c r="SA91" s="57" t="s">
        <v>532</v>
      </c>
      <c r="SB91" s="57" t="s">
        <v>2658</v>
      </c>
      <c r="SC91" s="57" t="s">
        <v>731</v>
      </c>
      <c r="SD91" s="57" t="s">
        <v>1957</v>
      </c>
      <c r="SE91" s="57" t="s">
        <v>1957</v>
      </c>
      <c r="SF91" s="57" t="s">
        <v>828</v>
      </c>
      <c r="SG91" s="57" t="s">
        <v>532</v>
      </c>
      <c r="SH91" s="57" t="s">
        <v>532</v>
      </c>
      <c r="SI91" s="57" t="s">
        <v>2331</v>
      </c>
      <c r="SJ91" s="57" t="s">
        <v>1921</v>
      </c>
      <c r="SK91" s="57" t="s">
        <v>1957</v>
      </c>
      <c r="SL91" s="57" t="s">
        <v>532</v>
      </c>
    </row>
    <row r="92" ht="15.75" customHeight="1">
      <c r="A92" s="1517"/>
      <c r="B92" s="1786" t="s">
        <v>1044</v>
      </c>
      <c r="C92" s="1787" t="s">
        <v>1044</v>
      </c>
      <c r="D92" s="1787" t="s">
        <v>1044</v>
      </c>
      <c r="E92" s="1788" t="s">
        <v>828</v>
      </c>
      <c r="F92" s="1788" t="s">
        <v>828</v>
      </c>
      <c r="G92" s="1788" t="s">
        <v>731</v>
      </c>
      <c r="H92" s="1789" t="s">
        <v>987</v>
      </c>
      <c r="I92" s="1789" t="s">
        <v>987</v>
      </c>
      <c r="J92" s="1789" t="s">
        <v>987</v>
      </c>
      <c r="K92" s="1787"/>
      <c r="L92" s="1787"/>
      <c r="M92" s="1790" t="s">
        <v>2492</v>
      </c>
      <c r="N92" s="1741"/>
      <c r="O92" s="339"/>
      <c r="P92" s="339" t="s">
        <v>828</v>
      </c>
      <c r="Q92" s="1741" t="s">
        <v>2492</v>
      </c>
      <c r="R92" s="1741" t="s">
        <v>2492</v>
      </c>
      <c r="S92" s="1741" t="s">
        <v>2492</v>
      </c>
      <c r="T92" s="1791" t="s">
        <v>1727</v>
      </c>
      <c r="U92" s="1741" t="s">
        <v>1727</v>
      </c>
      <c r="V92" s="1741" t="s">
        <v>2492</v>
      </c>
      <c r="W92" s="1741" t="s">
        <v>2492</v>
      </c>
      <c r="X92" s="1791" t="s">
        <v>3976</v>
      </c>
      <c r="Y92" s="1791" t="s">
        <v>3976</v>
      </c>
      <c r="Z92" s="339" t="s">
        <v>1794</v>
      </c>
      <c r="AA92" s="339" t="s">
        <v>1794</v>
      </c>
      <c r="AB92" s="339" t="s">
        <v>1044</v>
      </c>
      <c r="AC92" s="339" t="s">
        <v>1044</v>
      </c>
      <c r="AD92" s="1789" t="s">
        <v>2658</v>
      </c>
      <c r="AE92" s="1789" t="s">
        <v>2658</v>
      </c>
      <c r="AF92" s="1789" t="s">
        <v>828</v>
      </c>
      <c r="AG92" s="1791" t="s">
        <v>3420</v>
      </c>
      <c r="AH92" s="1791" t="s">
        <v>3420</v>
      </c>
      <c r="AI92" s="1791" t="s">
        <v>828</v>
      </c>
      <c r="AJ92" s="1792" t="s">
        <v>987</v>
      </c>
      <c r="AK92" s="1792" t="s">
        <v>987</v>
      </c>
      <c r="AL92" s="1741" t="s">
        <v>1921</v>
      </c>
      <c r="AM92" s="339" t="s">
        <v>1921</v>
      </c>
      <c r="AN92" s="1792" t="s">
        <v>987</v>
      </c>
      <c r="AO92" s="1792" t="s">
        <v>987</v>
      </c>
      <c r="AP92" s="1791" t="s">
        <v>2492</v>
      </c>
      <c r="AQ92" s="1791" t="s">
        <v>2492</v>
      </c>
      <c r="AR92" s="1789" t="s">
        <v>4081</v>
      </c>
      <c r="AS92" s="1789" t="s">
        <v>4081</v>
      </c>
      <c r="AT92" s="1788" t="s">
        <v>4081</v>
      </c>
      <c r="AU92" s="1788" t="s">
        <v>1044</v>
      </c>
      <c r="AV92" s="1788" t="s">
        <v>1044</v>
      </c>
      <c r="AW92" s="1791" t="s">
        <v>2658</v>
      </c>
      <c r="AX92" s="1791" t="s">
        <v>2492</v>
      </c>
      <c r="AY92" s="1741" t="s">
        <v>2658</v>
      </c>
      <c r="AZ92" s="1741" t="s">
        <v>2658</v>
      </c>
      <c r="BA92" s="339" t="s">
        <v>1044</v>
      </c>
      <c r="BB92" s="339" t="s">
        <v>1044</v>
      </c>
      <c r="BC92" s="339" t="s">
        <v>987</v>
      </c>
      <c r="BD92" s="1789" t="s">
        <v>828</v>
      </c>
      <c r="BE92" s="1741" t="s">
        <v>987</v>
      </c>
      <c r="BF92" s="1741" t="s">
        <v>987</v>
      </c>
      <c r="BG92" s="1741" t="s">
        <v>2658</v>
      </c>
      <c r="BH92" s="1741" t="s">
        <v>2658</v>
      </c>
      <c r="BI92" s="1789" t="s">
        <v>2331</v>
      </c>
      <c r="BJ92" s="1789" t="s">
        <v>987</v>
      </c>
      <c r="BK92" s="1789" t="s">
        <v>987</v>
      </c>
      <c r="BL92" s="1741" t="s">
        <v>987</v>
      </c>
      <c r="BM92" s="1741" t="s">
        <v>987</v>
      </c>
      <c r="BN92" s="1741" t="s">
        <v>987</v>
      </c>
      <c r="BO92" s="1793" t="s">
        <v>987</v>
      </c>
      <c r="BP92" s="1793" t="s">
        <v>987</v>
      </c>
      <c r="BQ92" s="1793" t="s">
        <v>987</v>
      </c>
      <c r="BR92" s="1787" t="s">
        <v>1727</v>
      </c>
      <c r="BS92" s="1787" t="s">
        <v>1727</v>
      </c>
      <c r="BT92" s="1787" t="s">
        <v>1727</v>
      </c>
      <c r="BU92" s="1789" t="s">
        <v>2331</v>
      </c>
      <c r="BV92" s="1789" t="s">
        <v>2331</v>
      </c>
      <c r="BW92" s="1741" t="s">
        <v>1727</v>
      </c>
      <c r="BX92" s="1741" t="s">
        <v>1727</v>
      </c>
      <c r="BY92" s="1741" t="s">
        <v>828</v>
      </c>
      <c r="BZ92" s="339" t="s">
        <v>2707</v>
      </c>
      <c r="CA92" s="339" t="s">
        <v>2707</v>
      </c>
      <c r="CB92" s="1792" t="s">
        <v>2331</v>
      </c>
      <c r="CC92" s="1792" t="s">
        <v>828</v>
      </c>
      <c r="CD92" s="1793" t="s">
        <v>2658</v>
      </c>
      <c r="CE92" s="1793" t="s">
        <v>2658</v>
      </c>
      <c r="CF92" s="1741" t="s">
        <v>828</v>
      </c>
      <c r="CG92" s="1741" t="s">
        <v>1044</v>
      </c>
      <c r="CH92" s="1741" t="s">
        <v>1044</v>
      </c>
      <c r="CI92" s="1790" t="s">
        <v>2331</v>
      </c>
      <c r="CJ92" s="1790" t="s">
        <v>2331</v>
      </c>
      <c r="CK92" s="1791" t="s">
        <v>987</v>
      </c>
      <c r="CL92" s="1791" t="s">
        <v>987</v>
      </c>
      <c r="CM92" s="1791" t="s">
        <v>2331</v>
      </c>
      <c r="CN92" s="1791" t="s">
        <v>2331</v>
      </c>
      <c r="CO92" s="1791" t="s">
        <v>987</v>
      </c>
      <c r="CP92" s="1791" t="s">
        <v>987</v>
      </c>
      <c r="CQ92" s="1791" t="s">
        <v>987</v>
      </c>
      <c r="CR92" s="1793" t="s">
        <v>1973</v>
      </c>
      <c r="CS92" s="339" t="s">
        <v>987</v>
      </c>
      <c r="CT92" s="339" t="s">
        <v>987</v>
      </c>
      <c r="CU92" s="1788" t="s">
        <v>828</v>
      </c>
      <c r="CV92" s="1788" t="s">
        <v>828</v>
      </c>
      <c r="CW92" s="1788" t="s">
        <v>3545</v>
      </c>
      <c r="CX92" s="1788" t="s">
        <v>3545</v>
      </c>
      <c r="CY92" s="1792" t="s">
        <v>4081</v>
      </c>
      <c r="CZ92" s="339" t="s">
        <v>2658</v>
      </c>
      <c r="DA92" s="1741" t="s">
        <v>828</v>
      </c>
      <c r="DB92" s="1741" t="s">
        <v>828</v>
      </c>
      <c r="DC92" s="1741" t="s">
        <v>1727</v>
      </c>
      <c r="DD92" s="1741" t="s">
        <v>987</v>
      </c>
      <c r="DE92" s="1792" t="s">
        <v>987</v>
      </c>
      <c r="DF92" s="1791" t="s">
        <v>3976</v>
      </c>
      <c r="DG92" s="1791" t="s">
        <v>3976</v>
      </c>
      <c r="DH92" s="1793" t="s">
        <v>2658</v>
      </c>
      <c r="DI92" s="1793" t="s">
        <v>828</v>
      </c>
      <c r="DJ92" s="1792" t="s">
        <v>987</v>
      </c>
      <c r="DK92" s="1789" t="s">
        <v>2658</v>
      </c>
      <c r="DL92" s="1741" t="s">
        <v>828</v>
      </c>
      <c r="DM92" s="1789" t="s">
        <v>2331</v>
      </c>
      <c r="DN92" s="1789" t="s">
        <v>2331</v>
      </c>
      <c r="DO92" s="1788" t="s">
        <v>828</v>
      </c>
      <c r="DP92" s="1788" t="s">
        <v>828</v>
      </c>
      <c r="DQ92" s="1741" t="s">
        <v>2331</v>
      </c>
      <c r="DR92" s="1791" t="s">
        <v>2331</v>
      </c>
      <c r="DS92" s="1792" t="s">
        <v>987</v>
      </c>
      <c r="DT92" s="1787" t="s">
        <v>1044</v>
      </c>
      <c r="DU92" s="1788" t="s">
        <v>2331</v>
      </c>
      <c r="DV92" s="339" t="s">
        <v>987</v>
      </c>
      <c r="DW92" s="1788" t="s">
        <v>1794</v>
      </c>
      <c r="DX92" s="1741" t="s">
        <v>1044</v>
      </c>
      <c r="DY92" s="1741" t="s">
        <v>1921</v>
      </c>
      <c r="DZ92" s="1788"/>
      <c r="EA92" s="1789" t="s">
        <v>2331</v>
      </c>
      <c r="EB92" s="1789" t="s">
        <v>2331</v>
      </c>
      <c r="EC92" s="1791"/>
      <c r="ED92" s="1741" t="s">
        <v>1053</v>
      </c>
      <c r="EE92" s="1789" t="s">
        <v>2331</v>
      </c>
      <c r="EF92" s="339" t="s">
        <v>1053</v>
      </c>
      <c r="EG92" s="1788" t="s">
        <v>1053</v>
      </c>
      <c r="EH92" s="1792" t="s">
        <v>4172</v>
      </c>
      <c r="EI92" s="1789" t="s">
        <v>2331</v>
      </c>
      <c r="EJ92" s="1789" t="s">
        <v>2331</v>
      </c>
      <c r="EK92" s="1741" t="s">
        <v>1044</v>
      </c>
      <c r="EL92" s="1741" t="s">
        <v>828</v>
      </c>
      <c r="EM92" s="1791" t="s">
        <v>2492</v>
      </c>
      <c r="EN92" s="1794" t="s">
        <v>987</v>
      </c>
      <c r="EO92" s="1789" t="s">
        <v>2331</v>
      </c>
      <c r="EP92" s="339" t="s">
        <v>2492</v>
      </c>
      <c r="EQ92" s="339" t="s">
        <v>2492</v>
      </c>
      <c r="ER92" s="1789" t="s">
        <v>2658</v>
      </c>
      <c r="ES92" s="1789" t="s">
        <v>2658</v>
      </c>
      <c r="ET92" s="1741" t="s">
        <v>532</v>
      </c>
      <c r="EU92" s="1791" t="s">
        <v>987</v>
      </c>
      <c r="EV92" s="1792"/>
      <c r="EW92" s="1787" t="s">
        <v>2658</v>
      </c>
      <c r="EX92" s="1787" t="s">
        <v>2658</v>
      </c>
      <c r="EY92" s="1787" t="s">
        <v>2658</v>
      </c>
      <c r="EZ92" s="339" t="s">
        <v>2707</v>
      </c>
      <c r="FA92" s="339" t="s">
        <v>2658</v>
      </c>
      <c r="FB92" s="339" t="s">
        <v>828</v>
      </c>
      <c r="FC92" s="1789" t="s">
        <v>987</v>
      </c>
      <c r="FD92" s="1789" t="s">
        <v>828</v>
      </c>
      <c r="FE92" s="1789" t="s">
        <v>828</v>
      </c>
      <c r="FF92" s="1741" t="s">
        <v>828</v>
      </c>
      <c r="FG92" s="1741" t="s">
        <v>828</v>
      </c>
      <c r="FH92" s="1741" t="s">
        <v>2492</v>
      </c>
      <c r="FI92" s="1741" t="s">
        <v>2492</v>
      </c>
      <c r="FJ92" s="1788" t="s">
        <v>987</v>
      </c>
      <c r="FK92" s="1788" t="s">
        <v>987</v>
      </c>
      <c r="FL92" s="1787" t="s">
        <v>292</v>
      </c>
      <c r="FM92" s="1788" t="s">
        <v>292</v>
      </c>
      <c r="FN92" s="1791" t="s">
        <v>2492</v>
      </c>
      <c r="FO92" s="1789" t="s">
        <v>2331</v>
      </c>
      <c r="FP92" s="1789" t="s">
        <v>2331</v>
      </c>
      <c r="FQ92" s="339" t="s">
        <v>3545</v>
      </c>
      <c r="FR92" s="1792" t="s">
        <v>4172</v>
      </c>
      <c r="FS92" s="1792" t="s">
        <v>3305</v>
      </c>
      <c r="FT92" s="1790" t="s">
        <v>1921</v>
      </c>
      <c r="FU92" s="1790" t="s">
        <v>2492</v>
      </c>
      <c r="FV92" s="1787" t="s">
        <v>2492</v>
      </c>
      <c r="FW92" s="1787" t="s">
        <v>2492</v>
      </c>
      <c r="FX92" s="1790" t="s">
        <v>2658</v>
      </c>
      <c r="FY92" s="1792" t="s">
        <v>1794</v>
      </c>
      <c r="FZ92" s="339" t="s">
        <v>1794</v>
      </c>
      <c r="GA92" s="1787" t="s">
        <v>4081</v>
      </c>
      <c r="GB92" s="1789" t="s">
        <v>987</v>
      </c>
      <c r="GC92" s="1789" t="s">
        <v>987</v>
      </c>
      <c r="GD92" s="1741" t="s">
        <v>987</v>
      </c>
      <c r="GE92" s="1787" t="s">
        <v>2331</v>
      </c>
      <c r="GF92" s="1792" t="s">
        <v>2658</v>
      </c>
      <c r="GG92" s="1787" t="s">
        <v>2658</v>
      </c>
      <c r="GH92" s="1789" t="s">
        <v>2658</v>
      </c>
      <c r="GI92" s="1791" t="s">
        <v>828</v>
      </c>
      <c r="GJ92" s="339" t="s">
        <v>2658</v>
      </c>
      <c r="GK92" s="339" t="s">
        <v>2658</v>
      </c>
      <c r="GL92" s="1788" t="s">
        <v>2492</v>
      </c>
      <c r="GM92" s="1789" t="s">
        <v>987</v>
      </c>
      <c r="GN92" s="1789" t="s">
        <v>987</v>
      </c>
      <c r="GO92" s="1791" t="s">
        <v>1921</v>
      </c>
      <c r="GP92" s="1794" t="s">
        <v>3420</v>
      </c>
      <c r="GQ92" s="1794" t="s">
        <v>2331</v>
      </c>
      <c r="GR92" s="1792" t="s">
        <v>828</v>
      </c>
      <c r="GS92" s="1793" t="s">
        <v>2492</v>
      </c>
      <c r="GT92" s="1794"/>
      <c r="GU92" s="1789"/>
      <c r="GV92" s="339" t="s">
        <v>4172</v>
      </c>
      <c r="GW92" s="1793" t="s">
        <v>3465</v>
      </c>
      <c r="GX92" s="1791" t="s">
        <v>2658</v>
      </c>
      <c r="GY92" s="339" t="s">
        <v>1053</v>
      </c>
      <c r="GZ92" s="1791" t="s">
        <v>1044</v>
      </c>
      <c r="HA92" s="1793" t="s">
        <v>2658</v>
      </c>
      <c r="HB92" s="1792" t="s">
        <v>987</v>
      </c>
      <c r="HC92" s="1791" t="s">
        <v>987</v>
      </c>
      <c r="HD92" s="1793" t="s">
        <v>2331</v>
      </c>
      <c r="HE92" s="1788" t="s">
        <v>1044</v>
      </c>
      <c r="HF92" s="339" t="s">
        <v>2658</v>
      </c>
      <c r="HG92" s="1789" t="s">
        <v>1044</v>
      </c>
      <c r="HH92" s="1794" t="s">
        <v>987</v>
      </c>
      <c r="HI92" s="1741" t="s">
        <v>828</v>
      </c>
      <c r="HJ92" s="1741" t="s">
        <v>828</v>
      </c>
      <c r="HK92" s="1788" t="s">
        <v>1973</v>
      </c>
      <c r="HL92" s="1788" t="s">
        <v>1973</v>
      </c>
      <c r="HM92" s="1741" t="s">
        <v>2658</v>
      </c>
      <c r="HN92" s="1741" t="s">
        <v>2658</v>
      </c>
      <c r="HO92" s="1792" t="s">
        <v>1727</v>
      </c>
      <c r="HP92" s="1793" t="s">
        <v>2331</v>
      </c>
      <c r="HQ92" s="1788" t="s">
        <v>2331</v>
      </c>
      <c r="HR92" s="1788" t="s">
        <v>2707</v>
      </c>
      <c r="HS92" s="1791" t="s">
        <v>532</v>
      </c>
      <c r="HT92" s="1793" t="s">
        <v>828</v>
      </c>
      <c r="HU92" s="1794" t="s">
        <v>2658</v>
      </c>
      <c r="HV92" s="1794" t="s">
        <v>2658</v>
      </c>
      <c r="HW92" s="1789" t="s">
        <v>2331</v>
      </c>
      <c r="HX92" s="1789" t="s">
        <v>2658</v>
      </c>
      <c r="HY92" s="1793" t="s">
        <v>2658</v>
      </c>
      <c r="HZ92" s="1788" t="s">
        <v>4172</v>
      </c>
      <c r="IA92" s="1741" t="s">
        <v>1921</v>
      </c>
      <c r="IB92" s="1790"/>
      <c r="IC92" s="1791" t="s">
        <v>3420</v>
      </c>
      <c r="ID92" s="1741" t="s">
        <v>2786</v>
      </c>
      <c r="IE92" s="1792" t="s">
        <v>2331</v>
      </c>
      <c r="IF92" s="339" t="s">
        <v>987</v>
      </c>
      <c r="IG92" s="1788" t="s">
        <v>1794</v>
      </c>
      <c r="IH92" s="1792" t="s">
        <v>987</v>
      </c>
      <c r="II92" s="1792" t="s">
        <v>987</v>
      </c>
      <c r="IJ92" s="339" t="s">
        <v>2658</v>
      </c>
      <c r="IK92" s="1741" t="s">
        <v>2707</v>
      </c>
      <c r="IL92" s="1789" t="s">
        <v>2331</v>
      </c>
      <c r="IM92" s="1787" t="s">
        <v>3976</v>
      </c>
      <c r="IN92" s="1793" t="s">
        <v>3976</v>
      </c>
      <c r="IO92" s="1787" t="s">
        <v>828</v>
      </c>
      <c r="IP92" s="1790" t="s">
        <v>532</v>
      </c>
      <c r="IQ92" s="1788" t="s">
        <v>2492</v>
      </c>
      <c r="IR92" s="1787" t="s">
        <v>4172</v>
      </c>
      <c r="IS92" s="1787" t="s">
        <v>1794</v>
      </c>
      <c r="IT92" s="1787" t="s">
        <v>1794</v>
      </c>
      <c r="IU92" s="1787" t="s">
        <v>1794</v>
      </c>
      <c r="IV92" s="1788" t="s">
        <v>1053</v>
      </c>
      <c r="IW92" s="1788" t="s">
        <v>828</v>
      </c>
      <c r="IX92" s="1788" t="s">
        <v>828</v>
      </c>
      <c r="IY92" s="1789" t="s">
        <v>2331</v>
      </c>
      <c r="IZ92" s="1789" t="s">
        <v>987</v>
      </c>
      <c r="JA92" s="1789" t="s">
        <v>987</v>
      </c>
      <c r="JB92" s="1793" t="s">
        <v>2658</v>
      </c>
      <c r="JC92" s="1793" t="s">
        <v>2658</v>
      </c>
      <c r="JD92" s="1741" t="s">
        <v>2331</v>
      </c>
      <c r="JE92" s="1790" t="s">
        <v>2331</v>
      </c>
      <c r="JF92" s="1788"/>
      <c r="JG92" s="1790"/>
      <c r="JH92" s="339" t="s">
        <v>2492</v>
      </c>
      <c r="JI92" s="1791"/>
      <c r="JJ92" s="1787" t="s">
        <v>2492</v>
      </c>
      <c r="JK92" s="1787" t="s">
        <v>1921</v>
      </c>
      <c r="JL92" s="1787" t="s">
        <v>731</v>
      </c>
      <c r="JM92" s="1787" t="s">
        <v>731</v>
      </c>
      <c r="JN92" s="1741" t="s">
        <v>3976</v>
      </c>
      <c r="JO92" s="1741" t="s">
        <v>2658</v>
      </c>
      <c r="JP92" s="1741" t="s">
        <v>828</v>
      </c>
      <c r="JQ92" s="1789" t="s">
        <v>2492</v>
      </c>
      <c r="JR92" s="1789" t="s">
        <v>2492</v>
      </c>
      <c r="JS92" s="1790" t="s">
        <v>2331</v>
      </c>
      <c r="JT92" s="339" t="s">
        <v>2331</v>
      </c>
      <c r="JU92" s="1790" t="s">
        <v>987</v>
      </c>
      <c r="JV92" s="1790" t="s">
        <v>987</v>
      </c>
      <c r="JW92" s="1790" t="s">
        <v>987</v>
      </c>
      <c r="JX92" s="1789" t="s">
        <v>2658</v>
      </c>
      <c r="JY92" s="1789" t="s">
        <v>2331</v>
      </c>
      <c r="JZ92" s="1741" t="s">
        <v>2658</v>
      </c>
      <c r="KA92" s="1787" t="s">
        <v>1794</v>
      </c>
      <c r="KB92" s="1741" t="s">
        <v>828</v>
      </c>
      <c r="KC92" s="1790" t="s">
        <v>828</v>
      </c>
      <c r="KD92" s="1741" t="s">
        <v>828</v>
      </c>
      <c r="KE92" s="1793" t="s">
        <v>2658</v>
      </c>
      <c r="KF92" s="339" t="s">
        <v>828</v>
      </c>
      <c r="KG92" s="1741" t="s">
        <v>1727</v>
      </c>
      <c r="KH92" s="1792" t="s">
        <v>987</v>
      </c>
      <c r="KI92" s="1789" t="s">
        <v>987</v>
      </c>
      <c r="KJ92" s="1789" t="s">
        <v>987</v>
      </c>
      <c r="KK92" s="339" t="s">
        <v>987</v>
      </c>
      <c r="KL92" s="1741" t="s">
        <v>987</v>
      </c>
      <c r="KM92" s="1789" t="s">
        <v>1044</v>
      </c>
      <c r="KN92" s="1793" t="s">
        <v>987</v>
      </c>
      <c r="KO92" s="1792" t="s">
        <v>1727</v>
      </c>
      <c r="KP92" s="1791" t="s">
        <v>1727</v>
      </c>
      <c r="KQ92" s="1791" t="s">
        <v>828</v>
      </c>
      <c r="KR92" s="1794" t="s">
        <v>2331</v>
      </c>
      <c r="KS92" s="1793" t="s">
        <v>3545</v>
      </c>
      <c r="KT92" s="1793" t="s">
        <v>3545</v>
      </c>
      <c r="KU92" s="1793" t="s">
        <v>828</v>
      </c>
      <c r="KV92" s="1789" t="s">
        <v>987</v>
      </c>
      <c r="KW92" s="1788" t="s">
        <v>987</v>
      </c>
      <c r="KX92" s="1787" t="s">
        <v>2658</v>
      </c>
      <c r="KY92" s="339" t="s">
        <v>2658</v>
      </c>
      <c r="KZ92" s="339" t="s">
        <v>3420</v>
      </c>
      <c r="LA92" s="339" t="s">
        <v>3420</v>
      </c>
      <c r="LB92" s="1793" t="s">
        <v>987</v>
      </c>
      <c r="LC92" s="1791" t="s">
        <v>987</v>
      </c>
      <c r="LD92" s="1787" t="s">
        <v>2658</v>
      </c>
      <c r="LE92" s="1787" t="s">
        <v>987</v>
      </c>
      <c r="LF92" s="1791" t="s">
        <v>987</v>
      </c>
      <c r="LG92" s="1788" t="s">
        <v>828</v>
      </c>
      <c r="LH92" s="1789" t="s">
        <v>828</v>
      </c>
      <c r="LI92" s="1789" t="s">
        <v>2331</v>
      </c>
      <c r="LJ92" s="1789" t="s">
        <v>2331</v>
      </c>
      <c r="LK92" s="339" t="s">
        <v>2153</v>
      </c>
      <c r="LL92" s="1788" t="s">
        <v>2153</v>
      </c>
      <c r="LM92" s="1741" t="s">
        <v>2153</v>
      </c>
      <c r="LN92" s="1794" t="s">
        <v>4172</v>
      </c>
      <c r="LO92" s="1791" t="s">
        <v>987</v>
      </c>
      <c r="LP92" s="1741" t="s">
        <v>987</v>
      </c>
      <c r="LQ92" s="1741" t="s">
        <v>2658</v>
      </c>
      <c r="LR92" s="1787" t="s">
        <v>828</v>
      </c>
      <c r="LS92" s="1787" t="s">
        <v>731</v>
      </c>
      <c r="LT92" s="1787" t="s">
        <v>1727</v>
      </c>
      <c r="LU92" s="1787" t="s">
        <v>1727</v>
      </c>
      <c r="LV92" s="1789" t="s">
        <v>2492</v>
      </c>
      <c r="LW92" s="1789" t="s">
        <v>2492</v>
      </c>
      <c r="LX92" s="1790" t="s">
        <v>828</v>
      </c>
      <c r="LY92" s="1794" t="s">
        <v>1044</v>
      </c>
      <c r="LZ92" s="339" t="s">
        <v>3420</v>
      </c>
      <c r="MA92" s="1788" t="s">
        <v>3420</v>
      </c>
      <c r="MB92" s="1793" t="s">
        <v>2331</v>
      </c>
      <c r="MC92" s="1789" t="s">
        <v>2331</v>
      </c>
      <c r="MD92" s="1788" t="s">
        <v>2331</v>
      </c>
      <c r="ME92" s="1788" t="s">
        <v>828</v>
      </c>
      <c r="MF92" s="1741" t="s">
        <v>1921</v>
      </c>
      <c r="MG92" s="1794" t="s">
        <v>1921</v>
      </c>
      <c r="MH92" s="1791" t="s">
        <v>4081</v>
      </c>
      <c r="MI92" s="1787" t="s">
        <v>4081</v>
      </c>
      <c r="MJ92" s="1793" t="s">
        <v>1044</v>
      </c>
      <c r="MK92" s="1793" t="s">
        <v>1044</v>
      </c>
      <c r="ML92" s="1741" t="s">
        <v>2331</v>
      </c>
      <c r="MM92" s="1792" t="s">
        <v>2331</v>
      </c>
      <c r="MN92" s="1790" t="s">
        <v>2492</v>
      </c>
      <c r="MO92" s="1787" t="s">
        <v>828</v>
      </c>
      <c r="MP92" s="1794" t="s">
        <v>1044</v>
      </c>
      <c r="MQ92" s="1794" t="s">
        <v>1044</v>
      </c>
      <c r="MR92" s="1794" t="s">
        <v>2492</v>
      </c>
      <c r="MS92" s="1794" t="s">
        <v>987</v>
      </c>
      <c r="MT92" s="1787" t="s">
        <v>828</v>
      </c>
      <c r="MU92" s="1789" t="s">
        <v>1044</v>
      </c>
      <c r="MV92" s="1790" t="s">
        <v>2331</v>
      </c>
      <c r="MW92" s="1789"/>
      <c r="MX92" s="1793" t="s">
        <v>2658</v>
      </c>
      <c r="MY92" s="1793" t="s">
        <v>2658</v>
      </c>
      <c r="MZ92" s="1789" t="s">
        <v>2331</v>
      </c>
      <c r="NA92" s="1789" t="s">
        <v>2331</v>
      </c>
      <c r="NB92" s="1789" t="s">
        <v>828</v>
      </c>
      <c r="NC92" s="1789" t="s">
        <v>2331</v>
      </c>
      <c r="ND92" s="1789" t="s">
        <v>2331</v>
      </c>
      <c r="NE92" s="1792" t="s">
        <v>2331</v>
      </c>
      <c r="NF92" s="1793" t="s">
        <v>2331</v>
      </c>
      <c r="NG92" s="1792" t="s">
        <v>2331</v>
      </c>
      <c r="NH92" s="1789" t="s">
        <v>1921</v>
      </c>
      <c r="NI92" s="1790" t="s">
        <v>1921</v>
      </c>
      <c r="NJ92" s="1789" t="s">
        <v>828</v>
      </c>
      <c r="NK92" s="1789" t="s">
        <v>3465</v>
      </c>
      <c r="NL92" s="1789" t="s">
        <v>987</v>
      </c>
      <c r="NM92" s="1789" t="s">
        <v>987</v>
      </c>
      <c r="NN92" s="1741" t="s">
        <v>987</v>
      </c>
      <c r="NO92" s="1789" t="s">
        <v>2331</v>
      </c>
      <c r="NP92" s="1793" t="s">
        <v>1794</v>
      </c>
      <c r="NQ92" s="1788" t="s">
        <v>828</v>
      </c>
      <c r="NR92" s="1789" t="s">
        <v>828</v>
      </c>
      <c r="NS92" s="1789" t="s">
        <v>2331</v>
      </c>
      <c r="NT92" s="1788" t="s">
        <v>828</v>
      </c>
      <c r="NU92" s="1787" t="s">
        <v>828</v>
      </c>
      <c r="NV92" s="339" t="s">
        <v>987</v>
      </c>
      <c r="NW92" s="1788" t="s">
        <v>987</v>
      </c>
      <c r="NX92" s="1788" t="s">
        <v>1921</v>
      </c>
      <c r="NY92" s="1788" t="s">
        <v>4172</v>
      </c>
      <c r="NZ92" s="1788" t="s">
        <v>4172</v>
      </c>
      <c r="OA92" s="1787" t="s">
        <v>4081</v>
      </c>
      <c r="OB92" s="1787" t="s">
        <v>4081</v>
      </c>
      <c r="OC92" s="1787" t="s">
        <v>4081</v>
      </c>
      <c r="OD92" s="1741" t="s">
        <v>1794</v>
      </c>
      <c r="OE92" s="1741" t="s">
        <v>1794</v>
      </c>
      <c r="OF92" s="1741" t="s">
        <v>1794</v>
      </c>
      <c r="OG92" s="1789" t="s">
        <v>2331</v>
      </c>
      <c r="OH92" s="1789" t="s">
        <v>2331</v>
      </c>
      <c r="OI92" s="1789" t="s">
        <v>828</v>
      </c>
      <c r="OJ92" s="1741" t="s">
        <v>2492</v>
      </c>
      <c r="OK92" s="1741" t="s">
        <v>2492</v>
      </c>
      <c r="OL92" s="1741" t="s">
        <v>2492</v>
      </c>
      <c r="OM92" s="1741" t="s">
        <v>2331</v>
      </c>
      <c r="ON92" s="1741" t="s">
        <v>828</v>
      </c>
      <c r="OO92" s="1788" t="s">
        <v>2776</v>
      </c>
      <c r="OP92" s="1788" t="s">
        <v>1044</v>
      </c>
      <c r="OQ92" s="1789" t="s">
        <v>3545</v>
      </c>
      <c r="OR92" s="1789" t="s">
        <v>3545</v>
      </c>
      <c r="OS92" s="1789" t="s">
        <v>3545</v>
      </c>
      <c r="OT92" s="1787" t="s">
        <v>2707</v>
      </c>
      <c r="OU92" s="1787" t="s">
        <v>2658</v>
      </c>
      <c r="OV92" s="1789" t="s">
        <v>1794</v>
      </c>
      <c r="OW92" s="1789" t="s">
        <v>1794</v>
      </c>
      <c r="OX92" s="1793" t="s">
        <v>2658</v>
      </c>
      <c r="OY92" s="1793" t="s">
        <v>2658</v>
      </c>
      <c r="OZ92" s="1787"/>
      <c r="PA92" s="1787" t="s">
        <v>2658</v>
      </c>
      <c r="PB92" s="339" t="s">
        <v>2658</v>
      </c>
      <c r="PC92" s="1792" t="s">
        <v>3545</v>
      </c>
      <c r="PD92" s="339" t="s">
        <v>2492</v>
      </c>
      <c r="PE92" s="339" t="s">
        <v>2492</v>
      </c>
      <c r="PF92" s="339" t="s">
        <v>828</v>
      </c>
      <c r="PG92" s="1790" t="s">
        <v>3420</v>
      </c>
      <c r="PH92" s="1741" t="s">
        <v>987</v>
      </c>
      <c r="PI92" s="1741" t="s">
        <v>987</v>
      </c>
      <c r="PJ92" s="1792" t="s">
        <v>2658</v>
      </c>
      <c r="PK92" s="1792" t="s">
        <v>2658</v>
      </c>
      <c r="PL92" s="1791" t="s">
        <v>2331</v>
      </c>
      <c r="PM92" s="1791" t="s">
        <v>2331</v>
      </c>
      <c r="PN92" s="1791" t="s">
        <v>828</v>
      </c>
      <c r="PO92" s="1791" t="s">
        <v>2331</v>
      </c>
      <c r="PP92" s="1791" t="s">
        <v>2331</v>
      </c>
      <c r="PQ92" s="1741" t="s">
        <v>1053</v>
      </c>
      <c r="PR92" s="1741" t="s">
        <v>828</v>
      </c>
      <c r="PS92" s="1791" t="s">
        <v>2492</v>
      </c>
      <c r="PT92" s="1794" t="s">
        <v>2492</v>
      </c>
      <c r="PU92" s="1793" t="s">
        <v>1044</v>
      </c>
      <c r="PV92" s="1793" t="s">
        <v>1044</v>
      </c>
      <c r="PW92" s="339" t="s">
        <v>1044</v>
      </c>
      <c r="PX92" s="1791" t="s">
        <v>1727</v>
      </c>
      <c r="PY92" s="1791" t="s">
        <v>1727</v>
      </c>
      <c r="PZ92" s="1787" t="s">
        <v>2658</v>
      </c>
      <c r="QA92" s="1787" t="s">
        <v>1921</v>
      </c>
      <c r="QB92" s="1741" t="s">
        <v>3420</v>
      </c>
      <c r="QC92" s="1792" t="s">
        <v>3420</v>
      </c>
      <c r="QD92" s="1792" t="s">
        <v>1921</v>
      </c>
      <c r="QE92" s="1794" t="s">
        <v>2658</v>
      </c>
      <c r="QF92" s="1791" t="s">
        <v>2492</v>
      </c>
      <c r="QG92" s="1789" t="s">
        <v>2658</v>
      </c>
      <c r="QH92" s="1789" t="s">
        <v>2658</v>
      </c>
      <c r="QI92" s="1789" t="s">
        <v>2658</v>
      </c>
      <c r="QJ92" s="1794" t="s">
        <v>987</v>
      </c>
      <c r="QK92" s="1789" t="s">
        <v>987</v>
      </c>
      <c r="QL92" s="1789" t="s">
        <v>987</v>
      </c>
      <c r="QM92" s="1741" t="s">
        <v>2153</v>
      </c>
      <c r="QN92" s="1741" t="s">
        <v>2153</v>
      </c>
      <c r="QO92" s="1791" t="s">
        <v>1044</v>
      </c>
      <c r="QP92" s="1791" t="s">
        <v>1044</v>
      </c>
      <c r="QQ92" s="1789" t="s">
        <v>987</v>
      </c>
      <c r="QR92" s="1789" t="s">
        <v>987</v>
      </c>
      <c r="QS92" s="1787" t="s">
        <v>1044</v>
      </c>
      <c r="QT92" s="1789" t="s">
        <v>532</v>
      </c>
      <c r="QU92" s="1789" t="s">
        <v>532</v>
      </c>
      <c r="QV92" s="1789" t="s">
        <v>532</v>
      </c>
      <c r="QW92" s="1790" t="s">
        <v>2331</v>
      </c>
      <c r="QX92" s="1790" t="s">
        <v>2331</v>
      </c>
      <c r="QY92" s="1794" t="s">
        <v>987</v>
      </c>
      <c r="QZ92" s="1793" t="s">
        <v>2658</v>
      </c>
      <c r="RA92" s="1792" t="s">
        <v>987</v>
      </c>
      <c r="RB92" s="1793" t="s">
        <v>828</v>
      </c>
      <c r="RC92" s="1789" t="s">
        <v>2658</v>
      </c>
      <c r="RD92" s="339" t="s">
        <v>987</v>
      </c>
      <c r="RE92" s="1788" t="s">
        <v>1794</v>
      </c>
      <c r="RF92" s="1790" t="s">
        <v>2492</v>
      </c>
      <c r="RG92" s="1787" t="s">
        <v>2492</v>
      </c>
      <c r="RH92" s="1787" t="s">
        <v>1044</v>
      </c>
      <c r="RI92" s="1789" t="s">
        <v>3420</v>
      </c>
      <c r="RJ92" s="1791" t="s">
        <v>1044</v>
      </c>
      <c r="RK92" s="1741" t="s">
        <v>2331</v>
      </c>
      <c r="RL92" s="1788" t="s">
        <v>4172</v>
      </c>
      <c r="RM92" s="1790" t="s">
        <v>828</v>
      </c>
      <c r="RN92" s="1793" t="s">
        <v>987</v>
      </c>
      <c r="RO92" s="1794" t="s">
        <v>987</v>
      </c>
      <c r="RP92" s="1790" t="s">
        <v>2331</v>
      </c>
      <c r="RQ92" s="1788" t="s">
        <v>1727</v>
      </c>
      <c r="RR92" s="1788" t="s">
        <v>1727</v>
      </c>
      <c r="RS92" s="1788" t="s">
        <v>1727</v>
      </c>
      <c r="RT92" s="1788" t="s">
        <v>1727</v>
      </c>
      <c r="RU92" s="1788" t="s">
        <v>1727</v>
      </c>
      <c r="RV92" s="1788" t="s">
        <v>1727</v>
      </c>
      <c r="RW92" s="339" t="s">
        <v>987</v>
      </c>
      <c r="RX92" s="1792" t="s">
        <v>987</v>
      </c>
      <c r="RY92" s="1789" t="s">
        <v>987</v>
      </c>
      <c r="RZ92" s="1790" t="s">
        <v>3545</v>
      </c>
      <c r="SA92" s="1791" t="s">
        <v>828</v>
      </c>
      <c r="SB92" s="1741" t="s">
        <v>2776</v>
      </c>
      <c r="SC92" s="1790" t="s">
        <v>987</v>
      </c>
      <c r="SD92" s="1794" t="s">
        <v>828</v>
      </c>
      <c r="SE92" s="1794" t="s">
        <v>828</v>
      </c>
      <c r="SF92" s="339" t="s">
        <v>2331</v>
      </c>
      <c r="SG92" s="1789" t="s">
        <v>2331</v>
      </c>
      <c r="SH92" s="1789" t="s">
        <v>2331</v>
      </c>
      <c r="SI92" s="1794" t="s">
        <v>1044</v>
      </c>
      <c r="SJ92" s="1787" t="s">
        <v>1053</v>
      </c>
      <c r="SK92" s="1787" t="s">
        <v>2492</v>
      </c>
      <c r="SL92" s="1793" t="s">
        <v>828</v>
      </c>
    </row>
    <row r="93" ht="15.75" customHeight="1">
      <c r="A93" s="1517"/>
      <c r="B93" s="148" t="s">
        <v>2658</v>
      </c>
      <c r="C93" s="148" t="s">
        <v>2658</v>
      </c>
      <c r="D93" s="148" t="s">
        <v>2658</v>
      </c>
      <c r="E93" s="148" t="s">
        <v>1794</v>
      </c>
      <c r="F93" s="148" t="s">
        <v>1794</v>
      </c>
      <c r="G93" s="148" t="s">
        <v>828</v>
      </c>
      <c r="H93" s="148" t="s">
        <v>2331</v>
      </c>
      <c r="I93" s="148" t="s">
        <v>2331</v>
      </c>
      <c r="J93" s="148" t="s">
        <v>2331</v>
      </c>
      <c r="K93" s="148"/>
      <c r="L93" s="148"/>
      <c r="M93" s="148" t="s">
        <v>2658</v>
      </c>
      <c r="N93" s="148"/>
      <c r="O93" s="148"/>
      <c r="P93" s="148" t="s">
        <v>1044</v>
      </c>
      <c r="Q93" s="148" t="s">
        <v>2658</v>
      </c>
      <c r="R93" s="148" t="s">
        <v>2658</v>
      </c>
      <c r="S93" s="148" t="s">
        <v>2658</v>
      </c>
      <c r="T93" s="148" t="s">
        <v>1921</v>
      </c>
      <c r="U93" s="148" t="s">
        <v>1921</v>
      </c>
      <c r="V93" s="148" t="s">
        <v>2658</v>
      </c>
      <c r="W93" s="148" t="s">
        <v>2658</v>
      </c>
      <c r="X93" s="148" t="s">
        <v>48</v>
      </c>
      <c r="Y93" s="148" t="s">
        <v>48</v>
      </c>
      <c r="Z93" s="148" t="s">
        <v>3420</v>
      </c>
      <c r="AA93" s="148" t="s">
        <v>3420</v>
      </c>
      <c r="AB93" s="148" t="s">
        <v>2658</v>
      </c>
      <c r="AC93" s="148" t="s">
        <v>2658</v>
      </c>
      <c r="AD93" s="148" t="s">
        <v>2455</v>
      </c>
      <c r="AE93" s="148" t="s">
        <v>2455</v>
      </c>
      <c r="AF93" s="148" t="s">
        <v>987</v>
      </c>
      <c r="AG93" s="148" t="s">
        <v>2658</v>
      </c>
      <c r="AH93" s="148" t="s">
        <v>2658</v>
      </c>
      <c r="AI93" s="148" t="s">
        <v>987</v>
      </c>
      <c r="AJ93" s="148" t="s">
        <v>2331</v>
      </c>
      <c r="AK93" s="148" t="s">
        <v>2331</v>
      </c>
      <c r="AL93" s="148" t="s">
        <v>2658</v>
      </c>
      <c r="AM93" s="148" t="s">
        <v>2658</v>
      </c>
      <c r="AN93" s="148" t="s">
        <v>2331</v>
      </c>
      <c r="AO93" s="148" t="s">
        <v>2331</v>
      </c>
      <c r="AP93" s="148" t="s">
        <v>1921</v>
      </c>
      <c r="AQ93" s="148" t="s">
        <v>1921</v>
      </c>
      <c r="AR93" s="148" t="s">
        <v>3278</v>
      </c>
      <c r="AS93" s="148" t="s">
        <v>3278</v>
      </c>
      <c r="AT93" s="148" t="s">
        <v>3278</v>
      </c>
      <c r="AU93" s="148" t="s">
        <v>2658</v>
      </c>
      <c r="AV93" s="148" t="s">
        <v>2658</v>
      </c>
      <c r="AW93" s="148" t="s">
        <v>2707</v>
      </c>
      <c r="AX93" s="148" t="s">
        <v>1921</v>
      </c>
      <c r="AY93" s="148" t="s">
        <v>2153</v>
      </c>
      <c r="AZ93" s="148" t="s">
        <v>2153</v>
      </c>
      <c r="BA93" s="148" t="s">
        <v>1053</v>
      </c>
      <c r="BB93" s="148" t="s">
        <v>1053</v>
      </c>
      <c r="BC93" s="148" t="s">
        <v>2331</v>
      </c>
      <c r="BD93" s="148" t="s">
        <v>987</v>
      </c>
      <c r="BE93" s="148" t="s">
        <v>1794</v>
      </c>
      <c r="BF93" s="148" t="s">
        <v>1794</v>
      </c>
      <c r="BG93" s="148" t="s">
        <v>2707</v>
      </c>
      <c r="BH93" s="148" t="s">
        <v>2707</v>
      </c>
      <c r="BI93" s="148" t="s">
        <v>3420</v>
      </c>
      <c r="BJ93" s="148" t="s">
        <v>2331</v>
      </c>
      <c r="BK93" s="148" t="s">
        <v>2331</v>
      </c>
      <c r="BL93" s="148" t="s">
        <v>1044</v>
      </c>
      <c r="BM93" s="148" t="s">
        <v>1044</v>
      </c>
      <c r="BN93" s="148" t="s">
        <v>1044</v>
      </c>
      <c r="BO93" s="148" t="s">
        <v>1794</v>
      </c>
      <c r="BP93" s="148" t="s">
        <v>1794</v>
      </c>
      <c r="BQ93" s="148" t="s">
        <v>1794</v>
      </c>
      <c r="BR93" s="148" t="s">
        <v>2658</v>
      </c>
      <c r="BS93" s="148" t="s">
        <v>2658</v>
      </c>
      <c r="BT93" s="148" t="s">
        <v>2658</v>
      </c>
      <c r="BU93" s="148" t="s">
        <v>1044</v>
      </c>
      <c r="BV93" s="148" t="s">
        <v>1044</v>
      </c>
      <c r="BW93" s="148" t="s">
        <v>1794</v>
      </c>
      <c r="BX93" s="148" t="s">
        <v>1794</v>
      </c>
      <c r="BY93" s="148" t="s">
        <v>1727</v>
      </c>
      <c r="BZ93" s="148" t="s">
        <v>292</v>
      </c>
      <c r="CA93" s="148" t="s">
        <v>292</v>
      </c>
      <c r="CB93" s="148" t="s">
        <v>4172</v>
      </c>
      <c r="CC93" s="148" t="s">
        <v>987</v>
      </c>
      <c r="CD93" s="148" t="s">
        <v>2707</v>
      </c>
      <c r="CE93" s="148" t="s">
        <v>2707</v>
      </c>
      <c r="CF93" s="148" t="s">
        <v>1044</v>
      </c>
      <c r="CG93" s="148" t="s">
        <v>2658</v>
      </c>
      <c r="CH93" s="148" t="s">
        <v>2658</v>
      </c>
      <c r="CI93" s="148" t="s">
        <v>2658</v>
      </c>
      <c r="CJ93" s="148" t="s">
        <v>2658</v>
      </c>
      <c r="CK93" s="148" t="s">
        <v>1794</v>
      </c>
      <c r="CL93" s="148" t="s">
        <v>1794</v>
      </c>
      <c r="CM93" s="148" t="s">
        <v>2658</v>
      </c>
      <c r="CN93" s="148" t="s">
        <v>2658</v>
      </c>
      <c r="CO93" s="148" t="s">
        <v>2331</v>
      </c>
      <c r="CP93" s="148" t="s">
        <v>2331</v>
      </c>
      <c r="CQ93" s="148" t="s">
        <v>2331</v>
      </c>
      <c r="CR93" s="148" t="s">
        <v>2153</v>
      </c>
      <c r="CS93" s="148" t="s">
        <v>4172</v>
      </c>
      <c r="CT93" s="148" t="s">
        <v>4172</v>
      </c>
      <c r="CU93" s="148" t="s">
        <v>2331</v>
      </c>
      <c r="CV93" s="148" t="s">
        <v>2331</v>
      </c>
      <c r="CW93" s="148" t="s">
        <v>2658</v>
      </c>
      <c r="CX93" s="148" t="s">
        <v>2658</v>
      </c>
      <c r="CY93" s="148" t="s">
        <v>2776</v>
      </c>
      <c r="CZ93" s="148" t="s">
        <v>4081</v>
      </c>
      <c r="DA93" s="148" t="s">
        <v>2331</v>
      </c>
      <c r="DB93" s="148" t="s">
        <v>2331</v>
      </c>
      <c r="DC93" s="148" t="s">
        <v>2786</v>
      </c>
      <c r="DD93" s="148" t="s">
        <v>1794</v>
      </c>
      <c r="DE93" s="148" t="s">
        <v>2331</v>
      </c>
      <c r="DF93" s="148" t="s">
        <v>2776</v>
      </c>
      <c r="DG93" s="148" t="s">
        <v>2776</v>
      </c>
      <c r="DH93" s="148" t="s">
        <v>3976</v>
      </c>
      <c r="DI93" s="148" t="s">
        <v>987</v>
      </c>
      <c r="DJ93" s="148" t="s">
        <v>2331</v>
      </c>
      <c r="DK93" s="148" t="s">
        <v>4081</v>
      </c>
      <c r="DL93" s="148" t="s">
        <v>987</v>
      </c>
      <c r="DM93" s="148" t="s">
        <v>2658</v>
      </c>
      <c r="DN93" s="148" t="s">
        <v>2658</v>
      </c>
      <c r="DO93" s="148" t="s">
        <v>2331</v>
      </c>
      <c r="DP93" s="148" t="s">
        <v>2331</v>
      </c>
      <c r="DQ93" s="148" t="s">
        <v>2658</v>
      </c>
      <c r="DR93" s="148" t="s">
        <v>4172</v>
      </c>
      <c r="DS93" s="148" t="s">
        <v>4172</v>
      </c>
      <c r="DT93" s="148" t="s">
        <v>2492</v>
      </c>
      <c r="DU93" s="148" t="s">
        <v>4172</v>
      </c>
      <c r="DV93" s="148" t="s">
        <v>1794</v>
      </c>
      <c r="DW93" s="148" t="s">
        <v>3420</v>
      </c>
      <c r="DX93" s="148" t="s">
        <v>2658</v>
      </c>
      <c r="DY93" s="148" t="s">
        <v>3420</v>
      </c>
      <c r="DZ93" s="148"/>
      <c r="EA93" s="148" t="s">
        <v>2658</v>
      </c>
      <c r="EB93" s="148" t="s">
        <v>1921</v>
      </c>
      <c r="EC93" s="148"/>
      <c r="ED93" s="148" t="s">
        <v>2658</v>
      </c>
      <c r="EE93" s="148" t="s">
        <v>3420</v>
      </c>
      <c r="EF93" s="148" t="s">
        <v>3545</v>
      </c>
      <c r="EG93" s="148" t="s">
        <v>2658</v>
      </c>
      <c r="EH93" s="148" t="s">
        <v>1921</v>
      </c>
      <c r="EI93" s="148" t="s">
        <v>1044</v>
      </c>
      <c r="EJ93" s="148" t="s">
        <v>1044</v>
      </c>
      <c r="EK93" s="148" t="s">
        <v>2658</v>
      </c>
      <c r="EL93" s="148" t="s">
        <v>2331</v>
      </c>
      <c r="EM93" s="148" t="s">
        <v>2658</v>
      </c>
      <c r="EN93" s="148" t="s">
        <v>2331</v>
      </c>
      <c r="EO93" s="148" t="s">
        <v>2492</v>
      </c>
      <c r="EP93" s="148" t="s">
        <v>2658</v>
      </c>
      <c r="EQ93" s="148" t="s">
        <v>2658</v>
      </c>
      <c r="ER93" s="148" t="s">
        <v>2707</v>
      </c>
      <c r="ES93" s="148" t="s">
        <v>2707</v>
      </c>
      <c r="ET93" s="148" t="s">
        <v>731</v>
      </c>
      <c r="EU93" s="148" t="s">
        <v>2331</v>
      </c>
      <c r="EV93" s="148"/>
      <c r="EW93" s="148" t="s">
        <v>4081</v>
      </c>
      <c r="EX93" s="148" t="s">
        <v>4081</v>
      </c>
      <c r="EY93" s="148" t="s">
        <v>4081</v>
      </c>
      <c r="EZ93" s="148" t="s">
        <v>2273</v>
      </c>
      <c r="FA93" s="148" t="s">
        <v>2707</v>
      </c>
      <c r="FB93" s="148" t="s">
        <v>1794</v>
      </c>
      <c r="FC93" s="148" t="s">
        <v>2331</v>
      </c>
      <c r="FD93" s="148" t="s">
        <v>987</v>
      </c>
      <c r="FE93" s="148" t="s">
        <v>987</v>
      </c>
      <c r="FF93" s="148" t="s">
        <v>987</v>
      </c>
      <c r="FG93" s="148" t="s">
        <v>987</v>
      </c>
      <c r="FH93" s="148" t="s">
        <v>1921</v>
      </c>
      <c r="FI93" s="148" t="s">
        <v>1921</v>
      </c>
      <c r="FJ93" s="148" t="s">
        <v>1044</v>
      </c>
      <c r="FK93" s="148" t="s">
        <v>1044</v>
      </c>
      <c r="FL93" s="148" t="s">
        <v>2613</v>
      </c>
      <c r="FM93" s="148" t="s">
        <v>2613</v>
      </c>
      <c r="FN93" s="148" t="s">
        <v>1921</v>
      </c>
      <c r="FO93" s="148" t="s">
        <v>1727</v>
      </c>
      <c r="FP93" s="148" t="s">
        <v>1727</v>
      </c>
      <c r="FQ93" s="148" t="s">
        <v>2658</v>
      </c>
      <c r="FR93" s="148" t="s">
        <v>1921</v>
      </c>
      <c r="FS93" s="148" t="s">
        <v>3835</v>
      </c>
      <c r="FT93" s="148" t="s">
        <v>1053</v>
      </c>
      <c r="FU93" s="148" t="s">
        <v>4172</v>
      </c>
      <c r="FV93" s="148" t="s">
        <v>1727</v>
      </c>
      <c r="FW93" s="148" t="s">
        <v>1727</v>
      </c>
      <c r="FX93" s="148" t="s">
        <v>2707</v>
      </c>
      <c r="FY93" s="148" t="s">
        <v>3545</v>
      </c>
      <c r="FZ93" s="148" t="s">
        <v>3545</v>
      </c>
      <c r="GA93" s="148" t="s">
        <v>2776</v>
      </c>
      <c r="GB93" s="148" t="s">
        <v>2331</v>
      </c>
      <c r="GC93" s="148" t="s">
        <v>2331</v>
      </c>
      <c r="GD93" s="148" t="s">
        <v>1727</v>
      </c>
      <c r="GE93" s="148" t="s">
        <v>3420</v>
      </c>
      <c r="GF93" s="148" t="s">
        <v>4081</v>
      </c>
      <c r="GG93" s="148" t="s">
        <v>4081</v>
      </c>
      <c r="GH93" s="148" t="s">
        <v>4081</v>
      </c>
      <c r="GI93" s="148" t="s">
        <v>987</v>
      </c>
      <c r="GJ93" s="148" t="s">
        <v>4081</v>
      </c>
      <c r="GK93" s="148" t="s">
        <v>4081</v>
      </c>
      <c r="GL93" s="148" t="s">
        <v>2658</v>
      </c>
      <c r="GM93" s="148" t="s">
        <v>2331</v>
      </c>
      <c r="GN93" s="148" t="s">
        <v>2331</v>
      </c>
      <c r="GO93" s="148" t="s">
        <v>3420</v>
      </c>
      <c r="GP93" s="148" t="s">
        <v>1053</v>
      </c>
      <c r="GQ93" s="148" t="s">
        <v>2492</v>
      </c>
      <c r="GR93" s="148" t="s">
        <v>987</v>
      </c>
      <c r="GS93" s="148" t="s">
        <v>1727</v>
      </c>
      <c r="GT93" s="148"/>
      <c r="GU93" s="148"/>
      <c r="GV93" s="148" t="s">
        <v>1921</v>
      </c>
      <c r="GW93" s="148" t="s">
        <v>1486</v>
      </c>
      <c r="GX93" s="148" t="s">
        <v>3465</v>
      </c>
      <c r="GY93" s="148" t="s">
        <v>2658</v>
      </c>
      <c r="GZ93" s="148" t="s">
        <v>2658</v>
      </c>
      <c r="HA93" s="148" t="s">
        <v>1973</v>
      </c>
      <c r="HB93" s="148" t="s">
        <v>1794</v>
      </c>
      <c r="HC93" s="148" t="s">
        <v>1794</v>
      </c>
      <c r="HD93" s="148" t="s">
        <v>2658</v>
      </c>
      <c r="HE93" s="148" t="s">
        <v>2492</v>
      </c>
      <c r="HF93" s="148" t="s">
        <v>1973</v>
      </c>
      <c r="HG93" s="148" t="s">
        <v>2786</v>
      </c>
      <c r="HH93" s="148" t="s">
        <v>2331</v>
      </c>
      <c r="HI93" s="148" t="s">
        <v>987</v>
      </c>
      <c r="HJ93" s="148" t="s">
        <v>987</v>
      </c>
      <c r="HK93" s="148" t="s">
        <v>2153</v>
      </c>
      <c r="HL93" s="148" t="s">
        <v>2153</v>
      </c>
      <c r="HM93" s="148" t="s">
        <v>1973</v>
      </c>
      <c r="HN93" s="148" t="s">
        <v>1973</v>
      </c>
      <c r="HO93" s="148" t="s">
        <v>2658</v>
      </c>
      <c r="HP93" s="148" t="s">
        <v>2658</v>
      </c>
      <c r="HQ93" s="148" t="s">
        <v>2658</v>
      </c>
      <c r="HR93" s="148" t="s">
        <v>292</v>
      </c>
      <c r="HS93" s="148" t="s">
        <v>2331</v>
      </c>
      <c r="HT93" s="148" t="s">
        <v>2331</v>
      </c>
      <c r="HU93" s="148" t="s">
        <v>3976</v>
      </c>
      <c r="HV93" s="148" t="s">
        <v>3976</v>
      </c>
      <c r="HW93" s="148" t="s">
        <v>2658</v>
      </c>
      <c r="HX93" s="148" t="s">
        <v>1973</v>
      </c>
      <c r="HY93" s="148" t="s">
        <v>1973</v>
      </c>
      <c r="HZ93" s="148" t="s">
        <v>1921</v>
      </c>
      <c r="IA93" s="148" t="s">
        <v>1053</v>
      </c>
      <c r="IB93" s="148"/>
      <c r="IC93" s="148" t="s">
        <v>2658</v>
      </c>
      <c r="ID93" s="148" t="s">
        <v>3420</v>
      </c>
      <c r="IE93" s="148" t="s">
        <v>4172</v>
      </c>
      <c r="IF93" s="148" t="s">
        <v>1794</v>
      </c>
      <c r="IG93" s="148" t="s">
        <v>3420</v>
      </c>
      <c r="IH93" s="148" t="s">
        <v>2331</v>
      </c>
      <c r="II93" s="148" t="s">
        <v>2331</v>
      </c>
      <c r="IJ93" s="148" t="s">
        <v>2707</v>
      </c>
      <c r="IK93" s="148" t="s">
        <v>2273</v>
      </c>
      <c r="IL93" s="148" t="s">
        <v>2492</v>
      </c>
      <c r="IM93" s="148" t="s">
        <v>2776</v>
      </c>
      <c r="IN93" s="148" t="s">
        <v>2776</v>
      </c>
      <c r="IO93" s="148" t="s">
        <v>987</v>
      </c>
      <c r="IP93" s="148" t="s">
        <v>2331</v>
      </c>
      <c r="IQ93" s="148" t="s">
        <v>1921</v>
      </c>
      <c r="IR93" s="148" t="s">
        <v>1921</v>
      </c>
      <c r="IS93" s="148" t="s">
        <v>2658</v>
      </c>
      <c r="IT93" s="148" t="s">
        <v>2658</v>
      </c>
      <c r="IU93" s="148" t="s">
        <v>2658</v>
      </c>
      <c r="IV93" s="148" t="s">
        <v>2658</v>
      </c>
      <c r="IW93" s="148" t="s">
        <v>1794</v>
      </c>
      <c r="IX93" s="148" t="s">
        <v>1044</v>
      </c>
      <c r="IY93" s="148" t="s">
        <v>2658</v>
      </c>
      <c r="IZ93" s="148" t="s">
        <v>2331</v>
      </c>
      <c r="JA93" s="148" t="s">
        <v>2331</v>
      </c>
      <c r="JB93" s="148" t="s">
        <v>3976</v>
      </c>
      <c r="JC93" s="148" t="s">
        <v>3976</v>
      </c>
      <c r="JD93" s="148" t="s">
        <v>4172</v>
      </c>
      <c r="JE93" s="148" t="s">
        <v>4172</v>
      </c>
      <c r="JF93" s="148"/>
      <c r="JG93" s="148"/>
      <c r="JH93" s="148" t="s">
        <v>2658</v>
      </c>
      <c r="JI93" s="148"/>
      <c r="JJ93" s="148" t="s">
        <v>2658</v>
      </c>
      <c r="JK93" s="148" t="s">
        <v>2658</v>
      </c>
      <c r="JL93" s="148" t="s">
        <v>987</v>
      </c>
      <c r="JM93" s="148" t="s">
        <v>987</v>
      </c>
      <c r="JN93" s="148" t="s">
        <v>4081</v>
      </c>
      <c r="JO93" s="148" t="s">
        <v>3976</v>
      </c>
      <c r="JP93" s="148" t="s">
        <v>2331</v>
      </c>
      <c r="JQ93" s="148" t="s">
        <v>2658</v>
      </c>
      <c r="JR93" s="148" t="s">
        <v>2658</v>
      </c>
      <c r="JS93" s="148" t="s">
        <v>1044</v>
      </c>
      <c r="JT93" s="148" t="s">
        <v>1044</v>
      </c>
      <c r="JU93" s="148" t="s">
        <v>2331</v>
      </c>
      <c r="JV93" s="148" t="s">
        <v>2331</v>
      </c>
      <c r="JW93" s="148" t="s">
        <v>2331</v>
      </c>
      <c r="JX93" s="148" t="s">
        <v>2707</v>
      </c>
      <c r="JY93" s="148" t="s">
        <v>2492</v>
      </c>
      <c r="JZ93" s="148" t="s">
        <v>4081</v>
      </c>
      <c r="KA93" s="148" t="s">
        <v>2786</v>
      </c>
      <c r="KB93" s="148" t="s">
        <v>987</v>
      </c>
      <c r="KC93" s="148" t="s">
        <v>987</v>
      </c>
      <c r="KD93" s="148" t="s">
        <v>987</v>
      </c>
      <c r="KE93" s="148" t="s">
        <v>3976</v>
      </c>
      <c r="KF93" s="148" t="s">
        <v>2492</v>
      </c>
      <c r="KG93" s="148" t="s">
        <v>4172</v>
      </c>
      <c r="KH93" s="148" t="s">
        <v>2331</v>
      </c>
      <c r="KI93" s="148" t="s">
        <v>2331</v>
      </c>
      <c r="KJ93" s="148" t="s">
        <v>2331</v>
      </c>
      <c r="KK93" s="148" t="s">
        <v>1044</v>
      </c>
      <c r="KL93" s="148" t="s">
        <v>1044</v>
      </c>
      <c r="KM93" s="148" t="s">
        <v>3420</v>
      </c>
      <c r="KN93" s="148" t="s">
        <v>1794</v>
      </c>
      <c r="KO93" s="148" t="s">
        <v>1921</v>
      </c>
      <c r="KP93" s="148" t="s">
        <v>1921</v>
      </c>
      <c r="KQ93" s="148" t="s">
        <v>987</v>
      </c>
      <c r="KR93" s="148" t="s">
        <v>1044</v>
      </c>
      <c r="KS93" s="148" t="s">
        <v>2658</v>
      </c>
      <c r="KT93" s="148" t="s">
        <v>2658</v>
      </c>
      <c r="KU93" s="148" t="s">
        <v>987</v>
      </c>
      <c r="KV93" s="148" t="s">
        <v>4172</v>
      </c>
      <c r="KW93" s="148" t="s">
        <v>4172</v>
      </c>
      <c r="KX93" s="148" t="s">
        <v>2707</v>
      </c>
      <c r="KY93" s="148" t="s">
        <v>2707</v>
      </c>
      <c r="KZ93" s="148" t="s">
        <v>1053</v>
      </c>
      <c r="LA93" s="148" t="s">
        <v>1053</v>
      </c>
      <c r="LB93" s="148" t="s">
        <v>2492</v>
      </c>
      <c r="LC93" s="148" t="s">
        <v>2492</v>
      </c>
      <c r="LD93" s="148" t="s">
        <v>2707</v>
      </c>
      <c r="LE93" s="148" t="s">
        <v>1794</v>
      </c>
      <c r="LF93" s="148" t="s">
        <v>1794</v>
      </c>
      <c r="LG93" s="148" t="s">
        <v>2331</v>
      </c>
      <c r="LH93" s="148" t="s">
        <v>2331</v>
      </c>
      <c r="LI93" s="148" t="s">
        <v>2658</v>
      </c>
      <c r="LJ93" s="148" t="s">
        <v>2658</v>
      </c>
      <c r="LK93" s="148" t="s">
        <v>2273</v>
      </c>
      <c r="LL93" s="148" t="s">
        <v>2273</v>
      </c>
      <c r="LM93" s="148" t="s">
        <v>2273</v>
      </c>
      <c r="LN93" s="148" t="s">
        <v>1921</v>
      </c>
      <c r="LO93" s="148" t="s">
        <v>2331</v>
      </c>
      <c r="LP93" s="148" t="s">
        <v>2331</v>
      </c>
      <c r="LQ93" s="148" t="s">
        <v>2153</v>
      </c>
      <c r="LR93" s="148" t="s">
        <v>2492</v>
      </c>
      <c r="LS93" s="148" t="s">
        <v>828</v>
      </c>
      <c r="LT93" s="148" t="s">
        <v>1794</v>
      </c>
      <c r="LU93" s="148" t="s">
        <v>1794</v>
      </c>
      <c r="LV93" s="148" t="s">
        <v>2658</v>
      </c>
      <c r="LW93" s="148" t="s">
        <v>2658</v>
      </c>
      <c r="LX93" s="148" t="s">
        <v>987</v>
      </c>
      <c r="LY93" s="148" t="s">
        <v>1727</v>
      </c>
      <c r="LZ93" s="148" t="s">
        <v>2658</v>
      </c>
      <c r="MA93" s="148" t="s">
        <v>2658</v>
      </c>
      <c r="MB93" s="148" t="s">
        <v>2658</v>
      </c>
      <c r="MC93" s="148" t="s">
        <v>1921</v>
      </c>
      <c r="MD93" s="148" t="s">
        <v>1044</v>
      </c>
      <c r="ME93" s="148" t="s">
        <v>2331</v>
      </c>
      <c r="MF93" s="148" t="s">
        <v>2658</v>
      </c>
      <c r="MG93" s="148" t="s">
        <v>2658</v>
      </c>
      <c r="MH93" s="148" t="s">
        <v>1973</v>
      </c>
      <c r="MI93" s="148" t="s">
        <v>1973</v>
      </c>
      <c r="MJ93" s="148" t="s">
        <v>2658</v>
      </c>
      <c r="MK93" s="148" t="s">
        <v>2658</v>
      </c>
      <c r="ML93" s="148" t="s">
        <v>2658</v>
      </c>
      <c r="MM93" s="148" t="s">
        <v>2658</v>
      </c>
      <c r="MN93" s="148" t="s">
        <v>1053</v>
      </c>
      <c r="MO93" s="148" t="s">
        <v>987</v>
      </c>
      <c r="MP93" s="148" t="s">
        <v>2492</v>
      </c>
      <c r="MQ93" s="148" t="s">
        <v>2492</v>
      </c>
      <c r="MR93" s="148" t="s">
        <v>1727</v>
      </c>
      <c r="MS93" s="148" t="s">
        <v>2331</v>
      </c>
      <c r="MT93" s="148" t="s">
        <v>2492</v>
      </c>
      <c r="MU93" s="148" t="s">
        <v>4172</v>
      </c>
      <c r="MV93" s="148" t="s">
        <v>1044</v>
      </c>
      <c r="MW93" s="148"/>
      <c r="MX93" s="148" t="s">
        <v>3976</v>
      </c>
      <c r="MY93" s="148" t="s">
        <v>3976</v>
      </c>
      <c r="MZ93" s="148" t="s">
        <v>2658</v>
      </c>
      <c r="NA93" s="148" t="s">
        <v>2658</v>
      </c>
      <c r="NB93" s="148" t="s">
        <v>2331</v>
      </c>
      <c r="NC93" s="148" t="s">
        <v>2658</v>
      </c>
      <c r="ND93" s="148" t="s">
        <v>1727</v>
      </c>
      <c r="NE93" s="148" t="s">
        <v>2658</v>
      </c>
      <c r="NF93" s="148" t="s">
        <v>2658</v>
      </c>
      <c r="NG93" s="148" t="s">
        <v>2658</v>
      </c>
      <c r="NH93" s="148" t="s">
        <v>2658</v>
      </c>
      <c r="NI93" s="148" t="s">
        <v>2658</v>
      </c>
      <c r="NJ93" s="148" t="s">
        <v>2492</v>
      </c>
      <c r="NK93" s="148" t="s">
        <v>1011</v>
      </c>
      <c r="NL93" s="148" t="s">
        <v>2331</v>
      </c>
      <c r="NM93" s="148" t="s">
        <v>2331</v>
      </c>
      <c r="NN93" s="148" t="s">
        <v>1794</v>
      </c>
      <c r="NO93" s="148" t="s">
        <v>1794</v>
      </c>
      <c r="NP93" s="148" t="s">
        <v>2658</v>
      </c>
      <c r="NQ93" s="148" t="s">
        <v>2331</v>
      </c>
      <c r="NR93" s="148" t="s">
        <v>2331</v>
      </c>
      <c r="NS93" s="148" t="s">
        <v>2658</v>
      </c>
      <c r="NT93" s="148" t="s">
        <v>1794</v>
      </c>
      <c r="NU93" s="148" t="s">
        <v>2331</v>
      </c>
      <c r="NV93" s="148" t="s">
        <v>2331</v>
      </c>
      <c r="NW93" s="148" t="s">
        <v>2331</v>
      </c>
      <c r="NX93" s="148" t="s">
        <v>2658</v>
      </c>
      <c r="NY93" s="148" t="s">
        <v>1921</v>
      </c>
      <c r="NZ93" s="148" t="s">
        <v>1921</v>
      </c>
      <c r="OA93" s="148" t="s">
        <v>2153</v>
      </c>
      <c r="OB93" s="148" t="s">
        <v>2153</v>
      </c>
      <c r="OC93" s="148" t="s">
        <v>2153</v>
      </c>
      <c r="OD93" s="148" t="s">
        <v>2786</v>
      </c>
      <c r="OE93" s="148" t="s">
        <v>2786</v>
      </c>
      <c r="OF93" s="148" t="s">
        <v>2786</v>
      </c>
      <c r="OG93" s="148" t="s">
        <v>2658</v>
      </c>
      <c r="OH93" s="148" t="s">
        <v>2658</v>
      </c>
      <c r="OI93" s="148" t="s">
        <v>2331</v>
      </c>
      <c r="OJ93" s="148" t="s">
        <v>2658</v>
      </c>
      <c r="OK93" s="148" t="s">
        <v>2658</v>
      </c>
      <c r="OL93" s="148" t="s">
        <v>2658</v>
      </c>
      <c r="OM93" s="148" t="s">
        <v>1053</v>
      </c>
      <c r="ON93" s="148" t="s">
        <v>2331</v>
      </c>
      <c r="OO93" s="148" t="s">
        <v>650</v>
      </c>
      <c r="OP93" s="148" t="s">
        <v>2658</v>
      </c>
      <c r="OQ93" s="148" t="s">
        <v>2658</v>
      </c>
      <c r="OR93" s="148" t="s">
        <v>2658</v>
      </c>
      <c r="OS93" s="148" t="s">
        <v>2658</v>
      </c>
      <c r="OT93" s="148" t="s">
        <v>4081</v>
      </c>
      <c r="OU93" s="148" t="s">
        <v>2707</v>
      </c>
      <c r="OV93" s="148" t="s">
        <v>1921</v>
      </c>
      <c r="OW93" s="148" t="s">
        <v>1921</v>
      </c>
      <c r="OX93" s="148" t="s">
        <v>1973</v>
      </c>
      <c r="OY93" s="148" t="s">
        <v>1973</v>
      </c>
      <c r="OZ93" s="148"/>
      <c r="PA93" s="148" t="s">
        <v>4081</v>
      </c>
      <c r="PB93" s="148" t="s">
        <v>2776</v>
      </c>
      <c r="PC93" s="148" t="s">
        <v>2658</v>
      </c>
      <c r="PD93" s="148" t="s">
        <v>2658</v>
      </c>
      <c r="PE93" s="148" t="s">
        <v>2658</v>
      </c>
      <c r="PF93" s="148" t="s">
        <v>2492</v>
      </c>
      <c r="PG93" s="148" t="s">
        <v>1053</v>
      </c>
      <c r="PH93" s="148" t="s">
        <v>2331</v>
      </c>
      <c r="PI93" s="148" t="s">
        <v>2331</v>
      </c>
      <c r="PJ93" s="148" t="s">
        <v>4081</v>
      </c>
      <c r="PK93" s="148" t="s">
        <v>4081</v>
      </c>
      <c r="PL93" s="148" t="s">
        <v>2658</v>
      </c>
      <c r="PM93" s="148" t="s">
        <v>2658</v>
      </c>
      <c r="PN93" s="148" t="s">
        <v>987</v>
      </c>
      <c r="PO93" s="148" t="s">
        <v>1044</v>
      </c>
      <c r="PP93" s="148" t="s">
        <v>1044</v>
      </c>
      <c r="PQ93" s="148" t="s">
        <v>2658</v>
      </c>
      <c r="PR93" s="148" t="s">
        <v>987</v>
      </c>
      <c r="PS93" s="148" t="s">
        <v>1727</v>
      </c>
      <c r="PT93" s="148" t="s">
        <v>1727</v>
      </c>
      <c r="PU93" s="148" t="s">
        <v>1727</v>
      </c>
      <c r="PV93" s="148" t="s">
        <v>1727</v>
      </c>
      <c r="PW93" s="148" t="s">
        <v>4172</v>
      </c>
      <c r="PX93" s="148" t="s">
        <v>2658</v>
      </c>
      <c r="PY93" s="148" t="s">
        <v>2658</v>
      </c>
      <c r="PZ93" s="148" t="s">
        <v>1973</v>
      </c>
      <c r="QA93" s="148" t="s">
        <v>2658</v>
      </c>
      <c r="QB93" s="148" t="s">
        <v>2658</v>
      </c>
      <c r="QC93" s="148" t="s">
        <v>2658</v>
      </c>
      <c r="QD93" s="148" t="s">
        <v>3420</v>
      </c>
      <c r="QE93" s="148" t="s">
        <v>2707</v>
      </c>
      <c r="QF93" s="148" t="s">
        <v>1727</v>
      </c>
      <c r="QG93" s="148" t="s">
        <v>2707</v>
      </c>
      <c r="QH93" s="148" t="s">
        <v>2707</v>
      </c>
      <c r="QI93" s="148" t="s">
        <v>2707</v>
      </c>
      <c r="QJ93" s="148" t="s">
        <v>2331</v>
      </c>
      <c r="QK93" s="148" t="s">
        <v>1794</v>
      </c>
      <c r="QL93" s="148" t="s">
        <v>1794</v>
      </c>
      <c r="QM93" s="148" t="s">
        <v>2455</v>
      </c>
      <c r="QN93" s="148" t="s">
        <v>1011</v>
      </c>
      <c r="QO93" s="148" t="s">
        <v>2658</v>
      </c>
      <c r="QP93" s="148" t="s">
        <v>2658</v>
      </c>
      <c r="QQ93" s="148" t="s">
        <v>2331</v>
      </c>
      <c r="QR93" s="148" t="s">
        <v>2331</v>
      </c>
      <c r="QS93" s="148" t="s">
        <v>2658</v>
      </c>
      <c r="QT93" s="148" t="s">
        <v>2331</v>
      </c>
      <c r="QU93" s="148" t="s">
        <v>2331</v>
      </c>
      <c r="QV93" s="148" t="s">
        <v>2331</v>
      </c>
      <c r="QW93" s="148" t="s">
        <v>2658</v>
      </c>
      <c r="QX93" s="148" t="s">
        <v>2658</v>
      </c>
      <c r="QY93" s="148" t="s">
        <v>2331</v>
      </c>
      <c r="QZ93" s="148" t="s">
        <v>2707</v>
      </c>
      <c r="RA93" s="148" t="s">
        <v>2331</v>
      </c>
      <c r="RB93" s="148" t="s">
        <v>987</v>
      </c>
      <c r="RC93" s="148" t="s">
        <v>4081</v>
      </c>
      <c r="RD93" s="148" t="s">
        <v>1794</v>
      </c>
      <c r="RE93" s="148" t="s">
        <v>3420</v>
      </c>
      <c r="RF93" s="148" t="s">
        <v>4172</v>
      </c>
      <c r="RG93" s="148" t="s">
        <v>2658</v>
      </c>
      <c r="RH93" s="148" t="s">
        <v>3420</v>
      </c>
      <c r="RI93" s="148" t="s">
        <v>1053</v>
      </c>
      <c r="RJ93" s="148" t="s">
        <v>2658</v>
      </c>
      <c r="RK93" s="148" t="s">
        <v>1044</v>
      </c>
      <c r="RL93" s="148" t="s">
        <v>1921</v>
      </c>
      <c r="RM93" s="148" t="s">
        <v>987</v>
      </c>
      <c r="RN93" s="148" t="s">
        <v>1794</v>
      </c>
      <c r="RO93" s="148" t="s">
        <v>2331</v>
      </c>
      <c r="RP93" s="148" t="s">
        <v>2492</v>
      </c>
      <c r="RQ93" s="148" t="s">
        <v>4172</v>
      </c>
      <c r="RR93" s="148" t="s">
        <v>4172</v>
      </c>
      <c r="RS93" s="148" t="s">
        <v>4172</v>
      </c>
      <c r="RT93" s="148" t="s">
        <v>4172</v>
      </c>
      <c r="RU93" s="148" t="s">
        <v>4172</v>
      </c>
      <c r="RV93" s="148" t="s">
        <v>4172</v>
      </c>
      <c r="RW93" s="148" t="s">
        <v>1044</v>
      </c>
      <c r="RX93" s="148" t="s">
        <v>1044</v>
      </c>
      <c r="RY93" s="148" t="s">
        <v>1044</v>
      </c>
      <c r="RZ93" s="148" t="s">
        <v>2658</v>
      </c>
      <c r="SA93" s="148" t="s">
        <v>2658</v>
      </c>
      <c r="SB93" s="148" t="s">
        <v>1973</v>
      </c>
      <c r="SC93" s="148" t="s">
        <v>2331</v>
      </c>
      <c r="SD93" s="148" t="s">
        <v>2331</v>
      </c>
      <c r="SE93" s="148" t="s">
        <v>2331</v>
      </c>
      <c r="SF93" s="148" t="s">
        <v>4172</v>
      </c>
      <c r="SG93" s="148" t="s">
        <v>1044</v>
      </c>
      <c r="SH93" s="148" t="s">
        <v>1044</v>
      </c>
      <c r="SI93" s="148" t="s">
        <v>2492</v>
      </c>
      <c r="SJ93" s="148" t="s">
        <v>2658</v>
      </c>
      <c r="SK93" s="148" t="s">
        <v>1921</v>
      </c>
      <c r="SL93" s="148" t="s">
        <v>2331</v>
      </c>
    </row>
    <row r="94" ht="15.75" customHeight="1">
      <c r="A94" s="1517"/>
      <c r="B94" s="1786" t="s">
        <v>4081</v>
      </c>
      <c r="C94" s="1787" t="s">
        <v>4081</v>
      </c>
      <c r="D94" s="1787" t="s">
        <v>4081</v>
      </c>
      <c r="E94" s="1788" t="s">
        <v>2658</v>
      </c>
      <c r="F94" s="1788" t="s">
        <v>2658</v>
      </c>
      <c r="G94" s="1788" t="s">
        <v>2492</v>
      </c>
      <c r="H94" s="1789" t="s">
        <v>1921</v>
      </c>
      <c r="I94" s="1789" t="s">
        <v>1921</v>
      </c>
      <c r="J94" s="1789" t="s">
        <v>1921</v>
      </c>
      <c r="K94" s="1787"/>
      <c r="L94" s="1787"/>
      <c r="M94" s="1790" t="s">
        <v>2707</v>
      </c>
      <c r="N94" s="1741"/>
      <c r="O94" s="339"/>
      <c r="P94" s="339" t="s">
        <v>2492</v>
      </c>
      <c r="Q94" s="1741" t="s">
        <v>2707</v>
      </c>
      <c r="R94" s="1741" t="s">
        <v>2707</v>
      </c>
      <c r="S94" s="1741" t="s">
        <v>2707</v>
      </c>
      <c r="T94" s="1791" t="s">
        <v>1053</v>
      </c>
      <c r="U94" s="1741" t="s">
        <v>1053</v>
      </c>
      <c r="V94" s="1741" t="s">
        <v>2707</v>
      </c>
      <c r="W94" s="1741" t="s">
        <v>2707</v>
      </c>
      <c r="X94" s="1791" t="s">
        <v>3278</v>
      </c>
      <c r="Y94" s="1791" t="s">
        <v>3278</v>
      </c>
      <c r="Z94" s="339" t="s">
        <v>3545</v>
      </c>
      <c r="AA94" s="339" t="s">
        <v>3545</v>
      </c>
      <c r="AB94" s="339" t="s">
        <v>2707</v>
      </c>
      <c r="AC94" s="339" t="s">
        <v>2707</v>
      </c>
      <c r="AD94" s="1789"/>
      <c r="AE94" s="1789"/>
      <c r="AF94" s="1789" t="s">
        <v>2331</v>
      </c>
      <c r="AG94" s="1791" t="s">
        <v>2455</v>
      </c>
      <c r="AH94" s="1791" t="s">
        <v>2455</v>
      </c>
      <c r="AI94" s="1791" t="s">
        <v>2331</v>
      </c>
      <c r="AJ94" s="1792" t="s">
        <v>1044</v>
      </c>
      <c r="AK94" s="1792" t="s">
        <v>1044</v>
      </c>
      <c r="AL94" s="1741" t="s">
        <v>3976</v>
      </c>
      <c r="AM94" s="339" t="s">
        <v>3976</v>
      </c>
      <c r="AN94" s="1792" t="s">
        <v>1044</v>
      </c>
      <c r="AO94" s="1792" t="s">
        <v>1044</v>
      </c>
      <c r="AP94" s="1791" t="s">
        <v>2658</v>
      </c>
      <c r="AQ94" s="1791" t="s">
        <v>2658</v>
      </c>
      <c r="AR94" s="1789" t="s">
        <v>1535</v>
      </c>
      <c r="AS94" s="1789" t="s">
        <v>1535</v>
      </c>
      <c r="AT94" s="1788" t="s">
        <v>1535</v>
      </c>
      <c r="AU94" s="1788" t="s">
        <v>4081</v>
      </c>
      <c r="AV94" s="1788" t="s">
        <v>4081</v>
      </c>
      <c r="AW94" s="1791" t="s">
        <v>2613</v>
      </c>
      <c r="AX94" s="1791" t="s">
        <v>2658</v>
      </c>
      <c r="AY94" s="1741" t="s">
        <v>2455</v>
      </c>
      <c r="AZ94" s="1741" t="s">
        <v>2455</v>
      </c>
      <c r="BA94" s="339" t="s">
        <v>2658</v>
      </c>
      <c r="BB94" s="339" t="s">
        <v>2658</v>
      </c>
      <c r="BC94" s="339" t="s">
        <v>1921</v>
      </c>
      <c r="BD94" s="1789" t="s">
        <v>2331</v>
      </c>
      <c r="BE94" s="1741" t="s">
        <v>2786</v>
      </c>
      <c r="BF94" s="1741" t="s">
        <v>2786</v>
      </c>
      <c r="BG94" s="1741" t="s">
        <v>2273</v>
      </c>
      <c r="BH94" s="1741" t="s">
        <v>2273</v>
      </c>
      <c r="BI94" s="1789" t="s">
        <v>2658</v>
      </c>
      <c r="BJ94" s="1789" t="s">
        <v>3420</v>
      </c>
      <c r="BK94" s="1789" t="s">
        <v>2786</v>
      </c>
      <c r="BL94" s="1741" t="s">
        <v>4172</v>
      </c>
      <c r="BM94" s="1741" t="s">
        <v>4172</v>
      </c>
      <c r="BN94" s="1741" t="s">
        <v>4172</v>
      </c>
      <c r="BO94" s="1793" t="s">
        <v>2786</v>
      </c>
      <c r="BP94" s="1793" t="s">
        <v>2786</v>
      </c>
      <c r="BQ94" s="1793" t="s">
        <v>2786</v>
      </c>
      <c r="BR94" s="1787" t="s">
        <v>4081</v>
      </c>
      <c r="BS94" s="1787" t="s">
        <v>4081</v>
      </c>
      <c r="BT94" s="1787" t="s">
        <v>4081</v>
      </c>
      <c r="BU94" s="1789" t="s">
        <v>2658</v>
      </c>
      <c r="BV94" s="1789" t="s">
        <v>2658</v>
      </c>
      <c r="BW94" s="1741" t="s">
        <v>2658</v>
      </c>
      <c r="BX94" s="1741" t="s">
        <v>2658</v>
      </c>
      <c r="BY94" s="1741" t="s">
        <v>1794</v>
      </c>
      <c r="BZ94" s="339" t="s">
        <v>2273</v>
      </c>
      <c r="CA94" s="339" t="s">
        <v>2273</v>
      </c>
      <c r="CB94" s="1792" t="s">
        <v>1921</v>
      </c>
      <c r="CC94" s="1792" t="s">
        <v>2331</v>
      </c>
      <c r="CD94" s="1793" t="s">
        <v>3465</v>
      </c>
      <c r="CE94" s="1793" t="s">
        <v>3465</v>
      </c>
      <c r="CF94" s="1741" t="s">
        <v>2492</v>
      </c>
      <c r="CG94" s="1741" t="s">
        <v>2707</v>
      </c>
      <c r="CH94" s="1741" t="s">
        <v>2707</v>
      </c>
      <c r="CI94" s="1790" t="s">
        <v>48</v>
      </c>
      <c r="CJ94" s="1790" t="s">
        <v>48</v>
      </c>
      <c r="CK94" s="1791" t="s">
        <v>2658</v>
      </c>
      <c r="CL94" s="1791" t="s">
        <v>2658</v>
      </c>
      <c r="CM94" s="1791" t="s">
        <v>2707</v>
      </c>
      <c r="CN94" s="1791" t="s">
        <v>2707</v>
      </c>
      <c r="CO94" s="1791" t="s">
        <v>1044</v>
      </c>
      <c r="CP94" s="1791" t="s">
        <v>1044</v>
      </c>
      <c r="CQ94" s="1791" t="s">
        <v>1044</v>
      </c>
      <c r="CR94" s="1793" t="s">
        <v>1011</v>
      </c>
      <c r="CS94" s="339" t="s">
        <v>1794</v>
      </c>
      <c r="CT94" s="339" t="s">
        <v>1794</v>
      </c>
      <c r="CU94" s="1788" t="s">
        <v>1044</v>
      </c>
      <c r="CV94" s="1788" t="s">
        <v>1044</v>
      </c>
      <c r="CW94" s="1788" t="s">
        <v>2707</v>
      </c>
      <c r="CX94" s="1788" t="s">
        <v>2707</v>
      </c>
      <c r="CY94" s="1792" t="s">
        <v>1973</v>
      </c>
      <c r="CZ94" s="339" t="s">
        <v>1973</v>
      </c>
      <c r="DA94" s="1741" t="s">
        <v>1044</v>
      </c>
      <c r="DB94" s="1741" t="s">
        <v>1044</v>
      </c>
      <c r="DC94" s="1741" t="s">
        <v>3420</v>
      </c>
      <c r="DD94" s="1741" t="s">
        <v>2786</v>
      </c>
      <c r="DE94" s="1792" t="s">
        <v>1044</v>
      </c>
      <c r="DF94" s="1791" t="s">
        <v>1486</v>
      </c>
      <c r="DG94" s="1791" t="s">
        <v>1486</v>
      </c>
      <c r="DH94" s="1793" t="s">
        <v>2776</v>
      </c>
      <c r="DI94" s="1793" t="s">
        <v>2331</v>
      </c>
      <c r="DJ94" s="1792" t="s">
        <v>1794</v>
      </c>
      <c r="DK94" s="1789" t="s">
        <v>1973</v>
      </c>
      <c r="DL94" s="1741" t="s">
        <v>2331</v>
      </c>
      <c r="DM94" s="1789" t="s">
        <v>2707</v>
      </c>
      <c r="DN94" s="1789" t="s">
        <v>2707</v>
      </c>
      <c r="DO94" s="1788" t="s">
        <v>1044</v>
      </c>
      <c r="DP94" s="1788" t="s">
        <v>1044</v>
      </c>
      <c r="DQ94" s="1741" t="s">
        <v>2707</v>
      </c>
      <c r="DR94" s="1791" t="s">
        <v>2658</v>
      </c>
      <c r="DS94" s="1792" t="s">
        <v>1794</v>
      </c>
      <c r="DT94" s="1787" t="s">
        <v>2658</v>
      </c>
      <c r="DU94" s="1788" t="s">
        <v>1921</v>
      </c>
      <c r="DV94" s="339" t="s">
        <v>3420</v>
      </c>
      <c r="DW94" s="1788" t="s">
        <v>2658</v>
      </c>
      <c r="DX94" s="1741" t="s">
        <v>3465</v>
      </c>
      <c r="DY94" s="1741" t="s">
        <v>2658</v>
      </c>
      <c r="DZ94" s="1788"/>
      <c r="EA94" s="1789" t="s">
        <v>3976</v>
      </c>
      <c r="EB94" s="1789" t="s">
        <v>2658</v>
      </c>
      <c r="EC94" s="1791"/>
      <c r="ED94" s="1741" t="s">
        <v>2707</v>
      </c>
      <c r="EE94" s="1789" t="s">
        <v>1053</v>
      </c>
      <c r="EF94" s="339" t="s">
        <v>2658</v>
      </c>
      <c r="EG94" s="1788" t="s">
        <v>2707</v>
      </c>
      <c r="EH94" s="1792" t="s">
        <v>1053</v>
      </c>
      <c r="EI94" s="1789" t="s">
        <v>2658</v>
      </c>
      <c r="EJ94" s="1789" t="s">
        <v>2658</v>
      </c>
      <c r="EK94" s="1741" t="s">
        <v>1973</v>
      </c>
      <c r="EL94" s="1741" t="s">
        <v>1044</v>
      </c>
      <c r="EM94" s="1791" t="s">
        <v>2707</v>
      </c>
      <c r="EN94" s="1794" t="s">
        <v>1794</v>
      </c>
      <c r="EO94" s="1789" t="s">
        <v>2658</v>
      </c>
      <c r="EP94" s="339" t="s">
        <v>2707</v>
      </c>
      <c r="EQ94" s="339" t="s">
        <v>2707</v>
      </c>
      <c r="ER94" s="1789" t="s">
        <v>48</v>
      </c>
      <c r="ES94" s="1789" t="s">
        <v>48</v>
      </c>
      <c r="ET94" s="1741" t="s">
        <v>828</v>
      </c>
      <c r="EU94" s="1791" t="s">
        <v>4172</v>
      </c>
      <c r="EV94" s="1792"/>
      <c r="EW94" s="1787" t="s">
        <v>1973</v>
      </c>
      <c r="EX94" s="1787" t="s">
        <v>1973</v>
      </c>
      <c r="EY94" s="1787" t="s">
        <v>1973</v>
      </c>
      <c r="EZ94" s="339" t="s">
        <v>2455</v>
      </c>
      <c r="FA94" s="339" t="s">
        <v>2273</v>
      </c>
      <c r="FB94" s="339" t="s">
        <v>2658</v>
      </c>
      <c r="FC94" s="1789" t="s">
        <v>2658</v>
      </c>
      <c r="FD94" s="1789" t="s">
        <v>2331</v>
      </c>
      <c r="FE94" s="1789" t="s">
        <v>2331</v>
      </c>
      <c r="FF94" s="1741" t="s">
        <v>1044</v>
      </c>
      <c r="FG94" s="1741" t="s">
        <v>1044</v>
      </c>
      <c r="FH94" s="1741" t="s">
        <v>2707</v>
      </c>
      <c r="FI94" s="1741" t="s">
        <v>2707</v>
      </c>
      <c r="FJ94" s="1788" t="s">
        <v>2492</v>
      </c>
      <c r="FK94" s="1788" t="s">
        <v>2492</v>
      </c>
      <c r="FL94" s="1787"/>
      <c r="FM94" s="1788"/>
      <c r="FN94" s="1791" t="s">
        <v>2658</v>
      </c>
      <c r="FO94" s="1789" t="s">
        <v>2658</v>
      </c>
      <c r="FP94" s="1789" t="s">
        <v>2658</v>
      </c>
      <c r="FQ94" s="339" t="s">
        <v>2707</v>
      </c>
      <c r="FR94" s="1792" t="s">
        <v>3420</v>
      </c>
      <c r="FS94" s="1792" t="s">
        <v>3537</v>
      </c>
      <c r="FT94" s="1790" t="s">
        <v>2658</v>
      </c>
      <c r="FU94" s="1790" t="s">
        <v>1921</v>
      </c>
      <c r="FV94" s="1787" t="s">
        <v>4172</v>
      </c>
      <c r="FW94" s="1787" t="s">
        <v>4172</v>
      </c>
      <c r="FX94" s="1790" t="s">
        <v>2613</v>
      </c>
      <c r="FY94" s="1792" t="s">
        <v>2658</v>
      </c>
      <c r="FZ94" s="339" t="s">
        <v>2658</v>
      </c>
      <c r="GA94" s="1787" t="s">
        <v>3278</v>
      </c>
      <c r="GB94" s="1789" t="s">
        <v>1044</v>
      </c>
      <c r="GC94" s="1789" t="s">
        <v>1044</v>
      </c>
      <c r="GD94" s="1741" t="s">
        <v>1794</v>
      </c>
      <c r="GE94" s="1787" t="s">
        <v>2658</v>
      </c>
      <c r="GF94" s="1792" t="s">
        <v>292</v>
      </c>
      <c r="GG94" s="1787" t="s">
        <v>292</v>
      </c>
      <c r="GH94" s="1789" t="s">
        <v>292</v>
      </c>
      <c r="GI94" s="1791" t="s">
        <v>1044</v>
      </c>
      <c r="GJ94" s="339" t="s">
        <v>2776</v>
      </c>
      <c r="GK94" s="339" t="s">
        <v>2776</v>
      </c>
      <c r="GL94" s="1788" t="s">
        <v>2707</v>
      </c>
      <c r="GM94" s="1789" t="s">
        <v>2658</v>
      </c>
      <c r="GN94" s="1789" t="s">
        <v>2658</v>
      </c>
      <c r="GO94" s="1791" t="s">
        <v>1053</v>
      </c>
      <c r="GP94" s="1794" t="s">
        <v>2658</v>
      </c>
      <c r="GQ94" s="1794" t="s">
        <v>1727</v>
      </c>
      <c r="GR94" s="1792" t="s">
        <v>2331</v>
      </c>
      <c r="GS94" s="1793" t="s">
        <v>4172</v>
      </c>
      <c r="GT94" s="1794"/>
      <c r="GU94" s="1789"/>
      <c r="GV94" s="339" t="s">
        <v>2658</v>
      </c>
      <c r="GW94" s="1793"/>
      <c r="GX94" s="1791" t="s">
        <v>1486</v>
      </c>
      <c r="GY94" s="339" t="s">
        <v>3976</v>
      </c>
      <c r="GZ94" s="1791" t="s">
        <v>2707</v>
      </c>
      <c r="HA94" s="1793" t="s">
        <v>48</v>
      </c>
      <c r="HB94" s="1792" t="s">
        <v>1053</v>
      </c>
      <c r="HC94" s="1791" t="s">
        <v>1053</v>
      </c>
      <c r="HD94" s="1793" t="s">
        <v>2707</v>
      </c>
      <c r="HE94" s="1788" t="s">
        <v>2658</v>
      </c>
      <c r="HF94" s="339" t="s">
        <v>2153</v>
      </c>
      <c r="HG94" s="1789" t="s">
        <v>3420</v>
      </c>
      <c r="HH94" s="1794" t="s">
        <v>1044</v>
      </c>
      <c r="HI94" s="1741" t="s">
        <v>1794</v>
      </c>
      <c r="HJ94" s="1741" t="s">
        <v>1794</v>
      </c>
      <c r="HK94" s="1788" t="s">
        <v>2273</v>
      </c>
      <c r="HL94" s="1788" t="s">
        <v>2273</v>
      </c>
      <c r="HM94" s="1741" t="s">
        <v>2153</v>
      </c>
      <c r="HN94" s="1741" t="s">
        <v>2153</v>
      </c>
      <c r="HO94" s="1792" t="s">
        <v>1973</v>
      </c>
      <c r="HP94" s="1793" t="s">
        <v>2707</v>
      </c>
      <c r="HQ94" s="1788" t="s">
        <v>2707</v>
      </c>
      <c r="HR94" s="1788" t="s">
        <v>862</v>
      </c>
      <c r="HS94" s="1791" t="s">
        <v>3420</v>
      </c>
      <c r="HT94" s="1793" t="s">
        <v>2492</v>
      </c>
      <c r="HU94" s="1794" t="s">
        <v>2707</v>
      </c>
      <c r="HV94" s="1794" t="s">
        <v>2707</v>
      </c>
      <c r="HW94" s="1789" t="s">
        <v>2707</v>
      </c>
      <c r="HX94" s="1789" t="s">
        <v>2153</v>
      </c>
      <c r="HY94" s="1793" t="s">
        <v>292</v>
      </c>
      <c r="HZ94" s="1788" t="s">
        <v>1053</v>
      </c>
      <c r="IA94" s="1741" t="s">
        <v>2658</v>
      </c>
      <c r="IB94" s="1790"/>
      <c r="IC94" s="1791" t="s">
        <v>2707</v>
      </c>
      <c r="ID94" s="1741" t="s">
        <v>2658</v>
      </c>
      <c r="IE94" s="1792" t="s">
        <v>1921</v>
      </c>
      <c r="IF94" s="339" t="s">
        <v>3420</v>
      </c>
      <c r="IG94" s="1788" t="s">
        <v>2658</v>
      </c>
      <c r="IH94" s="1792" t="s">
        <v>1794</v>
      </c>
      <c r="II94" s="1792" t="s">
        <v>1794</v>
      </c>
      <c r="IJ94" s="339" t="s">
        <v>1011</v>
      </c>
      <c r="IK94" s="1741" t="s">
        <v>1011</v>
      </c>
      <c r="IL94" s="1789" t="s">
        <v>2658</v>
      </c>
      <c r="IM94" s="1787" t="s">
        <v>1973</v>
      </c>
      <c r="IN94" s="1793" t="s">
        <v>1973</v>
      </c>
      <c r="IO94" s="1787" t="s">
        <v>1794</v>
      </c>
      <c r="IP94" s="1790" t="s">
        <v>2492</v>
      </c>
      <c r="IQ94" s="1788" t="s">
        <v>2658</v>
      </c>
      <c r="IR94" s="1787" t="s">
        <v>3420</v>
      </c>
      <c r="IS94" s="1787" t="s">
        <v>2707</v>
      </c>
      <c r="IT94" s="1787" t="s">
        <v>2707</v>
      </c>
      <c r="IU94" s="1787" t="s">
        <v>2707</v>
      </c>
      <c r="IV94" s="1788" t="s">
        <v>2707</v>
      </c>
      <c r="IW94" s="1788" t="s">
        <v>2786</v>
      </c>
      <c r="IX94" s="1788" t="s">
        <v>1794</v>
      </c>
      <c r="IY94" s="1789" t="s">
        <v>1973</v>
      </c>
      <c r="IZ94" s="1789" t="s">
        <v>2658</v>
      </c>
      <c r="JA94" s="1789" t="s">
        <v>2658</v>
      </c>
      <c r="JB94" s="1793" t="s">
        <v>2776</v>
      </c>
      <c r="JC94" s="1793" t="s">
        <v>2776</v>
      </c>
      <c r="JD94" s="1741" t="s">
        <v>3420</v>
      </c>
      <c r="JE94" s="1790" t="s">
        <v>3420</v>
      </c>
      <c r="JF94" s="1788"/>
      <c r="JG94" s="1790"/>
      <c r="JH94" s="339" t="s">
        <v>2707</v>
      </c>
      <c r="JI94" s="1791"/>
      <c r="JJ94" s="1787" t="s">
        <v>2707</v>
      </c>
      <c r="JK94" s="1787" t="s">
        <v>4081</v>
      </c>
      <c r="JL94" s="1787" t="s">
        <v>2331</v>
      </c>
      <c r="JM94" s="1787" t="s">
        <v>2331</v>
      </c>
      <c r="JN94" s="1741" t="s">
        <v>1486</v>
      </c>
      <c r="JO94" s="1741" t="s">
        <v>2707</v>
      </c>
      <c r="JP94" s="1741" t="s">
        <v>1044</v>
      </c>
      <c r="JQ94" s="1789" t="s">
        <v>2707</v>
      </c>
      <c r="JR94" s="1789" t="s">
        <v>2707</v>
      </c>
      <c r="JS94" s="1790" t="s">
        <v>2492</v>
      </c>
      <c r="JT94" s="339" t="s">
        <v>2492</v>
      </c>
      <c r="JU94" s="1790" t="s">
        <v>4172</v>
      </c>
      <c r="JV94" s="1790" t="s">
        <v>4172</v>
      </c>
      <c r="JW94" s="1790" t="s">
        <v>4172</v>
      </c>
      <c r="JX94" s="1789" t="s">
        <v>2455</v>
      </c>
      <c r="JY94" s="1789" t="s">
        <v>2658</v>
      </c>
      <c r="JZ94" s="1741" t="s">
        <v>1535</v>
      </c>
      <c r="KA94" s="1787" t="s">
        <v>3420</v>
      </c>
      <c r="KB94" s="1741" t="s">
        <v>2331</v>
      </c>
      <c r="KC94" s="1790" t="s">
        <v>2331</v>
      </c>
      <c r="KD94" s="1741" t="s">
        <v>2331</v>
      </c>
      <c r="KE94" s="1793" t="s">
        <v>2455</v>
      </c>
      <c r="KF94" s="339" t="s">
        <v>2658</v>
      </c>
      <c r="KG94" s="1741" t="s">
        <v>2658</v>
      </c>
      <c r="KH94" s="1792" t="s">
        <v>1794</v>
      </c>
      <c r="KI94" s="1789" t="s">
        <v>1794</v>
      </c>
      <c r="KJ94" s="1789" t="s">
        <v>1794</v>
      </c>
      <c r="KK94" s="339" t="s">
        <v>1794</v>
      </c>
      <c r="KL94" s="1741" t="s">
        <v>1794</v>
      </c>
      <c r="KM94" s="1789" t="s">
        <v>2658</v>
      </c>
      <c r="KN94" s="1793" t="s">
        <v>3545</v>
      </c>
      <c r="KO94" s="1792" t="s">
        <v>3420</v>
      </c>
      <c r="KP94" s="1791" t="s">
        <v>3420</v>
      </c>
      <c r="KQ94" s="1791" t="s">
        <v>2331</v>
      </c>
      <c r="KR94" s="1794" t="s">
        <v>1727</v>
      </c>
      <c r="KS94" s="1793" t="s">
        <v>3976</v>
      </c>
      <c r="KT94" s="1793" t="s">
        <v>3976</v>
      </c>
      <c r="KU94" s="1793" t="s">
        <v>2331</v>
      </c>
      <c r="KV94" s="1789" t="s">
        <v>1794</v>
      </c>
      <c r="KW94" s="1788" t="s">
        <v>1794</v>
      </c>
      <c r="KX94" s="1787" t="s">
        <v>2455</v>
      </c>
      <c r="KY94" s="339" t="s">
        <v>2455</v>
      </c>
      <c r="KZ94" s="339" t="s">
        <v>3545</v>
      </c>
      <c r="LA94" s="339" t="s">
        <v>3545</v>
      </c>
      <c r="LB94" s="1793" t="s">
        <v>1794</v>
      </c>
      <c r="LC94" s="1791" t="s">
        <v>1794</v>
      </c>
      <c r="LD94" s="1787" t="s">
        <v>4081</v>
      </c>
      <c r="LE94" s="1787" t="s">
        <v>2658</v>
      </c>
      <c r="LF94" s="1791" t="s">
        <v>2658</v>
      </c>
      <c r="LG94" s="1788" t="s">
        <v>1921</v>
      </c>
      <c r="LH94" s="1789" t="s">
        <v>1921</v>
      </c>
      <c r="LI94" s="1789" t="s">
        <v>292</v>
      </c>
      <c r="LJ94" s="1789" t="s">
        <v>292</v>
      </c>
      <c r="LK94" s="339" t="s">
        <v>2455</v>
      </c>
      <c r="LL94" s="1788" t="s">
        <v>1011</v>
      </c>
      <c r="LM94" s="1741" t="s">
        <v>3465</v>
      </c>
      <c r="LN94" s="1794" t="s">
        <v>2658</v>
      </c>
      <c r="LO94" s="1791" t="s">
        <v>4172</v>
      </c>
      <c r="LP94" s="1741" t="s">
        <v>1727</v>
      </c>
      <c r="LQ94" s="1741" t="s">
        <v>2455</v>
      </c>
      <c r="LR94" s="1787" t="s">
        <v>2658</v>
      </c>
      <c r="LS94" s="1787" t="s">
        <v>2492</v>
      </c>
      <c r="LT94" s="1787" t="s">
        <v>2658</v>
      </c>
      <c r="LU94" s="1787" t="s">
        <v>2658</v>
      </c>
      <c r="LV94" s="1789" t="s">
        <v>2707</v>
      </c>
      <c r="LW94" s="1789" t="s">
        <v>2707</v>
      </c>
      <c r="LX94" s="1790" t="s">
        <v>2331</v>
      </c>
      <c r="LY94" s="1794" t="s">
        <v>2658</v>
      </c>
      <c r="LZ94" s="339" t="s">
        <v>2707</v>
      </c>
      <c r="MA94" s="1788" t="s">
        <v>2707</v>
      </c>
      <c r="MB94" s="1793" t="s">
        <v>48</v>
      </c>
      <c r="MC94" s="1789" t="s">
        <v>2658</v>
      </c>
      <c r="MD94" s="1788" t="s">
        <v>2658</v>
      </c>
      <c r="ME94" s="1788" t="s">
        <v>1044</v>
      </c>
      <c r="MF94" s="1741" t="s">
        <v>1973</v>
      </c>
      <c r="MG94" s="1794" t="s">
        <v>1973</v>
      </c>
      <c r="MH94" s="1791" t="s">
        <v>2153</v>
      </c>
      <c r="MI94" s="1787" t="s">
        <v>2153</v>
      </c>
      <c r="MJ94" s="1793" t="s">
        <v>1973</v>
      </c>
      <c r="MK94" s="1793" t="s">
        <v>1973</v>
      </c>
      <c r="ML94" s="1741" t="s">
        <v>2707</v>
      </c>
      <c r="MM94" s="1792" t="s">
        <v>2707</v>
      </c>
      <c r="MN94" s="1790" t="s">
        <v>2658</v>
      </c>
      <c r="MO94" s="1787" t="s">
        <v>2331</v>
      </c>
      <c r="MP94" s="1794" t="s">
        <v>1727</v>
      </c>
      <c r="MQ94" s="1794" t="s">
        <v>1727</v>
      </c>
      <c r="MR94" s="1794" t="s">
        <v>4172</v>
      </c>
      <c r="MS94" s="1794" t="s">
        <v>2492</v>
      </c>
      <c r="MT94" s="1787" t="s">
        <v>2658</v>
      </c>
      <c r="MU94" s="1789" t="s">
        <v>1921</v>
      </c>
      <c r="MV94" s="1790" t="s">
        <v>1727</v>
      </c>
      <c r="MW94" s="1789"/>
      <c r="MX94" s="1793" t="s">
        <v>1486</v>
      </c>
      <c r="MY94" s="1793" t="s">
        <v>1011</v>
      </c>
      <c r="MZ94" s="1789" t="s">
        <v>48</v>
      </c>
      <c r="NA94" s="1789" t="s">
        <v>48</v>
      </c>
      <c r="NB94" s="1789" t="s">
        <v>2658</v>
      </c>
      <c r="NC94" s="1789" t="s">
        <v>3465</v>
      </c>
      <c r="ND94" s="1789" t="s">
        <v>2658</v>
      </c>
      <c r="NE94" s="1792" t="s">
        <v>2707</v>
      </c>
      <c r="NF94" s="1793" t="s">
        <v>1973</v>
      </c>
      <c r="NG94" s="1792" t="s">
        <v>2707</v>
      </c>
      <c r="NH94" s="1789" t="s">
        <v>2455</v>
      </c>
      <c r="NI94" s="1790" t="s">
        <v>3465</v>
      </c>
      <c r="NJ94" s="1789" t="s">
        <v>1921</v>
      </c>
      <c r="NK94" s="1789"/>
      <c r="NL94" s="1789" t="s">
        <v>4172</v>
      </c>
      <c r="NM94" s="1789" t="s">
        <v>4172</v>
      </c>
      <c r="NN94" s="1741" t="s">
        <v>2658</v>
      </c>
      <c r="NO94" s="1789" t="s">
        <v>2658</v>
      </c>
      <c r="NP94" s="1793" t="s">
        <v>1973</v>
      </c>
      <c r="NQ94" s="1788" t="s">
        <v>1727</v>
      </c>
      <c r="NR94" s="1789" t="s">
        <v>4172</v>
      </c>
      <c r="NS94" s="1789" t="s">
        <v>2707</v>
      </c>
      <c r="NT94" s="1788" t="s">
        <v>2658</v>
      </c>
      <c r="NU94" s="1787" t="s">
        <v>2658</v>
      </c>
      <c r="NV94" s="339" t="s">
        <v>4172</v>
      </c>
      <c r="NW94" s="1788" t="s">
        <v>1044</v>
      </c>
      <c r="NX94" s="1788" t="s">
        <v>2455</v>
      </c>
      <c r="NY94" s="1788" t="s">
        <v>2658</v>
      </c>
      <c r="NZ94" s="1788" t="s">
        <v>2658</v>
      </c>
      <c r="OA94" s="1787" t="s">
        <v>2455</v>
      </c>
      <c r="OB94" s="1787" t="s">
        <v>2455</v>
      </c>
      <c r="OC94" s="1787" t="s">
        <v>1011</v>
      </c>
      <c r="OD94" s="1741" t="s">
        <v>3420</v>
      </c>
      <c r="OE94" s="1741" t="s">
        <v>3420</v>
      </c>
      <c r="OF94" s="1741" t="s">
        <v>3420</v>
      </c>
      <c r="OG94" s="1789" t="s">
        <v>2455</v>
      </c>
      <c r="OH94" s="1789" t="s">
        <v>2455</v>
      </c>
      <c r="OI94" s="1789" t="s">
        <v>1044</v>
      </c>
      <c r="OJ94" s="1741" t="s">
        <v>2707</v>
      </c>
      <c r="OK94" s="1741" t="s">
        <v>2707</v>
      </c>
      <c r="OL94" s="1741" t="s">
        <v>2707</v>
      </c>
      <c r="OM94" s="1741" t="s">
        <v>2658</v>
      </c>
      <c r="ON94" s="1741" t="s">
        <v>1053</v>
      </c>
      <c r="OO94" s="1788" t="s">
        <v>2455</v>
      </c>
      <c r="OP94" s="1788" t="s">
        <v>2776</v>
      </c>
      <c r="OQ94" s="1789" t="s">
        <v>2707</v>
      </c>
      <c r="OR94" s="1789" t="s">
        <v>2707</v>
      </c>
      <c r="OS94" s="1789" t="s">
        <v>2707</v>
      </c>
      <c r="OT94" s="1787" t="s">
        <v>2776</v>
      </c>
      <c r="OU94" s="1787" t="s">
        <v>4081</v>
      </c>
      <c r="OV94" s="1789" t="s">
        <v>2658</v>
      </c>
      <c r="OW94" s="1789" t="s">
        <v>2658</v>
      </c>
      <c r="OX94" s="1793" t="s">
        <v>2153</v>
      </c>
      <c r="OY94" s="1793" t="s">
        <v>2153</v>
      </c>
      <c r="OZ94" s="1787"/>
      <c r="PA94" s="1787" t="s">
        <v>2776</v>
      </c>
      <c r="PB94" s="339" t="s">
        <v>2153</v>
      </c>
      <c r="PC94" s="1792" t="s">
        <v>2776</v>
      </c>
      <c r="PD94" s="339" t="s">
        <v>2707</v>
      </c>
      <c r="PE94" s="339" t="s">
        <v>2707</v>
      </c>
      <c r="PF94" s="339" t="s">
        <v>2658</v>
      </c>
      <c r="PG94" s="1790" t="s">
        <v>3545</v>
      </c>
      <c r="PH94" s="1741" t="s">
        <v>2658</v>
      </c>
      <c r="PI94" s="1741" t="s">
        <v>2658</v>
      </c>
      <c r="PJ94" s="1792" t="s">
        <v>1486</v>
      </c>
      <c r="PK94" s="1792" t="s">
        <v>1486</v>
      </c>
      <c r="PL94" s="1791" t="s">
        <v>1973</v>
      </c>
      <c r="PM94" s="1791" t="s">
        <v>1973</v>
      </c>
      <c r="PN94" s="1791" t="s">
        <v>1044</v>
      </c>
      <c r="PO94" s="1791" t="s">
        <v>2492</v>
      </c>
      <c r="PP94" s="1791" t="s">
        <v>2492</v>
      </c>
      <c r="PQ94" s="1741" t="s">
        <v>2707</v>
      </c>
      <c r="PR94" s="1741" t="s">
        <v>1794</v>
      </c>
      <c r="PS94" s="1791" t="s">
        <v>4172</v>
      </c>
      <c r="PT94" s="1794" t="s">
        <v>3976</v>
      </c>
      <c r="PU94" s="1793" t="s">
        <v>1053</v>
      </c>
      <c r="PV94" s="1793" t="s">
        <v>1053</v>
      </c>
      <c r="PW94" s="339" t="s">
        <v>1921</v>
      </c>
      <c r="PX94" s="1791" t="s">
        <v>2707</v>
      </c>
      <c r="PY94" s="1791" t="s">
        <v>2707</v>
      </c>
      <c r="PZ94" s="1787" t="s">
        <v>1486</v>
      </c>
      <c r="QA94" s="1787" t="s">
        <v>1973</v>
      </c>
      <c r="QB94" s="1741" t="s">
        <v>2776</v>
      </c>
      <c r="QC94" s="1792" t="s">
        <v>2776</v>
      </c>
      <c r="QD94" s="1792" t="s">
        <v>1053</v>
      </c>
      <c r="QE94" s="1794" t="s">
        <v>2776</v>
      </c>
      <c r="QF94" s="1791" t="s">
        <v>4172</v>
      </c>
      <c r="QG94" s="1789" t="s">
        <v>2153</v>
      </c>
      <c r="QH94" s="1789" t="s">
        <v>2153</v>
      </c>
      <c r="QI94" s="1789" t="s">
        <v>48</v>
      </c>
      <c r="QJ94" s="1794" t="s">
        <v>1794</v>
      </c>
      <c r="QK94" s="1789" t="s">
        <v>2786</v>
      </c>
      <c r="QL94" s="1789" t="s">
        <v>2786</v>
      </c>
      <c r="QM94" s="1741" t="s">
        <v>1745</v>
      </c>
      <c r="QN94" s="1741" t="s">
        <v>2455</v>
      </c>
      <c r="QO94" s="1791" t="s">
        <v>48</v>
      </c>
      <c r="QP94" s="1791" t="s">
        <v>48</v>
      </c>
      <c r="QQ94" s="1789" t="s">
        <v>1044</v>
      </c>
      <c r="QR94" s="1789" t="s">
        <v>1044</v>
      </c>
      <c r="QS94" s="1787" t="s">
        <v>4081</v>
      </c>
      <c r="QT94" s="1789" t="s">
        <v>2492</v>
      </c>
      <c r="QU94" s="1789" t="s">
        <v>2492</v>
      </c>
      <c r="QV94" s="1789" t="s">
        <v>3420</v>
      </c>
      <c r="QW94" s="1790" t="s">
        <v>4081</v>
      </c>
      <c r="QX94" s="1790" t="s">
        <v>4081</v>
      </c>
      <c r="QY94" s="1794" t="s">
        <v>1044</v>
      </c>
      <c r="QZ94" s="1793" t="s">
        <v>3465</v>
      </c>
      <c r="RA94" s="1792" t="s">
        <v>1044</v>
      </c>
      <c r="RB94" s="1793" t="s">
        <v>2331</v>
      </c>
      <c r="RC94" s="1789" t="s">
        <v>1973</v>
      </c>
      <c r="RD94" s="339" t="s">
        <v>3420</v>
      </c>
      <c r="RE94" s="1788" t="s">
        <v>2658</v>
      </c>
      <c r="RF94" s="1790" t="s">
        <v>1921</v>
      </c>
      <c r="RG94" s="1787" t="s">
        <v>2707</v>
      </c>
      <c r="RH94" s="1787" t="s">
        <v>1053</v>
      </c>
      <c r="RI94" s="1789" t="s">
        <v>2658</v>
      </c>
      <c r="RJ94" s="1791" t="s">
        <v>2707</v>
      </c>
      <c r="RK94" s="1741" t="s">
        <v>2658</v>
      </c>
      <c r="RL94" s="1788" t="s">
        <v>1053</v>
      </c>
      <c r="RM94" s="1790" t="s">
        <v>1044</v>
      </c>
      <c r="RN94" s="1793" t="s">
        <v>3545</v>
      </c>
      <c r="RO94" s="1794" t="s">
        <v>2492</v>
      </c>
      <c r="RP94" s="1790" t="s">
        <v>1727</v>
      </c>
      <c r="RQ94" s="1788" t="s">
        <v>2658</v>
      </c>
      <c r="RR94" s="1788" t="s">
        <v>2658</v>
      </c>
      <c r="RS94" s="1788" t="s">
        <v>2658</v>
      </c>
      <c r="RT94" s="1788" t="s">
        <v>2658</v>
      </c>
      <c r="RU94" s="1788" t="s">
        <v>2658</v>
      </c>
      <c r="RV94" s="1788" t="s">
        <v>2658</v>
      </c>
      <c r="RW94" s="339" t="s">
        <v>4172</v>
      </c>
      <c r="RX94" s="1792" t="s">
        <v>4172</v>
      </c>
      <c r="RY94" s="1789" t="s">
        <v>4172</v>
      </c>
      <c r="RZ94" s="1790" t="s">
        <v>2707</v>
      </c>
      <c r="SA94" s="1791" t="s">
        <v>2707</v>
      </c>
      <c r="SB94" s="1741" t="s">
        <v>2153</v>
      </c>
      <c r="SC94" s="1790" t="s">
        <v>1794</v>
      </c>
      <c r="SD94" s="1794" t="s">
        <v>2492</v>
      </c>
      <c r="SE94" s="1794" t="s">
        <v>2492</v>
      </c>
      <c r="SF94" s="339" t="s">
        <v>1921</v>
      </c>
      <c r="SG94" s="1789" t="s">
        <v>3420</v>
      </c>
      <c r="SH94" s="1789" t="s">
        <v>3420</v>
      </c>
      <c r="SI94" s="1794" t="s">
        <v>1727</v>
      </c>
      <c r="SJ94" s="1787" t="s">
        <v>2707</v>
      </c>
      <c r="SK94" s="1787" t="s">
        <v>1053</v>
      </c>
      <c r="SL94" s="1793" t="s">
        <v>2492</v>
      </c>
    </row>
    <row r="95" ht="15.75" customHeight="1">
      <c r="A95" s="1517"/>
      <c r="B95" s="148" t="s">
        <v>2455</v>
      </c>
      <c r="C95" s="148" t="s">
        <v>2455</v>
      </c>
      <c r="D95" s="148" t="s">
        <v>2455</v>
      </c>
      <c r="E95" s="148" t="s">
        <v>2707</v>
      </c>
      <c r="F95" s="148" t="s">
        <v>2707</v>
      </c>
      <c r="G95" s="148" t="s">
        <v>1794</v>
      </c>
      <c r="H95" s="148" t="s">
        <v>2658</v>
      </c>
      <c r="I95" s="148" t="s">
        <v>2658</v>
      </c>
      <c r="J95" s="148" t="s">
        <v>2658</v>
      </c>
      <c r="K95" s="148"/>
      <c r="L95" s="148"/>
      <c r="M95" s="148" t="s">
        <v>2613</v>
      </c>
      <c r="N95" s="148"/>
      <c r="O95" s="148"/>
      <c r="P95" s="148" t="s">
        <v>2658</v>
      </c>
      <c r="Q95" s="148" t="s">
        <v>2776</v>
      </c>
      <c r="R95" s="148" t="s">
        <v>2776</v>
      </c>
      <c r="S95" s="148" t="s">
        <v>2776</v>
      </c>
      <c r="T95" s="148" t="s">
        <v>2658</v>
      </c>
      <c r="U95" s="148" t="s">
        <v>2658</v>
      </c>
      <c r="V95" s="148" t="s">
        <v>2273</v>
      </c>
      <c r="W95" s="148" t="s">
        <v>2273</v>
      </c>
      <c r="X95" s="148" t="s">
        <v>862</v>
      </c>
      <c r="Y95" s="148" t="s">
        <v>862</v>
      </c>
      <c r="Z95" s="148" t="s">
        <v>2658</v>
      </c>
      <c r="AA95" s="148" t="s">
        <v>2658</v>
      </c>
      <c r="AB95" s="148" t="s">
        <v>2153</v>
      </c>
      <c r="AC95" s="148" t="s">
        <v>2153</v>
      </c>
      <c r="AD95" s="148"/>
      <c r="AE95" s="148"/>
      <c r="AF95" s="148" t="s">
        <v>1794</v>
      </c>
      <c r="AG95" s="148"/>
      <c r="AH95" s="148"/>
      <c r="AI95" s="148" t="s">
        <v>1727</v>
      </c>
      <c r="AJ95" s="148" t="s">
        <v>4172</v>
      </c>
      <c r="AK95" s="148" t="s">
        <v>4172</v>
      </c>
      <c r="AL95" s="148" t="s">
        <v>2707</v>
      </c>
      <c r="AM95" s="148" t="s">
        <v>2707</v>
      </c>
      <c r="AN95" s="148" t="s">
        <v>1794</v>
      </c>
      <c r="AO95" s="148" t="s">
        <v>1794</v>
      </c>
      <c r="AP95" s="148" t="s">
        <v>2707</v>
      </c>
      <c r="AQ95" s="148" t="s">
        <v>2707</v>
      </c>
      <c r="AR95" s="148"/>
      <c r="AS95" s="148"/>
      <c r="AT95" s="148"/>
      <c r="AU95" s="148" t="s">
        <v>1535</v>
      </c>
      <c r="AV95" s="148" t="s">
        <v>1535</v>
      </c>
      <c r="AW95" s="148"/>
      <c r="AX95" s="148" t="s">
        <v>2707</v>
      </c>
      <c r="AY95" s="148"/>
      <c r="AZ95" s="148"/>
      <c r="BA95" s="148" t="s">
        <v>3976</v>
      </c>
      <c r="BB95" s="148" t="s">
        <v>3976</v>
      </c>
      <c r="BC95" s="148" t="s">
        <v>2658</v>
      </c>
      <c r="BD95" s="148" t="s">
        <v>1921</v>
      </c>
      <c r="BE95" s="148" t="s">
        <v>3420</v>
      </c>
      <c r="BF95" s="148" t="s">
        <v>3420</v>
      </c>
      <c r="BG95" s="148" t="s">
        <v>2455</v>
      </c>
      <c r="BH95" s="148" t="s">
        <v>1011</v>
      </c>
      <c r="BI95" s="148"/>
      <c r="BJ95" s="148" t="s">
        <v>2658</v>
      </c>
      <c r="BK95" s="148" t="s">
        <v>3420</v>
      </c>
      <c r="BL95" s="148" t="s">
        <v>1794</v>
      </c>
      <c r="BM95" s="148" t="s">
        <v>1794</v>
      </c>
      <c r="BN95" s="148" t="s">
        <v>1794</v>
      </c>
      <c r="BO95" s="148" t="s">
        <v>3420</v>
      </c>
      <c r="BP95" s="148" t="s">
        <v>3420</v>
      </c>
      <c r="BQ95" s="148" t="s">
        <v>3420</v>
      </c>
      <c r="BR95" s="148" t="s">
        <v>3278</v>
      </c>
      <c r="BS95" s="148" t="s">
        <v>3278</v>
      </c>
      <c r="BT95" s="148" t="s">
        <v>3278</v>
      </c>
      <c r="BU95" s="148"/>
      <c r="BV95" s="148"/>
      <c r="BW95" s="148" t="s">
        <v>1973</v>
      </c>
      <c r="BX95" s="148" t="s">
        <v>1973</v>
      </c>
      <c r="BY95" s="148" t="s">
        <v>2658</v>
      </c>
      <c r="BZ95" s="148"/>
      <c r="CA95" s="148"/>
      <c r="CB95" s="148" t="s">
        <v>2658</v>
      </c>
      <c r="CC95" s="148" t="s">
        <v>4172</v>
      </c>
      <c r="CD95" s="148" t="s">
        <v>1486</v>
      </c>
      <c r="CE95" s="148" t="s">
        <v>1486</v>
      </c>
      <c r="CF95" s="148" t="s">
        <v>1053</v>
      </c>
      <c r="CG95" s="148" t="s">
        <v>2776</v>
      </c>
      <c r="CH95" s="148" t="s">
        <v>2776</v>
      </c>
      <c r="CI95" s="148" t="s">
        <v>2613</v>
      </c>
      <c r="CJ95" s="148" t="s">
        <v>2613</v>
      </c>
      <c r="CK95" s="148" t="s">
        <v>862</v>
      </c>
      <c r="CL95" s="148" t="s">
        <v>862</v>
      </c>
      <c r="CM95" s="148" t="s">
        <v>3465</v>
      </c>
      <c r="CN95" s="148" t="s">
        <v>3465</v>
      </c>
      <c r="CO95" s="148" t="s">
        <v>2492</v>
      </c>
      <c r="CP95" s="148" t="s">
        <v>2492</v>
      </c>
      <c r="CQ95" s="148" t="s">
        <v>2492</v>
      </c>
      <c r="CR95" s="148" t="s">
        <v>2455</v>
      </c>
      <c r="CS95" s="148" t="s">
        <v>1921</v>
      </c>
      <c r="CT95" s="148" t="s">
        <v>1921</v>
      </c>
      <c r="CU95" s="148" t="s">
        <v>2658</v>
      </c>
      <c r="CV95" s="148" t="s">
        <v>2658</v>
      </c>
      <c r="CW95" s="148" t="s">
        <v>1486</v>
      </c>
      <c r="CX95" s="148" t="s">
        <v>1486</v>
      </c>
      <c r="CY95" s="148" t="s">
        <v>1486</v>
      </c>
      <c r="CZ95" s="148" t="s">
        <v>1486</v>
      </c>
      <c r="DA95" s="148" t="s">
        <v>1794</v>
      </c>
      <c r="DB95" s="148" t="s">
        <v>1794</v>
      </c>
      <c r="DC95" s="148" t="s">
        <v>2658</v>
      </c>
      <c r="DD95" s="148" t="s">
        <v>3420</v>
      </c>
      <c r="DE95" s="148" t="s">
        <v>1794</v>
      </c>
      <c r="DF95" s="148"/>
      <c r="DG95" s="148"/>
      <c r="DH95" s="148" t="s">
        <v>1973</v>
      </c>
      <c r="DI95" s="148" t="s">
        <v>1794</v>
      </c>
      <c r="DJ95" s="148" t="s">
        <v>1921</v>
      </c>
      <c r="DK95" s="148" t="s">
        <v>1535</v>
      </c>
      <c r="DL95" s="148" t="s">
        <v>1727</v>
      </c>
      <c r="DM95" s="148" t="s">
        <v>292</v>
      </c>
      <c r="DN95" s="148" t="s">
        <v>292</v>
      </c>
      <c r="DO95" s="148" t="s">
        <v>2658</v>
      </c>
      <c r="DP95" s="148" t="s">
        <v>2658</v>
      </c>
      <c r="DQ95" s="148" t="s">
        <v>1486</v>
      </c>
      <c r="DR95" s="148" t="s">
        <v>2707</v>
      </c>
      <c r="DS95" s="148" t="s">
        <v>1921</v>
      </c>
      <c r="DT95" s="148" t="s">
        <v>2707</v>
      </c>
      <c r="DU95" s="148" t="s">
        <v>3420</v>
      </c>
      <c r="DV95" s="148" t="s">
        <v>3545</v>
      </c>
      <c r="DW95" s="148" t="s">
        <v>2273</v>
      </c>
      <c r="DX95" s="148" t="s">
        <v>1745</v>
      </c>
      <c r="DY95" s="148" t="s">
        <v>3976</v>
      </c>
      <c r="DZ95" s="148"/>
      <c r="EA95" s="148" t="s">
        <v>2776</v>
      </c>
      <c r="EB95" s="148" t="s">
        <v>1973</v>
      </c>
      <c r="EC95" s="148"/>
      <c r="ED95" s="148" t="s">
        <v>2455</v>
      </c>
      <c r="EE95" s="148" t="s">
        <v>2658</v>
      </c>
      <c r="EF95" s="148" t="s">
        <v>2707</v>
      </c>
      <c r="EG95" s="148" t="s">
        <v>2273</v>
      </c>
      <c r="EH95" s="148" t="s">
        <v>2658</v>
      </c>
      <c r="EI95" s="148" t="s">
        <v>1973</v>
      </c>
      <c r="EJ95" s="148" t="s">
        <v>1973</v>
      </c>
      <c r="EK95" s="148" t="s">
        <v>2153</v>
      </c>
      <c r="EL95" s="148" t="s">
        <v>2658</v>
      </c>
      <c r="EM95" s="148" t="s">
        <v>1973</v>
      </c>
      <c r="EN95" s="148" t="s">
        <v>1921</v>
      </c>
      <c r="EO95" s="148" t="s">
        <v>2707</v>
      </c>
      <c r="EP95" s="148" t="s">
        <v>1973</v>
      </c>
      <c r="EQ95" s="148" t="s">
        <v>1973</v>
      </c>
      <c r="ER95" s="148" t="s">
        <v>1206</v>
      </c>
      <c r="ES95" s="148" t="s">
        <v>1206</v>
      </c>
      <c r="ET95" s="148" t="s">
        <v>987</v>
      </c>
      <c r="EU95" s="148" t="s">
        <v>1794</v>
      </c>
      <c r="EV95" s="148"/>
      <c r="EW95" s="148" t="s">
        <v>2455</v>
      </c>
      <c r="EX95" s="148" t="s">
        <v>2455</v>
      </c>
      <c r="EY95" s="148" t="s">
        <v>2455</v>
      </c>
      <c r="EZ95" s="148" t="s">
        <v>1486</v>
      </c>
      <c r="FA95" s="148" t="s">
        <v>2455</v>
      </c>
      <c r="FB95" s="148" t="s">
        <v>2707</v>
      </c>
      <c r="FC95" s="148" t="s">
        <v>3976</v>
      </c>
      <c r="FD95" s="148" t="s">
        <v>2658</v>
      </c>
      <c r="FE95" s="148" t="s">
        <v>2658</v>
      </c>
      <c r="FF95" s="148" t="s">
        <v>1727</v>
      </c>
      <c r="FG95" s="148" t="s">
        <v>1727</v>
      </c>
      <c r="FH95" s="148" t="s">
        <v>2776</v>
      </c>
      <c r="FI95" s="148" t="s">
        <v>2776</v>
      </c>
      <c r="FJ95" s="148" t="s">
        <v>1794</v>
      </c>
      <c r="FK95" s="148" t="s">
        <v>1794</v>
      </c>
      <c r="FL95" s="148"/>
      <c r="FM95" s="148"/>
      <c r="FN95" s="148" t="s">
        <v>2707</v>
      </c>
      <c r="FO95" s="148" t="s">
        <v>292</v>
      </c>
      <c r="FP95" s="148" t="s">
        <v>48</v>
      </c>
      <c r="FQ95" s="148" t="s">
        <v>2776</v>
      </c>
      <c r="FR95" s="148" t="s">
        <v>1053</v>
      </c>
      <c r="FS95" s="148" t="s">
        <v>3375</v>
      </c>
      <c r="FT95" s="148" t="s">
        <v>2707</v>
      </c>
      <c r="FU95" s="148" t="s">
        <v>1053</v>
      </c>
      <c r="FV95" s="148" t="s">
        <v>1921</v>
      </c>
      <c r="FW95" s="148" t="s">
        <v>1921</v>
      </c>
      <c r="FX95" s="148"/>
      <c r="FY95" s="148" t="s">
        <v>2707</v>
      </c>
      <c r="FZ95" s="148" t="s">
        <v>2707</v>
      </c>
      <c r="GA95" s="148" t="s">
        <v>1535</v>
      </c>
      <c r="GB95" s="148" t="s">
        <v>3420</v>
      </c>
      <c r="GC95" s="148" t="s">
        <v>3420</v>
      </c>
      <c r="GD95" s="148" t="s">
        <v>3420</v>
      </c>
      <c r="GE95" s="148" t="s">
        <v>292</v>
      </c>
      <c r="GF95" s="148" t="s">
        <v>1535</v>
      </c>
      <c r="GG95" s="148" t="s">
        <v>1535</v>
      </c>
      <c r="GH95" s="148" t="s">
        <v>1535</v>
      </c>
      <c r="GI95" s="148" t="s">
        <v>1794</v>
      </c>
      <c r="GJ95" s="148" t="s">
        <v>650</v>
      </c>
      <c r="GK95" s="148" t="s">
        <v>650</v>
      </c>
      <c r="GL95" s="148" t="s">
        <v>2776</v>
      </c>
      <c r="GM95" s="148" t="s">
        <v>1973</v>
      </c>
      <c r="GN95" s="148" t="s">
        <v>1973</v>
      </c>
      <c r="GO95" s="148" t="s">
        <v>2658</v>
      </c>
      <c r="GP95" s="148" t="s">
        <v>3976</v>
      </c>
      <c r="GQ95" s="148" t="s">
        <v>3976</v>
      </c>
      <c r="GR95" s="148" t="s">
        <v>4172</v>
      </c>
      <c r="GS95" s="148" t="s">
        <v>2658</v>
      </c>
      <c r="GT95" s="148"/>
      <c r="GU95" s="148"/>
      <c r="GV95" s="148" t="s">
        <v>2707</v>
      </c>
      <c r="GW95" s="148"/>
      <c r="GX95" s="148" t="s">
        <v>2613</v>
      </c>
      <c r="GY95" s="148" t="s">
        <v>1973</v>
      </c>
      <c r="GZ95" s="148" t="s">
        <v>48</v>
      </c>
      <c r="HA95" s="148" t="s">
        <v>2153</v>
      </c>
      <c r="HB95" s="148" t="s">
        <v>2658</v>
      </c>
      <c r="HC95" s="148" t="s">
        <v>2658</v>
      </c>
      <c r="HD95" s="148" t="s">
        <v>48</v>
      </c>
      <c r="HE95" s="148" t="s">
        <v>2707</v>
      </c>
      <c r="HF95" s="148" t="s">
        <v>3278</v>
      </c>
      <c r="HG95" s="148" t="s">
        <v>2658</v>
      </c>
      <c r="HH95" s="148" t="s">
        <v>2658</v>
      </c>
      <c r="HI95" s="148" t="s">
        <v>1053</v>
      </c>
      <c r="HJ95" s="148" t="s">
        <v>1053</v>
      </c>
      <c r="HK95" s="148" t="s">
        <v>3465</v>
      </c>
      <c r="HL95" s="148" t="s">
        <v>3465</v>
      </c>
      <c r="HM95" s="148" t="s">
        <v>650</v>
      </c>
      <c r="HN95" s="148" t="s">
        <v>650</v>
      </c>
      <c r="HO95" s="148" t="s">
        <v>2153</v>
      </c>
      <c r="HP95" s="148" t="s">
        <v>292</v>
      </c>
      <c r="HQ95" s="148" t="s">
        <v>292</v>
      </c>
      <c r="HR95" s="148" t="s">
        <v>2455</v>
      </c>
      <c r="HS95" s="148" t="s">
        <v>2658</v>
      </c>
      <c r="HT95" s="148" t="s">
        <v>2658</v>
      </c>
      <c r="HU95" s="148" t="s">
        <v>2776</v>
      </c>
      <c r="HV95" s="148" t="s">
        <v>2776</v>
      </c>
      <c r="HW95" s="148" t="s">
        <v>292</v>
      </c>
      <c r="HX95" s="148" t="s">
        <v>650</v>
      </c>
      <c r="HY95" s="148" t="s">
        <v>2153</v>
      </c>
      <c r="HZ95" s="148" t="s">
        <v>2658</v>
      </c>
      <c r="IA95" s="148" t="s">
        <v>3976</v>
      </c>
      <c r="IB95" s="148"/>
      <c r="IC95" s="148" t="s">
        <v>2776</v>
      </c>
      <c r="ID95" s="148" t="s">
        <v>2707</v>
      </c>
      <c r="IE95" s="148" t="s">
        <v>3420</v>
      </c>
      <c r="IF95" s="148" t="s">
        <v>3545</v>
      </c>
      <c r="IG95" s="148" t="s">
        <v>2776</v>
      </c>
      <c r="IH95" s="148" t="s">
        <v>1921</v>
      </c>
      <c r="II95" s="148" t="s">
        <v>1921</v>
      </c>
      <c r="IJ95" s="148" t="s">
        <v>2455</v>
      </c>
      <c r="IK95" s="148" t="s">
        <v>2455</v>
      </c>
      <c r="IL95" s="148" t="s">
        <v>2707</v>
      </c>
      <c r="IM95" s="148" t="s">
        <v>2153</v>
      </c>
      <c r="IN95" s="148" t="s">
        <v>2153</v>
      </c>
      <c r="IO95" s="148" t="s">
        <v>2658</v>
      </c>
      <c r="IP95" s="148" t="s">
        <v>4172</v>
      </c>
      <c r="IQ95" s="148" t="s">
        <v>2707</v>
      </c>
      <c r="IR95" s="148" t="s">
        <v>1053</v>
      </c>
      <c r="IS95" s="148" t="s">
        <v>4081</v>
      </c>
      <c r="IT95" s="148" t="s">
        <v>4081</v>
      </c>
      <c r="IU95" s="148" t="s">
        <v>4081</v>
      </c>
      <c r="IV95" s="148" t="s">
        <v>292</v>
      </c>
      <c r="IW95" s="148" t="s">
        <v>3420</v>
      </c>
      <c r="IX95" s="148" t="s">
        <v>2786</v>
      </c>
      <c r="IY95" s="148" t="s">
        <v>48</v>
      </c>
      <c r="IZ95" s="148" t="s">
        <v>1973</v>
      </c>
      <c r="JA95" s="148" t="s">
        <v>1973</v>
      </c>
      <c r="JB95" s="148" t="s">
        <v>2455</v>
      </c>
      <c r="JC95" s="148" t="s">
        <v>2455</v>
      </c>
      <c r="JD95" s="148" t="s">
        <v>1053</v>
      </c>
      <c r="JE95" s="148" t="s">
        <v>1053</v>
      </c>
      <c r="JF95" s="148"/>
      <c r="JG95" s="148"/>
      <c r="JH95" s="148" t="s">
        <v>2613</v>
      </c>
      <c r="JI95" s="148"/>
      <c r="JJ95" s="148" t="s">
        <v>2613</v>
      </c>
      <c r="JK95" s="148" t="s">
        <v>2776</v>
      </c>
      <c r="JL95" s="148" t="s">
        <v>1794</v>
      </c>
      <c r="JM95" s="148" t="s">
        <v>1794</v>
      </c>
      <c r="JN95" s="148" t="s">
        <v>1535</v>
      </c>
      <c r="JO95" s="148" t="s">
        <v>4081</v>
      </c>
      <c r="JP95" s="148" t="s">
        <v>2492</v>
      </c>
      <c r="JQ95" s="148" t="s">
        <v>650</v>
      </c>
      <c r="JR95" s="148" t="s">
        <v>650</v>
      </c>
      <c r="JS95" s="148" t="s">
        <v>2658</v>
      </c>
      <c r="JT95" s="148" t="s">
        <v>2658</v>
      </c>
      <c r="JU95" s="148" t="s">
        <v>1794</v>
      </c>
      <c r="JV95" s="148" t="s">
        <v>1794</v>
      </c>
      <c r="JW95" s="148" t="s">
        <v>1794</v>
      </c>
      <c r="JX95" s="148" t="s">
        <v>2613</v>
      </c>
      <c r="JY95" s="148" t="s">
        <v>2707</v>
      </c>
      <c r="JZ95" s="148"/>
      <c r="KA95" s="148" t="s">
        <v>2658</v>
      </c>
      <c r="KB95" s="148" t="s">
        <v>1727</v>
      </c>
      <c r="KC95" s="148" t="s">
        <v>1727</v>
      </c>
      <c r="KD95" s="148" t="s">
        <v>1727</v>
      </c>
      <c r="KE95" s="148"/>
      <c r="KF95" s="148" t="s">
        <v>3976</v>
      </c>
      <c r="KG95" s="148" t="s">
        <v>3976</v>
      </c>
      <c r="KH95" s="148" t="s">
        <v>1921</v>
      </c>
      <c r="KI95" s="148" t="s">
        <v>1921</v>
      </c>
      <c r="KJ95" s="148" t="s">
        <v>1921</v>
      </c>
      <c r="KK95" s="148" t="s">
        <v>2786</v>
      </c>
      <c r="KL95" s="148" t="s">
        <v>2786</v>
      </c>
      <c r="KM95" s="148" t="s">
        <v>2707</v>
      </c>
      <c r="KN95" s="148" t="s">
        <v>2658</v>
      </c>
      <c r="KO95" s="148" t="s">
        <v>1053</v>
      </c>
      <c r="KP95" s="148" t="s">
        <v>1053</v>
      </c>
      <c r="KQ95" s="148" t="s">
        <v>1044</v>
      </c>
      <c r="KR95" s="148" t="s">
        <v>1794</v>
      </c>
      <c r="KS95" s="148" t="s">
        <v>2776</v>
      </c>
      <c r="KT95" s="148" t="s">
        <v>2776</v>
      </c>
      <c r="KU95" s="148" t="s">
        <v>1794</v>
      </c>
      <c r="KV95" s="148" t="s">
        <v>2786</v>
      </c>
      <c r="KW95" s="148" t="s">
        <v>2786</v>
      </c>
      <c r="KX95" s="148" t="s">
        <v>2613</v>
      </c>
      <c r="KY95" s="148" t="s">
        <v>2613</v>
      </c>
      <c r="KZ95" s="148" t="s">
        <v>2658</v>
      </c>
      <c r="LA95" s="148" t="s">
        <v>2658</v>
      </c>
      <c r="LB95" s="148" t="s">
        <v>1921</v>
      </c>
      <c r="LC95" s="148" t="s">
        <v>1921</v>
      </c>
      <c r="LD95" s="148" t="s">
        <v>2455</v>
      </c>
      <c r="LE95" s="148" t="s">
        <v>3278</v>
      </c>
      <c r="LF95" s="148" t="s">
        <v>3278</v>
      </c>
      <c r="LG95" s="148" t="s">
        <v>2658</v>
      </c>
      <c r="LH95" s="148" t="s">
        <v>2658</v>
      </c>
      <c r="LI95" s="148" t="s">
        <v>1486</v>
      </c>
      <c r="LJ95" s="148" t="s">
        <v>1011</v>
      </c>
      <c r="LK95" s="148" t="s">
        <v>1486</v>
      </c>
      <c r="LL95" s="148" t="s">
        <v>2455</v>
      </c>
      <c r="LM95" s="148" t="s">
        <v>2455</v>
      </c>
      <c r="LN95" s="148" t="s">
        <v>2707</v>
      </c>
      <c r="LO95" s="148" t="s">
        <v>1794</v>
      </c>
      <c r="LP95" s="148" t="s">
        <v>1794</v>
      </c>
      <c r="LQ95" s="148"/>
      <c r="LR95" s="148" t="s">
        <v>2707</v>
      </c>
      <c r="LS95" s="148" t="s">
        <v>1794</v>
      </c>
      <c r="LT95" s="148" t="s">
        <v>3976</v>
      </c>
      <c r="LU95" s="148" t="s">
        <v>3976</v>
      </c>
      <c r="LV95" s="148" t="s">
        <v>2776</v>
      </c>
      <c r="LW95" s="148" t="s">
        <v>2776</v>
      </c>
      <c r="LX95" s="148" t="s">
        <v>1044</v>
      </c>
      <c r="LY95" s="148" t="s">
        <v>2707</v>
      </c>
      <c r="LZ95" s="148" t="s">
        <v>1973</v>
      </c>
      <c r="MA95" s="148" t="s">
        <v>1973</v>
      </c>
      <c r="MB95" s="148" t="s">
        <v>292</v>
      </c>
      <c r="MC95" s="148" t="s">
        <v>48</v>
      </c>
      <c r="MD95" s="148" t="s">
        <v>3976</v>
      </c>
      <c r="ME95" s="148" t="s">
        <v>2658</v>
      </c>
      <c r="MF95" s="148" t="s">
        <v>2153</v>
      </c>
      <c r="MG95" s="148" t="s">
        <v>2153</v>
      </c>
      <c r="MH95" s="148" t="s">
        <v>3278</v>
      </c>
      <c r="MI95" s="148" t="s">
        <v>3278</v>
      </c>
      <c r="MJ95" s="148" t="s">
        <v>2153</v>
      </c>
      <c r="MK95" s="148" t="s">
        <v>48</v>
      </c>
      <c r="ML95" s="148"/>
      <c r="MM95" s="148" t="s">
        <v>48</v>
      </c>
      <c r="MN95" s="148" t="s">
        <v>2707</v>
      </c>
      <c r="MO95" s="148" t="s">
        <v>1044</v>
      </c>
      <c r="MP95" s="148" t="s">
        <v>4172</v>
      </c>
      <c r="MQ95" s="148" t="s">
        <v>4172</v>
      </c>
      <c r="MR95" s="148" t="s">
        <v>2658</v>
      </c>
      <c r="MS95" s="148" t="s">
        <v>1727</v>
      </c>
      <c r="MT95" s="148" t="s">
        <v>4081</v>
      </c>
      <c r="MU95" s="148" t="s">
        <v>3420</v>
      </c>
      <c r="MV95" s="148" t="s">
        <v>1921</v>
      </c>
      <c r="MW95" s="148"/>
      <c r="MX95" s="148"/>
      <c r="MY95" s="148" t="s">
        <v>1486</v>
      </c>
      <c r="MZ95" s="148" t="s">
        <v>2455</v>
      </c>
      <c r="NA95" s="148" t="s">
        <v>2455</v>
      </c>
      <c r="NB95" s="148" t="s">
        <v>48</v>
      </c>
      <c r="NC95" s="148"/>
      <c r="ND95" s="148" t="s">
        <v>2707</v>
      </c>
      <c r="NE95" s="148" t="s">
        <v>48</v>
      </c>
      <c r="NF95" s="148" t="s">
        <v>48</v>
      </c>
      <c r="NG95" s="148" t="s">
        <v>292</v>
      </c>
      <c r="NH95" s="148" t="s">
        <v>1206</v>
      </c>
      <c r="NI95" s="148" t="s">
        <v>2455</v>
      </c>
      <c r="NJ95" s="148" t="s">
        <v>2658</v>
      </c>
      <c r="NK95" s="148"/>
      <c r="NL95" s="148" t="s">
        <v>1794</v>
      </c>
      <c r="NM95" s="148" t="s">
        <v>1794</v>
      </c>
      <c r="NN95" s="148" t="s">
        <v>1973</v>
      </c>
      <c r="NO95" s="148" t="s">
        <v>1973</v>
      </c>
      <c r="NP95" s="148" t="s">
        <v>3465</v>
      </c>
      <c r="NQ95" s="148" t="s">
        <v>4172</v>
      </c>
      <c r="NR95" s="148" t="s">
        <v>1921</v>
      </c>
      <c r="NS95" s="148" t="s">
        <v>2776</v>
      </c>
      <c r="NT95" s="148" t="s">
        <v>2707</v>
      </c>
      <c r="NU95" s="148" t="s">
        <v>2707</v>
      </c>
      <c r="NV95" s="148" t="s">
        <v>1794</v>
      </c>
      <c r="NW95" s="148" t="s">
        <v>4172</v>
      </c>
      <c r="NX95" s="148" t="s">
        <v>2613</v>
      </c>
      <c r="NY95" s="148" t="s">
        <v>3465</v>
      </c>
      <c r="NZ95" s="148" t="s">
        <v>2707</v>
      </c>
      <c r="OA95" s="148" t="s">
        <v>1535</v>
      </c>
      <c r="OB95" s="148" t="s">
        <v>1535</v>
      </c>
      <c r="OC95" s="148" t="s">
        <v>2455</v>
      </c>
      <c r="OD95" s="148" t="s">
        <v>2658</v>
      </c>
      <c r="OE95" s="148" t="s">
        <v>2658</v>
      </c>
      <c r="OF95" s="148" t="s">
        <v>2658</v>
      </c>
      <c r="OG95" s="148" t="s">
        <v>2613</v>
      </c>
      <c r="OH95" s="148" t="s">
        <v>2613</v>
      </c>
      <c r="OI95" s="148" t="s">
        <v>2658</v>
      </c>
      <c r="OJ95" s="148" t="s">
        <v>650</v>
      </c>
      <c r="OK95" s="148" t="s">
        <v>650</v>
      </c>
      <c r="OL95" s="148" t="s">
        <v>650</v>
      </c>
      <c r="OM95" s="148" t="s">
        <v>2707</v>
      </c>
      <c r="ON95" s="148" t="s">
        <v>2658</v>
      </c>
      <c r="OO95" s="148"/>
      <c r="OP95" s="148" t="s">
        <v>650</v>
      </c>
      <c r="OQ95" s="148" t="s">
        <v>2455</v>
      </c>
      <c r="OR95" s="148" t="s">
        <v>2455</v>
      </c>
      <c r="OS95" s="148" t="s">
        <v>2455</v>
      </c>
      <c r="OT95" s="148" t="s">
        <v>2455</v>
      </c>
      <c r="OU95" s="148" t="s">
        <v>2455</v>
      </c>
      <c r="OV95" s="148" t="s">
        <v>3976</v>
      </c>
      <c r="OW95" s="148" t="s">
        <v>3976</v>
      </c>
      <c r="OX95" s="148" t="s">
        <v>3465</v>
      </c>
      <c r="OY95" s="148" t="s">
        <v>3465</v>
      </c>
      <c r="OZ95" s="148"/>
      <c r="PA95" s="148" t="s">
        <v>650</v>
      </c>
      <c r="PB95" s="148" t="s">
        <v>650</v>
      </c>
      <c r="PC95" s="148" t="s">
        <v>650</v>
      </c>
      <c r="PD95" s="148" t="s">
        <v>2455</v>
      </c>
      <c r="PE95" s="148" t="s">
        <v>650</v>
      </c>
      <c r="PF95" s="148" t="s">
        <v>2707</v>
      </c>
      <c r="PG95" s="148" t="s">
        <v>2658</v>
      </c>
      <c r="PH95" s="148" t="s">
        <v>2707</v>
      </c>
      <c r="PI95" s="148" t="s">
        <v>2707</v>
      </c>
      <c r="PJ95" s="148" t="s">
        <v>1535</v>
      </c>
      <c r="PK95" s="148" t="s">
        <v>1535</v>
      </c>
      <c r="PL95" s="148" t="s">
        <v>2153</v>
      </c>
      <c r="PM95" s="148" t="s">
        <v>2153</v>
      </c>
      <c r="PN95" s="148" t="s">
        <v>1794</v>
      </c>
      <c r="PO95" s="148" t="s">
        <v>1727</v>
      </c>
      <c r="PP95" s="148" t="s">
        <v>1727</v>
      </c>
      <c r="PQ95" s="148" t="s">
        <v>2776</v>
      </c>
      <c r="PR95" s="148" t="s">
        <v>3420</v>
      </c>
      <c r="PS95" s="148" t="s">
        <v>2658</v>
      </c>
      <c r="PT95" s="148" t="s">
        <v>2707</v>
      </c>
      <c r="PU95" s="148" t="s">
        <v>2658</v>
      </c>
      <c r="PV95" s="148" t="s">
        <v>2658</v>
      </c>
      <c r="PW95" s="148" t="s">
        <v>3420</v>
      </c>
      <c r="PX95" s="148" t="s">
        <v>2455</v>
      </c>
      <c r="PY95" s="148" t="s">
        <v>2455</v>
      </c>
      <c r="PZ95" s="148" t="s">
        <v>2613</v>
      </c>
      <c r="QA95" s="148" t="s">
        <v>1011</v>
      </c>
      <c r="QB95" s="148" t="s">
        <v>2153</v>
      </c>
      <c r="QC95" s="148" t="s">
        <v>2455</v>
      </c>
      <c r="QD95" s="148" t="s">
        <v>2658</v>
      </c>
      <c r="QE95" s="148" t="s">
        <v>2273</v>
      </c>
      <c r="QF95" s="148" t="s">
        <v>2658</v>
      </c>
      <c r="QG95" s="148" t="s">
        <v>1011</v>
      </c>
      <c r="QH95" s="148" t="s">
        <v>1011</v>
      </c>
      <c r="QI95" s="148" t="s">
        <v>2153</v>
      </c>
      <c r="QJ95" s="148" t="s">
        <v>1921</v>
      </c>
      <c r="QK95" s="148" t="s">
        <v>1921</v>
      </c>
      <c r="QL95" s="148" t="s">
        <v>1921</v>
      </c>
      <c r="QM95" s="148"/>
      <c r="QN95" s="148" t="s">
        <v>1745</v>
      </c>
      <c r="QO95" s="148" t="s">
        <v>2455</v>
      </c>
      <c r="QP95" s="148" t="s">
        <v>2455</v>
      </c>
      <c r="QQ95" s="148" t="s">
        <v>1727</v>
      </c>
      <c r="QR95" s="148" t="s">
        <v>1727</v>
      </c>
      <c r="QS95" s="148" t="s">
        <v>3278</v>
      </c>
      <c r="QT95" s="148" t="s">
        <v>2658</v>
      </c>
      <c r="QU95" s="148" t="s">
        <v>2658</v>
      </c>
      <c r="QV95" s="148" t="s">
        <v>2658</v>
      </c>
      <c r="QW95" s="148" t="s">
        <v>2455</v>
      </c>
      <c r="QX95" s="148" t="s">
        <v>2455</v>
      </c>
      <c r="QY95" s="148" t="s">
        <v>2658</v>
      </c>
      <c r="QZ95" s="148" t="s">
        <v>1011</v>
      </c>
      <c r="RA95" s="148" t="s">
        <v>1794</v>
      </c>
      <c r="RB95" s="148" t="s">
        <v>1794</v>
      </c>
      <c r="RC95" s="148" t="s">
        <v>2455</v>
      </c>
      <c r="RD95" s="148" t="s">
        <v>3545</v>
      </c>
      <c r="RE95" s="148" t="s">
        <v>2273</v>
      </c>
      <c r="RF95" s="148" t="s">
        <v>1053</v>
      </c>
      <c r="RG95" s="148" t="s">
        <v>2776</v>
      </c>
      <c r="RH95" s="148" t="s">
        <v>2658</v>
      </c>
      <c r="RI95" s="148" t="s">
        <v>2707</v>
      </c>
      <c r="RJ95" s="148" t="s">
        <v>48</v>
      </c>
      <c r="RK95" s="148" t="s">
        <v>1973</v>
      </c>
      <c r="RL95" s="148" t="s">
        <v>2658</v>
      </c>
      <c r="RM95" s="148" t="s">
        <v>4172</v>
      </c>
      <c r="RN95" s="148" t="s">
        <v>2658</v>
      </c>
      <c r="RO95" s="148" t="s">
        <v>1727</v>
      </c>
      <c r="RP95" s="148" t="s">
        <v>4172</v>
      </c>
      <c r="RQ95" s="148" t="s">
        <v>3976</v>
      </c>
      <c r="RR95" s="148" t="s">
        <v>3976</v>
      </c>
      <c r="RS95" s="148" t="s">
        <v>3976</v>
      </c>
      <c r="RT95" s="148" t="s">
        <v>3976</v>
      </c>
      <c r="RU95" s="148" t="s">
        <v>3976</v>
      </c>
      <c r="RV95" s="148" t="s">
        <v>3976</v>
      </c>
      <c r="RW95" s="148" t="s">
        <v>1794</v>
      </c>
      <c r="RX95" s="148" t="s">
        <v>1794</v>
      </c>
      <c r="RY95" s="148" t="s">
        <v>1794</v>
      </c>
      <c r="RZ95" s="148" t="s">
        <v>1973</v>
      </c>
      <c r="SA95" s="148" t="s">
        <v>1973</v>
      </c>
      <c r="SB95" s="148" t="s">
        <v>2273</v>
      </c>
      <c r="SC95" s="148" t="s">
        <v>1921</v>
      </c>
      <c r="SD95" s="148" t="s">
        <v>2658</v>
      </c>
      <c r="SE95" s="148" t="s">
        <v>2658</v>
      </c>
      <c r="SF95" s="148" t="s">
        <v>3420</v>
      </c>
      <c r="SG95" s="148" t="s">
        <v>1053</v>
      </c>
      <c r="SH95" s="148" t="s">
        <v>1053</v>
      </c>
      <c r="SI95" s="148" t="s">
        <v>4172</v>
      </c>
      <c r="SJ95" s="148" t="s">
        <v>4081</v>
      </c>
      <c r="SK95" s="148" t="s">
        <v>2658</v>
      </c>
      <c r="SL95" s="148" t="s">
        <v>4172</v>
      </c>
    </row>
    <row r="96" ht="15.75" customHeight="1">
      <c r="A96" s="1517"/>
      <c r="B96" s="1786" t="s">
        <v>1535</v>
      </c>
      <c r="C96" s="1787" t="s">
        <v>1535</v>
      </c>
      <c r="D96" s="1787" t="s">
        <v>1206</v>
      </c>
      <c r="E96" s="1788" t="s">
        <v>2273</v>
      </c>
      <c r="F96" s="1788" t="s">
        <v>2273</v>
      </c>
      <c r="G96" s="1788" t="s">
        <v>2658</v>
      </c>
      <c r="H96" s="1789" t="s">
        <v>48</v>
      </c>
      <c r="I96" s="1789" t="s">
        <v>48</v>
      </c>
      <c r="J96" s="1789" t="s">
        <v>48</v>
      </c>
      <c r="K96" s="1787"/>
      <c r="L96" s="1787"/>
      <c r="M96" s="1790" t="s">
        <v>9804</v>
      </c>
      <c r="N96" s="1741"/>
      <c r="O96" s="339"/>
      <c r="P96" s="339" t="s">
        <v>2707</v>
      </c>
      <c r="Q96" s="1741" t="s">
        <v>2273</v>
      </c>
      <c r="R96" s="1741" t="s">
        <v>2273</v>
      </c>
      <c r="S96" s="1741" t="s">
        <v>2273</v>
      </c>
      <c r="T96" s="1791" t="s">
        <v>2707</v>
      </c>
      <c r="U96" s="1741" t="s">
        <v>2707</v>
      </c>
      <c r="V96" s="1741" t="s">
        <v>2455</v>
      </c>
      <c r="W96" s="1741" t="s">
        <v>2455</v>
      </c>
      <c r="X96" s="1791" t="s">
        <v>1535</v>
      </c>
      <c r="Y96" s="1791" t="s">
        <v>1535</v>
      </c>
      <c r="Z96" s="339" t="s">
        <v>2707</v>
      </c>
      <c r="AA96" s="339" t="s">
        <v>2707</v>
      </c>
      <c r="AB96" s="339" t="s">
        <v>2455</v>
      </c>
      <c r="AC96" s="339" t="s">
        <v>2455</v>
      </c>
      <c r="AD96" s="1789"/>
      <c r="AE96" s="1789"/>
      <c r="AF96" s="1789" t="s">
        <v>3420</v>
      </c>
      <c r="AG96" s="1791"/>
      <c r="AH96" s="1791"/>
      <c r="AI96" s="1791" t="s">
        <v>1794</v>
      </c>
      <c r="AJ96" s="1792" t="s">
        <v>1794</v>
      </c>
      <c r="AK96" s="1792" t="s">
        <v>1794</v>
      </c>
      <c r="AL96" s="1741" t="s">
        <v>2273</v>
      </c>
      <c r="AM96" s="339" t="s">
        <v>2273</v>
      </c>
      <c r="AN96" s="1792" t="s">
        <v>3420</v>
      </c>
      <c r="AO96" s="1792" t="s">
        <v>3420</v>
      </c>
      <c r="AP96" s="1791" t="s">
        <v>2776</v>
      </c>
      <c r="AQ96" s="1791" t="s">
        <v>2776</v>
      </c>
      <c r="AR96" s="1789"/>
      <c r="AS96" s="1789"/>
      <c r="AT96" s="1788"/>
      <c r="AU96" s="1788"/>
      <c r="AV96" s="1788"/>
      <c r="AW96" s="1791"/>
      <c r="AX96" s="1791" t="s">
        <v>2613</v>
      </c>
      <c r="AY96" s="1741"/>
      <c r="AZ96" s="1741"/>
      <c r="BA96" s="339" t="s">
        <v>2707</v>
      </c>
      <c r="BB96" s="339" t="s">
        <v>2707</v>
      </c>
      <c r="BC96" s="339" t="s">
        <v>2707</v>
      </c>
      <c r="BD96" s="1789" t="s">
        <v>2658</v>
      </c>
      <c r="BE96" s="1741" t="s">
        <v>3976</v>
      </c>
      <c r="BF96" s="1741" t="s">
        <v>3976</v>
      </c>
      <c r="BG96" s="1741"/>
      <c r="BH96" s="1741" t="s">
        <v>2455</v>
      </c>
      <c r="BI96" s="1789"/>
      <c r="BJ96" s="1789" t="s">
        <v>2455</v>
      </c>
      <c r="BK96" s="1789" t="s">
        <v>2658</v>
      </c>
      <c r="BL96" s="1741" t="s">
        <v>1921</v>
      </c>
      <c r="BM96" s="1741" t="s">
        <v>1921</v>
      </c>
      <c r="BN96" s="1741" t="s">
        <v>1921</v>
      </c>
      <c r="BO96" s="1793" t="s">
        <v>2658</v>
      </c>
      <c r="BP96" s="1793" t="s">
        <v>2658</v>
      </c>
      <c r="BQ96" s="1793" t="s">
        <v>2658</v>
      </c>
      <c r="BR96" s="1787" t="s">
        <v>1535</v>
      </c>
      <c r="BS96" s="1787" t="s">
        <v>1535</v>
      </c>
      <c r="BT96" s="1787" t="s">
        <v>1535</v>
      </c>
      <c r="BU96" s="1789"/>
      <c r="BV96" s="1789"/>
      <c r="BW96" s="1741" t="s">
        <v>2153</v>
      </c>
      <c r="BX96" s="1741" t="s">
        <v>2153</v>
      </c>
      <c r="BY96" s="1741" t="s">
        <v>1973</v>
      </c>
      <c r="BZ96" s="339"/>
      <c r="CA96" s="339"/>
      <c r="CB96" s="1792" t="s">
        <v>2707</v>
      </c>
      <c r="CC96" s="1792" t="s">
        <v>1921</v>
      </c>
      <c r="CD96" s="1793" t="s">
        <v>2613</v>
      </c>
      <c r="CE96" s="1793" t="s">
        <v>2613</v>
      </c>
      <c r="CF96" s="1741" t="s">
        <v>2658</v>
      </c>
      <c r="CG96" s="1741" t="s">
        <v>650</v>
      </c>
      <c r="CH96" s="1741" t="s">
        <v>650</v>
      </c>
      <c r="CI96" s="1790"/>
      <c r="CJ96" s="1790"/>
      <c r="CK96" s="1791" t="s">
        <v>2455</v>
      </c>
      <c r="CL96" s="1791" t="s">
        <v>2455</v>
      </c>
      <c r="CM96" s="1791"/>
      <c r="CN96" s="1791" t="s">
        <v>2613</v>
      </c>
      <c r="CO96" s="1791" t="s">
        <v>1727</v>
      </c>
      <c r="CP96" s="1791" t="s">
        <v>1727</v>
      </c>
      <c r="CQ96" s="1791" t="s">
        <v>1727</v>
      </c>
      <c r="CR96" s="1793" t="s">
        <v>1486</v>
      </c>
      <c r="CS96" s="339" t="s">
        <v>2613</v>
      </c>
      <c r="CT96" s="339" t="s">
        <v>2613</v>
      </c>
      <c r="CU96" s="1788" t="s">
        <v>1973</v>
      </c>
      <c r="CV96" s="1788" t="s">
        <v>1973</v>
      </c>
      <c r="CW96" s="1788" t="s">
        <v>2613</v>
      </c>
      <c r="CX96" s="1788" t="s">
        <v>2613</v>
      </c>
      <c r="CY96" s="1792" t="s">
        <v>1535</v>
      </c>
      <c r="CZ96" s="339" t="s">
        <v>1535</v>
      </c>
      <c r="DA96" s="1741" t="s">
        <v>2658</v>
      </c>
      <c r="DB96" s="1741" t="s">
        <v>2658</v>
      </c>
      <c r="DC96" s="1741" t="s">
        <v>2707</v>
      </c>
      <c r="DD96" s="1741" t="s">
        <v>2658</v>
      </c>
      <c r="DE96" s="1792" t="s">
        <v>1921</v>
      </c>
      <c r="DF96" s="1791"/>
      <c r="DG96" s="1791"/>
      <c r="DH96" s="1793" t="s">
        <v>48</v>
      </c>
      <c r="DI96" s="1793" t="s">
        <v>2658</v>
      </c>
      <c r="DJ96" s="1792" t="s">
        <v>3420</v>
      </c>
      <c r="DK96" s="1789"/>
      <c r="DL96" s="1741" t="s">
        <v>1794</v>
      </c>
      <c r="DM96" s="1789" t="s">
        <v>1206</v>
      </c>
      <c r="DN96" s="1789" t="s">
        <v>1206</v>
      </c>
      <c r="DO96" s="1788" t="s">
        <v>2707</v>
      </c>
      <c r="DP96" s="1788" t="s">
        <v>2707</v>
      </c>
      <c r="DQ96" s="1741" t="s">
        <v>2613</v>
      </c>
      <c r="DR96" s="1791" t="s">
        <v>1486</v>
      </c>
      <c r="DS96" s="1792" t="s">
        <v>3420</v>
      </c>
      <c r="DT96" s="1787"/>
      <c r="DU96" s="1788" t="s">
        <v>2658</v>
      </c>
      <c r="DV96" s="339" t="s">
        <v>2658</v>
      </c>
      <c r="DW96" s="1788" t="s">
        <v>2455</v>
      </c>
      <c r="DX96" s="1741"/>
      <c r="DY96" s="1741" t="s">
        <v>2776</v>
      </c>
      <c r="DZ96" s="1788"/>
      <c r="EA96" s="1789" t="s">
        <v>48</v>
      </c>
      <c r="EB96" s="1789" t="s">
        <v>48</v>
      </c>
      <c r="EC96" s="1791"/>
      <c r="ED96" s="1741"/>
      <c r="EE96" s="1789" t="s">
        <v>2707</v>
      </c>
      <c r="EF96" s="339" t="s">
        <v>2455</v>
      </c>
      <c r="EG96" s="1788" t="s">
        <v>2455</v>
      </c>
      <c r="EH96" s="1792" t="s">
        <v>2707</v>
      </c>
      <c r="EI96" s="1789" t="s">
        <v>2153</v>
      </c>
      <c r="EJ96" s="1789" t="s">
        <v>2153</v>
      </c>
      <c r="EK96" s="1741" t="s">
        <v>3465</v>
      </c>
      <c r="EL96" s="1741" t="s">
        <v>1973</v>
      </c>
      <c r="EM96" s="1791" t="s">
        <v>48</v>
      </c>
      <c r="EN96" s="1794" t="s">
        <v>1053</v>
      </c>
      <c r="EO96" s="1789" t="s">
        <v>1973</v>
      </c>
      <c r="EP96" s="339" t="s">
        <v>2273</v>
      </c>
      <c r="EQ96" s="339" t="s">
        <v>2273</v>
      </c>
      <c r="ER96" s="1795" t="s">
        <v>9804</v>
      </c>
      <c r="ES96" s="1795" t="s">
        <v>9804</v>
      </c>
      <c r="ET96" s="1741" t="s">
        <v>2331</v>
      </c>
      <c r="EU96" s="1791" t="s">
        <v>1921</v>
      </c>
      <c r="EV96" s="1792"/>
      <c r="EW96" s="1787" t="s">
        <v>1535</v>
      </c>
      <c r="EX96" s="1787" t="s">
        <v>1535</v>
      </c>
      <c r="EY96" s="1787" t="s">
        <v>1206</v>
      </c>
      <c r="EZ96" s="339"/>
      <c r="FA96" s="339" t="s">
        <v>1486</v>
      </c>
      <c r="FB96" s="339" t="s">
        <v>2273</v>
      </c>
      <c r="FC96" s="1789" t="s">
        <v>2776</v>
      </c>
      <c r="FD96" s="1789" t="s">
        <v>3976</v>
      </c>
      <c r="FE96" s="1789" t="s">
        <v>3976</v>
      </c>
      <c r="FF96" s="1741" t="s">
        <v>1794</v>
      </c>
      <c r="FG96" s="1741" t="s">
        <v>1794</v>
      </c>
      <c r="FH96" s="1741" t="s">
        <v>2273</v>
      </c>
      <c r="FI96" s="1741" t="s">
        <v>2273</v>
      </c>
      <c r="FJ96" s="1788" t="s">
        <v>2658</v>
      </c>
      <c r="FK96" s="1788" t="s">
        <v>2658</v>
      </c>
      <c r="FL96" s="1787"/>
      <c r="FM96" s="1788"/>
      <c r="FN96" s="1791" t="s">
        <v>2776</v>
      </c>
      <c r="FO96" s="1789" t="s">
        <v>2613</v>
      </c>
      <c r="FP96" s="1789" t="s">
        <v>292</v>
      </c>
      <c r="FQ96" s="339" t="s">
        <v>2455</v>
      </c>
      <c r="FR96" s="1792" t="s">
        <v>2658</v>
      </c>
      <c r="FS96" s="1792" t="s">
        <v>900</v>
      </c>
      <c r="FT96" s="1790" t="s">
        <v>2776</v>
      </c>
      <c r="FU96" s="1790" t="s">
        <v>2658</v>
      </c>
      <c r="FV96" s="1787" t="s">
        <v>2658</v>
      </c>
      <c r="FW96" s="1787" t="s">
        <v>2658</v>
      </c>
      <c r="FX96" s="1790"/>
      <c r="FY96" s="1792" t="s">
        <v>2613</v>
      </c>
      <c r="FZ96" s="339" t="s">
        <v>1206</v>
      </c>
      <c r="GA96" s="1787"/>
      <c r="GB96" s="1789" t="s">
        <v>2658</v>
      </c>
      <c r="GC96" s="1789" t="s">
        <v>2658</v>
      </c>
      <c r="GD96" s="1741" t="s">
        <v>2658</v>
      </c>
      <c r="GE96" s="1787" t="s">
        <v>2455</v>
      </c>
      <c r="GF96" s="1792"/>
      <c r="GG96" s="1787"/>
      <c r="GH96" s="1789"/>
      <c r="GI96" s="1791" t="s">
        <v>1053</v>
      </c>
      <c r="GJ96" s="339" t="s">
        <v>1535</v>
      </c>
      <c r="GK96" s="339" t="s">
        <v>1535</v>
      </c>
      <c r="GL96" s="1788" t="s">
        <v>1973</v>
      </c>
      <c r="GM96" s="1789" t="s">
        <v>48</v>
      </c>
      <c r="GN96" s="1789" t="s">
        <v>48</v>
      </c>
      <c r="GO96" s="1791" t="s">
        <v>2707</v>
      </c>
      <c r="GP96" s="1794" t="s">
        <v>2707</v>
      </c>
      <c r="GQ96" s="1794" t="s">
        <v>2707</v>
      </c>
      <c r="GR96" s="1792" t="s">
        <v>1921</v>
      </c>
      <c r="GS96" s="1793" t="s">
        <v>3976</v>
      </c>
      <c r="GT96" s="1794"/>
      <c r="GU96" s="1789"/>
      <c r="GV96" s="339" t="s">
        <v>2776</v>
      </c>
      <c r="GW96" s="1793"/>
      <c r="GX96" s="1791"/>
      <c r="GY96" s="339" t="s">
        <v>48</v>
      </c>
      <c r="GZ96" s="1791" t="s">
        <v>2153</v>
      </c>
      <c r="HA96" s="1793" t="s">
        <v>1011</v>
      </c>
      <c r="HB96" s="1792" t="s">
        <v>2455</v>
      </c>
      <c r="HC96" s="1791" t="s">
        <v>2455</v>
      </c>
      <c r="HD96" s="1793" t="s">
        <v>292</v>
      </c>
      <c r="HE96" s="1788" t="s">
        <v>3465</v>
      </c>
      <c r="HF96" s="339" t="s">
        <v>2455</v>
      </c>
      <c r="HG96" s="1789" t="s">
        <v>3465</v>
      </c>
      <c r="HH96" s="1794" t="s">
        <v>3976</v>
      </c>
      <c r="HI96" s="1741" t="s">
        <v>2658</v>
      </c>
      <c r="HJ96" s="1741" t="s">
        <v>2658</v>
      </c>
      <c r="HK96" s="1788" t="s">
        <v>2455</v>
      </c>
      <c r="HL96" s="1788" t="s">
        <v>2455</v>
      </c>
      <c r="HM96" s="1741" t="s">
        <v>2455</v>
      </c>
      <c r="HN96" s="1741" t="s">
        <v>2455</v>
      </c>
      <c r="HO96" s="1792" t="s">
        <v>650</v>
      </c>
      <c r="HP96" s="1793" t="s">
        <v>862</v>
      </c>
      <c r="HQ96" s="1788" t="s">
        <v>862</v>
      </c>
      <c r="HR96" s="1788" t="s">
        <v>1486</v>
      </c>
      <c r="HS96" s="1791" t="s">
        <v>2707</v>
      </c>
      <c r="HT96" s="1793" t="s">
        <v>2707</v>
      </c>
      <c r="HU96" s="1794" t="s">
        <v>2273</v>
      </c>
      <c r="HV96" s="1794" t="s">
        <v>2273</v>
      </c>
      <c r="HW96" s="1789" t="s">
        <v>1011</v>
      </c>
      <c r="HX96" s="1789" t="s">
        <v>862</v>
      </c>
      <c r="HY96" s="1793" t="s">
        <v>650</v>
      </c>
      <c r="HZ96" s="1788" t="s">
        <v>2707</v>
      </c>
      <c r="IA96" s="1741" t="s">
        <v>2707</v>
      </c>
      <c r="IB96" s="1790"/>
      <c r="IC96" s="1791" t="s">
        <v>2455</v>
      </c>
      <c r="ID96" s="1741" t="s">
        <v>650</v>
      </c>
      <c r="IE96" s="1792" t="s">
        <v>2658</v>
      </c>
      <c r="IF96" s="339" t="s">
        <v>2658</v>
      </c>
      <c r="IG96" s="1788" t="s">
        <v>2273</v>
      </c>
      <c r="IH96" s="1792" t="s">
        <v>3420</v>
      </c>
      <c r="II96" s="1792" t="s">
        <v>3420</v>
      </c>
      <c r="IJ96" s="339" t="s">
        <v>2613</v>
      </c>
      <c r="IK96" s="1741"/>
      <c r="IL96" s="1789" t="s">
        <v>1011</v>
      </c>
      <c r="IM96" s="1787" t="s">
        <v>1011</v>
      </c>
      <c r="IN96" s="1793" t="s">
        <v>3465</v>
      </c>
      <c r="IO96" s="1787" t="s">
        <v>3976</v>
      </c>
      <c r="IP96" s="1790" t="s">
        <v>1921</v>
      </c>
      <c r="IQ96" s="1788" t="s">
        <v>1973</v>
      </c>
      <c r="IR96" s="1787" t="s">
        <v>2658</v>
      </c>
      <c r="IS96" s="1787" t="s">
        <v>650</v>
      </c>
      <c r="IT96" s="1787" t="s">
        <v>650</v>
      </c>
      <c r="IU96" s="1787" t="s">
        <v>650</v>
      </c>
      <c r="IV96" s="1788" t="s">
        <v>2273</v>
      </c>
      <c r="IW96" s="1788" t="s">
        <v>1053</v>
      </c>
      <c r="IX96" s="1788" t="s">
        <v>3420</v>
      </c>
      <c r="IY96" s="1789" t="s">
        <v>650</v>
      </c>
      <c r="IZ96" s="1789" t="s">
        <v>48</v>
      </c>
      <c r="JA96" s="1789" t="s">
        <v>48</v>
      </c>
      <c r="JB96" s="1793"/>
      <c r="JC96" s="1793"/>
      <c r="JD96" s="1741" t="s">
        <v>2658</v>
      </c>
      <c r="JE96" s="1790" t="s">
        <v>2658</v>
      </c>
      <c r="JF96" s="1788"/>
      <c r="JG96" s="1790"/>
      <c r="JH96" s="339" t="s">
        <v>9804</v>
      </c>
      <c r="JI96" s="1791"/>
      <c r="JJ96" s="1787" t="s">
        <v>9804</v>
      </c>
      <c r="JK96" s="1787" t="s">
        <v>1535</v>
      </c>
      <c r="JL96" s="1787" t="s">
        <v>1921</v>
      </c>
      <c r="JM96" s="1787" t="s">
        <v>1921</v>
      </c>
      <c r="JN96" s="1741"/>
      <c r="JO96" s="1741" t="s">
        <v>2455</v>
      </c>
      <c r="JP96" s="1741" t="s">
        <v>1727</v>
      </c>
      <c r="JQ96" s="1789" t="s">
        <v>2273</v>
      </c>
      <c r="JR96" s="1789" t="s">
        <v>2273</v>
      </c>
      <c r="JS96" s="1790" t="s">
        <v>2707</v>
      </c>
      <c r="JT96" s="339" t="s">
        <v>2707</v>
      </c>
      <c r="JU96" s="1790" t="s">
        <v>1921</v>
      </c>
      <c r="JV96" s="1790" t="s">
        <v>1921</v>
      </c>
      <c r="JW96" s="1790" t="s">
        <v>1921</v>
      </c>
      <c r="JX96" s="1789"/>
      <c r="JY96" s="1789" t="s">
        <v>2455</v>
      </c>
      <c r="JZ96" s="1741"/>
      <c r="KA96" s="1787" t="s">
        <v>4081</v>
      </c>
      <c r="KB96" s="1741" t="s">
        <v>1794</v>
      </c>
      <c r="KC96" s="1790" t="s">
        <v>1794</v>
      </c>
      <c r="KD96" s="1741" t="s">
        <v>1794</v>
      </c>
      <c r="KE96" s="1793"/>
      <c r="KF96" s="339" t="s">
        <v>2707</v>
      </c>
      <c r="KG96" s="1741" t="s">
        <v>2455</v>
      </c>
      <c r="KH96" s="1792" t="s">
        <v>2658</v>
      </c>
      <c r="KI96" s="1789" t="s">
        <v>2658</v>
      </c>
      <c r="KJ96" s="1789" t="s">
        <v>2658</v>
      </c>
      <c r="KK96" s="339" t="s">
        <v>3420</v>
      </c>
      <c r="KL96" s="1741" t="s">
        <v>3420</v>
      </c>
      <c r="KM96" s="1789" t="s">
        <v>2776</v>
      </c>
      <c r="KN96" s="1793" t="s">
        <v>1973</v>
      </c>
      <c r="KO96" s="1792" t="s">
        <v>2658</v>
      </c>
      <c r="KP96" s="1791" t="s">
        <v>2658</v>
      </c>
      <c r="KQ96" s="1791" t="s">
        <v>2492</v>
      </c>
      <c r="KR96" s="1794" t="s">
        <v>3545</v>
      </c>
      <c r="KS96" s="1793" t="s">
        <v>1973</v>
      </c>
      <c r="KT96" s="1793" t="s">
        <v>1973</v>
      </c>
      <c r="KU96" s="1793" t="s">
        <v>3545</v>
      </c>
      <c r="KV96" s="1789" t="s">
        <v>1921</v>
      </c>
      <c r="KW96" s="1788" t="s">
        <v>1921</v>
      </c>
      <c r="KX96" s="1787"/>
      <c r="KY96" s="339"/>
      <c r="KZ96" s="339" t="s">
        <v>2707</v>
      </c>
      <c r="LA96" s="339" t="s">
        <v>2707</v>
      </c>
      <c r="LB96" s="1793" t="s">
        <v>3420</v>
      </c>
      <c r="LC96" s="1791" t="s">
        <v>3420</v>
      </c>
      <c r="LD96" s="1787" t="s">
        <v>1535</v>
      </c>
      <c r="LE96" s="1787" t="s">
        <v>862</v>
      </c>
      <c r="LF96" s="1791" t="s">
        <v>862</v>
      </c>
      <c r="LG96" s="1788" t="s">
        <v>3976</v>
      </c>
      <c r="LH96" s="1789" t="s">
        <v>3976</v>
      </c>
      <c r="LI96" s="1789"/>
      <c r="LJ96" s="1789" t="s">
        <v>1486</v>
      </c>
      <c r="LK96" s="339"/>
      <c r="LL96" s="1788" t="s">
        <v>1486</v>
      </c>
      <c r="LM96" s="1741" t="s">
        <v>1486</v>
      </c>
      <c r="LN96" s="1794" t="s">
        <v>292</v>
      </c>
      <c r="LO96" s="1791" t="s">
        <v>1921</v>
      </c>
      <c r="LP96" s="1741" t="s">
        <v>1921</v>
      </c>
      <c r="LQ96" s="1741"/>
      <c r="LR96" s="1787" t="s">
        <v>2153</v>
      </c>
      <c r="LS96" s="1787" t="s">
        <v>2658</v>
      </c>
      <c r="LT96" s="1787" t="s">
        <v>4081</v>
      </c>
      <c r="LU96" s="1787" t="s">
        <v>4081</v>
      </c>
      <c r="LV96" s="1789" t="s">
        <v>2273</v>
      </c>
      <c r="LW96" s="1789" t="s">
        <v>2273</v>
      </c>
      <c r="LX96" s="1790" t="s">
        <v>1794</v>
      </c>
      <c r="LY96" s="1794" t="s">
        <v>48</v>
      </c>
      <c r="LZ96" s="339" t="s">
        <v>2153</v>
      </c>
      <c r="MA96" s="1788" t="s">
        <v>2153</v>
      </c>
      <c r="MB96" s="1793" t="s">
        <v>2153</v>
      </c>
      <c r="MC96" s="1789" t="s">
        <v>292</v>
      </c>
      <c r="MD96" s="1788" t="s">
        <v>1973</v>
      </c>
      <c r="ME96" s="1788" t="s">
        <v>3976</v>
      </c>
      <c r="MF96" s="1741" t="s">
        <v>2455</v>
      </c>
      <c r="MG96" s="1794" t="s">
        <v>2455</v>
      </c>
      <c r="MH96" s="1791" t="s">
        <v>2455</v>
      </c>
      <c r="MI96" s="1787" t="s">
        <v>2455</v>
      </c>
      <c r="MJ96" s="1793" t="s">
        <v>3465</v>
      </c>
      <c r="MK96" s="1793" t="s">
        <v>2153</v>
      </c>
      <c r="ML96" s="1741"/>
      <c r="MM96" s="1792" t="s">
        <v>1011</v>
      </c>
      <c r="MN96" s="1790"/>
      <c r="MO96" s="1787" t="s">
        <v>1727</v>
      </c>
      <c r="MP96" s="1794" t="s">
        <v>3976</v>
      </c>
      <c r="MQ96" s="1794" t="s">
        <v>3976</v>
      </c>
      <c r="MR96" s="1794" t="s">
        <v>3976</v>
      </c>
      <c r="MS96" s="1794" t="s">
        <v>4172</v>
      </c>
      <c r="MT96" s="1787" t="s">
        <v>2455</v>
      </c>
      <c r="MU96" s="1789" t="s">
        <v>1053</v>
      </c>
      <c r="MV96" s="1790" t="s">
        <v>2658</v>
      </c>
      <c r="MW96" s="1789"/>
      <c r="MX96" s="1793"/>
      <c r="MY96" s="1793" t="s">
        <v>2613</v>
      </c>
      <c r="MZ96" s="1789" t="s">
        <v>1486</v>
      </c>
      <c r="NA96" s="1789" t="s">
        <v>1486</v>
      </c>
      <c r="NB96" s="1789" t="s">
        <v>1011</v>
      </c>
      <c r="NC96" s="1789"/>
      <c r="ND96" s="1789" t="s">
        <v>48</v>
      </c>
      <c r="NE96" s="1792" t="s">
        <v>292</v>
      </c>
      <c r="NF96" s="1793" t="s">
        <v>292</v>
      </c>
      <c r="NG96" s="1792"/>
      <c r="NH96" s="1795" t="s">
        <v>9804</v>
      </c>
      <c r="NI96" s="1790" t="s">
        <v>1206</v>
      </c>
      <c r="NJ96" s="1789" t="s">
        <v>2707</v>
      </c>
      <c r="NK96" s="1789"/>
      <c r="NL96" s="1789" t="s">
        <v>1921</v>
      </c>
      <c r="NM96" s="1789" t="s">
        <v>1921</v>
      </c>
      <c r="NN96" s="1741" t="s">
        <v>2153</v>
      </c>
      <c r="NO96" s="1789" t="s">
        <v>1011</v>
      </c>
      <c r="NP96" s="1793" t="s">
        <v>1011</v>
      </c>
      <c r="NQ96" s="1788" t="s">
        <v>1921</v>
      </c>
      <c r="NR96" s="1789" t="s">
        <v>3420</v>
      </c>
      <c r="NS96" s="1789" t="s">
        <v>1973</v>
      </c>
      <c r="NT96" s="1788" t="s">
        <v>2776</v>
      </c>
      <c r="NU96" s="1787" t="s">
        <v>2776</v>
      </c>
      <c r="NV96" s="339" t="s">
        <v>1921</v>
      </c>
      <c r="NW96" s="1788" t="s">
        <v>1794</v>
      </c>
      <c r="NX96" s="1788" t="s">
        <v>1745</v>
      </c>
      <c r="NY96" s="1788" t="s">
        <v>2455</v>
      </c>
      <c r="NZ96" s="1788" t="s">
        <v>2455</v>
      </c>
      <c r="OA96" s="1787" t="s">
        <v>1745</v>
      </c>
      <c r="OB96" s="1787" t="s">
        <v>1745</v>
      </c>
      <c r="OC96" s="1787" t="s">
        <v>1206</v>
      </c>
      <c r="OD96" s="1741" t="s">
        <v>2707</v>
      </c>
      <c r="OE96" s="1741" t="s">
        <v>2707</v>
      </c>
      <c r="OF96" s="1741" t="s">
        <v>2707</v>
      </c>
      <c r="OG96" s="1789"/>
      <c r="OH96" s="1789"/>
      <c r="OI96" s="1789" t="s">
        <v>3465</v>
      </c>
      <c r="OJ96" s="1741" t="s">
        <v>2273</v>
      </c>
      <c r="OK96" s="1741" t="s">
        <v>2273</v>
      </c>
      <c r="OL96" s="1741" t="s">
        <v>2273</v>
      </c>
      <c r="OM96" s="1741" t="s">
        <v>48</v>
      </c>
      <c r="ON96" s="1741" t="s">
        <v>2707</v>
      </c>
      <c r="OO96" s="1788"/>
      <c r="OP96" s="1788" t="s">
        <v>2455</v>
      </c>
      <c r="OQ96" s="1789" t="s">
        <v>2613</v>
      </c>
      <c r="OR96" s="1789" t="s">
        <v>2613</v>
      </c>
      <c r="OS96" s="1789" t="s">
        <v>2613</v>
      </c>
      <c r="OT96" s="1787" t="s">
        <v>1535</v>
      </c>
      <c r="OU96" s="1787" t="s">
        <v>1535</v>
      </c>
      <c r="OV96" s="1789" t="s">
        <v>2776</v>
      </c>
      <c r="OW96" s="1789" t="s">
        <v>2776</v>
      </c>
      <c r="OX96" s="1793" t="s">
        <v>1011</v>
      </c>
      <c r="OY96" s="1793" t="s">
        <v>1011</v>
      </c>
      <c r="OZ96" s="1787"/>
      <c r="PA96" s="1787" t="s">
        <v>1535</v>
      </c>
      <c r="PB96" s="339" t="s">
        <v>2455</v>
      </c>
      <c r="PC96" s="1792" t="s">
        <v>862</v>
      </c>
      <c r="PD96" s="339" t="s">
        <v>2613</v>
      </c>
      <c r="PE96" s="339" t="s">
        <v>2455</v>
      </c>
      <c r="PF96" s="339" t="s">
        <v>650</v>
      </c>
      <c r="PG96" s="1790" t="s">
        <v>2707</v>
      </c>
      <c r="PH96" s="1741" t="s">
        <v>2455</v>
      </c>
      <c r="PI96" s="1741" t="s">
        <v>48</v>
      </c>
      <c r="PJ96" s="1792"/>
      <c r="PK96" s="1792"/>
      <c r="PL96" s="1791"/>
      <c r="PM96" s="1791" t="s">
        <v>2455</v>
      </c>
      <c r="PN96" s="1791" t="s">
        <v>1053</v>
      </c>
      <c r="PO96" s="1791" t="s">
        <v>4172</v>
      </c>
      <c r="PP96" s="1791" t="s">
        <v>4172</v>
      </c>
      <c r="PQ96" s="1741" t="s">
        <v>292</v>
      </c>
      <c r="PR96" s="1741" t="s">
        <v>1053</v>
      </c>
      <c r="PS96" s="1791" t="s">
        <v>3976</v>
      </c>
      <c r="PT96" s="1794" t="s">
        <v>2776</v>
      </c>
      <c r="PU96" s="1793" t="s">
        <v>2707</v>
      </c>
      <c r="PV96" s="1793" t="s">
        <v>2707</v>
      </c>
      <c r="PW96" s="339" t="s">
        <v>1053</v>
      </c>
      <c r="PX96" s="1791"/>
      <c r="PY96" s="1791"/>
      <c r="PZ96" s="1787"/>
      <c r="QA96" s="1787" t="s">
        <v>1486</v>
      </c>
      <c r="QB96" s="1741" t="s">
        <v>1486</v>
      </c>
      <c r="QC96" s="1792" t="s">
        <v>2613</v>
      </c>
      <c r="QD96" s="1792" t="s">
        <v>2776</v>
      </c>
      <c r="QE96" s="1794" t="s">
        <v>2455</v>
      </c>
      <c r="QF96" s="1791" t="s">
        <v>3976</v>
      </c>
      <c r="QG96" s="1789" t="s">
        <v>2455</v>
      </c>
      <c r="QH96" s="1789" t="s">
        <v>2455</v>
      </c>
      <c r="QI96" s="1789" t="s">
        <v>1011</v>
      </c>
      <c r="QJ96" s="1794" t="s">
        <v>1053</v>
      </c>
      <c r="QK96" s="1789" t="s">
        <v>3420</v>
      </c>
      <c r="QL96" s="1789" t="s">
        <v>3420</v>
      </c>
      <c r="QM96" s="1741"/>
      <c r="QN96" s="1741"/>
      <c r="QO96" s="1791"/>
      <c r="QP96" s="1791"/>
      <c r="QQ96" s="1789" t="s">
        <v>1794</v>
      </c>
      <c r="QR96" s="1789" t="s">
        <v>1794</v>
      </c>
      <c r="QS96" s="1787" t="s">
        <v>2455</v>
      </c>
      <c r="QT96" s="1789" t="s">
        <v>2707</v>
      </c>
      <c r="QU96" s="1789" t="s">
        <v>2707</v>
      </c>
      <c r="QV96" s="1789" t="s">
        <v>2707</v>
      </c>
      <c r="QW96" s="1790" t="s">
        <v>1535</v>
      </c>
      <c r="QX96" s="1790" t="s">
        <v>1206</v>
      </c>
      <c r="QY96" s="1794" t="s">
        <v>3976</v>
      </c>
      <c r="QZ96" s="1793" t="s">
        <v>1486</v>
      </c>
      <c r="RA96" s="1792" t="s">
        <v>1921</v>
      </c>
      <c r="RB96" s="1793" t="s">
        <v>2658</v>
      </c>
      <c r="RC96" s="1789" t="s">
        <v>1535</v>
      </c>
      <c r="RD96" s="339" t="s">
        <v>2658</v>
      </c>
      <c r="RE96" s="1788" t="s">
        <v>2455</v>
      </c>
      <c r="RF96" s="1790" t="s">
        <v>2658</v>
      </c>
      <c r="RG96" s="1787" t="s">
        <v>1973</v>
      </c>
      <c r="RH96" s="1787" t="s">
        <v>2707</v>
      </c>
      <c r="RI96" s="1789" t="s">
        <v>48</v>
      </c>
      <c r="RJ96" s="1791" t="s">
        <v>2153</v>
      </c>
      <c r="RK96" s="1741" t="s">
        <v>2153</v>
      </c>
      <c r="RL96" s="1788" t="s">
        <v>2707</v>
      </c>
      <c r="RM96" s="1790" t="s">
        <v>1794</v>
      </c>
      <c r="RN96" s="1793" t="s">
        <v>1973</v>
      </c>
      <c r="RO96" s="1794" t="s">
        <v>4172</v>
      </c>
      <c r="RP96" s="1790" t="s">
        <v>2658</v>
      </c>
      <c r="RQ96" s="1788" t="s">
        <v>2707</v>
      </c>
      <c r="RR96" s="1788" t="s">
        <v>2707</v>
      </c>
      <c r="RS96" s="1788" t="s">
        <v>2707</v>
      </c>
      <c r="RT96" s="1788" t="s">
        <v>2707</v>
      </c>
      <c r="RU96" s="1788" t="s">
        <v>2707</v>
      </c>
      <c r="RV96" s="1788" t="s">
        <v>2707</v>
      </c>
      <c r="RW96" s="339" t="s">
        <v>1921</v>
      </c>
      <c r="RX96" s="1792" t="s">
        <v>1921</v>
      </c>
      <c r="RY96" s="1789" t="s">
        <v>1921</v>
      </c>
      <c r="RZ96" s="1790" t="s">
        <v>2153</v>
      </c>
      <c r="SA96" s="1791" t="s">
        <v>48</v>
      </c>
      <c r="SB96" s="1741" t="s">
        <v>3465</v>
      </c>
      <c r="SC96" s="1790" t="s">
        <v>2658</v>
      </c>
      <c r="SD96" s="1794" t="s">
        <v>3976</v>
      </c>
      <c r="SE96" s="1794" t="s">
        <v>3976</v>
      </c>
      <c r="SF96" s="339" t="s">
        <v>2658</v>
      </c>
      <c r="SG96" s="1789" t="s">
        <v>2658</v>
      </c>
      <c r="SH96" s="1789" t="s">
        <v>2658</v>
      </c>
      <c r="SI96" s="1794" t="s">
        <v>1053</v>
      </c>
      <c r="SJ96" s="1787" t="s">
        <v>2153</v>
      </c>
      <c r="SK96" s="1787" t="s">
        <v>2707</v>
      </c>
      <c r="SL96" s="1793" t="s">
        <v>1921</v>
      </c>
    </row>
    <row r="97" ht="15.75" customHeight="1">
      <c r="A97" s="1517"/>
      <c r="B97" s="148"/>
      <c r="C97" s="148"/>
      <c r="D97" s="276" t="s">
        <v>1535</v>
      </c>
      <c r="E97" s="148" t="s">
        <v>2455</v>
      </c>
      <c r="F97" s="148" t="s">
        <v>2455</v>
      </c>
      <c r="G97" s="148" t="s">
        <v>2707</v>
      </c>
      <c r="H97" s="148" t="s">
        <v>3465</v>
      </c>
      <c r="I97" s="148" t="s">
        <v>3465</v>
      </c>
      <c r="J97" s="148" t="s">
        <v>3465</v>
      </c>
      <c r="K97" s="148"/>
      <c r="L97" s="148"/>
      <c r="M97" s="148"/>
      <c r="N97" s="148"/>
      <c r="O97" s="148"/>
      <c r="P97" s="148" t="s">
        <v>650</v>
      </c>
      <c r="Q97" s="148" t="s">
        <v>2455</v>
      </c>
      <c r="R97" s="148" t="s">
        <v>2455</v>
      </c>
      <c r="S97" s="148" t="s">
        <v>2455</v>
      </c>
      <c r="T97" s="148" t="s">
        <v>650</v>
      </c>
      <c r="U97" s="148" t="s">
        <v>650</v>
      </c>
      <c r="V97" s="148" t="s">
        <v>9804</v>
      </c>
      <c r="W97" s="148" t="s">
        <v>9804</v>
      </c>
      <c r="X97" s="148"/>
      <c r="Y97" s="148"/>
      <c r="Z97" s="148" t="s">
        <v>2455</v>
      </c>
      <c r="AA97" s="148" t="s">
        <v>2455</v>
      </c>
      <c r="AB97" s="148" t="s">
        <v>1486</v>
      </c>
      <c r="AC97" s="148" t="s">
        <v>1486</v>
      </c>
      <c r="AD97" s="148"/>
      <c r="AE97" s="148"/>
      <c r="AF97" s="148" t="s">
        <v>2658</v>
      </c>
      <c r="AG97" s="148"/>
      <c r="AH97" s="148"/>
      <c r="AI97" s="148" t="s">
        <v>3420</v>
      </c>
      <c r="AJ97" s="148" t="s">
        <v>1921</v>
      </c>
      <c r="AK97" s="148" t="s">
        <v>1921</v>
      </c>
      <c r="AL97" s="148"/>
      <c r="AM97" s="148"/>
      <c r="AN97" s="148" t="s">
        <v>1053</v>
      </c>
      <c r="AO97" s="148" t="s">
        <v>1053</v>
      </c>
      <c r="AP97" s="148" t="s">
        <v>2273</v>
      </c>
      <c r="AQ97" s="148" t="s">
        <v>2273</v>
      </c>
      <c r="AR97" s="148"/>
      <c r="AS97" s="148"/>
      <c r="AT97" s="148"/>
      <c r="AU97" s="148"/>
      <c r="AV97" s="148"/>
      <c r="AW97" s="148"/>
      <c r="AX97" s="148" t="s">
        <v>9804</v>
      </c>
      <c r="AY97" s="148"/>
      <c r="AZ97" s="148"/>
      <c r="BA97" s="148" t="s">
        <v>2776</v>
      </c>
      <c r="BB97" s="148" t="s">
        <v>2776</v>
      </c>
      <c r="BC97" s="148" t="s">
        <v>48</v>
      </c>
      <c r="BD97" s="148" t="s">
        <v>2707</v>
      </c>
      <c r="BE97" s="148" t="s">
        <v>2707</v>
      </c>
      <c r="BF97" s="148" t="s">
        <v>2707</v>
      </c>
      <c r="BG97" s="148"/>
      <c r="BH97" s="148"/>
      <c r="BI97" s="148"/>
      <c r="BJ97" s="148"/>
      <c r="BK97" s="148" t="s">
        <v>2455</v>
      </c>
      <c r="BL97" s="148" t="s">
        <v>2658</v>
      </c>
      <c r="BM97" s="148" t="s">
        <v>2658</v>
      </c>
      <c r="BN97" s="148" t="s">
        <v>2658</v>
      </c>
      <c r="BO97" s="148" t="s">
        <v>2455</v>
      </c>
      <c r="BP97" s="148" t="s">
        <v>2455</v>
      </c>
      <c r="BQ97" s="148" t="s">
        <v>2455</v>
      </c>
      <c r="BR97" s="148"/>
      <c r="BS97" s="148"/>
      <c r="BT97" s="148"/>
      <c r="BU97" s="148"/>
      <c r="BV97" s="148"/>
      <c r="BW97" s="148" t="s">
        <v>2455</v>
      </c>
      <c r="BX97" s="148" t="s">
        <v>2455</v>
      </c>
      <c r="BY97" s="148" t="s">
        <v>2153</v>
      </c>
      <c r="BZ97" s="148"/>
      <c r="CA97" s="148"/>
      <c r="CB97" s="148" t="s">
        <v>48</v>
      </c>
      <c r="CC97" s="148" t="s">
        <v>2658</v>
      </c>
      <c r="CD97" s="148"/>
      <c r="CE97" s="148"/>
      <c r="CF97" s="148" t="s">
        <v>2707</v>
      </c>
      <c r="CG97" s="148" t="s">
        <v>2455</v>
      </c>
      <c r="CH97" s="148" t="s">
        <v>2455</v>
      </c>
      <c r="CI97" s="148"/>
      <c r="CJ97" s="148"/>
      <c r="CK97" s="148"/>
      <c r="CL97" s="148"/>
      <c r="CM97" s="148"/>
      <c r="CN97" s="148"/>
      <c r="CO97" s="148" t="s">
        <v>4172</v>
      </c>
      <c r="CP97" s="148" t="s">
        <v>4172</v>
      </c>
      <c r="CQ97" s="148" t="s">
        <v>4172</v>
      </c>
      <c r="CR97" s="148" t="s">
        <v>9804</v>
      </c>
      <c r="CS97" s="148"/>
      <c r="CT97" s="148"/>
      <c r="CU97" s="148" t="s">
        <v>3465</v>
      </c>
      <c r="CV97" s="148" t="s">
        <v>3465</v>
      </c>
      <c r="CW97" s="148"/>
      <c r="CX97" s="148"/>
      <c r="CY97" s="148"/>
      <c r="CZ97" s="148"/>
      <c r="DA97" s="148" t="s">
        <v>2776</v>
      </c>
      <c r="DB97" s="148" t="s">
        <v>2776</v>
      </c>
      <c r="DC97" s="148" t="s">
        <v>292</v>
      </c>
      <c r="DD97" s="148" t="s">
        <v>2707</v>
      </c>
      <c r="DE97" s="148" t="s">
        <v>2658</v>
      </c>
      <c r="DF97" s="148"/>
      <c r="DG97" s="148"/>
      <c r="DH97" s="148" t="s">
        <v>2153</v>
      </c>
      <c r="DI97" s="148" t="s">
        <v>3976</v>
      </c>
      <c r="DJ97" s="148" t="s">
        <v>1053</v>
      </c>
      <c r="DK97" s="148"/>
      <c r="DL97" s="148" t="s">
        <v>3420</v>
      </c>
      <c r="DM97" s="148" t="s">
        <v>2613</v>
      </c>
      <c r="DN97" s="148" t="s">
        <v>2613</v>
      </c>
      <c r="DO97" s="148" t="s">
        <v>48</v>
      </c>
      <c r="DP97" s="148" t="s">
        <v>48</v>
      </c>
      <c r="DQ97" s="148" t="s">
        <v>9804</v>
      </c>
      <c r="DR97" s="148" t="s">
        <v>2613</v>
      </c>
      <c r="DS97" s="148" t="s">
        <v>2658</v>
      </c>
      <c r="DT97" s="148"/>
      <c r="DU97" s="148" t="s">
        <v>2455</v>
      </c>
      <c r="DV97" s="148" t="s">
        <v>2707</v>
      </c>
      <c r="DW97" s="148"/>
      <c r="DX97" s="148"/>
      <c r="DY97" s="148" t="s">
        <v>650</v>
      </c>
      <c r="DZ97" s="148"/>
      <c r="EA97" s="148" t="s">
        <v>292</v>
      </c>
      <c r="EB97" s="148" t="s">
        <v>1011</v>
      </c>
      <c r="EC97" s="148"/>
      <c r="ED97" s="148"/>
      <c r="EE97" s="148" t="s">
        <v>48</v>
      </c>
      <c r="EF97" s="148" t="s">
        <v>2613</v>
      </c>
      <c r="EG97" s="148" t="s">
        <v>1745</v>
      </c>
      <c r="EH97" s="148" t="s">
        <v>2613</v>
      </c>
      <c r="EI97" s="148" t="s">
        <v>3465</v>
      </c>
      <c r="EJ97" s="148" t="s">
        <v>3465</v>
      </c>
      <c r="EK97" s="148" t="s">
        <v>2455</v>
      </c>
      <c r="EL97" s="148" t="s">
        <v>48</v>
      </c>
      <c r="EM97" s="148" t="s">
        <v>2153</v>
      </c>
      <c r="EN97" s="148" t="s">
        <v>2658</v>
      </c>
      <c r="EO97" s="148" t="s">
        <v>2455</v>
      </c>
      <c r="EP97" s="148" t="s">
        <v>2455</v>
      </c>
      <c r="EQ97" s="148" t="s">
        <v>2455</v>
      </c>
      <c r="ER97" s="1730" t="s">
        <v>9805</v>
      </c>
      <c r="ES97" s="1730" t="s">
        <v>9805</v>
      </c>
      <c r="ET97" s="148" t="s">
        <v>2492</v>
      </c>
      <c r="EU97" s="148" t="s">
        <v>2658</v>
      </c>
      <c r="EV97" s="148"/>
      <c r="EW97" s="148"/>
      <c r="EX97" s="148"/>
      <c r="EY97" s="276" t="s">
        <v>1535</v>
      </c>
      <c r="EZ97" s="148"/>
      <c r="FA97" s="148"/>
      <c r="FB97" s="148" t="s">
        <v>2455</v>
      </c>
      <c r="FC97" s="148" t="s">
        <v>1973</v>
      </c>
      <c r="FD97" s="148" t="s">
        <v>2776</v>
      </c>
      <c r="FE97" s="148" t="s">
        <v>2776</v>
      </c>
      <c r="FF97" s="148" t="s">
        <v>3420</v>
      </c>
      <c r="FG97" s="148" t="s">
        <v>3420</v>
      </c>
      <c r="FH97" s="148" t="s">
        <v>2455</v>
      </c>
      <c r="FI97" s="148" t="s">
        <v>2455</v>
      </c>
      <c r="FJ97" s="148" t="s">
        <v>2707</v>
      </c>
      <c r="FK97" s="148" t="s">
        <v>2707</v>
      </c>
      <c r="FL97" s="148"/>
      <c r="FM97" s="148"/>
      <c r="FN97" s="148" t="s">
        <v>2273</v>
      </c>
      <c r="FO97" s="148"/>
      <c r="FP97" s="148" t="s">
        <v>2613</v>
      </c>
      <c r="FQ97" s="148" t="s">
        <v>1486</v>
      </c>
      <c r="FR97" s="148" t="s">
        <v>2776</v>
      </c>
      <c r="FS97" s="148"/>
      <c r="FT97" s="148" t="s">
        <v>1973</v>
      </c>
      <c r="FU97" s="148" t="s">
        <v>2707</v>
      </c>
      <c r="FV97" s="148" t="s">
        <v>2707</v>
      </c>
      <c r="FW97" s="148" t="s">
        <v>2707</v>
      </c>
      <c r="FX97" s="148"/>
      <c r="FY97" s="148"/>
      <c r="FZ97" s="148" t="s">
        <v>2613</v>
      </c>
      <c r="GA97" s="148"/>
      <c r="GB97" s="148" t="s">
        <v>2707</v>
      </c>
      <c r="GC97" s="148" t="s">
        <v>2707</v>
      </c>
      <c r="GD97" s="148" t="s">
        <v>2153</v>
      </c>
      <c r="GE97" s="148"/>
      <c r="GF97" s="148"/>
      <c r="GG97" s="148"/>
      <c r="GH97" s="148"/>
      <c r="GI97" s="148" t="s">
        <v>2658</v>
      </c>
      <c r="GJ97" s="148"/>
      <c r="GK97" s="148"/>
      <c r="GL97" s="148" t="s">
        <v>2613</v>
      </c>
      <c r="GM97" s="148" t="s">
        <v>2153</v>
      </c>
      <c r="GN97" s="148" t="s">
        <v>2153</v>
      </c>
      <c r="GO97" s="148" t="s">
        <v>2455</v>
      </c>
      <c r="GP97" s="148" t="s">
        <v>2455</v>
      </c>
      <c r="GQ97" s="148" t="s">
        <v>2776</v>
      </c>
      <c r="GR97" s="148" t="s">
        <v>2658</v>
      </c>
      <c r="GS97" s="148" t="s">
        <v>2707</v>
      </c>
      <c r="GT97" s="148"/>
      <c r="GU97" s="148"/>
      <c r="GV97" s="148" t="s">
        <v>2455</v>
      </c>
      <c r="GW97" s="148"/>
      <c r="GX97" s="148"/>
      <c r="GY97" s="148" t="s">
        <v>650</v>
      </c>
      <c r="GZ97" s="148"/>
      <c r="HA97" s="148" t="s">
        <v>2455</v>
      </c>
      <c r="HB97" s="148" t="s">
        <v>1745</v>
      </c>
      <c r="HC97" s="148" t="s">
        <v>1745</v>
      </c>
      <c r="HD97" s="148" t="s">
        <v>1486</v>
      </c>
      <c r="HE97" s="148" t="s">
        <v>1011</v>
      </c>
      <c r="HF97" s="148" t="s">
        <v>1486</v>
      </c>
      <c r="HG97" s="148"/>
      <c r="HH97" s="148" t="s">
        <v>2707</v>
      </c>
      <c r="HI97" s="148" t="s">
        <v>2707</v>
      </c>
      <c r="HJ97" s="148" t="s">
        <v>2707</v>
      </c>
      <c r="HK97" s="148" t="s">
        <v>1486</v>
      </c>
      <c r="HL97" s="148" t="s">
        <v>1486</v>
      </c>
      <c r="HM97" s="148" t="s">
        <v>1745</v>
      </c>
      <c r="HN97" s="148" t="s">
        <v>1745</v>
      </c>
      <c r="HO97" s="148" t="s">
        <v>2455</v>
      </c>
      <c r="HP97" s="148" t="s">
        <v>2455</v>
      </c>
      <c r="HQ97" s="148" t="s">
        <v>2455</v>
      </c>
      <c r="HR97" s="148" t="s">
        <v>1535</v>
      </c>
      <c r="HS97" s="148" t="s">
        <v>48</v>
      </c>
      <c r="HT97" s="148" t="s">
        <v>3465</v>
      </c>
      <c r="HU97" s="148" t="s">
        <v>2455</v>
      </c>
      <c r="HV97" s="148" t="s">
        <v>2455</v>
      </c>
      <c r="HW97" s="148" t="s">
        <v>1206</v>
      </c>
      <c r="HX97" s="148" t="s">
        <v>2455</v>
      </c>
      <c r="HY97" s="148" t="s">
        <v>862</v>
      </c>
      <c r="HZ97" s="148" t="s">
        <v>2613</v>
      </c>
      <c r="IA97" s="148" t="s">
        <v>2776</v>
      </c>
      <c r="IB97" s="148"/>
      <c r="IC97" s="148"/>
      <c r="ID97" s="148" t="s">
        <v>2455</v>
      </c>
      <c r="IE97" s="148" t="s">
        <v>2776</v>
      </c>
      <c r="IF97" s="148" t="s">
        <v>2707</v>
      </c>
      <c r="IG97" s="148" t="s">
        <v>2455</v>
      </c>
      <c r="IH97" s="148" t="s">
        <v>2658</v>
      </c>
      <c r="II97" s="148" t="s">
        <v>1053</v>
      </c>
      <c r="IJ97" s="148"/>
      <c r="IK97" s="148"/>
      <c r="IL97" s="148" t="s">
        <v>2455</v>
      </c>
      <c r="IM97" s="148" t="s">
        <v>2455</v>
      </c>
      <c r="IN97" s="148" t="s">
        <v>1011</v>
      </c>
      <c r="IO97" s="148" t="s">
        <v>2776</v>
      </c>
      <c r="IP97" s="148" t="s">
        <v>2658</v>
      </c>
      <c r="IQ97" s="148" t="s">
        <v>2153</v>
      </c>
      <c r="IR97" s="148" t="s">
        <v>2707</v>
      </c>
      <c r="IS97" s="148" t="s">
        <v>2455</v>
      </c>
      <c r="IT97" s="148" t="s">
        <v>2455</v>
      </c>
      <c r="IU97" s="148" t="s">
        <v>2455</v>
      </c>
      <c r="IV97" s="148" t="s">
        <v>2455</v>
      </c>
      <c r="IW97" s="148" t="s">
        <v>2658</v>
      </c>
      <c r="IX97" s="148" t="s">
        <v>1053</v>
      </c>
      <c r="IY97" s="148" t="s">
        <v>2455</v>
      </c>
      <c r="IZ97" s="148" t="s">
        <v>2153</v>
      </c>
      <c r="JA97" s="148" t="s">
        <v>2153</v>
      </c>
      <c r="JB97" s="148"/>
      <c r="JC97" s="148"/>
      <c r="JD97" s="148" t="s">
        <v>2707</v>
      </c>
      <c r="JE97" s="148" t="s">
        <v>2707</v>
      </c>
      <c r="JF97" s="148"/>
      <c r="JG97" s="148"/>
      <c r="JH97" s="148"/>
      <c r="JI97" s="148"/>
      <c r="JJ97" s="148"/>
      <c r="JK97" s="148"/>
      <c r="JL97" s="148" t="s">
        <v>2658</v>
      </c>
      <c r="JM97" s="148" t="s">
        <v>2658</v>
      </c>
      <c r="JN97" s="148"/>
      <c r="JO97" s="148" t="s">
        <v>1486</v>
      </c>
      <c r="JP97" s="148" t="s">
        <v>2658</v>
      </c>
      <c r="JQ97" s="148" t="s">
        <v>2455</v>
      </c>
      <c r="JR97" s="148" t="s">
        <v>2455</v>
      </c>
      <c r="JS97" s="148" t="s">
        <v>2776</v>
      </c>
      <c r="JT97" s="148" t="s">
        <v>2776</v>
      </c>
      <c r="JU97" s="148" t="s">
        <v>3420</v>
      </c>
      <c r="JV97" s="148" t="s">
        <v>3420</v>
      </c>
      <c r="JW97" s="148" t="s">
        <v>3420</v>
      </c>
      <c r="JX97" s="148"/>
      <c r="JY97" s="148" t="s">
        <v>2613</v>
      </c>
      <c r="JZ97" s="148"/>
      <c r="KA97" s="148" t="s">
        <v>2455</v>
      </c>
      <c r="KB97" s="148" t="s">
        <v>2658</v>
      </c>
      <c r="KC97" s="148" t="s">
        <v>2776</v>
      </c>
      <c r="KD97" s="148" t="s">
        <v>2658</v>
      </c>
      <c r="KE97" s="148"/>
      <c r="KF97" s="148" t="s">
        <v>2776</v>
      </c>
      <c r="KG97" s="148"/>
      <c r="KH97" s="148" t="s">
        <v>2776</v>
      </c>
      <c r="KI97" s="148" t="s">
        <v>2776</v>
      </c>
      <c r="KJ97" s="148" t="s">
        <v>2776</v>
      </c>
      <c r="KK97" s="148" t="s">
        <v>2658</v>
      </c>
      <c r="KL97" s="148" t="s">
        <v>2658</v>
      </c>
      <c r="KM97" s="148" t="s">
        <v>1486</v>
      </c>
      <c r="KN97" s="148" t="s">
        <v>2153</v>
      </c>
      <c r="KO97" s="148" t="s">
        <v>2707</v>
      </c>
      <c r="KP97" s="148" t="s">
        <v>2707</v>
      </c>
      <c r="KQ97" s="148" t="s">
        <v>1727</v>
      </c>
      <c r="KR97" s="148" t="s">
        <v>2658</v>
      </c>
      <c r="KS97" s="148" t="s">
        <v>2153</v>
      </c>
      <c r="KT97" s="148" t="s">
        <v>2153</v>
      </c>
      <c r="KU97" s="148" t="s">
        <v>2658</v>
      </c>
      <c r="KV97" s="148" t="s">
        <v>3420</v>
      </c>
      <c r="KW97" s="148" t="s">
        <v>3420</v>
      </c>
      <c r="KX97" s="148"/>
      <c r="KY97" s="148"/>
      <c r="KZ97" s="148" t="s">
        <v>2776</v>
      </c>
      <c r="LA97" s="148" t="s">
        <v>2776</v>
      </c>
      <c r="LB97" s="148" t="s">
        <v>2658</v>
      </c>
      <c r="LC97" s="148" t="s">
        <v>2658</v>
      </c>
      <c r="LD97" s="148"/>
      <c r="LE97" s="148" t="s">
        <v>2455</v>
      </c>
      <c r="LF97" s="148" t="s">
        <v>2455</v>
      </c>
      <c r="LG97" s="148" t="s">
        <v>2707</v>
      </c>
      <c r="LH97" s="148" t="s">
        <v>2707</v>
      </c>
      <c r="LI97" s="148"/>
      <c r="LJ97" s="148"/>
      <c r="LK97" s="148"/>
      <c r="LL97" s="148"/>
      <c r="LM97" s="148"/>
      <c r="LN97" s="148" t="s">
        <v>2613</v>
      </c>
      <c r="LO97" s="148" t="s">
        <v>2658</v>
      </c>
      <c r="LP97" s="148" t="s">
        <v>3420</v>
      </c>
      <c r="LQ97" s="148"/>
      <c r="LR97" s="148" t="s">
        <v>2273</v>
      </c>
      <c r="LS97" s="148" t="s">
        <v>2707</v>
      </c>
      <c r="LT97" s="148" t="s">
        <v>2455</v>
      </c>
      <c r="LU97" s="148" t="s">
        <v>2455</v>
      </c>
      <c r="LV97" s="148" t="s">
        <v>2455</v>
      </c>
      <c r="LW97" s="148" t="s">
        <v>2455</v>
      </c>
      <c r="LX97" s="148" t="s">
        <v>1053</v>
      </c>
      <c r="LY97" s="148" t="s">
        <v>2455</v>
      </c>
      <c r="LZ97" s="148" t="s">
        <v>1011</v>
      </c>
      <c r="MA97" s="148" t="s">
        <v>3465</v>
      </c>
      <c r="MB97" s="148" t="s">
        <v>2455</v>
      </c>
      <c r="MC97" s="148" t="s">
        <v>2153</v>
      </c>
      <c r="MD97" s="148" t="s">
        <v>650</v>
      </c>
      <c r="ME97" s="148" t="s">
        <v>2707</v>
      </c>
      <c r="MF97" s="148" t="s">
        <v>2613</v>
      </c>
      <c r="MG97" s="148" t="s">
        <v>2613</v>
      </c>
      <c r="MH97" s="148" t="s">
        <v>1535</v>
      </c>
      <c r="MI97" s="148" t="s">
        <v>1535</v>
      </c>
      <c r="MJ97" s="148" t="s">
        <v>2455</v>
      </c>
      <c r="MK97" s="148" t="s">
        <v>3465</v>
      </c>
      <c r="ML97" s="148"/>
      <c r="MM97" s="148" t="s">
        <v>2455</v>
      </c>
      <c r="MN97" s="148"/>
      <c r="MO97" s="148" t="s">
        <v>4172</v>
      </c>
      <c r="MP97" s="148"/>
      <c r="MQ97" s="148" t="s">
        <v>2455</v>
      </c>
      <c r="MR97" s="148"/>
      <c r="MS97" s="148" t="s">
        <v>1794</v>
      </c>
      <c r="MT97" s="148" t="s">
        <v>1206</v>
      </c>
      <c r="MU97" s="148" t="s">
        <v>2658</v>
      </c>
      <c r="MV97" s="148" t="s">
        <v>3976</v>
      </c>
      <c r="MW97" s="148"/>
      <c r="MX97" s="148"/>
      <c r="MY97" s="148"/>
      <c r="MZ97" s="148" t="s">
        <v>2613</v>
      </c>
      <c r="NA97" s="148" t="s">
        <v>2613</v>
      </c>
      <c r="NB97" s="148" t="s">
        <v>2455</v>
      </c>
      <c r="NC97" s="148"/>
      <c r="ND97" s="148" t="s">
        <v>292</v>
      </c>
      <c r="NE97" s="148" t="s">
        <v>2455</v>
      </c>
      <c r="NF97" s="148" t="s">
        <v>2153</v>
      </c>
      <c r="NG97" s="148"/>
      <c r="NH97" s="1730" t="s">
        <v>9805</v>
      </c>
      <c r="NI97" s="148" t="s">
        <v>1486</v>
      </c>
      <c r="NJ97" s="148" t="s">
        <v>48</v>
      </c>
      <c r="NK97" s="148"/>
      <c r="NL97" s="148" t="s">
        <v>3545</v>
      </c>
      <c r="NM97" s="148" t="s">
        <v>3545</v>
      </c>
      <c r="NN97" s="148" t="s">
        <v>1011</v>
      </c>
      <c r="NO97" s="148" t="s">
        <v>2455</v>
      </c>
      <c r="NP97" s="148" t="s">
        <v>2455</v>
      </c>
      <c r="NQ97" s="148" t="s">
        <v>3420</v>
      </c>
      <c r="NR97" s="148" t="s">
        <v>1053</v>
      </c>
      <c r="NS97" s="148" t="s">
        <v>48</v>
      </c>
      <c r="NT97" s="148" t="s">
        <v>1973</v>
      </c>
      <c r="NU97" s="148" t="s">
        <v>1973</v>
      </c>
      <c r="NV97" s="148" t="s">
        <v>3420</v>
      </c>
      <c r="NW97" s="148" t="s">
        <v>1921</v>
      </c>
      <c r="NX97" s="148"/>
      <c r="NY97" s="148" t="s">
        <v>2613</v>
      </c>
      <c r="NZ97" s="148" t="s">
        <v>2613</v>
      </c>
      <c r="OA97" s="148"/>
      <c r="OB97" s="148"/>
      <c r="OC97" s="148" t="s">
        <v>1535</v>
      </c>
      <c r="OD97" s="148" t="s">
        <v>2776</v>
      </c>
      <c r="OE97" s="148" t="s">
        <v>650</v>
      </c>
      <c r="OF97" s="148" t="s">
        <v>650</v>
      </c>
      <c r="OG97" s="148"/>
      <c r="OH97" s="148"/>
      <c r="OI97" s="148" t="s">
        <v>2455</v>
      </c>
      <c r="OJ97" s="148" t="s">
        <v>2455</v>
      </c>
      <c r="OK97" s="148" t="s">
        <v>2455</v>
      </c>
      <c r="OL97" s="148" t="s">
        <v>2455</v>
      </c>
      <c r="OM97" s="148" t="s">
        <v>2455</v>
      </c>
      <c r="ON97" s="148" t="s">
        <v>48</v>
      </c>
      <c r="OO97" s="148"/>
      <c r="OP97" s="148"/>
      <c r="OQ97" s="148"/>
      <c r="OR97" s="148"/>
      <c r="OS97" s="148" t="s">
        <v>1745</v>
      </c>
      <c r="OT97" s="148"/>
      <c r="OU97" s="148"/>
      <c r="OV97" s="148" t="s">
        <v>1973</v>
      </c>
      <c r="OW97" s="148" t="s">
        <v>1973</v>
      </c>
      <c r="OX97" s="148" t="s">
        <v>2455</v>
      </c>
      <c r="OY97" s="148" t="s">
        <v>2455</v>
      </c>
      <c r="OZ97" s="148"/>
      <c r="PA97" s="148" t="s">
        <v>2613</v>
      </c>
      <c r="PB97" s="148" t="s">
        <v>1486</v>
      </c>
      <c r="PC97" s="148" t="s">
        <v>3465</v>
      </c>
      <c r="PD97" s="148" t="s">
        <v>9804</v>
      </c>
      <c r="PE97" s="148"/>
      <c r="PF97" s="148" t="s">
        <v>2455</v>
      </c>
      <c r="PG97" s="148" t="s">
        <v>2776</v>
      </c>
      <c r="PH97" s="148"/>
      <c r="PI97" s="148" t="s">
        <v>2455</v>
      </c>
      <c r="PJ97" s="148"/>
      <c r="PK97" s="148"/>
      <c r="PL97" s="148"/>
      <c r="PM97" s="148"/>
      <c r="PN97" s="148" t="s">
        <v>2658</v>
      </c>
      <c r="PO97" s="148" t="s">
        <v>2658</v>
      </c>
      <c r="PP97" s="148" t="s">
        <v>2658</v>
      </c>
      <c r="PQ97" s="148" t="s">
        <v>650</v>
      </c>
      <c r="PR97" s="148" t="s">
        <v>2658</v>
      </c>
      <c r="PS97" s="148" t="s">
        <v>2707</v>
      </c>
      <c r="PT97" s="148" t="s">
        <v>2273</v>
      </c>
      <c r="PU97" s="148" t="s">
        <v>2455</v>
      </c>
      <c r="PV97" s="148" t="s">
        <v>2455</v>
      </c>
      <c r="PW97" s="148" t="s">
        <v>2658</v>
      </c>
      <c r="PX97" s="148"/>
      <c r="PY97" s="148"/>
      <c r="PZ97" s="148"/>
      <c r="QA97" s="148" t="s">
        <v>2613</v>
      </c>
      <c r="QB97" s="148"/>
      <c r="QC97" s="148"/>
      <c r="QD97" s="148" t="s">
        <v>650</v>
      </c>
      <c r="QE97" s="148" t="s">
        <v>9804</v>
      </c>
      <c r="QF97" s="148" t="s">
        <v>2776</v>
      </c>
      <c r="QG97" s="148" t="s">
        <v>1206</v>
      </c>
      <c r="QH97" s="148" t="s">
        <v>1206</v>
      </c>
      <c r="QI97" s="148" t="s">
        <v>2455</v>
      </c>
      <c r="QJ97" s="148" t="s">
        <v>2658</v>
      </c>
      <c r="QK97" s="148" t="s">
        <v>3545</v>
      </c>
      <c r="QL97" s="148" t="s">
        <v>3545</v>
      </c>
      <c r="QM97" s="148"/>
      <c r="QN97" s="148"/>
      <c r="QO97" s="148"/>
      <c r="QP97" s="148"/>
      <c r="QQ97" s="148" t="s">
        <v>2786</v>
      </c>
      <c r="QR97" s="148" t="s">
        <v>2786</v>
      </c>
      <c r="QS97" s="148" t="s">
        <v>1535</v>
      </c>
      <c r="QT97" s="148" t="s">
        <v>48</v>
      </c>
      <c r="QU97" s="148" t="s">
        <v>48</v>
      </c>
      <c r="QV97" s="148" t="s">
        <v>292</v>
      </c>
      <c r="QW97" s="148"/>
      <c r="QX97" s="148"/>
      <c r="QY97" s="148" t="s">
        <v>2707</v>
      </c>
      <c r="QZ97" s="148" t="s">
        <v>2613</v>
      </c>
      <c r="RA97" s="148" t="s">
        <v>2658</v>
      </c>
      <c r="RB97" s="148" t="s">
        <v>3976</v>
      </c>
      <c r="RC97" s="148"/>
      <c r="RD97" s="148" t="s">
        <v>2707</v>
      </c>
      <c r="RE97" s="148"/>
      <c r="RF97" s="148" t="s">
        <v>2707</v>
      </c>
      <c r="RG97" s="148" t="s">
        <v>2455</v>
      </c>
      <c r="RH97" s="148" t="s">
        <v>4081</v>
      </c>
      <c r="RI97" s="148" t="s">
        <v>2455</v>
      </c>
      <c r="RJ97" s="148" t="s">
        <v>2455</v>
      </c>
      <c r="RK97" s="148" t="s">
        <v>650</v>
      </c>
      <c r="RL97" s="148" t="s">
        <v>2776</v>
      </c>
      <c r="RM97" s="148" t="s">
        <v>2786</v>
      </c>
      <c r="RN97" s="148" t="s">
        <v>2153</v>
      </c>
      <c r="RO97" s="148" t="s">
        <v>1794</v>
      </c>
      <c r="RP97" s="148" t="s">
        <v>3976</v>
      </c>
      <c r="RQ97" s="148" t="s">
        <v>2455</v>
      </c>
      <c r="RR97" s="148" t="s">
        <v>2455</v>
      </c>
      <c r="RS97" s="148" t="s">
        <v>2455</v>
      </c>
      <c r="RT97" s="148" t="s">
        <v>2455</v>
      </c>
      <c r="RU97" s="148" t="s">
        <v>2455</v>
      </c>
      <c r="RV97" s="148" t="s">
        <v>2455</v>
      </c>
      <c r="RW97" s="148" t="s">
        <v>3420</v>
      </c>
      <c r="RX97" s="148" t="s">
        <v>3420</v>
      </c>
      <c r="RY97" s="148" t="s">
        <v>3420</v>
      </c>
      <c r="RZ97" s="148" t="s">
        <v>3465</v>
      </c>
      <c r="SA97" s="148" t="s">
        <v>2153</v>
      </c>
      <c r="SB97" s="148" t="s">
        <v>1011</v>
      </c>
      <c r="SC97" s="148" t="s">
        <v>1973</v>
      </c>
      <c r="SD97" s="148" t="s">
        <v>2707</v>
      </c>
      <c r="SE97" s="148" t="s">
        <v>2707</v>
      </c>
      <c r="SF97" s="148" t="s">
        <v>2707</v>
      </c>
      <c r="SG97" s="148" t="s">
        <v>2707</v>
      </c>
      <c r="SH97" s="148" t="s">
        <v>2707</v>
      </c>
      <c r="SI97" s="148" t="s">
        <v>2658</v>
      </c>
      <c r="SJ97" s="148" t="s">
        <v>650</v>
      </c>
      <c r="SK97" s="148" t="s">
        <v>4081</v>
      </c>
      <c r="SL97" s="148" t="s">
        <v>1053</v>
      </c>
    </row>
    <row r="98" ht="15.75" customHeight="1">
      <c r="A98" s="1517"/>
      <c r="B98" s="1786"/>
      <c r="C98" s="1787"/>
      <c r="D98" s="1728" t="s">
        <v>9805</v>
      </c>
      <c r="E98" s="1788"/>
      <c r="F98" s="1788"/>
      <c r="G98" s="1788" t="s">
        <v>2273</v>
      </c>
      <c r="H98" s="1789" t="s">
        <v>2455</v>
      </c>
      <c r="I98" s="1789" t="s">
        <v>2455</v>
      </c>
      <c r="J98" s="1789" t="s">
        <v>2455</v>
      </c>
      <c r="K98" s="1787"/>
      <c r="L98" s="1787"/>
      <c r="M98" s="1790"/>
      <c r="N98" s="1741"/>
      <c r="O98" s="339"/>
      <c r="P98" s="339"/>
      <c r="Q98" s="1741" t="s">
        <v>9804</v>
      </c>
      <c r="R98" s="1741" t="s">
        <v>9804</v>
      </c>
      <c r="S98" s="1741" t="s">
        <v>9804</v>
      </c>
      <c r="T98" s="1791" t="s">
        <v>2455</v>
      </c>
      <c r="U98" s="1741" t="s">
        <v>2455</v>
      </c>
      <c r="V98" s="1741"/>
      <c r="W98" s="1741"/>
      <c r="X98" s="1791"/>
      <c r="Y98" s="1791"/>
      <c r="Z98" s="339" t="s">
        <v>1486</v>
      </c>
      <c r="AA98" s="339" t="s">
        <v>1486</v>
      </c>
      <c r="AB98" s="339"/>
      <c r="AC98" s="339"/>
      <c r="AD98" s="1789"/>
      <c r="AE98" s="1789"/>
      <c r="AF98" s="1789" t="s">
        <v>2776</v>
      </c>
      <c r="AG98" s="1791"/>
      <c r="AH98" s="1791"/>
      <c r="AI98" s="1791" t="s">
        <v>2658</v>
      </c>
      <c r="AJ98" s="1792" t="s">
        <v>3420</v>
      </c>
      <c r="AK98" s="1792" t="s">
        <v>3420</v>
      </c>
      <c r="AL98" s="1741"/>
      <c r="AM98" s="339"/>
      <c r="AN98" s="1792" t="s">
        <v>2658</v>
      </c>
      <c r="AO98" s="1792" t="s">
        <v>2658</v>
      </c>
      <c r="AP98" s="1791" t="s">
        <v>9804</v>
      </c>
      <c r="AQ98" s="1791" t="s">
        <v>9804</v>
      </c>
      <c r="AR98" s="1789"/>
      <c r="AS98" s="1789"/>
      <c r="AT98" s="1788"/>
      <c r="AU98" s="1788"/>
      <c r="AV98" s="1788"/>
      <c r="AW98" s="1791"/>
      <c r="AX98" s="1791"/>
      <c r="AY98" s="1741"/>
      <c r="AZ98" s="1741"/>
      <c r="BA98" s="339" t="s">
        <v>862</v>
      </c>
      <c r="BB98" s="339" t="s">
        <v>862</v>
      </c>
      <c r="BC98" s="339" t="s">
        <v>2455</v>
      </c>
      <c r="BD98" s="1789" t="s">
        <v>48</v>
      </c>
      <c r="BE98" s="1741" t="s">
        <v>2776</v>
      </c>
      <c r="BF98" s="1741" t="s">
        <v>2776</v>
      </c>
      <c r="BG98" s="1741"/>
      <c r="BH98" s="1741"/>
      <c r="BI98" s="1789"/>
      <c r="BJ98" s="1789"/>
      <c r="BK98" s="1789"/>
      <c r="BL98" s="1741" t="s">
        <v>2613</v>
      </c>
      <c r="BM98" s="1741" t="s">
        <v>2613</v>
      </c>
      <c r="BN98" s="1741" t="s">
        <v>2613</v>
      </c>
      <c r="BO98" s="1793" t="s">
        <v>1745</v>
      </c>
      <c r="BP98" s="1793" t="s">
        <v>1745</v>
      </c>
      <c r="BQ98" s="1793" t="s">
        <v>1745</v>
      </c>
      <c r="BR98" s="1787"/>
      <c r="BS98" s="1787"/>
      <c r="BT98" s="1787"/>
      <c r="BU98" s="1789"/>
      <c r="BV98" s="1789"/>
      <c r="BW98" s="1741" t="s">
        <v>1486</v>
      </c>
      <c r="BX98" s="1741" t="s">
        <v>1486</v>
      </c>
      <c r="BY98" s="1741" t="s">
        <v>1011</v>
      </c>
      <c r="BZ98" s="339"/>
      <c r="CA98" s="339"/>
      <c r="CB98" s="1792" t="s">
        <v>2455</v>
      </c>
      <c r="CC98" s="1792" t="s">
        <v>2707</v>
      </c>
      <c r="CD98" s="1793"/>
      <c r="CE98" s="1793"/>
      <c r="CF98" s="1741" t="s">
        <v>2776</v>
      </c>
      <c r="CG98" s="1741"/>
      <c r="CH98" s="1741"/>
      <c r="CI98" s="1790"/>
      <c r="CJ98" s="1790"/>
      <c r="CK98" s="1791"/>
      <c r="CL98" s="1791"/>
      <c r="CM98" s="1791"/>
      <c r="CN98" s="1791"/>
      <c r="CO98" s="1791" t="s">
        <v>1794</v>
      </c>
      <c r="CP98" s="1791" t="s">
        <v>1794</v>
      </c>
      <c r="CQ98" s="1791" t="s">
        <v>1794</v>
      </c>
      <c r="CR98" s="1793"/>
      <c r="CS98" s="339"/>
      <c r="CT98" s="339"/>
      <c r="CU98" s="1788" t="s">
        <v>2455</v>
      </c>
      <c r="CV98" s="1788" t="s">
        <v>2455</v>
      </c>
      <c r="CW98" s="1788"/>
      <c r="CX98" s="1788"/>
      <c r="CY98" s="1792"/>
      <c r="CZ98" s="339"/>
      <c r="DA98" s="1741" t="s">
        <v>2153</v>
      </c>
      <c r="DB98" s="1741" t="s">
        <v>2153</v>
      </c>
      <c r="DC98" s="1741" t="s">
        <v>2455</v>
      </c>
      <c r="DD98" s="1741" t="s">
        <v>2455</v>
      </c>
      <c r="DE98" s="1792" t="s">
        <v>48</v>
      </c>
      <c r="DF98" s="1791"/>
      <c r="DG98" s="1791"/>
      <c r="DH98" s="1793" t="s">
        <v>650</v>
      </c>
      <c r="DI98" s="1793" t="s">
        <v>2776</v>
      </c>
      <c r="DJ98" s="1792" t="s">
        <v>2658</v>
      </c>
      <c r="DK98" s="1789"/>
      <c r="DL98" s="1741" t="s">
        <v>2658</v>
      </c>
      <c r="DM98" s="1789" t="s">
        <v>9804</v>
      </c>
      <c r="DN98" s="1789" t="s">
        <v>9804</v>
      </c>
      <c r="DO98" s="1788" t="s">
        <v>292</v>
      </c>
      <c r="DP98" s="1788" t="s">
        <v>292</v>
      </c>
      <c r="DQ98" s="1741"/>
      <c r="DR98" s="1791" t="s">
        <v>9804</v>
      </c>
      <c r="DS98" s="1792" t="s">
        <v>3465</v>
      </c>
      <c r="DT98" s="1787"/>
      <c r="DU98" s="1788" t="s">
        <v>2613</v>
      </c>
      <c r="DV98" s="339" t="s">
        <v>2455</v>
      </c>
      <c r="DW98" s="1788"/>
      <c r="DX98" s="1741"/>
      <c r="DY98" s="1741" t="s">
        <v>1011</v>
      </c>
      <c r="DZ98" s="1788"/>
      <c r="EA98" s="1789" t="s">
        <v>1011</v>
      </c>
      <c r="EB98" s="1789" t="s">
        <v>1206</v>
      </c>
      <c r="EC98" s="1791"/>
      <c r="ED98" s="1741"/>
      <c r="EE98" s="1789" t="s">
        <v>2455</v>
      </c>
      <c r="EF98" s="339"/>
      <c r="EG98" s="1788"/>
      <c r="EH98" s="1792"/>
      <c r="EI98" s="1789" t="s">
        <v>1486</v>
      </c>
      <c r="EJ98" s="1789" t="s">
        <v>1486</v>
      </c>
      <c r="EK98" s="1741" t="s">
        <v>1486</v>
      </c>
      <c r="EL98" s="1741" t="s">
        <v>2153</v>
      </c>
      <c r="EM98" s="1791" t="s">
        <v>2273</v>
      </c>
      <c r="EN98" s="1794" t="s">
        <v>862</v>
      </c>
      <c r="EO98" s="1789" t="s">
        <v>2613</v>
      </c>
      <c r="EP98" s="339" t="s">
        <v>2613</v>
      </c>
      <c r="EQ98" s="339" t="s">
        <v>9804</v>
      </c>
      <c r="ER98" s="1796" t="s">
        <v>2112</v>
      </c>
      <c r="ES98" s="1796" t="s">
        <v>2112</v>
      </c>
      <c r="ET98" s="1741" t="s">
        <v>1794</v>
      </c>
      <c r="EU98" s="1791" t="s">
        <v>2707</v>
      </c>
      <c r="EV98" s="1792"/>
      <c r="EW98" s="1787"/>
      <c r="EX98" s="1787"/>
      <c r="EY98" s="1728" t="s">
        <v>9805</v>
      </c>
      <c r="EZ98" s="339"/>
      <c r="FA98" s="339"/>
      <c r="FB98" s="367" t="s">
        <v>1486</v>
      </c>
      <c r="FC98" s="1789" t="s">
        <v>48</v>
      </c>
      <c r="FD98" s="1789" t="s">
        <v>1973</v>
      </c>
      <c r="FE98" s="1789" t="s">
        <v>1973</v>
      </c>
      <c r="FF98" s="1741" t="s">
        <v>1053</v>
      </c>
      <c r="FG98" s="1741" t="s">
        <v>1053</v>
      </c>
      <c r="FH98" s="1741" t="s">
        <v>9804</v>
      </c>
      <c r="FI98" s="1741" t="s">
        <v>9804</v>
      </c>
      <c r="FJ98" s="1788" t="s">
        <v>2776</v>
      </c>
      <c r="FK98" s="1788" t="s">
        <v>2776</v>
      </c>
      <c r="FL98" s="1787"/>
      <c r="FM98" s="1788"/>
      <c r="FN98" s="1791" t="s">
        <v>9804</v>
      </c>
      <c r="FO98" s="1789"/>
      <c r="FP98" s="1789"/>
      <c r="FQ98" s="339" t="s">
        <v>2613</v>
      </c>
      <c r="FR98" s="1792" t="s">
        <v>650</v>
      </c>
      <c r="FS98" s="1792"/>
      <c r="FT98" s="1790" t="s">
        <v>650</v>
      </c>
      <c r="FU98" s="1790" t="s">
        <v>1973</v>
      </c>
      <c r="FV98" s="1787" t="s">
        <v>2273</v>
      </c>
      <c r="FW98" s="1787" t="s">
        <v>2273</v>
      </c>
      <c r="FX98" s="1790"/>
      <c r="FY98" s="1792"/>
      <c r="FZ98" s="1642" t="s">
        <v>9805</v>
      </c>
      <c r="GA98" s="1787"/>
      <c r="GB98" s="1789" t="s">
        <v>48</v>
      </c>
      <c r="GC98" s="1789" t="s">
        <v>48</v>
      </c>
      <c r="GD98" s="1741" t="s">
        <v>2455</v>
      </c>
      <c r="GE98" s="1787"/>
      <c r="GF98" s="1792"/>
      <c r="GG98" s="1787"/>
      <c r="GH98" s="1789"/>
      <c r="GI98" s="1791" t="s">
        <v>3976</v>
      </c>
      <c r="GJ98" s="339"/>
      <c r="GK98" s="339"/>
      <c r="GL98" s="1788"/>
      <c r="GM98" s="1789" t="s">
        <v>2455</v>
      </c>
      <c r="GN98" s="1789" t="s">
        <v>2455</v>
      </c>
      <c r="GO98" s="1791" t="s">
        <v>2613</v>
      </c>
      <c r="GP98" s="1794"/>
      <c r="GQ98" s="1794" t="s">
        <v>2273</v>
      </c>
      <c r="GR98" s="1792" t="s">
        <v>2707</v>
      </c>
      <c r="GS98" s="1793" t="s">
        <v>2776</v>
      </c>
      <c r="GT98" s="1794"/>
      <c r="GU98" s="1789"/>
      <c r="GV98" s="339" t="s">
        <v>2613</v>
      </c>
      <c r="GW98" s="1793"/>
      <c r="GX98" s="1791"/>
      <c r="GY98" s="339" t="s">
        <v>2455</v>
      </c>
      <c r="GZ98" s="1791"/>
      <c r="HA98" s="1793" t="s">
        <v>1486</v>
      </c>
      <c r="HB98" s="1792"/>
      <c r="HC98" s="1791"/>
      <c r="HD98" s="1793" t="s">
        <v>2613</v>
      </c>
      <c r="HE98" s="1788" t="s">
        <v>1745</v>
      </c>
      <c r="HF98" s="339"/>
      <c r="HG98" s="1789"/>
      <c r="HH98" s="1794" t="s">
        <v>2455</v>
      </c>
      <c r="HI98" s="1741" t="s">
        <v>862</v>
      </c>
      <c r="HJ98" s="1741" t="s">
        <v>2776</v>
      </c>
      <c r="HK98" s="1788"/>
      <c r="HL98" s="1788"/>
      <c r="HM98" s="1741"/>
      <c r="HN98" s="1741"/>
      <c r="HO98" s="1792" t="s">
        <v>1486</v>
      </c>
      <c r="HP98" s="1793" t="s">
        <v>1535</v>
      </c>
      <c r="HQ98" s="1788" t="s">
        <v>1535</v>
      </c>
      <c r="HR98" s="1788" t="s">
        <v>2613</v>
      </c>
      <c r="HS98" s="1791" t="s">
        <v>292</v>
      </c>
      <c r="HT98" s="1793" t="s">
        <v>2455</v>
      </c>
      <c r="HU98" s="1794"/>
      <c r="HV98" s="1794"/>
      <c r="HW98" s="1789" t="s">
        <v>2613</v>
      </c>
      <c r="HX98" s="1789" t="s">
        <v>1486</v>
      </c>
      <c r="HY98" s="1793" t="s">
        <v>3465</v>
      </c>
      <c r="HZ98" s="1788"/>
      <c r="IA98" s="1741" t="s">
        <v>292</v>
      </c>
      <c r="IB98" s="1790"/>
      <c r="IC98" s="1791"/>
      <c r="ID98" s="1741" t="s">
        <v>1486</v>
      </c>
      <c r="IE98" s="1792" t="s">
        <v>2455</v>
      </c>
      <c r="IF98" s="339" t="s">
        <v>2776</v>
      </c>
      <c r="IG98" s="1788"/>
      <c r="IH98" s="1792" t="s">
        <v>1011</v>
      </c>
      <c r="II98" s="1792" t="s">
        <v>2658</v>
      </c>
      <c r="IJ98" s="339"/>
      <c r="IK98" s="1741"/>
      <c r="IL98" s="1789" t="s">
        <v>2613</v>
      </c>
      <c r="IM98" s="1787" t="s">
        <v>1745</v>
      </c>
      <c r="IN98" s="1793" t="s">
        <v>2455</v>
      </c>
      <c r="IO98" s="1787" t="s">
        <v>1973</v>
      </c>
      <c r="IP98" s="1790" t="s">
        <v>2707</v>
      </c>
      <c r="IQ98" s="1788" t="s">
        <v>2273</v>
      </c>
      <c r="IR98" s="1787" t="s">
        <v>4081</v>
      </c>
      <c r="IS98" s="1787" t="s">
        <v>1535</v>
      </c>
      <c r="IT98" s="1787" t="s">
        <v>1535</v>
      </c>
      <c r="IU98" s="1787" t="s">
        <v>1206</v>
      </c>
      <c r="IV98" s="1788"/>
      <c r="IW98" s="1788" t="s">
        <v>2707</v>
      </c>
      <c r="IX98" s="1788" t="s">
        <v>2658</v>
      </c>
      <c r="IY98" s="1789" t="s">
        <v>1486</v>
      </c>
      <c r="IZ98" s="1789" t="s">
        <v>650</v>
      </c>
      <c r="JA98" s="1789" t="s">
        <v>650</v>
      </c>
      <c r="JB98" s="1793"/>
      <c r="JC98" s="1793"/>
      <c r="JD98" s="1741" t="s">
        <v>862</v>
      </c>
      <c r="JE98" s="1790" t="s">
        <v>862</v>
      </c>
      <c r="JF98" s="1788"/>
      <c r="JG98" s="1790"/>
      <c r="JH98" s="339"/>
      <c r="JI98" s="1791"/>
      <c r="JJ98" s="1787"/>
      <c r="JK98" s="1787"/>
      <c r="JL98" s="1787" t="s">
        <v>4081</v>
      </c>
      <c r="JM98" s="1787" t="s">
        <v>4081</v>
      </c>
      <c r="JN98" s="1741"/>
      <c r="JO98" s="1741" t="s">
        <v>1535</v>
      </c>
      <c r="JP98" s="1741" t="s">
        <v>3976</v>
      </c>
      <c r="JQ98" s="1789" t="s">
        <v>9804</v>
      </c>
      <c r="JR98" s="1789" t="s">
        <v>9804</v>
      </c>
      <c r="JS98" s="1790" t="s">
        <v>2455</v>
      </c>
      <c r="JT98" s="339" t="s">
        <v>862</v>
      </c>
      <c r="JU98" s="1790" t="s">
        <v>2658</v>
      </c>
      <c r="JV98" s="1790" t="s">
        <v>2658</v>
      </c>
      <c r="JW98" s="1790" t="s">
        <v>2658</v>
      </c>
      <c r="JX98" s="1789"/>
      <c r="JY98" s="1789" t="s">
        <v>9804</v>
      </c>
      <c r="JZ98" s="1741"/>
      <c r="KA98" s="1787" t="s">
        <v>1535</v>
      </c>
      <c r="KB98" s="1741" t="s">
        <v>862</v>
      </c>
      <c r="KC98" s="1790" t="s">
        <v>862</v>
      </c>
      <c r="KD98" s="1741" t="s">
        <v>862</v>
      </c>
      <c r="KE98" s="1793"/>
      <c r="KF98" s="339" t="s">
        <v>2455</v>
      </c>
      <c r="KG98" s="1741"/>
      <c r="KH98" s="1792" t="s">
        <v>2455</v>
      </c>
      <c r="KI98" s="1789" t="s">
        <v>2455</v>
      </c>
      <c r="KJ98" s="1789" t="s">
        <v>2455</v>
      </c>
      <c r="KK98" s="339" t="s">
        <v>2455</v>
      </c>
      <c r="KL98" s="1741" t="s">
        <v>1011</v>
      </c>
      <c r="KM98" s="1789"/>
      <c r="KN98" s="1793" t="s">
        <v>3465</v>
      </c>
      <c r="KO98" s="1792" t="s">
        <v>2455</v>
      </c>
      <c r="KP98" s="1791" t="s">
        <v>2455</v>
      </c>
      <c r="KQ98" s="1791" t="s">
        <v>4172</v>
      </c>
      <c r="KR98" s="1794" t="s">
        <v>1973</v>
      </c>
      <c r="KS98" s="1793" t="s">
        <v>650</v>
      </c>
      <c r="KT98" s="1793" t="s">
        <v>650</v>
      </c>
      <c r="KU98" s="1793" t="s">
        <v>3976</v>
      </c>
      <c r="KV98" s="1789" t="s">
        <v>2658</v>
      </c>
      <c r="KW98" s="1788" t="s">
        <v>2658</v>
      </c>
      <c r="KX98" s="1787"/>
      <c r="KY98" s="339"/>
      <c r="KZ98" s="339" t="s">
        <v>2455</v>
      </c>
      <c r="LA98" s="339" t="s">
        <v>2455</v>
      </c>
      <c r="LB98" s="1793" t="s">
        <v>2707</v>
      </c>
      <c r="LC98" s="1791" t="s">
        <v>2707</v>
      </c>
      <c r="LD98" s="1787"/>
      <c r="LE98" s="1787" t="s">
        <v>1486</v>
      </c>
      <c r="LF98" s="1791" t="s">
        <v>1486</v>
      </c>
      <c r="LG98" s="1788" t="s">
        <v>2776</v>
      </c>
      <c r="LH98" s="1789" t="s">
        <v>2776</v>
      </c>
      <c r="LI98" s="1789"/>
      <c r="LJ98" s="1789"/>
      <c r="LK98" s="339"/>
      <c r="LL98" s="1788"/>
      <c r="LM98" s="1741"/>
      <c r="LN98" s="1794"/>
      <c r="LO98" s="1791" t="s">
        <v>2707</v>
      </c>
      <c r="LP98" s="1741" t="s">
        <v>1053</v>
      </c>
      <c r="LQ98" s="1741"/>
      <c r="LR98" s="1787" t="s">
        <v>2455</v>
      </c>
      <c r="LS98" s="1787" t="s">
        <v>2153</v>
      </c>
      <c r="LT98" s="1787" t="s">
        <v>1535</v>
      </c>
      <c r="LU98" s="1787" t="s">
        <v>1535</v>
      </c>
      <c r="LV98" s="1789" t="s">
        <v>1206</v>
      </c>
      <c r="LW98" s="1789" t="s">
        <v>1206</v>
      </c>
      <c r="LX98" s="1790" t="s">
        <v>2658</v>
      </c>
      <c r="LY98" s="1794"/>
      <c r="LZ98" s="339" t="s">
        <v>1486</v>
      </c>
      <c r="MA98" s="1788" t="s">
        <v>1011</v>
      </c>
      <c r="MB98" s="1793"/>
      <c r="MC98" s="1789" t="s">
        <v>2455</v>
      </c>
      <c r="MD98" s="1788" t="s">
        <v>3465</v>
      </c>
      <c r="ME98" s="1788" t="s">
        <v>1973</v>
      </c>
      <c r="MF98" s="1741"/>
      <c r="MG98" s="1794"/>
      <c r="MH98" s="1791"/>
      <c r="MI98" s="1787"/>
      <c r="MJ98" s="1793"/>
      <c r="MK98" s="1793" t="s">
        <v>2455</v>
      </c>
      <c r="ML98" s="1741"/>
      <c r="MM98" s="1792" t="s">
        <v>9804</v>
      </c>
      <c r="MN98" s="1790"/>
      <c r="MO98" s="1787" t="s">
        <v>1794</v>
      </c>
      <c r="MP98" s="1794"/>
      <c r="MQ98" s="1794"/>
      <c r="MR98" s="1794"/>
      <c r="MS98" s="1794" t="s">
        <v>2658</v>
      </c>
      <c r="MT98" s="1787" t="s">
        <v>9804</v>
      </c>
      <c r="MU98" s="1789" t="s">
        <v>2776</v>
      </c>
      <c r="MV98" s="1790" t="s">
        <v>2707</v>
      </c>
      <c r="MW98" s="1789"/>
      <c r="MX98" s="1793"/>
      <c r="MY98" s="1793"/>
      <c r="MZ98" s="1789"/>
      <c r="NA98" s="1789"/>
      <c r="NB98" s="1789" t="s">
        <v>1486</v>
      </c>
      <c r="NC98" s="1789"/>
      <c r="ND98" s="1789" t="s">
        <v>2455</v>
      </c>
      <c r="NE98" s="1792" t="s">
        <v>2613</v>
      </c>
      <c r="NF98" s="1793" t="s">
        <v>2455</v>
      </c>
      <c r="NG98" s="1792"/>
      <c r="NH98" s="1796" t="s">
        <v>2112</v>
      </c>
      <c r="NI98" s="1797" t="s">
        <v>9804</v>
      </c>
      <c r="NJ98" s="1789" t="s">
        <v>2273</v>
      </c>
      <c r="NK98" s="1789"/>
      <c r="NL98" s="1789" t="s">
        <v>2658</v>
      </c>
      <c r="NM98" s="1789" t="s">
        <v>2658</v>
      </c>
      <c r="NN98" s="1741" t="s">
        <v>2455</v>
      </c>
      <c r="NO98" s="1789" t="s">
        <v>1486</v>
      </c>
      <c r="NP98" s="1793" t="s">
        <v>1486</v>
      </c>
      <c r="NQ98" s="1788" t="s">
        <v>1053</v>
      </c>
      <c r="NR98" s="1789" t="s">
        <v>2658</v>
      </c>
      <c r="NS98" s="1789" t="s">
        <v>1011</v>
      </c>
      <c r="NT98" s="1788" t="s">
        <v>2153</v>
      </c>
      <c r="NU98" s="1787" t="s">
        <v>48</v>
      </c>
      <c r="NV98" s="339" t="s">
        <v>1053</v>
      </c>
      <c r="NW98" s="1788" t="s">
        <v>2658</v>
      </c>
      <c r="NX98" s="1788"/>
      <c r="NY98" s="1788"/>
      <c r="NZ98" s="1788"/>
      <c r="OA98" s="1787"/>
      <c r="OB98" s="1787"/>
      <c r="OC98" s="1798" t="s">
        <v>1745</v>
      </c>
      <c r="OD98" s="1741" t="s">
        <v>650</v>
      </c>
      <c r="OE98" s="1741" t="s">
        <v>862</v>
      </c>
      <c r="OF98" s="1741" t="s">
        <v>862</v>
      </c>
      <c r="OG98" s="1789"/>
      <c r="OH98" s="1789"/>
      <c r="OI98" s="1795" t="s">
        <v>2613</v>
      </c>
      <c r="OJ98" s="1741" t="s">
        <v>9804</v>
      </c>
      <c r="OK98" s="1741" t="s">
        <v>9804</v>
      </c>
      <c r="OL98" s="1741" t="s">
        <v>9804</v>
      </c>
      <c r="OM98" s="1741" t="s">
        <v>1486</v>
      </c>
      <c r="ON98" s="1741" t="s">
        <v>2455</v>
      </c>
      <c r="OO98" s="1788"/>
      <c r="OP98" s="1788"/>
      <c r="OQ98" s="1789"/>
      <c r="OR98" s="1789"/>
      <c r="OS98" s="1789"/>
      <c r="OT98" s="1787"/>
      <c r="OU98" s="1787"/>
      <c r="OV98" s="1789" t="s">
        <v>2153</v>
      </c>
      <c r="OW98" s="1789" t="s">
        <v>2153</v>
      </c>
      <c r="OX98" s="1793"/>
      <c r="OY98" s="1793" t="s">
        <v>1206</v>
      </c>
      <c r="OZ98" s="1787"/>
      <c r="PA98" s="1787"/>
      <c r="PB98" s="339" t="s">
        <v>2613</v>
      </c>
      <c r="PC98" s="1792" t="s">
        <v>1011</v>
      </c>
      <c r="PD98" s="339"/>
      <c r="PE98" s="339"/>
      <c r="PF98" s="339" t="s">
        <v>2613</v>
      </c>
      <c r="PG98" s="1790" t="s">
        <v>862</v>
      </c>
      <c r="PH98" s="1741"/>
      <c r="PI98" s="1741"/>
      <c r="PJ98" s="1792"/>
      <c r="PK98" s="1792"/>
      <c r="PL98" s="1791"/>
      <c r="PM98" s="1791"/>
      <c r="PN98" s="1791" t="s">
        <v>3976</v>
      </c>
      <c r="PO98" s="1791" t="s">
        <v>3976</v>
      </c>
      <c r="PP98" s="1791" t="s">
        <v>3976</v>
      </c>
      <c r="PQ98" s="1741" t="s">
        <v>2455</v>
      </c>
      <c r="PR98" s="1741" t="s">
        <v>2707</v>
      </c>
      <c r="PS98" s="1791" t="s">
        <v>2776</v>
      </c>
      <c r="PT98" s="1794" t="s">
        <v>2455</v>
      </c>
      <c r="PU98" s="1793"/>
      <c r="PV98" s="1793" t="s">
        <v>1486</v>
      </c>
      <c r="PW98" s="339" t="s">
        <v>2707</v>
      </c>
      <c r="PX98" s="1791"/>
      <c r="PY98" s="1791"/>
      <c r="PZ98" s="1787"/>
      <c r="QA98" s="1787"/>
      <c r="QB98" s="1741"/>
      <c r="QC98" s="1792"/>
      <c r="QD98" s="1792" t="s">
        <v>2455</v>
      </c>
      <c r="QE98" s="1794"/>
      <c r="QF98" s="1791"/>
      <c r="QG98" s="1795" t="s">
        <v>9804</v>
      </c>
      <c r="QH98" s="1795" t="s">
        <v>9804</v>
      </c>
      <c r="QI98" s="1789" t="s">
        <v>1206</v>
      </c>
      <c r="QJ98" s="1794" t="s">
        <v>2776</v>
      </c>
      <c r="QK98" s="1789" t="s">
        <v>2658</v>
      </c>
      <c r="QL98" s="1789" t="s">
        <v>2658</v>
      </c>
      <c r="QM98" s="1741"/>
      <c r="QN98" s="1741"/>
      <c r="QO98" s="1791"/>
      <c r="QP98" s="1791"/>
      <c r="QQ98" s="1789" t="s">
        <v>2658</v>
      </c>
      <c r="QR98" s="1789" t="s">
        <v>3420</v>
      </c>
      <c r="QS98" s="1787"/>
      <c r="QT98" s="1789" t="s">
        <v>292</v>
      </c>
      <c r="QU98" s="1789" t="s">
        <v>292</v>
      </c>
      <c r="QV98" s="1789" t="s">
        <v>2455</v>
      </c>
      <c r="QW98" s="1790"/>
      <c r="QX98" s="1790"/>
      <c r="QY98" s="1794" t="s">
        <v>2455</v>
      </c>
      <c r="QZ98" s="1793"/>
      <c r="RA98" s="1792" t="s">
        <v>48</v>
      </c>
      <c r="RB98" s="1793" t="s">
        <v>2776</v>
      </c>
      <c r="RC98" s="1789"/>
      <c r="RD98" s="339" t="s">
        <v>2455</v>
      </c>
      <c r="RE98" s="1788"/>
      <c r="RF98" s="1790" t="s">
        <v>1973</v>
      </c>
      <c r="RG98" s="1787" t="s">
        <v>2613</v>
      </c>
      <c r="RH98" s="1787" t="s">
        <v>2455</v>
      </c>
      <c r="RI98" s="1789" t="s">
        <v>2613</v>
      </c>
      <c r="RJ98" s="1791"/>
      <c r="RK98" s="1741" t="s">
        <v>2455</v>
      </c>
      <c r="RL98" s="1788" t="s">
        <v>2613</v>
      </c>
      <c r="RM98" s="1790" t="s">
        <v>1921</v>
      </c>
      <c r="RN98" s="1793" t="s">
        <v>3465</v>
      </c>
      <c r="RO98" s="1794" t="s">
        <v>2658</v>
      </c>
      <c r="RP98" s="1790" t="s">
        <v>2455</v>
      </c>
      <c r="RQ98" s="1788" t="s">
        <v>2613</v>
      </c>
      <c r="RR98" s="1799" t="s">
        <v>2613</v>
      </c>
      <c r="RS98" s="1799" t="s">
        <v>2613</v>
      </c>
      <c r="RT98" s="1799" t="s">
        <v>2613</v>
      </c>
      <c r="RU98" s="1799" t="s">
        <v>2613</v>
      </c>
      <c r="RV98" s="1799" t="s">
        <v>2613</v>
      </c>
      <c r="RW98" s="339" t="s">
        <v>2658</v>
      </c>
      <c r="RX98" s="1792" t="s">
        <v>2658</v>
      </c>
      <c r="RY98" s="1789" t="s">
        <v>1053</v>
      </c>
      <c r="RZ98" s="1790" t="s">
        <v>1011</v>
      </c>
      <c r="SA98" s="1791" t="s">
        <v>2455</v>
      </c>
      <c r="SB98" s="1741" t="s">
        <v>2455</v>
      </c>
      <c r="SC98" s="1790" t="s">
        <v>2153</v>
      </c>
      <c r="SD98" s="1794" t="s">
        <v>1973</v>
      </c>
      <c r="SE98" s="1794" t="s">
        <v>1973</v>
      </c>
      <c r="SF98" s="339" t="s">
        <v>2455</v>
      </c>
      <c r="SG98" s="1789" t="s">
        <v>2776</v>
      </c>
      <c r="SH98" s="1789" t="s">
        <v>2776</v>
      </c>
      <c r="SI98" s="1794" t="s">
        <v>3976</v>
      </c>
      <c r="SJ98" s="1787" t="s">
        <v>2455</v>
      </c>
      <c r="SK98" s="1787" t="s">
        <v>2455</v>
      </c>
      <c r="SL98" s="1793" t="s">
        <v>2658</v>
      </c>
    </row>
    <row r="99" ht="15.75" customHeight="1">
      <c r="A99" s="1517"/>
      <c r="B99" s="148"/>
      <c r="C99" s="148"/>
      <c r="D99" s="253" t="s">
        <v>2229</v>
      </c>
      <c r="E99" s="148"/>
      <c r="F99" s="148"/>
      <c r="G99" s="148" t="s">
        <v>2455</v>
      </c>
      <c r="H99" s="148" t="s">
        <v>1486</v>
      </c>
      <c r="I99" s="148" t="s">
        <v>1486</v>
      </c>
      <c r="J99" s="148" t="s">
        <v>1206</v>
      </c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 t="s">
        <v>2613</v>
      </c>
      <c r="AA99" s="148" t="s">
        <v>2613</v>
      </c>
      <c r="AB99" s="148"/>
      <c r="AC99" s="148"/>
      <c r="AD99" s="148"/>
      <c r="AE99" s="148"/>
      <c r="AF99" s="148" t="s">
        <v>48</v>
      </c>
      <c r="AG99" s="148"/>
      <c r="AH99" s="148"/>
      <c r="AI99" s="148" t="s">
        <v>2776</v>
      </c>
      <c r="AJ99" s="148" t="s">
        <v>1053</v>
      </c>
      <c r="AK99" s="148" t="s">
        <v>1053</v>
      </c>
      <c r="AL99" s="148"/>
      <c r="AM99" s="148"/>
      <c r="AN99" s="148" t="s">
        <v>292</v>
      </c>
      <c r="AO99" s="148" t="s">
        <v>292</v>
      </c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 t="s">
        <v>2455</v>
      </c>
      <c r="BB99" s="148" t="s">
        <v>2455</v>
      </c>
      <c r="BC99" s="148" t="s">
        <v>2613</v>
      </c>
      <c r="BD99" s="148" t="s">
        <v>2455</v>
      </c>
      <c r="BE99" s="148" t="s">
        <v>650</v>
      </c>
      <c r="BF99" s="148" t="s">
        <v>650</v>
      </c>
      <c r="BG99" s="148"/>
      <c r="BH99" s="148"/>
      <c r="BI99" s="148"/>
      <c r="BJ99" s="148"/>
      <c r="BK99" s="148"/>
      <c r="BL99" s="148"/>
      <c r="BM99" s="148"/>
      <c r="BN99" s="148"/>
      <c r="BO99" s="148"/>
      <c r="BP99" s="148"/>
      <c r="BQ99" s="148"/>
      <c r="BR99" s="148"/>
      <c r="BS99" s="148"/>
      <c r="BT99" s="148"/>
      <c r="BU99" s="148"/>
      <c r="BV99" s="148"/>
      <c r="BW99" s="148" t="s">
        <v>1745</v>
      </c>
      <c r="BX99" s="148" t="s">
        <v>1745</v>
      </c>
      <c r="BY99" s="148" t="s">
        <v>2455</v>
      </c>
      <c r="BZ99" s="148"/>
      <c r="CA99" s="148"/>
      <c r="CB99" s="148" t="s">
        <v>2613</v>
      </c>
      <c r="CC99" s="148" t="s">
        <v>48</v>
      </c>
      <c r="CD99" s="148"/>
      <c r="CE99" s="148"/>
      <c r="CF99" s="148" t="s">
        <v>2273</v>
      </c>
      <c r="CG99" s="148"/>
      <c r="CH99" s="148"/>
      <c r="CI99" s="148"/>
      <c r="CJ99" s="148"/>
      <c r="CK99" s="148"/>
      <c r="CL99" s="148"/>
      <c r="CM99" s="148"/>
      <c r="CN99" s="148"/>
      <c r="CO99" s="148" t="s">
        <v>2658</v>
      </c>
      <c r="CP99" s="148" t="s">
        <v>2658</v>
      </c>
      <c r="CQ99" s="148" t="s">
        <v>2658</v>
      </c>
      <c r="CR99" s="148"/>
      <c r="CS99" s="148"/>
      <c r="CT99" s="148"/>
      <c r="CU99" s="148" t="s">
        <v>1745</v>
      </c>
      <c r="CV99" s="148" t="s">
        <v>1745</v>
      </c>
      <c r="CW99" s="148"/>
      <c r="CX99" s="148"/>
      <c r="CY99" s="148"/>
      <c r="CZ99" s="148"/>
      <c r="DA99" s="148" t="s">
        <v>650</v>
      </c>
      <c r="DB99" s="148" t="s">
        <v>650</v>
      </c>
      <c r="DC99" s="148" t="s">
        <v>1745</v>
      </c>
      <c r="DD99" s="148"/>
      <c r="DE99" s="148" t="s">
        <v>2455</v>
      </c>
      <c r="DF99" s="148"/>
      <c r="DG99" s="148"/>
      <c r="DH99" s="148" t="s">
        <v>2455</v>
      </c>
      <c r="DI99" s="148" t="s">
        <v>1973</v>
      </c>
      <c r="DJ99" s="148" t="s">
        <v>650</v>
      </c>
      <c r="DK99" s="148"/>
      <c r="DL99" s="148" t="s">
        <v>3976</v>
      </c>
      <c r="DM99" s="148"/>
      <c r="DN99" s="148"/>
      <c r="DO99" s="148" t="s">
        <v>2455</v>
      </c>
      <c r="DP99" s="148" t="s">
        <v>2455</v>
      </c>
      <c r="DQ99" s="148"/>
      <c r="DR99" s="148"/>
      <c r="DS99" s="148" t="s">
        <v>2455</v>
      </c>
      <c r="DT99" s="148"/>
      <c r="DU99" s="148"/>
      <c r="DV99" s="148" t="s">
        <v>2613</v>
      </c>
      <c r="DW99" s="148"/>
      <c r="DX99" s="148"/>
      <c r="DY99" s="148" t="s">
        <v>1206</v>
      </c>
      <c r="DZ99" s="148"/>
      <c r="EA99" s="148" t="s">
        <v>1206</v>
      </c>
      <c r="EB99" s="148" t="s">
        <v>2613</v>
      </c>
      <c r="EC99" s="148"/>
      <c r="ED99" s="148"/>
      <c r="EE99" s="148" t="s">
        <v>2613</v>
      </c>
      <c r="EF99" s="148"/>
      <c r="EG99" s="148"/>
      <c r="EH99" s="148"/>
      <c r="EI99" s="148"/>
      <c r="EJ99" s="148"/>
      <c r="EK99" s="148"/>
      <c r="EL99" s="148" t="s">
        <v>3465</v>
      </c>
      <c r="EM99" s="148" t="s">
        <v>1011</v>
      </c>
      <c r="EN99" s="148" t="s">
        <v>1011</v>
      </c>
      <c r="EO99" s="148" t="s">
        <v>9804</v>
      </c>
      <c r="EP99" s="148" t="s">
        <v>9804</v>
      </c>
      <c r="EQ99" s="148"/>
      <c r="ER99" s="148"/>
      <c r="ES99" s="148"/>
      <c r="ET99" s="148" t="s">
        <v>2658</v>
      </c>
      <c r="EU99" s="148" t="s">
        <v>48</v>
      </c>
      <c r="EV99" s="148"/>
      <c r="EW99" s="148"/>
      <c r="EX99" s="148"/>
      <c r="EY99" s="253" t="s">
        <v>2229</v>
      </c>
      <c r="EZ99" s="148"/>
      <c r="FA99" s="148"/>
      <c r="FB99" s="1732" t="s">
        <v>9805</v>
      </c>
      <c r="FC99" s="148" t="s">
        <v>2455</v>
      </c>
      <c r="FD99" s="148" t="s">
        <v>48</v>
      </c>
      <c r="FE99" s="148" t="s">
        <v>48</v>
      </c>
      <c r="FF99" s="148" t="s">
        <v>2658</v>
      </c>
      <c r="FG99" s="148" t="s">
        <v>2658</v>
      </c>
      <c r="FH99" s="148"/>
      <c r="FI99" s="148"/>
      <c r="FJ99" s="148" t="s">
        <v>1486</v>
      </c>
      <c r="FK99" s="148" t="s">
        <v>1486</v>
      </c>
      <c r="FL99" s="148"/>
      <c r="FM99" s="148"/>
      <c r="FN99" s="148"/>
      <c r="FO99" s="148"/>
      <c r="FP99" s="148"/>
      <c r="FQ99" s="148"/>
      <c r="FR99" s="148" t="s">
        <v>2455</v>
      </c>
      <c r="FS99" s="148"/>
      <c r="FT99" s="148" t="s">
        <v>2455</v>
      </c>
      <c r="FU99" s="148" t="s">
        <v>650</v>
      </c>
      <c r="FV99" s="148" t="s">
        <v>2613</v>
      </c>
      <c r="FW99" s="148" t="s">
        <v>2613</v>
      </c>
      <c r="FX99" s="148"/>
      <c r="FY99" s="148"/>
      <c r="FZ99" s="159" t="s">
        <v>9806</v>
      </c>
      <c r="GA99" s="148"/>
      <c r="GB99" s="148" t="s">
        <v>2455</v>
      </c>
      <c r="GC99" s="148" t="s">
        <v>2455</v>
      </c>
      <c r="GD99" s="148" t="s">
        <v>1486</v>
      </c>
      <c r="GE99" s="148"/>
      <c r="GF99" s="148"/>
      <c r="GG99" s="148"/>
      <c r="GH99" s="148"/>
      <c r="GI99" s="148" t="s">
        <v>2707</v>
      </c>
      <c r="GJ99" s="148"/>
      <c r="GK99" s="148"/>
      <c r="GL99" s="148"/>
      <c r="GM99" s="148" t="s">
        <v>1486</v>
      </c>
      <c r="GN99" s="148" t="s">
        <v>1486</v>
      </c>
      <c r="GO99" s="148"/>
      <c r="GP99" s="148"/>
      <c r="GQ99" s="148" t="s">
        <v>2455</v>
      </c>
      <c r="GR99" s="148" t="s">
        <v>48</v>
      </c>
      <c r="GS99" s="148"/>
      <c r="GT99" s="148"/>
      <c r="GU99" s="148"/>
      <c r="GV99" s="148"/>
      <c r="GW99" s="148"/>
      <c r="GX99" s="148"/>
      <c r="GY99" s="148" t="s">
        <v>1486</v>
      </c>
      <c r="GZ99" s="148"/>
      <c r="HA99" s="148" t="s">
        <v>9804</v>
      </c>
      <c r="HB99" s="148"/>
      <c r="HC99" s="148"/>
      <c r="HD99" s="148"/>
      <c r="HE99" s="148"/>
      <c r="HF99" s="148"/>
      <c r="HG99" s="148"/>
      <c r="HH99" s="148"/>
      <c r="HI99" s="148" t="s">
        <v>2455</v>
      </c>
      <c r="HJ99" s="148" t="s">
        <v>862</v>
      </c>
      <c r="HK99" s="148"/>
      <c r="HL99" s="148"/>
      <c r="HM99" s="148"/>
      <c r="HN99" s="148"/>
      <c r="HO99" s="148"/>
      <c r="HP99" s="148" t="s">
        <v>2613</v>
      </c>
      <c r="HQ99" s="148" t="s">
        <v>2613</v>
      </c>
      <c r="HR99" s="148"/>
      <c r="HS99" s="148" t="s">
        <v>862</v>
      </c>
      <c r="HT99" s="148" t="s">
        <v>9804</v>
      </c>
      <c r="HU99" s="148"/>
      <c r="HV99" s="148"/>
      <c r="HW99" s="276" t="s">
        <v>9804</v>
      </c>
      <c r="HX99" s="148" t="s">
        <v>1535</v>
      </c>
      <c r="HY99" s="148" t="s">
        <v>2455</v>
      </c>
      <c r="HZ99" s="148"/>
      <c r="IA99" s="148" t="s">
        <v>2455</v>
      </c>
      <c r="IB99" s="148"/>
      <c r="IC99" s="148"/>
      <c r="ID99" s="148" t="s">
        <v>9804</v>
      </c>
      <c r="IE99" s="148" t="s">
        <v>2613</v>
      </c>
      <c r="IF99" s="148" t="s">
        <v>2455</v>
      </c>
      <c r="IG99" s="148"/>
      <c r="IH99" s="148" t="s">
        <v>2455</v>
      </c>
      <c r="II99" s="148" t="s">
        <v>650</v>
      </c>
      <c r="IJ99" s="148"/>
      <c r="IK99" s="148"/>
      <c r="IL99" s="148"/>
      <c r="IM99" s="148"/>
      <c r="IN99" s="148" t="s">
        <v>1745</v>
      </c>
      <c r="IO99" s="148" t="s">
        <v>48</v>
      </c>
      <c r="IP99" s="148" t="s">
        <v>1973</v>
      </c>
      <c r="IQ99" s="148" t="s">
        <v>1011</v>
      </c>
      <c r="IR99" s="148" t="s">
        <v>2776</v>
      </c>
      <c r="IS99" s="148"/>
      <c r="IT99" s="148"/>
      <c r="IU99" s="276" t="s">
        <v>1535</v>
      </c>
      <c r="IV99" s="148"/>
      <c r="IW99" s="148" t="s">
        <v>292</v>
      </c>
      <c r="IX99" s="148" t="s">
        <v>2707</v>
      </c>
      <c r="IY99" s="148" t="s">
        <v>1745</v>
      </c>
      <c r="IZ99" s="148" t="s">
        <v>2455</v>
      </c>
      <c r="JA99" s="148" t="s">
        <v>2455</v>
      </c>
      <c r="JB99" s="148"/>
      <c r="JC99" s="148"/>
      <c r="JD99" s="148" t="s">
        <v>2455</v>
      </c>
      <c r="JE99" s="148" t="s">
        <v>2455</v>
      </c>
      <c r="JF99" s="148"/>
      <c r="JG99" s="148"/>
      <c r="JH99" s="148"/>
      <c r="JI99" s="148"/>
      <c r="JJ99" s="148"/>
      <c r="JK99" s="148"/>
      <c r="JL99" s="148" t="s">
        <v>2776</v>
      </c>
      <c r="JM99" s="148" t="s">
        <v>2776</v>
      </c>
      <c r="JN99" s="148"/>
      <c r="JO99" s="148"/>
      <c r="JP99" s="148" t="s">
        <v>2707</v>
      </c>
      <c r="JQ99" s="148"/>
      <c r="JR99" s="148"/>
      <c r="JS99" s="148" t="s">
        <v>9804</v>
      </c>
      <c r="JT99" s="148" t="s">
        <v>2455</v>
      </c>
      <c r="JU99" s="148" t="s">
        <v>2707</v>
      </c>
      <c r="JV99" s="148" t="s">
        <v>2707</v>
      </c>
      <c r="JW99" s="148" t="s">
        <v>2707</v>
      </c>
      <c r="JX99" s="148"/>
      <c r="JY99" s="148"/>
      <c r="JZ99" s="148"/>
      <c r="KA99" s="148" t="s">
        <v>1745</v>
      </c>
      <c r="KB99" s="148" t="s">
        <v>2455</v>
      </c>
      <c r="KC99" s="148" t="s">
        <v>2455</v>
      </c>
      <c r="KD99" s="148" t="s">
        <v>2455</v>
      </c>
      <c r="KE99" s="148"/>
      <c r="KF99" s="148"/>
      <c r="KG99" s="148"/>
      <c r="KH99" s="148" t="s">
        <v>1486</v>
      </c>
      <c r="KI99" s="148" t="s">
        <v>1486</v>
      </c>
      <c r="KJ99" s="148" t="s">
        <v>1206</v>
      </c>
      <c r="KK99" s="148" t="s">
        <v>1745</v>
      </c>
      <c r="KL99" s="148" t="s">
        <v>2455</v>
      </c>
      <c r="KM99" s="148"/>
      <c r="KN99" s="148" t="s">
        <v>2455</v>
      </c>
      <c r="KO99" s="148" t="s">
        <v>1486</v>
      </c>
      <c r="KP99" s="148" t="s">
        <v>1486</v>
      </c>
      <c r="KQ99" s="148" t="s">
        <v>1794</v>
      </c>
      <c r="KR99" s="148" t="s">
        <v>3465</v>
      </c>
      <c r="KS99" s="148" t="s">
        <v>3465</v>
      </c>
      <c r="KT99" s="148" t="s">
        <v>3465</v>
      </c>
      <c r="KU99" s="148" t="s">
        <v>2776</v>
      </c>
      <c r="KV99" s="148" t="s">
        <v>2707</v>
      </c>
      <c r="KW99" s="148" t="s">
        <v>2707</v>
      </c>
      <c r="KX99" s="148"/>
      <c r="KY99" s="148"/>
      <c r="KZ99" s="148" t="s">
        <v>1486</v>
      </c>
      <c r="LA99" s="148" t="s">
        <v>1486</v>
      </c>
      <c r="LB99" s="148" t="s">
        <v>2455</v>
      </c>
      <c r="LC99" s="148" t="s">
        <v>2455</v>
      </c>
      <c r="LD99" s="148"/>
      <c r="LE99" s="148" t="s">
        <v>1535</v>
      </c>
      <c r="LF99" s="148" t="s">
        <v>1535</v>
      </c>
      <c r="LG99" s="148" t="s">
        <v>1973</v>
      </c>
      <c r="LH99" s="148" t="s">
        <v>1973</v>
      </c>
      <c r="LI99" s="148"/>
      <c r="LJ99" s="148"/>
      <c r="LK99" s="148"/>
      <c r="LL99" s="148"/>
      <c r="LM99" s="148"/>
      <c r="LN99" s="148"/>
      <c r="LO99" s="148" t="s">
        <v>292</v>
      </c>
      <c r="LP99" s="148" t="s">
        <v>2658</v>
      </c>
      <c r="LQ99" s="148"/>
      <c r="LR99" s="148" t="s">
        <v>1206</v>
      </c>
      <c r="LS99" s="148" t="s">
        <v>2273</v>
      </c>
      <c r="LT99" s="148"/>
      <c r="LU99" s="148" t="s">
        <v>1745</v>
      </c>
      <c r="LV99" s="148" t="s">
        <v>9804</v>
      </c>
      <c r="LW99" s="148" t="s">
        <v>9804</v>
      </c>
      <c r="LX99" s="148" t="s">
        <v>2707</v>
      </c>
      <c r="LY99" s="148"/>
      <c r="LZ99" s="148" t="s">
        <v>2613</v>
      </c>
      <c r="MA99" s="148" t="s">
        <v>1486</v>
      </c>
      <c r="MB99" s="148"/>
      <c r="MC99" s="148"/>
      <c r="MD99" s="148" t="s">
        <v>2455</v>
      </c>
      <c r="ME99" s="148" t="s">
        <v>650</v>
      </c>
      <c r="MF99" s="148"/>
      <c r="MG99" s="148"/>
      <c r="MH99" s="148"/>
      <c r="MI99" s="148"/>
      <c r="MJ99" s="148"/>
      <c r="MK99" s="148" t="s">
        <v>1745</v>
      </c>
      <c r="ML99" s="148"/>
      <c r="MM99" s="148"/>
      <c r="MN99" s="148"/>
      <c r="MO99" s="148" t="s">
        <v>1053</v>
      </c>
      <c r="MP99" s="148"/>
      <c r="MQ99" s="148"/>
      <c r="MR99" s="148"/>
      <c r="MS99" s="148" t="s">
        <v>3976</v>
      </c>
      <c r="MT99" s="148"/>
      <c r="MU99" s="148" t="s">
        <v>1486</v>
      </c>
      <c r="MV99" s="148" t="s">
        <v>292</v>
      </c>
      <c r="MW99" s="148"/>
      <c r="MX99" s="148"/>
      <c r="MY99" s="148"/>
      <c r="MZ99" s="148"/>
      <c r="NA99" s="148"/>
      <c r="NB99" s="148" t="s">
        <v>2613</v>
      </c>
      <c r="NC99" s="148"/>
      <c r="ND99" s="148"/>
      <c r="NE99" s="148"/>
      <c r="NF99" s="148"/>
      <c r="NG99" s="148"/>
      <c r="NH99" s="148"/>
      <c r="NI99" s="139" t="s">
        <v>9805</v>
      </c>
      <c r="NJ99" s="148" t="s">
        <v>2455</v>
      </c>
      <c r="NK99" s="148"/>
      <c r="NL99" s="148" t="s">
        <v>2707</v>
      </c>
      <c r="NM99" s="148" t="s">
        <v>2707</v>
      </c>
      <c r="NN99" s="148" t="s">
        <v>1486</v>
      </c>
      <c r="NO99" s="148" t="s">
        <v>2613</v>
      </c>
      <c r="NP99" s="148" t="s">
        <v>1745</v>
      </c>
      <c r="NQ99" s="148" t="s">
        <v>2658</v>
      </c>
      <c r="NR99" s="148" t="s">
        <v>2707</v>
      </c>
      <c r="NS99" s="148" t="s">
        <v>2455</v>
      </c>
      <c r="NT99" s="148" t="s">
        <v>1011</v>
      </c>
      <c r="NU99" s="148" t="s">
        <v>2153</v>
      </c>
      <c r="NV99" s="148" t="s">
        <v>2658</v>
      </c>
      <c r="NW99" s="148" t="s">
        <v>2707</v>
      </c>
      <c r="NX99" s="148"/>
      <c r="NY99" s="148"/>
      <c r="NZ99" s="148"/>
      <c r="OA99" s="148"/>
      <c r="OB99" s="148"/>
      <c r="OC99" s="1728" t="s">
        <v>9805</v>
      </c>
      <c r="OD99" s="148" t="s">
        <v>862</v>
      </c>
      <c r="OE99" s="148" t="s">
        <v>2273</v>
      </c>
      <c r="OF99" s="148" t="s">
        <v>2273</v>
      </c>
      <c r="OG99" s="148"/>
      <c r="OH99" s="148"/>
      <c r="OI99" s="1730" t="s">
        <v>9805</v>
      </c>
      <c r="OJ99" s="148"/>
      <c r="OK99" s="148"/>
      <c r="OL99" s="148"/>
      <c r="OM99" s="148" t="s">
        <v>1745</v>
      </c>
      <c r="ON99" s="148" t="s">
        <v>1486</v>
      </c>
      <c r="OO99" s="148"/>
      <c r="OP99" s="148"/>
      <c r="OQ99" s="148"/>
      <c r="OR99" s="148"/>
      <c r="OS99" s="148"/>
      <c r="OT99" s="148"/>
      <c r="OU99" s="148"/>
      <c r="OV99" s="148" t="s">
        <v>650</v>
      </c>
      <c r="OW99" s="148" t="s">
        <v>650</v>
      </c>
      <c r="OX99" s="148"/>
      <c r="OY99" s="148"/>
      <c r="OZ99" s="148"/>
      <c r="PA99" s="148"/>
      <c r="PB99" s="148"/>
      <c r="PC99" s="148" t="s">
        <v>2613</v>
      </c>
      <c r="PD99" s="148"/>
      <c r="PE99" s="148"/>
      <c r="PF99" s="148"/>
      <c r="PG99" s="148" t="s">
        <v>2455</v>
      </c>
      <c r="PH99" s="148"/>
      <c r="PI99" s="148"/>
      <c r="PJ99" s="148"/>
      <c r="PK99" s="148"/>
      <c r="PL99" s="148"/>
      <c r="PM99" s="148"/>
      <c r="PN99" s="148" t="s">
        <v>2707</v>
      </c>
      <c r="PO99" s="148" t="s">
        <v>2707</v>
      </c>
      <c r="PP99" s="148" t="s">
        <v>2707</v>
      </c>
      <c r="PQ99" s="148"/>
      <c r="PR99" s="148" t="s">
        <v>2776</v>
      </c>
      <c r="PS99" s="148"/>
      <c r="PT99" s="148" t="s">
        <v>1745</v>
      </c>
      <c r="PU99" s="148"/>
      <c r="PV99" s="148"/>
      <c r="PW99" s="148" t="s">
        <v>2776</v>
      </c>
      <c r="PX99" s="148"/>
      <c r="PY99" s="148"/>
      <c r="PZ99" s="148"/>
      <c r="QA99" s="148"/>
      <c r="QB99" s="148"/>
      <c r="QC99" s="148"/>
      <c r="QD99" s="148" t="s">
        <v>1486</v>
      </c>
      <c r="QE99" s="148"/>
      <c r="QF99" s="148"/>
      <c r="QG99" s="1730" t="s">
        <v>9805</v>
      </c>
      <c r="QH99" s="1730" t="s">
        <v>9805</v>
      </c>
      <c r="QI99" s="276" t="s">
        <v>9804</v>
      </c>
      <c r="QJ99" s="148" t="s">
        <v>862</v>
      </c>
      <c r="QK99" s="148" t="s">
        <v>2707</v>
      </c>
      <c r="QL99" s="148" t="s">
        <v>2707</v>
      </c>
      <c r="QM99" s="148"/>
      <c r="QN99" s="148"/>
      <c r="QO99" s="148"/>
      <c r="QP99" s="148"/>
      <c r="QQ99" s="148" t="s">
        <v>3976</v>
      </c>
      <c r="QR99" s="148" t="s">
        <v>2658</v>
      </c>
      <c r="QS99" s="148"/>
      <c r="QT99" s="148" t="s">
        <v>9804</v>
      </c>
      <c r="QU99" s="148" t="s">
        <v>9804</v>
      </c>
      <c r="QV99" s="148"/>
      <c r="QW99" s="148"/>
      <c r="QX99" s="148"/>
      <c r="QY99" s="148"/>
      <c r="QZ99" s="148"/>
      <c r="RA99" s="148" t="s">
        <v>2455</v>
      </c>
      <c r="RB99" s="148" t="s">
        <v>1973</v>
      </c>
      <c r="RC99" s="148"/>
      <c r="RD99" s="148" t="s">
        <v>2613</v>
      </c>
      <c r="RE99" s="148"/>
      <c r="RF99" s="148" t="s">
        <v>650</v>
      </c>
      <c r="RG99" s="148"/>
      <c r="RH99" s="148" t="s">
        <v>1535</v>
      </c>
      <c r="RI99" s="148"/>
      <c r="RJ99" s="148"/>
      <c r="RK99" s="148" t="s">
        <v>1745</v>
      </c>
      <c r="RL99" s="148"/>
      <c r="RM99" s="148" t="s">
        <v>3420</v>
      </c>
      <c r="RN99" s="148" t="s">
        <v>1011</v>
      </c>
      <c r="RO99" s="148" t="s">
        <v>3976</v>
      </c>
      <c r="RP99" s="148" t="s">
        <v>1486</v>
      </c>
      <c r="RQ99" s="148"/>
      <c r="RR99" s="1729" t="s">
        <v>9805</v>
      </c>
      <c r="RS99" s="1729" t="s">
        <v>9805</v>
      </c>
      <c r="RT99" s="1729" t="s">
        <v>9805</v>
      </c>
      <c r="RU99" s="1729" t="s">
        <v>9805</v>
      </c>
      <c r="RV99" s="1729" t="s">
        <v>9805</v>
      </c>
      <c r="RW99" s="148" t="s">
        <v>2707</v>
      </c>
      <c r="RX99" s="148" t="s">
        <v>2707</v>
      </c>
      <c r="RY99" s="148" t="s">
        <v>2658</v>
      </c>
      <c r="RZ99" s="148" t="s">
        <v>2455</v>
      </c>
      <c r="SA99" s="148" t="s">
        <v>1206</v>
      </c>
      <c r="SB99" s="148"/>
      <c r="SC99" s="148" t="s">
        <v>1011</v>
      </c>
      <c r="SD99" s="148" t="s">
        <v>48</v>
      </c>
      <c r="SE99" s="148" t="s">
        <v>48</v>
      </c>
      <c r="SF99" s="148" t="s">
        <v>2613</v>
      </c>
      <c r="SG99" s="148" t="s">
        <v>1973</v>
      </c>
      <c r="SH99" s="148" t="s">
        <v>1973</v>
      </c>
      <c r="SI99" s="148" t="s">
        <v>2707</v>
      </c>
      <c r="SJ99" s="148" t="s">
        <v>1535</v>
      </c>
      <c r="SK99" s="148" t="s">
        <v>1535</v>
      </c>
      <c r="SL99" s="148" t="s">
        <v>2707</v>
      </c>
    </row>
    <row r="100" ht="15.75" customHeight="1">
      <c r="A100" s="1517"/>
      <c r="B100" s="1786"/>
      <c r="C100" s="1787"/>
      <c r="D100" s="1787"/>
      <c r="E100" s="1788"/>
      <c r="F100" s="1788"/>
      <c r="G100" s="1788" t="s">
        <v>1206</v>
      </c>
      <c r="H100" s="1789"/>
      <c r="I100" s="1789"/>
      <c r="J100" s="1789" t="s">
        <v>1486</v>
      </c>
      <c r="K100" s="1787"/>
      <c r="L100" s="1787"/>
      <c r="M100" s="1790"/>
      <c r="N100" s="1741"/>
      <c r="O100" s="339"/>
      <c r="P100" s="339"/>
      <c r="Q100" s="1741"/>
      <c r="R100" s="1741"/>
      <c r="S100" s="1741"/>
      <c r="T100" s="1791"/>
      <c r="U100" s="1741"/>
      <c r="V100" s="1741"/>
      <c r="W100" s="1741"/>
      <c r="X100" s="1791"/>
      <c r="Y100" s="1791"/>
      <c r="Z100" s="339"/>
      <c r="AA100" s="339"/>
      <c r="AB100" s="339"/>
      <c r="AC100" s="339"/>
      <c r="AD100" s="1789"/>
      <c r="AE100" s="1789"/>
      <c r="AF100" s="1789" t="s">
        <v>2153</v>
      </c>
      <c r="AG100" s="1791"/>
      <c r="AH100" s="1791"/>
      <c r="AI100" s="1791" t="s">
        <v>48</v>
      </c>
      <c r="AJ100" s="1792" t="s">
        <v>2658</v>
      </c>
      <c r="AK100" s="1792" t="s">
        <v>2658</v>
      </c>
      <c r="AL100" s="1741"/>
      <c r="AM100" s="339"/>
      <c r="AN100" s="1792" t="s">
        <v>650</v>
      </c>
      <c r="AO100" s="1792" t="s">
        <v>650</v>
      </c>
      <c r="AP100" s="1791"/>
      <c r="AQ100" s="1791"/>
      <c r="AR100" s="1789"/>
      <c r="AS100" s="1789"/>
      <c r="AT100" s="1788"/>
      <c r="AU100" s="1788"/>
      <c r="AV100" s="1788"/>
      <c r="AW100" s="1791"/>
      <c r="AX100" s="1791"/>
      <c r="AY100" s="1741"/>
      <c r="AZ100" s="1741"/>
      <c r="BA100" s="339" t="s">
        <v>1535</v>
      </c>
      <c r="BB100" s="339" t="s">
        <v>1535</v>
      </c>
      <c r="BC100" s="339"/>
      <c r="BD100" s="1789" t="s">
        <v>2613</v>
      </c>
      <c r="BE100" s="1741" t="s">
        <v>862</v>
      </c>
      <c r="BF100" s="1741" t="s">
        <v>862</v>
      </c>
      <c r="BG100" s="1741"/>
      <c r="BH100" s="1741"/>
      <c r="BI100" s="1789"/>
      <c r="BJ100" s="1789"/>
      <c r="BK100" s="1789"/>
      <c r="BL100" s="1741"/>
      <c r="BM100" s="1741"/>
      <c r="BN100" s="1741"/>
      <c r="BO100" s="1793"/>
      <c r="BP100" s="1793"/>
      <c r="BQ100" s="1793"/>
      <c r="BR100" s="1787"/>
      <c r="BS100" s="1787"/>
      <c r="BT100" s="1787"/>
      <c r="BU100" s="1789"/>
      <c r="BV100" s="1789"/>
      <c r="BW100" s="1741"/>
      <c r="BX100" s="1741"/>
      <c r="BY100" s="1741" t="s">
        <v>1486</v>
      </c>
      <c r="BZ100" s="339"/>
      <c r="CA100" s="339"/>
      <c r="CB100" s="1792"/>
      <c r="CC100" s="1792" t="s">
        <v>3465</v>
      </c>
      <c r="CD100" s="1793"/>
      <c r="CE100" s="1793"/>
      <c r="CF100" s="1741" t="s">
        <v>2455</v>
      </c>
      <c r="CG100" s="1741"/>
      <c r="CH100" s="1741"/>
      <c r="CI100" s="1790"/>
      <c r="CJ100" s="1790"/>
      <c r="CK100" s="1791"/>
      <c r="CL100" s="1791"/>
      <c r="CM100" s="1791"/>
      <c r="CN100" s="1791"/>
      <c r="CO100" s="1791" t="s">
        <v>3976</v>
      </c>
      <c r="CP100" s="1791" t="s">
        <v>3976</v>
      </c>
      <c r="CQ100" s="1791" t="s">
        <v>3976</v>
      </c>
      <c r="CR100" s="1793"/>
      <c r="CS100" s="339"/>
      <c r="CT100" s="339"/>
      <c r="CU100" s="1788"/>
      <c r="CV100" s="1788"/>
      <c r="CW100" s="1788"/>
      <c r="CX100" s="1788"/>
      <c r="CY100" s="1792"/>
      <c r="CZ100" s="339"/>
      <c r="DA100" s="1741" t="s">
        <v>3465</v>
      </c>
      <c r="DB100" s="1741" t="s">
        <v>3465</v>
      </c>
      <c r="DC100" s="1741"/>
      <c r="DD100" s="1741"/>
      <c r="DE100" s="1792" t="s">
        <v>1486</v>
      </c>
      <c r="DF100" s="1791"/>
      <c r="DG100" s="1791"/>
      <c r="DH100" s="1793" t="s">
        <v>1486</v>
      </c>
      <c r="DI100" s="1793" t="s">
        <v>48</v>
      </c>
      <c r="DJ100" s="1792" t="s">
        <v>2455</v>
      </c>
      <c r="DK100" s="1789"/>
      <c r="DL100" s="1741" t="s">
        <v>2776</v>
      </c>
      <c r="DM100" s="1789"/>
      <c r="DN100" s="1789"/>
      <c r="DO100" s="1788"/>
      <c r="DP100" s="1788"/>
      <c r="DQ100" s="1741"/>
      <c r="DR100" s="1791"/>
      <c r="DS100" s="1792" t="s">
        <v>2613</v>
      </c>
      <c r="DT100" s="1787"/>
      <c r="DU100" s="1788"/>
      <c r="DV100" s="339"/>
      <c r="DW100" s="1788"/>
      <c r="DX100" s="1741"/>
      <c r="DY100" s="1741"/>
      <c r="DZ100" s="1788"/>
      <c r="EA100" s="1789" t="s">
        <v>9804</v>
      </c>
      <c r="EB100" s="1789"/>
      <c r="EC100" s="1791"/>
      <c r="ED100" s="1741"/>
      <c r="EE100" s="1789"/>
      <c r="EF100" s="339"/>
      <c r="EG100" s="1788"/>
      <c r="EH100" s="1792"/>
      <c r="EI100" s="1789"/>
      <c r="EJ100" s="1789"/>
      <c r="EK100" s="1741"/>
      <c r="EL100" s="1741" t="s">
        <v>2455</v>
      </c>
      <c r="EM100" s="1791" t="s">
        <v>9804</v>
      </c>
      <c r="EN100" s="1794" t="s">
        <v>2455</v>
      </c>
      <c r="EO100" s="1789"/>
      <c r="EP100" s="339"/>
      <c r="EQ100" s="339"/>
      <c r="ER100" s="1789"/>
      <c r="ES100" s="1789"/>
      <c r="ET100" s="1741" t="s">
        <v>2707</v>
      </c>
      <c r="EU100" s="1791" t="s">
        <v>2455</v>
      </c>
      <c r="EV100" s="1792"/>
      <c r="EW100" s="1787"/>
      <c r="EX100" s="1787"/>
      <c r="EY100" s="1787"/>
      <c r="EZ100" s="339"/>
      <c r="FA100" s="339"/>
      <c r="FB100" s="365" t="s">
        <v>1997</v>
      </c>
      <c r="FC100" s="1789" t="s">
        <v>1745</v>
      </c>
      <c r="FD100" s="1789" t="s">
        <v>2455</v>
      </c>
      <c r="FE100" s="1789" t="s">
        <v>2455</v>
      </c>
      <c r="FF100" s="1741" t="s">
        <v>2707</v>
      </c>
      <c r="FG100" s="1741" t="s">
        <v>2707</v>
      </c>
      <c r="FH100" s="1741"/>
      <c r="FI100" s="1741"/>
      <c r="FJ100" s="1788"/>
      <c r="FK100" s="1788"/>
      <c r="FL100" s="1787"/>
      <c r="FM100" s="1788"/>
      <c r="FN100" s="1791"/>
      <c r="FO100" s="1789"/>
      <c r="FP100" s="1789"/>
      <c r="FQ100" s="339"/>
      <c r="FR100" s="1792" t="s">
        <v>1486</v>
      </c>
      <c r="FS100" s="1792"/>
      <c r="FT100" s="1790" t="s">
        <v>1486</v>
      </c>
      <c r="FU100" s="1790" t="s">
        <v>2273</v>
      </c>
      <c r="FV100" s="1787" t="s">
        <v>9804</v>
      </c>
      <c r="FW100" s="1787" t="s">
        <v>9804</v>
      </c>
      <c r="FX100" s="1790"/>
      <c r="FY100" s="1792"/>
      <c r="FZ100" s="365"/>
      <c r="GA100" s="1787"/>
      <c r="GB100" s="1789" t="s">
        <v>1486</v>
      </c>
      <c r="GC100" s="1789" t="s">
        <v>1486</v>
      </c>
      <c r="GD100" s="1741"/>
      <c r="GE100" s="1787"/>
      <c r="GF100" s="1792"/>
      <c r="GG100" s="1787"/>
      <c r="GH100" s="1789"/>
      <c r="GI100" s="1791" t="s">
        <v>2776</v>
      </c>
      <c r="GJ100" s="339"/>
      <c r="GK100" s="339"/>
      <c r="GL100" s="1788"/>
      <c r="GM100" s="1789"/>
      <c r="GN100" s="1789"/>
      <c r="GO100" s="1791"/>
      <c r="GP100" s="1794"/>
      <c r="GQ100" s="1794" t="s">
        <v>9804</v>
      </c>
      <c r="GR100" s="1792" t="s">
        <v>3465</v>
      </c>
      <c r="GS100" s="1793"/>
      <c r="GT100" s="1794"/>
      <c r="GU100" s="1789"/>
      <c r="GV100" s="339"/>
      <c r="GW100" s="1793"/>
      <c r="GX100" s="1791"/>
      <c r="GY100" s="339"/>
      <c r="GZ100" s="1791"/>
      <c r="HA100" s="1793"/>
      <c r="HB100" s="1792"/>
      <c r="HC100" s="1791"/>
      <c r="HD100" s="1793"/>
      <c r="HE100" s="1788"/>
      <c r="HF100" s="339"/>
      <c r="HG100" s="1789"/>
      <c r="HH100" s="1794"/>
      <c r="HI100" s="1741" t="s">
        <v>1486</v>
      </c>
      <c r="HJ100" s="1741" t="s">
        <v>2455</v>
      </c>
      <c r="HK100" s="1788"/>
      <c r="HL100" s="1788"/>
      <c r="HM100" s="1741"/>
      <c r="HN100" s="1741"/>
      <c r="HO100" s="1792"/>
      <c r="HP100" s="1793"/>
      <c r="HQ100" s="1788"/>
      <c r="HR100" s="1788"/>
      <c r="HS100" s="1791" t="s">
        <v>1011</v>
      </c>
      <c r="HT100" s="1793"/>
      <c r="HU100" s="1794"/>
      <c r="HV100" s="1794"/>
      <c r="HW100" s="1730" t="s">
        <v>9805</v>
      </c>
      <c r="HX100" s="1789" t="s">
        <v>1745</v>
      </c>
      <c r="HY100" s="1793" t="s">
        <v>1486</v>
      </c>
      <c r="HZ100" s="1788"/>
      <c r="IA100" s="1741" t="s">
        <v>2613</v>
      </c>
      <c r="IB100" s="1790"/>
      <c r="IC100" s="1791"/>
      <c r="ID100" s="1741"/>
      <c r="IE100" s="1792"/>
      <c r="IF100" s="339" t="s">
        <v>2613</v>
      </c>
      <c r="IG100" s="1788"/>
      <c r="IH100" s="1792" t="s">
        <v>1486</v>
      </c>
      <c r="II100" s="1792" t="s">
        <v>2455</v>
      </c>
      <c r="IJ100" s="339"/>
      <c r="IK100" s="1741"/>
      <c r="IL100" s="1789"/>
      <c r="IM100" s="1787"/>
      <c r="IN100" s="1793"/>
      <c r="IO100" s="1787" t="s">
        <v>2153</v>
      </c>
      <c r="IP100" s="1790" t="s">
        <v>48</v>
      </c>
      <c r="IQ100" s="1788" t="s">
        <v>2455</v>
      </c>
      <c r="IR100" s="1787" t="s">
        <v>1973</v>
      </c>
      <c r="IS100" s="1787"/>
      <c r="IT100" s="1787"/>
      <c r="IU100" s="1728" t="s">
        <v>9805</v>
      </c>
      <c r="IV100" s="1788"/>
      <c r="IW100" s="1788" t="s">
        <v>2273</v>
      </c>
      <c r="IX100" s="1788" t="s">
        <v>292</v>
      </c>
      <c r="IY100" s="1789"/>
      <c r="IZ100" s="1789" t="s">
        <v>1486</v>
      </c>
      <c r="JA100" s="1789" t="s">
        <v>1206</v>
      </c>
      <c r="JB100" s="1793"/>
      <c r="JC100" s="1793"/>
      <c r="JD100" s="1741" t="s">
        <v>1486</v>
      </c>
      <c r="JE100" s="1790" t="s">
        <v>1486</v>
      </c>
      <c r="JF100" s="1788"/>
      <c r="JG100" s="1790"/>
      <c r="JH100" s="339"/>
      <c r="JI100" s="1791"/>
      <c r="JJ100" s="1787"/>
      <c r="JK100" s="1787"/>
      <c r="JL100" s="1787" t="s">
        <v>2455</v>
      </c>
      <c r="JM100" s="1787" t="s">
        <v>2455</v>
      </c>
      <c r="JN100" s="1741"/>
      <c r="JO100" s="1741"/>
      <c r="JP100" s="1741" t="s">
        <v>4081</v>
      </c>
      <c r="JQ100" s="1789"/>
      <c r="JR100" s="1789"/>
      <c r="JS100" s="1790"/>
      <c r="JT100" s="339" t="s">
        <v>1535</v>
      </c>
      <c r="JU100" s="1790" t="s">
        <v>2455</v>
      </c>
      <c r="JV100" s="1790" t="s">
        <v>2455</v>
      </c>
      <c r="JW100" s="1790" t="s">
        <v>2455</v>
      </c>
      <c r="JX100" s="1789"/>
      <c r="JY100" s="1789"/>
      <c r="JZ100" s="1741"/>
      <c r="KA100" s="1787"/>
      <c r="KB100" s="1741"/>
      <c r="KC100" s="1790"/>
      <c r="KD100" s="1741"/>
      <c r="KE100" s="1793"/>
      <c r="KF100" s="339"/>
      <c r="KG100" s="1741"/>
      <c r="KH100" s="1792"/>
      <c r="KI100" s="1789"/>
      <c r="KJ100" s="1789" t="s">
        <v>1486</v>
      </c>
      <c r="KK100" s="339"/>
      <c r="KL100" s="1741" t="s">
        <v>1745</v>
      </c>
      <c r="KM100" s="1789"/>
      <c r="KN100" s="1793" t="s">
        <v>1486</v>
      </c>
      <c r="KO100" s="1792"/>
      <c r="KP100" s="1791"/>
      <c r="KQ100" s="1791" t="s">
        <v>1921</v>
      </c>
      <c r="KR100" s="1794" t="s">
        <v>1011</v>
      </c>
      <c r="KS100" s="1793" t="s">
        <v>1011</v>
      </c>
      <c r="KT100" s="1793" t="s">
        <v>1011</v>
      </c>
      <c r="KU100" s="1793" t="s">
        <v>1973</v>
      </c>
      <c r="KV100" s="1789" t="s">
        <v>2455</v>
      </c>
      <c r="KW100" s="1788" t="s">
        <v>2455</v>
      </c>
      <c r="KX100" s="1787"/>
      <c r="KY100" s="339"/>
      <c r="KZ100" s="339" t="s">
        <v>2613</v>
      </c>
      <c r="LA100" s="339" t="s">
        <v>2613</v>
      </c>
      <c r="LB100" s="1793" t="s">
        <v>2613</v>
      </c>
      <c r="LC100" s="1791"/>
      <c r="LD100" s="1787"/>
      <c r="LE100" s="1787"/>
      <c r="LF100" s="1791"/>
      <c r="LG100" s="1788" t="s">
        <v>292</v>
      </c>
      <c r="LH100" s="1789" t="s">
        <v>292</v>
      </c>
      <c r="LI100" s="1789"/>
      <c r="LJ100" s="1789"/>
      <c r="LK100" s="339"/>
      <c r="LL100" s="1788"/>
      <c r="LM100" s="1741"/>
      <c r="LN100" s="1794"/>
      <c r="LO100" s="1791" t="s">
        <v>2455</v>
      </c>
      <c r="LP100" s="1741" t="s">
        <v>2707</v>
      </c>
      <c r="LQ100" s="1741"/>
      <c r="LR100" s="1787" t="s">
        <v>9804</v>
      </c>
      <c r="LS100" s="1787" t="s">
        <v>2455</v>
      </c>
      <c r="LT100" s="1787"/>
      <c r="LU100" s="1787"/>
      <c r="LV100" s="1789"/>
      <c r="LW100" s="1789" t="s">
        <v>2112</v>
      </c>
      <c r="LX100" s="1790" t="s">
        <v>650</v>
      </c>
      <c r="LY100" s="1794"/>
      <c r="LZ100" s="339"/>
      <c r="MA100" s="1788" t="s">
        <v>2613</v>
      </c>
      <c r="MB100" s="1793"/>
      <c r="MC100" s="1789"/>
      <c r="MD100" s="1788" t="s">
        <v>1745</v>
      </c>
      <c r="ME100" s="1788" t="s">
        <v>3465</v>
      </c>
      <c r="MF100" s="1741"/>
      <c r="MG100" s="1794"/>
      <c r="MH100" s="1791"/>
      <c r="MI100" s="1787"/>
      <c r="MJ100" s="1793"/>
      <c r="MK100" s="1793"/>
      <c r="ML100" s="1741"/>
      <c r="MM100" s="1792"/>
      <c r="MN100" s="1790"/>
      <c r="MO100" s="1787" t="s">
        <v>2658</v>
      </c>
      <c r="MP100" s="1794"/>
      <c r="MQ100" s="1794"/>
      <c r="MR100" s="1794"/>
      <c r="MS100" s="1794" t="s">
        <v>2455</v>
      </c>
      <c r="MT100" s="1787"/>
      <c r="MU100" s="1789" t="s">
        <v>2613</v>
      </c>
      <c r="MV100" s="1790" t="s">
        <v>2455</v>
      </c>
      <c r="MW100" s="1789"/>
      <c r="MX100" s="1793"/>
      <c r="MY100" s="1793"/>
      <c r="MZ100" s="1789"/>
      <c r="NA100" s="1789"/>
      <c r="NB100" s="1789"/>
      <c r="NC100" s="1789"/>
      <c r="ND100" s="1789"/>
      <c r="NE100" s="1792"/>
      <c r="NF100" s="1793"/>
      <c r="NG100" s="1792"/>
      <c r="NH100" s="1789"/>
      <c r="NI100" s="1800" t="s">
        <v>2112</v>
      </c>
      <c r="NJ100" s="1789" t="s">
        <v>1206</v>
      </c>
      <c r="NK100" s="1789"/>
      <c r="NL100" s="1789" t="s">
        <v>3465</v>
      </c>
      <c r="NM100" s="1789" t="s">
        <v>3465</v>
      </c>
      <c r="NN100" s="1741" t="s">
        <v>1745</v>
      </c>
      <c r="NO100" s="1789" t="s">
        <v>1745</v>
      </c>
      <c r="NP100" s="1793"/>
      <c r="NQ100" s="1788" t="s">
        <v>2707</v>
      </c>
      <c r="NR100" s="1789" t="s">
        <v>2455</v>
      </c>
      <c r="NS100" s="1789" t="s">
        <v>2613</v>
      </c>
      <c r="NT100" s="1788" t="s">
        <v>2455</v>
      </c>
      <c r="NU100" s="1787" t="s">
        <v>1011</v>
      </c>
      <c r="NV100" s="339" t="s">
        <v>2707</v>
      </c>
      <c r="NW100" s="1788" t="s">
        <v>2455</v>
      </c>
      <c r="NX100" s="1788"/>
      <c r="NY100" s="1788"/>
      <c r="NZ100" s="1788"/>
      <c r="OA100" s="1787"/>
      <c r="OB100" s="1787"/>
      <c r="OC100" s="1801" t="s">
        <v>2229</v>
      </c>
      <c r="OD100" s="1741" t="s">
        <v>2273</v>
      </c>
      <c r="OE100" s="1741" t="s">
        <v>2455</v>
      </c>
      <c r="OF100" s="1741" t="s">
        <v>2455</v>
      </c>
      <c r="OG100" s="1789"/>
      <c r="OH100" s="1789"/>
      <c r="OI100" s="1796" t="s">
        <v>2290</v>
      </c>
      <c r="OJ100" s="1741"/>
      <c r="OK100" s="1741"/>
      <c r="OL100" s="1741"/>
      <c r="OM100" s="1741"/>
      <c r="ON100" s="1741" t="s">
        <v>1745</v>
      </c>
      <c r="OO100" s="1788"/>
      <c r="OP100" s="1788"/>
      <c r="OQ100" s="1789"/>
      <c r="OR100" s="1789"/>
      <c r="OS100" s="1789"/>
      <c r="OT100" s="1787"/>
      <c r="OU100" s="1787"/>
      <c r="OV100" s="1789" t="s">
        <v>1011</v>
      </c>
      <c r="OW100" s="1789" t="s">
        <v>1011</v>
      </c>
      <c r="OX100" s="1793"/>
      <c r="OY100" s="1793"/>
      <c r="OZ100" s="1787"/>
      <c r="PA100" s="1787"/>
      <c r="PB100" s="339"/>
      <c r="PC100" s="1792"/>
      <c r="PD100" s="339"/>
      <c r="PE100" s="339"/>
      <c r="PF100" s="339"/>
      <c r="PG100" s="1790" t="s">
        <v>1486</v>
      </c>
      <c r="PH100" s="1741"/>
      <c r="PI100" s="1741"/>
      <c r="PJ100" s="1792"/>
      <c r="PK100" s="1792"/>
      <c r="PL100" s="1791"/>
      <c r="PM100" s="1791"/>
      <c r="PN100" s="1791" t="s">
        <v>2776</v>
      </c>
      <c r="PO100" s="1791" t="s">
        <v>2455</v>
      </c>
      <c r="PP100" s="1791" t="s">
        <v>2455</v>
      </c>
      <c r="PQ100" s="1741"/>
      <c r="PR100" s="1741" t="s">
        <v>292</v>
      </c>
      <c r="PS100" s="1791"/>
      <c r="PT100" s="1794" t="s">
        <v>9804</v>
      </c>
      <c r="PU100" s="1793"/>
      <c r="PV100" s="1793"/>
      <c r="PW100" s="339" t="s">
        <v>1486</v>
      </c>
      <c r="PX100" s="1791"/>
      <c r="PY100" s="1791"/>
      <c r="PZ100" s="1787"/>
      <c r="QA100" s="1787"/>
      <c r="QB100" s="1741"/>
      <c r="QC100" s="1792"/>
      <c r="QD100" s="1792"/>
      <c r="QE100" s="1794"/>
      <c r="QF100" s="1791"/>
      <c r="QG100" s="1796" t="s">
        <v>2112</v>
      </c>
      <c r="QH100" s="1796" t="s">
        <v>2112</v>
      </c>
      <c r="QI100" s="1730" t="s">
        <v>9805</v>
      </c>
      <c r="QJ100" s="1794" t="s">
        <v>2455</v>
      </c>
      <c r="QK100" s="1789" t="s">
        <v>3465</v>
      </c>
      <c r="QL100" s="1789" t="s">
        <v>3465</v>
      </c>
      <c r="QM100" s="1741"/>
      <c r="QN100" s="1741"/>
      <c r="QO100" s="1791"/>
      <c r="QP100" s="1791"/>
      <c r="QQ100" s="1789" t="s">
        <v>292</v>
      </c>
      <c r="QR100" s="1789" t="s">
        <v>3976</v>
      </c>
      <c r="QS100" s="1787"/>
      <c r="QT100" s="1789"/>
      <c r="QU100" s="1789"/>
      <c r="QV100" s="1789"/>
      <c r="QW100" s="1790"/>
      <c r="QX100" s="1790"/>
      <c r="QY100" s="1794"/>
      <c r="QZ100" s="1793"/>
      <c r="RA100" s="1792" t="s">
        <v>1486</v>
      </c>
      <c r="RB100" s="1793" t="s">
        <v>48</v>
      </c>
      <c r="RC100" s="1789"/>
      <c r="RD100" s="339"/>
      <c r="RE100" s="1788"/>
      <c r="RF100" s="1790" t="s">
        <v>2273</v>
      </c>
      <c r="RG100" s="1787"/>
      <c r="RH100" s="1787"/>
      <c r="RI100" s="1789"/>
      <c r="RJ100" s="1791"/>
      <c r="RK100" s="1741"/>
      <c r="RL100" s="1788"/>
      <c r="RM100" s="1790" t="s">
        <v>2658</v>
      </c>
      <c r="RN100" s="1793" t="s">
        <v>2455</v>
      </c>
      <c r="RO100" s="1794" t="s">
        <v>2455</v>
      </c>
      <c r="RP100" s="1790" t="s">
        <v>2613</v>
      </c>
      <c r="RQ100" s="1788"/>
      <c r="RR100" s="1802" t="s">
        <v>2500</v>
      </c>
      <c r="RS100" s="1802" t="s">
        <v>2299</v>
      </c>
      <c r="RT100" s="1802" t="s">
        <v>2008</v>
      </c>
      <c r="RU100" s="1802" t="s">
        <v>1965</v>
      </c>
      <c r="RV100" s="1802" t="s">
        <v>2355</v>
      </c>
      <c r="RW100" s="339" t="s">
        <v>2455</v>
      </c>
      <c r="RX100" s="1792" t="s">
        <v>2455</v>
      </c>
      <c r="RY100" s="1789" t="s">
        <v>2707</v>
      </c>
      <c r="RZ100" s="1790" t="s">
        <v>1206</v>
      </c>
      <c r="SA100" s="1803" t="s">
        <v>9804</v>
      </c>
      <c r="SB100" s="1741"/>
      <c r="SC100" s="1790" t="s">
        <v>2455</v>
      </c>
      <c r="SD100" s="1794" t="s">
        <v>2153</v>
      </c>
      <c r="SE100" s="1794" t="s">
        <v>2153</v>
      </c>
      <c r="SF100" s="339"/>
      <c r="SG100" s="1789" t="s">
        <v>292</v>
      </c>
      <c r="SH100" s="1789" t="s">
        <v>292</v>
      </c>
      <c r="SI100" s="1794" t="s">
        <v>2455</v>
      </c>
      <c r="SJ100" s="1787"/>
      <c r="SK100" s="1787"/>
      <c r="SL100" s="1793" t="s">
        <v>1973</v>
      </c>
    </row>
    <row r="101" ht="15.75" customHeight="1">
      <c r="A101" s="1517"/>
      <c r="B101" s="148"/>
      <c r="C101" s="148"/>
      <c r="D101" s="148"/>
      <c r="E101" s="148"/>
      <c r="F101" s="148"/>
      <c r="G101" s="276" t="s">
        <v>9804</v>
      </c>
      <c r="H101" s="148"/>
      <c r="I101" s="148"/>
      <c r="J101" s="276" t="s">
        <v>2613</v>
      </c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 t="s">
        <v>2455</v>
      </c>
      <c r="AG101" s="148"/>
      <c r="AH101" s="148"/>
      <c r="AI101" s="148" t="s">
        <v>2153</v>
      </c>
      <c r="AJ101" s="148" t="s">
        <v>292</v>
      </c>
      <c r="AK101" s="148" t="s">
        <v>292</v>
      </c>
      <c r="AL101" s="148"/>
      <c r="AM101" s="148"/>
      <c r="AN101" s="148" t="s">
        <v>2455</v>
      </c>
      <c r="AO101" s="148" t="s">
        <v>2455</v>
      </c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 t="s">
        <v>2455</v>
      </c>
      <c r="BF101" s="148" t="s">
        <v>2455</v>
      </c>
      <c r="BG101" s="148"/>
      <c r="BH101" s="148"/>
      <c r="BI101" s="148"/>
      <c r="BJ101" s="148"/>
      <c r="BK101" s="148"/>
      <c r="BL101" s="148"/>
      <c r="BM101" s="148"/>
      <c r="BN101" s="148"/>
      <c r="BO101" s="148"/>
      <c r="BP101" s="148"/>
      <c r="BQ101" s="148"/>
      <c r="BR101" s="148"/>
      <c r="BS101" s="148"/>
      <c r="BT101" s="148"/>
      <c r="BU101" s="148"/>
      <c r="BV101" s="148"/>
      <c r="BW101" s="148"/>
      <c r="BX101" s="148"/>
      <c r="BY101" s="148" t="s">
        <v>1745</v>
      </c>
      <c r="BZ101" s="148"/>
      <c r="CA101" s="148"/>
      <c r="CB101" s="148"/>
      <c r="CC101" s="148" t="s">
        <v>2455</v>
      </c>
      <c r="CD101" s="148"/>
      <c r="CE101" s="148"/>
      <c r="CF101" s="148" t="s">
        <v>9804</v>
      </c>
      <c r="CG101" s="148"/>
      <c r="CH101" s="148"/>
      <c r="CI101" s="148"/>
      <c r="CJ101" s="148"/>
      <c r="CK101" s="148"/>
      <c r="CL101" s="148"/>
      <c r="CM101" s="148"/>
      <c r="CN101" s="148"/>
      <c r="CO101" s="148" t="s">
        <v>2776</v>
      </c>
      <c r="CP101" s="148" t="s">
        <v>2776</v>
      </c>
      <c r="CQ101" s="148" t="s">
        <v>2776</v>
      </c>
      <c r="CR101" s="148"/>
      <c r="CS101" s="148"/>
      <c r="CT101" s="148"/>
      <c r="CU101" s="148"/>
      <c r="CV101" s="148"/>
      <c r="CW101" s="148"/>
      <c r="CX101" s="148"/>
      <c r="CY101" s="148"/>
      <c r="CZ101" s="148"/>
      <c r="DA101" s="148" t="s">
        <v>2455</v>
      </c>
      <c r="DB101" s="148" t="s">
        <v>2455</v>
      </c>
      <c r="DC101" s="148"/>
      <c r="DD101" s="148"/>
      <c r="DE101" s="148"/>
      <c r="DF101" s="148"/>
      <c r="DG101" s="148"/>
      <c r="DH101" s="148" t="s">
        <v>1745</v>
      </c>
      <c r="DI101" s="148" t="s">
        <v>2153</v>
      </c>
      <c r="DJ101" s="148" t="s">
        <v>1486</v>
      </c>
      <c r="DK101" s="148"/>
      <c r="DL101" s="148" t="s">
        <v>48</v>
      </c>
      <c r="DM101" s="148"/>
      <c r="DN101" s="148"/>
      <c r="DO101" s="148"/>
      <c r="DP101" s="148"/>
      <c r="DQ101" s="148"/>
      <c r="DR101" s="148"/>
      <c r="DS101" s="148"/>
      <c r="DT101" s="148"/>
      <c r="DU101" s="148"/>
      <c r="DV101" s="148"/>
      <c r="DW101" s="148"/>
      <c r="DX101" s="148"/>
      <c r="DY101" s="148"/>
      <c r="DZ101" s="148"/>
      <c r="EA101" s="148"/>
      <c r="EB101" s="148"/>
      <c r="EC101" s="148"/>
      <c r="ED101" s="148"/>
      <c r="EE101" s="148"/>
      <c r="EF101" s="148"/>
      <c r="EG101" s="148"/>
      <c r="EH101" s="148"/>
      <c r="EI101" s="148"/>
      <c r="EJ101" s="148"/>
      <c r="EK101" s="148"/>
      <c r="EL101" s="148" t="s">
        <v>1486</v>
      </c>
      <c r="EM101" s="148"/>
      <c r="EN101" s="148" t="s">
        <v>1206</v>
      </c>
      <c r="EO101" s="148"/>
      <c r="EP101" s="148"/>
      <c r="EQ101" s="148"/>
      <c r="ER101" s="148"/>
      <c r="ES101" s="148"/>
      <c r="ET101" s="148" t="s">
        <v>48</v>
      </c>
      <c r="EU101" s="148" t="s">
        <v>2613</v>
      </c>
      <c r="EV101" s="148"/>
      <c r="EW101" s="148"/>
      <c r="EX101" s="148"/>
      <c r="EY101" s="148"/>
      <c r="EZ101" s="148"/>
      <c r="FA101" s="148"/>
      <c r="FB101" s="148"/>
      <c r="FC101" s="148"/>
      <c r="FD101" s="148" t="s">
        <v>1745</v>
      </c>
      <c r="FE101" s="148" t="s">
        <v>1206</v>
      </c>
      <c r="FF101" s="148" t="s">
        <v>2776</v>
      </c>
      <c r="FG101" s="148" t="s">
        <v>2776</v>
      </c>
      <c r="FH101" s="148"/>
      <c r="FI101" s="148"/>
      <c r="FJ101" s="148"/>
      <c r="FK101" s="148"/>
      <c r="FL101" s="148"/>
      <c r="FM101" s="148"/>
      <c r="FN101" s="148"/>
      <c r="FO101" s="148"/>
      <c r="FP101" s="148"/>
      <c r="FQ101" s="148"/>
      <c r="FR101" s="148" t="s">
        <v>2613</v>
      </c>
      <c r="FS101" s="148"/>
      <c r="FT101" s="148" t="s">
        <v>2613</v>
      </c>
      <c r="FU101" s="148" t="s">
        <v>2455</v>
      </c>
      <c r="FV101" s="148"/>
      <c r="FW101" s="148"/>
      <c r="FX101" s="148"/>
      <c r="FY101" s="148"/>
      <c r="FZ101" s="148"/>
      <c r="GA101" s="148"/>
      <c r="GB101" s="148" t="s">
        <v>1745</v>
      </c>
      <c r="GC101" s="148" t="s">
        <v>1745</v>
      </c>
      <c r="GD101" s="148"/>
      <c r="GE101" s="148"/>
      <c r="GF101" s="148"/>
      <c r="GG101" s="148"/>
      <c r="GH101" s="148"/>
      <c r="GI101" s="148" t="s">
        <v>292</v>
      </c>
      <c r="GJ101" s="148"/>
      <c r="GK101" s="148"/>
      <c r="GL101" s="148"/>
      <c r="GM101" s="148"/>
      <c r="GN101" s="148"/>
      <c r="GO101" s="148"/>
      <c r="GP101" s="148"/>
      <c r="GQ101" s="148"/>
      <c r="GR101" s="148" t="s">
        <v>2455</v>
      </c>
      <c r="GS101" s="148"/>
      <c r="GT101" s="148"/>
      <c r="GU101" s="148"/>
      <c r="GV101" s="148"/>
      <c r="GW101" s="148"/>
      <c r="GX101" s="148"/>
      <c r="GY101" s="148"/>
      <c r="GZ101" s="148"/>
      <c r="HA101" s="148"/>
      <c r="HB101" s="148"/>
      <c r="HC101" s="148"/>
      <c r="HD101" s="148"/>
      <c r="HE101" s="148"/>
      <c r="HF101" s="148"/>
      <c r="HG101" s="148"/>
      <c r="HH101" s="148"/>
      <c r="HI101" s="148" t="s">
        <v>1535</v>
      </c>
      <c r="HJ101" s="148" t="s">
        <v>1486</v>
      </c>
      <c r="HK101" s="148"/>
      <c r="HL101" s="148"/>
      <c r="HM101" s="148"/>
      <c r="HN101" s="148"/>
      <c r="HO101" s="148"/>
      <c r="HP101" s="148"/>
      <c r="HQ101" s="148"/>
      <c r="HR101" s="148"/>
      <c r="HS101" s="148" t="s">
        <v>2455</v>
      </c>
      <c r="HT101" s="148"/>
      <c r="HU101" s="148"/>
      <c r="HV101" s="148"/>
      <c r="HW101" s="253" t="s">
        <v>2112</v>
      </c>
      <c r="HX101" s="148"/>
      <c r="HY101" s="148" t="s">
        <v>1535</v>
      </c>
      <c r="HZ101" s="148"/>
      <c r="IA101" s="148"/>
      <c r="IB101" s="148"/>
      <c r="IC101" s="148"/>
      <c r="ID101" s="148"/>
      <c r="IE101" s="148"/>
      <c r="IF101" s="148"/>
      <c r="IG101" s="148"/>
      <c r="IH101" s="148"/>
      <c r="II101" s="148" t="s">
        <v>1486</v>
      </c>
      <c r="IJ101" s="148"/>
      <c r="IK101" s="148"/>
      <c r="IL101" s="148"/>
      <c r="IM101" s="148"/>
      <c r="IN101" s="148"/>
      <c r="IO101" s="148" t="s">
        <v>1011</v>
      </c>
      <c r="IP101" s="148" t="s">
        <v>2153</v>
      </c>
      <c r="IQ101" s="148" t="s">
        <v>2613</v>
      </c>
      <c r="IR101" s="148" t="s">
        <v>2153</v>
      </c>
      <c r="IS101" s="148"/>
      <c r="IT101" s="148"/>
      <c r="IU101" s="253" t="s">
        <v>2229</v>
      </c>
      <c r="IV101" s="148"/>
      <c r="IW101" s="148" t="s">
        <v>2455</v>
      </c>
      <c r="IX101" s="148" t="s">
        <v>2273</v>
      </c>
      <c r="IY101" s="148"/>
      <c r="IZ101" s="148" t="s">
        <v>1745</v>
      </c>
      <c r="JA101" s="148" t="s">
        <v>1486</v>
      </c>
      <c r="JB101" s="148"/>
      <c r="JC101" s="148"/>
      <c r="JD101" s="148" t="s">
        <v>1535</v>
      </c>
      <c r="JE101" s="148" t="s">
        <v>1535</v>
      </c>
      <c r="JF101" s="148"/>
      <c r="JG101" s="148"/>
      <c r="JH101" s="148"/>
      <c r="JI101" s="148"/>
      <c r="JJ101" s="148"/>
      <c r="JK101" s="148"/>
      <c r="JL101" s="148" t="s">
        <v>1535</v>
      </c>
      <c r="JM101" s="148" t="s">
        <v>1535</v>
      </c>
      <c r="JN101" s="148"/>
      <c r="JO101" s="148"/>
      <c r="JP101" s="148" t="s">
        <v>292</v>
      </c>
      <c r="JQ101" s="148"/>
      <c r="JR101" s="148"/>
      <c r="JS101" s="148"/>
      <c r="JT101" s="148" t="s">
        <v>9804</v>
      </c>
      <c r="JU101" s="148" t="s">
        <v>2613</v>
      </c>
      <c r="JV101" s="148" t="s">
        <v>2613</v>
      </c>
      <c r="JW101" s="148" t="s">
        <v>2613</v>
      </c>
      <c r="JX101" s="148"/>
      <c r="JY101" s="148"/>
      <c r="JZ101" s="148"/>
      <c r="KA101" s="148"/>
      <c r="KB101" s="148"/>
      <c r="KC101" s="148"/>
      <c r="KD101" s="148"/>
      <c r="KE101" s="148"/>
      <c r="KF101" s="148"/>
      <c r="KG101" s="148"/>
      <c r="KH101" s="148"/>
      <c r="KI101" s="148"/>
      <c r="KJ101" s="148"/>
      <c r="KK101" s="148"/>
      <c r="KL101" s="148"/>
      <c r="KM101" s="148"/>
      <c r="KN101" s="148"/>
      <c r="KO101" s="148"/>
      <c r="KP101" s="148"/>
      <c r="KQ101" s="148" t="s">
        <v>2658</v>
      </c>
      <c r="KR101" s="148" t="s">
        <v>2455</v>
      </c>
      <c r="KS101" s="148" t="s">
        <v>2455</v>
      </c>
      <c r="KT101" s="148" t="s">
        <v>2455</v>
      </c>
      <c r="KU101" s="148" t="s">
        <v>48</v>
      </c>
      <c r="KV101" s="148" t="s">
        <v>2613</v>
      </c>
      <c r="KW101" s="148" t="s">
        <v>2613</v>
      </c>
      <c r="KX101" s="148"/>
      <c r="KY101" s="148"/>
      <c r="KZ101" s="148"/>
      <c r="LA101" s="148"/>
      <c r="LB101" s="148"/>
      <c r="LC101" s="148"/>
      <c r="LD101" s="148"/>
      <c r="LE101" s="148"/>
      <c r="LF101" s="148"/>
      <c r="LG101" s="148" t="s">
        <v>2455</v>
      </c>
      <c r="LH101" s="148" t="s">
        <v>2455</v>
      </c>
      <c r="LI101" s="148"/>
      <c r="LJ101" s="148"/>
      <c r="LK101" s="148"/>
      <c r="LL101" s="148"/>
      <c r="LM101" s="148"/>
      <c r="LN101" s="148"/>
      <c r="LO101" s="148" t="s">
        <v>2613</v>
      </c>
      <c r="LP101" s="148" t="s">
        <v>2776</v>
      </c>
      <c r="LQ101" s="148"/>
      <c r="LR101" s="148" t="s">
        <v>2112</v>
      </c>
      <c r="LS101" s="148" t="s">
        <v>1206</v>
      </c>
      <c r="LT101" s="148"/>
      <c r="LU101" s="148"/>
      <c r="LV101" s="148"/>
      <c r="LW101" s="148"/>
      <c r="LX101" s="148" t="s">
        <v>2455</v>
      </c>
      <c r="LY101" s="148"/>
      <c r="LZ101" s="148"/>
      <c r="MA101" s="148"/>
      <c r="MB101" s="148"/>
      <c r="MC101" s="148"/>
      <c r="MD101" s="148"/>
      <c r="ME101" s="148" t="s">
        <v>2455</v>
      </c>
      <c r="MF101" s="148"/>
      <c r="MG101" s="148"/>
      <c r="MH101" s="148"/>
      <c r="MI101" s="148"/>
      <c r="MJ101" s="148"/>
      <c r="MK101" s="148"/>
      <c r="ML101" s="148"/>
      <c r="MM101" s="148"/>
      <c r="MN101" s="148"/>
      <c r="MO101" s="148" t="s">
        <v>2707</v>
      </c>
      <c r="MP101" s="148"/>
      <c r="MQ101" s="148"/>
      <c r="MR101" s="148"/>
      <c r="MS101" s="148"/>
      <c r="MT101" s="148"/>
      <c r="MU101" s="148"/>
      <c r="MV101" s="148" t="s">
        <v>1745</v>
      </c>
      <c r="MW101" s="148"/>
      <c r="MX101" s="148"/>
      <c r="MY101" s="148"/>
      <c r="MZ101" s="148"/>
      <c r="NA101" s="148"/>
      <c r="NB101" s="148"/>
      <c r="NC101" s="148"/>
      <c r="ND101" s="148"/>
      <c r="NE101" s="148"/>
      <c r="NF101" s="148"/>
      <c r="NG101" s="148"/>
      <c r="NH101" s="148"/>
      <c r="NI101" s="148"/>
      <c r="NJ101" s="148" t="s">
        <v>1486</v>
      </c>
      <c r="NK101" s="148"/>
      <c r="NL101" s="148" t="s">
        <v>1011</v>
      </c>
      <c r="NM101" s="148" t="s">
        <v>1011</v>
      </c>
      <c r="NN101" s="148"/>
      <c r="NO101" s="148"/>
      <c r="NP101" s="148"/>
      <c r="NQ101" s="148" t="s">
        <v>2455</v>
      </c>
      <c r="NR101" s="148" t="s">
        <v>1206</v>
      </c>
      <c r="NS101" s="148"/>
      <c r="NT101" s="148" t="s">
        <v>1486</v>
      </c>
      <c r="NU101" s="148" t="s">
        <v>2455</v>
      </c>
      <c r="NV101" s="148" t="s">
        <v>2776</v>
      </c>
      <c r="NW101" s="148" t="s">
        <v>2613</v>
      </c>
      <c r="NX101" s="148"/>
      <c r="NY101" s="148"/>
      <c r="NZ101" s="148"/>
      <c r="OA101" s="148"/>
      <c r="OB101" s="148"/>
      <c r="OC101" s="148"/>
      <c r="OD101" s="148" t="s">
        <v>2455</v>
      </c>
      <c r="OE101" s="148" t="s">
        <v>1486</v>
      </c>
      <c r="OF101" s="276" t="s">
        <v>1486</v>
      </c>
      <c r="OG101" s="148"/>
      <c r="OH101" s="148"/>
      <c r="OI101" s="148"/>
      <c r="OJ101" s="148"/>
      <c r="OK101" s="148"/>
      <c r="OL101" s="148"/>
      <c r="OM101" s="148"/>
      <c r="ON101" s="148"/>
      <c r="OO101" s="148"/>
      <c r="OP101" s="148"/>
      <c r="OQ101" s="148"/>
      <c r="OR101" s="148"/>
      <c r="OS101" s="148"/>
      <c r="OT101" s="148"/>
      <c r="OU101" s="148"/>
      <c r="OV101" s="148" t="s">
        <v>2455</v>
      </c>
      <c r="OW101" s="148" t="s">
        <v>2455</v>
      </c>
      <c r="OX101" s="148"/>
      <c r="OY101" s="148"/>
      <c r="OZ101" s="148"/>
      <c r="PA101" s="148"/>
      <c r="PB101" s="148"/>
      <c r="PC101" s="148"/>
      <c r="PD101" s="148"/>
      <c r="PE101" s="148"/>
      <c r="PF101" s="148"/>
      <c r="PG101" s="148" t="s">
        <v>1535</v>
      </c>
      <c r="PH101" s="148"/>
      <c r="PI101" s="148"/>
      <c r="PJ101" s="148"/>
      <c r="PK101" s="148"/>
      <c r="PL101" s="148"/>
      <c r="PM101" s="148"/>
      <c r="PN101" s="148" t="s">
        <v>292</v>
      </c>
      <c r="PO101" s="148" t="s">
        <v>1486</v>
      </c>
      <c r="PP101" s="148" t="s">
        <v>1486</v>
      </c>
      <c r="PQ101" s="148"/>
      <c r="PR101" s="148" t="s">
        <v>650</v>
      </c>
      <c r="PS101" s="148"/>
      <c r="PT101" s="148"/>
      <c r="PU101" s="148"/>
      <c r="PV101" s="148"/>
      <c r="PW101" s="148" t="s">
        <v>2613</v>
      </c>
      <c r="PX101" s="148"/>
      <c r="PY101" s="148"/>
      <c r="PZ101" s="148"/>
      <c r="QA101" s="148"/>
      <c r="QB101" s="148"/>
      <c r="QC101" s="148"/>
      <c r="QD101" s="148"/>
      <c r="QE101" s="148"/>
      <c r="QF101" s="148"/>
      <c r="QG101" s="148"/>
      <c r="QH101" s="148"/>
      <c r="QI101" s="253" t="s">
        <v>2112</v>
      </c>
      <c r="QJ101" s="148" t="s">
        <v>1486</v>
      </c>
      <c r="QK101" s="148" t="s">
        <v>2455</v>
      </c>
      <c r="QL101" s="148" t="s">
        <v>2455</v>
      </c>
      <c r="QM101" s="148"/>
      <c r="QN101" s="148"/>
      <c r="QO101" s="148"/>
      <c r="QP101" s="148"/>
      <c r="QQ101" s="148" t="s">
        <v>862</v>
      </c>
      <c r="QR101" s="148" t="s">
        <v>292</v>
      </c>
      <c r="QS101" s="148"/>
      <c r="QT101" s="148"/>
      <c r="QU101" s="148"/>
      <c r="QV101" s="148"/>
      <c r="QW101" s="148"/>
      <c r="QX101" s="148"/>
      <c r="QY101" s="148"/>
      <c r="QZ101" s="148"/>
      <c r="RA101" s="148"/>
      <c r="RB101" s="148" t="s">
        <v>2153</v>
      </c>
      <c r="RC101" s="148"/>
      <c r="RD101" s="148"/>
      <c r="RE101" s="148"/>
      <c r="RF101" s="148" t="s">
        <v>2455</v>
      </c>
      <c r="RG101" s="148"/>
      <c r="RH101" s="148"/>
      <c r="RI101" s="148"/>
      <c r="RJ101" s="148"/>
      <c r="RK101" s="148"/>
      <c r="RL101" s="148"/>
      <c r="RM101" s="148" t="s">
        <v>2707</v>
      </c>
      <c r="RN101" s="148" t="s">
        <v>1486</v>
      </c>
      <c r="RO101" s="148"/>
      <c r="RP101" s="148"/>
      <c r="RQ101" s="148"/>
      <c r="RR101" s="148"/>
      <c r="RS101" s="148"/>
      <c r="RT101" s="148"/>
      <c r="RU101" s="148"/>
      <c r="RV101" s="148"/>
      <c r="RW101" s="148" t="s">
        <v>2613</v>
      </c>
      <c r="RX101" s="148" t="s">
        <v>2613</v>
      </c>
      <c r="RY101" s="148" t="s">
        <v>2776</v>
      </c>
      <c r="RZ101" s="276" t="s">
        <v>9804</v>
      </c>
      <c r="SA101" s="1733" t="s">
        <v>9805</v>
      </c>
      <c r="SB101" s="148"/>
      <c r="SC101" s="148" t="s">
        <v>1745</v>
      </c>
      <c r="SD101" s="148" t="s">
        <v>1011</v>
      </c>
      <c r="SE101" s="148" t="s">
        <v>1011</v>
      </c>
      <c r="SF101" s="148"/>
      <c r="SG101" s="148" t="s">
        <v>2455</v>
      </c>
      <c r="SH101" s="148" t="s">
        <v>2455</v>
      </c>
      <c r="SI101" s="148"/>
      <c r="SJ101" s="148"/>
      <c r="SK101" s="148"/>
      <c r="SL101" s="148" t="s">
        <v>48</v>
      </c>
    </row>
    <row r="102" ht="15.75" customHeight="1">
      <c r="A102" s="1517"/>
      <c r="B102" s="1786"/>
      <c r="C102" s="1787"/>
      <c r="D102" s="1787"/>
      <c r="E102" s="1788"/>
      <c r="F102" s="1788"/>
      <c r="G102" s="1729" t="s">
        <v>9805</v>
      </c>
      <c r="H102" s="1789"/>
      <c r="I102" s="1789"/>
      <c r="J102" s="1730" t="s">
        <v>9805</v>
      </c>
      <c r="K102" s="1787"/>
      <c r="L102" s="1787"/>
      <c r="M102" s="1790"/>
      <c r="N102" s="1741"/>
      <c r="O102" s="339"/>
      <c r="P102" s="339"/>
      <c r="Q102" s="1741"/>
      <c r="R102" s="1741"/>
      <c r="S102" s="1741"/>
      <c r="T102" s="1791"/>
      <c r="U102" s="1741"/>
      <c r="V102" s="1741"/>
      <c r="W102" s="1741"/>
      <c r="X102" s="1791"/>
      <c r="Y102" s="1791"/>
      <c r="Z102" s="339"/>
      <c r="AA102" s="339"/>
      <c r="AB102" s="339"/>
      <c r="AC102" s="339"/>
      <c r="AD102" s="1789"/>
      <c r="AE102" s="1789"/>
      <c r="AF102" s="1789" t="s">
        <v>1206</v>
      </c>
      <c r="AG102" s="1791"/>
      <c r="AH102" s="1791"/>
      <c r="AI102" s="1791" t="s">
        <v>2455</v>
      </c>
      <c r="AJ102" s="1792" t="s">
        <v>650</v>
      </c>
      <c r="AK102" s="1792" t="s">
        <v>650</v>
      </c>
      <c r="AL102" s="1741"/>
      <c r="AM102" s="339"/>
      <c r="AN102" s="1792" t="s">
        <v>1486</v>
      </c>
      <c r="AO102" s="1792" t="s">
        <v>1486</v>
      </c>
      <c r="AP102" s="1791"/>
      <c r="AQ102" s="1791"/>
      <c r="AR102" s="1789"/>
      <c r="AS102" s="1789"/>
      <c r="AT102" s="1788"/>
      <c r="AU102" s="1788"/>
      <c r="AV102" s="1788"/>
      <c r="AW102" s="1791"/>
      <c r="AX102" s="1791"/>
      <c r="AY102" s="1741"/>
      <c r="AZ102" s="1741"/>
      <c r="BA102" s="339"/>
      <c r="BB102" s="339"/>
      <c r="BC102" s="339"/>
      <c r="BD102" s="1789"/>
      <c r="BE102" s="1741" t="s">
        <v>1206</v>
      </c>
      <c r="BF102" s="1741" t="s">
        <v>1206</v>
      </c>
      <c r="BG102" s="1741"/>
      <c r="BH102" s="1741"/>
      <c r="BI102" s="1789"/>
      <c r="BJ102" s="1789"/>
      <c r="BK102" s="1789"/>
      <c r="BL102" s="1741"/>
      <c r="BM102" s="1741"/>
      <c r="BN102" s="1741"/>
      <c r="BO102" s="1793"/>
      <c r="BP102" s="1793"/>
      <c r="BQ102" s="1793"/>
      <c r="BR102" s="1787"/>
      <c r="BS102" s="1787"/>
      <c r="BT102" s="1787"/>
      <c r="BU102" s="1789"/>
      <c r="BV102" s="1789"/>
      <c r="BW102" s="1741"/>
      <c r="BX102" s="1741"/>
      <c r="BY102" s="1741"/>
      <c r="BZ102" s="339"/>
      <c r="CA102" s="339"/>
      <c r="CB102" s="1792"/>
      <c r="CC102" s="1792" t="s">
        <v>2613</v>
      </c>
      <c r="CD102" s="1793"/>
      <c r="CE102" s="1793"/>
      <c r="CF102" s="1741"/>
      <c r="CG102" s="1741"/>
      <c r="CH102" s="1741"/>
      <c r="CI102" s="1790"/>
      <c r="CJ102" s="1790"/>
      <c r="CK102" s="1791"/>
      <c r="CL102" s="1791"/>
      <c r="CM102" s="1791"/>
      <c r="CN102" s="1791"/>
      <c r="CO102" s="1791"/>
      <c r="CP102" s="1791"/>
      <c r="CQ102" s="1791"/>
      <c r="CR102" s="1793"/>
      <c r="CS102" s="339"/>
      <c r="CT102" s="339"/>
      <c r="CU102" s="1788"/>
      <c r="CV102" s="1788"/>
      <c r="CW102" s="1788"/>
      <c r="CX102" s="1788"/>
      <c r="CY102" s="1792"/>
      <c r="CZ102" s="339"/>
      <c r="DA102" s="1741"/>
      <c r="DB102" s="1741" t="s">
        <v>1206</v>
      </c>
      <c r="DC102" s="1741"/>
      <c r="DD102" s="1741"/>
      <c r="DE102" s="1792"/>
      <c r="DF102" s="1791"/>
      <c r="DG102" s="1791"/>
      <c r="DH102" s="1793"/>
      <c r="DI102" s="1793" t="s">
        <v>650</v>
      </c>
      <c r="DJ102" s="1792"/>
      <c r="DK102" s="1789"/>
      <c r="DL102" s="1741" t="s">
        <v>650</v>
      </c>
      <c r="DM102" s="1789"/>
      <c r="DN102" s="1789"/>
      <c r="DO102" s="1788"/>
      <c r="DP102" s="1788"/>
      <c r="DQ102" s="1741"/>
      <c r="DR102" s="1791"/>
      <c r="DS102" s="1792"/>
      <c r="DT102" s="1787"/>
      <c r="DU102" s="1788"/>
      <c r="DV102" s="339"/>
      <c r="DW102" s="1788"/>
      <c r="DX102" s="1741"/>
      <c r="DY102" s="1741"/>
      <c r="DZ102" s="1788"/>
      <c r="EA102" s="1789"/>
      <c r="EB102" s="1789"/>
      <c r="EC102" s="1791"/>
      <c r="ED102" s="1741"/>
      <c r="EE102" s="1789"/>
      <c r="EF102" s="339"/>
      <c r="EG102" s="1788"/>
      <c r="EH102" s="1792"/>
      <c r="EI102" s="1789"/>
      <c r="EJ102" s="1789"/>
      <c r="EK102" s="1741"/>
      <c r="EL102" s="1741" t="s">
        <v>1745</v>
      </c>
      <c r="EM102" s="1791"/>
      <c r="EN102" s="1794" t="s">
        <v>1486</v>
      </c>
      <c r="EO102" s="1789"/>
      <c r="EP102" s="339"/>
      <c r="EQ102" s="339"/>
      <c r="ER102" s="1789"/>
      <c r="ES102" s="1789"/>
      <c r="ET102" s="1741" t="s">
        <v>2273</v>
      </c>
      <c r="EU102" s="1791"/>
      <c r="EV102" s="1792"/>
      <c r="EW102" s="1787"/>
      <c r="EX102" s="1787"/>
      <c r="EY102" s="1787"/>
      <c r="EZ102" s="339"/>
      <c r="FA102" s="339"/>
      <c r="FB102" s="339"/>
      <c r="FC102" s="1789"/>
      <c r="FD102" s="1789"/>
      <c r="FE102" s="1795" t="s">
        <v>1745</v>
      </c>
      <c r="FF102" s="1741" t="s">
        <v>48</v>
      </c>
      <c r="FG102" s="1741" t="s">
        <v>48</v>
      </c>
      <c r="FH102" s="1741"/>
      <c r="FI102" s="1741"/>
      <c r="FJ102" s="1788"/>
      <c r="FK102" s="1788"/>
      <c r="FL102" s="1787"/>
      <c r="FM102" s="1788"/>
      <c r="FN102" s="1791"/>
      <c r="FO102" s="1789"/>
      <c r="FP102" s="1789"/>
      <c r="FQ102" s="339"/>
      <c r="FR102" s="1792"/>
      <c r="FS102" s="1792"/>
      <c r="FT102" s="1790"/>
      <c r="FU102" s="1790" t="s">
        <v>1486</v>
      </c>
      <c r="FV102" s="1787"/>
      <c r="FW102" s="1787"/>
      <c r="FX102" s="1790"/>
      <c r="FY102" s="1792"/>
      <c r="FZ102" s="339"/>
      <c r="GA102" s="1787"/>
      <c r="GB102" s="1789"/>
      <c r="GC102" s="1789"/>
      <c r="GD102" s="1741"/>
      <c r="GE102" s="1787"/>
      <c r="GF102" s="1792"/>
      <c r="GG102" s="1787"/>
      <c r="GH102" s="1789"/>
      <c r="GI102" s="1791" t="s">
        <v>862</v>
      </c>
      <c r="GJ102" s="339"/>
      <c r="GK102" s="339"/>
      <c r="GL102" s="1788"/>
      <c r="GM102" s="1789"/>
      <c r="GN102" s="1789"/>
      <c r="GO102" s="1791"/>
      <c r="GP102" s="1794"/>
      <c r="GQ102" s="1794"/>
      <c r="GR102" s="1792" t="s">
        <v>2613</v>
      </c>
      <c r="GS102" s="1793"/>
      <c r="GT102" s="1794"/>
      <c r="GU102" s="1789"/>
      <c r="GV102" s="339"/>
      <c r="GW102" s="1793"/>
      <c r="GX102" s="1791"/>
      <c r="GY102" s="339"/>
      <c r="GZ102" s="1791"/>
      <c r="HA102" s="1793"/>
      <c r="HB102" s="1792"/>
      <c r="HC102" s="1791"/>
      <c r="HD102" s="1793"/>
      <c r="HE102" s="1788"/>
      <c r="HF102" s="339"/>
      <c r="HG102" s="1789"/>
      <c r="HH102" s="1794"/>
      <c r="HI102" s="1741" t="s">
        <v>1745</v>
      </c>
      <c r="HJ102" s="1741" t="s">
        <v>1535</v>
      </c>
      <c r="HK102" s="1788"/>
      <c r="HL102" s="1788"/>
      <c r="HM102" s="1741"/>
      <c r="HN102" s="1741"/>
      <c r="HO102" s="1792"/>
      <c r="HP102" s="1793"/>
      <c r="HQ102" s="1788"/>
      <c r="HR102" s="1788"/>
      <c r="HS102" s="1791" t="s">
        <v>1535</v>
      </c>
      <c r="HT102" s="1793"/>
      <c r="HU102" s="1794"/>
      <c r="HV102" s="1794"/>
      <c r="HW102" s="1789"/>
      <c r="HX102" s="1789"/>
      <c r="HY102" s="1793" t="s">
        <v>1745</v>
      </c>
      <c r="HZ102" s="1788"/>
      <c r="IA102" s="1741"/>
      <c r="IB102" s="1790"/>
      <c r="IC102" s="1791"/>
      <c r="ID102" s="1741"/>
      <c r="IE102" s="1792"/>
      <c r="IF102" s="339"/>
      <c r="IG102" s="1788"/>
      <c r="IH102" s="1792"/>
      <c r="II102" s="1792"/>
      <c r="IJ102" s="339"/>
      <c r="IK102" s="1741"/>
      <c r="IL102" s="1789"/>
      <c r="IM102" s="1787"/>
      <c r="IN102" s="1793"/>
      <c r="IO102" s="1787" t="s">
        <v>2455</v>
      </c>
      <c r="IP102" s="1790" t="s">
        <v>1011</v>
      </c>
      <c r="IQ102" s="1788" t="s">
        <v>9804</v>
      </c>
      <c r="IR102" s="1787" t="s">
        <v>2455</v>
      </c>
      <c r="IS102" s="1787"/>
      <c r="IT102" s="1787"/>
      <c r="IU102" s="159" t="s">
        <v>9806</v>
      </c>
      <c r="IV102" s="1788"/>
      <c r="IW102" s="1788"/>
      <c r="IX102" s="1788" t="s">
        <v>2455</v>
      </c>
      <c r="IY102" s="1789"/>
      <c r="IZ102" s="1789"/>
      <c r="JA102" s="1795" t="s">
        <v>1745</v>
      </c>
      <c r="JB102" s="1793"/>
      <c r="JC102" s="1793"/>
      <c r="JD102" s="1741"/>
      <c r="JE102" s="1790"/>
      <c r="JF102" s="1788"/>
      <c r="JG102" s="1790"/>
      <c r="JH102" s="339"/>
      <c r="JI102" s="1791"/>
      <c r="JJ102" s="1787"/>
      <c r="JK102" s="1787"/>
      <c r="JL102" s="1787"/>
      <c r="JM102" s="1787"/>
      <c r="JN102" s="1741"/>
      <c r="JO102" s="1741"/>
      <c r="JP102" s="1741" t="s">
        <v>2455</v>
      </c>
      <c r="JQ102" s="1789"/>
      <c r="JR102" s="1789"/>
      <c r="JS102" s="1790"/>
      <c r="JT102" s="339"/>
      <c r="JU102" s="1790"/>
      <c r="JV102" s="1790"/>
      <c r="JW102" s="1790"/>
      <c r="JX102" s="1789"/>
      <c r="JY102" s="1789"/>
      <c r="JZ102" s="1741"/>
      <c r="KA102" s="1787"/>
      <c r="KB102" s="1741"/>
      <c r="KC102" s="1790"/>
      <c r="KD102" s="1741"/>
      <c r="KE102" s="1793"/>
      <c r="KF102" s="339"/>
      <c r="KG102" s="1741"/>
      <c r="KH102" s="1792"/>
      <c r="KI102" s="1789"/>
      <c r="KJ102" s="1789"/>
      <c r="KK102" s="339"/>
      <c r="KL102" s="1741"/>
      <c r="KM102" s="1789"/>
      <c r="KN102" s="1793"/>
      <c r="KO102" s="1792"/>
      <c r="KP102" s="1791"/>
      <c r="KQ102" s="1791" t="s">
        <v>3976</v>
      </c>
      <c r="KR102" s="1794"/>
      <c r="KS102" s="1793" t="s">
        <v>1486</v>
      </c>
      <c r="KT102" s="1793" t="s">
        <v>1486</v>
      </c>
      <c r="KU102" s="1793" t="s">
        <v>2153</v>
      </c>
      <c r="KV102" s="1789"/>
      <c r="KW102" s="1788"/>
      <c r="KX102" s="1787"/>
      <c r="KY102" s="339"/>
      <c r="KZ102" s="339"/>
      <c r="LA102" s="339"/>
      <c r="LB102" s="1793"/>
      <c r="LC102" s="1791"/>
      <c r="LD102" s="1787"/>
      <c r="LE102" s="1787"/>
      <c r="LF102" s="1791"/>
      <c r="LG102" s="1788"/>
      <c r="LH102" s="1789"/>
      <c r="LI102" s="1789"/>
      <c r="LJ102" s="1789"/>
      <c r="LK102" s="339"/>
      <c r="LL102" s="1788"/>
      <c r="LM102" s="1741"/>
      <c r="LN102" s="1794"/>
      <c r="LO102" s="1791"/>
      <c r="LP102" s="1741" t="s">
        <v>2455</v>
      </c>
      <c r="LQ102" s="1741"/>
      <c r="LR102" s="1787"/>
      <c r="LS102" s="1787" t="s">
        <v>9804</v>
      </c>
      <c r="LT102" s="1787"/>
      <c r="LU102" s="1787"/>
      <c r="LV102" s="1789"/>
      <c r="LW102" s="1789"/>
      <c r="LX102" s="1790" t="s">
        <v>1486</v>
      </c>
      <c r="LY102" s="1794"/>
      <c r="LZ102" s="339"/>
      <c r="MA102" s="1788"/>
      <c r="MB102" s="1793"/>
      <c r="MC102" s="1789"/>
      <c r="MD102" s="1788"/>
      <c r="ME102" s="1788" t="s">
        <v>1745</v>
      </c>
      <c r="MF102" s="1741"/>
      <c r="MG102" s="1794"/>
      <c r="MH102" s="1791"/>
      <c r="MI102" s="1787"/>
      <c r="MJ102" s="1793"/>
      <c r="MK102" s="1793"/>
      <c r="ML102" s="1741"/>
      <c r="MM102" s="1792"/>
      <c r="MN102" s="1790"/>
      <c r="MO102" s="1787" t="s">
        <v>1973</v>
      </c>
      <c r="MP102" s="1794"/>
      <c r="MQ102" s="1794"/>
      <c r="MR102" s="1794"/>
      <c r="MS102" s="1794"/>
      <c r="MT102" s="1787"/>
      <c r="MU102" s="1789"/>
      <c r="MV102" s="1790"/>
      <c r="MW102" s="1789"/>
      <c r="MX102" s="1793"/>
      <c r="MY102" s="1793"/>
      <c r="MZ102" s="1789"/>
      <c r="NA102" s="1789"/>
      <c r="NB102" s="1789"/>
      <c r="NC102" s="1789"/>
      <c r="ND102" s="1789"/>
      <c r="NE102" s="1792"/>
      <c r="NF102" s="1793"/>
      <c r="NG102" s="1792"/>
      <c r="NH102" s="1789"/>
      <c r="NI102" s="1790"/>
      <c r="NJ102" s="1795" t="s">
        <v>9804</v>
      </c>
      <c r="NK102" s="1789"/>
      <c r="NL102" s="1789" t="s">
        <v>2455</v>
      </c>
      <c r="NM102" s="1789" t="s">
        <v>2455</v>
      </c>
      <c r="NN102" s="1741"/>
      <c r="NO102" s="1789"/>
      <c r="NP102" s="1793"/>
      <c r="NQ102" s="1788" t="s">
        <v>1206</v>
      </c>
      <c r="NR102" s="1795" t="s">
        <v>9804</v>
      </c>
      <c r="NS102" s="1789"/>
      <c r="NT102" s="1788"/>
      <c r="NU102" s="1787" t="s">
        <v>1206</v>
      </c>
      <c r="NV102" s="339" t="s">
        <v>1973</v>
      </c>
      <c r="NW102" s="1788"/>
      <c r="NX102" s="1788"/>
      <c r="NY102" s="1788"/>
      <c r="NZ102" s="1788"/>
      <c r="OA102" s="1787"/>
      <c r="OB102" s="1787"/>
      <c r="OC102" s="1787"/>
      <c r="OD102" s="1741" t="s">
        <v>1486</v>
      </c>
      <c r="OE102" s="1741"/>
      <c r="OF102" s="1731" t="s">
        <v>9805</v>
      </c>
      <c r="OG102" s="1789"/>
      <c r="OH102" s="1789"/>
      <c r="OI102" s="1789"/>
      <c r="OJ102" s="1741"/>
      <c r="OK102" s="1741"/>
      <c r="OL102" s="1741"/>
      <c r="OM102" s="1741"/>
      <c r="ON102" s="1741"/>
      <c r="OO102" s="1788"/>
      <c r="OP102" s="1788"/>
      <c r="OQ102" s="1789"/>
      <c r="OR102" s="1789"/>
      <c r="OS102" s="1789"/>
      <c r="OT102" s="1787"/>
      <c r="OU102" s="1787"/>
      <c r="OV102" s="1789" t="s">
        <v>1745</v>
      </c>
      <c r="OW102" s="1789" t="s">
        <v>1206</v>
      </c>
      <c r="OX102" s="1793"/>
      <c r="OY102" s="1793"/>
      <c r="OZ102" s="1787"/>
      <c r="PA102" s="1787"/>
      <c r="PB102" s="339"/>
      <c r="PC102" s="1792"/>
      <c r="PD102" s="339"/>
      <c r="PE102" s="339"/>
      <c r="PF102" s="339"/>
      <c r="PG102" s="1790"/>
      <c r="PH102" s="1741"/>
      <c r="PI102" s="1741"/>
      <c r="PJ102" s="1792"/>
      <c r="PK102" s="1792"/>
      <c r="PL102" s="1791"/>
      <c r="PM102" s="1791"/>
      <c r="PN102" s="1791" t="s">
        <v>862</v>
      </c>
      <c r="PO102" s="1791"/>
      <c r="PP102" s="1791"/>
      <c r="PQ102" s="1741"/>
      <c r="PR102" s="1741" t="s">
        <v>2455</v>
      </c>
      <c r="PS102" s="1791"/>
      <c r="PT102" s="1794"/>
      <c r="PU102" s="1793"/>
      <c r="PV102" s="1793"/>
      <c r="PW102" s="339"/>
      <c r="PX102" s="1791"/>
      <c r="PY102" s="1791"/>
      <c r="PZ102" s="1787"/>
      <c r="QA102" s="1787"/>
      <c r="QB102" s="1741"/>
      <c r="QC102" s="1792"/>
      <c r="QD102" s="1792"/>
      <c r="QE102" s="1794"/>
      <c r="QF102" s="1791"/>
      <c r="QG102" s="1789"/>
      <c r="QH102" s="1789"/>
      <c r="QI102" s="1789"/>
      <c r="QJ102" s="1794" t="s">
        <v>1535</v>
      </c>
      <c r="QK102" s="1789"/>
      <c r="QL102" s="1789"/>
      <c r="QM102" s="1741"/>
      <c r="QN102" s="1741"/>
      <c r="QO102" s="1791"/>
      <c r="QP102" s="1791"/>
      <c r="QQ102" s="1789" t="s">
        <v>2455</v>
      </c>
      <c r="QR102" s="1789" t="s">
        <v>862</v>
      </c>
      <c r="QS102" s="1787"/>
      <c r="QT102" s="1789"/>
      <c r="QU102" s="1789"/>
      <c r="QV102" s="1789"/>
      <c r="QW102" s="1790"/>
      <c r="QX102" s="1790"/>
      <c r="QY102" s="1794"/>
      <c r="QZ102" s="1793"/>
      <c r="RA102" s="1792"/>
      <c r="RB102" s="1793" t="s">
        <v>650</v>
      </c>
      <c r="RC102" s="1789"/>
      <c r="RD102" s="339"/>
      <c r="RE102" s="1788"/>
      <c r="RF102" s="1790" t="s">
        <v>1486</v>
      </c>
      <c r="RG102" s="1787"/>
      <c r="RH102" s="1787"/>
      <c r="RI102" s="1789"/>
      <c r="RJ102" s="1791"/>
      <c r="RK102" s="1741"/>
      <c r="RL102" s="1788"/>
      <c r="RM102" s="1790" t="s">
        <v>2455</v>
      </c>
      <c r="RN102" s="1793"/>
      <c r="RO102" s="1794"/>
      <c r="RP102" s="1790"/>
      <c r="RQ102" s="1788"/>
      <c r="RR102" s="1788"/>
      <c r="RS102" s="1788"/>
      <c r="RT102" s="1788"/>
      <c r="RU102" s="1788"/>
      <c r="RV102" s="1788"/>
      <c r="RW102" s="339"/>
      <c r="RX102" s="1792"/>
      <c r="RY102" s="1789" t="s">
        <v>2455</v>
      </c>
      <c r="RZ102" s="139" t="s">
        <v>9805</v>
      </c>
      <c r="SA102" s="1804" t="s">
        <v>2112</v>
      </c>
      <c r="SB102" s="1741"/>
      <c r="SC102" s="1790"/>
      <c r="SD102" s="1794" t="s">
        <v>2455</v>
      </c>
      <c r="SE102" s="1794" t="s">
        <v>2455</v>
      </c>
      <c r="SF102" s="339"/>
      <c r="SG102" s="1789" t="s">
        <v>2613</v>
      </c>
      <c r="SH102" s="1789" t="s">
        <v>2613</v>
      </c>
      <c r="SI102" s="1794"/>
      <c r="SJ102" s="1787"/>
      <c r="SK102" s="1787"/>
      <c r="SL102" s="1793" t="s">
        <v>2153</v>
      </c>
    </row>
    <row r="103" ht="15.75" customHeight="1">
      <c r="A103" s="1517"/>
      <c r="B103" s="148"/>
      <c r="C103" s="148"/>
      <c r="D103" s="148"/>
      <c r="E103" s="148"/>
      <c r="F103" s="148"/>
      <c r="G103" s="254" t="s">
        <v>1997</v>
      </c>
      <c r="H103" s="148"/>
      <c r="I103" s="148"/>
      <c r="J103" s="253" t="s">
        <v>2290</v>
      </c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 t="s">
        <v>1745</v>
      </c>
      <c r="AG103" s="148"/>
      <c r="AH103" s="148"/>
      <c r="AI103" s="148" t="s">
        <v>1206</v>
      </c>
      <c r="AJ103" s="148" t="s">
        <v>2455</v>
      </c>
      <c r="AK103" s="148" t="s">
        <v>2455</v>
      </c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 t="s">
        <v>1535</v>
      </c>
      <c r="BF103" s="148" t="s">
        <v>1535</v>
      </c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8"/>
      <c r="BQ103" s="148"/>
      <c r="BR103" s="148"/>
      <c r="BS103" s="148"/>
      <c r="BT103" s="148"/>
      <c r="BU103" s="148"/>
      <c r="BV103" s="148"/>
      <c r="BW103" s="148"/>
      <c r="BX103" s="148"/>
      <c r="BY103" s="148"/>
      <c r="BZ103" s="148"/>
      <c r="CA103" s="148"/>
      <c r="CB103" s="148"/>
      <c r="CC103" s="148"/>
      <c r="CD103" s="148"/>
      <c r="CE103" s="148"/>
      <c r="CF103" s="148"/>
      <c r="CG103" s="148"/>
      <c r="CH103" s="148"/>
      <c r="CI103" s="148"/>
      <c r="CJ103" s="148"/>
      <c r="CK103" s="148"/>
      <c r="CL103" s="148"/>
      <c r="CM103" s="148"/>
      <c r="CN103" s="148"/>
      <c r="CO103" s="148"/>
      <c r="CP103" s="148"/>
      <c r="CQ103" s="148"/>
      <c r="CR103" s="148"/>
      <c r="CS103" s="148"/>
      <c r="CT103" s="148"/>
      <c r="CU103" s="148"/>
      <c r="CV103" s="148"/>
      <c r="CW103" s="148"/>
      <c r="CX103" s="148"/>
      <c r="CY103" s="148"/>
      <c r="CZ103" s="148"/>
      <c r="DA103" s="148"/>
      <c r="DB103" s="148"/>
      <c r="DC103" s="148"/>
      <c r="DD103" s="148"/>
      <c r="DE103" s="148"/>
      <c r="DF103" s="148"/>
      <c r="DG103" s="148"/>
      <c r="DH103" s="148"/>
      <c r="DI103" s="148" t="s">
        <v>2455</v>
      </c>
      <c r="DJ103" s="148"/>
      <c r="DK103" s="148"/>
      <c r="DL103" s="148" t="s">
        <v>2455</v>
      </c>
      <c r="DM103" s="148"/>
      <c r="DN103" s="148"/>
      <c r="DO103" s="148"/>
      <c r="DP103" s="148"/>
      <c r="DQ103" s="148"/>
      <c r="DR103" s="148"/>
      <c r="DS103" s="148"/>
      <c r="DT103" s="148"/>
      <c r="DU103" s="148"/>
      <c r="DV103" s="148"/>
      <c r="DW103" s="148"/>
      <c r="DX103" s="148"/>
      <c r="DY103" s="148"/>
      <c r="DZ103" s="148"/>
      <c r="EA103" s="148"/>
      <c r="EB103" s="148"/>
      <c r="EC103" s="148"/>
      <c r="ED103" s="148"/>
      <c r="EE103" s="148"/>
      <c r="EF103" s="148"/>
      <c r="EG103" s="148"/>
      <c r="EH103" s="148"/>
      <c r="EI103" s="148"/>
      <c r="EJ103" s="148"/>
      <c r="EK103" s="148"/>
      <c r="EL103" s="148"/>
      <c r="EM103" s="148"/>
      <c r="EN103" s="148" t="s">
        <v>1535</v>
      </c>
      <c r="EO103" s="148"/>
      <c r="EP103" s="148"/>
      <c r="EQ103" s="148"/>
      <c r="ER103" s="148"/>
      <c r="ES103" s="148"/>
      <c r="ET103" s="148" t="s">
        <v>1011</v>
      </c>
      <c r="EU103" s="148"/>
      <c r="EV103" s="148"/>
      <c r="EW103" s="148"/>
      <c r="EX103" s="148"/>
      <c r="EY103" s="148"/>
      <c r="EZ103" s="148"/>
      <c r="FA103" s="148"/>
      <c r="FB103" s="148"/>
      <c r="FC103" s="148"/>
      <c r="FD103" s="148"/>
      <c r="FE103" s="1730" t="s">
        <v>9805</v>
      </c>
      <c r="FF103" s="148" t="s">
        <v>2455</v>
      </c>
      <c r="FG103" s="148" t="s">
        <v>2455</v>
      </c>
      <c r="FH103" s="148"/>
      <c r="FI103" s="148"/>
      <c r="FJ103" s="148"/>
      <c r="FK103" s="148"/>
      <c r="FL103" s="148"/>
      <c r="FM103" s="148"/>
      <c r="FN103" s="148"/>
      <c r="FO103" s="148"/>
      <c r="FP103" s="148"/>
      <c r="FQ103" s="148"/>
      <c r="FR103" s="148"/>
      <c r="FS103" s="148"/>
      <c r="FT103" s="148"/>
      <c r="FU103" s="148" t="s">
        <v>2613</v>
      </c>
      <c r="FV103" s="148"/>
      <c r="FW103" s="148"/>
      <c r="FX103" s="148"/>
      <c r="FY103" s="148"/>
      <c r="FZ103" s="148"/>
      <c r="GA103" s="148"/>
      <c r="GB103" s="148"/>
      <c r="GC103" s="148"/>
      <c r="GD103" s="148"/>
      <c r="GE103" s="148"/>
      <c r="GF103" s="148"/>
      <c r="GG103" s="148"/>
      <c r="GH103" s="148"/>
      <c r="GI103" s="148" t="s">
        <v>2455</v>
      </c>
      <c r="GJ103" s="148"/>
      <c r="GK103" s="148"/>
      <c r="GL103" s="148"/>
      <c r="GM103" s="148"/>
      <c r="GN103" s="148"/>
      <c r="GO103" s="148"/>
      <c r="GP103" s="148"/>
      <c r="GQ103" s="148"/>
      <c r="GR103" s="148"/>
      <c r="GS103" s="148"/>
      <c r="GT103" s="148"/>
      <c r="GU103" s="148"/>
      <c r="GV103" s="148"/>
      <c r="GW103" s="148"/>
      <c r="GX103" s="148"/>
      <c r="GY103" s="148"/>
      <c r="GZ103" s="148"/>
      <c r="HA103" s="148"/>
      <c r="HB103" s="148"/>
      <c r="HC103" s="148"/>
      <c r="HD103" s="148"/>
      <c r="HE103" s="148"/>
      <c r="HF103" s="148"/>
      <c r="HG103" s="148"/>
      <c r="HH103" s="148"/>
      <c r="HI103" s="148"/>
      <c r="HJ103" s="148" t="s">
        <v>1745</v>
      </c>
      <c r="HK103" s="148"/>
      <c r="HL103" s="148"/>
      <c r="HM103" s="148"/>
      <c r="HN103" s="148"/>
      <c r="HO103" s="148"/>
      <c r="HP103" s="148"/>
      <c r="HQ103" s="148"/>
      <c r="HR103" s="148"/>
      <c r="HS103" s="148" t="s">
        <v>2613</v>
      </c>
      <c r="HT103" s="148"/>
      <c r="HU103" s="148"/>
      <c r="HV103" s="148"/>
      <c r="HW103" s="148"/>
      <c r="HX103" s="148"/>
      <c r="HY103" s="148"/>
      <c r="HZ103" s="148"/>
      <c r="IA103" s="148"/>
      <c r="IB103" s="148"/>
      <c r="IC103" s="148"/>
      <c r="ID103" s="148"/>
      <c r="IE103" s="148"/>
      <c r="IF103" s="148"/>
      <c r="IG103" s="148"/>
      <c r="IH103" s="148"/>
      <c r="II103" s="148"/>
      <c r="IJ103" s="148"/>
      <c r="IK103" s="148"/>
      <c r="IL103" s="148"/>
      <c r="IM103" s="148"/>
      <c r="IN103" s="148"/>
      <c r="IO103" s="148" t="s">
        <v>1206</v>
      </c>
      <c r="IP103" s="148" t="s">
        <v>2455</v>
      </c>
      <c r="IQ103" s="148"/>
      <c r="IR103" s="148" t="s">
        <v>1535</v>
      </c>
      <c r="IS103" s="148"/>
      <c r="IT103" s="148"/>
      <c r="IU103" s="148"/>
      <c r="IV103" s="148"/>
      <c r="IW103" s="148"/>
      <c r="IX103" s="276" t="s">
        <v>1745</v>
      </c>
      <c r="IY103" s="148"/>
      <c r="IZ103" s="148"/>
      <c r="JA103" s="1730" t="s">
        <v>9805</v>
      </c>
      <c r="JB103" s="148"/>
      <c r="JC103" s="148"/>
      <c r="JD103" s="148"/>
      <c r="JE103" s="148"/>
      <c r="JF103" s="148"/>
      <c r="JG103" s="148"/>
      <c r="JH103" s="148"/>
      <c r="JI103" s="148"/>
      <c r="JJ103" s="148"/>
      <c r="JK103" s="148"/>
      <c r="JL103" s="148"/>
      <c r="JM103" s="148"/>
      <c r="JN103" s="148"/>
      <c r="JO103" s="148"/>
      <c r="JP103" s="148" t="s">
        <v>1486</v>
      </c>
      <c r="JQ103" s="148"/>
      <c r="JR103" s="148"/>
      <c r="JS103" s="148"/>
      <c r="JT103" s="148"/>
      <c r="JU103" s="148"/>
      <c r="JV103" s="148"/>
      <c r="JW103" s="148"/>
      <c r="JX103" s="148"/>
      <c r="JY103" s="148"/>
      <c r="JZ103" s="148"/>
      <c r="KA103" s="148"/>
      <c r="KB103" s="148"/>
      <c r="KC103" s="148"/>
      <c r="KD103" s="148"/>
      <c r="KE103" s="148"/>
      <c r="KF103" s="148"/>
      <c r="KG103" s="148"/>
      <c r="KH103" s="148"/>
      <c r="KI103" s="148"/>
      <c r="KJ103" s="148"/>
      <c r="KK103" s="148"/>
      <c r="KL103" s="148"/>
      <c r="KM103" s="148"/>
      <c r="KN103" s="148"/>
      <c r="KO103" s="148"/>
      <c r="KP103" s="148"/>
      <c r="KQ103" s="148" t="s">
        <v>2455</v>
      </c>
      <c r="KR103" s="148"/>
      <c r="KS103" s="148" t="s">
        <v>1745</v>
      </c>
      <c r="KT103" s="148" t="s">
        <v>1745</v>
      </c>
      <c r="KU103" s="148" t="s">
        <v>650</v>
      </c>
      <c r="KV103" s="148"/>
      <c r="KW103" s="148"/>
      <c r="KX103" s="148"/>
      <c r="KY103" s="148"/>
      <c r="KZ103" s="148"/>
      <c r="LA103" s="148"/>
      <c r="LB103" s="148"/>
      <c r="LC103" s="148"/>
      <c r="LD103" s="148"/>
      <c r="LE103" s="148"/>
      <c r="LF103" s="148"/>
      <c r="LG103" s="148"/>
      <c r="LH103" s="148"/>
      <c r="LI103" s="148"/>
      <c r="LJ103" s="148"/>
      <c r="LK103" s="148"/>
      <c r="LL103" s="148"/>
      <c r="LM103" s="148"/>
      <c r="LN103" s="148"/>
      <c r="LO103" s="148"/>
      <c r="LP103" s="148" t="s">
        <v>1486</v>
      </c>
      <c r="LQ103" s="148"/>
      <c r="LR103" s="148"/>
      <c r="LS103" s="148" t="s">
        <v>2112</v>
      </c>
      <c r="LT103" s="148"/>
      <c r="LU103" s="148"/>
      <c r="LV103" s="148"/>
      <c r="LW103" s="148"/>
      <c r="LX103" s="148"/>
      <c r="LY103" s="148"/>
      <c r="LZ103" s="148"/>
      <c r="MA103" s="148"/>
      <c r="MB103" s="148"/>
      <c r="MC103" s="148"/>
      <c r="MD103" s="148"/>
      <c r="ME103" s="148"/>
      <c r="MF103" s="148"/>
      <c r="MG103" s="148"/>
      <c r="MH103" s="148"/>
      <c r="MI103" s="148"/>
      <c r="MJ103" s="148"/>
      <c r="MK103" s="148"/>
      <c r="ML103" s="148"/>
      <c r="MM103" s="148"/>
      <c r="MN103" s="148"/>
      <c r="MO103" s="148" t="s">
        <v>48</v>
      </c>
      <c r="MP103" s="148"/>
      <c r="MQ103" s="148"/>
      <c r="MR103" s="148"/>
      <c r="MS103" s="148"/>
      <c r="MT103" s="148"/>
      <c r="MU103" s="148"/>
      <c r="MV103" s="148"/>
      <c r="MW103" s="148"/>
      <c r="MX103" s="148"/>
      <c r="MY103" s="148"/>
      <c r="MZ103" s="148"/>
      <c r="NA103" s="148"/>
      <c r="NB103" s="148"/>
      <c r="NC103" s="148"/>
      <c r="ND103" s="148"/>
      <c r="NE103" s="148"/>
      <c r="NF103" s="148"/>
      <c r="NG103" s="148"/>
      <c r="NH103" s="148"/>
      <c r="NI103" s="148"/>
      <c r="NJ103" s="1730" t="s">
        <v>9805</v>
      </c>
      <c r="NK103" s="148"/>
      <c r="NL103" s="148" t="s">
        <v>1486</v>
      </c>
      <c r="NM103" s="148" t="s">
        <v>1486</v>
      </c>
      <c r="NN103" s="148"/>
      <c r="NO103" s="148"/>
      <c r="NP103" s="148"/>
      <c r="NQ103" s="276" t="s">
        <v>9804</v>
      </c>
      <c r="NR103" s="1730" t="s">
        <v>9805</v>
      </c>
      <c r="NS103" s="148"/>
      <c r="NT103" s="148"/>
      <c r="NU103" s="276" t="s">
        <v>9804</v>
      </c>
      <c r="NV103" s="148" t="s">
        <v>3465</v>
      </c>
      <c r="NW103" s="148"/>
      <c r="NX103" s="148"/>
      <c r="NY103" s="148"/>
      <c r="NZ103" s="148"/>
      <c r="OA103" s="148"/>
      <c r="OB103" s="148"/>
      <c r="OC103" s="148"/>
      <c r="OD103" s="148"/>
      <c r="OE103" s="148"/>
      <c r="OF103" s="253" t="s">
        <v>1997</v>
      </c>
      <c r="OG103" s="148"/>
      <c r="OH103" s="148"/>
      <c r="OI103" s="148"/>
      <c r="OJ103" s="148"/>
      <c r="OK103" s="148"/>
      <c r="OL103" s="148"/>
      <c r="OM103" s="148"/>
      <c r="ON103" s="148"/>
      <c r="OO103" s="148"/>
      <c r="OP103" s="148"/>
      <c r="OQ103" s="148"/>
      <c r="OR103" s="148"/>
      <c r="OS103" s="148"/>
      <c r="OT103" s="148"/>
      <c r="OU103" s="148"/>
      <c r="OV103" s="148"/>
      <c r="OW103" s="148" t="s">
        <v>1745</v>
      </c>
      <c r="OX103" s="148"/>
      <c r="OY103" s="148"/>
      <c r="OZ103" s="148"/>
      <c r="PA103" s="148"/>
      <c r="PB103" s="148"/>
      <c r="PC103" s="148"/>
      <c r="PD103" s="148"/>
      <c r="PE103" s="148"/>
      <c r="PF103" s="148"/>
      <c r="PG103" s="148"/>
      <c r="PH103" s="148"/>
      <c r="PI103" s="148"/>
      <c r="PJ103" s="148"/>
      <c r="PK103" s="148"/>
      <c r="PL103" s="148"/>
      <c r="PM103" s="148"/>
      <c r="PN103" s="148" t="s">
        <v>2455</v>
      </c>
      <c r="PO103" s="148"/>
      <c r="PP103" s="148"/>
      <c r="PQ103" s="148"/>
      <c r="PR103" s="148"/>
      <c r="PS103" s="148"/>
      <c r="PT103" s="148"/>
      <c r="PU103" s="148"/>
      <c r="PV103" s="148"/>
      <c r="PW103" s="148"/>
      <c r="PX103" s="148"/>
      <c r="PY103" s="148"/>
      <c r="PZ103" s="148"/>
      <c r="QA103" s="148"/>
      <c r="QB103" s="148"/>
      <c r="QC103" s="148"/>
      <c r="QD103" s="148"/>
      <c r="QE103" s="148"/>
      <c r="QF103" s="148"/>
      <c r="QG103" s="148"/>
      <c r="QH103" s="148"/>
      <c r="QI103" s="148"/>
      <c r="QJ103" s="148" t="s">
        <v>1745</v>
      </c>
      <c r="QK103" s="148"/>
      <c r="QL103" s="148"/>
      <c r="QM103" s="148"/>
      <c r="QN103" s="148"/>
      <c r="QO103" s="148"/>
      <c r="QP103" s="148"/>
      <c r="QQ103" s="148"/>
      <c r="QR103" s="148" t="s">
        <v>2455</v>
      </c>
      <c r="QS103" s="148"/>
      <c r="QT103" s="148"/>
      <c r="QU103" s="148"/>
      <c r="QV103" s="148"/>
      <c r="QW103" s="148"/>
      <c r="QX103" s="148"/>
      <c r="QY103" s="148"/>
      <c r="QZ103" s="148"/>
      <c r="RA103" s="148"/>
      <c r="RB103" s="148" t="s">
        <v>1011</v>
      </c>
      <c r="RC103" s="148"/>
      <c r="RD103" s="148"/>
      <c r="RE103" s="148"/>
      <c r="RF103" s="148" t="s">
        <v>2613</v>
      </c>
      <c r="RG103" s="148"/>
      <c r="RH103" s="148"/>
      <c r="RI103" s="148"/>
      <c r="RJ103" s="148"/>
      <c r="RK103" s="148"/>
      <c r="RL103" s="148"/>
      <c r="RM103" s="148" t="s">
        <v>2613</v>
      </c>
      <c r="RN103" s="148"/>
      <c r="RO103" s="148"/>
      <c r="RP103" s="148"/>
      <c r="RQ103" s="148"/>
      <c r="RR103" s="148"/>
      <c r="RS103" s="148"/>
      <c r="RT103" s="148"/>
      <c r="RU103" s="148"/>
      <c r="RV103" s="148"/>
      <c r="RW103" s="148"/>
      <c r="RX103" s="148"/>
      <c r="RY103" s="148" t="s">
        <v>2613</v>
      </c>
      <c r="RZ103" s="253" t="s">
        <v>2112</v>
      </c>
      <c r="SA103" s="148"/>
      <c r="SB103" s="148"/>
      <c r="SC103" s="148"/>
      <c r="SD103" s="148" t="s">
        <v>1206</v>
      </c>
      <c r="SE103" s="148" t="s">
        <v>1206</v>
      </c>
      <c r="SF103" s="148"/>
      <c r="SG103" s="148"/>
      <c r="SH103" s="148"/>
      <c r="SI103" s="148"/>
      <c r="SJ103" s="148"/>
      <c r="SK103" s="148"/>
      <c r="SL103" s="148" t="s">
        <v>2273</v>
      </c>
    </row>
    <row r="104" ht="15.75" customHeight="1">
      <c r="A104" s="1517"/>
      <c r="B104" s="1786"/>
      <c r="C104" s="1787"/>
      <c r="D104" s="1787"/>
      <c r="E104" s="1788"/>
      <c r="F104" s="1788"/>
      <c r="G104" s="159" t="s">
        <v>9806</v>
      </c>
      <c r="H104" s="1789"/>
      <c r="I104" s="1789"/>
      <c r="J104" s="1789"/>
      <c r="K104" s="1787"/>
      <c r="L104" s="1787"/>
      <c r="M104" s="1790"/>
      <c r="N104" s="1741"/>
      <c r="O104" s="339"/>
      <c r="P104" s="339"/>
      <c r="Q104" s="1741"/>
      <c r="R104" s="1741"/>
      <c r="S104" s="1741"/>
      <c r="T104" s="1791"/>
      <c r="U104" s="1741"/>
      <c r="V104" s="1741"/>
      <c r="W104" s="1741"/>
      <c r="X104" s="1791"/>
      <c r="Y104" s="1791"/>
      <c r="Z104" s="339"/>
      <c r="AA104" s="339"/>
      <c r="AB104" s="339"/>
      <c r="AC104" s="339"/>
      <c r="AD104" s="1789"/>
      <c r="AE104" s="1789"/>
      <c r="AF104" s="1789"/>
      <c r="AG104" s="1791"/>
      <c r="AH104" s="1791"/>
      <c r="AI104" s="1791" t="s">
        <v>1745</v>
      </c>
      <c r="AJ104" s="1792" t="s">
        <v>1486</v>
      </c>
      <c r="AK104" s="1792" t="s">
        <v>1486</v>
      </c>
      <c r="AL104" s="1741"/>
      <c r="AM104" s="339"/>
      <c r="AN104" s="1792"/>
      <c r="AO104" s="1792"/>
      <c r="AP104" s="1791"/>
      <c r="AQ104" s="1791"/>
      <c r="AR104" s="1789"/>
      <c r="AS104" s="1789"/>
      <c r="AT104" s="1788"/>
      <c r="AU104" s="1788"/>
      <c r="AV104" s="1788"/>
      <c r="AW104" s="1791"/>
      <c r="AX104" s="1791"/>
      <c r="AY104" s="1741"/>
      <c r="AZ104" s="1741"/>
      <c r="BA104" s="339"/>
      <c r="BB104" s="339"/>
      <c r="BC104" s="339"/>
      <c r="BD104" s="1789"/>
      <c r="BE104" s="1741"/>
      <c r="BF104" s="1741"/>
      <c r="BG104" s="1741"/>
      <c r="BH104" s="1741"/>
      <c r="BI104" s="1789"/>
      <c r="BJ104" s="1789"/>
      <c r="BK104" s="1789"/>
      <c r="BL104" s="1741"/>
      <c r="BM104" s="1741"/>
      <c r="BN104" s="1741"/>
      <c r="BO104" s="1793"/>
      <c r="BP104" s="1793"/>
      <c r="BQ104" s="1793"/>
      <c r="BR104" s="1787"/>
      <c r="BS104" s="1787"/>
      <c r="BT104" s="1787"/>
      <c r="BU104" s="1789"/>
      <c r="BV104" s="1789"/>
      <c r="BW104" s="1741"/>
      <c r="BX104" s="1741"/>
      <c r="BY104" s="1741"/>
      <c r="BZ104" s="339"/>
      <c r="CA104" s="339"/>
      <c r="CB104" s="1792"/>
      <c r="CC104" s="1792"/>
      <c r="CD104" s="1793"/>
      <c r="CE104" s="1793"/>
      <c r="CF104" s="1741"/>
      <c r="CG104" s="1741"/>
      <c r="CH104" s="1741"/>
      <c r="CI104" s="1790"/>
      <c r="CJ104" s="1790"/>
      <c r="CK104" s="1791"/>
      <c r="CL104" s="1791"/>
      <c r="CM104" s="1791"/>
      <c r="CN104" s="1791"/>
      <c r="CO104" s="1791"/>
      <c r="CP104" s="1791"/>
      <c r="CQ104" s="1791"/>
      <c r="CR104" s="1793"/>
      <c r="CS104" s="339"/>
      <c r="CT104" s="339"/>
      <c r="CU104" s="1788"/>
      <c r="CV104" s="1788"/>
      <c r="CW104" s="1788"/>
      <c r="CX104" s="1788"/>
      <c r="CY104" s="1792"/>
      <c r="CZ104" s="339"/>
      <c r="DA104" s="1741"/>
      <c r="DB104" s="1741"/>
      <c r="DC104" s="1741"/>
      <c r="DD104" s="1741"/>
      <c r="DE104" s="1792"/>
      <c r="DF104" s="1791"/>
      <c r="DG104" s="1791"/>
      <c r="DH104" s="1793"/>
      <c r="DI104" s="1793" t="s">
        <v>1206</v>
      </c>
      <c r="DJ104" s="1792"/>
      <c r="DK104" s="1789"/>
      <c r="DL104" s="1741" t="s">
        <v>1206</v>
      </c>
      <c r="DM104" s="1789"/>
      <c r="DN104" s="1789"/>
      <c r="DO104" s="1788"/>
      <c r="DP104" s="1788"/>
      <c r="DQ104" s="1741"/>
      <c r="DR104" s="1791"/>
      <c r="DS104" s="1792"/>
      <c r="DT104" s="1787"/>
      <c r="DU104" s="1788"/>
      <c r="DV104" s="339"/>
      <c r="DW104" s="1788"/>
      <c r="DX104" s="1741"/>
      <c r="DY104" s="1741"/>
      <c r="DZ104" s="1788"/>
      <c r="EA104" s="1789"/>
      <c r="EB104" s="1789"/>
      <c r="EC104" s="1791"/>
      <c r="ED104" s="1741"/>
      <c r="EE104" s="1789"/>
      <c r="EF104" s="339"/>
      <c r="EG104" s="1788"/>
      <c r="EH104" s="1792"/>
      <c r="EI104" s="1789"/>
      <c r="EJ104" s="1789"/>
      <c r="EK104" s="1741"/>
      <c r="EL104" s="1741"/>
      <c r="EM104" s="1791"/>
      <c r="EN104" s="1794" t="s">
        <v>1745</v>
      </c>
      <c r="EO104" s="1789"/>
      <c r="EP104" s="339"/>
      <c r="EQ104" s="339"/>
      <c r="ER104" s="1789"/>
      <c r="ES104" s="1789"/>
      <c r="ET104" s="1741" t="s">
        <v>2455</v>
      </c>
      <c r="EU104" s="1791"/>
      <c r="EV104" s="1792"/>
      <c r="EW104" s="1787"/>
      <c r="EX104" s="1787"/>
      <c r="EY104" s="1787"/>
      <c r="EZ104" s="339"/>
      <c r="FA104" s="339"/>
      <c r="FB104" s="339"/>
      <c r="FC104" s="1789"/>
      <c r="FD104" s="1789"/>
      <c r="FE104" s="1796" t="s">
        <v>2290</v>
      </c>
      <c r="FF104" s="1741" t="s">
        <v>1486</v>
      </c>
      <c r="FG104" s="1741" t="s">
        <v>1486</v>
      </c>
      <c r="FH104" s="1741"/>
      <c r="FI104" s="1741"/>
      <c r="FJ104" s="1788"/>
      <c r="FK104" s="1788"/>
      <c r="FL104" s="1787"/>
      <c r="FM104" s="1788"/>
      <c r="FN104" s="1791"/>
      <c r="FO104" s="1789"/>
      <c r="FP104" s="1789"/>
      <c r="FQ104" s="339"/>
      <c r="FR104" s="1792"/>
      <c r="FS104" s="1792"/>
      <c r="FT104" s="1790"/>
      <c r="FU104" s="1790" t="s">
        <v>9804</v>
      </c>
      <c r="FV104" s="1787"/>
      <c r="FW104" s="1787"/>
      <c r="FX104" s="1790"/>
      <c r="FY104" s="1792"/>
      <c r="FZ104" s="339"/>
      <c r="GA104" s="1787"/>
      <c r="GB104" s="1789"/>
      <c r="GC104" s="1789"/>
      <c r="GD104" s="1741"/>
      <c r="GE104" s="1787"/>
      <c r="GF104" s="1792"/>
      <c r="GG104" s="1787"/>
      <c r="GH104" s="1789"/>
      <c r="GI104" s="1791" t="s">
        <v>1535</v>
      </c>
      <c r="GJ104" s="339"/>
      <c r="GK104" s="339"/>
      <c r="GL104" s="1788"/>
      <c r="GM104" s="1789"/>
      <c r="GN104" s="1789"/>
      <c r="GO104" s="1791"/>
      <c r="GP104" s="1794"/>
      <c r="GQ104" s="1794"/>
      <c r="GR104" s="1792"/>
      <c r="GS104" s="1793"/>
      <c r="GT104" s="1794"/>
      <c r="GU104" s="1789"/>
      <c r="GV104" s="339"/>
      <c r="GW104" s="1793"/>
      <c r="GX104" s="1791"/>
      <c r="GY104" s="339"/>
      <c r="GZ104" s="1791"/>
      <c r="HA104" s="1793"/>
      <c r="HB104" s="1792"/>
      <c r="HC104" s="1791"/>
      <c r="HD104" s="1793"/>
      <c r="HE104" s="1788"/>
      <c r="HF104" s="339"/>
      <c r="HG104" s="1789"/>
      <c r="HH104" s="1794"/>
      <c r="HI104" s="1741"/>
      <c r="HJ104" s="1741"/>
      <c r="HK104" s="1788"/>
      <c r="HL104" s="1788"/>
      <c r="HM104" s="1741"/>
      <c r="HN104" s="1741"/>
      <c r="HO104" s="1792"/>
      <c r="HP104" s="1793"/>
      <c r="HQ104" s="1788"/>
      <c r="HR104" s="1788"/>
      <c r="HS104" s="1791"/>
      <c r="HT104" s="1793"/>
      <c r="HU104" s="1794"/>
      <c r="HV104" s="1794"/>
      <c r="HW104" s="1789"/>
      <c r="HX104" s="1789"/>
      <c r="HY104" s="1793"/>
      <c r="HZ104" s="1788"/>
      <c r="IA104" s="1741"/>
      <c r="IB104" s="1790"/>
      <c r="IC104" s="1791"/>
      <c r="ID104" s="1741"/>
      <c r="IE104" s="1792"/>
      <c r="IF104" s="339"/>
      <c r="IG104" s="1788"/>
      <c r="IH104" s="1792"/>
      <c r="II104" s="1792"/>
      <c r="IJ104" s="339"/>
      <c r="IK104" s="1741"/>
      <c r="IL104" s="1789"/>
      <c r="IM104" s="1787"/>
      <c r="IN104" s="1793"/>
      <c r="IO104" s="1787" t="s">
        <v>1745</v>
      </c>
      <c r="IP104" s="1790" t="s">
        <v>2613</v>
      </c>
      <c r="IQ104" s="1788"/>
      <c r="IR104" s="1787" t="s">
        <v>2613</v>
      </c>
      <c r="IS104" s="1787"/>
      <c r="IT104" s="1787"/>
      <c r="IU104" s="1787"/>
      <c r="IV104" s="1788"/>
      <c r="IW104" s="1788"/>
      <c r="IX104" s="1729" t="s">
        <v>9805</v>
      </c>
      <c r="IY104" s="1789"/>
      <c r="IZ104" s="1789"/>
      <c r="JA104" s="1796" t="s">
        <v>2290</v>
      </c>
      <c r="JB104" s="1793"/>
      <c r="JC104" s="1793"/>
      <c r="JD104" s="1741"/>
      <c r="JE104" s="1790"/>
      <c r="JF104" s="1788"/>
      <c r="JG104" s="1790"/>
      <c r="JH104" s="339"/>
      <c r="JI104" s="1791"/>
      <c r="JJ104" s="1787"/>
      <c r="JK104" s="1787"/>
      <c r="JL104" s="1787"/>
      <c r="JM104" s="1787"/>
      <c r="JN104" s="1741"/>
      <c r="JO104" s="1741"/>
      <c r="JP104" s="1741" t="s">
        <v>1535</v>
      </c>
      <c r="JQ104" s="1789"/>
      <c r="JR104" s="1789"/>
      <c r="JS104" s="1790"/>
      <c r="JT104" s="339"/>
      <c r="JU104" s="1790"/>
      <c r="JV104" s="1790"/>
      <c r="JW104" s="1790"/>
      <c r="JX104" s="1789"/>
      <c r="JY104" s="1789"/>
      <c r="JZ104" s="1741"/>
      <c r="KA104" s="1787"/>
      <c r="KB104" s="1741"/>
      <c r="KC104" s="1790"/>
      <c r="KD104" s="1741"/>
      <c r="KE104" s="1793"/>
      <c r="KF104" s="339"/>
      <c r="KG104" s="1741"/>
      <c r="KH104" s="1792"/>
      <c r="KI104" s="1789"/>
      <c r="KJ104" s="1789"/>
      <c r="KK104" s="339"/>
      <c r="KL104" s="1741"/>
      <c r="KM104" s="1789"/>
      <c r="KN104" s="1793"/>
      <c r="KO104" s="1792"/>
      <c r="KP104" s="1791"/>
      <c r="KQ104" s="1791" t="s">
        <v>2613</v>
      </c>
      <c r="KR104" s="1794"/>
      <c r="KS104" s="1793"/>
      <c r="KT104" s="1793"/>
      <c r="KU104" s="1793" t="s">
        <v>3465</v>
      </c>
      <c r="KV104" s="1789"/>
      <c r="KW104" s="1788"/>
      <c r="KX104" s="1787"/>
      <c r="KY104" s="339"/>
      <c r="KZ104" s="339"/>
      <c r="LA104" s="339"/>
      <c r="LB104" s="1793"/>
      <c r="LC104" s="1791"/>
      <c r="LD104" s="1787"/>
      <c r="LE104" s="1787"/>
      <c r="LF104" s="1791"/>
      <c r="LG104" s="1788"/>
      <c r="LH104" s="1789"/>
      <c r="LI104" s="1789"/>
      <c r="LJ104" s="1789"/>
      <c r="LK104" s="339"/>
      <c r="LL104" s="1788"/>
      <c r="LM104" s="1741"/>
      <c r="LN104" s="1794"/>
      <c r="LO104" s="1791"/>
      <c r="LP104" s="1741"/>
      <c r="LQ104" s="1741"/>
      <c r="LR104" s="1787"/>
      <c r="LS104" s="1787"/>
      <c r="LT104" s="1787"/>
      <c r="LU104" s="1787"/>
      <c r="LV104" s="1789"/>
      <c r="LW104" s="1789"/>
      <c r="LX104" s="1790"/>
      <c r="LY104" s="1794"/>
      <c r="LZ104" s="339"/>
      <c r="MA104" s="1788"/>
      <c r="MB104" s="1793"/>
      <c r="MC104" s="1789"/>
      <c r="MD104" s="1788"/>
      <c r="ME104" s="1788"/>
      <c r="MF104" s="1741"/>
      <c r="MG104" s="1794"/>
      <c r="MH104" s="1791"/>
      <c r="MI104" s="1787"/>
      <c r="MJ104" s="1793"/>
      <c r="MK104" s="1793"/>
      <c r="ML104" s="1741"/>
      <c r="MM104" s="1792"/>
      <c r="MN104" s="1790"/>
      <c r="MO104" s="1787" t="s">
        <v>2455</v>
      </c>
      <c r="MP104" s="1794"/>
      <c r="MQ104" s="1794"/>
      <c r="MR104" s="1794"/>
      <c r="MS104" s="1794"/>
      <c r="MT104" s="1787"/>
      <c r="MU104" s="1789"/>
      <c r="MV104" s="1790"/>
      <c r="MW104" s="1789"/>
      <c r="MX104" s="1793"/>
      <c r="MY104" s="1793"/>
      <c r="MZ104" s="1789"/>
      <c r="NA104" s="1789"/>
      <c r="NB104" s="1789"/>
      <c r="NC104" s="1789"/>
      <c r="ND104" s="1789"/>
      <c r="NE104" s="1792"/>
      <c r="NF104" s="1793"/>
      <c r="NG104" s="1792"/>
      <c r="NH104" s="1789"/>
      <c r="NI104" s="1790"/>
      <c r="NJ104" s="1796" t="s">
        <v>2112</v>
      </c>
      <c r="NK104" s="1789"/>
      <c r="NL104" s="1789" t="s">
        <v>2613</v>
      </c>
      <c r="NM104" s="1789" t="s">
        <v>2613</v>
      </c>
      <c r="NN104" s="1741"/>
      <c r="NO104" s="1789"/>
      <c r="NP104" s="1793"/>
      <c r="NQ104" s="1729" t="s">
        <v>9805</v>
      </c>
      <c r="NR104" s="1796" t="s">
        <v>2112</v>
      </c>
      <c r="NS104" s="1789"/>
      <c r="NT104" s="1788"/>
      <c r="NU104" s="1728" t="s">
        <v>9805</v>
      </c>
      <c r="NV104" s="339" t="s">
        <v>1011</v>
      </c>
      <c r="NW104" s="1788"/>
      <c r="NX104" s="1788"/>
      <c r="NY104" s="1788"/>
      <c r="NZ104" s="1788"/>
      <c r="OA104" s="1787"/>
      <c r="OB104" s="1787"/>
      <c r="OC104" s="1787"/>
      <c r="OD104" s="1741"/>
      <c r="OE104" s="1741"/>
      <c r="OF104" s="1741"/>
      <c r="OG104" s="1789"/>
      <c r="OH104" s="1789"/>
      <c r="OI104" s="1789"/>
      <c r="OJ104" s="1741"/>
      <c r="OK104" s="1741"/>
      <c r="OL104" s="1741"/>
      <c r="OM104" s="1741"/>
      <c r="ON104" s="1741"/>
      <c r="OO104" s="1788"/>
      <c r="OP104" s="1788"/>
      <c r="OQ104" s="1789"/>
      <c r="OR104" s="1789"/>
      <c r="OS104" s="1789"/>
      <c r="OT104" s="1787"/>
      <c r="OU104" s="1787"/>
      <c r="OV104" s="1789"/>
      <c r="OW104" s="1789"/>
      <c r="OX104" s="1793"/>
      <c r="OY104" s="1793"/>
      <c r="OZ104" s="1787"/>
      <c r="PA104" s="1787"/>
      <c r="PB104" s="339"/>
      <c r="PC104" s="1792"/>
      <c r="PD104" s="339"/>
      <c r="PE104" s="339"/>
      <c r="PF104" s="339"/>
      <c r="PG104" s="1790"/>
      <c r="PH104" s="1741"/>
      <c r="PI104" s="1741"/>
      <c r="PJ104" s="1792"/>
      <c r="PK104" s="1792"/>
      <c r="PL104" s="1791"/>
      <c r="PM104" s="1791"/>
      <c r="PN104" s="1791" t="s">
        <v>1535</v>
      </c>
      <c r="PO104" s="1791"/>
      <c r="PP104" s="1791"/>
      <c r="PQ104" s="1741"/>
      <c r="PR104" s="1741"/>
      <c r="PS104" s="1791"/>
      <c r="PT104" s="1794"/>
      <c r="PU104" s="1793"/>
      <c r="PV104" s="1793"/>
      <c r="PW104" s="339"/>
      <c r="PX104" s="1791"/>
      <c r="PY104" s="1791"/>
      <c r="PZ104" s="1787"/>
      <c r="QA104" s="1787"/>
      <c r="QB104" s="1741"/>
      <c r="QC104" s="1792"/>
      <c r="QD104" s="1792"/>
      <c r="QE104" s="1794"/>
      <c r="QF104" s="1791"/>
      <c r="QG104" s="1789"/>
      <c r="QH104" s="1789"/>
      <c r="QI104" s="1789"/>
      <c r="QJ104" s="1794"/>
      <c r="QK104" s="1789"/>
      <c r="QL104" s="1789"/>
      <c r="QM104" s="1741"/>
      <c r="QN104" s="1741"/>
      <c r="QO104" s="1791"/>
      <c r="QP104" s="1791"/>
      <c r="QQ104" s="1789"/>
      <c r="QR104" s="1789"/>
      <c r="QS104" s="1787"/>
      <c r="QT104" s="1789"/>
      <c r="QU104" s="1789"/>
      <c r="QV104" s="1789"/>
      <c r="QW104" s="1790"/>
      <c r="QX104" s="1790"/>
      <c r="QY104" s="1794"/>
      <c r="QZ104" s="1793"/>
      <c r="RA104" s="1792"/>
      <c r="RB104" s="1793" t="s">
        <v>2455</v>
      </c>
      <c r="RC104" s="1789"/>
      <c r="RD104" s="339"/>
      <c r="RE104" s="1788"/>
      <c r="RF104" s="1790" t="s">
        <v>9804</v>
      </c>
      <c r="RG104" s="1787"/>
      <c r="RH104" s="1787"/>
      <c r="RI104" s="1789"/>
      <c r="RJ104" s="1791"/>
      <c r="RK104" s="1741"/>
      <c r="RL104" s="1788"/>
      <c r="RM104" s="1790"/>
      <c r="RN104" s="1793"/>
      <c r="RO104" s="1794"/>
      <c r="RP104" s="1790"/>
      <c r="RQ104" s="1788"/>
      <c r="RR104" s="1788"/>
      <c r="RS104" s="1788"/>
      <c r="RT104" s="1788"/>
      <c r="RU104" s="1788"/>
      <c r="RV104" s="1788"/>
      <c r="RW104" s="339"/>
      <c r="RX104" s="1792"/>
      <c r="RY104" s="1789"/>
      <c r="RZ104" s="1790"/>
      <c r="SA104" s="1791"/>
      <c r="SB104" s="1741"/>
      <c r="SC104" s="1790"/>
      <c r="SD104" s="1805" t="s">
        <v>9804</v>
      </c>
      <c r="SE104" s="1805" t="s">
        <v>9804</v>
      </c>
      <c r="SF104" s="339"/>
      <c r="SG104" s="1789"/>
      <c r="SH104" s="1789"/>
      <c r="SI104" s="1794"/>
      <c r="SJ104" s="1787"/>
      <c r="SK104" s="1787"/>
      <c r="SL104" s="1793" t="s">
        <v>3465</v>
      </c>
    </row>
    <row r="105" ht="15.75" customHeight="1">
      <c r="A105" s="1517"/>
      <c r="B105" s="148"/>
      <c r="C105" s="148"/>
      <c r="D105" s="148"/>
      <c r="E105" s="148"/>
      <c r="F105" s="148"/>
      <c r="G105" s="253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 t="s">
        <v>2613</v>
      </c>
      <c r="AK105" s="148" t="s">
        <v>2613</v>
      </c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48"/>
      <c r="CQ105" s="148"/>
      <c r="CR105" s="148"/>
      <c r="CS105" s="148"/>
      <c r="CT105" s="148"/>
      <c r="CU105" s="148"/>
      <c r="CV105" s="148"/>
      <c r="CW105" s="148"/>
      <c r="CX105" s="148"/>
      <c r="CY105" s="148"/>
      <c r="CZ105" s="148"/>
      <c r="DA105" s="148"/>
      <c r="DB105" s="148"/>
      <c r="DC105" s="148"/>
      <c r="DD105" s="148"/>
      <c r="DE105" s="148"/>
      <c r="DF105" s="148"/>
      <c r="DG105" s="148"/>
      <c r="DH105" s="148"/>
      <c r="DI105" s="148" t="s">
        <v>1486</v>
      </c>
      <c r="DJ105" s="148"/>
      <c r="DK105" s="148"/>
      <c r="DL105" s="148"/>
      <c r="DM105" s="148"/>
      <c r="DN105" s="148"/>
      <c r="DO105" s="148"/>
      <c r="DP105" s="148"/>
      <c r="DQ105" s="148"/>
      <c r="DR105" s="148"/>
      <c r="DS105" s="148"/>
      <c r="DT105" s="148"/>
      <c r="DU105" s="148"/>
      <c r="DV105" s="148"/>
      <c r="DW105" s="148"/>
      <c r="DX105" s="148"/>
      <c r="DY105" s="148"/>
      <c r="DZ105" s="148"/>
      <c r="EA105" s="148"/>
      <c r="EB105" s="148"/>
      <c r="EC105" s="148"/>
      <c r="ED105" s="148"/>
      <c r="EE105" s="148"/>
      <c r="EF105" s="148"/>
      <c r="EG105" s="148"/>
      <c r="EH105" s="148"/>
      <c r="EI105" s="148"/>
      <c r="EJ105" s="148"/>
      <c r="EK105" s="148"/>
      <c r="EL105" s="148"/>
      <c r="EM105" s="148"/>
      <c r="EN105" s="148"/>
      <c r="EO105" s="148"/>
      <c r="EP105" s="148"/>
      <c r="EQ105" s="148"/>
      <c r="ER105" s="148"/>
      <c r="ES105" s="148"/>
      <c r="ET105" s="148" t="s">
        <v>1206</v>
      </c>
      <c r="EU105" s="148"/>
      <c r="EV105" s="148"/>
      <c r="EW105" s="148"/>
      <c r="EX105" s="148"/>
      <c r="EY105" s="148"/>
      <c r="EZ105" s="148"/>
      <c r="FA105" s="148"/>
      <c r="FB105" s="148"/>
      <c r="FC105" s="148"/>
      <c r="FD105" s="148"/>
      <c r="FE105" s="148"/>
      <c r="FF105" s="148"/>
      <c r="FG105" s="148"/>
      <c r="FH105" s="148"/>
      <c r="FI105" s="148"/>
      <c r="FJ105" s="148"/>
      <c r="FK105" s="148"/>
      <c r="FL105" s="148"/>
      <c r="FM105" s="148"/>
      <c r="FN105" s="148"/>
      <c r="FO105" s="148"/>
      <c r="FP105" s="148"/>
      <c r="FQ105" s="148"/>
      <c r="FR105" s="148"/>
      <c r="FS105" s="148"/>
      <c r="FT105" s="148"/>
      <c r="FU105" s="148"/>
      <c r="FV105" s="148"/>
      <c r="FW105" s="148"/>
      <c r="FX105" s="148"/>
      <c r="FY105" s="148"/>
      <c r="FZ105" s="148"/>
      <c r="GA105" s="148"/>
      <c r="GB105" s="148"/>
      <c r="GC105" s="148"/>
      <c r="GD105" s="148"/>
      <c r="GE105" s="148"/>
      <c r="GF105" s="148"/>
      <c r="GG105" s="148"/>
      <c r="GH105" s="148"/>
      <c r="GI105" s="148"/>
      <c r="GJ105" s="148"/>
      <c r="GK105" s="148"/>
      <c r="GL105" s="148"/>
      <c r="GM105" s="148"/>
      <c r="GN105" s="148"/>
      <c r="GO105" s="148"/>
      <c r="GP105" s="148"/>
      <c r="GQ105" s="148"/>
      <c r="GR105" s="148"/>
      <c r="GS105" s="148"/>
      <c r="GT105" s="148"/>
      <c r="GU105" s="148"/>
      <c r="GV105" s="148"/>
      <c r="GW105" s="148"/>
      <c r="GX105" s="148"/>
      <c r="GY105" s="148"/>
      <c r="GZ105" s="148"/>
      <c r="HA105" s="148"/>
      <c r="HB105" s="148"/>
      <c r="HC105" s="148"/>
      <c r="HD105" s="148"/>
      <c r="HE105" s="148"/>
      <c r="HF105" s="148"/>
      <c r="HG105" s="148"/>
      <c r="HH105" s="148"/>
      <c r="HI105" s="148"/>
      <c r="HJ105" s="148"/>
      <c r="HK105" s="148"/>
      <c r="HL105" s="148"/>
      <c r="HM105" s="148"/>
      <c r="HN105" s="148"/>
      <c r="HO105" s="148"/>
      <c r="HP105" s="148"/>
      <c r="HQ105" s="148"/>
      <c r="HR105" s="148"/>
      <c r="HS105" s="148"/>
      <c r="HT105" s="148"/>
      <c r="HU105" s="148"/>
      <c r="HV105" s="148"/>
      <c r="HW105" s="148"/>
      <c r="HX105" s="148"/>
      <c r="HY105" s="148"/>
      <c r="HZ105" s="148"/>
      <c r="IA105" s="148"/>
      <c r="IB105" s="148"/>
      <c r="IC105" s="148"/>
      <c r="ID105" s="148"/>
      <c r="IE105" s="148"/>
      <c r="IF105" s="148"/>
      <c r="IG105" s="148"/>
      <c r="IH105" s="148"/>
      <c r="II105" s="148"/>
      <c r="IJ105" s="148"/>
      <c r="IK105" s="148"/>
      <c r="IL105" s="148"/>
      <c r="IM105" s="148"/>
      <c r="IN105" s="148"/>
      <c r="IO105" s="148"/>
      <c r="IP105" s="148" t="s">
        <v>9804</v>
      </c>
      <c r="IQ105" s="148"/>
      <c r="IR105" s="148"/>
      <c r="IS105" s="148"/>
      <c r="IT105" s="148"/>
      <c r="IU105" s="148"/>
      <c r="IV105" s="148"/>
      <c r="IW105" s="148"/>
      <c r="IX105" s="253" t="s">
        <v>1997</v>
      </c>
      <c r="IY105" s="148"/>
      <c r="IZ105" s="148"/>
      <c r="JA105" s="148"/>
      <c r="JB105" s="148"/>
      <c r="JC105" s="148"/>
      <c r="JD105" s="148"/>
      <c r="JE105" s="148"/>
      <c r="JF105" s="148"/>
      <c r="JG105" s="148"/>
      <c r="JH105" s="148"/>
      <c r="JI105" s="148"/>
      <c r="JJ105" s="148"/>
      <c r="JK105" s="148"/>
      <c r="JL105" s="148"/>
      <c r="JM105" s="148"/>
      <c r="JN105" s="148"/>
      <c r="JO105" s="148"/>
      <c r="JP105" s="148" t="s">
        <v>9804</v>
      </c>
      <c r="JQ105" s="148"/>
      <c r="JR105" s="148"/>
      <c r="JS105" s="148"/>
      <c r="JT105" s="148"/>
      <c r="JU105" s="148"/>
      <c r="JV105" s="148"/>
      <c r="JW105" s="148"/>
      <c r="JX105" s="148"/>
      <c r="JY105" s="148"/>
      <c r="JZ105" s="148"/>
      <c r="KA105" s="148"/>
      <c r="KB105" s="148"/>
      <c r="KC105" s="148"/>
      <c r="KD105" s="148"/>
      <c r="KE105" s="148"/>
      <c r="KF105" s="148"/>
      <c r="KG105" s="148"/>
      <c r="KH105" s="148"/>
      <c r="KI105" s="148"/>
      <c r="KJ105" s="148"/>
      <c r="KK105" s="148"/>
      <c r="KL105" s="148"/>
      <c r="KM105" s="148"/>
      <c r="KN105" s="148"/>
      <c r="KO105" s="148"/>
      <c r="KP105" s="148"/>
      <c r="KQ105" s="148"/>
      <c r="KR105" s="148"/>
      <c r="KS105" s="148"/>
      <c r="KT105" s="148"/>
      <c r="KU105" s="148" t="s">
        <v>1011</v>
      </c>
      <c r="KV105" s="148"/>
      <c r="KW105" s="148"/>
      <c r="KX105" s="148"/>
      <c r="KY105" s="148"/>
      <c r="KZ105" s="148"/>
      <c r="LA105" s="148"/>
      <c r="LB105" s="148"/>
      <c r="LC105" s="148"/>
      <c r="LD105" s="148"/>
      <c r="LE105" s="148"/>
      <c r="LF105" s="148"/>
      <c r="LG105" s="148"/>
      <c r="LH105" s="148"/>
      <c r="LI105" s="148"/>
      <c r="LJ105" s="148"/>
      <c r="LK105" s="148"/>
      <c r="LL105" s="148"/>
      <c r="LM105" s="148"/>
      <c r="LN105" s="148"/>
      <c r="LO105" s="148"/>
      <c r="LP105" s="148"/>
      <c r="LQ105" s="148"/>
      <c r="LR105" s="148"/>
      <c r="LS105" s="148"/>
      <c r="LT105" s="148"/>
      <c r="LU105" s="148"/>
      <c r="LV105" s="148"/>
      <c r="LW105" s="148"/>
      <c r="LX105" s="148"/>
      <c r="LY105" s="148"/>
      <c r="LZ105" s="148"/>
      <c r="MA105" s="148"/>
      <c r="MB105" s="148"/>
      <c r="MC105" s="148"/>
      <c r="MD105" s="148"/>
      <c r="ME105" s="148"/>
      <c r="MF105" s="148"/>
      <c r="MG105" s="148"/>
      <c r="MH105" s="148"/>
      <c r="MI105" s="148"/>
      <c r="MJ105" s="148"/>
      <c r="MK105" s="148"/>
      <c r="ML105" s="148"/>
      <c r="MM105" s="148"/>
      <c r="MN105" s="148"/>
      <c r="MO105" s="148" t="s">
        <v>1486</v>
      </c>
      <c r="MP105" s="148"/>
      <c r="MQ105" s="148"/>
      <c r="MR105" s="148"/>
      <c r="MS105" s="148"/>
      <c r="MT105" s="148"/>
      <c r="MU105" s="148"/>
      <c r="MV105" s="148"/>
      <c r="MW105" s="148"/>
      <c r="MX105" s="148"/>
      <c r="MY105" s="148"/>
      <c r="MZ105" s="148"/>
      <c r="NA105" s="148"/>
      <c r="NB105" s="148"/>
      <c r="NC105" s="148"/>
      <c r="ND105" s="148"/>
      <c r="NE105" s="148"/>
      <c r="NF105" s="148"/>
      <c r="NG105" s="148"/>
      <c r="NH105" s="148"/>
      <c r="NI105" s="148"/>
      <c r="NJ105" s="148"/>
      <c r="NK105" s="148"/>
      <c r="NL105" s="148"/>
      <c r="NM105" s="148"/>
      <c r="NN105" s="148"/>
      <c r="NO105" s="148"/>
      <c r="NP105" s="148"/>
      <c r="NQ105" s="253" t="s">
        <v>2112</v>
      </c>
      <c r="NR105" s="148"/>
      <c r="NS105" s="148"/>
      <c r="NT105" s="148"/>
      <c r="NU105" s="253" t="s">
        <v>2112</v>
      </c>
      <c r="NV105" s="148" t="s">
        <v>2455</v>
      </c>
      <c r="NW105" s="148"/>
      <c r="NX105" s="148"/>
      <c r="NY105" s="148"/>
      <c r="NZ105" s="148"/>
      <c r="OA105" s="148"/>
      <c r="OB105" s="148"/>
      <c r="OC105" s="148"/>
      <c r="OD105" s="148"/>
      <c r="OE105" s="148"/>
      <c r="OF105" s="148"/>
      <c r="OG105" s="148"/>
      <c r="OH105" s="148"/>
      <c r="OI105" s="148"/>
      <c r="OJ105" s="148"/>
      <c r="OK105" s="148"/>
      <c r="OL105" s="148"/>
      <c r="OM105" s="148"/>
      <c r="ON105" s="148"/>
      <c r="OO105" s="148"/>
      <c r="OP105" s="148"/>
      <c r="OQ105" s="148"/>
      <c r="OR105" s="148"/>
      <c r="OS105" s="148"/>
      <c r="OT105" s="148"/>
      <c r="OU105" s="148"/>
      <c r="OV105" s="148"/>
      <c r="OW105" s="148"/>
      <c r="OX105" s="148"/>
      <c r="OY105" s="148"/>
      <c r="OZ105" s="148"/>
      <c r="PA105" s="148"/>
      <c r="PB105" s="148"/>
      <c r="PC105" s="148"/>
      <c r="PD105" s="148"/>
      <c r="PE105" s="148"/>
      <c r="PF105" s="148"/>
      <c r="PG105" s="148"/>
      <c r="PH105" s="148"/>
      <c r="PI105" s="148"/>
      <c r="PJ105" s="148"/>
      <c r="PK105" s="148"/>
      <c r="PL105" s="148"/>
      <c r="PM105" s="148"/>
      <c r="PN105" s="148"/>
      <c r="PO105" s="148"/>
      <c r="PP105" s="148"/>
      <c r="PQ105" s="148"/>
      <c r="PR105" s="148"/>
      <c r="PS105" s="148"/>
      <c r="PT105" s="148"/>
      <c r="PU105" s="148"/>
      <c r="PV105" s="148"/>
      <c r="PW105" s="148"/>
      <c r="PX105" s="148"/>
      <c r="PY105" s="148"/>
      <c r="PZ105" s="148"/>
      <c r="QA105" s="148"/>
      <c r="QB105" s="148"/>
      <c r="QC105" s="148"/>
      <c r="QD105" s="148"/>
      <c r="QE105" s="148"/>
      <c r="QF105" s="148"/>
      <c r="QG105" s="148"/>
      <c r="QH105" s="148"/>
      <c r="QI105" s="148"/>
      <c r="QJ105" s="148"/>
      <c r="QK105" s="148"/>
      <c r="QL105" s="148"/>
      <c r="QM105" s="148"/>
      <c r="QN105" s="148"/>
      <c r="QO105" s="148"/>
      <c r="QP105" s="148"/>
      <c r="QQ105" s="148"/>
      <c r="QR105" s="148"/>
      <c r="QS105" s="148"/>
      <c r="QT105" s="148"/>
      <c r="QU105" s="148"/>
      <c r="QV105" s="148"/>
      <c r="QW105" s="148"/>
      <c r="QX105" s="148"/>
      <c r="QY105" s="148"/>
      <c r="QZ105" s="148"/>
      <c r="RA105" s="148"/>
      <c r="RB105" s="148" t="s">
        <v>1206</v>
      </c>
      <c r="RC105" s="148"/>
      <c r="RD105" s="148"/>
      <c r="RE105" s="148"/>
      <c r="RF105" s="148"/>
      <c r="RG105" s="148"/>
      <c r="RH105" s="148"/>
      <c r="RI105" s="148"/>
      <c r="RJ105" s="148"/>
      <c r="RK105" s="148"/>
      <c r="RL105" s="148"/>
      <c r="RM105" s="148"/>
      <c r="RN105" s="148"/>
      <c r="RO105" s="148"/>
      <c r="RP105" s="148"/>
      <c r="RQ105" s="148"/>
      <c r="RR105" s="148"/>
      <c r="RS105" s="148"/>
      <c r="RT105" s="148"/>
      <c r="RU105" s="148"/>
      <c r="RV105" s="148"/>
      <c r="RW105" s="148"/>
      <c r="RX105" s="148"/>
      <c r="RY105" s="148"/>
      <c r="RZ105" s="148"/>
      <c r="SA105" s="148"/>
      <c r="SB105" s="148"/>
      <c r="SC105" s="148"/>
      <c r="SD105" s="1736" t="s">
        <v>9805</v>
      </c>
      <c r="SE105" s="1806" t="s">
        <v>9805</v>
      </c>
      <c r="SF105" s="148"/>
      <c r="SG105" s="148"/>
      <c r="SH105" s="148"/>
      <c r="SI105" s="148"/>
      <c r="SJ105" s="148"/>
      <c r="SK105" s="148"/>
      <c r="SL105" s="148" t="s">
        <v>1011</v>
      </c>
    </row>
    <row r="106" ht="15.75" customHeight="1">
      <c r="A106" s="1517"/>
      <c r="B106" s="1786"/>
      <c r="C106" s="1787"/>
      <c r="D106" s="1787"/>
      <c r="E106" s="1788"/>
      <c r="F106" s="1788"/>
      <c r="G106" s="1788"/>
      <c r="H106" s="1789"/>
      <c r="I106" s="1789"/>
      <c r="J106" s="1789"/>
      <c r="K106" s="1787"/>
      <c r="L106" s="1787"/>
      <c r="M106" s="1790"/>
      <c r="N106" s="1741"/>
      <c r="O106" s="339"/>
      <c r="P106" s="339"/>
      <c r="Q106" s="1741"/>
      <c r="R106" s="1741"/>
      <c r="S106" s="1741"/>
      <c r="T106" s="1791"/>
      <c r="U106" s="1741"/>
      <c r="V106" s="1741"/>
      <c r="W106" s="1741"/>
      <c r="X106" s="1791"/>
      <c r="Y106" s="1791"/>
      <c r="Z106" s="339"/>
      <c r="AA106" s="339"/>
      <c r="AB106" s="339"/>
      <c r="AC106" s="339"/>
      <c r="AD106" s="1789"/>
      <c r="AE106" s="1789"/>
      <c r="AF106" s="1789"/>
      <c r="AG106" s="1791"/>
      <c r="AH106" s="1791"/>
      <c r="AI106" s="1791"/>
      <c r="AJ106" s="1792"/>
      <c r="AK106" s="1792"/>
      <c r="AL106" s="1741"/>
      <c r="AM106" s="339"/>
      <c r="AN106" s="1792"/>
      <c r="AO106" s="1792"/>
      <c r="AP106" s="1791"/>
      <c r="AQ106" s="1791"/>
      <c r="AR106" s="1789"/>
      <c r="AS106" s="1789"/>
      <c r="AT106" s="1788"/>
      <c r="AU106" s="1788"/>
      <c r="AV106" s="1788"/>
      <c r="AW106" s="1791"/>
      <c r="AX106" s="1791"/>
      <c r="AY106" s="1741"/>
      <c r="AZ106" s="1741"/>
      <c r="BA106" s="339"/>
      <c r="BB106" s="339"/>
      <c r="BC106" s="339"/>
      <c r="BD106" s="1789"/>
      <c r="BE106" s="1741"/>
      <c r="BF106" s="1741"/>
      <c r="BG106" s="1741"/>
      <c r="BH106" s="1741"/>
      <c r="BI106" s="1789"/>
      <c r="BJ106" s="1789"/>
      <c r="BK106" s="1789"/>
      <c r="BL106" s="1741"/>
      <c r="BM106" s="1741"/>
      <c r="BN106" s="1741"/>
      <c r="BO106" s="1793"/>
      <c r="BP106" s="1793"/>
      <c r="BQ106" s="1793"/>
      <c r="BR106" s="1787"/>
      <c r="BS106" s="1787"/>
      <c r="BT106" s="1787"/>
      <c r="BU106" s="1789"/>
      <c r="BV106" s="1789"/>
      <c r="BW106" s="1741"/>
      <c r="BX106" s="1741"/>
      <c r="BY106" s="1741"/>
      <c r="BZ106" s="339"/>
      <c r="CA106" s="339"/>
      <c r="CB106" s="1792"/>
      <c r="CC106" s="1792"/>
      <c r="CD106" s="1793"/>
      <c r="CE106" s="1793"/>
      <c r="CF106" s="1741"/>
      <c r="CG106" s="1741"/>
      <c r="CH106" s="1741"/>
      <c r="CI106" s="1790"/>
      <c r="CJ106" s="1790"/>
      <c r="CK106" s="1791"/>
      <c r="CL106" s="1791"/>
      <c r="CM106" s="1791"/>
      <c r="CN106" s="1791"/>
      <c r="CO106" s="1791"/>
      <c r="CP106" s="1791"/>
      <c r="CQ106" s="1791"/>
      <c r="CR106" s="1793"/>
      <c r="CS106" s="339"/>
      <c r="CT106" s="339"/>
      <c r="CU106" s="1788"/>
      <c r="CV106" s="1788"/>
      <c r="CW106" s="1788"/>
      <c r="CX106" s="1788"/>
      <c r="CY106" s="1792"/>
      <c r="CZ106" s="339"/>
      <c r="DA106" s="1741"/>
      <c r="DB106" s="1741"/>
      <c r="DC106" s="1741"/>
      <c r="DD106" s="1741"/>
      <c r="DE106" s="1792"/>
      <c r="DF106" s="1791"/>
      <c r="DG106" s="1791"/>
      <c r="DH106" s="1793"/>
      <c r="DI106" s="1793" t="s">
        <v>1745</v>
      </c>
      <c r="DJ106" s="1792"/>
      <c r="DK106" s="1789"/>
      <c r="DL106" s="1741"/>
      <c r="DM106" s="1789"/>
      <c r="DN106" s="1789"/>
      <c r="DO106" s="1788"/>
      <c r="DP106" s="1788"/>
      <c r="DQ106" s="1741"/>
      <c r="DR106" s="1791"/>
      <c r="DS106" s="1792"/>
      <c r="DT106" s="1787"/>
      <c r="DU106" s="1788"/>
      <c r="DV106" s="339"/>
      <c r="DW106" s="1788"/>
      <c r="DX106" s="1741"/>
      <c r="DY106" s="1741"/>
      <c r="DZ106" s="1788"/>
      <c r="EA106" s="1789"/>
      <c r="EB106" s="1789"/>
      <c r="EC106" s="1791"/>
      <c r="ED106" s="1741"/>
      <c r="EE106" s="1789"/>
      <c r="EF106" s="339"/>
      <c r="EG106" s="1788"/>
      <c r="EH106" s="1792"/>
      <c r="EI106" s="1789"/>
      <c r="EJ106" s="1789"/>
      <c r="EK106" s="1741"/>
      <c r="EL106" s="1741"/>
      <c r="EM106" s="1791"/>
      <c r="EN106" s="1794"/>
      <c r="EO106" s="1789"/>
      <c r="EP106" s="339"/>
      <c r="EQ106" s="339"/>
      <c r="ER106" s="1789"/>
      <c r="ES106" s="1789"/>
      <c r="ET106" s="1741" t="s">
        <v>1745</v>
      </c>
      <c r="EU106" s="1791"/>
      <c r="EV106" s="1792"/>
      <c r="EW106" s="1787"/>
      <c r="EX106" s="1787"/>
      <c r="EY106" s="1787"/>
      <c r="EZ106" s="339"/>
      <c r="FA106" s="339"/>
      <c r="FB106" s="339"/>
      <c r="FC106" s="1789"/>
      <c r="FD106" s="1789"/>
      <c r="FE106" s="1789"/>
      <c r="FF106" s="1741"/>
      <c r="FG106" s="1741"/>
      <c r="FH106" s="1741"/>
      <c r="FI106" s="1741"/>
      <c r="FJ106" s="1788"/>
      <c r="FK106" s="1788"/>
      <c r="FL106" s="1787"/>
      <c r="FM106" s="1788"/>
      <c r="FN106" s="1791"/>
      <c r="FO106" s="1789"/>
      <c r="FP106" s="1789"/>
      <c r="FQ106" s="339"/>
      <c r="FR106" s="1792"/>
      <c r="FS106" s="1792"/>
      <c r="FT106" s="1790"/>
      <c r="FU106" s="1790"/>
      <c r="FV106" s="1787"/>
      <c r="FW106" s="1787"/>
      <c r="FX106" s="1790"/>
      <c r="FY106" s="1792"/>
      <c r="FZ106" s="339"/>
      <c r="GA106" s="1787"/>
      <c r="GB106" s="1789"/>
      <c r="GC106" s="1789"/>
      <c r="GD106" s="1741"/>
      <c r="GE106" s="1787"/>
      <c r="GF106" s="1792"/>
      <c r="GG106" s="1787"/>
      <c r="GH106" s="1789"/>
      <c r="GI106" s="1791"/>
      <c r="GJ106" s="339"/>
      <c r="GK106" s="339"/>
      <c r="GL106" s="1788"/>
      <c r="GM106" s="1789"/>
      <c r="GN106" s="1789"/>
      <c r="GO106" s="1791"/>
      <c r="GP106" s="1794"/>
      <c r="GQ106" s="1794"/>
      <c r="GR106" s="1792"/>
      <c r="GS106" s="1793"/>
      <c r="GT106" s="1794"/>
      <c r="GU106" s="1789"/>
      <c r="GV106" s="339"/>
      <c r="GW106" s="1793"/>
      <c r="GX106" s="1791"/>
      <c r="GY106" s="339"/>
      <c r="GZ106" s="1791"/>
      <c r="HA106" s="1793"/>
      <c r="HB106" s="1792"/>
      <c r="HC106" s="1791"/>
      <c r="HD106" s="1793"/>
      <c r="HE106" s="1788"/>
      <c r="HF106" s="339"/>
      <c r="HG106" s="1789"/>
      <c r="HH106" s="1794"/>
      <c r="HI106" s="1741"/>
      <c r="HJ106" s="1741"/>
      <c r="HK106" s="1788"/>
      <c r="HL106" s="1788"/>
      <c r="HM106" s="1741"/>
      <c r="HN106" s="1741"/>
      <c r="HO106" s="1792"/>
      <c r="HP106" s="1793"/>
      <c r="HQ106" s="1788"/>
      <c r="HR106" s="1788"/>
      <c r="HS106" s="1791"/>
      <c r="HT106" s="1793"/>
      <c r="HU106" s="1794"/>
      <c r="HV106" s="1794"/>
      <c r="HW106" s="1789"/>
      <c r="HX106" s="1789"/>
      <c r="HY106" s="1793"/>
      <c r="HZ106" s="1788"/>
      <c r="IA106" s="1741"/>
      <c r="IB106" s="1790"/>
      <c r="IC106" s="1791"/>
      <c r="ID106" s="1741"/>
      <c r="IE106" s="1792"/>
      <c r="IF106" s="339"/>
      <c r="IG106" s="1788"/>
      <c r="IH106" s="1792"/>
      <c r="II106" s="1792"/>
      <c r="IJ106" s="339"/>
      <c r="IK106" s="1741"/>
      <c r="IL106" s="1789"/>
      <c r="IM106" s="1787"/>
      <c r="IN106" s="1793"/>
      <c r="IO106" s="1787"/>
      <c r="IP106" s="1790"/>
      <c r="IQ106" s="1788"/>
      <c r="IR106" s="1787"/>
      <c r="IS106" s="1787"/>
      <c r="IT106" s="1787"/>
      <c r="IU106" s="1787"/>
      <c r="IV106" s="1788"/>
      <c r="IW106" s="1788"/>
      <c r="IX106" s="1788"/>
      <c r="IY106" s="1789"/>
      <c r="IZ106" s="1789"/>
      <c r="JA106" s="1789"/>
      <c r="JB106" s="1793"/>
      <c r="JC106" s="1793"/>
      <c r="JD106" s="1741"/>
      <c r="JE106" s="1790"/>
      <c r="JF106" s="1788"/>
      <c r="JG106" s="1790"/>
      <c r="JH106" s="339"/>
      <c r="JI106" s="1791"/>
      <c r="JJ106" s="1787"/>
      <c r="JK106" s="1787"/>
      <c r="JL106" s="1787"/>
      <c r="JM106" s="1787"/>
      <c r="JN106" s="1741"/>
      <c r="JO106" s="1741"/>
      <c r="JP106" s="1741"/>
      <c r="JQ106" s="1789"/>
      <c r="JR106" s="1789"/>
      <c r="JS106" s="1790"/>
      <c r="JT106" s="339"/>
      <c r="JU106" s="1790"/>
      <c r="JV106" s="1790"/>
      <c r="JW106" s="1790"/>
      <c r="JX106" s="1789"/>
      <c r="JY106" s="1789"/>
      <c r="JZ106" s="1741"/>
      <c r="KA106" s="1787"/>
      <c r="KB106" s="1741"/>
      <c r="KC106" s="1790"/>
      <c r="KD106" s="1741"/>
      <c r="KE106" s="1793"/>
      <c r="KF106" s="339"/>
      <c r="KG106" s="1741"/>
      <c r="KH106" s="1792"/>
      <c r="KI106" s="1789"/>
      <c r="KJ106" s="1789"/>
      <c r="KK106" s="339"/>
      <c r="KL106" s="1741"/>
      <c r="KM106" s="1789"/>
      <c r="KN106" s="1793"/>
      <c r="KO106" s="1792"/>
      <c r="KP106" s="1791"/>
      <c r="KQ106" s="1791"/>
      <c r="KR106" s="1794"/>
      <c r="KS106" s="1793"/>
      <c r="KT106" s="1793"/>
      <c r="KU106" s="1793" t="s">
        <v>2455</v>
      </c>
      <c r="KV106" s="1789"/>
      <c r="KW106" s="1788"/>
      <c r="KX106" s="1787"/>
      <c r="KY106" s="339"/>
      <c r="KZ106" s="339"/>
      <c r="LA106" s="339"/>
      <c r="LB106" s="1793"/>
      <c r="LC106" s="1791"/>
      <c r="LD106" s="1787"/>
      <c r="LE106" s="1787"/>
      <c r="LF106" s="1791"/>
      <c r="LG106" s="1788"/>
      <c r="LH106" s="1789"/>
      <c r="LI106" s="1789"/>
      <c r="LJ106" s="1789"/>
      <c r="LK106" s="339"/>
      <c r="LL106" s="1788"/>
      <c r="LM106" s="1741"/>
      <c r="LN106" s="1794"/>
      <c r="LO106" s="1791"/>
      <c r="LP106" s="1741"/>
      <c r="LQ106" s="1741"/>
      <c r="LR106" s="1787"/>
      <c r="LS106" s="1787"/>
      <c r="LT106" s="1787"/>
      <c r="LU106" s="1787"/>
      <c r="LV106" s="1789"/>
      <c r="LW106" s="1789"/>
      <c r="LX106" s="1790"/>
      <c r="LY106" s="1794"/>
      <c r="LZ106" s="339"/>
      <c r="MA106" s="1788"/>
      <c r="MB106" s="1793"/>
      <c r="MC106" s="1789"/>
      <c r="MD106" s="1788"/>
      <c r="ME106" s="1788"/>
      <c r="MF106" s="1741"/>
      <c r="MG106" s="1794"/>
      <c r="MH106" s="1791"/>
      <c r="MI106" s="1787"/>
      <c r="MJ106" s="1793"/>
      <c r="MK106" s="1793"/>
      <c r="ML106" s="1741"/>
      <c r="MM106" s="1792"/>
      <c r="MN106" s="1790"/>
      <c r="MO106" s="1787"/>
      <c r="MP106" s="1794"/>
      <c r="MQ106" s="1794"/>
      <c r="MR106" s="1794"/>
      <c r="MS106" s="1794"/>
      <c r="MT106" s="1787"/>
      <c r="MU106" s="1789"/>
      <c r="MV106" s="1790"/>
      <c r="MW106" s="1789"/>
      <c r="MX106" s="1793"/>
      <c r="MY106" s="1793"/>
      <c r="MZ106" s="1789"/>
      <c r="NA106" s="1789"/>
      <c r="NB106" s="1789"/>
      <c r="NC106" s="1789"/>
      <c r="ND106" s="1789"/>
      <c r="NE106" s="1792"/>
      <c r="NF106" s="1793"/>
      <c r="NG106" s="1792"/>
      <c r="NH106" s="1789"/>
      <c r="NI106" s="1790"/>
      <c r="NJ106" s="1789"/>
      <c r="NK106" s="1789"/>
      <c r="NL106" s="1789"/>
      <c r="NM106" s="1789"/>
      <c r="NN106" s="1741"/>
      <c r="NO106" s="1789"/>
      <c r="NP106" s="1793"/>
      <c r="NQ106" s="1788"/>
      <c r="NR106" s="1789"/>
      <c r="NS106" s="1789"/>
      <c r="NT106" s="1788"/>
      <c r="NU106" s="1787"/>
      <c r="NV106" s="339" t="s">
        <v>2613</v>
      </c>
      <c r="NW106" s="1788"/>
      <c r="NX106" s="1788"/>
      <c r="NY106" s="1788"/>
      <c r="NZ106" s="1788"/>
      <c r="OA106" s="1787"/>
      <c r="OB106" s="1787"/>
      <c r="OC106" s="1787"/>
      <c r="OD106" s="1741"/>
      <c r="OE106" s="1741"/>
      <c r="OF106" s="1741"/>
      <c r="OG106" s="1789"/>
      <c r="OH106" s="1789"/>
      <c r="OI106" s="1789"/>
      <c r="OJ106" s="1741"/>
      <c r="OK106" s="1741"/>
      <c r="OL106" s="1741"/>
      <c r="OM106" s="1741"/>
      <c r="ON106" s="1741"/>
      <c r="OO106" s="1788"/>
      <c r="OP106" s="1788"/>
      <c r="OQ106" s="1789"/>
      <c r="OR106" s="1789"/>
      <c r="OS106" s="1789"/>
      <c r="OT106" s="1787"/>
      <c r="OU106" s="1787"/>
      <c r="OV106" s="1789"/>
      <c r="OW106" s="1789"/>
      <c r="OX106" s="1793"/>
      <c r="OY106" s="1793"/>
      <c r="OZ106" s="1787"/>
      <c r="PA106" s="1787"/>
      <c r="PB106" s="339"/>
      <c r="PC106" s="1792"/>
      <c r="PD106" s="339"/>
      <c r="PE106" s="339"/>
      <c r="PF106" s="339"/>
      <c r="PG106" s="1790"/>
      <c r="PH106" s="1741"/>
      <c r="PI106" s="1741"/>
      <c r="PJ106" s="1792"/>
      <c r="PK106" s="1792"/>
      <c r="PL106" s="1791"/>
      <c r="PM106" s="1791"/>
      <c r="PN106" s="1791"/>
      <c r="PO106" s="1791"/>
      <c r="PP106" s="1791"/>
      <c r="PQ106" s="1741"/>
      <c r="PR106" s="1741"/>
      <c r="PS106" s="1791"/>
      <c r="PT106" s="1794"/>
      <c r="PU106" s="1793"/>
      <c r="PV106" s="1793"/>
      <c r="PW106" s="339"/>
      <c r="PX106" s="1791"/>
      <c r="PY106" s="1791"/>
      <c r="PZ106" s="1787"/>
      <c r="QA106" s="1787"/>
      <c r="QB106" s="1741"/>
      <c r="QC106" s="1792"/>
      <c r="QD106" s="1792"/>
      <c r="QE106" s="1794"/>
      <c r="QF106" s="1791"/>
      <c r="QG106" s="1789"/>
      <c r="QH106" s="1789"/>
      <c r="QI106" s="1789"/>
      <c r="QJ106" s="1794"/>
      <c r="QK106" s="1789"/>
      <c r="QL106" s="1789"/>
      <c r="QM106" s="1741"/>
      <c r="QN106" s="1741"/>
      <c r="QO106" s="1791"/>
      <c r="QP106" s="1791"/>
      <c r="QQ106" s="1789"/>
      <c r="QR106" s="1789"/>
      <c r="QS106" s="1787"/>
      <c r="QT106" s="1789"/>
      <c r="QU106" s="1789"/>
      <c r="QV106" s="1789"/>
      <c r="QW106" s="1790"/>
      <c r="QX106" s="1790"/>
      <c r="QY106" s="1794"/>
      <c r="QZ106" s="1793"/>
      <c r="RA106" s="1792"/>
      <c r="RB106" s="1793" t="s">
        <v>1486</v>
      </c>
      <c r="RC106" s="1789"/>
      <c r="RD106" s="339"/>
      <c r="RE106" s="1788"/>
      <c r="RF106" s="1790"/>
      <c r="RG106" s="1787"/>
      <c r="RH106" s="1787"/>
      <c r="RI106" s="1789"/>
      <c r="RJ106" s="1791"/>
      <c r="RK106" s="1741"/>
      <c r="RL106" s="1788"/>
      <c r="RM106" s="1790"/>
      <c r="RN106" s="1793"/>
      <c r="RO106" s="1794"/>
      <c r="RP106" s="1790"/>
      <c r="RQ106" s="1788"/>
      <c r="RR106" s="1788"/>
      <c r="RS106" s="1788"/>
      <c r="RT106" s="1788"/>
      <c r="RU106" s="1788"/>
      <c r="RV106" s="1788"/>
      <c r="RW106" s="339"/>
      <c r="RX106" s="1792"/>
      <c r="RY106" s="1789"/>
      <c r="RZ106" s="1790"/>
      <c r="SA106" s="1791"/>
      <c r="SB106" s="1741"/>
      <c r="SC106" s="1790"/>
      <c r="SD106" s="1807" t="s">
        <v>2112</v>
      </c>
      <c r="SE106" s="1807" t="s">
        <v>2112</v>
      </c>
      <c r="SF106" s="339"/>
      <c r="SG106" s="1789"/>
      <c r="SH106" s="1789"/>
      <c r="SI106" s="1794"/>
      <c r="SJ106" s="1787"/>
      <c r="SK106" s="1787"/>
      <c r="SL106" s="1793" t="s">
        <v>2455</v>
      </c>
    </row>
    <row r="107" ht="15.75" customHeight="1">
      <c r="A107" s="1517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/>
      <c r="BQ107" s="148"/>
      <c r="BR107" s="148"/>
      <c r="BS107" s="148"/>
      <c r="BT107" s="148"/>
      <c r="BU107" s="148"/>
      <c r="BV107" s="148"/>
      <c r="BW107" s="148"/>
      <c r="BX107" s="148"/>
      <c r="BY107" s="148"/>
      <c r="BZ107" s="148"/>
      <c r="CA107" s="148"/>
      <c r="CB107" s="148"/>
      <c r="CC107" s="148"/>
      <c r="CD107" s="148"/>
      <c r="CE107" s="148"/>
      <c r="CF107" s="148"/>
      <c r="CG107" s="148"/>
      <c r="CH107" s="148"/>
      <c r="CI107" s="148"/>
      <c r="CJ107" s="148"/>
      <c r="CK107" s="148"/>
      <c r="CL107" s="148"/>
      <c r="CM107" s="148"/>
      <c r="CN107" s="148"/>
      <c r="CO107" s="148"/>
      <c r="CP107" s="148"/>
      <c r="CQ107" s="148"/>
      <c r="CR107" s="148"/>
      <c r="CS107" s="148"/>
      <c r="CT107" s="148"/>
      <c r="CU107" s="148"/>
      <c r="CV107" s="148"/>
      <c r="CW107" s="148"/>
      <c r="CX107" s="148"/>
      <c r="CY107" s="148"/>
      <c r="CZ107" s="148"/>
      <c r="DA107" s="148"/>
      <c r="DB107" s="148"/>
      <c r="DC107" s="148"/>
      <c r="DD107" s="148"/>
      <c r="DE107" s="148"/>
      <c r="DF107" s="148"/>
      <c r="DG107" s="148"/>
      <c r="DH107" s="148"/>
      <c r="DI107" s="148"/>
      <c r="DJ107" s="148"/>
      <c r="DK107" s="148"/>
      <c r="DL107" s="148"/>
      <c r="DM107" s="148"/>
      <c r="DN107" s="148"/>
      <c r="DO107" s="148"/>
      <c r="DP107" s="148"/>
      <c r="DQ107" s="148"/>
      <c r="DR107" s="148"/>
      <c r="DS107" s="148"/>
      <c r="DT107" s="148"/>
      <c r="DU107" s="148"/>
      <c r="DV107" s="148"/>
      <c r="DW107" s="148"/>
      <c r="DX107" s="148"/>
      <c r="DY107" s="148"/>
      <c r="DZ107" s="148"/>
      <c r="EA107" s="148"/>
      <c r="EB107" s="148"/>
      <c r="EC107" s="148"/>
      <c r="ED107" s="148"/>
      <c r="EE107" s="148"/>
      <c r="EF107" s="148"/>
      <c r="EG107" s="148"/>
      <c r="EH107" s="148"/>
      <c r="EI107" s="148"/>
      <c r="EJ107" s="148"/>
      <c r="EK107" s="148"/>
      <c r="EL107" s="148"/>
      <c r="EM107" s="148"/>
      <c r="EN107" s="148"/>
      <c r="EO107" s="148"/>
      <c r="EP107" s="148"/>
      <c r="EQ107" s="148"/>
      <c r="ER107" s="148"/>
      <c r="ES107" s="148"/>
      <c r="ET107" s="276" t="s">
        <v>9804</v>
      </c>
      <c r="EU107" s="148"/>
      <c r="EV107" s="148"/>
      <c r="EW107" s="148"/>
      <c r="EX107" s="148"/>
      <c r="EY107" s="148"/>
      <c r="EZ107" s="148"/>
      <c r="FA107" s="148"/>
      <c r="FB107" s="148"/>
      <c r="FC107" s="148"/>
      <c r="FD107" s="148"/>
      <c r="FE107" s="148"/>
      <c r="FF107" s="148"/>
      <c r="FG107" s="148"/>
      <c r="FH107" s="148"/>
      <c r="FI107" s="148"/>
      <c r="FJ107" s="148"/>
      <c r="FK107" s="148"/>
      <c r="FL107" s="148"/>
      <c r="FM107" s="148"/>
      <c r="FN107" s="148"/>
      <c r="FO107" s="148"/>
      <c r="FP107" s="148"/>
      <c r="FQ107" s="148"/>
      <c r="FR107" s="148"/>
      <c r="FS107" s="148"/>
      <c r="FT107" s="148"/>
      <c r="FU107" s="148"/>
      <c r="FV107" s="148"/>
      <c r="FW107" s="148"/>
      <c r="FX107" s="148"/>
      <c r="FY107" s="148"/>
      <c r="FZ107" s="148"/>
      <c r="GA107" s="148"/>
      <c r="GB107" s="148"/>
      <c r="GC107" s="148"/>
      <c r="GD107" s="148"/>
      <c r="GE107" s="148"/>
      <c r="GF107" s="148"/>
      <c r="GG107" s="148"/>
      <c r="GH107" s="148"/>
      <c r="GI107" s="148"/>
      <c r="GJ107" s="148"/>
      <c r="GK107" s="148"/>
      <c r="GL107" s="148"/>
      <c r="GM107" s="148"/>
      <c r="GN107" s="148"/>
      <c r="GO107" s="148"/>
      <c r="GP107" s="148"/>
      <c r="GQ107" s="148"/>
      <c r="GR107" s="148"/>
      <c r="GS107" s="148"/>
      <c r="GT107" s="148"/>
      <c r="GU107" s="148"/>
      <c r="GV107" s="148"/>
      <c r="GW107" s="148"/>
      <c r="GX107" s="148"/>
      <c r="GY107" s="148"/>
      <c r="GZ107" s="148"/>
      <c r="HA107" s="148"/>
      <c r="HB107" s="148"/>
      <c r="HC107" s="148"/>
      <c r="HD107" s="148"/>
      <c r="HE107" s="148"/>
      <c r="HF107" s="148"/>
      <c r="HG107" s="148"/>
      <c r="HH107" s="148"/>
      <c r="HI107" s="148"/>
      <c r="HJ107" s="148"/>
      <c r="HK107" s="148"/>
      <c r="HL107" s="148"/>
      <c r="HM107" s="148"/>
      <c r="HN107" s="148"/>
      <c r="HO107" s="148"/>
      <c r="HP107" s="148"/>
      <c r="HQ107" s="148"/>
      <c r="HR107" s="148"/>
      <c r="HS107" s="148"/>
      <c r="HT107" s="148"/>
      <c r="HU107" s="148"/>
      <c r="HV107" s="148"/>
      <c r="HW107" s="148"/>
      <c r="HX107" s="148"/>
      <c r="HY107" s="148"/>
      <c r="HZ107" s="148"/>
      <c r="IA107" s="148"/>
      <c r="IB107" s="148"/>
      <c r="IC107" s="148"/>
      <c r="ID107" s="148"/>
      <c r="IE107" s="148"/>
      <c r="IF107" s="148"/>
      <c r="IG107" s="148"/>
      <c r="IH107" s="148"/>
      <c r="II107" s="148"/>
      <c r="IJ107" s="148"/>
      <c r="IK107" s="148"/>
      <c r="IL107" s="148"/>
      <c r="IM107" s="148"/>
      <c r="IN107" s="148"/>
      <c r="IO107" s="148"/>
      <c r="IP107" s="148"/>
      <c r="IQ107" s="148"/>
      <c r="IR107" s="148"/>
      <c r="IS107" s="148"/>
      <c r="IT107" s="148"/>
      <c r="IU107" s="148"/>
      <c r="IV107" s="148"/>
      <c r="IW107" s="148"/>
      <c r="IX107" s="148"/>
      <c r="IY107" s="148"/>
      <c r="IZ107" s="148"/>
      <c r="JA107" s="148"/>
      <c r="JB107" s="148"/>
      <c r="JC107" s="148"/>
      <c r="JD107" s="148"/>
      <c r="JE107" s="148"/>
      <c r="JF107" s="148"/>
      <c r="JG107" s="148"/>
      <c r="JH107" s="148"/>
      <c r="JI107" s="148"/>
      <c r="JJ107" s="148"/>
      <c r="JK107" s="148"/>
      <c r="JL107" s="148"/>
      <c r="JM107" s="148"/>
      <c r="JN107" s="148"/>
      <c r="JO107" s="148"/>
      <c r="JP107" s="148"/>
      <c r="JQ107" s="148"/>
      <c r="JR107" s="148"/>
      <c r="JS107" s="148"/>
      <c r="JT107" s="148"/>
      <c r="JU107" s="148"/>
      <c r="JV107" s="148"/>
      <c r="JW107" s="148"/>
      <c r="JX107" s="148"/>
      <c r="JY107" s="148"/>
      <c r="JZ107" s="148"/>
      <c r="KA107" s="148"/>
      <c r="KB107" s="148"/>
      <c r="KC107" s="148"/>
      <c r="KD107" s="148"/>
      <c r="KE107" s="148"/>
      <c r="KF107" s="148"/>
      <c r="KG107" s="148"/>
      <c r="KH107" s="148"/>
      <c r="KI107" s="148"/>
      <c r="KJ107" s="148"/>
      <c r="KK107" s="148"/>
      <c r="KL107" s="148"/>
      <c r="KM107" s="148"/>
      <c r="KN107" s="148"/>
      <c r="KO107" s="148"/>
      <c r="KP107" s="148"/>
      <c r="KQ107" s="148"/>
      <c r="KR107" s="148"/>
      <c r="KS107" s="148"/>
      <c r="KT107" s="148"/>
      <c r="KU107" s="148" t="s">
        <v>1206</v>
      </c>
      <c r="KV107" s="148"/>
      <c r="KW107" s="148"/>
      <c r="KX107" s="148"/>
      <c r="KY107" s="148"/>
      <c r="KZ107" s="148"/>
      <c r="LA107" s="148"/>
      <c r="LB107" s="148"/>
      <c r="LC107" s="148"/>
      <c r="LD107" s="148"/>
      <c r="LE107" s="148"/>
      <c r="LF107" s="148"/>
      <c r="LG107" s="148"/>
      <c r="LH107" s="148"/>
      <c r="LI107" s="148"/>
      <c r="LJ107" s="148"/>
      <c r="LK107" s="148"/>
      <c r="LL107" s="148"/>
      <c r="LM107" s="148"/>
      <c r="LN107" s="148"/>
      <c r="LO107" s="148"/>
      <c r="LP107" s="148"/>
      <c r="LQ107" s="148"/>
      <c r="LR107" s="148"/>
      <c r="LS107" s="148"/>
      <c r="LT107" s="148"/>
      <c r="LU107" s="148"/>
      <c r="LV107" s="148"/>
      <c r="LW107" s="148"/>
      <c r="LX107" s="148"/>
      <c r="LY107" s="148"/>
      <c r="LZ107" s="148"/>
      <c r="MA107" s="148"/>
      <c r="MB107" s="148"/>
      <c r="MC107" s="148"/>
      <c r="MD107" s="148"/>
      <c r="ME107" s="148"/>
      <c r="MF107" s="148"/>
      <c r="MG107" s="148"/>
      <c r="MH107" s="148"/>
      <c r="MI107" s="148"/>
      <c r="MJ107" s="148"/>
      <c r="MK107" s="148"/>
      <c r="ML107" s="148"/>
      <c r="MM107" s="148"/>
      <c r="MN107" s="148"/>
      <c r="MO107" s="148"/>
      <c r="MP107" s="148"/>
      <c r="MQ107" s="148"/>
      <c r="MR107" s="148"/>
      <c r="MS107" s="148"/>
      <c r="MT107" s="148"/>
      <c r="MU107" s="148"/>
      <c r="MV107" s="148"/>
      <c r="MW107" s="148"/>
      <c r="MX107" s="148"/>
      <c r="MY107" s="148"/>
      <c r="MZ107" s="148"/>
      <c r="NA107" s="148"/>
      <c r="NB107" s="148"/>
      <c r="NC107" s="148"/>
      <c r="ND107" s="148"/>
      <c r="NE107" s="148"/>
      <c r="NF107" s="148"/>
      <c r="NG107" s="148"/>
      <c r="NH107" s="148"/>
      <c r="NI107" s="148"/>
      <c r="NJ107" s="148"/>
      <c r="NK107" s="148"/>
      <c r="NL107" s="148"/>
      <c r="NM107" s="148"/>
      <c r="NN107" s="148"/>
      <c r="NO107" s="148"/>
      <c r="NP107" s="148"/>
      <c r="NQ107" s="148"/>
      <c r="NR107" s="148"/>
      <c r="NS107" s="148"/>
      <c r="NT107" s="148"/>
      <c r="NU107" s="148"/>
      <c r="NV107" s="148"/>
      <c r="NW107" s="148"/>
      <c r="NX107" s="148"/>
      <c r="NY107" s="148"/>
      <c r="NZ107" s="148"/>
      <c r="OA107" s="148"/>
      <c r="OB107" s="148"/>
      <c r="OC107" s="148"/>
      <c r="OD107" s="148"/>
      <c r="OE107" s="148"/>
      <c r="OF107" s="148"/>
      <c r="OG107" s="148"/>
      <c r="OH107" s="148"/>
      <c r="OI107" s="148"/>
      <c r="OJ107" s="148"/>
      <c r="OK107" s="148"/>
      <c r="OL107" s="148"/>
      <c r="OM107" s="148"/>
      <c r="ON107" s="148"/>
      <c r="OO107" s="148"/>
      <c r="OP107" s="148"/>
      <c r="OQ107" s="148"/>
      <c r="OR107" s="148"/>
      <c r="OS107" s="148"/>
      <c r="OT107" s="148"/>
      <c r="OU107" s="148"/>
      <c r="OV107" s="148"/>
      <c r="OW107" s="148"/>
      <c r="OX107" s="148"/>
      <c r="OY107" s="148"/>
      <c r="OZ107" s="148"/>
      <c r="PA107" s="148"/>
      <c r="PB107" s="148"/>
      <c r="PC107" s="148"/>
      <c r="PD107" s="148"/>
      <c r="PE107" s="148"/>
      <c r="PF107" s="148"/>
      <c r="PG107" s="148"/>
      <c r="PH107" s="148"/>
      <c r="PI107" s="148"/>
      <c r="PJ107" s="148"/>
      <c r="PK107" s="148"/>
      <c r="PL107" s="148"/>
      <c r="PM107" s="148"/>
      <c r="PN107" s="148"/>
      <c r="PO107" s="148"/>
      <c r="PP107" s="148"/>
      <c r="PQ107" s="148"/>
      <c r="PR107" s="148"/>
      <c r="PS107" s="148"/>
      <c r="PT107" s="148"/>
      <c r="PU107" s="148"/>
      <c r="PV107" s="148"/>
      <c r="PW107" s="148"/>
      <c r="PX107" s="148"/>
      <c r="PY107" s="148"/>
      <c r="PZ107" s="148"/>
      <c r="QA107" s="148"/>
      <c r="QB107" s="148"/>
      <c r="QC107" s="148"/>
      <c r="QD107" s="148"/>
      <c r="QE107" s="148"/>
      <c r="QF107" s="148"/>
      <c r="QG107" s="148"/>
      <c r="QH107" s="148"/>
      <c r="QI107" s="148"/>
      <c r="QJ107" s="148"/>
      <c r="QK107" s="148"/>
      <c r="QL107" s="148"/>
      <c r="QM107" s="148"/>
      <c r="QN107" s="148"/>
      <c r="QO107" s="148"/>
      <c r="QP107" s="148"/>
      <c r="QQ107" s="148"/>
      <c r="QR107" s="148"/>
      <c r="QS107" s="148"/>
      <c r="QT107" s="148"/>
      <c r="QU107" s="148"/>
      <c r="QV107" s="148"/>
      <c r="QW107" s="148"/>
      <c r="QX107" s="148"/>
      <c r="QY107" s="148"/>
      <c r="QZ107" s="148"/>
      <c r="RA107" s="148"/>
      <c r="RB107" s="148" t="s">
        <v>1745</v>
      </c>
      <c r="RC107" s="148"/>
      <c r="RD107" s="148"/>
      <c r="RE107" s="148"/>
      <c r="RF107" s="148"/>
      <c r="RG107" s="148"/>
      <c r="RH107" s="148"/>
      <c r="RI107" s="148"/>
      <c r="RJ107" s="148"/>
      <c r="RK107" s="148"/>
      <c r="RL107" s="148"/>
      <c r="RM107" s="148"/>
      <c r="RN107" s="148"/>
      <c r="RO107" s="148"/>
      <c r="RP107" s="148"/>
      <c r="RQ107" s="148"/>
      <c r="RR107" s="148"/>
      <c r="RS107" s="148"/>
      <c r="RT107" s="148"/>
      <c r="RU107" s="148"/>
      <c r="RV107" s="148"/>
      <c r="RW107" s="148"/>
      <c r="RX107" s="148"/>
      <c r="RY107" s="148"/>
      <c r="RZ107" s="148"/>
      <c r="SA107" s="148"/>
      <c r="SB107" s="148"/>
      <c r="SC107" s="148"/>
      <c r="SD107" s="148"/>
      <c r="SE107" s="148"/>
      <c r="SF107" s="148"/>
      <c r="SG107" s="148"/>
      <c r="SH107" s="148"/>
      <c r="SI107" s="148"/>
      <c r="SJ107" s="148"/>
      <c r="SK107" s="148"/>
      <c r="SL107" s="148" t="s">
        <v>1206</v>
      </c>
    </row>
    <row r="108" ht="15.75" customHeight="1">
      <c r="A108" s="1517"/>
      <c r="B108" s="1786"/>
      <c r="C108" s="1787"/>
      <c r="D108" s="1787"/>
      <c r="E108" s="1788"/>
      <c r="F108" s="1788"/>
      <c r="G108" s="1788"/>
      <c r="H108" s="1789"/>
      <c r="I108" s="1789"/>
      <c r="J108" s="1789"/>
      <c r="K108" s="1787"/>
      <c r="L108" s="1787"/>
      <c r="M108" s="1790"/>
      <c r="N108" s="1741"/>
      <c r="O108" s="339"/>
      <c r="P108" s="339"/>
      <c r="Q108" s="1741"/>
      <c r="R108" s="1741"/>
      <c r="S108" s="1741"/>
      <c r="T108" s="1791"/>
      <c r="U108" s="1741"/>
      <c r="V108" s="1741"/>
      <c r="W108" s="1741"/>
      <c r="X108" s="1791"/>
      <c r="Y108" s="1791"/>
      <c r="Z108" s="339"/>
      <c r="AA108" s="339"/>
      <c r="AB108" s="339"/>
      <c r="AC108" s="339"/>
      <c r="AD108" s="1789"/>
      <c r="AE108" s="1789"/>
      <c r="AF108" s="1789"/>
      <c r="AG108" s="1791"/>
      <c r="AH108" s="1791"/>
      <c r="AI108" s="1791"/>
      <c r="AJ108" s="1792"/>
      <c r="AK108" s="1792"/>
      <c r="AL108" s="1741"/>
      <c r="AM108" s="339"/>
      <c r="AN108" s="1792"/>
      <c r="AO108" s="1792"/>
      <c r="AP108" s="1791"/>
      <c r="AQ108" s="1791"/>
      <c r="AR108" s="1789"/>
      <c r="AS108" s="1789"/>
      <c r="AT108" s="1788"/>
      <c r="AU108" s="1788"/>
      <c r="AV108" s="1788"/>
      <c r="AW108" s="1791"/>
      <c r="AX108" s="1791"/>
      <c r="AY108" s="1741"/>
      <c r="AZ108" s="1741"/>
      <c r="BA108" s="339"/>
      <c r="BB108" s="339"/>
      <c r="BC108" s="339"/>
      <c r="BD108" s="1789"/>
      <c r="BE108" s="1741"/>
      <c r="BF108" s="1741"/>
      <c r="BG108" s="1741"/>
      <c r="BH108" s="1741"/>
      <c r="BI108" s="1789"/>
      <c r="BJ108" s="1789"/>
      <c r="BK108" s="1789"/>
      <c r="BL108" s="1741"/>
      <c r="BM108" s="1741"/>
      <c r="BN108" s="1741"/>
      <c r="BO108" s="1793"/>
      <c r="BP108" s="1793"/>
      <c r="BQ108" s="1793"/>
      <c r="BR108" s="1787"/>
      <c r="BS108" s="1787"/>
      <c r="BT108" s="1787"/>
      <c r="BU108" s="1789"/>
      <c r="BV108" s="1789"/>
      <c r="BW108" s="1741"/>
      <c r="BX108" s="1741"/>
      <c r="BY108" s="1741"/>
      <c r="BZ108" s="339"/>
      <c r="CA108" s="339"/>
      <c r="CB108" s="1792"/>
      <c r="CC108" s="1792"/>
      <c r="CD108" s="1793"/>
      <c r="CE108" s="1793"/>
      <c r="CF108" s="1741"/>
      <c r="CG108" s="1741"/>
      <c r="CH108" s="1741"/>
      <c r="CI108" s="1790"/>
      <c r="CJ108" s="1790"/>
      <c r="CK108" s="1791"/>
      <c r="CL108" s="1791"/>
      <c r="CM108" s="1791"/>
      <c r="CN108" s="1791"/>
      <c r="CO108" s="1791"/>
      <c r="CP108" s="1791"/>
      <c r="CQ108" s="1791"/>
      <c r="CR108" s="1793"/>
      <c r="CS108" s="339"/>
      <c r="CT108" s="339"/>
      <c r="CU108" s="1788"/>
      <c r="CV108" s="1788"/>
      <c r="CW108" s="1788"/>
      <c r="CX108" s="1788"/>
      <c r="CY108" s="1792"/>
      <c r="CZ108" s="339"/>
      <c r="DA108" s="1741"/>
      <c r="DB108" s="1741"/>
      <c r="DC108" s="1741"/>
      <c r="DD108" s="1741"/>
      <c r="DE108" s="1792"/>
      <c r="DF108" s="1791"/>
      <c r="DG108" s="1791"/>
      <c r="DH108" s="1793"/>
      <c r="DI108" s="1793"/>
      <c r="DJ108" s="1792"/>
      <c r="DK108" s="1789"/>
      <c r="DL108" s="1741"/>
      <c r="DM108" s="1789"/>
      <c r="DN108" s="1789"/>
      <c r="DO108" s="1788"/>
      <c r="DP108" s="1788"/>
      <c r="DQ108" s="1741"/>
      <c r="DR108" s="1791"/>
      <c r="DS108" s="1792"/>
      <c r="DT108" s="1787"/>
      <c r="DU108" s="1788"/>
      <c r="DV108" s="339"/>
      <c r="DW108" s="1788"/>
      <c r="DX108" s="1741"/>
      <c r="DY108" s="1741"/>
      <c r="DZ108" s="1788"/>
      <c r="EA108" s="1789"/>
      <c r="EB108" s="1789"/>
      <c r="EC108" s="1791"/>
      <c r="ED108" s="1741"/>
      <c r="EE108" s="1789"/>
      <c r="EF108" s="339"/>
      <c r="EG108" s="1788"/>
      <c r="EH108" s="1792"/>
      <c r="EI108" s="1789"/>
      <c r="EJ108" s="1789"/>
      <c r="EK108" s="1741"/>
      <c r="EL108" s="1741"/>
      <c r="EM108" s="1791"/>
      <c r="EN108" s="1794"/>
      <c r="EO108" s="1789"/>
      <c r="EP108" s="339"/>
      <c r="EQ108" s="339"/>
      <c r="ER108" s="1789"/>
      <c r="ES108" s="1789"/>
      <c r="ET108" s="1731" t="s">
        <v>9805</v>
      </c>
      <c r="EU108" s="1791"/>
      <c r="EV108" s="1792"/>
      <c r="EW108" s="1787"/>
      <c r="EX108" s="1787"/>
      <c r="EY108" s="1787"/>
      <c r="EZ108" s="339"/>
      <c r="FA108" s="339"/>
      <c r="FB108" s="339"/>
      <c r="FC108" s="1789"/>
      <c r="FD108" s="1789"/>
      <c r="FE108" s="1789"/>
      <c r="FF108" s="1741"/>
      <c r="FG108" s="1741"/>
      <c r="FH108" s="1741"/>
      <c r="FI108" s="1741"/>
      <c r="FJ108" s="1788"/>
      <c r="FK108" s="1788"/>
      <c r="FL108" s="1787"/>
      <c r="FM108" s="1788"/>
      <c r="FN108" s="1791"/>
      <c r="FO108" s="1789"/>
      <c r="FP108" s="1789"/>
      <c r="FQ108" s="339"/>
      <c r="FR108" s="1792"/>
      <c r="FS108" s="1792"/>
      <c r="FT108" s="1790"/>
      <c r="FU108" s="1790"/>
      <c r="FV108" s="1787"/>
      <c r="FW108" s="1787"/>
      <c r="FX108" s="1790"/>
      <c r="FY108" s="1792"/>
      <c r="FZ108" s="339"/>
      <c r="GA108" s="1787"/>
      <c r="GB108" s="1789"/>
      <c r="GC108" s="1789"/>
      <c r="GD108" s="1741"/>
      <c r="GE108" s="1787"/>
      <c r="GF108" s="1792"/>
      <c r="GG108" s="1787"/>
      <c r="GH108" s="1789"/>
      <c r="GI108" s="1791"/>
      <c r="GJ108" s="339"/>
      <c r="GK108" s="339"/>
      <c r="GL108" s="1788"/>
      <c r="GM108" s="1789"/>
      <c r="GN108" s="1789"/>
      <c r="GO108" s="1791"/>
      <c r="GP108" s="1794"/>
      <c r="GQ108" s="1794"/>
      <c r="GR108" s="1792"/>
      <c r="GS108" s="1793"/>
      <c r="GT108" s="1794"/>
      <c r="GU108" s="1789"/>
      <c r="GV108" s="339"/>
      <c r="GW108" s="1793"/>
      <c r="GX108" s="1791"/>
      <c r="GY108" s="339"/>
      <c r="GZ108" s="1791"/>
      <c r="HA108" s="1793"/>
      <c r="HB108" s="1792"/>
      <c r="HC108" s="1791"/>
      <c r="HD108" s="1793"/>
      <c r="HE108" s="1788"/>
      <c r="HF108" s="339"/>
      <c r="HG108" s="1789"/>
      <c r="HH108" s="1794"/>
      <c r="HI108" s="1741"/>
      <c r="HJ108" s="1741"/>
      <c r="HK108" s="1788"/>
      <c r="HL108" s="1788"/>
      <c r="HM108" s="1741"/>
      <c r="HN108" s="1741"/>
      <c r="HO108" s="1792"/>
      <c r="HP108" s="1793"/>
      <c r="HQ108" s="1788"/>
      <c r="HR108" s="1788"/>
      <c r="HS108" s="1791"/>
      <c r="HT108" s="1793"/>
      <c r="HU108" s="1794"/>
      <c r="HV108" s="1794"/>
      <c r="HW108" s="1789"/>
      <c r="HX108" s="1789"/>
      <c r="HY108" s="1793"/>
      <c r="HZ108" s="1788"/>
      <c r="IA108" s="1741"/>
      <c r="IB108" s="1790"/>
      <c r="IC108" s="1791"/>
      <c r="ID108" s="1741"/>
      <c r="IE108" s="1792"/>
      <c r="IF108" s="339"/>
      <c r="IG108" s="1788"/>
      <c r="IH108" s="1792"/>
      <c r="II108" s="1792"/>
      <c r="IJ108" s="339"/>
      <c r="IK108" s="1741"/>
      <c r="IL108" s="1789"/>
      <c r="IM108" s="1787"/>
      <c r="IN108" s="1793"/>
      <c r="IO108" s="1787"/>
      <c r="IP108" s="1790"/>
      <c r="IQ108" s="1788"/>
      <c r="IR108" s="1787"/>
      <c r="IS108" s="1787"/>
      <c r="IT108" s="1787"/>
      <c r="IU108" s="1787"/>
      <c r="IV108" s="1788"/>
      <c r="IW108" s="1788"/>
      <c r="IX108" s="1788"/>
      <c r="IY108" s="1789"/>
      <c r="IZ108" s="1789"/>
      <c r="JA108" s="1789"/>
      <c r="JB108" s="1793"/>
      <c r="JC108" s="1793"/>
      <c r="JD108" s="1741"/>
      <c r="JE108" s="1790"/>
      <c r="JF108" s="1788"/>
      <c r="JG108" s="1790"/>
      <c r="JH108" s="339"/>
      <c r="JI108" s="1791"/>
      <c r="JJ108" s="1787"/>
      <c r="JK108" s="1787"/>
      <c r="JL108" s="1787"/>
      <c r="JM108" s="1787"/>
      <c r="JN108" s="1741"/>
      <c r="JO108" s="1741"/>
      <c r="JP108" s="1741"/>
      <c r="JQ108" s="1789"/>
      <c r="JR108" s="1789"/>
      <c r="JS108" s="1790"/>
      <c r="JT108" s="339"/>
      <c r="JU108" s="1790"/>
      <c r="JV108" s="1790"/>
      <c r="JW108" s="1790"/>
      <c r="JX108" s="1789"/>
      <c r="JY108" s="1789"/>
      <c r="JZ108" s="1741"/>
      <c r="KA108" s="1787"/>
      <c r="KB108" s="1741"/>
      <c r="KC108" s="1790"/>
      <c r="KD108" s="1741"/>
      <c r="KE108" s="1793"/>
      <c r="KF108" s="339"/>
      <c r="KG108" s="1741"/>
      <c r="KH108" s="1792"/>
      <c r="KI108" s="1789"/>
      <c r="KJ108" s="1789"/>
      <c r="KK108" s="339"/>
      <c r="KL108" s="1741"/>
      <c r="KM108" s="1789"/>
      <c r="KN108" s="1793"/>
      <c r="KO108" s="1792"/>
      <c r="KP108" s="1791"/>
      <c r="KQ108" s="1791"/>
      <c r="KR108" s="1794"/>
      <c r="KS108" s="1793"/>
      <c r="KT108" s="1793"/>
      <c r="KU108" s="1793" t="s">
        <v>1486</v>
      </c>
      <c r="KV108" s="1789"/>
      <c r="KW108" s="1788"/>
      <c r="KX108" s="1787"/>
      <c r="KY108" s="339"/>
      <c r="KZ108" s="339"/>
      <c r="LA108" s="339"/>
      <c r="LB108" s="1793"/>
      <c r="LC108" s="1791"/>
      <c r="LD108" s="1787"/>
      <c r="LE108" s="1787"/>
      <c r="LF108" s="1791"/>
      <c r="LG108" s="1788"/>
      <c r="LH108" s="1789"/>
      <c r="LI108" s="1789"/>
      <c r="LJ108" s="1789"/>
      <c r="LK108" s="339"/>
      <c r="LL108" s="1788"/>
      <c r="LM108" s="1741"/>
      <c r="LN108" s="1794"/>
      <c r="LO108" s="1791"/>
      <c r="LP108" s="1741"/>
      <c r="LQ108" s="1741"/>
      <c r="LR108" s="1787"/>
      <c r="LS108" s="1787"/>
      <c r="LT108" s="1787"/>
      <c r="LU108" s="1787"/>
      <c r="LV108" s="1789"/>
      <c r="LW108" s="1789"/>
      <c r="LX108" s="1790"/>
      <c r="LY108" s="1794"/>
      <c r="LZ108" s="339"/>
      <c r="MA108" s="1788"/>
      <c r="MB108" s="1793"/>
      <c r="MC108" s="1789"/>
      <c r="MD108" s="1788"/>
      <c r="ME108" s="1788"/>
      <c r="MF108" s="1741"/>
      <c r="MG108" s="1794"/>
      <c r="MH108" s="1791"/>
      <c r="MI108" s="1787"/>
      <c r="MJ108" s="1793"/>
      <c r="MK108" s="1793"/>
      <c r="ML108" s="1741"/>
      <c r="MM108" s="1792"/>
      <c r="MN108" s="1790"/>
      <c r="MO108" s="1787"/>
      <c r="MP108" s="1794"/>
      <c r="MQ108" s="1794"/>
      <c r="MR108" s="1794"/>
      <c r="MS108" s="1794"/>
      <c r="MT108" s="1787"/>
      <c r="MU108" s="1789"/>
      <c r="MV108" s="1790"/>
      <c r="MW108" s="1789"/>
      <c r="MX108" s="1793"/>
      <c r="MY108" s="1793"/>
      <c r="MZ108" s="1789"/>
      <c r="NA108" s="1789"/>
      <c r="NB108" s="1789"/>
      <c r="NC108" s="1789"/>
      <c r="ND108" s="1789"/>
      <c r="NE108" s="1792"/>
      <c r="NF108" s="1793"/>
      <c r="NG108" s="1792"/>
      <c r="NH108" s="1789"/>
      <c r="NI108" s="1790"/>
      <c r="NJ108" s="1789"/>
      <c r="NK108" s="1789"/>
      <c r="NL108" s="1789"/>
      <c r="NM108" s="1789"/>
      <c r="NN108" s="1741"/>
      <c r="NO108" s="1789"/>
      <c r="NP108" s="1793"/>
      <c r="NQ108" s="1788"/>
      <c r="NR108" s="1789"/>
      <c r="NS108" s="1789"/>
      <c r="NT108" s="1788"/>
      <c r="NU108" s="1787"/>
      <c r="NV108" s="339"/>
      <c r="NW108" s="1788"/>
      <c r="NX108" s="1788"/>
      <c r="NY108" s="1788"/>
      <c r="NZ108" s="1788"/>
      <c r="OA108" s="1787"/>
      <c r="OB108" s="1787"/>
      <c r="OC108" s="1787"/>
      <c r="OD108" s="1741"/>
      <c r="OE108" s="1741"/>
      <c r="OF108" s="1741"/>
      <c r="OG108" s="1789"/>
      <c r="OH108" s="1789"/>
      <c r="OI108" s="1789"/>
      <c r="OJ108" s="1741"/>
      <c r="OK108" s="1741"/>
      <c r="OL108" s="1741"/>
      <c r="OM108" s="1741"/>
      <c r="ON108" s="1741"/>
      <c r="OO108" s="1788"/>
      <c r="OP108" s="1788"/>
      <c r="OQ108" s="1789"/>
      <c r="OR108" s="1789"/>
      <c r="OS108" s="1789"/>
      <c r="OT108" s="1787"/>
      <c r="OU108" s="1787"/>
      <c r="OV108" s="1789"/>
      <c r="OW108" s="1789"/>
      <c r="OX108" s="1793"/>
      <c r="OY108" s="1793"/>
      <c r="OZ108" s="1787"/>
      <c r="PA108" s="1787"/>
      <c r="PB108" s="339"/>
      <c r="PC108" s="1792"/>
      <c r="PD108" s="339"/>
      <c r="PE108" s="339"/>
      <c r="PF108" s="339"/>
      <c r="PG108" s="1790"/>
      <c r="PH108" s="1741"/>
      <c r="PI108" s="1741"/>
      <c r="PJ108" s="1792"/>
      <c r="PK108" s="1792"/>
      <c r="PL108" s="1791"/>
      <c r="PM108" s="1791"/>
      <c r="PN108" s="1791"/>
      <c r="PO108" s="1791"/>
      <c r="PP108" s="1791"/>
      <c r="PQ108" s="1741"/>
      <c r="PR108" s="1741"/>
      <c r="PS108" s="1791"/>
      <c r="PT108" s="1794"/>
      <c r="PU108" s="1793"/>
      <c r="PV108" s="1793"/>
      <c r="PW108" s="339"/>
      <c r="PX108" s="1791"/>
      <c r="PY108" s="1791"/>
      <c r="PZ108" s="1787"/>
      <c r="QA108" s="1787"/>
      <c r="QB108" s="1741"/>
      <c r="QC108" s="1792"/>
      <c r="QD108" s="1792"/>
      <c r="QE108" s="1794"/>
      <c r="QF108" s="1791"/>
      <c r="QG108" s="1789"/>
      <c r="QH108" s="1789"/>
      <c r="QI108" s="1789"/>
      <c r="QJ108" s="1794"/>
      <c r="QK108" s="1789"/>
      <c r="QL108" s="1789"/>
      <c r="QM108" s="1741"/>
      <c r="QN108" s="1741"/>
      <c r="QO108" s="1791"/>
      <c r="QP108" s="1791"/>
      <c r="QQ108" s="1789"/>
      <c r="QR108" s="1789"/>
      <c r="QS108" s="1787"/>
      <c r="QT108" s="1789"/>
      <c r="QU108" s="1789"/>
      <c r="QV108" s="1789"/>
      <c r="QW108" s="1790"/>
      <c r="QX108" s="1790"/>
      <c r="QY108" s="1794"/>
      <c r="QZ108" s="1793"/>
      <c r="RA108" s="1792"/>
      <c r="RB108" s="1793"/>
      <c r="RC108" s="1789"/>
      <c r="RD108" s="339"/>
      <c r="RE108" s="1788"/>
      <c r="RF108" s="1790"/>
      <c r="RG108" s="1787"/>
      <c r="RH108" s="1787"/>
      <c r="RI108" s="1789"/>
      <c r="RJ108" s="1791"/>
      <c r="RK108" s="1741"/>
      <c r="RL108" s="1788"/>
      <c r="RM108" s="1790"/>
      <c r="RN108" s="1793"/>
      <c r="RO108" s="1794"/>
      <c r="RP108" s="1790"/>
      <c r="RQ108" s="1788"/>
      <c r="RR108" s="1788"/>
      <c r="RS108" s="1788"/>
      <c r="RT108" s="1788"/>
      <c r="RU108" s="1788"/>
      <c r="RV108" s="1788"/>
      <c r="RW108" s="339"/>
      <c r="RX108" s="1792"/>
      <c r="RY108" s="1789"/>
      <c r="RZ108" s="1790"/>
      <c r="SA108" s="1791"/>
      <c r="SB108" s="1741"/>
      <c r="SC108" s="1790"/>
      <c r="SD108" s="1794"/>
      <c r="SE108" s="1794"/>
      <c r="SF108" s="339"/>
      <c r="SG108" s="1789"/>
      <c r="SH108" s="1789"/>
      <c r="SI108" s="1794"/>
      <c r="SJ108" s="1787"/>
      <c r="SK108" s="1787"/>
      <c r="SL108" s="1793" t="s">
        <v>2613</v>
      </c>
    </row>
    <row r="109" ht="15.75" customHeight="1">
      <c r="A109" s="1517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  <c r="BI109" s="148"/>
      <c r="BJ109" s="148"/>
      <c r="BK109" s="148"/>
      <c r="BL109" s="148"/>
      <c r="BM109" s="148"/>
      <c r="BN109" s="148"/>
      <c r="BO109" s="148"/>
      <c r="BP109" s="148"/>
      <c r="BQ109" s="148"/>
      <c r="BR109" s="148"/>
      <c r="BS109" s="148"/>
      <c r="BT109" s="148"/>
      <c r="BU109" s="148"/>
      <c r="BV109" s="148"/>
      <c r="BW109" s="148"/>
      <c r="BX109" s="148"/>
      <c r="BY109" s="148"/>
      <c r="BZ109" s="148"/>
      <c r="CA109" s="148"/>
      <c r="CB109" s="148"/>
      <c r="CC109" s="148"/>
      <c r="CD109" s="148"/>
      <c r="CE109" s="148"/>
      <c r="CF109" s="148"/>
      <c r="CG109" s="148"/>
      <c r="CH109" s="148"/>
      <c r="CI109" s="148"/>
      <c r="CJ109" s="148"/>
      <c r="CK109" s="148"/>
      <c r="CL109" s="148"/>
      <c r="CM109" s="148"/>
      <c r="CN109" s="148"/>
      <c r="CO109" s="148"/>
      <c r="CP109" s="148"/>
      <c r="CQ109" s="148"/>
      <c r="CR109" s="148"/>
      <c r="CS109" s="148"/>
      <c r="CT109" s="148"/>
      <c r="CU109" s="148"/>
      <c r="CV109" s="148"/>
      <c r="CW109" s="148"/>
      <c r="CX109" s="148"/>
      <c r="CY109" s="148"/>
      <c r="CZ109" s="148"/>
      <c r="DA109" s="148"/>
      <c r="DB109" s="148"/>
      <c r="DC109" s="148"/>
      <c r="DD109" s="148"/>
      <c r="DE109" s="148"/>
      <c r="DF109" s="148"/>
      <c r="DG109" s="148"/>
      <c r="DH109" s="148"/>
      <c r="DI109" s="148"/>
      <c r="DJ109" s="148"/>
      <c r="DK109" s="148"/>
      <c r="DL109" s="148"/>
      <c r="DM109" s="148"/>
      <c r="DN109" s="148"/>
      <c r="DO109" s="148"/>
      <c r="DP109" s="148"/>
      <c r="DQ109" s="148"/>
      <c r="DR109" s="148"/>
      <c r="DS109" s="148"/>
      <c r="DT109" s="148"/>
      <c r="DU109" s="148"/>
      <c r="DV109" s="148"/>
      <c r="DW109" s="148"/>
      <c r="DX109" s="148"/>
      <c r="DY109" s="148"/>
      <c r="DZ109" s="148"/>
      <c r="EA109" s="148"/>
      <c r="EB109" s="148"/>
      <c r="EC109" s="148"/>
      <c r="ED109" s="148"/>
      <c r="EE109" s="148"/>
      <c r="EF109" s="148"/>
      <c r="EG109" s="148"/>
      <c r="EH109" s="148"/>
      <c r="EI109" s="148"/>
      <c r="EJ109" s="148"/>
      <c r="EK109" s="148"/>
      <c r="EL109" s="148"/>
      <c r="EM109" s="148"/>
      <c r="EN109" s="148"/>
      <c r="EO109" s="148"/>
      <c r="EP109" s="148"/>
      <c r="EQ109" s="148"/>
      <c r="ER109" s="148"/>
      <c r="ES109" s="148"/>
      <c r="ET109" s="253" t="s">
        <v>2112</v>
      </c>
      <c r="EU109" s="148"/>
      <c r="EV109" s="148"/>
      <c r="EW109" s="148"/>
      <c r="EX109" s="148"/>
      <c r="EY109" s="148"/>
      <c r="EZ109" s="148"/>
      <c r="FA109" s="148"/>
      <c r="FB109" s="148"/>
      <c r="FC109" s="148"/>
      <c r="FD109" s="148"/>
      <c r="FE109" s="148"/>
      <c r="FF109" s="148"/>
      <c r="FG109" s="148"/>
      <c r="FH109" s="148"/>
      <c r="FI109" s="148"/>
      <c r="FJ109" s="148"/>
      <c r="FK109" s="148"/>
      <c r="FL109" s="148"/>
      <c r="FM109" s="148"/>
      <c r="FN109" s="148"/>
      <c r="FO109" s="148"/>
      <c r="FP109" s="148"/>
      <c r="FQ109" s="148"/>
      <c r="FR109" s="148"/>
      <c r="FS109" s="148"/>
      <c r="FT109" s="148"/>
      <c r="FU109" s="148"/>
      <c r="FV109" s="148"/>
      <c r="FW109" s="148"/>
      <c r="FX109" s="148"/>
      <c r="FY109" s="148"/>
      <c r="FZ109" s="148"/>
      <c r="GA109" s="148"/>
      <c r="GB109" s="148"/>
      <c r="GC109" s="148"/>
      <c r="GD109" s="148"/>
      <c r="GE109" s="148"/>
      <c r="GF109" s="148"/>
      <c r="GG109" s="148"/>
      <c r="GH109" s="148"/>
      <c r="GI109" s="148"/>
      <c r="GJ109" s="148"/>
      <c r="GK109" s="148"/>
      <c r="GL109" s="148"/>
      <c r="GM109" s="148"/>
      <c r="GN109" s="148"/>
      <c r="GO109" s="148"/>
      <c r="GP109" s="148"/>
      <c r="GQ109" s="148"/>
      <c r="GR109" s="148"/>
      <c r="GS109" s="148"/>
      <c r="GT109" s="148"/>
      <c r="GU109" s="148"/>
      <c r="GV109" s="148"/>
      <c r="GW109" s="148"/>
      <c r="GX109" s="148"/>
      <c r="GY109" s="148"/>
      <c r="GZ109" s="148"/>
      <c r="HA109" s="148"/>
      <c r="HB109" s="148"/>
      <c r="HC109" s="148"/>
      <c r="HD109" s="148"/>
      <c r="HE109" s="148"/>
      <c r="HF109" s="148"/>
      <c r="HG109" s="148"/>
      <c r="HH109" s="148"/>
      <c r="HI109" s="148"/>
      <c r="HJ109" s="148"/>
      <c r="HK109" s="148"/>
      <c r="HL109" s="148"/>
      <c r="HM109" s="148"/>
      <c r="HN109" s="148"/>
      <c r="HO109" s="148"/>
      <c r="HP109" s="148"/>
      <c r="HQ109" s="148"/>
      <c r="HR109" s="148"/>
      <c r="HS109" s="148"/>
      <c r="HT109" s="148"/>
      <c r="HU109" s="148"/>
      <c r="HV109" s="148"/>
      <c r="HW109" s="148"/>
      <c r="HX109" s="148"/>
      <c r="HY109" s="148"/>
      <c r="HZ109" s="148"/>
      <c r="IA109" s="148"/>
      <c r="IB109" s="148"/>
      <c r="IC109" s="148"/>
      <c r="ID109" s="148"/>
      <c r="IE109" s="148"/>
      <c r="IF109" s="148"/>
      <c r="IG109" s="148"/>
      <c r="IH109" s="148"/>
      <c r="II109" s="148"/>
      <c r="IJ109" s="148"/>
      <c r="IK109" s="148"/>
      <c r="IL109" s="148"/>
      <c r="IM109" s="148"/>
      <c r="IN109" s="148"/>
      <c r="IO109" s="148"/>
      <c r="IP109" s="148"/>
      <c r="IQ109" s="148"/>
      <c r="IR109" s="148"/>
      <c r="IS109" s="148"/>
      <c r="IT109" s="148"/>
      <c r="IU109" s="148"/>
      <c r="IV109" s="148"/>
      <c r="IW109" s="148"/>
      <c r="IX109" s="148"/>
      <c r="IY109" s="148"/>
      <c r="IZ109" s="148"/>
      <c r="JA109" s="148"/>
      <c r="JB109" s="148"/>
      <c r="JC109" s="148"/>
      <c r="JD109" s="148"/>
      <c r="JE109" s="148"/>
      <c r="JF109" s="148"/>
      <c r="JG109" s="148"/>
      <c r="JH109" s="148"/>
      <c r="JI109" s="148"/>
      <c r="JJ109" s="148"/>
      <c r="JK109" s="148"/>
      <c r="JL109" s="148"/>
      <c r="JM109" s="148"/>
      <c r="JN109" s="148"/>
      <c r="JO109" s="148"/>
      <c r="JP109" s="148"/>
      <c r="JQ109" s="148"/>
      <c r="JR109" s="148"/>
      <c r="JS109" s="148"/>
      <c r="JT109" s="148"/>
      <c r="JU109" s="148"/>
      <c r="JV109" s="148"/>
      <c r="JW109" s="148"/>
      <c r="JX109" s="148"/>
      <c r="JY109" s="148"/>
      <c r="JZ109" s="148"/>
      <c r="KA109" s="148"/>
      <c r="KB109" s="148"/>
      <c r="KC109" s="148"/>
      <c r="KD109" s="148"/>
      <c r="KE109" s="148"/>
      <c r="KF109" s="148"/>
      <c r="KG109" s="148"/>
      <c r="KH109" s="148"/>
      <c r="KI109" s="148"/>
      <c r="KJ109" s="148"/>
      <c r="KK109" s="148"/>
      <c r="KL109" s="148"/>
      <c r="KM109" s="148"/>
      <c r="KN109" s="148"/>
      <c r="KO109" s="148"/>
      <c r="KP109" s="148"/>
      <c r="KQ109" s="148"/>
      <c r="KR109" s="148"/>
      <c r="KS109" s="148"/>
      <c r="KT109" s="148"/>
      <c r="KU109" s="148" t="s">
        <v>1745</v>
      </c>
      <c r="KV109" s="148"/>
      <c r="KW109" s="148"/>
      <c r="KX109" s="148"/>
      <c r="KY109" s="148"/>
      <c r="KZ109" s="148"/>
      <c r="LA109" s="148"/>
      <c r="LB109" s="148"/>
      <c r="LC109" s="148"/>
      <c r="LD109" s="148"/>
      <c r="LE109" s="148"/>
      <c r="LF109" s="148"/>
      <c r="LG109" s="148"/>
      <c r="LH109" s="148"/>
      <c r="LI109" s="148"/>
      <c r="LJ109" s="148"/>
      <c r="LK109" s="148"/>
      <c r="LL109" s="148"/>
      <c r="LM109" s="148"/>
      <c r="LN109" s="148"/>
      <c r="LO109" s="148"/>
      <c r="LP109" s="148"/>
      <c r="LQ109" s="148"/>
      <c r="LR109" s="148"/>
      <c r="LS109" s="148"/>
      <c r="LT109" s="148"/>
      <c r="LU109" s="148"/>
      <c r="LV109" s="148"/>
      <c r="LW109" s="148"/>
      <c r="LX109" s="148"/>
      <c r="LY109" s="148"/>
      <c r="LZ109" s="148"/>
      <c r="MA109" s="148"/>
      <c r="MB109" s="148"/>
      <c r="MC109" s="148"/>
      <c r="MD109" s="148"/>
      <c r="ME109" s="148"/>
      <c r="MF109" s="148"/>
      <c r="MG109" s="148"/>
      <c r="MH109" s="148"/>
      <c r="MI109" s="148"/>
      <c r="MJ109" s="148"/>
      <c r="MK109" s="148"/>
      <c r="ML109" s="148"/>
      <c r="MM109" s="148"/>
      <c r="MN109" s="148"/>
      <c r="MO109" s="148"/>
      <c r="MP109" s="148"/>
      <c r="MQ109" s="148"/>
      <c r="MR109" s="148"/>
      <c r="MS109" s="148"/>
      <c r="MT109" s="148"/>
      <c r="MU109" s="148"/>
      <c r="MV109" s="148"/>
      <c r="MW109" s="148"/>
      <c r="MX109" s="148"/>
      <c r="MY109" s="148"/>
      <c r="MZ109" s="148"/>
      <c r="NA109" s="148"/>
      <c r="NB109" s="148"/>
      <c r="NC109" s="148"/>
      <c r="ND109" s="148"/>
      <c r="NE109" s="148"/>
      <c r="NF109" s="148"/>
      <c r="NG109" s="148"/>
      <c r="NH109" s="148"/>
      <c r="NI109" s="148"/>
      <c r="NJ109" s="148"/>
      <c r="NK109" s="148"/>
      <c r="NL109" s="148"/>
      <c r="NM109" s="148"/>
      <c r="NN109" s="148"/>
      <c r="NO109" s="148"/>
      <c r="NP109" s="148"/>
      <c r="NQ109" s="148"/>
      <c r="NR109" s="148"/>
      <c r="NS109" s="148"/>
      <c r="NT109" s="148"/>
      <c r="NU109" s="148"/>
      <c r="NV109" s="148"/>
      <c r="NW109" s="148"/>
      <c r="NX109" s="148"/>
      <c r="NY109" s="148"/>
      <c r="NZ109" s="148"/>
      <c r="OA109" s="148"/>
      <c r="OB109" s="148"/>
      <c r="OC109" s="148"/>
      <c r="OD109" s="148"/>
      <c r="OE109" s="148"/>
      <c r="OF109" s="148"/>
      <c r="OG109" s="148"/>
      <c r="OH109" s="148"/>
      <c r="OI109" s="148"/>
      <c r="OJ109" s="148"/>
      <c r="OK109" s="148"/>
      <c r="OL109" s="148"/>
      <c r="OM109" s="148"/>
      <c r="ON109" s="148"/>
      <c r="OO109" s="148"/>
      <c r="OP109" s="148"/>
      <c r="OQ109" s="148"/>
      <c r="OR109" s="148"/>
      <c r="OS109" s="148"/>
      <c r="OT109" s="148"/>
      <c r="OU109" s="148"/>
      <c r="OV109" s="148"/>
      <c r="OW109" s="148"/>
      <c r="OX109" s="148"/>
      <c r="OY109" s="148"/>
      <c r="OZ109" s="148"/>
      <c r="PA109" s="148"/>
      <c r="PB109" s="148"/>
      <c r="PC109" s="148"/>
      <c r="PD109" s="148"/>
      <c r="PE109" s="148"/>
      <c r="PF109" s="148"/>
      <c r="PG109" s="148"/>
      <c r="PH109" s="148"/>
      <c r="PI109" s="148"/>
      <c r="PJ109" s="148"/>
      <c r="PK109" s="148"/>
      <c r="PL109" s="148"/>
      <c r="PM109" s="148"/>
      <c r="PN109" s="148"/>
      <c r="PO109" s="148"/>
      <c r="PP109" s="148"/>
      <c r="PQ109" s="148"/>
      <c r="PR109" s="148"/>
      <c r="PS109" s="148"/>
      <c r="PT109" s="148"/>
      <c r="PU109" s="148"/>
      <c r="PV109" s="148"/>
      <c r="PW109" s="148"/>
      <c r="PX109" s="148"/>
      <c r="PY109" s="148"/>
      <c r="PZ109" s="148"/>
      <c r="QA109" s="148"/>
      <c r="QB109" s="148"/>
      <c r="QC109" s="148"/>
      <c r="QD109" s="148"/>
      <c r="QE109" s="148"/>
      <c r="QF109" s="148"/>
      <c r="QG109" s="148"/>
      <c r="QH109" s="148"/>
      <c r="QI109" s="148"/>
      <c r="QJ109" s="148"/>
      <c r="QK109" s="148"/>
      <c r="QL109" s="148"/>
      <c r="QM109" s="148"/>
      <c r="QN109" s="148"/>
      <c r="QO109" s="148"/>
      <c r="QP109" s="148"/>
      <c r="QQ109" s="148"/>
      <c r="QR109" s="148"/>
      <c r="QS109" s="148"/>
      <c r="QT109" s="148"/>
      <c r="QU109" s="148"/>
      <c r="QV109" s="148"/>
      <c r="QW109" s="148"/>
      <c r="QX109" s="148"/>
      <c r="QY109" s="148"/>
      <c r="QZ109" s="148"/>
      <c r="RA109" s="148"/>
      <c r="RB109" s="148"/>
      <c r="RC109" s="148"/>
      <c r="RD109" s="148"/>
      <c r="RE109" s="148"/>
      <c r="RF109" s="148"/>
      <c r="RG109" s="148"/>
      <c r="RH109" s="148"/>
      <c r="RI109" s="148"/>
      <c r="RJ109" s="148"/>
      <c r="RK109" s="148"/>
      <c r="RL109" s="148"/>
      <c r="RM109" s="148"/>
      <c r="RN109" s="148"/>
      <c r="RO109" s="148"/>
      <c r="RP109" s="148"/>
      <c r="RQ109" s="148"/>
      <c r="RR109" s="148"/>
      <c r="RS109" s="148"/>
      <c r="RT109" s="148"/>
      <c r="RU109" s="148"/>
      <c r="RV109" s="148"/>
      <c r="RW109" s="148"/>
      <c r="RX109" s="148"/>
      <c r="RY109" s="148"/>
      <c r="RZ109" s="148"/>
      <c r="SA109" s="148"/>
      <c r="SB109" s="148"/>
      <c r="SC109" s="148"/>
      <c r="SD109" s="148"/>
      <c r="SE109" s="148"/>
      <c r="SF109" s="148"/>
      <c r="SG109" s="148"/>
      <c r="SH109" s="148"/>
      <c r="SI109" s="148"/>
      <c r="SJ109" s="148"/>
      <c r="SK109" s="148"/>
      <c r="SL109" s="276" t="s">
        <v>9804</v>
      </c>
    </row>
    <row r="110" ht="15.75" customHeight="1">
      <c r="A110" s="1517"/>
      <c r="B110" s="1786"/>
      <c r="C110" s="1787"/>
      <c r="D110" s="1787"/>
      <c r="E110" s="1788"/>
      <c r="F110" s="1788"/>
      <c r="G110" s="1788"/>
      <c r="H110" s="1789"/>
      <c r="I110" s="1789"/>
      <c r="J110" s="1789"/>
      <c r="K110" s="1787"/>
      <c r="L110" s="1787"/>
      <c r="M110" s="1790"/>
      <c r="N110" s="1741"/>
      <c r="O110" s="339"/>
      <c r="P110" s="339"/>
      <c r="Q110" s="1741"/>
      <c r="R110" s="1741"/>
      <c r="S110" s="1741"/>
      <c r="T110" s="1791"/>
      <c r="U110" s="1741"/>
      <c r="V110" s="1741"/>
      <c r="W110" s="1741"/>
      <c r="X110" s="1791"/>
      <c r="Y110" s="1791"/>
      <c r="Z110" s="339"/>
      <c r="AA110" s="339"/>
      <c r="AB110" s="339"/>
      <c r="AC110" s="339"/>
      <c r="AD110" s="1789"/>
      <c r="AE110" s="1789"/>
      <c r="AF110" s="1789"/>
      <c r="AG110" s="1791"/>
      <c r="AH110" s="1791"/>
      <c r="AI110" s="1791"/>
      <c r="AJ110" s="1792"/>
      <c r="AK110" s="1792"/>
      <c r="AL110" s="1741"/>
      <c r="AM110" s="339"/>
      <c r="AN110" s="1792"/>
      <c r="AO110" s="1792"/>
      <c r="AP110" s="1791"/>
      <c r="AQ110" s="1791"/>
      <c r="AR110" s="1789"/>
      <c r="AS110" s="1789"/>
      <c r="AT110" s="1788"/>
      <c r="AU110" s="1788"/>
      <c r="AV110" s="1788"/>
      <c r="AW110" s="1791"/>
      <c r="AX110" s="1791"/>
      <c r="AY110" s="1741"/>
      <c r="AZ110" s="1741"/>
      <c r="BA110" s="339"/>
      <c r="BB110" s="339"/>
      <c r="BC110" s="339"/>
      <c r="BD110" s="1789"/>
      <c r="BE110" s="1741"/>
      <c r="BF110" s="1741"/>
      <c r="BG110" s="1741"/>
      <c r="BH110" s="1741"/>
      <c r="BI110" s="1789"/>
      <c r="BJ110" s="1789"/>
      <c r="BK110" s="1789"/>
      <c r="BL110" s="1741"/>
      <c r="BM110" s="1741"/>
      <c r="BN110" s="1741"/>
      <c r="BO110" s="1793"/>
      <c r="BP110" s="1793"/>
      <c r="BQ110" s="1793"/>
      <c r="BR110" s="1787"/>
      <c r="BS110" s="1787"/>
      <c r="BT110" s="1787"/>
      <c r="BU110" s="1789"/>
      <c r="BV110" s="1789"/>
      <c r="BW110" s="1741"/>
      <c r="BX110" s="1741"/>
      <c r="BY110" s="1741"/>
      <c r="BZ110" s="339"/>
      <c r="CA110" s="339"/>
      <c r="CB110" s="1792"/>
      <c r="CC110" s="1792"/>
      <c r="CD110" s="1793"/>
      <c r="CE110" s="1793"/>
      <c r="CF110" s="1741"/>
      <c r="CG110" s="1741"/>
      <c r="CH110" s="1741"/>
      <c r="CI110" s="1790"/>
      <c r="CJ110" s="1790"/>
      <c r="CK110" s="1791"/>
      <c r="CL110" s="1791"/>
      <c r="CM110" s="1791"/>
      <c r="CN110" s="1791"/>
      <c r="CO110" s="1791"/>
      <c r="CP110" s="1791"/>
      <c r="CQ110" s="1791"/>
      <c r="CR110" s="1793"/>
      <c r="CS110" s="339"/>
      <c r="CT110" s="339"/>
      <c r="CU110" s="1788"/>
      <c r="CV110" s="1788"/>
      <c r="CW110" s="1788"/>
      <c r="CX110" s="1788"/>
      <c r="CY110" s="1792"/>
      <c r="CZ110" s="339"/>
      <c r="DA110" s="1741"/>
      <c r="DB110" s="1741"/>
      <c r="DC110" s="1741"/>
      <c r="DD110" s="1741"/>
      <c r="DE110" s="1792"/>
      <c r="DF110" s="1791"/>
      <c r="DG110" s="1791"/>
      <c r="DH110" s="1793"/>
      <c r="DI110" s="1793"/>
      <c r="DJ110" s="1792"/>
      <c r="DK110" s="1789"/>
      <c r="DL110" s="1741"/>
      <c r="DM110" s="1789"/>
      <c r="DN110" s="1789"/>
      <c r="DO110" s="1788"/>
      <c r="DP110" s="1788"/>
      <c r="DQ110" s="1741"/>
      <c r="DR110" s="1791"/>
      <c r="DS110" s="1792"/>
      <c r="DT110" s="1787"/>
      <c r="DU110" s="1788"/>
      <c r="DV110" s="339"/>
      <c r="DW110" s="1788"/>
      <c r="DX110" s="1741"/>
      <c r="DY110" s="1741"/>
      <c r="DZ110" s="1788"/>
      <c r="EA110" s="1789"/>
      <c r="EB110" s="1789"/>
      <c r="EC110" s="1791"/>
      <c r="ED110" s="1741"/>
      <c r="EE110" s="1789"/>
      <c r="EF110" s="339"/>
      <c r="EG110" s="1788"/>
      <c r="EH110" s="1792"/>
      <c r="EI110" s="1789"/>
      <c r="EJ110" s="1789"/>
      <c r="EK110" s="1741"/>
      <c r="EL110" s="1741"/>
      <c r="EM110" s="1791"/>
      <c r="EN110" s="1794"/>
      <c r="EO110" s="1789"/>
      <c r="EP110" s="339"/>
      <c r="EQ110" s="339"/>
      <c r="ER110" s="1789"/>
      <c r="ES110" s="1789"/>
      <c r="ET110" s="1741"/>
      <c r="EU110" s="1791"/>
      <c r="EV110" s="1792"/>
      <c r="EW110" s="1787"/>
      <c r="EX110" s="1787"/>
      <c r="EY110" s="1787"/>
      <c r="EZ110" s="339"/>
      <c r="FA110" s="339"/>
      <c r="FB110" s="339"/>
      <c r="FC110" s="1789"/>
      <c r="FD110" s="1789"/>
      <c r="FE110" s="1789"/>
      <c r="FF110" s="1741"/>
      <c r="FG110" s="1741"/>
      <c r="FH110" s="1741"/>
      <c r="FI110" s="1741"/>
      <c r="FJ110" s="1788"/>
      <c r="FK110" s="1788"/>
      <c r="FL110" s="1787"/>
      <c r="FM110" s="1788"/>
      <c r="FN110" s="1791"/>
      <c r="FO110" s="1789"/>
      <c r="FP110" s="1789"/>
      <c r="FQ110" s="339"/>
      <c r="FR110" s="1792"/>
      <c r="FS110" s="1792"/>
      <c r="FT110" s="1790"/>
      <c r="FU110" s="1790"/>
      <c r="FV110" s="1787"/>
      <c r="FW110" s="1787"/>
      <c r="FX110" s="1790"/>
      <c r="FY110" s="1792"/>
      <c r="FZ110" s="339"/>
      <c r="GA110" s="1787"/>
      <c r="GB110" s="1789"/>
      <c r="GC110" s="1789"/>
      <c r="GD110" s="1741"/>
      <c r="GE110" s="1787"/>
      <c r="GF110" s="1792"/>
      <c r="GG110" s="1787"/>
      <c r="GH110" s="1789"/>
      <c r="GI110" s="1791"/>
      <c r="GJ110" s="339"/>
      <c r="GK110" s="339"/>
      <c r="GL110" s="1788"/>
      <c r="GM110" s="1789"/>
      <c r="GN110" s="1789"/>
      <c r="GO110" s="1791"/>
      <c r="GP110" s="1794"/>
      <c r="GQ110" s="1794"/>
      <c r="GR110" s="1792"/>
      <c r="GS110" s="1793"/>
      <c r="GT110" s="1794"/>
      <c r="GU110" s="1789"/>
      <c r="GV110" s="339"/>
      <c r="GW110" s="1793"/>
      <c r="GX110" s="1791"/>
      <c r="GY110" s="339"/>
      <c r="GZ110" s="1791"/>
      <c r="HA110" s="1793"/>
      <c r="HB110" s="1792"/>
      <c r="HC110" s="1791"/>
      <c r="HD110" s="1793"/>
      <c r="HE110" s="1788"/>
      <c r="HF110" s="339"/>
      <c r="HG110" s="1789"/>
      <c r="HH110" s="1794"/>
      <c r="HI110" s="1741"/>
      <c r="HJ110" s="1741"/>
      <c r="HK110" s="1788"/>
      <c r="HL110" s="1788"/>
      <c r="HM110" s="1741"/>
      <c r="HN110" s="1741"/>
      <c r="HO110" s="1792"/>
      <c r="HP110" s="1793"/>
      <c r="HQ110" s="1788"/>
      <c r="HR110" s="1788"/>
      <c r="HS110" s="1791"/>
      <c r="HT110" s="1793"/>
      <c r="HU110" s="1794"/>
      <c r="HV110" s="1794"/>
      <c r="HW110" s="1789"/>
      <c r="HX110" s="1789"/>
      <c r="HY110" s="1793"/>
      <c r="HZ110" s="1788"/>
      <c r="IA110" s="1741"/>
      <c r="IB110" s="1790"/>
      <c r="IC110" s="1791"/>
      <c r="ID110" s="1741"/>
      <c r="IE110" s="1792"/>
      <c r="IF110" s="339"/>
      <c r="IG110" s="1788"/>
      <c r="IH110" s="1792"/>
      <c r="II110" s="1792"/>
      <c r="IJ110" s="339"/>
      <c r="IK110" s="1741"/>
      <c r="IL110" s="1789"/>
      <c r="IM110" s="1787"/>
      <c r="IN110" s="1793"/>
      <c r="IO110" s="1787"/>
      <c r="IP110" s="1790"/>
      <c r="IQ110" s="1788"/>
      <c r="IR110" s="1787"/>
      <c r="IS110" s="1787"/>
      <c r="IT110" s="1787"/>
      <c r="IU110" s="1787"/>
      <c r="IV110" s="1788"/>
      <c r="IW110" s="1788"/>
      <c r="IX110" s="1788"/>
      <c r="IY110" s="1789"/>
      <c r="IZ110" s="1789"/>
      <c r="JA110" s="1789"/>
      <c r="JB110" s="1793"/>
      <c r="JC110" s="1793"/>
      <c r="JD110" s="1741"/>
      <c r="JE110" s="1790"/>
      <c r="JF110" s="1788"/>
      <c r="JG110" s="1790"/>
      <c r="JH110" s="339"/>
      <c r="JI110" s="1791"/>
      <c r="JJ110" s="1787"/>
      <c r="JK110" s="1787"/>
      <c r="JL110" s="1787"/>
      <c r="JM110" s="1787"/>
      <c r="JN110" s="1741"/>
      <c r="JO110" s="1741"/>
      <c r="JP110" s="1741"/>
      <c r="JQ110" s="1789"/>
      <c r="JR110" s="1789"/>
      <c r="JS110" s="1790"/>
      <c r="JT110" s="339"/>
      <c r="JU110" s="1790"/>
      <c r="JV110" s="1790"/>
      <c r="JW110" s="1790"/>
      <c r="JX110" s="1789"/>
      <c r="JY110" s="1789"/>
      <c r="JZ110" s="1741"/>
      <c r="KA110" s="1787"/>
      <c r="KB110" s="1741"/>
      <c r="KC110" s="1790"/>
      <c r="KD110" s="1741"/>
      <c r="KE110" s="1793"/>
      <c r="KF110" s="339"/>
      <c r="KG110" s="1741"/>
      <c r="KH110" s="1792"/>
      <c r="KI110" s="1789"/>
      <c r="KJ110" s="1789"/>
      <c r="KK110" s="339"/>
      <c r="KL110" s="1741"/>
      <c r="KM110" s="1789"/>
      <c r="KN110" s="1793"/>
      <c r="KO110" s="1792"/>
      <c r="KP110" s="1791"/>
      <c r="KQ110" s="1791"/>
      <c r="KR110" s="1794"/>
      <c r="KS110" s="1793"/>
      <c r="KT110" s="1793"/>
      <c r="KU110" s="1793"/>
      <c r="KV110" s="1789"/>
      <c r="KW110" s="1788"/>
      <c r="KX110" s="1787"/>
      <c r="KY110" s="339"/>
      <c r="KZ110" s="339"/>
      <c r="LA110" s="339"/>
      <c r="LB110" s="1793"/>
      <c r="LC110" s="1791"/>
      <c r="LD110" s="1787"/>
      <c r="LE110" s="1787"/>
      <c r="LF110" s="1791"/>
      <c r="LG110" s="1788"/>
      <c r="LH110" s="1789"/>
      <c r="LI110" s="1789"/>
      <c r="LJ110" s="1789"/>
      <c r="LK110" s="339"/>
      <c r="LL110" s="1788"/>
      <c r="LM110" s="1741"/>
      <c r="LN110" s="1794"/>
      <c r="LO110" s="1791"/>
      <c r="LP110" s="1741"/>
      <c r="LQ110" s="1741"/>
      <c r="LR110" s="1787"/>
      <c r="LS110" s="1787"/>
      <c r="LT110" s="1787"/>
      <c r="LU110" s="1787"/>
      <c r="LV110" s="1789"/>
      <c r="LW110" s="1789"/>
      <c r="LX110" s="1790"/>
      <c r="LY110" s="1794"/>
      <c r="LZ110" s="339"/>
      <c r="MA110" s="1788"/>
      <c r="MB110" s="1793"/>
      <c r="MC110" s="1789"/>
      <c r="MD110" s="1788"/>
      <c r="ME110" s="1788"/>
      <c r="MF110" s="1741"/>
      <c r="MG110" s="1794"/>
      <c r="MH110" s="1791"/>
      <c r="MI110" s="1787"/>
      <c r="MJ110" s="1793"/>
      <c r="MK110" s="1793"/>
      <c r="ML110" s="1741"/>
      <c r="MM110" s="1792"/>
      <c r="MN110" s="1790"/>
      <c r="MO110" s="1787"/>
      <c r="MP110" s="1794"/>
      <c r="MQ110" s="1794"/>
      <c r="MR110" s="1794"/>
      <c r="MS110" s="1794"/>
      <c r="MT110" s="1787"/>
      <c r="MU110" s="1789"/>
      <c r="MV110" s="1790"/>
      <c r="MW110" s="1789"/>
      <c r="MX110" s="1793"/>
      <c r="MY110" s="1793"/>
      <c r="MZ110" s="1789"/>
      <c r="NA110" s="1789"/>
      <c r="NB110" s="1789"/>
      <c r="NC110" s="1789"/>
      <c r="ND110" s="1789"/>
      <c r="NE110" s="1792"/>
      <c r="NF110" s="1793"/>
      <c r="NG110" s="1792"/>
      <c r="NH110" s="1789"/>
      <c r="NI110" s="1790"/>
      <c r="NJ110" s="1789"/>
      <c r="NK110" s="1789"/>
      <c r="NL110" s="1789"/>
      <c r="NM110" s="1789"/>
      <c r="NN110" s="1741"/>
      <c r="NO110" s="1789"/>
      <c r="NP110" s="1793"/>
      <c r="NQ110" s="1788"/>
      <c r="NR110" s="1789"/>
      <c r="NS110" s="1789"/>
      <c r="NT110" s="1788"/>
      <c r="NU110" s="1787"/>
      <c r="NV110" s="339"/>
      <c r="NW110" s="1788"/>
      <c r="NX110" s="1788"/>
      <c r="NY110" s="1788"/>
      <c r="NZ110" s="1788"/>
      <c r="OA110" s="1787"/>
      <c r="OB110" s="1787"/>
      <c r="OC110" s="1787"/>
      <c r="OD110" s="1741"/>
      <c r="OE110" s="1741"/>
      <c r="OF110" s="1741"/>
      <c r="OG110" s="1789"/>
      <c r="OH110" s="1789"/>
      <c r="OI110" s="1789"/>
      <c r="OJ110" s="1741"/>
      <c r="OK110" s="1741"/>
      <c r="OL110" s="1741"/>
      <c r="OM110" s="1741"/>
      <c r="ON110" s="1741"/>
      <c r="OO110" s="1788"/>
      <c r="OP110" s="1788"/>
      <c r="OQ110" s="1789"/>
      <c r="OR110" s="1789"/>
      <c r="OS110" s="1789"/>
      <c r="OT110" s="1787"/>
      <c r="OU110" s="1787"/>
      <c r="OV110" s="1789"/>
      <c r="OW110" s="1789"/>
      <c r="OX110" s="1793"/>
      <c r="OY110" s="1793"/>
      <c r="OZ110" s="1787"/>
      <c r="PA110" s="1787"/>
      <c r="PB110" s="339"/>
      <c r="PC110" s="1792"/>
      <c r="PD110" s="339"/>
      <c r="PE110" s="339"/>
      <c r="PF110" s="339"/>
      <c r="PG110" s="1790"/>
      <c r="PH110" s="1741"/>
      <c r="PI110" s="1741"/>
      <c r="PJ110" s="1792"/>
      <c r="PK110" s="1792"/>
      <c r="PL110" s="1791"/>
      <c r="PM110" s="1791"/>
      <c r="PN110" s="1791"/>
      <c r="PO110" s="1791"/>
      <c r="PP110" s="1791"/>
      <c r="PQ110" s="1741"/>
      <c r="PR110" s="1741"/>
      <c r="PS110" s="1791"/>
      <c r="PT110" s="1794"/>
      <c r="PU110" s="1793"/>
      <c r="PV110" s="1793"/>
      <c r="PW110" s="339"/>
      <c r="PX110" s="1791"/>
      <c r="PY110" s="1791"/>
      <c r="PZ110" s="1787"/>
      <c r="QA110" s="1787"/>
      <c r="QB110" s="1741"/>
      <c r="QC110" s="1792"/>
      <c r="QD110" s="1792"/>
      <c r="QE110" s="1794"/>
      <c r="QF110" s="1791"/>
      <c r="QG110" s="1789"/>
      <c r="QH110" s="1789"/>
      <c r="QI110" s="1789"/>
      <c r="QJ110" s="1794"/>
      <c r="QK110" s="1789"/>
      <c r="QL110" s="1789"/>
      <c r="QM110" s="1741"/>
      <c r="QN110" s="1741"/>
      <c r="QO110" s="1791"/>
      <c r="QP110" s="1791"/>
      <c r="QQ110" s="1789"/>
      <c r="QR110" s="1789"/>
      <c r="QS110" s="1787"/>
      <c r="QT110" s="1789"/>
      <c r="QU110" s="1789"/>
      <c r="QV110" s="1789"/>
      <c r="QW110" s="1790"/>
      <c r="QX110" s="1790"/>
      <c r="QY110" s="1794"/>
      <c r="QZ110" s="1793"/>
      <c r="RA110" s="1792"/>
      <c r="RB110" s="1793"/>
      <c r="RC110" s="1789"/>
      <c r="RD110" s="339"/>
      <c r="RE110" s="1788"/>
      <c r="RF110" s="1790"/>
      <c r="RG110" s="1787"/>
      <c r="RH110" s="1787"/>
      <c r="RI110" s="1789"/>
      <c r="RJ110" s="1791"/>
      <c r="RK110" s="1741"/>
      <c r="RL110" s="1788"/>
      <c r="RM110" s="1790"/>
      <c r="RN110" s="1793"/>
      <c r="RO110" s="1794"/>
      <c r="RP110" s="1790"/>
      <c r="RQ110" s="1788"/>
      <c r="RR110" s="1788"/>
      <c r="RS110" s="1788"/>
      <c r="RT110" s="1788"/>
      <c r="RU110" s="1788"/>
      <c r="RV110" s="1788"/>
      <c r="RW110" s="339"/>
      <c r="RX110" s="1792"/>
      <c r="RY110" s="1789"/>
      <c r="RZ110" s="1790"/>
      <c r="SA110" s="1791"/>
      <c r="SB110" s="1741"/>
      <c r="SC110" s="1790"/>
      <c r="SD110" s="1794"/>
      <c r="SE110" s="1794"/>
      <c r="SF110" s="339"/>
      <c r="SG110" s="1789"/>
      <c r="SH110" s="1789"/>
      <c r="SI110" s="1794"/>
      <c r="SJ110" s="1787"/>
      <c r="SK110" s="1787"/>
      <c r="SL110" s="1735" t="s">
        <v>9805</v>
      </c>
    </row>
    <row r="111" ht="15.75" customHeight="1">
      <c r="A111" s="1254"/>
      <c r="B111" s="1782"/>
      <c r="C111" s="1782"/>
      <c r="D111" s="1782"/>
      <c r="E111" s="1782"/>
      <c r="F111" s="1782"/>
      <c r="G111" s="1782"/>
      <c r="H111" s="1782"/>
      <c r="I111" s="1782"/>
      <c r="J111" s="1782"/>
      <c r="K111" s="1782"/>
      <c r="L111" s="1782"/>
      <c r="M111" s="1782"/>
      <c r="N111" s="1782"/>
      <c r="O111" s="1782"/>
      <c r="P111" s="1782"/>
      <c r="Q111" s="1782"/>
      <c r="R111" s="1782"/>
      <c r="S111" s="1782"/>
      <c r="T111" s="1782"/>
      <c r="U111" s="1782"/>
      <c r="V111" s="1782"/>
      <c r="W111" s="1782"/>
      <c r="X111" s="1782"/>
      <c r="Y111" s="1782"/>
      <c r="Z111" s="1782"/>
      <c r="AA111" s="1782"/>
      <c r="AB111" s="1782"/>
      <c r="AC111" s="1782"/>
      <c r="AD111" s="1782"/>
      <c r="AE111" s="1782"/>
      <c r="AF111" s="1782"/>
      <c r="AG111" s="1782"/>
      <c r="AH111" s="1782"/>
      <c r="AI111" s="1782"/>
      <c r="AJ111" s="1782"/>
      <c r="AK111" s="1782"/>
      <c r="AL111" s="1782"/>
      <c r="AM111" s="1782"/>
      <c r="AN111" s="1782"/>
      <c r="AO111" s="1782"/>
      <c r="AP111" s="1782"/>
      <c r="AQ111" s="1782"/>
      <c r="AR111" s="1782"/>
      <c r="AS111" s="1782"/>
      <c r="AT111" s="1782"/>
      <c r="AU111" s="1782"/>
      <c r="AV111" s="1782"/>
      <c r="AW111" s="1782"/>
      <c r="AX111" s="1782"/>
      <c r="AY111" s="1782"/>
      <c r="AZ111" s="1782"/>
      <c r="BA111" s="1782"/>
      <c r="BB111" s="1782"/>
      <c r="BC111" s="1782"/>
      <c r="BD111" s="1782"/>
      <c r="BE111" s="1782"/>
      <c r="BF111" s="1782"/>
      <c r="BG111" s="1782"/>
      <c r="BH111" s="1782"/>
      <c r="BI111" s="1782"/>
      <c r="BJ111" s="1782"/>
      <c r="BK111" s="1782"/>
      <c r="BL111" s="1782"/>
      <c r="BM111" s="1782"/>
      <c r="BN111" s="1782"/>
      <c r="BO111" s="1782"/>
      <c r="BP111" s="1782"/>
      <c r="BQ111" s="1782"/>
      <c r="BR111" s="1782"/>
      <c r="BS111" s="1782"/>
      <c r="BT111" s="1782"/>
      <c r="BU111" s="1782"/>
      <c r="BV111" s="1782"/>
      <c r="BW111" s="1782"/>
      <c r="BX111" s="1782"/>
      <c r="BY111" s="1782"/>
      <c r="BZ111" s="1782"/>
      <c r="CA111" s="1782"/>
      <c r="CB111" s="1782"/>
      <c r="CC111" s="1782"/>
      <c r="CD111" s="1782"/>
      <c r="CE111" s="1782"/>
      <c r="CF111" s="1782"/>
      <c r="CG111" s="1782"/>
      <c r="CH111" s="1782"/>
      <c r="CI111" s="1782"/>
      <c r="CJ111" s="1782"/>
      <c r="CK111" s="1782"/>
      <c r="CL111" s="1782"/>
      <c r="CM111" s="1782"/>
      <c r="CN111" s="1782"/>
      <c r="CO111" s="1782"/>
      <c r="CP111" s="1782"/>
      <c r="CQ111" s="1782"/>
      <c r="CR111" s="1782"/>
      <c r="CS111" s="1782"/>
      <c r="CT111" s="1782"/>
      <c r="CU111" s="1782"/>
      <c r="CV111" s="1782"/>
      <c r="CW111" s="1782"/>
      <c r="CX111" s="1782"/>
      <c r="CY111" s="1782"/>
      <c r="CZ111" s="1782"/>
      <c r="DA111" s="1782"/>
      <c r="DB111" s="1782"/>
      <c r="DC111" s="1782"/>
      <c r="DD111" s="1782"/>
      <c r="DE111" s="1782"/>
      <c r="DF111" s="1782"/>
      <c r="DG111" s="1782"/>
      <c r="DH111" s="1782"/>
      <c r="DI111" s="1782"/>
      <c r="DJ111" s="1782"/>
      <c r="DK111" s="1782"/>
      <c r="DL111" s="1782"/>
      <c r="DM111" s="1782"/>
      <c r="DN111" s="1782"/>
      <c r="DO111" s="1782"/>
      <c r="DP111" s="1782"/>
      <c r="DQ111" s="1782"/>
      <c r="DR111" s="1782"/>
      <c r="DS111" s="1782"/>
      <c r="DT111" s="1782"/>
      <c r="DU111" s="1782"/>
      <c r="DV111" s="1782"/>
      <c r="DW111" s="1782"/>
      <c r="DX111" s="1782"/>
      <c r="DY111" s="1782"/>
      <c r="DZ111" s="1782"/>
      <c r="EA111" s="1782"/>
      <c r="EB111" s="1782"/>
      <c r="EC111" s="1782"/>
      <c r="ED111" s="1782"/>
      <c r="EE111" s="1782"/>
      <c r="EF111" s="1782"/>
      <c r="EG111" s="1782"/>
      <c r="EH111" s="1782"/>
      <c r="EI111" s="1782"/>
      <c r="EJ111" s="1782"/>
      <c r="EK111" s="1782"/>
      <c r="EL111" s="1782"/>
      <c r="EM111" s="1782"/>
      <c r="EN111" s="1782"/>
      <c r="EO111" s="1782"/>
      <c r="EP111" s="1782"/>
      <c r="EQ111" s="1782"/>
      <c r="ER111" s="1782"/>
      <c r="ES111" s="1782"/>
      <c r="ET111" s="1782"/>
      <c r="EU111" s="1782"/>
      <c r="EV111" s="1782"/>
      <c r="EW111" s="1782"/>
      <c r="EX111" s="1782"/>
      <c r="EY111" s="1782"/>
      <c r="EZ111" s="1782"/>
      <c r="FA111" s="1782"/>
      <c r="FB111" s="1782"/>
      <c r="FC111" s="1782"/>
      <c r="FD111" s="1782"/>
      <c r="FE111" s="1782"/>
      <c r="FF111" s="1782"/>
      <c r="FG111" s="1782"/>
      <c r="FH111" s="1782"/>
      <c r="FI111" s="1782"/>
      <c r="FJ111" s="1782"/>
      <c r="FK111" s="1782"/>
      <c r="FL111" s="1782"/>
      <c r="FM111" s="1782"/>
      <c r="FN111" s="1782"/>
      <c r="FO111" s="1782"/>
      <c r="FP111" s="1782"/>
      <c r="FQ111" s="1782"/>
      <c r="FR111" s="1782"/>
      <c r="FS111" s="1782"/>
      <c r="FT111" s="1782"/>
      <c r="FU111" s="1782"/>
      <c r="FV111" s="1782"/>
      <c r="FW111" s="1782"/>
      <c r="FX111" s="1782"/>
      <c r="FY111" s="1782"/>
      <c r="FZ111" s="1782"/>
      <c r="GA111" s="1782"/>
      <c r="GB111" s="1782"/>
      <c r="GC111" s="1782"/>
      <c r="GD111" s="1782"/>
      <c r="GE111" s="1782"/>
      <c r="GF111" s="1782"/>
      <c r="GG111" s="1782"/>
      <c r="GH111" s="1782"/>
      <c r="GI111" s="1782"/>
      <c r="GJ111" s="1782"/>
      <c r="GK111" s="1782"/>
      <c r="GL111" s="1782"/>
      <c r="GM111" s="1782"/>
      <c r="GN111" s="1782"/>
      <c r="GO111" s="1782"/>
      <c r="GP111" s="1782"/>
      <c r="GQ111" s="1782"/>
      <c r="GR111" s="1782"/>
      <c r="GS111" s="1782"/>
      <c r="GT111" s="1782"/>
      <c r="GU111" s="1782"/>
      <c r="GV111" s="1782"/>
      <c r="GW111" s="1782"/>
      <c r="GX111" s="1782"/>
      <c r="GY111" s="1782"/>
      <c r="GZ111" s="1782"/>
      <c r="HA111" s="1782"/>
      <c r="HB111" s="1782"/>
      <c r="HC111" s="1782"/>
      <c r="HD111" s="1782"/>
      <c r="HE111" s="1782"/>
      <c r="HF111" s="1782"/>
      <c r="HG111" s="1782"/>
      <c r="HH111" s="1782"/>
      <c r="HI111" s="1782"/>
      <c r="HJ111" s="1782"/>
      <c r="HK111" s="1782"/>
      <c r="HL111" s="1782"/>
      <c r="HM111" s="1782"/>
      <c r="HN111" s="1782"/>
      <c r="HO111" s="1782"/>
      <c r="HP111" s="1782"/>
      <c r="HQ111" s="1782"/>
      <c r="HR111" s="1782"/>
      <c r="HS111" s="1782"/>
      <c r="HT111" s="1782"/>
      <c r="HU111" s="1782"/>
      <c r="HV111" s="1782"/>
      <c r="HW111" s="1782"/>
      <c r="HX111" s="1782"/>
      <c r="HY111" s="1782"/>
      <c r="HZ111" s="1782"/>
      <c r="IA111" s="1782"/>
      <c r="IB111" s="1782"/>
      <c r="IC111" s="1782"/>
      <c r="ID111" s="1782"/>
      <c r="IE111" s="1782"/>
      <c r="IF111" s="1782"/>
      <c r="IG111" s="1782"/>
      <c r="IH111" s="1782"/>
      <c r="II111" s="1782"/>
      <c r="IJ111" s="1782"/>
      <c r="IK111" s="1782"/>
      <c r="IL111" s="1782"/>
      <c r="IM111" s="1782"/>
      <c r="IN111" s="1782"/>
      <c r="IO111" s="1782"/>
      <c r="IP111" s="1782"/>
      <c r="IQ111" s="1782"/>
      <c r="IR111" s="1782"/>
      <c r="IS111" s="1782"/>
      <c r="IT111" s="1782"/>
      <c r="IU111" s="1782"/>
      <c r="IV111" s="1782"/>
      <c r="IW111" s="1782"/>
      <c r="IX111" s="1782"/>
      <c r="IY111" s="1782"/>
      <c r="IZ111" s="1782"/>
      <c r="JA111" s="1782"/>
      <c r="JB111" s="1782"/>
      <c r="JC111" s="1782"/>
      <c r="JD111" s="1782"/>
      <c r="JE111" s="1782"/>
      <c r="JF111" s="1782"/>
      <c r="JG111" s="1782"/>
      <c r="JH111" s="1782"/>
      <c r="JI111" s="1782"/>
      <c r="JJ111" s="1782"/>
      <c r="JK111" s="1782"/>
      <c r="JL111" s="1782"/>
      <c r="JM111" s="1782"/>
      <c r="JN111" s="1782"/>
      <c r="JO111" s="1782"/>
      <c r="JP111" s="1782"/>
      <c r="JQ111" s="1782"/>
      <c r="JR111" s="1782"/>
      <c r="JS111" s="1782"/>
      <c r="JT111" s="1782"/>
      <c r="JU111" s="1782"/>
      <c r="JV111" s="1782"/>
      <c r="JW111" s="1782"/>
      <c r="JX111" s="1782"/>
      <c r="JY111" s="1782"/>
      <c r="JZ111" s="1782"/>
      <c r="KA111" s="1782"/>
      <c r="KB111" s="1782"/>
      <c r="KC111" s="1782"/>
      <c r="KD111" s="1782"/>
      <c r="KE111" s="1782"/>
      <c r="KF111" s="1782"/>
      <c r="KG111" s="1782"/>
      <c r="KH111" s="1782"/>
      <c r="KI111" s="1782"/>
      <c r="KJ111" s="1782"/>
      <c r="KK111" s="1782"/>
      <c r="KL111" s="1782"/>
      <c r="KM111" s="1782"/>
      <c r="KN111" s="1782"/>
      <c r="KO111" s="1782"/>
      <c r="KP111" s="1782"/>
      <c r="KQ111" s="1782"/>
      <c r="KR111" s="1782"/>
      <c r="KS111" s="1782"/>
      <c r="KT111" s="1782"/>
      <c r="KU111" s="1782"/>
      <c r="KV111" s="1782"/>
      <c r="KW111" s="1782"/>
      <c r="KX111" s="1782"/>
      <c r="KY111" s="1782"/>
      <c r="KZ111" s="1782"/>
      <c r="LA111" s="1782"/>
      <c r="LB111" s="1782"/>
      <c r="LC111" s="1782"/>
      <c r="LD111" s="1782"/>
      <c r="LE111" s="1782"/>
      <c r="LF111" s="1782"/>
      <c r="LG111" s="1782"/>
      <c r="LH111" s="1782"/>
      <c r="LI111" s="1782"/>
      <c r="LJ111" s="1782"/>
      <c r="LK111" s="1782"/>
      <c r="LL111" s="1782"/>
      <c r="LM111" s="1782"/>
      <c r="LN111" s="1782"/>
      <c r="LO111" s="1782"/>
      <c r="LP111" s="1782"/>
      <c r="LQ111" s="1782"/>
      <c r="LR111" s="1782"/>
      <c r="LS111" s="1782"/>
      <c r="LT111" s="1782"/>
      <c r="LU111" s="1782"/>
      <c r="LV111" s="1782"/>
      <c r="LW111" s="1782"/>
      <c r="LX111" s="1782"/>
      <c r="LY111" s="1782"/>
      <c r="LZ111" s="1782"/>
      <c r="MA111" s="1782"/>
      <c r="MB111" s="1782"/>
      <c r="MC111" s="1782"/>
      <c r="MD111" s="1782"/>
      <c r="ME111" s="1782"/>
      <c r="MF111" s="1782"/>
      <c r="MG111" s="1782"/>
      <c r="MH111" s="1782"/>
      <c r="MI111" s="1782"/>
      <c r="MJ111" s="1782"/>
      <c r="MK111" s="1782"/>
      <c r="ML111" s="1782"/>
      <c r="MM111" s="1782"/>
      <c r="MN111" s="1782"/>
      <c r="MO111" s="1782"/>
      <c r="MP111" s="1782"/>
      <c r="MQ111" s="1782"/>
      <c r="MR111" s="1782"/>
      <c r="MS111" s="1782"/>
      <c r="MT111" s="1782"/>
      <c r="MU111" s="1782"/>
      <c r="MV111" s="1782"/>
      <c r="MW111" s="1782"/>
      <c r="MX111" s="1782"/>
      <c r="MY111" s="1782"/>
      <c r="MZ111" s="1782"/>
      <c r="NA111" s="1782"/>
      <c r="NB111" s="1782"/>
      <c r="NC111" s="1782"/>
      <c r="ND111" s="1782"/>
      <c r="NE111" s="1782"/>
      <c r="NF111" s="1782"/>
      <c r="NG111" s="1782"/>
      <c r="NH111" s="1782"/>
      <c r="NI111" s="1782"/>
      <c r="NJ111" s="1782"/>
      <c r="NK111" s="1782"/>
      <c r="NL111" s="1782"/>
      <c r="NM111" s="1782"/>
      <c r="NN111" s="1782"/>
      <c r="NO111" s="1782"/>
      <c r="NP111" s="1782"/>
      <c r="NQ111" s="1782"/>
      <c r="NR111" s="1782"/>
      <c r="NS111" s="1782"/>
      <c r="NT111" s="1782"/>
      <c r="NU111" s="1782"/>
      <c r="NV111" s="1782"/>
      <c r="NW111" s="1782"/>
      <c r="NX111" s="1782"/>
      <c r="NY111" s="1782"/>
      <c r="NZ111" s="1782"/>
      <c r="OA111" s="1782"/>
      <c r="OB111" s="1782"/>
      <c r="OC111" s="1782"/>
      <c r="OD111" s="1782"/>
      <c r="OE111" s="1782"/>
      <c r="OF111" s="1782"/>
      <c r="OG111" s="1782"/>
      <c r="OH111" s="1782"/>
      <c r="OI111" s="1782"/>
      <c r="OJ111" s="1782"/>
      <c r="OK111" s="1782"/>
      <c r="OL111" s="1782"/>
      <c r="OM111" s="1782"/>
      <c r="ON111" s="1782"/>
      <c r="OO111" s="1782"/>
      <c r="OP111" s="1782"/>
      <c r="OQ111" s="1782"/>
      <c r="OR111" s="1782"/>
      <c r="OS111" s="1782"/>
      <c r="OT111" s="1782"/>
      <c r="OU111" s="1782"/>
      <c r="OV111" s="1782"/>
      <c r="OW111" s="1782"/>
      <c r="OX111" s="1782"/>
      <c r="OY111" s="1782"/>
      <c r="OZ111" s="1782"/>
      <c r="PA111" s="1782"/>
      <c r="PB111" s="1782"/>
      <c r="PC111" s="1782"/>
      <c r="PD111" s="1782"/>
      <c r="PE111" s="1782"/>
      <c r="PF111" s="1782"/>
      <c r="PG111" s="1782"/>
      <c r="PH111" s="1782"/>
      <c r="PI111" s="1782"/>
      <c r="PJ111" s="1782"/>
      <c r="PK111" s="1782"/>
      <c r="PL111" s="1782"/>
      <c r="PM111" s="1782"/>
      <c r="PN111" s="1782"/>
      <c r="PO111" s="1782"/>
      <c r="PP111" s="1782"/>
      <c r="PQ111" s="1782"/>
      <c r="PR111" s="1782"/>
      <c r="PS111" s="1782"/>
      <c r="PT111" s="1782"/>
      <c r="PU111" s="1782"/>
      <c r="PV111" s="1782"/>
      <c r="PW111" s="1782"/>
      <c r="PX111" s="1782"/>
      <c r="PY111" s="1782"/>
      <c r="PZ111" s="1782"/>
      <c r="QA111" s="1782"/>
      <c r="QB111" s="1782"/>
      <c r="QC111" s="1782"/>
      <c r="QD111" s="1782"/>
      <c r="QE111" s="1782"/>
      <c r="QF111" s="1782"/>
      <c r="QG111" s="1782"/>
      <c r="QH111" s="1782"/>
      <c r="QI111" s="1782"/>
      <c r="QJ111" s="1782"/>
      <c r="QK111" s="1782"/>
      <c r="QL111" s="1782"/>
      <c r="QM111" s="1782"/>
      <c r="QN111" s="1782"/>
      <c r="QO111" s="1782"/>
      <c r="QP111" s="1782"/>
      <c r="QQ111" s="1782"/>
      <c r="QR111" s="1782"/>
      <c r="QS111" s="1782"/>
      <c r="QT111" s="1782"/>
      <c r="QU111" s="1782"/>
      <c r="QV111" s="1782"/>
      <c r="QW111" s="1782"/>
      <c r="QX111" s="1782"/>
      <c r="QY111" s="1782"/>
      <c r="QZ111" s="1782"/>
      <c r="RA111" s="1782"/>
      <c r="RB111" s="1782"/>
      <c r="RC111" s="1782"/>
      <c r="RD111" s="1782"/>
      <c r="RE111" s="1782"/>
      <c r="RF111" s="1782"/>
      <c r="RG111" s="1782"/>
      <c r="RH111" s="1782"/>
      <c r="RI111" s="1782"/>
      <c r="RJ111" s="1782"/>
      <c r="RK111" s="1782"/>
      <c r="RL111" s="1782"/>
      <c r="RM111" s="1782"/>
      <c r="RN111" s="1782"/>
      <c r="RO111" s="1782"/>
      <c r="RP111" s="1782"/>
      <c r="RQ111" s="1782"/>
      <c r="RR111" s="1782"/>
      <c r="RS111" s="1782"/>
      <c r="RT111" s="1782"/>
      <c r="RU111" s="1782"/>
      <c r="RV111" s="1782"/>
      <c r="RW111" s="1782"/>
      <c r="RX111" s="1782"/>
      <c r="RY111" s="1782"/>
      <c r="RZ111" s="1782"/>
      <c r="SA111" s="1782"/>
      <c r="SB111" s="1782"/>
      <c r="SC111" s="1782"/>
      <c r="SD111" s="1782"/>
      <c r="SE111" s="1782"/>
      <c r="SF111" s="1782"/>
      <c r="SG111" s="1782"/>
      <c r="SH111" s="1782"/>
      <c r="SI111" s="1782"/>
      <c r="SJ111" s="1782"/>
      <c r="SK111" s="1782"/>
      <c r="SL111" s="1808" t="s">
        <v>2112</v>
      </c>
    </row>
  </sheetData>
  <mergeCells count="3">
    <mergeCell ref="A3:A24"/>
    <mergeCell ref="A25:A89"/>
    <mergeCell ref="A90:A111"/>
  </mergeCells>
  <conditionalFormatting sqref="A1:SL111">
    <cfRule type="containsText" dxfId="44" priority="1" operator="containsText" text="(!!)">
      <formula>NOT(ISERROR(SEARCH(("(!!)"),(A1))))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46524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3.5"/>
    <col customWidth="1" min="3" max="3" width="34.5"/>
    <col customWidth="1" min="4" max="4" width="2.38"/>
    <col customWidth="1" min="5" max="5" width="13.38"/>
    <col customWidth="1" min="6" max="6" width="34.5"/>
    <col customWidth="1" min="7" max="7" width="2.38"/>
    <col customWidth="1" min="8" max="9" width="13.38"/>
    <col customWidth="1" min="10" max="10" width="13.25"/>
    <col customWidth="1" min="11" max="11" width="2.38"/>
    <col customWidth="1" min="12" max="14" width="13.38"/>
    <col customWidth="1" min="15" max="15" width="2.38"/>
    <col customWidth="1" min="16" max="18" width="13.38"/>
    <col customWidth="1" min="19" max="19" width="2.38"/>
    <col customWidth="1" min="20" max="22" width="13.38"/>
    <col customWidth="1" min="23" max="23" width="2.38"/>
    <col customWidth="1" min="24" max="24" width="23.88"/>
    <col customWidth="1" min="25" max="25" width="24.0"/>
    <col customWidth="1" min="26" max="26" width="2.38"/>
    <col customWidth="1" min="27" max="27" width="23.88"/>
    <col customWidth="1" min="28" max="28" width="2.38"/>
    <col customWidth="1" min="29" max="29" width="24.0"/>
    <col customWidth="1" min="30" max="30" width="2.38"/>
    <col customWidth="1" min="31" max="31" width="23.88"/>
    <col customWidth="1" min="32" max="32" width="2.38"/>
  </cols>
  <sheetData>
    <row r="1" ht="15.75" customHeight="1">
      <c r="A1" s="135"/>
      <c r="B1" s="134"/>
      <c r="C1" s="134"/>
      <c r="D1" s="134"/>
      <c r="E1" s="134"/>
      <c r="F1" s="134"/>
      <c r="G1" s="1233"/>
      <c r="H1" s="1233"/>
      <c r="I1" s="1233"/>
      <c r="J1" s="1233"/>
      <c r="K1" s="1233"/>
      <c r="L1" s="1233"/>
      <c r="M1" s="1234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2"/>
      <c r="AB1" s="1232"/>
      <c r="AC1" s="1232"/>
      <c r="AD1" s="1232"/>
      <c r="AE1" s="1235"/>
      <c r="AF1" s="1809"/>
    </row>
    <row r="2" ht="15.75" customHeight="1">
      <c r="A2" s="222"/>
      <c r="B2" s="1810" t="s">
        <v>9807</v>
      </c>
      <c r="C2" s="954"/>
      <c r="D2" s="65"/>
      <c r="E2" s="324" t="s">
        <v>9808</v>
      </c>
      <c r="F2" s="47" t="s">
        <v>9809</v>
      </c>
      <c r="G2" s="1230"/>
      <c r="H2" s="1811" t="s">
        <v>9810</v>
      </c>
      <c r="I2" s="976"/>
      <c r="J2" s="954"/>
      <c r="K2" s="1230"/>
      <c r="L2" s="1223" t="s">
        <v>4392</v>
      </c>
      <c r="M2" s="1223" t="s">
        <v>9811</v>
      </c>
      <c r="N2" s="1812" t="s">
        <v>9812</v>
      </c>
      <c r="O2" s="428"/>
      <c r="P2" s="1223" t="s">
        <v>4392</v>
      </c>
      <c r="Q2" s="1223" t="s">
        <v>9811</v>
      </c>
      <c r="R2" s="1812" t="s">
        <v>9812</v>
      </c>
      <c r="S2" s="428"/>
      <c r="T2" s="1223" t="s">
        <v>4392</v>
      </c>
      <c r="U2" s="1223" t="s">
        <v>9811</v>
      </c>
      <c r="V2" s="1812" t="s">
        <v>9812</v>
      </c>
      <c r="W2" s="1230"/>
      <c r="X2" s="1811" t="s">
        <v>9813</v>
      </c>
      <c r="Y2" s="954"/>
      <c r="Z2" s="1230"/>
      <c r="AA2" s="1813" t="s">
        <v>1990</v>
      </c>
      <c r="AB2" s="428"/>
      <c r="AC2" s="1814" t="s">
        <v>756</v>
      </c>
      <c r="AD2" s="428"/>
      <c r="AE2" s="1814" t="s">
        <v>1562</v>
      </c>
      <c r="AF2" s="1406"/>
    </row>
    <row r="3" ht="15.75" customHeight="1">
      <c r="A3" s="222"/>
      <c r="B3" s="997"/>
      <c r="C3" s="998"/>
      <c r="D3" s="65"/>
      <c r="E3" s="1815" t="s">
        <v>9814</v>
      </c>
      <c r="F3" s="1816" t="s">
        <v>9815</v>
      </c>
      <c r="G3" s="1230"/>
      <c r="H3" s="997"/>
      <c r="I3" s="1026"/>
      <c r="J3" s="998"/>
      <c r="K3" s="1230"/>
      <c r="L3" s="428"/>
      <c r="M3" s="449"/>
      <c r="N3" s="428"/>
      <c r="O3" s="428"/>
      <c r="P3" s="428"/>
      <c r="Q3" s="428"/>
      <c r="R3" s="428"/>
      <c r="S3" s="428"/>
      <c r="W3" s="1230"/>
      <c r="X3" s="997"/>
      <c r="Y3" s="998"/>
      <c r="Z3" s="1230"/>
      <c r="AA3" s="1817" t="s">
        <v>9816</v>
      </c>
      <c r="AB3" s="428"/>
      <c r="AC3" s="1818" t="s">
        <v>9817</v>
      </c>
      <c r="AD3" s="428"/>
      <c r="AE3" s="1818" t="s">
        <v>9818</v>
      </c>
      <c r="AF3" s="1406"/>
    </row>
    <row r="4" ht="15.75" customHeight="1">
      <c r="A4" s="222"/>
      <c r="B4" s="65"/>
      <c r="C4" s="65"/>
      <c r="D4" s="65"/>
      <c r="E4" s="191" t="s">
        <v>9819</v>
      </c>
      <c r="F4" s="95" t="s">
        <v>9820</v>
      </c>
      <c r="G4" s="1230"/>
      <c r="H4" s="1230"/>
      <c r="I4" s="1230"/>
      <c r="J4" s="1230"/>
      <c r="K4" s="1230"/>
      <c r="L4" s="1813" t="s">
        <v>1600</v>
      </c>
      <c r="M4" s="1819" t="s">
        <v>32</v>
      </c>
      <c r="N4" s="1820" t="s">
        <v>9821</v>
      </c>
      <c r="O4" s="428"/>
      <c r="P4" s="1814" t="s">
        <v>3047</v>
      </c>
      <c r="Q4" s="1819" t="s">
        <v>9822</v>
      </c>
      <c r="R4" s="1820" t="s">
        <v>9823</v>
      </c>
      <c r="S4" s="428"/>
      <c r="T4" s="1814" t="s">
        <v>3911</v>
      </c>
      <c r="U4" s="1819" t="s">
        <v>156</v>
      </c>
      <c r="V4" s="1820" t="s">
        <v>9824</v>
      </c>
      <c r="W4" s="1230"/>
      <c r="X4" s="1230"/>
      <c r="Y4" s="1230"/>
      <c r="Z4" s="1230"/>
      <c r="AA4" s="1821" t="s">
        <v>9825</v>
      </c>
      <c r="AB4" s="428"/>
      <c r="AC4" s="1822" t="s">
        <v>9826</v>
      </c>
      <c r="AD4" s="428"/>
      <c r="AE4" s="1822" t="s">
        <v>9827</v>
      </c>
      <c r="AF4" s="1406"/>
    </row>
    <row r="5" ht="15.75" customHeight="1">
      <c r="A5" s="222"/>
      <c r="B5" s="1823" t="s">
        <v>9828</v>
      </c>
      <c r="C5" s="48"/>
      <c r="D5" s="65"/>
      <c r="E5" s="1815" t="s">
        <v>9829</v>
      </c>
      <c r="F5" s="1816" t="s">
        <v>9830</v>
      </c>
      <c r="G5" s="1230"/>
      <c r="H5" s="1824" t="s">
        <v>4614</v>
      </c>
      <c r="I5" s="12"/>
      <c r="J5" s="48"/>
      <c r="K5" s="1230"/>
      <c r="L5" s="1231" t="s">
        <v>9831</v>
      </c>
      <c r="M5" s="976"/>
      <c r="N5" s="954"/>
      <c r="O5" s="428"/>
      <c r="P5" s="1825" t="s">
        <v>9832</v>
      </c>
      <c r="Q5" s="976"/>
      <c r="R5" s="954"/>
      <c r="S5" s="428"/>
      <c r="T5" s="1825" t="s">
        <v>9833</v>
      </c>
      <c r="U5" s="976"/>
      <c r="V5" s="954"/>
      <c r="W5" s="1230"/>
      <c r="X5" s="1824" t="s">
        <v>4614</v>
      </c>
      <c r="Y5" s="48"/>
      <c r="Z5" s="1230"/>
      <c r="AB5" s="428"/>
      <c r="AD5" s="428"/>
      <c r="AE5" s="428"/>
      <c r="AF5" s="1406"/>
    </row>
    <row r="6" ht="15.75" customHeight="1">
      <c r="A6" s="222"/>
      <c r="B6" s="65"/>
      <c r="C6" s="65"/>
      <c r="D6" s="65"/>
      <c r="E6" s="191" t="s">
        <v>9834</v>
      </c>
      <c r="F6" s="95" t="s">
        <v>9835</v>
      </c>
      <c r="G6" s="1230"/>
      <c r="H6" s="1230"/>
      <c r="I6" s="1230"/>
      <c r="J6" s="1230"/>
      <c r="K6" s="1230"/>
      <c r="L6" s="997"/>
      <c r="M6" s="1026"/>
      <c r="N6" s="998"/>
      <c r="O6" s="428"/>
      <c r="P6" s="997"/>
      <c r="Q6" s="1026"/>
      <c r="R6" s="998"/>
      <c r="S6" s="428"/>
      <c r="T6" s="997"/>
      <c r="U6" s="1026"/>
      <c r="V6" s="998"/>
      <c r="W6" s="1230"/>
      <c r="X6" s="442"/>
      <c r="Y6" s="442"/>
      <c r="Z6" s="1230"/>
      <c r="AA6" s="1813" t="s">
        <v>224</v>
      </c>
      <c r="AB6" s="428"/>
      <c r="AC6" s="1814" t="s">
        <v>782</v>
      </c>
      <c r="AD6" s="428"/>
      <c r="AE6" s="1814" t="s">
        <v>1581</v>
      </c>
      <c r="AF6" s="1406"/>
    </row>
    <row r="7" ht="15.75" customHeight="1">
      <c r="A7" s="222"/>
      <c r="B7" s="1826" t="s">
        <v>9836</v>
      </c>
      <c r="C7" s="954"/>
      <c r="D7" s="65"/>
      <c r="E7" s="1815" t="s">
        <v>9837</v>
      </c>
      <c r="F7" s="1816" t="s">
        <v>9838</v>
      </c>
      <c r="G7" s="1230"/>
      <c r="H7" s="1826" t="s">
        <v>9839</v>
      </c>
      <c r="I7" s="976"/>
      <c r="J7" s="954"/>
      <c r="K7" s="1230"/>
      <c r="L7" s="1230"/>
      <c r="M7" s="449"/>
      <c r="N7" s="428"/>
      <c r="O7" s="428"/>
      <c r="P7" s="428"/>
      <c r="Q7" s="428"/>
      <c r="R7" s="428"/>
      <c r="S7" s="428"/>
      <c r="T7" s="428"/>
      <c r="U7" s="428"/>
      <c r="V7" s="428"/>
      <c r="W7" s="1230"/>
      <c r="X7" s="1826" t="s">
        <v>9840</v>
      </c>
      <c r="Y7" s="954"/>
      <c r="Z7" s="1230"/>
      <c r="AA7" s="1817" t="s">
        <v>9841</v>
      </c>
      <c r="AB7" s="428"/>
      <c r="AC7" s="1818" t="s">
        <v>9842</v>
      </c>
      <c r="AD7" s="428"/>
      <c r="AE7" s="1818" t="s">
        <v>9843</v>
      </c>
      <c r="AF7" s="1406"/>
    </row>
    <row r="8" ht="15.75" customHeight="1">
      <c r="A8" s="222"/>
      <c r="B8" s="997"/>
      <c r="C8" s="998"/>
      <c r="D8" s="65"/>
      <c r="E8" s="191" t="s">
        <v>9844</v>
      </c>
      <c r="F8" s="95" t="s">
        <v>9845</v>
      </c>
      <c r="G8" s="1230"/>
      <c r="H8" s="997"/>
      <c r="I8" s="1026"/>
      <c r="J8" s="998"/>
      <c r="K8" s="1230"/>
      <c r="L8" s="1813" t="s">
        <v>1637</v>
      </c>
      <c r="M8" s="1819" t="s">
        <v>9846</v>
      </c>
      <c r="N8" s="1820" t="s">
        <v>9847</v>
      </c>
      <c r="O8" s="428"/>
      <c r="P8" s="1814" t="s">
        <v>3059</v>
      </c>
      <c r="Q8" s="1819" t="s">
        <v>9822</v>
      </c>
      <c r="R8" s="1820" t="s">
        <v>9823</v>
      </c>
      <c r="S8" s="428"/>
      <c r="T8" s="1814" t="s">
        <v>3919</v>
      </c>
      <c r="U8" s="1819" t="s">
        <v>92</v>
      </c>
      <c r="V8" s="1820" t="s">
        <v>9848</v>
      </c>
      <c r="W8" s="1230"/>
      <c r="X8" s="997"/>
      <c r="Y8" s="998"/>
      <c r="Z8" s="1230"/>
      <c r="AA8" s="1821" t="s">
        <v>9849</v>
      </c>
      <c r="AB8" s="428"/>
      <c r="AC8" s="1822" t="s">
        <v>9850</v>
      </c>
      <c r="AD8" s="428"/>
      <c r="AE8" s="1822" t="s">
        <v>9825</v>
      </c>
      <c r="AF8" s="1406"/>
    </row>
    <row r="9" ht="15.75" customHeight="1">
      <c r="A9" s="222"/>
      <c r="B9" s="65"/>
      <c r="C9" s="65"/>
      <c r="D9" s="65"/>
      <c r="E9" s="1815" t="s">
        <v>9851</v>
      </c>
      <c r="F9" s="1816" t="s">
        <v>9852</v>
      </c>
      <c r="G9" s="1230"/>
      <c r="H9" s="1826" t="s">
        <v>9853</v>
      </c>
      <c r="I9" s="976"/>
      <c r="J9" s="954"/>
      <c r="K9" s="1230"/>
      <c r="L9" s="1231" t="s">
        <v>9854</v>
      </c>
      <c r="M9" s="976"/>
      <c r="N9" s="954"/>
      <c r="O9" s="428"/>
      <c r="P9" s="1825" t="s">
        <v>9855</v>
      </c>
      <c r="Q9" s="976"/>
      <c r="R9" s="954"/>
      <c r="S9" s="428"/>
      <c r="T9" s="1825" t="s">
        <v>9856</v>
      </c>
      <c r="U9" s="976"/>
      <c r="V9" s="954"/>
      <c r="W9" s="1230"/>
      <c r="X9" s="1824" t="s">
        <v>9857</v>
      </c>
      <c r="Y9" s="48"/>
      <c r="Z9" s="1230"/>
      <c r="AB9" s="428"/>
      <c r="AC9" s="428"/>
      <c r="AD9" s="428"/>
      <c r="AE9" s="428"/>
      <c r="AF9" s="1406"/>
    </row>
    <row r="10" ht="15.75" customHeight="1">
      <c r="A10" s="222"/>
      <c r="B10" s="1197" t="s">
        <v>9858</v>
      </c>
      <c r="C10" s="38" t="s">
        <v>9859</v>
      </c>
      <c r="D10" s="65"/>
      <c r="E10" s="191" t="s">
        <v>9860</v>
      </c>
      <c r="F10" s="95" t="s">
        <v>9861</v>
      </c>
      <c r="G10" s="1230"/>
      <c r="H10" s="1155"/>
      <c r="J10" s="1154"/>
      <c r="K10" s="1230"/>
      <c r="L10" s="997"/>
      <c r="M10" s="1026"/>
      <c r="N10" s="998"/>
      <c r="O10" s="428"/>
      <c r="P10" s="997"/>
      <c r="Q10" s="1026"/>
      <c r="R10" s="998"/>
      <c r="S10" s="428"/>
      <c r="T10" s="997"/>
      <c r="U10" s="1026"/>
      <c r="V10" s="998"/>
      <c r="W10" s="1230"/>
      <c r="X10" s="1826" t="s">
        <v>9862</v>
      </c>
      <c r="Y10" s="954"/>
      <c r="Z10" s="1230"/>
      <c r="AA10" s="1814" t="s">
        <v>2043</v>
      </c>
      <c r="AB10" s="428"/>
      <c r="AC10" s="1814" t="s">
        <v>9863</v>
      </c>
      <c r="AD10" s="428"/>
      <c r="AE10" s="1814" t="s">
        <v>2630</v>
      </c>
      <c r="AF10" s="1406"/>
    </row>
    <row r="11" ht="15.75" customHeight="1">
      <c r="A11" s="222"/>
      <c r="B11" s="1827" t="s">
        <v>9864</v>
      </c>
      <c r="C11" s="1828" t="s">
        <v>9865</v>
      </c>
      <c r="D11" s="65"/>
      <c r="E11" s="1829" t="s">
        <v>9866</v>
      </c>
      <c r="F11" s="1830" t="s">
        <v>9867</v>
      </c>
      <c r="G11" s="1230"/>
      <c r="H11" s="997"/>
      <c r="I11" s="1026"/>
      <c r="J11" s="998"/>
      <c r="K11" s="1230"/>
      <c r="L11" s="1230"/>
      <c r="M11" s="449"/>
      <c r="N11" s="1230"/>
      <c r="O11" s="428"/>
      <c r="P11" s="428"/>
      <c r="Q11" s="428"/>
      <c r="R11" s="428"/>
      <c r="S11" s="428"/>
      <c r="T11" s="428"/>
      <c r="U11" s="428"/>
      <c r="V11" s="428"/>
      <c r="W11" s="1230"/>
      <c r="X11" s="997"/>
      <c r="Y11" s="998"/>
      <c r="Z11" s="1230"/>
      <c r="AA11" s="1818" t="s">
        <v>9816</v>
      </c>
      <c r="AB11" s="428"/>
      <c r="AC11" s="1818" t="s">
        <v>9868</v>
      </c>
      <c r="AD11" s="428"/>
      <c r="AE11" s="1818" t="s">
        <v>9816</v>
      </c>
      <c r="AF11" s="1406"/>
    </row>
    <row r="12" ht="15.75" customHeight="1">
      <c r="A12" s="222"/>
      <c r="B12" s="1831" t="s">
        <v>9869</v>
      </c>
      <c r="C12" s="89" t="s">
        <v>9870</v>
      </c>
      <c r="D12" s="65"/>
      <c r="E12" s="65"/>
      <c r="F12" s="65"/>
      <c r="G12" s="1230"/>
      <c r="H12" s="1826" t="s">
        <v>9871</v>
      </c>
      <c r="I12" s="976"/>
      <c r="J12" s="954"/>
      <c r="K12" s="1230"/>
      <c r="L12" s="1813" t="s">
        <v>1778</v>
      </c>
      <c r="M12" s="1819" t="s">
        <v>197</v>
      </c>
      <c r="N12" s="1820" t="s">
        <v>9872</v>
      </c>
      <c r="O12" s="1230"/>
      <c r="P12" s="1813" t="s">
        <v>3092</v>
      </c>
      <c r="Q12" s="1819" t="s">
        <v>9846</v>
      </c>
      <c r="R12" s="1820" t="s">
        <v>9873</v>
      </c>
      <c r="S12" s="1230"/>
      <c r="T12" s="1814" t="s">
        <v>4174</v>
      </c>
      <c r="U12" s="1819" t="s">
        <v>197</v>
      </c>
      <c r="V12" s="1820" t="s">
        <v>9874</v>
      </c>
      <c r="W12" s="1230"/>
      <c r="X12" s="1230"/>
      <c r="Y12" s="1230"/>
      <c r="Z12" s="1230"/>
      <c r="AA12" s="1822" t="s">
        <v>9825</v>
      </c>
      <c r="AB12" s="428"/>
      <c r="AC12" s="1254"/>
      <c r="AD12" s="428"/>
      <c r="AE12" s="1822" t="s">
        <v>9825</v>
      </c>
      <c r="AF12" s="1406"/>
    </row>
    <row r="13" ht="15.75" customHeight="1">
      <c r="A13" s="222"/>
      <c r="B13" s="1827" t="s">
        <v>9875</v>
      </c>
      <c r="C13" s="1828" t="s">
        <v>9876</v>
      </c>
      <c r="D13" s="65"/>
      <c r="E13" s="1823" t="s">
        <v>9877</v>
      </c>
      <c r="F13" s="48"/>
      <c r="G13" s="1230"/>
      <c r="H13" s="1155"/>
      <c r="J13" s="1154"/>
      <c r="K13" s="1230"/>
      <c r="L13" s="1231" t="s">
        <v>9878</v>
      </c>
      <c r="M13" s="976"/>
      <c r="N13" s="954"/>
      <c r="O13" s="1230"/>
      <c r="P13" s="1231" t="s">
        <v>9879</v>
      </c>
      <c r="Q13" s="976"/>
      <c r="R13" s="954"/>
      <c r="S13" s="1230"/>
      <c r="T13" s="1825" t="s">
        <v>9880</v>
      </c>
      <c r="U13" s="976"/>
      <c r="V13" s="954"/>
      <c r="W13" s="1230"/>
      <c r="X13" s="1824" t="s">
        <v>9881</v>
      </c>
      <c r="Y13" s="48"/>
      <c r="Z13" s="1230"/>
      <c r="AA13" s="428"/>
      <c r="AB13" s="428"/>
      <c r="AD13" s="428"/>
      <c r="AF13" s="1406"/>
    </row>
    <row r="14" ht="15.75" customHeight="1">
      <c r="A14" s="222"/>
      <c r="B14" s="1831" t="s">
        <v>9882</v>
      </c>
      <c r="C14" s="89" t="s">
        <v>9883</v>
      </c>
      <c r="D14" s="65"/>
      <c r="E14" s="65"/>
      <c r="F14" s="65"/>
      <c r="G14" s="1230"/>
      <c r="H14" s="997"/>
      <c r="I14" s="1026"/>
      <c r="J14" s="998"/>
      <c r="K14" s="1230"/>
      <c r="L14" s="997"/>
      <c r="M14" s="1026"/>
      <c r="N14" s="998"/>
      <c r="O14" s="1230"/>
      <c r="P14" s="997"/>
      <c r="Q14" s="1026"/>
      <c r="R14" s="998"/>
      <c r="S14" s="1230"/>
      <c r="T14" s="997"/>
      <c r="U14" s="1026"/>
      <c r="V14" s="998"/>
      <c r="W14" s="1230"/>
      <c r="X14" s="1230"/>
      <c r="Y14" s="1230"/>
      <c r="Z14" s="1230"/>
      <c r="AA14" s="1814" t="s">
        <v>2072</v>
      </c>
      <c r="AB14" s="428"/>
      <c r="AC14" s="1814" t="s">
        <v>1188</v>
      </c>
      <c r="AD14" s="428"/>
      <c r="AE14" s="1814" t="s">
        <v>9884</v>
      </c>
      <c r="AF14" s="1406"/>
    </row>
    <row r="15" ht="15.75" customHeight="1">
      <c r="A15" s="222"/>
      <c r="B15" s="1827" t="s">
        <v>9885</v>
      </c>
      <c r="C15" s="1828" t="s">
        <v>9886</v>
      </c>
      <c r="D15" s="65"/>
      <c r="E15" s="1197" t="s">
        <v>9887</v>
      </c>
      <c r="F15" s="47" t="s">
        <v>9888</v>
      </c>
      <c r="G15" s="1230"/>
      <c r="H15" s="1826" t="s">
        <v>9889</v>
      </c>
      <c r="I15" s="976"/>
      <c r="J15" s="954"/>
      <c r="K15" s="1230"/>
      <c r="L15" s="1230"/>
      <c r="M15" s="449"/>
      <c r="N15" s="1230"/>
      <c r="O15" s="428" t="s">
        <v>4510</v>
      </c>
      <c r="P15" s="428"/>
      <c r="Q15" s="428"/>
      <c r="R15" s="428"/>
      <c r="S15" s="428"/>
      <c r="T15" s="1230"/>
      <c r="U15" s="1230"/>
      <c r="V15" s="1230"/>
      <c r="W15" s="428"/>
      <c r="X15" s="1231" t="s">
        <v>9890</v>
      </c>
      <c r="Y15" s="954"/>
      <c r="Z15" s="1230"/>
      <c r="AA15" s="1818" t="s">
        <v>9891</v>
      </c>
      <c r="AB15" s="428"/>
      <c r="AC15" s="1619" t="s">
        <v>9892</v>
      </c>
      <c r="AD15" s="428"/>
      <c r="AE15" s="1818" t="s">
        <v>9893</v>
      </c>
      <c r="AF15" s="1406"/>
    </row>
    <row r="16" ht="15.75" customHeight="1">
      <c r="A16" s="222"/>
      <c r="B16" s="1831" t="s">
        <v>9894</v>
      </c>
      <c r="C16" s="89" t="s">
        <v>9895</v>
      </c>
      <c r="D16" s="65"/>
      <c r="E16" s="1827" t="s">
        <v>9896</v>
      </c>
      <c r="F16" s="1816" t="s">
        <v>9897</v>
      </c>
      <c r="G16" s="1230"/>
      <c r="H16" s="1155"/>
      <c r="J16" s="1154"/>
      <c r="K16" s="1230"/>
      <c r="L16" s="1813" t="s">
        <v>1941</v>
      </c>
      <c r="M16" s="1819" t="s">
        <v>92</v>
      </c>
      <c r="N16" s="1820" t="s">
        <v>9848</v>
      </c>
      <c r="O16" s="428"/>
      <c r="P16" s="1814" t="s">
        <v>3103</v>
      </c>
      <c r="Q16" s="1819" t="s">
        <v>9898</v>
      </c>
      <c r="R16" s="1820" t="s">
        <v>9899</v>
      </c>
      <c r="S16" s="428"/>
      <c r="T16" s="1813" t="s">
        <v>4307</v>
      </c>
      <c r="U16" s="1819" t="s">
        <v>2541</v>
      </c>
      <c r="V16" s="1820" t="s">
        <v>9900</v>
      </c>
      <c r="W16" s="428"/>
      <c r="X16" s="997"/>
      <c r="Y16" s="998"/>
      <c r="Z16" s="1230"/>
      <c r="AA16" s="1822" t="s">
        <v>9825</v>
      </c>
      <c r="AB16" s="428"/>
      <c r="AC16" s="428"/>
      <c r="AD16" s="428"/>
      <c r="AE16" s="1832" t="s">
        <v>9901</v>
      </c>
      <c r="AF16" s="1406"/>
    </row>
    <row r="17" ht="15.75" customHeight="1">
      <c r="A17" s="222"/>
      <c r="B17" s="1827" t="s">
        <v>9902</v>
      </c>
      <c r="C17" s="1828" t="s">
        <v>9903</v>
      </c>
      <c r="D17" s="65"/>
      <c r="E17" s="1831" t="s">
        <v>9904</v>
      </c>
      <c r="F17" s="95" t="s">
        <v>9905</v>
      </c>
      <c r="G17" s="1230"/>
      <c r="H17" s="997"/>
      <c r="I17" s="1026"/>
      <c r="J17" s="998"/>
      <c r="K17" s="1230"/>
      <c r="L17" s="1231" t="s">
        <v>9906</v>
      </c>
      <c r="M17" s="976"/>
      <c r="N17" s="954"/>
      <c r="O17" s="428"/>
      <c r="P17" s="1825" t="s">
        <v>9907</v>
      </c>
      <c r="Q17" s="976"/>
      <c r="R17" s="954"/>
      <c r="S17" s="428"/>
      <c r="T17" s="1833" t="s">
        <v>9908</v>
      </c>
      <c r="U17" s="12"/>
      <c r="V17" s="48"/>
      <c r="W17" s="428"/>
      <c r="X17" s="1834" t="s">
        <v>9909</v>
      </c>
      <c r="Y17" s="48"/>
      <c r="Z17" s="1230"/>
      <c r="AA17" s="428"/>
      <c r="AB17" s="428"/>
      <c r="AC17" s="1814" t="s">
        <v>1268</v>
      </c>
      <c r="AD17" s="428"/>
      <c r="AE17" s="1254"/>
      <c r="AF17" s="1406"/>
    </row>
    <row r="18" ht="15.75" customHeight="1">
      <c r="A18" s="222"/>
      <c r="B18" s="1831" t="s">
        <v>9910</v>
      </c>
      <c r="C18" s="89" t="s">
        <v>9911</v>
      </c>
      <c r="D18" s="65"/>
      <c r="E18" s="1827" t="s">
        <v>9912</v>
      </c>
      <c r="F18" s="1816" t="s">
        <v>9913</v>
      </c>
      <c r="G18" s="1230"/>
      <c r="H18" s="1230"/>
      <c r="I18" s="1230"/>
      <c r="J18" s="1230"/>
      <c r="K18" s="1230"/>
      <c r="L18" s="997"/>
      <c r="M18" s="1026"/>
      <c r="N18" s="998"/>
      <c r="O18" s="428"/>
      <c r="P18" s="997"/>
      <c r="Q18" s="1026"/>
      <c r="R18" s="998"/>
      <c r="S18" s="428"/>
      <c r="T18" s="428"/>
      <c r="U18" s="428"/>
      <c r="V18" s="428"/>
      <c r="W18" s="428"/>
      <c r="X18" s="1230"/>
      <c r="Y18" s="1230"/>
      <c r="Z18" s="1230"/>
      <c r="AA18" s="1814" t="s">
        <v>471</v>
      </c>
      <c r="AB18" s="428"/>
      <c r="AC18" s="1818" t="s">
        <v>9914</v>
      </c>
      <c r="AD18" s="428"/>
      <c r="AE18" s="428"/>
      <c r="AF18" s="1406"/>
    </row>
    <row r="19" ht="15.75" customHeight="1">
      <c r="A19" s="222"/>
      <c r="B19" s="1827" t="s">
        <v>9915</v>
      </c>
      <c r="C19" s="1828" t="s">
        <v>9916</v>
      </c>
      <c r="D19" s="65"/>
      <c r="E19" s="1831" t="s">
        <v>9917</v>
      </c>
      <c r="F19" s="95" t="s">
        <v>9918</v>
      </c>
      <c r="G19" s="1230"/>
      <c r="H19" s="1835" t="s">
        <v>9919</v>
      </c>
      <c r="I19" s="12"/>
      <c r="J19" s="48"/>
      <c r="K19" s="1230"/>
      <c r="L19" s="1230"/>
      <c r="M19" s="449"/>
      <c r="N19" s="1230"/>
      <c r="O19" s="428"/>
      <c r="P19" s="428"/>
      <c r="Q19" s="428"/>
      <c r="R19" s="428"/>
      <c r="S19" s="428"/>
      <c r="T19" s="1814" t="s">
        <v>4311</v>
      </c>
      <c r="U19" s="1819" t="s">
        <v>2541</v>
      </c>
      <c r="V19" s="1820" t="s">
        <v>9900</v>
      </c>
      <c r="W19" s="428"/>
      <c r="X19" s="1223" t="s">
        <v>9920</v>
      </c>
      <c r="Y19" s="1812" t="s">
        <v>9921</v>
      </c>
      <c r="Z19" s="1230"/>
      <c r="AA19" s="1818" t="s">
        <v>9922</v>
      </c>
      <c r="AB19" s="428"/>
      <c r="AC19" s="1822" t="s">
        <v>9923</v>
      </c>
      <c r="AD19" s="428"/>
      <c r="AE19" s="1814" t="s">
        <v>9924</v>
      </c>
      <c r="AF19" s="1406"/>
    </row>
    <row r="20" ht="15.75" customHeight="1">
      <c r="A20" s="222"/>
      <c r="B20" s="1831" t="s">
        <v>9925</v>
      </c>
      <c r="C20" s="89" t="s">
        <v>9926</v>
      </c>
      <c r="D20" s="65"/>
      <c r="E20" s="1827" t="s">
        <v>9917</v>
      </c>
      <c r="F20" s="1816" t="s">
        <v>9927</v>
      </c>
      <c r="G20" s="1230"/>
      <c r="K20" s="1230"/>
      <c r="L20" s="1813" t="s">
        <v>2393</v>
      </c>
      <c r="M20" s="1819" t="s">
        <v>6</v>
      </c>
      <c r="N20" s="1820" t="s">
        <v>9928</v>
      </c>
      <c r="O20" s="428"/>
      <c r="P20" s="1814" t="s">
        <v>3121</v>
      </c>
      <c r="Q20" s="1819" t="s">
        <v>7</v>
      </c>
      <c r="R20" s="1820" t="s">
        <v>9929</v>
      </c>
      <c r="S20" s="428"/>
      <c r="T20" s="1833" t="s">
        <v>9930</v>
      </c>
      <c r="U20" s="12"/>
      <c r="V20" s="48"/>
      <c r="W20" s="428"/>
      <c r="X20" s="1836" t="s">
        <v>9931</v>
      </c>
      <c r="Y20" s="1836" t="s">
        <v>9932</v>
      </c>
      <c r="Z20" s="1230"/>
      <c r="AA20" s="1822" t="s">
        <v>9825</v>
      </c>
      <c r="AB20" s="428"/>
      <c r="AD20" s="428"/>
      <c r="AE20" s="1619" t="s">
        <v>9842</v>
      </c>
      <c r="AF20" s="1406"/>
    </row>
    <row r="21" ht="15.75" customHeight="1">
      <c r="A21" s="222"/>
      <c r="B21" s="1827" t="s">
        <v>9933</v>
      </c>
      <c r="C21" s="1828" t="s">
        <v>9934</v>
      </c>
      <c r="D21" s="65"/>
      <c r="E21" s="1831" t="s">
        <v>9917</v>
      </c>
      <c r="F21" s="95" t="s">
        <v>9935</v>
      </c>
      <c r="G21" s="1230"/>
      <c r="H21" s="1223" t="s">
        <v>4392</v>
      </c>
      <c r="I21" s="1223" t="s">
        <v>9811</v>
      </c>
      <c r="J21" s="1812" t="s">
        <v>9812</v>
      </c>
      <c r="K21" s="1230"/>
      <c r="L21" s="1834" t="s">
        <v>9936</v>
      </c>
      <c r="M21" s="12"/>
      <c r="N21" s="48"/>
      <c r="O21" s="428"/>
      <c r="P21" s="1825" t="s">
        <v>9937</v>
      </c>
      <c r="Q21" s="976"/>
      <c r="R21" s="954"/>
      <c r="S21" s="428"/>
      <c r="T21" s="428"/>
      <c r="U21" s="428"/>
      <c r="V21" s="428"/>
      <c r="W21" s="428"/>
      <c r="X21" s="1837" t="s">
        <v>9938</v>
      </c>
      <c r="Y21" s="1838" t="s">
        <v>9939</v>
      </c>
      <c r="Z21" s="1230"/>
      <c r="AA21" s="428"/>
      <c r="AB21" s="428"/>
      <c r="AC21" s="1814" t="s">
        <v>1300</v>
      </c>
      <c r="AD21" s="428"/>
      <c r="AF21" s="1406"/>
    </row>
    <row r="22" ht="15.75" customHeight="1">
      <c r="A22" s="222"/>
      <c r="B22" s="1831" t="s">
        <v>9940</v>
      </c>
      <c r="C22" s="89" t="s">
        <v>9941</v>
      </c>
      <c r="D22" s="65"/>
      <c r="E22" s="1827" t="s">
        <v>9917</v>
      </c>
      <c r="F22" s="1816" t="s">
        <v>9942</v>
      </c>
      <c r="G22" s="1230"/>
      <c r="H22" s="428"/>
      <c r="I22" s="428"/>
      <c r="J22" s="428"/>
      <c r="K22" s="1230"/>
      <c r="L22" s="1230"/>
      <c r="M22" s="449"/>
      <c r="N22" s="428"/>
      <c r="O22" s="428"/>
      <c r="P22" s="997"/>
      <c r="Q22" s="1026"/>
      <c r="R22" s="998"/>
      <c r="S22" s="428"/>
      <c r="T22" s="1814" t="s">
        <v>4315</v>
      </c>
      <c r="U22" s="1819" t="s">
        <v>2541</v>
      </c>
      <c r="V22" s="1820" t="s">
        <v>9900</v>
      </c>
      <c r="W22" s="428"/>
      <c r="X22" s="1839" t="s">
        <v>9943</v>
      </c>
      <c r="Y22" s="1839" t="s">
        <v>9944</v>
      </c>
      <c r="Z22" s="1230"/>
      <c r="AA22" s="1814" t="s">
        <v>514</v>
      </c>
      <c r="AB22" s="428"/>
      <c r="AC22" s="1818" t="s">
        <v>9945</v>
      </c>
      <c r="AD22" s="428"/>
      <c r="AF22" s="1406"/>
    </row>
    <row r="23" ht="15.75" customHeight="1">
      <c r="A23" s="222"/>
      <c r="B23" s="1840" t="s">
        <v>9940</v>
      </c>
      <c r="C23" s="1841" t="s">
        <v>9946</v>
      </c>
      <c r="D23" s="65"/>
      <c r="E23" s="1831" t="s">
        <v>9925</v>
      </c>
      <c r="F23" s="95" t="s">
        <v>9947</v>
      </c>
      <c r="G23" s="1230"/>
      <c r="H23" s="1814" t="s">
        <v>82</v>
      </c>
      <c r="I23" s="1819" t="s">
        <v>9948</v>
      </c>
      <c r="J23" s="1820" t="s">
        <v>9949</v>
      </c>
      <c r="K23" s="1230"/>
      <c r="L23" s="1814" t="s">
        <v>2642</v>
      </c>
      <c r="M23" s="1819" t="s">
        <v>9950</v>
      </c>
      <c r="N23" s="1820" t="s">
        <v>9951</v>
      </c>
      <c r="O23" s="428"/>
      <c r="P23" s="428"/>
      <c r="Q23" s="428"/>
      <c r="R23" s="428"/>
      <c r="S23" s="428"/>
      <c r="T23" s="1825" t="s">
        <v>9952</v>
      </c>
      <c r="U23" s="976"/>
      <c r="V23" s="954"/>
      <c r="W23" s="428"/>
      <c r="X23" s="1837" t="s">
        <v>9953</v>
      </c>
      <c r="Y23" s="1838" t="s">
        <v>9954</v>
      </c>
      <c r="Z23" s="1230"/>
      <c r="AA23" s="1818" t="s">
        <v>9955</v>
      </c>
      <c r="AB23" s="428"/>
      <c r="AC23" s="1822" t="s">
        <v>9826</v>
      </c>
      <c r="AD23" s="428"/>
      <c r="AF23" s="1406"/>
    </row>
    <row r="24" ht="15.75" customHeight="1">
      <c r="A24" s="222"/>
      <c r="B24" s="65"/>
      <c r="C24" s="65"/>
      <c r="D24" s="65"/>
      <c r="E24" s="1827" t="s">
        <v>9956</v>
      </c>
      <c r="F24" s="1816" t="s">
        <v>9957</v>
      </c>
      <c r="G24" s="1230"/>
      <c r="H24" s="1833" t="s">
        <v>9958</v>
      </c>
      <c r="I24" s="12"/>
      <c r="J24" s="48"/>
      <c r="K24" s="1230"/>
      <c r="L24" s="1825" t="s">
        <v>9959</v>
      </c>
      <c r="M24" s="976"/>
      <c r="N24" s="954"/>
      <c r="O24" s="428"/>
      <c r="P24" s="1814" t="s">
        <v>3255</v>
      </c>
      <c r="Q24" s="1819" t="s">
        <v>32</v>
      </c>
      <c r="R24" s="1820" t="s">
        <v>9960</v>
      </c>
      <c r="S24" s="428"/>
      <c r="T24" s="997"/>
      <c r="U24" s="1026"/>
      <c r="V24" s="998"/>
      <c r="W24" s="428"/>
      <c r="X24" s="1839" t="s">
        <v>9961</v>
      </c>
      <c r="Y24" s="1839" t="s">
        <v>9962</v>
      </c>
      <c r="Z24" s="1230"/>
      <c r="AA24" s="1842" t="s">
        <v>9850</v>
      </c>
      <c r="AB24" s="428"/>
      <c r="AD24" s="428"/>
      <c r="AF24" s="1406"/>
    </row>
    <row r="25" ht="15.75" customHeight="1">
      <c r="A25" s="222"/>
      <c r="B25" s="1823" t="s">
        <v>9963</v>
      </c>
      <c r="C25" s="48"/>
      <c r="D25" s="65"/>
      <c r="E25" s="1831" t="s">
        <v>9964</v>
      </c>
      <c r="F25" s="95" t="s">
        <v>9965</v>
      </c>
      <c r="G25" s="1230"/>
      <c r="H25" s="428"/>
      <c r="I25" s="1230"/>
      <c r="J25" s="428"/>
      <c r="K25" s="1230"/>
      <c r="L25" s="997"/>
      <c r="M25" s="1026"/>
      <c r="N25" s="998"/>
      <c r="O25" s="428"/>
      <c r="P25" s="1825" t="s">
        <v>9966</v>
      </c>
      <c r="Q25" s="976"/>
      <c r="R25" s="954"/>
      <c r="S25" s="428"/>
      <c r="T25" s="428"/>
      <c r="U25" s="428"/>
      <c r="V25" s="428"/>
      <c r="W25" s="428"/>
      <c r="X25" s="1837" t="s">
        <v>9967</v>
      </c>
      <c r="Y25" s="1838" t="s">
        <v>9968</v>
      </c>
      <c r="Z25" s="1230"/>
      <c r="AA25" s="1818" t="s">
        <v>9969</v>
      </c>
      <c r="AB25" s="428"/>
      <c r="AC25" s="1814" t="s">
        <v>1423</v>
      </c>
      <c r="AD25" s="428"/>
      <c r="AF25" s="1406"/>
    </row>
    <row r="26" ht="15.75" customHeight="1">
      <c r="A26" s="222"/>
      <c r="B26" s="65"/>
      <c r="C26" s="65"/>
      <c r="D26" s="65"/>
      <c r="E26" s="1840" t="s">
        <v>9970</v>
      </c>
      <c r="F26" s="1830" t="s">
        <v>9971</v>
      </c>
      <c r="G26" s="1230"/>
      <c r="H26" s="1814" t="s">
        <v>493</v>
      </c>
      <c r="I26" s="1819" t="s">
        <v>34</v>
      </c>
      <c r="J26" s="1820" t="s">
        <v>9972</v>
      </c>
      <c r="K26" s="1230"/>
      <c r="L26" s="428"/>
      <c r="M26" s="449"/>
      <c r="N26" s="428"/>
      <c r="O26" s="428"/>
      <c r="P26" s="997"/>
      <c r="Q26" s="1026"/>
      <c r="R26" s="998"/>
      <c r="S26" s="428"/>
      <c r="T26" s="428"/>
      <c r="U26" s="428"/>
      <c r="V26" s="428"/>
      <c r="W26" s="428"/>
      <c r="X26" s="1839" t="s">
        <v>9973</v>
      </c>
      <c r="Y26" s="1839" t="s">
        <v>9974</v>
      </c>
      <c r="Z26" s="1230"/>
      <c r="AA26" s="1842" t="s">
        <v>9975</v>
      </c>
      <c r="AB26" s="428"/>
      <c r="AC26" s="1818" t="s">
        <v>9976</v>
      </c>
      <c r="AD26" s="428"/>
      <c r="AF26" s="1406"/>
    </row>
    <row r="27" ht="15.75" customHeight="1">
      <c r="A27" s="222"/>
      <c r="B27" s="324" t="s">
        <v>9977</v>
      </c>
      <c r="C27" s="47" t="s">
        <v>9978</v>
      </c>
      <c r="D27" s="65"/>
      <c r="E27" s="65"/>
      <c r="F27" s="65"/>
      <c r="G27" s="1230"/>
      <c r="H27" s="1825" t="s">
        <v>9979</v>
      </c>
      <c r="I27" s="976"/>
      <c r="J27" s="954"/>
      <c r="K27" s="1230"/>
      <c r="L27" s="1814" t="s">
        <v>2893</v>
      </c>
      <c r="M27" s="1819" t="s">
        <v>109</v>
      </c>
      <c r="N27" s="1820" t="s">
        <v>9980</v>
      </c>
      <c r="O27" s="1230"/>
      <c r="P27" s="1230"/>
      <c r="Q27" s="1230"/>
      <c r="R27" s="1230"/>
      <c r="S27" s="1230"/>
      <c r="T27" s="1230"/>
      <c r="U27" s="1230"/>
      <c r="V27" s="1230"/>
      <c r="W27" s="1230"/>
      <c r="X27" s="1837" t="s">
        <v>9981</v>
      </c>
      <c r="Y27" s="1838" t="s">
        <v>9982</v>
      </c>
      <c r="Z27" s="1230"/>
      <c r="AA27" s="1818" t="s">
        <v>9983</v>
      </c>
      <c r="AB27" s="428"/>
      <c r="AC27" s="1842" t="s">
        <v>9984</v>
      </c>
      <c r="AD27" s="428"/>
      <c r="AF27" s="1406"/>
    </row>
    <row r="28" ht="15.75" customHeight="1">
      <c r="A28" s="222"/>
      <c r="B28" s="1815" t="s">
        <v>9864</v>
      </c>
      <c r="C28" s="1816" t="s">
        <v>9985</v>
      </c>
      <c r="D28" s="65"/>
      <c r="E28" s="65"/>
      <c r="F28" s="65"/>
      <c r="G28" s="1230"/>
      <c r="H28" s="997"/>
      <c r="I28" s="1026"/>
      <c r="J28" s="998"/>
      <c r="K28" s="1230"/>
      <c r="L28" s="1825" t="s">
        <v>9986</v>
      </c>
      <c r="M28" s="976"/>
      <c r="N28" s="954"/>
      <c r="O28" s="1230"/>
      <c r="P28" s="1813" t="s">
        <v>3360</v>
      </c>
      <c r="Q28" s="1819" t="s">
        <v>120</v>
      </c>
      <c r="R28" s="1820" t="s">
        <v>9987</v>
      </c>
      <c r="S28" s="1230"/>
      <c r="T28" s="1230"/>
      <c r="U28" s="1230"/>
      <c r="V28" s="1230"/>
      <c r="W28" s="1230"/>
      <c r="X28" s="1839" t="s">
        <v>9988</v>
      </c>
      <c r="Y28" s="1839" t="s">
        <v>9989</v>
      </c>
      <c r="Z28" s="1230"/>
      <c r="AA28" s="1254"/>
      <c r="AB28" s="428"/>
      <c r="AC28" s="1818" t="s">
        <v>9990</v>
      </c>
      <c r="AD28" s="428"/>
      <c r="AF28" s="1406"/>
    </row>
    <row r="29" ht="15.75" customHeight="1">
      <c r="A29" s="222"/>
      <c r="B29" s="191" t="s">
        <v>9991</v>
      </c>
      <c r="C29" s="95" t="s">
        <v>9992</v>
      </c>
      <c r="D29" s="65"/>
      <c r="E29" s="65"/>
      <c r="F29" s="65"/>
      <c r="G29" s="1230"/>
      <c r="H29" s="428"/>
      <c r="I29" s="1230"/>
      <c r="J29" s="428"/>
      <c r="K29" s="1230"/>
      <c r="L29" s="997"/>
      <c r="M29" s="1026"/>
      <c r="N29" s="998"/>
      <c r="O29" s="1230"/>
      <c r="P29" s="1231" t="s">
        <v>9993</v>
      </c>
      <c r="Q29" s="976"/>
      <c r="R29" s="954"/>
      <c r="S29" s="1230"/>
      <c r="T29" s="1230"/>
      <c r="U29" s="1230"/>
      <c r="V29" s="1230"/>
      <c r="W29" s="1230"/>
      <c r="X29" s="1837" t="s">
        <v>9804</v>
      </c>
      <c r="Y29" s="1838" t="s">
        <v>9863</v>
      </c>
      <c r="Z29" s="1230"/>
      <c r="AB29" s="428"/>
      <c r="AC29" s="1822" t="s">
        <v>9994</v>
      </c>
      <c r="AD29" s="428"/>
      <c r="AF29" s="1406"/>
    </row>
    <row r="30" ht="15.75" customHeight="1">
      <c r="A30" s="222"/>
      <c r="B30" s="1815" t="s">
        <v>9995</v>
      </c>
      <c r="C30" s="1816" t="s">
        <v>9996</v>
      </c>
      <c r="D30" s="65"/>
      <c r="E30" s="65"/>
      <c r="F30" s="65"/>
      <c r="G30" s="1230"/>
      <c r="H30" s="1814" t="s">
        <v>653</v>
      </c>
      <c r="I30" s="1819" t="s">
        <v>32</v>
      </c>
      <c r="J30" s="1820" t="s">
        <v>9997</v>
      </c>
      <c r="K30" s="1230"/>
      <c r="L30" s="428"/>
      <c r="M30" s="449"/>
      <c r="N30" s="428"/>
      <c r="O30" s="1230"/>
      <c r="P30" s="997"/>
      <c r="Q30" s="1026"/>
      <c r="R30" s="998"/>
      <c r="S30" s="1230"/>
      <c r="T30" s="1230"/>
      <c r="U30" s="1230"/>
      <c r="V30" s="1230"/>
      <c r="W30" s="1230"/>
      <c r="X30" s="1843" t="s">
        <v>9998</v>
      </c>
      <c r="Y30" s="1843" t="s">
        <v>9924</v>
      </c>
      <c r="Z30" s="1230"/>
      <c r="AA30" s="1814" t="s">
        <v>9974</v>
      </c>
      <c r="AB30" s="428"/>
      <c r="AC30" s="428"/>
      <c r="AD30" s="428"/>
      <c r="AF30" s="1406"/>
    </row>
    <row r="31" ht="15.75" customHeight="1">
      <c r="A31" s="222"/>
      <c r="B31" s="191" t="s">
        <v>9999</v>
      </c>
      <c r="C31" s="95" t="s">
        <v>10000</v>
      </c>
      <c r="D31" s="65"/>
      <c r="E31" s="65"/>
      <c r="F31" s="65"/>
      <c r="G31" s="1230"/>
      <c r="H31" s="1231" t="s">
        <v>10001</v>
      </c>
      <c r="I31" s="976"/>
      <c r="J31" s="954"/>
      <c r="K31" s="1230"/>
      <c r="L31" s="1814" t="s">
        <v>2905</v>
      </c>
      <c r="M31" s="1819" t="s">
        <v>109</v>
      </c>
      <c r="N31" s="1820" t="s">
        <v>10002</v>
      </c>
      <c r="O31" s="1230"/>
      <c r="P31" s="1230"/>
      <c r="Q31" s="1230"/>
      <c r="R31" s="1230"/>
      <c r="S31" s="1230"/>
      <c r="T31" s="1230"/>
      <c r="U31" s="1230"/>
      <c r="V31" s="1230"/>
      <c r="W31" s="1230"/>
      <c r="X31" s="1230"/>
      <c r="Y31" s="1230"/>
      <c r="Z31" s="1230"/>
      <c r="AA31" s="1619" t="s">
        <v>10003</v>
      </c>
      <c r="AB31" s="428"/>
      <c r="AC31" s="1814" t="s">
        <v>1440</v>
      </c>
      <c r="AD31" s="428"/>
      <c r="AF31" s="1406"/>
    </row>
    <row r="32" ht="15.75" customHeight="1">
      <c r="A32" s="222"/>
      <c r="B32" s="1815" t="s">
        <v>10004</v>
      </c>
      <c r="C32" s="1816" t="s">
        <v>10005</v>
      </c>
      <c r="D32" s="65"/>
      <c r="E32" s="65"/>
      <c r="F32" s="65"/>
      <c r="G32" s="1230"/>
      <c r="H32" s="997"/>
      <c r="I32" s="1026"/>
      <c r="J32" s="998"/>
      <c r="K32" s="1230"/>
      <c r="L32" s="1231" t="s">
        <v>10006</v>
      </c>
      <c r="M32" s="976"/>
      <c r="N32" s="954"/>
      <c r="O32" s="1230"/>
      <c r="P32" s="1813" t="s">
        <v>3433</v>
      </c>
      <c r="Q32" s="1819" t="s">
        <v>32</v>
      </c>
      <c r="R32" s="1820" t="s">
        <v>9960</v>
      </c>
      <c r="S32" s="1230"/>
      <c r="T32" s="1230"/>
      <c r="U32" s="1230"/>
      <c r="V32" s="1230"/>
      <c r="W32" s="1230"/>
      <c r="X32" s="1824" t="s">
        <v>10007</v>
      </c>
      <c r="Y32" s="48"/>
      <c r="Z32" s="1230"/>
      <c r="AA32" s="428"/>
      <c r="AB32" s="428"/>
      <c r="AC32" s="1619" t="s">
        <v>10008</v>
      </c>
      <c r="AD32" s="428"/>
      <c r="AF32" s="1406"/>
    </row>
    <row r="33" ht="15.75" customHeight="1">
      <c r="A33" s="222"/>
      <c r="B33" s="191" t="s">
        <v>10009</v>
      </c>
      <c r="C33" s="95" t="s">
        <v>10010</v>
      </c>
      <c r="D33" s="65"/>
      <c r="E33" s="65"/>
      <c r="F33" s="65"/>
      <c r="G33" s="1230"/>
      <c r="H33" s="1230"/>
      <c r="I33" s="1230"/>
      <c r="J33" s="1230"/>
      <c r="K33" s="1230"/>
      <c r="L33" s="997"/>
      <c r="M33" s="1026"/>
      <c r="N33" s="998"/>
      <c r="O33" s="1230"/>
      <c r="P33" s="1231" t="s">
        <v>10011</v>
      </c>
      <c r="Q33" s="976"/>
      <c r="R33" s="954"/>
      <c r="S33" s="1230"/>
      <c r="T33" s="1230"/>
      <c r="U33" s="1230"/>
      <c r="V33" s="1230"/>
      <c r="W33" s="1230"/>
      <c r="X33" s="1230"/>
      <c r="Y33" s="1230"/>
      <c r="Z33" s="1230"/>
      <c r="AA33" s="1814" t="s">
        <v>9932</v>
      </c>
      <c r="AB33" s="428"/>
      <c r="AC33" s="428"/>
      <c r="AD33" s="428"/>
      <c r="AF33" s="1406"/>
    </row>
    <row r="34" ht="15.75" customHeight="1">
      <c r="A34" s="222"/>
      <c r="B34" s="1815" t="s">
        <v>10012</v>
      </c>
      <c r="C34" s="1816" t="s">
        <v>10013</v>
      </c>
      <c r="D34" s="65"/>
      <c r="E34" s="65"/>
      <c r="F34" s="65"/>
      <c r="G34" s="1230"/>
      <c r="H34" s="1813" t="s">
        <v>903</v>
      </c>
      <c r="I34" s="1819" t="s">
        <v>9846</v>
      </c>
      <c r="J34" s="1820" t="s">
        <v>10014</v>
      </c>
      <c r="K34" s="1230"/>
      <c r="L34" s="1230"/>
      <c r="M34" s="449"/>
      <c r="N34" s="1230"/>
      <c r="O34" s="1230"/>
      <c r="P34" s="997"/>
      <c r="Q34" s="1026"/>
      <c r="R34" s="998"/>
      <c r="S34" s="1230"/>
      <c r="T34" s="1230"/>
      <c r="U34" s="1230"/>
      <c r="V34" s="1230"/>
      <c r="W34" s="1230"/>
      <c r="X34" s="1834" t="s">
        <v>10015</v>
      </c>
      <c r="Y34" s="48"/>
      <c r="Z34" s="1230"/>
      <c r="AA34" s="1818" t="s">
        <v>10016</v>
      </c>
      <c r="AB34" s="428"/>
      <c r="AC34" s="1814" t="s">
        <v>9939</v>
      </c>
      <c r="AD34" s="428"/>
      <c r="AF34" s="1406"/>
    </row>
    <row r="35" ht="15.75" customHeight="1">
      <c r="A35" s="222"/>
      <c r="B35" s="191" t="s">
        <v>10017</v>
      </c>
      <c r="C35" s="95" t="s">
        <v>10018</v>
      </c>
      <c r="D35" s="65"/>
      <c r="E35" s="65"/>
      <c r="F35" s="65"/>
      <c r="G35" s="1230"/>
      <c r="H35" s="1231" t="s">
        <v>10019</v>
      </c>
      <c r="I35" s="976"/>
      <c r="J35" s="954"/>
      <c r="K35" s="1230"/>
      <c r="L35" s="1813" t="s">
        <v>3037</v>
      </c>
      <c r="M35" s="1819" t="s">
        <v>79</v>
      </c>
      <c r="N35" s="1820" t="s">
        <v>10020</v>
      </c>
      <c r="O35" s="1230"/>
      <c r="P35" s="1230"/>
      <c r="Q35" s="1230"/>
      <c r="R35" s="1230"/>
      <c r="S35" s="1230"/>
      <c r="T35" s="1230"/>
      <c r="U35" s="1230"/>
      <c r="V35" s="1230"/>
      <c r="W35" s="1230"/>
      <c r="X35" s="1844" t="s">
        <v>10021</v>
      </c>
      <c r="Y35" s="954"/>
      <c r="Z35" s="1230"/>
      <c r="AA35" s="1832" t="s">
        <v>10022</v>
      </c>
      <c r="AB35" s="428"/>
      <c r="AC35" s="1818" t="s">
        <v>10023</v>
      </c>
      <c r="AD35" s="428"/>
      <c r="AF35" s="1406"/>
    </row>
    <row r="36" ht="15.75" customHeight="1">
      <c r="A36" s="222"/>
      <c r="B36" s="1815" t="s">
        <v>10024</v>
      </c>
      <c r="C36" s="1816" t="s">
        <v>10025</v>
      </c>
      <c r="D36" s="65"/>
      <c r="E36" s="65"/>
      <c r="F36" s="65"/>
      <c r="G36" s="1230"/>
      <c r="H36" s="997"/>
      <c r="I36" s="1026"/>
      <c r="J36" s="998"/>
      <c r="K36" s="1230"/>
      <c r="L36" s="1231" t="s">
        <v>10026</v>
      </c>
      <c r="M36" s="976"/>
      <c r="N36" s="954"/>
      <c r="O36" s="1230"/>
      <c r="P36" s="1813" t="s">
        <v>3722</v>
      </c>
      <c r="Q36" s="1819" t="s">
        <v>197</v>
      </c>
      <c r="R36" s="1820" t="s">
        <v>10027</v>
      </c>
      <c r="S36" s="1230"/>
      <c r="T36" s="1230"/>
      <c r="U36" s="1230"/>
      <c r="V36" s="1230"/>
      <c r="W36" s="1230"/>
      <c r="X36" s="997"/>
      <c r="Y36" s="998"/>
      <c r="Z36" s="1230"/>
      <c r="AA36" s="1254"/>
      <c r="AB36" s="428"/>
      <c r="AC36" s="1517"/>
      <c r="AD36" s="428"/>
      <c r="AF36" s="1406"/>
    </row>
    <row r="37" ht="15.75" customHeight="1">
      <c r="A37" s="222"/>
      <c r="B37" s="191" t="s">
        <v>10028</v>
      </c>
      <c r="C37" s="95" t="s">
        <v>10029</v>
      </c>
      <c r="D37" s="65"/>
      <c r="E37" s="65"/>
      <c r="F37" s="65"/>
      <c r="G37" s="1230"/>
      <c r="H37" s="428"/>
      <c r="I37" s="428"/>
      <c r="J37" s="428"/>
      <c r="K37" s="1230"/>
      <c r="L37" s="997"/>
      <c r="M37" s="1026"/>
      <c r="N37" s="998"/>
      <c r="O37" s="1230"/>
      <c r="P37" s="1231" t="s">
        <v>10030</v>
      </c>
      <c r="Q37" s="976"/>
      <c r="R37" s="954"/>
      <c r="S37" s="1230"/>
      <c r="T37" s="1230"/>
      <c r="U37" s="1230"/>
      <c r="V37" s="1230"/>
      <c r="W37" s="1230"/>
      <c r="X37" s="1230"/>
      <c r="Y37" s="1230"/>
      <c r="Z37" s="1230"/>
      <c r="AB37" s="428"/>
      <c r="AC37" s="1517"/>
      <c r="AD37" s="428"/>
      <c r="AF37" s="1406"/>
    </row>
    <row r="38" ht="15.75" customHeight="1">
      <c r="A38" s="222"/>
      <c r="B38" s="1815" t="s">
        <v>10031</v>
      </c>
      <c r="C38" s="1816" t="s">
        <v>10032</v>
      </c>
      <c r="D38" s="65"/>
      <c r="E38" s="65"/>
      <c r="F38" s="65"/>
      <c r="G38" s="1230"/>
      <c r="H38" s="1813" t="s">
        <v>1546</v>
      </c>
      <c r="I38" s="1819" t="s">
        <v>6</v>
      </c>
      <c r="J38" s="1820" t="s">
        <v>10033</v>
      </c>
      <c r="K38" s="1230"/>
      <c r="L38" s="1230"/>
      <c r="M38" s="449"/>
      <c r="N38" s="1230"/>
      <c r="O38" s="1230"/>
      <c r="P38" s="997"/>
      <c r="Q38" s="1026"/>
      <c r="R38" s="998"/>
      <c r="S38" s="1230"/>
      <c r="T38" s="1230"/>
      <c r="U38" s="1230"/>
      <c r="V38" s="1230"/>
      <c r="W38" s="1230"/>
      <c r="Z38" s="1230"/>
      <c r="AB38" s="428"/>
      <c r="AC38" s="1254"/>
      <c r="AD38" s="428"/>
      <c r="AF38" s="1406"/>
    </row>
    <row r="39" ht="15.75" customHeight="1">
      <c r="A39" s="222"/>
      <c r="B39" s="191" t="s">
        <v>10034</v>
      </c>
      <c r="C39" s="95" t="s">
        <v>10035</v>
      </c>
      <c r="D39" s="65"/>
      <c r="E39" s="65"/>
      <c r="F39" s="65"/>
      <c r="G39" s="1230"/>
      <c r="H39" s="1845" t="s">
        <v>10036</v>
      </c>
      <c r="I39" s="976"/>
      <c r="J39" s="954"/>
      <c r="K39" s="1230"/>
      <c r="L39" s="1230"/>
      <c r="M39" s="449"/>
      <c r="N39" s="1230"/>
      <c r="O39" s="1230"/>
      <c r="P39" s="1230"/>
      <c r="Q39" s="1230"/>
      <c r="R39" s="1230"/>
      <c r="S39" s="1230"/>
      <c r="T39" s="1230"/>
      <c r="U39" s="1230"/>
      <c r="V39" s="1230"/>
      <c r="W39" s="1230"/>
      <c r="Z39" s="1230"/>
      <c r="AB39" s="428"/>
      <c r="AD39" s="428"/>
      <c r="AF39" s="1406"/>
    </row>
    <row r="40" ht="15.75" customHeight="1">
      <c r="A40" s="222"/>
      <c r="B40" s="1829" t="s">
        <v>10037</v>
      </c>
      <c r="C40" s="1830" t="s">
        <v>10038</v>
      </c>
      <c r="D40" s="65"/>
      <c r="E40" s="65"/>
      <c r="F40" s="65"/>
      <c r="G40" s="1230"/>
      <c r="H40" s="997"/>
      <c r="I40" s="1026"/>
      <c r="J40" s="998"/>
      <c r="K40" s="1230"/>
      <c r="L40" s="1230"/>
      <c r="M40" s="449"/>
      <c r="N40" s="1230"/>
      <c r="O40" s="1230"/>
      <c r="P40" s="1230"/>
      <c r="Q40" s="1230"/>
      <c r="R40" s="1230"/>
      <c r="S40" s="1230"/>
      <c r="T40" s="1230"/>
      <c r="U40" s="1230"/>
      <c r="V40" s="1230"/>
      <c r="W40" s="1230"/>
      <c r="Z40" s="1230"/>
      <c r="AB40" s="428"/>
      <c r="AD40" s="428"/>
      <c r="AF40" s="1406"/>
    </row>
    <row r="41" ht="15.75" customHeight="1">
      <c r="A41" s="145"/>
      <c r="B41" s="144"/>
      <c r="C41" s="144"/>
      <c r="D41" s="144"/>
      <c r="E41" s="144"/>
      <c r="F41" s="144"/>
      <c r="G41" s="1634"/>
      <c r="H41" s="1634"/>
      <c r="I41" s="1634"/>
      <c r="J41" s="1634"/>
      <c r="K41" s="1634"/>
      <c r="L41" s="1634"/>
      <c r="M41" s="1227"/>
      <c r="N41" s="1634"/>
      <c r="O41" s="1634"/>
      <c r="P41" s="1634"/>
      <c r="Q41" s="1634"/>
      <c r="R41" s="1634"/>
      <c r="S41" s="1634"/>
      <c r="T41" s="1634"/>
      <c r="U41" s="1634"/>
      <c r="V41" s="1634"/>
      <c r="W41" s="1634"/>
      <c r="X41" s="1634"/>
      <c r="Y41" s="1634"/>
      <c r="Z41" s="1634"/>
      <c r="AA41" s="1226"/>
      <c r="AB41" s="1226"/>
      <c r="AC41" s="1226"/>
      <c r="AD41" s="1226"/>
      <c r="AE41" s="1226"/>
      <c r="AF41" s="159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X2:Y3"/>
    <mergeCell ref="X5:Y5"/>
    <mergeCell ref="X7:Y8"/>
    <mergeCell ref="X9:Y9"/>
    <mergeCell ref="X10:Y11"/>
    <mergeCell ref="AC11:AC12"/>
    <mergeCell ref="X13:Y13"/>
    <mergeCell ref="B2:C3"/>
    <mergeCell ref="H2:J3"/>
    <mergeCell ref="B5:C5"/>
    <mergeCell ref="L5:N6"/>
    <mergeCell ref="P5:R6"/>
    <mergeCell ref="T5:V6"/>
    <mergeCell ref="B7:C8"/>
    <mergeCell ref="H5:J5"/>
    <mergeCell ref="H7:J8"/>
    <mergeCell ref="H9:J11"/>
    <mergeCell ref="L9:N10"/>
    <mergeCell ref="P9:R10"/>
    <mergeCell ref="T9:V10"/>
    <mergeCell ref="E13:F13"/>
    <mergeCell ref="X15:Y16"/>
    <mergeCell ref="X17:Y17"/>
    <mergeCell ref="X32:Y32"/>
    <mergeCell ref="X34:Y34"/>
    <mergeCell ref="X35:Y36"/>
    <mergeCell ref="AA35:AA36"/>
    <mergeCell ref="AC35:AC38"/>
    <mergeCell ref="H12:J14"/>
    <mergeCell ref="L13:N14"/>
    <mergeCell ref="P13:R14"/>
    <mergeCell ref="T13:V14"/>
    <mergeCell ref="H15:J17"/>
    <mergeCell ref="AE16:AE17"/>
    <mergeCell ref="T17:V17"/>
    <mergeCell ref="L17:N18"/>
    <mergeCell ref="P17:R18"/>
    <mergeCell ref="H19:J19"/>
    <mergeCell ref="T20:V20"/>
    <mergeCell ref="L21:N21"/>
    <mergeCell ref="P21:R22"/>
    <mergeCell ref="T23:V24"/>
    <mergeCell ref="H27:J28"/>
    <mergeCell ref="H31:J32"/>
    <mergeCell ref="L32:N33"/>
    <mergeCell ref="P33:R34"/>
    <mergeCell ref="H35:J36"/>
    <mergeCell ref="L36:N37"/>
    <mergeCell ref="P37:R38"/>
    <mergeCell ref="H39:J40"/>
    <mergeCell ref="H24:J24"/>
    <mergeCell ref="L24:N25"/>
    <mergeCell ref="B25:C25"/>
    <mergeCell ref="P25:R26"/>
    <mergeCell ref="AA27:AA28"/>
    <mergeCell ref="L28:N29"/>
    <mergeCell ref="P29:R30"/>
  </mergeCells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37" priority="1" operator="beginsWith" text="Route">
      <formula>LEFT((X1),LEN("Route"))=("Route")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38" priority="2" operator="beginsWith" text="Grass">
      <formula>LEFT((X1),LEN("Grass"))=("Grass")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38" priority="3" operator="beginsWith" text="Poké Radar">
      <formula>LEFT((X1),LEN("Poké Radar"))=("Poké Radar")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39" priority="4" operator="beginsWith" text="Surf">
      <formula>LEFT((X1),LEN("Surf"))=("Surf")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39" priority="5" operator="equal">
      <formula>"Rods"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39" priority="6" operator="equal">
      <formula>"O"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39" priority="7" operator="equal">
      <formula>"S"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39" priority="8" operator="equal">
      <formula>"G"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40" priority="9" operator="beginsWith" text="Honey">
      <formula>LEFT((X1),LEN("Honey"))=("Honey")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41" priority="10" operator="beginsWith" text="Cave">
      <formula>LEFT((X1),LEN("Cave"))=("Cave")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beginsWith" dxfId="42" priority="11" operator="beginsWith" text="Ground">
      <formula>LEFT((X1),LEN("Ground"))=("Ground")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43" priority="12" operator="equal">
      <formula>"M"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43" priority="13" operator="equal">
      <formula>"D"</formula>
    </cfRule>
  </conditionalFormatting>
  <conditionalFormatting sqref="X1:Y5 X41:Y41 Z1:Z41 AA1 AA10:AA12 AA14 AA20 AA23 AA41 AB1:AB2 AB4:AB5 AB7 AB12:AB13 AB15 AB17 AB19:AB21 AB23:AB27 AB29 AB40:AB41 AC1 AC5:AC19 AC21:AC39 AC41 AD1:AD2 AD4:AD5 AD7 AD12:AD13 AD15 AD17 AD19:AD21 AD23:AD27 AD29 AD40:AD41 AE2:AE39 AE41 AF1:AF2 AF4:AF5 AF7 AF12:AF13 AF15 AF17 AF19:AF21 AF23:AF27 AF29 AF40:AF41">
    <cfRule type="cellIs" dxfId="43" priority="14" operator="equal">
      <formula>"N"</formula>
    </cfRule>
  </conditionalFormatting>
  <printOptions gridLines="1" horizontalCentered="1"/>
  <pageMargins bottom="0.75" footer="0.0" header="0.0" left="0.25" right="0.25" top="0.75"/>
  <pageSetup paperSize="9" orientation="landscape" pageOrder="overThenDown"/>
  <rowBreaks count="1" manualBreakCount="1">
    <brk id="41" man="1"/>
  </rowBreaks>
  <colBreaks count="1" manualBreakCount="1">
    <brk id="23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C34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3.88"/>
    <col customWidth="1" min="3" max="3" width="24.0"/>
    <col customWidth="1" min="4" max="4" width="3.88"/>
    <col customWidth="1" min="5" max="5" width="24.0"/>
    <col customWidth="1" min="6" max="6" width="2.38"/>
    <col customWidth="1" min="7" max="7" width="3.88"/>
    <col customWidth="1" min="8" max="8" width="11.5"/>
    <col customWidth="1" min="9" max="9" width="36.25"/>
    <col customWidth="1" min="10" max="10" width="2.38"/>
    <col customWidth="1" min="11" max="11" width="3.88"/>
    <col customWidth="1" min="12" max="12" width="11.5"/>
    <col customWidth="1" min="13" max="13" width="36.25"/>
    <col customWidth="1" min="14" max="14" width="2.38"/>
    <col customWidth="1" min="15" max="15" width="3.88"/>
    <col customWidth="1" min="16" max="16" width="11.5"/>
    <col customWidth="1" min="17" max="17" width="36.25"/>
    <col customWidth="1" min="18" max="18" width="2.38"/>
    <col customWidth="1" min="19" max="19" width="3.88"/>
    <col customWidth="1" min="20" max="20" width="11.5"/>
    <col customWidth="1" min="21" max="21" width="36.25"/>
    <col customWidth="1" min="22" max="22" width="2.38"/>
    <col customWidth="1" min="23" max="23" width="3.88"/>
    <col customWidth="1" min="24" max="24" width="11.5"/>
    <col customWidth="1" min="25" max="25" width="36.25"/>
    <col customWidth="1" min="26" max="26" width="2.38"/>
    <col customWidth="1" min="27" max="27" width="14.63"/>
    <col customWidth="1" min="28" max="31" width="7.75"/>
    <col customWidth="1" min="32" max="32" width="29.38"/>
    <col customWidth="1" min="33" max="33" width="14.0"/>
    <col customWidth="1" min="34" max="35" width="2.38"/>
    <col customWidth="1" min="36" max="36" width="14.63"/>
    <col customWidth="1" min="37" max="40" width="7.75"/>
    <col customWidth="1" min="41" max="41" width="29.38"/>
    <col customWidth="1" min="42" max="42" width="14.0"/>
    <col customWidth="1" min="43" max="44" width="2.38"/>
    <col customWidth="1" min="45" max="45" width="15.25"/>
    <col customWidth="1" min="46" max="49" width="7.75"/>
    <col customWidth="1" min="50" max="50" width="29.38"/>
    <col customWidth="1" min="51" max="51" width="14.0"/>
    <col customWidth="1" min="52" max="53" width="2.38"/>
    <col customWidth="1" min="54" max="54" width="3.88"/>
    <col customWidth="1" min="55" max="55" width="15.25"/>
    <col customWidth="1" min="56" max="56" width="29.38"/>
    <col customWidth="1" min="57" max="57" width="14.0"/>
    <col customWidth="1" min="58" max="59" width="2.38"/>
    <col customWidth="1" min="60" max="60" width="3.88"/>
    <col customWidth="1" min="61" max="61" width="16.25"/>
    <col customWidth="1" min="62" max="62" width="14.75"/>
    <col customWidth="1" min="63" max="63" width="3.88"/>
    <col customWidth="1" min="64" max="64" width="14.75"/>
    <col customWidth="1" min="65" max="65" width="14.0"/>
    <col customWidth="1" min="66" max="67" width="2.38"/>
  </cols>
  <sheetData>
    <row r="1" ht="15.75" customHeight="1">
      <c r="A1" s="1231"/>
      <c r="B1" s="1233"/>
      <c r="C1" s="1233"/>
      <c r="D1" s="1233"/>
      <c r="E1" s="1233"/>
      <c r="F1" s="1233"/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3"/>
      <c r="AB1" s="1233"/>
      <c r="AC1" s="1233"/>
      <c r="AD1" s="1233"/>
      <c r="AE1" s="1233"/>
      <c r="AF1" s="1233"/>
      <c r="AG1" s="1233"/>
      <c r="AH1" s="1234"/>
      <c r="AI1" s="1233"/>
      <c r="AJ1" s="1233"/>
      <c r="AK1" s="1234"/>
      <c r="AL1" s="1234"/>
      <c r="AM1" s="1234"/>
      <c r="AN1" s="1234"/>
      <c r="AO1" s="1233"/>
      <c r="AP1" s="1233"/>
      <c r="AQ1" s="1234"/>
      <c r="AR1" s="1233"/>
      <c r="AS1" s="1233"/>
      <c r="AT1" s="1234"/>
      <c r="AU1" s="1234"/>
      <c r="AV1" s="1234"/>
      <c r="AW1" s="1234"/>
      <c r="AX1" s="1233"/>
      <c r="AY1" s="1233"/>
      <c r="AZ1" s="1234"/>
      <c r="BA1" s="1233"/>
      <c r="BB1" s="1234"/>
      <c r="BC1" s="1233"/>
      <c r="BD1" s="1233"/>
      <c r="BE1" s="1233"/>
      <c r="BF1" s="1234"/>
      <c r="BG1" s="1233"/>
      <c r="BH1" s="1234"/>
      <c r="BI1" s="1233"/>
      <c r="BJ1" s="1233"/>
      <c r="BK1" s="1233"/>
      <c r="BL1" s="1233"/>
      <c r="BM1" s="1233"/>
      <c r="BN1" s="1233"/>
      <c r="BO1" s="1846"/>
    </row>
    <row r="2" ht="15.75" customHeight="1">
      <c r="A2" s="1238"/>
      <c r="B2" s="1847" t="s">
        <v>10039</v>
      </c>
      <c r="C2" s="976"/>
      <c r="D2" s="976"/>
      <c r="E2" s="954"/>
      <c r="F2" s="1230"/>
      <c r="G2" s="1848" t="s">
        <v>10040</v>
      </c>
      <c r="H2" s="12"/>
      <c r="I2" s="48"/>
      <c r="J2" s="1230"/>
      <c r="K2" s="1849" t="s">
        <v>10041</v>
      </c>
      <c r="L2" s="48"/>
      <c r="M2" s="1850" t="s">
        <v>10042</v>
      </c>
      <c r="N2" s="1230"/>
      <c r="O2" s="1849" t="s">
        <v>10041</v>
      </c>
      <c r="P2" s="48"/>
      <c r="Q2" s="1850" t="s">
        <v>10042</v>
      </c>
      <c r="R2" s="1230"/>
      <c r="S2" s="1849" t="s">
        <v>10041</v>
      </c>
      <c r="T2" s="48"/>
      <c r="U2" s="1850" t="s">
        <v>10042</v>
      </c>
      <c r="V2" s="1230"/>
      <c r="W2" s="1849" t="s">
        <v>10041</v>
      </c>
      <c r="X2" s="48"/>
      <c r="Y2" s="1850" t="s">
        <v>10042</v>
      </c>
      <c r="Z2" s="1230"/>
      <c r="AA2" s="1848" t="s">
        <v>10043</v>
      </c>
      <c r="AB2" s="12"/>
      <c r="AC2" s="12"/>
      <c r="AD2" s="12"/>
      <c r="AE2" s="12"/>
      <c r="AF2" s="12"/>
      <c r="AG2" s="12"/>
      <c r="AH2" s="48"/>
      <c r="AI2" s="1230"/>
      <c r="AJ2" s="1850" t="s">
        <v>10044</v>
      </c>
      <c r="AK2" s="1820" t="s">
        <v>4394</v>
      </c>
      <c r="AL2" s="1820" t="s">
        <v>10045</v>
      </c>
      <c r="AM2" s="1820" t="s">
        <v>10046</v>
      </c>
      <c r="AN2" s="1820" t="s">
        <v>10047</v>
      </c>
      <c r="AO2" s="1850" t="s">
        <v>10042</v>
      </c>
      <c r="AP2" s="1850" t="s">
        <v>10048</v>
      </c>
      <c r="AQ2" s="1820" t="s">
        <v>10049</v>
      </c>
      <c r="AR2" s="1230"/>
      <c r="AS2" s="1850" t="s">
        <v>10044</v>
      </c>
      <c r="AT2" s="1820" t="s">
        <v>4394</v>
      </c>
      <c r="AU2" s="1820" t="s">
        <v>10045</v>
      </c>
      <c r="AV2" s="1820" t="s">
        <v>10046</v>
      </c>
      <c r="AW2" s="1820" t="s">
        <v>10047</v>
      </c>
      <c r="AX2" s="1850" t="s">
        <v>10042</v>
      </c>
      <c r="AY2" s="1850" t="s">
        <v>10048</v>
      </c>
      <c r="AZ2" s="1820" t="s">
        <v>10049</v>
      </c>
      <c r="BA2" s="1230"/>
      <c r="BB2" s="1848" t="s">
        <v>10050</v>
      </c>
      <c r="BC2" s="12"/>
      <c r="BD2" s="12"/>
      <c r="BE2" s="12"/>
      <c r="BF2" s="48"/>
      <c r="BG2" s="1230"/>
      <c r="BH2" s="1849" t="s">
        <v>10051</v>
      </c>
      <c r="BI2" s="48"/>
      <c r="BJ2" s="1849" t="s">
        <v>10042</v>
      </c>
      <c r="BK2" s="12"/>
      <c r="BL2" s="48"/>
      <c r="BM2" s="1850" t="s">
        <v>10048</v>
      </c>
      <c r="BN2" s="1820" t="s">
        <v>10049</v>
      </c>
      <c r="BO2" s="1851"/>
    </row>
    <row r="3" ht="15.75" customHeight="1">
      <c r="A3" s="1238"/>
      <c r="B3" s="997"/>
      <c r="C3" s="1026"/>
      <c r="D3" s="1026"/>
      <c r="E3" s="998"/>
      <c r="F3" s="1230"/>
      <c r="G3" s="1230"/>
      <c r="H3" s="1230"/>
      <c r="I3" s="1230"/>
      <c r="J3" s="1230"/>
      <c r="K3" s="1230"/>
      <c r="L3" s="1230"/>
      <c r="M3" s="1230"/>
      <c r="N3" s="1230"/>
      <c r="O3" s="1230"/>
      <c r="P3" s="1230"/>
      <c r="Q3" s="1230"/>
      <c r="R3" s="1230"/>
      <c r="S3" s="1230"/>
      <c r="T3" s="1230"/>
      <c r="U3" s="1230"/>
      <c r="V3" s="1230"/>
      <c r="W3" s="1230"/>
      <c r="X3" s="1230"/>
      <c r="Y3" s="1230"/>
      <c r="Z3" s="1230"/>
      <c r="AH3" s="349"/>
      <c r="AI3" s="1230"/>
      <c r="AJ3" s="1230"/>
      <c r="AK3" s="449"/>
      <c r="AL3" s="449"/>
      <c r="AM3" s="449"/>
      <c r="AN3" s="449"/>
      <c r="AO3" s="1230"/>
      <c r="AP3" s="1230"/>
      <c r="AQ3" s="449"/>
      <c r="AR3" s="1230"/>
      <c r="AS3" s="1230"/>
      <c r="AT3" s="449"/>
      <c r="AU3" s="449"/>
      <c r="AV3" s="449"/>
      <c r="AW3" s="449"/>
      <c r="AX3" s="1230"/>
      <c r="AY3" s="1230"/>
      <c r="AZ3" s="449"/>
      <c r="BA3" s="1230"/>
      <c r="BB3" s="449"/>
      <c r="BC3" s="1230"/>
      <c r="BD3" s="1230"/>
      <c r="BE3" s="1230"/>
      <c r="BF3" s="449"/>
      <c r="BG3" s="1230"/>
      <c r="BH3" s="449"/>
      <c r="BI3" s="1230"/>
      <c r="BJ3" s="1230"/>
      <c r="BK3" s="1230"/>
      <c r="BL3" s="1230"/>
      <c r="BM3" s="1230"/>
      <c r="BN3" s="1230"/>
      <c r="BO3" s="1851"/>
    </row>
    <row r="4" ht="15.75" customHeight="1">
      <c r="A4" s="1238"/>
      <c r="B4" s="1230"/>
      <c r="C4" s="1230"/>
      <c r="D4" s="1230"/>
      <c r="E4" s="1230"/>
      <c r="F4" s="1230"/>
      <c r="G4" s="1849" t="s">
        <v>10041</v>
      </c>
      <c r="H4" s="48"/>
      <c r="I4" s="1850" t="s">
        <v>10042</v>
      </c>
      <c r="J4" s="1230"/>
      <c r="K4" s="1852" t="str">
        <f t="shared" ref="K4:K6" si="1">ITEMICON(L4)</f>
        <v>#NAME?</v>
      </c>
      <c r="L4" s="1407" t="s">
        <v>633</v>
      </c>
      <c r="M4" s="1407" t="s">
        <v>4752</v>
      </c>
      <c r="N4" s="1230"/>
      <c r="O4" s="1853" t="str">
        <f>ITEMICON(P4)</f>
        <v>#NAME?</v>
      </c>
      <c r="P4" s="1809" t="s">
        <v>1607</v>
      </c>
      <c r="Q4" s="1809" t="s">
        <v>10052</v>
      </c>
      <c r="R4" s="1230"/>
      <c r="S4" s="1853" t="str">
        <f>ITEMICON(T4)</f>
        <v>#NAME?</v>
      </c>
      <c r="T4" s="1846" t="s">
        <v>1663</v>
      </c>
      <c r="U4" s="1846" t="s">
        <v>10053</v>
      </c>
      <c r="V4" s="1230"/>
      <c r="W4" s="1853" t="str">
        <f>ITEMICON(X4)</f>
        <v>#NAME?</v>
      </c>
      <c r="X4" s="1846" t="s">
        <v>894</v>
      </c>
      <c r="Y4" s="1846" t="s">
        <v>10054</v>
      </c>
      <c r="Z4" s="1230"/>
      <c r="AA4" s="1834" t="s">
        <v>10055</v>
      </c>
      <c r="AB4" s="12"/>
      <c r="AC4" s="12"/>
      <c r="AD4" s="12"/>
      <c r="AE4" s="12"/>
      <c r="AF4" s="12"/>
      <c r="AG4" s="12"/>
      <c r="AH4" s="48"/>
      <c r="AI4" s="1230"/>
      <c r="AJ4" s="1854" t="s">
        <v>9725</v>
      </c>
      <c r="AK4" s="1408" t="s">
        <v>197</v>
      </c>
      <c r="AL4" s="1408">
        <v>60.0</v>
      </c>
      <c r="AM4" s="1855">
        <v>1.0</v>
      </c>
      <c r="AN4" s="1408">
        <v>20.0</v>
      </c>
      <c r="AO4" s="1856" t="s">
        <v>4520</v>
      </c>
      <c r="AP4" s="1857" t="s">
        <v>10056</v>
      </c>
      <c r="AQ4" s="1858" t="s">
        <v>10049</v>
      </c>
      <c r="AR4" s="1230"/>
      <c r="AS4" s="1854" t="s">
        <v>9760</v>
      </c>
      <c r="AT4" s="1408" t="s">
        <v>66</v>
      </c>
      <c r="AU4" s="1408">
        <v>100.0</v>
      </c>
      <c r="AV4" s="1855">
        <v>0.8</v>
      </c>
      <c r="AW4" s="1852">
        <v>5.0</v>
      </c>
      <c r="AX4" s="1856" t="s">
        <v>4516</v>
      </c>
      <c r="AY4" s="1857" t="s">
        <v>10056</v>
      </c>
      <c r="AZ4" s="1858" t="s">
        <v>10049</v>
      </c>
      <c r="BA4" s="1230"/>
      <c r="BB4" s="1834" t="s">
        <v>10055</v>
      </c>
      <c r="BC4" s="12"/>
      <c r="BD4" s="12"/>
      <c r="BE4" s="12"/>
      <c r="BF4" s="48"/>
      <c r="BG4" s="1230"/>
      <c r="BH4" s="1852" t="str">
        <f t="shared" ref="BH4:BH6" si="2">ITEMICON(BI4)</f>
        <v>#NAME?</v>
      </c>
      <c r="BI4" s="1407" t="s">
        <v>2256</v>
      </c>
      <c r="BJ4" s="1492" t="s">
        <v>4515</v>
      </c>
      <c r="BK4" s="984"/>
      <c r="BL4" s="319"/>
      <c r="BM4" s="1854" t="s">
        <v>10057</v>
      </c>
      <c r="BN4" s="1854"/>
      <c r="BO4" s="1851"/>
    </row>
    <row r="5" ht="15.75" customHeight="1">
      <c r="A5" s="1238"/>
      <c r="B5" s="1848" t="s">
        <v>10058</v>
      </c>
      <c r="C5" s="12"/>
      <c r="D5" s="12"/>
      <c r="E5" s="48"/>
      <c r="F5" s="1230"/>
      <c r="G5" s="1230"/>
      <c r="H5" s="1230"/>
      <c r="I5" s="1230"/>
      <c r="J5" s="1230"/>
      <c r="K5" s="1859" t="str">
        <f t="shared" si="1"/>
        <v>#NAME?</v>
      </c>
      <c r="L5" s="1356" t="s">
        <v>516</v>
      </c>
      <c r="M5" s="1356" t="s">
        <v>10059</v>
      </c>
      <c r="N5" s="1230"/>
      <c r="O5" s="1860"/>
      <c r="P5" s="30"/>
      <c r="Q5" s="30"/>
      <c r="R5" s="1230"/>
      <c r="S5" s="1860"/>
      <c r="T5" s="30"/>
      <c r="U5" s="30"/>
      <c r="V5" s="1230"/>
      <c r="W5" s="1860"/>
      <c r="X5" s="30"/>
      <c r="Y5" s="30"/>
      <c r="Z5" s="1230"/>
      <c r="AA5" s="1230"/>
      <c r="AB5" s="1230"/>
      <c r="AC5" s="1230"/>
      <c r="AD5" s="1230"/>
      <c r="AE5" s="1230"/>
      <c r="AF5" s="1230"/>
      <c r="AG5" s="1230"/>
      <c r="AH5" s="449"/>
      <c r="AI5" s="1230"/>
      <c r="AJ5" s="1838" t="s">
        <v>9713</v>
      </c>
      <c r="AK5" s="1338" t="s">
        <v>34</v>
      </c>
      <c r="AL5" s="1338">
        <v>95.0</v>
      </c>
      <c r="AM5" s="1861">
        <v>1.0</v>
      </c>
      <c r="AN5" s="1338">
        <v>15.0</v>
      </c>
      <c r="AO5" s="1838" t="s">
        <v>4539</v>
      </c>
      <c r="AP5" s="1838" t="s">
        <v>10056</v>
      </c>
      <c r="AQ5" s="1338"/>
      <c r="AR5" s="1230"/>
      <c r="AS5" s="1838" t="s">
        <v>9756</v>
      </c>
      <c r="AT5" s="1338" t="s">
        <v>120</v>
      </c>
      <c r="AU5" s="1338">
        <v>60.0</v>
      </c>
      <c r="AV5" s="1861">
        <v>1.0</v>
      </c>
      <c r="AW5" s="1859">
        <v>10.0</v>
      </c>
      <c r="AX5" s="1838" t="s">
        <v>5057</v>
      </c>
      <c r="AY5" s="1838" t="s">
        <v>10060</v>
      </c>
      <c r="AZ5" s="1338"/>
      <c r="BA5" s="1230"/>
      <c r="BB5" s="1849" t="s">
        <v>10061</v>
      </c>
      <c r="BC5" s="12"/>
      <c r="BD5" s="12"/>
      <c r="BE5" s="12"/>
      <c r="BF5" s="48"/>
      <c r="BG5" s="1230"/>
      <c r="BH5" s="1859" t="str">
        <f t="shared" si="2"/>
        <v>#NAME?</v>
      </c>
      <c r="BI5" s="1356" t="s">
        <v>2275</v>
      </c>
      <c r="BJ5" s="1862" t="s">
        <v>4812</v>
      </c>
      <c r="BK5" s="138"/>
      <c r="BL5" s="128"/>
      <c r="BM5" s="1838" t="s">
        <v>10062</v>
      </c>
      <c r="BN5" s="1838"/>
      <c r="BO5" s="1851"/>
    </row>
    <row r="6" ht="15.75" customHeight="1">
      <c r="A6" s="1238"/>
      <c r="B6" s="1230"/>
      <c r="C6" s="1230"/>
      <c r="D6" s="1230"/>
      <c r="E6" s="1230"/>
      <c r="F6" s="1230"/>
      <c r="G6" s="1852" t="str">
        <f t="shared" ref="G6:G16" si="3">ITEMICON(H6)</f>
        <v>#NAME?</v>
      </c>
      <c r="H6" s="1407" t="s">
        <v>371</v>
      </c>
      <c r="I6" s="1407" t="s">
        <v>10063</v>
      </c>
      <c r="J6" s="1230"/>
      <c r="K6" s="1863" t="str">
        <f t="shared" si="1"/>
        <v>#NAME?</v>
      </c>
      <c r="L6" s="1864" t="s">
        <v>1487</v>
      </c>
      <c r="M6" s="1864" t="s">
        <v>10064</v>
      </c>
      <c r="N6" s="1230"/>
      <c r="O6" s="1859" t="str">
        <f t="shared" ref="O6:O8" si="4">ITEMICON(P6)</f>
        <v>#NAME?</v>
      </c>
      <c r="P6" s="1356" t="s">
        <v>198</v>
      </c>
      <c r="Q6" s="1356" t="s">
        <v>4520</v>
      </c>
      <c r="R6" s="1230"/>
      <c r="S6" s="1859" t="str">
        <f t="shared" ref="S6:S15" si="5">ITEMICON(T6)</f>
        <v>#NAME?</v>
      </c>
      <c r="T6" s="1356" t="s">
        <v>1310</v>
      </c>
      <c r="U6" s="1356" t="s">
        <v>4525</v>
      </c>
      <c r="V6" s="1230"/>
      <c r="W6" s="1859" t="str">
        <f t="shared" ref="W6:W7" si="6">ITEMICON(X6)</f>
        <v>#NAME?</v>
      </c>
      <c r="X6" s="1356" t="s">
        <v>587</v>
      </c>
      <c r="Y6" s="1356" t="s">
        <v>10065</v>
      </c>
      <c r="Z6" s="1230"/>
      <c r="AA6" s="1850" t="s">
        <v>10044</v>
      </c>
      <c r="AB6" s="1820" t="s">
        <v>4394</v>
      </c>
      <c r="AC6" s="1820" t="s">
        <v>10045</v>
      </c>
      <c r="AD6" s="1820" t="s">
        <v>10046</v>
      </c>
      <c r="AE6" s="1820" t="s">
        <v>10047</v>
      </c>
      <c r="AF6" s="1850" t="s">
        <v>10042</v>
      </c>
      <c r="AG6" s="1850" t="s">
        <v>10048</v>
      </c>
      <c r="AH6" s="1865" t="s">
        <v>10049</v>
      </c>
      <c r="AI6" s="1230"/>
      <c r="AJ6" s="1839" t="s">
        <v>9717</v>
      </c>
      <c r="AK6" s="1416" t="s">
        <v>7</v>
      </c>
      <c r="AL6" s="1416">
        <v>90.0</v>
      </c>
      <c r="AM6" s="1866">
        <v>1.0</v>
      </c>
      <c r="AN6" s="1416">
        <v>10.0</v>
      </c>
      <c r="AO6" s="1867" t="s">
        <v>10066</v>
      </c>
      <c r="AP6" s="1868" t="s">
        <v>10056</v>
      </c>
      <c r="AQ6" s="1869" t="s">
        <v>10049</v>
      </c>
      <c r="AR6" s="1230"/>
      <c r="AS6" s="1839" t="s">
        <v>9750</v>
      </c>
      <c r="AT6" s="1416" t="s">
        <v>197</v>
      </c>
      <c r="AU6" s="1416" t="s">
        <v>19</v>
      </c>
      <c r="AV6" s="1866">
        <v>1.0</v>
      </c>
      <c r="AW6" s="1870">
        <v>20.0</v>
      </c>
      <c r="AX6" s="1871" t="s">
        <v>10067</v>
      </c>
      <c r="AY6" s="1872" t="s">
        <v>10056</v>
      </c>
      <c r="AZ6" s="1873" t="s">
        <v>10049</v>
      </c>
      <c r="BA6" s="1230"/>
      <c r="BB6" s="449"/>
      <c r="BC6" s="1230"/>
      <c r="BD6" s="1230"/>
      <c r="BE6" s="1230"/>
      <c r="BF6" s="449"/>
      <c r="BG6" s="1230"/>
      <c r="BH6" s="1874" t="str">
        <f t="shared" si="2"/>
        <v>#NAME?</v>
      </c>
      <c r="BI6" s="1479" t="s">
        <v>2283</v>
      </c>
      <c r="BJ6" s="1875" t="s">
        <v>4819</v>
      </c>
      <c r="BK6" s="413"/>
      <c r="BL6" s="414"/>
      <c r="BM6" s="1843" t="s">
        <v>10068</v>
      </c>
      <c r="BN6" s="1843"/>
      <c r="BO6" s="1851"/>
    </row>
    <row r="7" ht="15.75" customHeight="1">
      <c r="A7" s="1238"/>
      <c r="B7" s="1876" t="s">
        <v>10069</v>
      </c>
      <c r="C7" s="976"/>
      <c r="D7" s="976"/>
      <c r="E7" s="954"/>
      <c r="F7" s="1230"/>
      <c r="G7" s="1859" t="str">
        <f t="shared" si="3"/>
        <v>#NAME?</v>
      </c>
      <c r="H7" s="1356" t="s">
        <v>613</v>
      </c>
      <c r="I7" s="1356" t="s">
        <v>10070</v>
      </c>
      <c r="J7" s="1230"/>
      <c r="K7" s="1155"/>
      <c r="L7" s="1154"/>
      <c r="M7" s="1154"/>
      <c r="N7" s="1230"/>
      <c r="O7" s="1870" t="str">
        <f t="shared" si="4"/>
        <v>#NAME?</v>
      </c>
      <c r="P7" s="1415" t="s">
        <v>901</v>
      </c>
      <c r="Q7" s="1415" t="s">
        <v>10071</v>
      </c>
      <c r="R7" s="1230"/>
      <c r="S7" s="1870" t="str">
        <f t="shared" si="5"/>
        <v>#NAME?</v>
      </c>
      <c r="T7" s="1415" t="s">
        <v>2768</v>
      </c>
      <c r="U7" s="1415" t="s">
        <v>4534</v>
      </c>
      <c r="V7" s="1230"/>
      <c r="W7" s="1863" t="str">
        <f t="shared" si="6"/>
        <v>#NAME?</v>
      </c>
      <c r="X7" s="1864" t="s">
        <v>541</v>
      </c>
      <c r="Y7" s="1864" t="s">
        <v>10072</v>
      </c>
      <c r="Z7" s="1230"/>
      <c r="AA7" s="1230"/>
      <c r="AB7" s="1230"/>
      <c r="AC7" s="1230"/>
      <c r="AD7" s="1230"/>
      <c r="AE7" s="1230"/>
      <c r="AF7" s="1230"/>
      <c r="AG7" s="1230"/>
      <c r="AH7" s="449"/>
      <c r="AI7" s="1230"/>
      <c r="AJ7" s="1838" t="s">
        <v>9720</v>
      </c>
      <c r="AK7" s="1338" t="s">
        <v>66</v>
      </c>
      <c r="AL7" s="1338" t="s">
        <v>19</v>
      </c>
      <c r="AM7" s="1338" t="s">
        <v>19</v>
      </c>
      <c r="AN7" s="1338">
        <v>10.0</v>
      </c>
      <c r="AO7" s="1838" t="s">
        <v>4554</v>
      </c>
      <c r="AP7" s="1838" t="s">
        <v>10056</v>
      </c>
      <c r="AQ7" s="1338"/>
      <c r="AR7" s="1230"/>
      <c r="AS7" s="1838" t="s">
        <v>9752</v>
      </c>
      <c r="AT7" s="1338" t="s">
        <v>95</v>
      </c>
      <c r="AU7" s="1338" t="s">
        <v>10073</v>
      </c>
      <c r="AV7" s="1861">
        <v>1.0</v>
      </c>
      <c r="AW7" s="1859">
        <v>5.0</v>
      </c>
      <c r="AX7" s="1877" t="s">
        <v>4527</v>
      </c>
      <c r="AY7" s="1878" t="s">
        <v>10056</v>
      </c>
      <c r="AZ7" s="1879" t="s">
        <v>10049</v>
      </c>
      <c r="BA7" s="1230"/>
      <c r="BB7" s="1849" t="s">
        <v>10051</v>
      </c>
      <c r="BC7" s="48"/>
      <c r="BD7" s="1850" t="s">
        <v>10042</v>
      </c>
      <c r="BE7" s="1850" t="s">
        <v>10048</v>
      </c>
      <c r="BF7" s="1820" t="s">
        <v>10049</v>
      </c>
      <c r="BG7" s="1230"/>
      <c r="BH7" s="449"/>
      <c r="BI7" s="1230"/>
      <c r="BJ7" s="1230"/>
      <c r="BK7" s="1230"/>
      <c r="BL7" s="1230"/>
      <c r="BM7" s="1230"/>
      <c r="BN7" s="1230"/>
      <c r="BO7" s="1851"/>
    </row>
    <row r="8" ht="15.75" customHeight="1">
      <c r="A8" s="1238"/>
      <c r="B8" s="997"/>
      <c r="C8" s="1026"/>
      <c r="D8" s="1026"/>
      <c r="E8" s="998"/>
      <c r="F8" s="1230"/>
      <c r="G8" s="1870" t="str">
        <f t="shared" si="3"/>
        <v>#NAME?</v>
      </c>
      <c r="H8" s="1415" t="s">
        <v>661</v>
      </c>
      <c r="I8" s="1415" t="s">
        <v>4532</v>
      </c>
      <c r="J8" s="1230"/>
      <c r="K8" s="1860"/>
      <c r="L8" s="30"/>
      <c r="M8" s="30"/>
      <c r="N8" s="1230"/>
      <c r="O8" s="1880" t="str">
        <f t="shared" si="4"/>
        <v>#NAME?</v>
      </c>
      <c r="P8" s="1881" t="s">
        <v>96</v>
      </c>
      <c r="Q8" s="1881" t="s">
        <v>10074</v>
      </c>
      <c r="R8" s="1230"/>
      <c r="S8" s="1859" t="str">
        <f t="shared" si="5"/>
        <v>#NAME?</v>
      </c>
      <c r="T8" s="1356" t="s">
        <v>1746</v>
      </c>
      <c r="U8" s="1356" t="s">
        <v>4539</v>
      </c>
      <c r="V8" s="1230"/>
      <c r="W8" s="1860"/>
      <c r="X8" s="30"/>
      <c r="Y8" s="30"/>
      <c r="Z8" s="1230"/>
      <c r="AA8" s="1854" t="s">
        <v>9676</v>
      </c>
      <c r="AB8" s="1408" t="s">
        <v>64</v>
      </c>
      <c r="AC8" s="1408">
        <v>150.0</v>
      </c>
      <c r="AD8" s="1855">
        <v>1.0</v>
      </c>
      <c r="AE8" s="1408">
        <v>20.0</v>
      </c>
      <c r="AF8" s="1854" t="s">
        <v>5103</v>
      </c>
      <c r="AG8" s="1854" t="s">
        <v>10056</v>
      </c>
      <c r="AH8" s="1408"/>
      <c r="AI8" s="1230"/>
      <c r="AJ8" s="1839" t="s">
        <v>9719</v>
      </c>
      <c r="AK8" s="1416" t="s">
        <v>34</v>
      </c>
      <c r="AL8" s="1416">
        <v>120.0</v>
      </c>
      <c r="AM8" s="1866">
        <v>0.85</v>
      </c>
      <c r="AN8" s="1416">
        <v>5.0</v>
      </c>
      <c r="AO8" s="1839" t="s">
        <v>4513</v>
      </c>
      <c r="AP8" s="1839" t="s">
        <v>10056</v>
      </c>
      <c r="AQ8" s="1416"/>
      <c r="AR8" s="1230"/>
      <c r="AS8" s="1839" t="s">
        <v>10075</v>
      </c>
      <c r="AT8" s="1416" t="s">
        <v>156</v>
      </c>
      <c r="AU8" s="1416" t="s">
        <v>19</v>
      </c>
      <c r="AV8" s="1416" t="s">
        <v>19</v>
      </c>
      <c r="AW8" s="1870">
        <v>30.0</v>
      </c>
      <c r="AX8" s="1882" t="s">
        <v>4787</v>
      </c>
      <c r="AY8" s="1883" t="s">
        <v>10056</v>
      </c>
      <c r="AZ8" s="1884" t="s">
        <v>10049</v>
      </c>
      <c r="BA8" s="1230"/>
      <c r="BB8" s="449"/>
      <c r="BC8" s="1230"/>
      <c r="BD8" s="1230"/>
      <c r="BE8" s="1230"/>
      <c r="BF8" s="449"/>
      <c r="BG8" s="1230"/>
      <c r="BH8" s="449"/>
      <c r="BI8" s="1230"/>
      <c r="BJ8" s="1230"/>
      <c r="BK8" s="1230"/>
      <c r="BL8" s="1230"/>
      <c r="BM8" s="1230"/>
      <c r="BN8" s="1230"/>
      <c r="BO8" s="1851"/>
    </row>
    <row r="9" ht="15.75" customHeight="1">
      <c r="A9" s="1238"/>
      <c r="B9" s="1852" t="str">
        <f t="shared" ref="B9:B14" si="7">ITEMICON(C9)</f>
        <v>#NAME?</v>
      </c>
      <c r="C9" s="1492" t="s">
        <v>1582</v>
      </c>
      <c r="D9" s="1852" t="str">
        <f t="shared" ref="D9:D13" si="8">ITEMICON(E9)</f>
        <v>#NAME?</v>
      </c>
      <c r="E9" s="1407" t="s">
        <v>1607</v>
      </c>
      <c r="F9" s="1230"/>
      <c r="G9" s="1859" t="str">
        <f t="shared" si="3"/>
        <v>#NAME?</v>
      </c>
      <c r="H9" s="1356" t="s">
        <v>169</v>
      </c>
      <c r="I9" s="1356" t="s">
        <v>4538</v>
      </c>
      <c r="J9" s="1230"/>
      <c r="K9" s="1859" t="str">
        <f t="shared" ref="K9:K18" si="9">ITEMICON(L9)</f>
        <v>#NAME?</v>
      </c>
      <c r="L9" s="1356" t="s">
        <v>331</v>
      </c>
      <c r="M9" s="1356" t="s">
        <v>10076</v>
      </c>
      <c r="N9" s="1230"/>
      <c r="O9" s="1885"/>
      <c r="P9" s="1886"/>
      <c r="Q9" s="1886"/>
      <c r="R9" s="1230"/>
      <c r="S9" s="1870" t="str">
        <f t="shared" si="5"/>
        <v>#NAME?</v>
      </c>
      <c r="T9" s="1415" t="s">
        <v>1712</v>
      </c>
      <c r="U9" s="1415" t="s">
        <v>10077</v>
      </c>
      <c r="V9" s="1230"/>
      <c r="W9" s="1859" t="str">
        <f t="shared" ref="W9:W11" si="10">ITEMICON(X9)</f>
        <v>#NAME?</v>
      </c>
      <c r="X9" s="1356" t="s">
        <v>1301</v>
      </c>
      <c r="Y9" s="1356" t="s">
        <v>4536</v>
      </c>
      <c r="Z9" s="1230"/>
      <c r="AA9" s="1838" t="s">
        <v>9679</v>
      </c>
      <c r="AB9" s="1338" t="s">
        <v>61</v>
      </c>
      <c r="AC9" s="1338">
        <v>80.0</v>
      </c>
      <c r="AD9" s="1861">
        <v>1.0</v>
      </c>
      <c r="AE9" s="1338">
        <v>15.0</v>
      </c>
      <c r="AF9" s="1838" t="s">
        <v>10063</v>
      </c>
      <c r="AG9" s="1838" t="s">
        <v>10056</v>
      </c>
      <c r="AH9" s="1338"/>
      <c r="AI9" s="1230"/>
      <c r="AJ9" s="1838" t="s">
        <v>9723</v>
      </c>
      <c r="AK9" s="1338" t="s">
        <v>66</v>
      </c>
      <c r="AL9" s="1338">
        <v>50.0</v>
      </c>
      <c r="AM9" s="1861">
        <v>0.8</v>
      </c>
      <c r="AN9" s="1338">
        <v>10.0</v>
      </c>
      <c r="AO9" s="1838" t="s">
        <v>4516</v>
      </c>
      <c r="AP9" s="1838" t="s">
        <v>10056</v>
      </c>
      <c r="AQ9" s="1338"/>
      <c r="AR9" s="1230"/>
      <c r="AS9" s="1838" t="s">
        <v>9742</v>
      </c>
      <c r="AT9" s="1338" t="s">
        <v>66</v>
      </c>
      <c r="AU9" s="1338" t="s">
        <v>19</v>
      </c>
      <c r="AV9" s="1338" t="s">
        <v>19</v>
      </c>
      <c r="AW9" s="1859">
        <v>20.0</v>
      </c>
      <c r="AX9" s="1838" t="s">
        <v>10078</v>
      </c>
      <c r="AY9" s="1838" t="s">
        <v>10079</v>
      </c>
      <c r="AZ9" s="1338"/>
      <c r="BA9" s="1230"/>
      <c r="BB9" s="1852" t="str">
        <f t="shared" ref="BB9:BB40" si="11">ITEMICON(BC9)</f>
        <v>#NAME?</v>
      </c>
      <c r="BC9" s="1407" t="s">
        <v>2349</v>
      </c>
      <c r="BD9" s="1407" t="s">
        <v>10080</v>
      </c>
      <c r="BE9" s="1854" t="s">
        <v>10068</v>
      </c>
      <c r="BF9" s="1408" t="s">
        <v>10049</v>
      </c>
      <c r="BG9" s="1230"/>
      <c r="BH9" s="1848" t="s">
        <v>10081</v>
      </c>
      <c r="BI9" s="12"/>
      <c r="BJ9" s="12"/>
      <c r="BK9" s="12"/>
      <c r="BL9" s="12"/>
      <c r="BM9" s="12"/>
      <c r="BN9" s="48"/>
      <c r="BO9" s="1851"/>
    </row>
    <row r="10" ht="15.75" customHeight="1">
      <c r="A10" s="1238"/>
      <c r="B10" s="1859" t="str">
        <f t="shared" si="7"/>
        <v>#NAME?</v>
      </c>
      <c r="C10" s="1887" t="s">
        <v>1570</v>
      </c>
      <c r="D10" s="1859" t="str">
        <f t="shared" si="8"/>
        <v>#NAME?</v>
      </c>
      <c r="E10" s="1356" t="s">
        <v>96</v>
      </c>
      <c r="F10" s="1230"/>
      <c r="G10" s="1870" t="str">
        <f t="shared" si="3"/>
        <v>#NAME?</v>
      </c>
      <c r="H10" s="1415" t="s">
        <v>2701</v>
      </c>
      <c r="I10" s="1415" t="s">
        <v>10063</v>
      </c>
      <c r="J10" s="1230"/>
      <c r="K10" s="1870" t="str">
        <f t="shared" si="9"/>
        <v>#NAME?</v>
      </c>
      <c r="L10" s="1415" t="s">
        <v>481</v>
      </c>
      <c r="M10" s="1415" t="s">
        <v>5067</v>
      </c>
      <c r="N10" s="1230"/>
      <c r="O10" s="1870" t="str">
        <f t="shared" ref="O10:O12" si="12">ITEMICON(P10)</f>
        <v>#NAME?</v>
      </c>
      <c r="P10" s="1415" t="s">
        <v>783</v>
      </c>
      <c r="Q10" s="1415" t="s">
        <v>4746</v>
      </c>
      <c r="R10" s="1230"/>
      <c r="S10" s="1859" t="str">
        <f t="shared" si="5"/>
        <v>#NAME?</v>
      </c>
      <c r="T10" s="1356" t="s">
        <v>579</v>
      </c>
      <c r="U10" s="1356" t="s">
        <v>10082</v>
      </c>
      <c r="V10" s="1230"/>
      <c r="W10" s="1870" t="str">
        <f t="shared" si="10"/>
        <v>#NAME?</v>
      </c>
      <c r="X10" s="1415" t="s">
        <v>2759</v>
      </c>
      <c r="Y10" s="1415" t="s">
        <v>4534</v>
      </c>
      <c r="Z10" s="1230"/>
      <c r="AA10" s="1839" t="s">
        <v>9677</v>
      </c>
      <c r="AB10" s="1416" t="s">
        <v>32</v>
      </c>
      <c r="AC10" s="1416">
        <v>60.0</v>
      </c>
      <c r="AD10" s="1866">
        <v>1.0</v>
      </c>
      <c r="AE10" s="1416">
        <v>20.0</v>
      </c>
      <c r="AF10" s="1871" t="s">
        <v>4540</v>
      </c>
      <c r="AG10" s="1872" t="s">
        <v>10056</v>
      </c>
      <c r="AH10" s="1873" t="s">
        <v>10049</v>
      </c>
      <c r="AI10" s="1230"/>
      <c r="AJ10" s="1839" t="s">
        <v>9707</v>
      </c>
      <c r="AK10" s="1416" t="s">
        <v>18</v>
      </c>
      <c r="AL10" s="1416">
        <v>60.0</v>
      </c>
      <c r="AM10" s="1866">
        <v>1.0</v>
      </c>
      <c r="AN10" s="1416">
        <v>20.0</v>
      </c>
      <c r="AO10" s="1871" t="s">
        <v>4746</v>
      </c>
      <c r="AP10" s="1872" t="s">
        <v>10083</v>
      </c>
      <c r="AQ10" s="1873" t="s">
        <v>10049</v>
      </c>
      <c r="AR10" s="1230"/>
      <c r="AS10" s="1839" t="s">
        <v>9743</v>
      </c>
      <c r="AT10" s="1416" t="s">
        <v>156</v>
      </c>
      <c r="AU10" s="1416" t="s">
        <v>19</v>
      </c>
      <c r="AV10" s="1416" t="s">
        <v>19</v>
      </c>
      <c r="AW10" s="1870">
        <v>10.0</v>
      </c>
      <c r="AX10" s="1839" t="s">
        <v>10084</v>
      </c>
      <c r="AY10" s="1839" t="s">
        <v>10068</v>
      </c>
      <c r="AZ10" s="1416"/>
      <c r="BA10" s="1230"/>
      <c r="BB10" s="1859" t="str">
        <f t="shared" si="11"/>
        <v>#NAME?</v>
      </c>
      <c r="BC10" s="1356" t="s">
        <v>2400</v>
      </c>
      <c r="BD10" s="1356" t="s">
        <v>4515</v>
      </c>
      <c r="BE10" s="1838" t="s">
        <v>10085</v>
      </c>
      <c r="BF10" s="1338"/>
      <c r="BG10" s="1230"/>
      <c r="BH10" s="449"/>
      <c r="BI10" s="1230"/>
      <c r="BJ10" s="1230"/>
      <c r="BK10" s="1230"/>
      <c r="BL10" s="1230"/>
      <c r="BM10" s="1230"/>
      <c r="BN10" s="1230"/>
      <c r="BO10" s="1851"/>
    </row>
    <row r="11" ht="15.75" customHeight="1">
      <c r="A11" s="1238"/>
      <c r="B11" s="1870" t="str">
        <f t="shared" si="7"/>
        <v>#NAME?</v>
      </c>
      <c r="C11" s="1537" t="s">
        <v>1590</v>
      </c>
      <c r="D11" s="1870" t="str">
        <f t="shared" si="8"/>
        <v>#NAME?</v>
      </c>
      <c r="E11" s="1415" t="s">
        <v>1616</v>
      </c>
      <c r="F11" s="1230"/>
      <c r="G11" s="1859" t="str">
        <f t="shared" si="3"/>
        <v>#NAME?</v>
      </c>
      <c r="H11" s="1356" t="s">
        <v>139</v>
      </c>
      <c r="I11" s="1356" t="s">
        <v>10086</v>
      </c>
      <c r="J11" s="1230"/>
      <c r="K11" s="1859" t="str">
        <f t="shared" si="9"/>
        <v>#NAME?</v>
      </c>
      <c r="L11" s="1356" t="s">
        <v>491</v>
      </c>
      <c r="M11" s="1356" t="s">
        <v>10087</v>
      </c>
      <c r="N11" s="1230"/>
      <c r="O11" s="1859" t="str">
        <f t="shared" si="12"/>
        <v>#NAME?</v>
      </c>
      <c r="P11" s="1356" t="s">
        <v>524</v>
      </c>
      <c r="Q11" s="1356" t="s">
        <v>10088</v>
      </c>
      <c r="R11" s="1230"/>
      <c r="S11" s="1870" t="str">
        <f t="shared" si="5"/>
        <v>#NAME?</v>
      </c>
      <c r="T11" s="1415" t="s">
        <v>1720</v>
      </c>
      <c r="U11" s="1415" t="s">
        <v>10089</v>
      </c>
      <c r="V11" s="1230"/>
      <c r="W11" s="1888" t="str">
        <f t="shared" si="10"/>
        <v>#NAME?</v>
      </c>
      <c r="X11" s="1335" t="s">
        <v>568</v>
      </c>
      <c r="Y11" s="1335" t="s">
        <v>10076</v>
      </c>
      <c r="Z11" s="1230"/>
      <c r="AA11" s="1838" t="s">
        <v>9678</v>
      </c>
      <c r="AB11" s="1338" t="s">
        <v>2541</v>
      </c>
      <c r="AC11" s="1338" t="s">
        <v>19</v>
      </c>
      <c r="AD11" s="1338" t="s">
        <v>19</v>
      </c>
      <c r="AE11" s="1338">
        <v>20.0</v>
      </c>
      <c r="AF11" s="1882" t="s">
        <v>4530</v>
      </c>
      <c r="AG11" s="1883" t="s">
        <v>10056</v>
      </c>
      <c r="AH11" s="1884" t="s">
        <v>10049</v>
      </c>
      <c r="AI11" s="1230"/>
      <c r="AJ11" s="1838" t="s">
        <v>9703</v>
      </c>
      <c r="AK11" s="1338" t="s">
        <v>76</v>
      </c>
      <c r="AL11" s="1338" t="s">
        <v>19</v>
      </c>
      <c r="AM11" s="1861">
        <v>1.0</v>
      </c>
      <c r="AN11" s="1338">
        <v>15.0</v>
      </c>
      <c r="AO11" s="1877" t="s">
        <v>4533</v>
      </c>
      <c r="AP11" s="1878" t="s">
        <v>10056</v>
      </c>
      <c r="AQ11" s="1879" t="s">
        <v>10049</v>
      </c>
      <c r="AR11" s="1230"/>
      <c r="AS11" s="1838" t="s">
        <v>9734</v>
      </c>
      <c r="AT11" s="1338" t="s">
        <v>156</v>
      </c>
      <c r="AU11" s="1338" t="s">
        <v>19</v>
      </c>
      <c r="AV11" s="1861">
        <v>1.0</v>
      </c>
      <c r="AW11" s="1859">
        <v>20.0</v>
      </c>
      <c r="AX11" s="1838" t="s">
        <v>10090</v>
      </c>
      <c r="AY11" s="1838" t="s">
        <v>10068</v>
      </c>
      <c r="AZ11" s="1338"/>
      <c r="BA11" s="1230"/>
      <c r="BB11" s="1870" t="str">
        <f t="shared" si="11"/>
        <v>#NAME?</v>
      </c>
      <c r="BC11" s="1415" t="s">
        <v>2190</v>
      </c>
      <c r="BD11" s="1415" t="s">
        <v>4767</v>
      </c>
      <c r="BE11" s="1839" t="s">
        <v>4772</v>
      </c>
      <c r="BF11" s="1416" t="s">
        <v>10049</v>
      </c>
      <c r="BG11" s="1230"/>
      <c r="BH11" s="1834" t="s">
        <v>10091</v>
      </c>
      <c r="BI11" s="12"/>
      <c r="BJ11" s="12"/>
      <c r="BK11" s="12"/>
      <c r="BL11" s="12"/>
      <c r="BM11" s="12"/>
      <c r="BN11" s="48"/>
      <c r="BO11" s="1851"/>
    </row>
    <row r="12" ht="15.75" customHeight="1">
      <c r="A12" s="1238"/>
      <c r="B12" s="1859" t="str">
        <f t="shared" si="7"/>
        <v>#NAME?</v>
      </c>
      <c r="C12" s="1887" t="s">
        <v>1635</v>
      </c>
      <c r="D12" s="1859" t="str">
        <f t="shared" si="8"/>
        <v>#NAME?</v>
      </c>
      <c r="E12" s="1356" t="s">
        <v>1663</v>
      </c>
      <c r="F12" s="1230"/>
      <c r="G12" s="1870" t="str">
        <f t="shared" si="3"/>
        <v>#NAME?</v>
      </c>
      <c r="H12" s="1415" t="s">
        <v>671</v>
      </c>
      <c r="I12" s="1415" t="s">
        <v>4741</v>
      </c>
      <c r="J12" s="1230"/>
      <c r="K12" s="1870" t="str">
        <f t="shared" si="9"/>
        <v>#NAME?</v>
      </c>
      <c r="L12" s="1415" t="s">
        <v>1728</v>
      </c>
      <c r="M12" s="1415" t="s">
        <v>4762</v>
      </c>
      <c r="N12" s="1230"/>
      <c r="O12" s="1863" t="str">
        <f t="shared" si="12"/>
        <v>#NAME?</v>
      </c>
      <c r="P12" s="1864" t="s">
        <v>22</v>
      </c>
      <c r="Q12" s="1864" t="s">
        <v>10092</v>
      </c>
      <c r="R12" s="1230"/>
      <c r="S12" s="1859" t="str">
        <f t="shared" si="5"/>
        <v>#NAME?</v>
      </c>
      <c r="T12" s="1356" t="s">
        <v>186</v>
      </c>
      <c r="U12" s="1356" t="s">
        <v>10093</v>
      </c>
      <c r="V12" s="1230"/>
      <c r="W12" s="1230"/>
      <c r="X12" s="1230"/>
      <c r="Y12" s="1230"/>
      <c r="Z12" s="1230"/>
      <c r="AA12" s="1839" t="s">
        <v>9675</v>
      </c>
      <c r="AB12" s="1416" t="s">
        <v>156</v>
      </c>
      <c r="AC12" s="1416" t="s">
        <v>19</v>
      </c>
      <c r="AD12" s="1866">
        <v>1.0</v>
      </c>
      <c r="AE12" s="1416">
        <v>20.0</v>
      </c>
      <c r="AF12" s="1839" t="s">
        <v>4533</v>
      </c>
      <c r="AG12" s="1839" t="s">
        <v>10056</v>
      </c>
      <c r="AH12" s="1416"/>
      <c r="AI12" s="1230"/>
      <c r="AJ12" s="1839" t="s">
        <v>9711</v>
      </c>
      <c r="AK12" s="1416" t="s">
        <v>156</v>
      </c>
      <c r="AL12" s="1416">
        <v>70.0</v>
      </c>
      <c r="AM12" s="1866">
        <v>1.0</v>
      </c>
      <c r="AN12" s="1416">
        <v>20.0</v>
      </c>
      <c r="AO12" s="1882" t="s">
        <v>4515</v>
      </c>
      <c r="AP12" s="1883" t="s">
        <v>10068</v>
      </c>
      <c r="AQ12" s="1884" t="s">
        <v>10049</v>
      </c>
      <c r="AR12" s="1230"/>
      <c r="AS12" s="1839" t="s">
        <v>9764</v>
      </c>
      <c r="AT12" s="1416" t="s">
        <v>76</v>
      </c>
      <c r="AU12" s="1416">
        <v>80.0</v>
      </c>
      <c r="AV12" s="1866">
        <v>1.0</v>
      </c>
      <c r="AW12" s="1870">
        <v>15.0</v>
      </c>
      <c r="AX12" s="1871" t="s">
        <v>4762</v>
      </c>
      <c r="AY12" s="1872" t="s">
        <v>10056</v>
      </c>
      <c r="AZ12" s="1873" t="s">
        <v>10049</v>
      </c>
      <c r="BA12" s="1230"/>
      <c r="BB12" s="1859" t="str">
        <f t="shared" si="11"/>
        <v>#NAME?</v>
      </c>
      <c r="BC12" s="1356" t="s">
        <v>3483</v>
      </c>
      <c r="BD12" s="1356" t="s">
        <v>4518</v>
      </c>
      <c r="BE12" s="1838" t="s">
        <v>4652</v>
      </c>
      <c r="BF12" s="1338" t="s">
        <v>10094</v>
      </c>
      <c r="BG12" s="1230"/>
      <c r="BH12" s="1849" t="s">
        <v>10095</v>
      </c>
      <c r="BI12" s="12"/>
      <c r="BJ12" s="12"/>
      <c r="BK12" s="12"/>
      <c r="BL12" s="12"/>
      <c r="BM12" s="12"/>
      <c r="BN12" s="48"/>
      <c r="BO12" s="1851"/>
    </row>
    <row r="13" ht="15.75" customHeight="1">
      <c r="A13" s="1238"/>
      <c r="B13" s="1870" t="str">
        <f t="shared" si="7"/>
        <v>#NAME?</v>
      </c>
      <c r="C13" s="1537" t="s">
        <v>1598</v>
      </c>
      <c r="D13" s="1870" t="str">
        <f t="shared" si="8"/>
        <v>#NAME?</v>
      </c>
      <c r="E13" s="1415" t="s">
        <v>1627</v>
      </c>
      <c r="F13" s="1230"/>
      <c r="G13" s="1859" t="str">
        <f t="shared" si="3"/>
        <v>#NAME?</v>
      </c>
      <c r="H13" s="1356" t="s">
        <v>1290</v>
      </c>
      <c r="I13" s="1356" t="s">
        <v>4837</v>
      </c>
      <c r="J13" s="1230"/>
      <c r="K13" s="1859" t="str">
        <f t="shared" si="9"/>
        <v>#NAME?</v>
      </c>
      <c r="L13" s="1356" t="s">
        <v>2787</v>
      </c>
      <c r="M13" s="1356" t="s">
        <v>4534</v>
      </c>
      <c r="N13" s="1230"/>
      <c r="O13" s="1860"/>
      <c r="P13" s="30"/>
      <c r="Q13" s="30"/>
      <c r="R13" s="1230"/>
      <c r="S13" s="1870" t="str">
        <f t="shared" si="5"/>
        <v>#NAME?</v>
      </c>
      <c r="T13" s="1415" t="s">
        <v>740</v>
      </c>
      <c r="U13" s="1415" t="s">
        <v>10096</v>
      </c>
      <c r="V13" s="1230"/>
      <c r="W13" s="1848" t="s">
        <v>10097</v>
      </c>
      <c r="X13" s="12"/>
      <c r="Y13" s="48"/>
      <c r="Z13" s="1230"/>
      <c r="AA13" s="1838" t="s">
        <v>10098</v>
      </c>
      <c r="AB13" s="1338" t="s">
        <v>7</v>
      </c>
      <c r="AC13" s="1338" t="s">
        <v>19</v>
      </c>
      <c r="AD13" s="1861">
        <v>0.85</v>
      </c>
      <c r="AE13" s="1338">
        <v>10.0</v>
      </c>
      <c r="AF13" s="1838" t="s">
        <v>4686</v>
      </c>
      <c r="AG13" s="1838" t="s">
        <v>10056</v>
      </c>
      <c r="AH13" s="1338"/>
      <c r="AI13" s="1230"/>
      <c r="AJ13" s="1838" t="s">
        <v>9718</v>
      </c>
      <c r="AK13" s="1338" t="s">
        <v>156</v>
      </c>
      <c r="AL13" s="1338">
        <v>70.0</v>
      </c>
      <c r="AM13" s="1861">
        <v>1.0</v>
      </c>
      <c r="AN13" s="1338">
        <v>20.0</v>
      </c>
      <c r="AO13" s="1838" t="s">
        <v>10070</v>
      </c>
      <c r="AP13" s="1838" t="s">
        <v>10056</v>
      </c>
      <c r="AQ13" s="1338"/>
      <c r="AR13" s="1230"/>
      <c r="AS13" s="1838" t="s">
        <v>9751</v>
      </c>
      <c r="AT13" s="1338" t="s">
        <v>66</v>
      </c>
      <c r="AU13" s="1338">
        <v>75.0</v>
      </c>
      <c r="AV13" s="1861">
        <v>0.9</v>
      </c>
      <c r="AW13" s="1859">
        <v>10.0</v>
      </c>
      <c r="AX13" s="1877" t="s">
        <v>4524</v>
      </c>
      <c r="AY13" s="1878" t="s">
        <v>10068</v>
      </c>
      <c r="AZ13" s="1879" t="s">
        <v>10049</v>
      </c>
      <c r="BA13" s="1230"/>
      <c r="BB13" s="1870" t="str">
        <f t="shared" si="11"/>
        <v>#NAME?</v>
      </c>
      <c r="BC13" s="1415" t="s">
        <v>2200</v>
      </c>
      <c r="BD13" s="1415" t="s">
        <v>4762</v>
      </c>
      <c r="BE13" s="1839" t="s">
        <v>10068</v>
      </c>
      <c r="BF13" s="1416"/>
      <c r="BG13" s="1230"/>
      <c r="BH13" s="449"/>
      <c r="BI13" s="1230"/>
      <c r="BJ13" s="1230"/>
      <c r="BK13" s="1230"/>
      <c r="BL13" s="1230"/>
      <c r="BM13" s="1230"/>
      <c r="BN13" s="1230"/>
      <c r="BO13" s="1851"/>
    </row>
    <row r="14" ht="15.75" customHeight="1">
      <c r="A14" s="1238"/>
      <c r="B14" s="1888" t="str">
        <f t="shared" si="7"/>
        <v>#NAME?</v>
      </c>
      <c r="C14" s="1889" t="s">
        <v>949</v>
      </c>
      <c r="D14" s="1890"/>
      <c r="E14" s="1335"/>
      <c r="F14" s="1230"/>
      <c r="G14" s="1870" t="str">
        <f t="shared" si="3"/>
        <v>#NAME?</v>
      </c>
      <c r="H14" s="1415" t="s">
        <v>2750</v>
      </c>
      <c r="I14" s="1415" t="s">
        <v>4534</v>
      </c>
      <c r="J14" s="1230"/>
      <c r="K14" s="1870" t="str">
        <f t="shared" si="9"/>
        <v>#NAME?</v>
      </c>
      <c r="L14" s="1435" t="s">
        <v>732</v>
      </c>
      <c r="M14" s="1435" t="s">
        <v>5067</v>
      </c>
      <c r="N14" s="1230"/>
      <c r="O14" s="1880" t="str">
        <f>ITEMICON(P14)</f>
        <v>#NAME?</v>
      </c>
      <c r="P14" s="1881" t="s">
        <v>1514</v>
      </c>
      <c r="Q14" s="1881" t="s">
        <v>10099</v>
      </c>
      <c r="R14" s="1230"/>
      <c r="S14" s="1859" t="str">
        <f t="shared" si="5"/>
        <v>#NAME?</v>
      </c>
      <c r="T14" s="1356" t="s">
        <v>651</v>
      </c>
      <c r="U14" s="1356" t="s">
        <v>4907</v>
      </c>
      <c r="V14" s="1230"/>
      <c r="Z14" s="1230"/>
      <c r="AA14" s="148" t="s">
        <v>10100</v>
      </c>
      <c r="AB14" s="1891" t="s">
        <v>120</v>
      </c>
      <c r="AC14" s="1891" t="s">
        <v>19</v>
      </c>
      <c r="AD14" s="1891" t="s">
        <v>19</v>
      </c>
      <c r="AE14" s="1891">
        <v>10.0</v>
      </c>
      <c r="AF14" s="148" t="s">
        <v>4743</v>
      </c>
      <c r="AG14" s="1839" t="s">
        <v>10056</v>
      </c>
      <c r="AH14" s="1891"/>
      <c r="AI14" s="1230"/>
      <c r="AJ14" s="1839" t="s">
        <v>9722</v>
      </c>
      <c r="AK14" s="1416" t="s">
        <v>2541</v>
      </c>
      <c r="AL14" s="1416" t="s">
        <v>19</v>
      </c>
      <c r="AM14" s="1416" t="s">
        <v>19</v>
      </c>
      <c r="AN14" s="1416">
        <v>10.0</v>
      </c>
      <c r="AO14" s="1867" t="s">
        <v>10101</v>
      </c>
      <c r="AP14" s="1868" t="s">
        <v>10068</v>
      </c>
      <c r="AQ14" s="1869" t="s">
        <v>10049</v>
      </c>
      <c r="AR14" s="1230"/>
      <c r="AS14" s="1839" t="s">
        <v>9755</v>
      </c>
      <c r="AT14" s="1416" t="s">
        <v>109</v>
      </c>
      <c r="AU14" s="1416">
        <v>80.0</v>
      </c>
      <c r="AV14" s="1866">
        <v>1.0</v>
      </c>
      <c r="AW14" s="1870">
        <v>15.0</v>
      </c>
      <c r="AX14" s="1882" t="s">
        <v>4787</v>
      </c>
      <c r="AY14" s="1883" t="s">
        <v>10102</v>
      </c>
      <c r="AZ14" s="1884" t="s">
        <v>10049</v>
      </c>
      <c r="BA14" s="1230"/>
      <c r="BB14" s="1859" t="str">
        <f t="shared" si="11"/>
        <v>#NAME?</v>
      </c>
      <c r="BC14" s="1356" t="s">
        <v>2324</v>
      </c>
      <c r="BD14" s="1356" t="s">
        <v>4515</v>
      </c>
      <c r="BE14" s="1838" t="s">
        <v>10068</v>
      </c>
      <c r="BF14" s="1338"/>
      <c r="BG14" s="1230"/>
      <c r="BH14" s="1892" t="s">
        <v>10103</v>
      </c>
      <c r="BI14" s="959"/>
      <c r="BJ14" s="960"/>
      <c r="BK14" s="1893" t="s">
        <v>10104</v>
      </c>
      <c r="BL14" s="959"/>
      <c r="BM14" s="959"/>
      <c r="BN14" s="960"/>
      <c r="BO14" s="1851"/>
    </row>
    <row r="15" ht="15.75" customHeight="1">
      <c r="A15" s="1238"/>
      <c r="B15" s="1230"/>
      <c r="C15" s="1230"/>
      <c r="D15" s="1230"/>
      <c r="E15" s="1230"/>
      <c r="F15" s="1230"/>
      <c r="G15" s="1859" t="str">
        <f t="shared" si="3"/>
        <v>#NAME?</v>
      </c>
      <c r="H15" s="1356" t="s">
        <v>939</v>
      </c>
      <c r="I15" s="1356" t="s">
        <v>10063</v>
      </c>
      <c r="J15" s="428"/>
      <c r="K15" s="1859" t="str">
        <f t="shared" si="9"/>
        <v>#NAME?</v>
      </c>
      <c r="L15" s="1337" t="s">
        <v>389</v>
      </c>
      <c r="M15" s="1337" t="s">
        <v>4546</v>
      </c>
      <c r="N15" s="428"/>
      <c r="O15" s="1894"/>
      <c r="P15" s="1432"/>
      <c r="Q15" s="1432"/>
      <c r="R15" s="428"/>
      <c r="S15" s="1863" t="str">
        <f t="shared" si="5"/>
        <v>#NAME?</v>
      </c>
      <c r="T15" s="1895" t="s">
        <v>1536</v>
      </c>
      <c r="U15" s="1895" t="s">
        <v>10105</v>
      </c>
      <c r="V15" s="428"/>
      <c r="W15" s="1231" t="s">
        <v>10106</v>
      </c>
      <c r="X15" s="976"/>
      <c r="Y15" s="954"/>
      <c r="Z15" s="428"/>
      <c r="AA15" s="131" t="s">
        <v>9684</v>
      </c>
      <c r="AB15" s="1896" t="s">
        <v>64</v>
      </c>
      <c r="AC15" s="1896" t="s">
        <v>19</v>
      </c>
      <c r="AD15" s="1896" t="s">
        <v>19</v>
      </c>
      <c r="AE15" s="1896">
        <v>20.0</v>
      </c>
      <c r="AF15" s="1897" t="s">
        <v>4521</v>
      </c>
      <c r="AG15" s="1868" t="s">
        <v>10056</v>
      </c>
      <c r="AH15" s="1869" t="s">
        <v>10049</v>
      </c>
      <c r="AI15" s="428"/>
      <c r="AJ15" s="1898" t="s">
        <v>9706</v>
      </c>
      <c r="AK15" s="1338" t="s">
        <v>156</v>
      </c>
      <c r="AL15" s="1338" t="s">
        <v>19</v>
      </c>
      <c r="AM15" s="1861">
        <v>1.0</v>
      </c>
      <c r="AN15" s="1338">
        <v>15.0</v>
      </c>
      <c r="AO15" s="1898" t="s">
        <v>10070</v>
      </c>
      <c r="AP15" s="1898" t="s">
        <v>10056</v>
      </c>
      <c r="AQ15" s="1338"/>
      <c r="AR15" s="1230"/>
      <c r="AS15" s="1838" t="s">
        <v>9739</v>
      </c>
      <c r="AT15" s="1338" t="s">
        <v>156</v>
      </c>
      <c r="AU15" s="1338" t="s">
        <v>19</v>
      </c>
      <c r="AV15" s="1338" t="s">
        <v>19</v>
      </c>
      <c r="AW15" s="1859">
        <v>10.0</v>
      </c>
      <c r="AX15" s="1838" t="s">
        <v>10107</v>
      </c>
      <c r="AY15" s="1838" t="s">
        <v>10056</v>
      </c>
      <c r="AZ15" s="1338"/>
      <c r="BA15" s="1230"/>
      <c r="BB15" s="1870" t="str">
        <f t="shared" si="11"/>
        <v>#NAME?</v>
      </c>
      <c r="BC15" s="1415" t="s">
        <v>2300</v>
      </c>
      <c r="BD15" s="1415" t="s">
        <v>10108</v>
      </c>
      <c r="BE15" s="1839" t="s">
        <v>10056</v>
      </c>
      <c r="BF15" s="1416"/>
      <c r="BG15" s="1230"/>
      <c r="BH15" s="1852" t="str">
        <f t="shared" ref="BH15:BH24" si="13">ITEMICON(BI15)</f>
        <v>#NAME?</v>
      </c>
      <c r="BI15" s="1492" t="s">
        <v>3569</v>
      </c>
      <c r="BJ15" s="319"/>
      <c r="BK15" s="1899" t="str">
        <f t="shared" ref="BK15:BK24" si="14">ITEMICON(BL15)</f>
        <v>#NAME?</v>
      </c>
      <c r="BL15" s="1492" t="s">
        <v>1471</v>
      </c>
      <c r="BM15" s="984"/>
      <c r="BN15" s="319"/>
      <c r="BO15" s="1851"/>
    </row>
    <row r="16" ht="15.75" customHeight="1">
      <c r="A16" s="1238"/>
      <c r="B16" s="1876" t="s">
        <v>10109</v>
      </c>
      <c r="C16" s="976"/>
      <c r="D16" s="976"/>
      <c r="E16" s="954"/>
      <c r="F16" s="1230"/>
      <c r="G16" s="1863" t="str">
        <f t="shared" si="3"/>
        <v>#NAME?</v>
      </c>
      <c r="H16" s="1864" t="s">
        <v>35</v>
      </c>
      <c r="I16" s="1864" t="s">
        <v>10110</v>
      </c>
      <c r="J16" s="428"/>
      <c r="K16" s="1870" t="str">
        <f t="shared" si="9"/>
        <v>#NAME?</v>
      </c>
      <c r="L16" s="1435" t="s">
        <v>67</v>
      </c>
      <c r="M16" s="1435" t="s">
        <v>4812</v>
      </c>
      <c r="N16" s="428"/>
      <c r="O16" s="1885"/>
      <c r="P16" s="1886"/>
      <c r="Q16" s="1886"/>
      <c r="R16" s="428"/>
      <c r="S16" s="1860"/>
      <c r="T16" s="30"/>
      <c r="U16" s="30"/>
      <c r="V16" s="428"/>
      <c r="W16" s="1860"/>
      <c r="X16" s="1032"/>
      <c r="Y16" s="30"/>
      <c r="Z16" s="428"/>
      <c r="AA16" s="148" t="s">
        <v>9682</v>
      </c>
      <c r="AB16" s="1891" t="s">
        <v>6</v>
      </c>
      <c r="AC16" s="1891">
        <v>10.0</v>
      </c>
      <c r="AD16" s="1900">
        <v>1.0</v>
      </c>
      <c r="AE16" s="1891">
        <v>30.0</v>
      </c>
      <c r="AF16" s="148" t="s">
        <v>4519</v>
      </c>
      <c r="AG16" s="1839" t="s">
        <v>10056</v>
      </c>
      <c r="AH16" s="1891"/>
      <c r="AI16" s="428"/>
      <c r="AJ16" s="1436" t="s">
        <v>9710</v>
      </c>
      <c r="AK16" s="1416" t="s">
        <v>76</v>
      </c>
      <c r="AL16" s="1416">
        <v>40.0</v>
      </c>
      <c r="AM16" s="1866">
        <v>1.0</v>
      </c>
      <c r="AN16" s="1416">
        <v>10.0</v>
      </c>
      <c r="AO16" s="1436" t="s">
        <v>10111</v>
      </c>
      <c r="AP16" s="1436" t="s">
        <v>10056</v>
      </c>
      <c r="AQ16" s="1416"/>
      <c r="AR16" s="1230"/>
      <c r="AS16" s="1901" t="s">
        <v>10112</v>
      </c>
      <c r="AT16" s="1416" t="s">
        <v>156</v>
      </c>
      <c r="AU16" s="1416">
        <v>90.0</v>
      </c>
      <c r="AV16" s="1866">
        <v>1.0</v>
      </c>
      <c r="AW16" s="1416">
        <v>10.0</v>
      </c>
      <c r="AX16" s="1867" t="s">
        <v>4531</v>
      </c>
      <c r="AY16" s="1868" t="s">
        <v>10056</v>
      </c>
      <c r="AZ16" s="1869" t="s">
        <v>10049</v>
      </c>
      <c r="BA16" s="1230"/>
      <c r="BB16" s="1859" t="str">
        <f t="shared" si="11"/>
        <v>#NAME?</v>
      </c>
      <c r="BC16" s="1356" t="s">
        <v>2356</v>
      </c>
      <c r="BD16" s="1356" t="s">
        <v>5522</v>
      </c>
      <c r="BE16" s="1838" t="s">
        <v>10068</v>
      </c>
      <c r="BF16" s="1338"/>
      <c r="BG16" s="1230"/>
      <c r="BH16" s="1902" t="str">
        <f t="shared" si="13"/>
        <v>#NAME?</v>
      </c>
      <c r="BI16" s="1903" t="s">
        <v>2222</v>
      </c>
      <c r="BJ16" s="128"/>
      <c r="BK16" s="1904" t="str">
        <f t="shared" si="14"/>
        <v>#NAME?</v>
      </c>
      <c r="BL16" s="1862" t="s">
        <v>3491</v>
      </c>
      <c r="BM16" s="138"/>
      <c r="BN16" s="128"/>
      <c r="BO16" s="1851"/>
    </row>
    <row r="17" ht="15.75" customHeight="1">
      <c r="A17" s="1238"/>
      <c r="B17" s="997"/>
      <c r="C17" s="1026"/>
      <c r="D17" s="1026"/>
      <c r="E17" s="998"/>
      <c r="F17" s="1230"/>
      <c r="G17" s="1860"/>
      <c r="H17" s="30"/>
      <c r="I17" s="30"/>
      <c r="J17" s="428"/>
      <c r="K17" s="1859" t="str">
        <f t="shared" si="9"/>
        <v>#NAME?</v>
      </c>
      <c r="L17" s="1337" t="s">
        <v>995</v>
      </c>
      <c r="M17" s="1337" t="s">
        <v>4532</v>
      </c>
      <c r="N17" s="428"/>
      <c r="O17" s="1863" t="str">
        <f>ITEMICON(P17)</f>
        <v>#NAME?</v>
      </c>
      <c r="P17" s="1895" t="s">
        <v>533</v>
      </c>
      <c r="Q17" s="1895" t="s">
        <v>10113</v>
      </c>
      <c r="R17" s="428"/>
      <c r="S17" s="1859" t="str">
        <f t="shared" ref="S17:S27" si="15">ITEMICON(T17)</f>
        <v>#NAME?</v>
      </c>
      <c r="T17" s="1337" t="s">
        <v>157</v>
      </c>
      <c r="U17" s="1337" t="s">
        <v>4752</v>
      </c>
      <c r="V17" s="428"/>
      <c r="W17" s="1905" t="s">
        <v>10114</v>
      </c>
      <c r="X17" s="1150"/>
      <c r="Y17" s="1151"/>
      <c r="Z17" s="428"/>
      <c r="AA17" s="131" t="s">
        <v>9683</v>
      </c>
      <c r="AB17" s="1896" t="s">
        <v>156</v>
      </c>
      <c r="AC17" s="1896" t="s">
        <v>10073</v>
      </c>
      <c r="AD17" s="1906">
        <v>1.0</v>
      </c>
      <c r="AE17" s="1896">
        <v>15.0</v>
      </c>
      <c r="AF17" s="1897" t="s">
        <v>10115</v>
      </c>
      <c r="AG17" s="1907" t="s">
        <v>10068</v>
      </c>
      <c r="AH17" s="1869" t="s">
        <v>10049</v>
      </c>
      <c r="AI17" s="428"/>
      <c r="AJ17" s="1898" t="s">
        <v>9716</v>
      </c>
      <c r="AK17" s="1338" t="s">
        <v>95</v>
      </c>
      <c r="AL17" s="1338">
        <v>70.0</v>
      </c>
      <c r="AM17" s="1861">
        <v>0.9</v>
      </c>
      <c r="AN17" s="1338">
        <v>25.0</v>
      </c>
      <c r="AO17" s="1898" t="s">
        <v>10116</v>
      </c>
      <c r="AP17" s="1898" t="s">
        <v>10056</v>
      </c>
      <c r="AQ17" s="1338"/>
      <c r="AR17" s="1230"/>
      <c r="AS17" s="1838" t="s">
        <v>9749</v>
      </c>
      <c r="AT17" s="1338" t="s">
        <v>7</v>
      </c>
      <c r="AU17" s="1338">
        <v>80.0</v>
      </c>
      <c r="AV17" s="1861">
        <v>1.0</v>
      </c>
      <c r="AW17" s="1859">
        <v>20.0</v>
      </c>
      <c r="AX17" s="1838" t="s">
        <v>4686</v>
      </c>
      <c r="AY17" s="1838" t="s">
        <v>10056</v>
      </c>
      <c r="AZ17" s="1338"/>
      <c r="BA17" s="1230"/>
      <c r="BB17" s="1870" t="str">
        <f t="shared" si="11"/>
        <v>#NAME?</v>
      </c>
      <c r="BC17" s="1415" t="s">
        <v>2440</v>
      </c>
      <c r="BD17" s="1415" t="s">
        <v>4748</v>
      </c>
      <c r="BE17" s="1839" t="s">
        <v>10068</v>
      </c>
      <c r="BF17" s="1416"/>
      <c r="BG17" s="1230"/>
      <c r="BH17" s="1870" t="str">
        <f t="shared" si="13"/>
        <v>#NAME?</v>
      </c>
      <c r="BI17" s="1537" t="s">
        <v>2230</v>
      </c>
      <c r="BJ17" s="128"/>
      <c r="BK17" s="1908" t="str">
        <f t="shared" si="14"/>
        <v>#NAME?</v>
      </c>
      <c r="BL17" s="1537" t="s">
        <v>3483</v>
      </c>
      <c r="BM17" s="138"/>
      <c r="BN17" s="128"/>
      <c r="BO17" s="1851"/>
    </row>
    <row r="18" ht="15.75" customHeight="1">
      <c r="A18" s="1238"/>
      <c r="B18" s="1909" t="s">
        <v>10117</v>
      </c>
      <c r="C18" s="1032"/>
      <c r="D18" s="1032"/>
      <c r="E18" s="30"/>
      <c r="F18" s="1230"/>
      <c r="G18" s="1859" t="str">
        <f t="shared" ref="G18:G23" si="16">ITEMICON(H18)</f>
        <v>#NAME?</v>
      </c>
      <c r="H18" s="1356" t="s">
        <v>456</v>
      </c>
      <c r="I18" s="1356" t="s">
        <v>4532</v>
      </c>
      <c r="J18" s="428"/>
      <c r="K18" s="1863" t="str">
        <f t="shared" si="9"/>
        <v>#NAME?</v>
      </c>
      <c r="L18" s="1895" t="s">
        <v>1471</v>
      </c>
      <c r="M18" s="1895" t="s">
        <v>10118</v>
      </c>
      <c r="N18" s="428"/>
      <c r="O18" s="1860"/>
      <c r="P18" s="30"/>
      <c r="Q18" s="30"/>
      <c r="R18" s="428"/>
      <c r="S18" s="1870" t="str">
        <f t="shared" si="15"/>
        <v>#NAME?</v>
      </c>
      <c r="T18" s="1435" t="s">
        <v>208</v>
      </c>
      <c r="U18" s="1435" t="s">
        <v>4894</v>
      </c>
      <c r="V18" s="428"/>
      <c r="W18" s="1860"/>
      <c r="X18" s="1032"/>
      <c r="Y18" s="30"/>
      <c r="Z18" s="428"/>
      <c r="AA18" s="148" t="s">
        <v>10119</v>
      </c>
      <c r="AB18" s="1891" t="s">
        <v>34</v>
      </c>
      <c r="AC18" s="1891" t="s">
        <v>19</v>
      </c>
      <c r="AD18" s="1891" t="s">
        <v>19</v>
      </c>
      <c r="AE18" s="1891">
        <v>5.0</v>
      </c>
      <c r="AF18" s="148" t="s">
        <v>4734</v>
      </c>
      <c r="AG18" s="148" t="s">
        <v>10056</v>
      </c>
      <c r="AH18" s="1891"/>
      <c r="AI18" s="428"/>
      <c r="AJ18" s="1436" t="s">
        <v>10120</v>
      </c>
      <c r="AK18" s="1416" t="s">
        <v>2541</v>
      </c>
      <c r="AL18" s="1416" t="s">
        <v>19</v>
      </c>
      <c r="AM18" s="1416" t="s">
        <v>19</v>
      </c>
      <c r="AN18" s="1416">
        <v>10.0</v>
      </c>
      <c r="AO18" s="1436" t="s">
        <v>10121</v>
      </c>
      <c r="AP18" s="1436" t="s">
        <v>10068</v>
      </c>
      <c r="AQ18" s="1416"/>
      <c r="AR18" s="1230"/>
      <c r="AS18" s="1910" t="s">
        <v>10122</v>
      </c>
      <c r="AT18" s="1416" t="s">
        <v>153</v>
      </c>
      <c r="AU18" s="1416">
        <v>80.0</v>
      </c>
      <c r="AV18" s="1866">
        <v>1.0</v>
      </c>
      <c r="AW18" s="1870">
        <v>10.0</v>
      </c>
      <c r="AX18" s="1867" t="s">
        <v>10123</v>
      </c>
      <c r="AY18" s="1868" t="s">
        <v>10124</v>
      </c>
      <c r="AZ18" s="1869" t="s">
        <v>10049</v>
      </c>
      <c r="BA18" s="1230"/>
      <c r="BB18" s="1859" t="str">
        <f t="shared" si="11"/>
        <v>#NAME?</v>
      </c>
      <c r="BC18" s="1356" t="s">
        <v>3511</v>
      </c>
      <c r="BD18" s="1356" t="s">
        <v>4841</v>
      </c>
      <c r="BE18" s="1838" t="s">
        <v>10125</v>
      </c>
      <c r="BF18" s="1338" t="s">
        <v>10094</v>
      </c>
      <c r="BG18" s="1230"/>
      <c r="BH18" s="1902" t="str">
        <f t="shared" si="13"/>
        <v>#NAME?</v>
      </c>
      <c r="BI18" s="1903" t="s">
        <v>2237</v>
      </c>
      <c r="BJ18" s="128"/>
      <c r="BK18" s="1904" t="str">
        <f t="shared" si="14"/>
        <v>#NAME?</v>
      </c>
      <c r="BL18" s="1862" t="s">
        <v>3518</v>
      </c>
      <c r="BM18" s="138"/>
      <c r="BN18" s="128"/>
      <c r="BO18" s="1851"/>
    </row>
    <row r="19" ht="15.75" customHeight="1">
      <c r="A19" s="1238"/>
      <c r="B19" s="1911" t="s">
        <v>10126</v>
      </c>
      <c r="C19" s="138"/>
      <c r="D19" s="138"/>
      <c r="E19" s="128"/>
      <c r="F19" s="1230"/>
      <c r="G19" s="1870" t="str">
        <f t="shared" si="16"/>
        <v>#NAME?</v>
      </c>
      <c r="H19" s="1415" t="s">
        <v>436</v>
      </c>
      <c r="I19" s="1415" t="s">
        <v>4530</v>
      </c>
      <c r="J19" s="428"/>
      <c r="K19" s="1860"/>
      <c r="L19" s="30"/>
      <c r="M19" s="30"/>
      <c r="N19" s="428"/>
      <c r="O19" s="1880" t="str">
        <f>ITEMICON(P19)</f>
        <v>#NAME?</v>
      </c>
      <c r="P19" s="1912" t="s">
        <v>51</v>
      </c>
      <c r="Q19" s="1912" t="s">
        <v>10127</v>
      </c>
      <c r="R19" s="428"/>
      <c r="S19" s="1859" t="str">
        <f t="shared" si="15"/>
        <v>#NAME?</v>
      </c>
      <c r="T19" s="1337" t="s">
        <v>296</v>
      </c>
      <c r="U19" s="1337" t="s">
        <v>10128</v>
      </c>
      <c r="V19" s="428"/>
      <c r="W19" s="1913" t="s">
        <v>10129</v>
      </c>
      <c r="X19" s="1150"/>
      <c r="Y19" s="1151"/>
      <c r="Z19" s="428"/>
      <c r="AA19" s="131" t="s">
        <v>10130</v>
      </c>
      <c r="AB19" s="1896" t="s">
        <v>76</v>
      </c>
      <c r="AC19" s="1896" t="s">
        <v>19</v>
      </c>
      <c r="AD19" s="1906">
        <v>1.0</v>
      </c>
      <c r="AE19" s="1896">
        <v>20.0</v>
      </c>
      <c r="AF19" s="131" t="s">
        <v>4806</v>
      </c>
      <c r="AG19" s="131" t="s">
        <v>10056</v>
      </c>
      <c r="AH19" s="1896"/>
      <c r="AI19" s="428"/>
      <c r="AJ19" s="1898" t="s">
        <v>10131</v>
      </c>
      <c r="AK19" s="1338" t="s">
        <v>76</v>
      </c>
      <c r="AL19" s="1338" t="s">
        <v>19</v>
      </c>
      <c r="AM19" s="1338" t="s">
        <v>19</v>
      </c>
      <c r="AN19" s="1338">
        <v>10.0</v>
      </c>
      <c r="AO19" s="1898" t="s">
        <v>10132</v>
      </c>
      <c r="AP19" s="1898" t="s">
        <v>10056</v>
      </c>
      <c r="AQ19" s="1338"/>
      <c r="AR19" s="1230"/>
      <c r="AS19" s="1838" t="s">
        <v>9757</v>
      </c>
      <c r="AT19" s="1338" t="s">
        <v>6</v>
      </c>
      <c r="AU19" s="1338" t="s">
        <v>10073</v>
      </c>
      <c r="AV19" s="1861">
        <v>1.0</v>
      </c>
      <c r="AW19" s="1859">
        <v>20.0</v>
      </c>
      <c r="AX19" s="1838" t="s">
        <v>10133</v>
      </c>
      <c r="AY19" s="1838" t="s">
        <v>10134</v>
      </c>
      <c r="AZ19" s="1338"/>
      <c r="BA19" s="1230"/>
      <c r="BB19" s="1870" t="str">
        <f t="shared" si="11"/>
        <v>#NAME?</v>
      </c>
      <c r="BC19" s="1415" t="s">
        <v>3518</v>
      </c>
      <c r="BD19" s="1415" t="s">
        <v>4518</v>
      </c>
      <c r="BE19" s="1839" t="s">
        <v>4652</v>
      </c>
      <c r="BF19" s="1416" t="s">
        <v>10094</v>
      </c>
      <c r="BG19" s="1230"/>
      <c r="BH19" s="1870" t="str">
        <f t="shared" si="13"/>
        <v>#NAME?</v>
      </c>
      <c r="BI19" s="1537" t="s">
        <v>3577</v>
      </c>
      <c r="BJ19" s="128"/>
      <c r="BK19" s="1908" t="str">
        <f t="shared" si="14"/>
        <v>#NAME?</v>
      </c>
      <c r="BL19" s="1537" t="s">
        <v>2456</v>
      </c>
      <c r="BM19" s="138"/>
      <c r="BN19" s="128"/>
      <c r="BO19" s="1851"/>
    </row>
    <row r="20" ht="15.75" customHeight="1">
      <c r="A20" s="1238"/>
      <c r="B20" s="1914" t="s">
        <v>10135</v>
      </c>
      <c r="C20" s="413"/>
      <c r="D20" s="413"/>
      <c r="E20" s="414"/>
      <c r="F20" s="1230"/>
      <c r="G20" s="1859" t="str">
        <f t="shared" si="16"/>
        <v>#NAME?</v>
      </c>
      <c r="H20" s="1356" t="s">
        <v>445</v>
      </c>
      <c r="I20" s="1356" t="s">
        <v>10136</v>
      </c>
      <c r="J20" s="428"/>
      <c r="K20" s="1859" t="str">
        <f t="shared" ref="K20:K22" si="17">ITEMICON(L20)</f>
        <v>#NAME?</v>
      </c>
      <c r="L20" s="1337" t="s">
        <v>1005</v>
      </c>
      <c r="M20" s="1337" t="s">
        <v>4743</v>
      </c>
      <c r="N20" s="428"/>
      <c r="O20" s="1885"/>
      <c r="P20" s="1886"/>
      <c r="Q20" s="1886"/>
      <c r="R20" s="428"/>
      <c r="S20" s="1870" t="str">
        <f t="shared" si="15"/>
        <v>#NAME?</v>
      </c>
      <c r="T20" s="1435" t="s">
        <v>1020</v>
      </c>
      <c r="U20" s="1435" t="s">
        <v>5629</v>
      </c>
      <c r="V20" s="428"/>
      <c r="W20" s="997"/>
      <c r="X20" s="1026"/>
      <c r="Y20" s="998"/>
      <c r="Z20" s="428"/>
      <c r="AA20" s="1436" t="s">
        <v>9692</v>
      </c>
      <c r="AB20" s="1416" t="s">
        <v>120</v>
      </c>
      <c r="AC20" s="1416">
        <v>95.0</v>
      </c>
      <c r="AD20" s="1866">
        <v>1.0</v>
      </c>
      <c r="AE20" s="1416">
        <v>10.0</v>
      </c>
      <c r="AF20" s="1915" t="s">
        <v>4837</v>
      </c>
      <c r="AG20" s="1916" t="s">
        <v>10068</v>
      </c>
      <c r="AH20" s="1869" t="s">
        <v>10049</v>
      </c>
      <c r="AI20" s="428"/>
      <c r="AJ20" s="1436" t="s">
        <v>9731</v>
      </c>
      <c r="AK20" s="1416" t="s">
        <v>34</v>
      </c>
      <c r="AL20" s="1416">
        <v>140.0</v>
      </c>
      <c r="AM20" s="1866">
        <v>0.9</v>
      </c>
      <c r="AN20" s="1416">
        <v>5.0</v>
      </c>
      <c r="AO20" s="1915" t="s">
        <v>10137</v>
      </c>
      <c r="AP20" s="1916" t="s">
        <v>10138</v>
      </c>
      <c r="AQ20" s="1869" t="s">
        <v>10049</v>
      </c>
      <c r="AR20" s="1230"/>
      <c r="AS20" s="1839" t="s">
        <v>9747</v>
      </c>
      <c r="AT20" s="1416" t="s">
        <v>156</v>
      </c>
      <c r="AU20" s="1416" t="s">
        <v>19</v>
      </c>
      <c r="AV20" s="1866">
        <v>0.9</v>
      </c>
      <c r="AW20" s="1870">
        <v>15.0</v>
      </c>
      <c r="AX20" s="1839" t="s">
        <v>4966</v>
      </c>
      <c r="AY20" s="1839" t="s">
        <v>10068</v>
      </c>
      <c r="AZ20" s="1416"/>
      <c r="BA20" s="1230"/>
      <c r="BB20" s="1859" t="str">
        <f t="shared" si="11"/>
        <v>#NAME?</v>
      </c>
      <c r="BC20" s="1356" t="s">
        <v>2365</v>
      </c>
      <c r="BD20" s="1356" t="s">
        <v>4767</v>
      </c>
      <c r="BE20" s="1838" t="s">
        <v>4772</v>
      </c>
      <c r="BF20" s="1338"/>
      <c r="BG20" s="1230"/>
      <c r="BH20" s="1902" t="str">
        <f t="shared" si="13"/>
        <v>#NAME?</v>
      </c>
      <c r="BI20" s="1903" t="s">
        <v>3585</v>
      </c>
      <c r="BJ20" s="128"/>
      <c r="BK20" s="1904" t="str">
        <f t="shared" si="14"/>
        <v>#NAME?</v>
      </c>
      <c r="BL20" s="1862" t="s">
        <v>3546</v>
      </c>
      <c r="BM20" s="138"/>
      <c r="BN20" s="128"/>
      <c r="BO20" s="1851"/>
    </row>
    <row r="21" ht="15.75" customHeight="1">
      <c r="A21" s="1238"/>
      <c r="B21" s="1230"/>
      <c r="C21" s="1230"/>
      <c r="D21" s="1230"/>
      <c r="E21" s="1230"/>
      <c r="F21" s="1230"/>
      <c r="G21" s="1870" t="str">
        <f t="shared" si="16"/>
        <v>#NAME?</v>
      </c>
      <c r="H21" s="1415" t="s">
        <v>976</v>
      </c>
      <c r="I21" s="1415" t="s">
        <v>10139</v>
      </c>
      <c r="J21" s="428"/>
      <c r="K21" s="1870" t="str">
        <f t="shared" si="17"/>
        <v>#NAME?</v>
      </c>
      <c r="L21" s="1435" t="s">
        <v>309</v>
      </c>
      <c r="M21" s="1435" t="s">
        <v>5629</v>
      </c>
      <c r="N21" s="428"/>
      <c r="O21" s="1870" t="str">
        <f t="shared" ref="O21:O23" si="18">ITEMICON(P21)</f>
        <v>#NAME?</v>
      </c>
      <c r="P21" s="1435" t="s">
        <v>227</v>
      </c>
      <c r="Q21" s="1435" t="s">
        <v>10140</v>
      </c>
      <c r="R21" s="428"/>
      <c r="S21" s="1859" t="str">
        <f t="shared" si="15"/>
        <v>#NAME?</v>
      </c>
      <c r="T21" s="1337" t="s">
        <v>80</v>
      </c>
      <c r="U21" s="1337" t="s">
        <v>10063</v>
      </c>
      <c r="V21" s="428"/>
      <c r="W21" s="428"/>
      <c r="X21" s="428"/>
      <c r="Y21" s="428"/>
      <c r="Z21" s="428"/>
      <c r="AA21" s="1898" t="s">
        <v>10141</v>
      </c>
      <c r="AB21" s="1338" t="s">
        <v>120</v>
      </c>
      <c r="AC21" s="1338">
        <v>120.0</v>
      </c>
      <c r="AD21" s="1861">
        <v>0.7</v>
      </c>
      <c r="AE21" s="1338">
        <v>5.0</v>
      </c>
      <c r="AF21" s="1898" t="s">
        <v>4547</v>
      </c>
      <c r="AG21" s="1898" t="s">
        <v>10056</v>
      </c>
      <c r="AH21" s="1338"/>
      <c r="AI21" s="428"/>
      <c r="AJ21" s="1898" t="s">
        <v>9726</v>
      </c>
      <c r="AK21" s="1338" t="s">
        <v>18</v>
      </c>
      <c r="AL21" s="1338" t="s">
        <v>19</v>
      </c>
      <c r="AM21" s="1338" t="s">
        <v>19</v>
      </c>
      <c r="AN21" s="1338">
        <v>10.0</v>
      </c>
      <c r="AO21" s="1898" t="s">
        <v>4675</v>
      </c>
      <c r="AP21" s="1898" t="s">
        <v>10068</v>
      </c>
      <c r="AQ21" s="1338"/>
      <c r="AR21" s="1230"/>
      <c r="AS21" s="1901" t="s">
        <v>9774</v>
      </c>
      <c r="AT21" s="1338" t="s">
        <v>18</v>
      </c>
      <c r="AU21" s="1338">
        <v>110.0</v>
      </c>
      <c r="AV21" s="1861">
        <v>0.7</v>
      </c>
      <c r="AW21" s="1338">
        <v>10.0</v>
      </c>
      <c r="AX21" s="1867" t="s">
        <v>4536</v>
      </c>
      <c r="AY21" s="1868" t="s">
        <v>10056</v>
      </c>
      <c r="AZ21" s="1869" t="s">
        <v>10049</v>
      </c>
      <c r="BA21" s="1230"/>
      <c r="BB21" s="1870" t="str">
        <f t="shared" si="11"/>
        <v>#NAME?</v>
      </c>
      <c r="BC21" s="1415" t="s">
        <v>2391</v>
      </c>
      <c r="BD21" s="1415" t="s">
        <v>10142</v>
      </c>
      <c r="BE21" s="1839" t="s">
        <v>10125</v>
      </c>
      <c r="BF21" s="1416"/>
      <c r="BG21" s="1230"/>
      <c r="BH21" s="1870" t="str">
        <f t="shared" si="13"/>
        <v>#NAME?</v>
      </c>
      <c r="BI21" s="1537" t="s">
        <v>3594</v>
      </c>
      <c r="BJ21" s="128"/>
      <c r="BK21" s="1908" t="str">
        <f t="shared" si="14"/>
        <v>#NAME?</v>
      </c>
      <c r="BL21" s="1537" t="s">
        <v>3531</v>
      </c>
      <c r="BM21" s="138"/>
      <c r="BN21" s="128"/>
      <c r="BO21" s="1851"/>
    </row>
    <row r="22" ht="15.75" customHeight="1">
      <c r="A22" s="1238"/>
      <c r="B22" s="1876" t="s">
        <v>10143</v>
      </c>
      <c r="C22" s="976"/>
      <c r="D22" s="976"/>
      <c r="E22" s="954"/>
      <c r="F22" s="1230"/>
      <c r="G22" s="1859" t="str">
        <f t="shared" si="16"/>
        <v>#NAME?</v>
      </c>
      <c r="H22" s="1356" t="s">
        <v>1012</v>
      </c>
      <c r="I22" s="1356" t="s">
        <v>4742</v>
      </c>
      <c r="J22" s="428"/>
      <c r="K22" s="1880" t="str">
        <f t="shared" si="17"/>
        <v>#NAME?</v>
      </c>
      <c r="L22" s="1912" t="s">
        <v>949</v>
      </c>
      <c r="M22" s="1912" t="s">
        <v>10144</v>
      </c>
      <c r="N22" s="428"/>
      <c r="O22" s="1859" t="str">
        <f t="shared" si="18"/>
        <v>#NAME?</v>
      </c>
      <c r="P22" s="1337" t="s">
        <v>1695</v>
      </c>
      <c r="Q22" s="1337" t="s">
        <v>4530</v>
      </c>
      <c r="R22" s="428"/>
      <c r="S22" s="1870" t="str">
        <f t="shared" si="15"/>
        <v>#NAME?</v>
      </c>
      <c r="T22" s="1435" t="s">
        <v>876</v>
      </c>
      <c r="U22" s="1435" t="s">
        <v>10145</v>
      </c>
      <c r="V22" s="428"/>
      <c r="W22" s="1917" t="s">
        <v>10041</v>
      </c>
      <c r="X22" s="48"/>
      <c r="Y22" s="1918" t="s">
        <v>10146</v>
      </c>
      <c r="Z22" s="428"/>
      <c r="AA22" s="1436" t="s">
        <v>9690</v>
      </c>
      <c r="AB22" s="1416" t="s">
        <v>156</v>
      </c>
      <c r="AC22" s="1416">
        <v>150.0</v>
      </c>
      <c r="AD22" s="1866">
        <v>0.9</v>
      </c>
      <c r="AE22" s="1416">
        <v>5.0</v>
      </c>
      <c r="AF22" s="1919" t="s">
        <v>4717</v>
      </c>
      <c r="AG22" s="1920" t="s">
        <v>10068</v>
      </c>
      <c r="AH22" s="1873" t="s">
        <v>10049</v>
      </c>
      <c r="AI22" s="428"/>
      <c r="AJ22" s="1436" t="s">
        <v>9748</v>
      </c>
      <c r="AK22" s="1416" t="s">
        <v>64</v>
      </c>
      <c r="AL22" s="1416">
        <v>120.0</v>
      </c>
      <c r="AM22" s="1866">
        <v>0.7</v>
      </c>
      <c r="AN22" s="1416">
        <v>5.0</v>
      </c>
      <c r="AO22" s="1919" t="s">
        <v>4743</v>
      </c>
      <c r="AP22" s="1920" t="s">
        <v>10147</v>
      </c>
      <c r="AQ22" s="1873" t="s">
        <v>10049</v>
      </c>
      <c r="AR22" s="1230"/>
      <c r="AS22" s="1839" t="s">
        <v>10148</v>
      </c>
      <c r="AT22" s="1416" t="s">
        <v>109</v>
      </c>
      <c r="AU22" s="1416">
        <v>70.0</v>
      </c>
      <c r="AV22" s="1866">
        <v>1.0</v>
      </c>
      <c r="AW22" s="1870">
        <v>20.0</v>
      </c>
      <c r="AX22" s="1839" t="s">
        <v>10121</v>
      </c>
      <c r="AY22" s="1839" t="s">
        <v>10056</v>
      </c>
      <c r="AZ22" s="1416"/>
      <c r="BA22" s="1230"/>
      <c r="BB22" s="1859" t="str">
        <f t="shared" si="11"/>
        <v>#NAME?</v>
      </c>
      <c r="BC22" s="1356" t="s">
        <v>2266</v>
      </c>
      <c r="BD22" s="1356" t="s">
        <v>4743</v>
      </c>
      <c r="BE22" s="1838" t="s">
        <v>10068</v>
      </c>
      <c r="BF22" s="1338" t="s">
        <v>10049</v>
      </c>
      <c r="BG22" s="1230"/>
      <c r="BH22" s="1902" t="str">
        <f t="shared" si="13"/>
        <v>#NAME?</v>
      </c>
      <c r="BI22" s="1903" t="s">
        <v>3601</v>
      </c>
      <c r="BJ22" s="128"/>
      <c r="BK22" s="1904" t="str">
        <f t="shared" si="14"/>
        <v>#NAME?</v>
      </c>
      <c r="BL22" s="1862" t="s">
        <v>3554</v>
      </c>
      <c r="BM22" s="138"/>
      <c r="BN22" s="128"/>
      <c r="BO22" s="1851"/>
    </row>
    <row r="23" ht="15.75" customHeight="1">
      <c r="A23" s="1238"/>
      <c r="B23" s="997"/>
      <c r="C23" s="1026"/>
      <c r="D23" s="1026"/>
      <c r="E23" s="998"/>
      <c r="F23" s="1230"/>
      <c r="G23" s="1863" t="str">
        <f t="shared" si="16"/>
        <v>#NAME?</v>
      </c>
      <c r="H23" s="1864" t="s">
        <v>1528</v>
      </c>
      <c r="I23" s="1864" t="s">
        <v>10149</v>
      </c>
      <c r="J23" s="428"/>
      <c r="K23" s="1885"/>
      <c r="L23" s="1886"/>
      <c r="M23" s="1886"/>
      <c r="N23" s="428"/>
      <c r="O23" s="1863" t="str">
        <f t="shared" si="18"/>
        <v>#NAME?</v>
      </c>
      <c r="P23" s="1895" t="s">
        <v>1555</v>
      </c>
      <c r="Q23" s="1895" t="s">
        <v>10150</v>
      </c>
      <c r="R23" s="428"/>
      <c r="S23" s="1859" t="str">
        <f t="shared" si="15"/>
        <v>#NAME?</v>
      </c>
      <c r="T23" s="1337" t="s">
        <v>404</v>
      </c>
      <c r="U23" s="1337" t="s">
        <v>4518</v>
      </c>
      <c r="V23" s="428"/>
      <c r="W23" s="428"/>
      <c r="X23" s="428"/>
      <c r="Y23" s="428"/>
      <c r="Z23" s="428"/>
      <c r="AA23" s="1898" t="s">
        <v>9688</v>
      </c>
      <c r="AB23" s="1338" t="s">
        <v>2541</v>
      </c>
      <c r="AC23" s="1338" t="s">
        <v>19</v>
      </c>
      <c r="AD23" s="1338" t="s">
        <v>19</v>
      </c>
      <c r="AE23" s="1338">
        <v>30.0</v>
      </c>
      <c r="AF23" s="1921" t="s">
        <v>10151</v>
      </c>
      <c r="AG23" s="1922" t="s">
        <v>10056</v>
      </c>
      <c r="AH23" s="1879" t="s">
        <v>10049</v>
      </c>
      <c r="AI23" s="428"/>
      <c r="AJ23" s="1898" t="s">
        <v>10152</v>
      </c>
      <c r="AK23" s="1338" t="s">
        <v>6</v>
      </c>
      <c r="AL23" s="1338">
        <v>80.0</v>
      </c>
      <c r="AM23" s="1861">
        <v>1.0</v>
      </c>
      <c r="AN23" s="1338">
        <v>10.0</v>
      </c>
      <c r="AO23" s="1921" t="s">
        <v>4822</v>
      </c>
      <c r="AP23" s="1922" t="s">
        <v>10056</v>
      </c>
      <c r="AQ23" s="1879" t="s">
        <v>10049</v>
      </c>
      <c r="AR23" s="1230"/>
      <c r="AS23" s="1838" t="s">
        <v>10153</v>
      </c>
      <c r="AT23" s="1338" t="s">
        <v>156</v>
      </c>
      <c r="AU23" s="1338" t="s">
        <v>19</v>
      </c>
      <c r="AV23" s="1338" t="s">
        <v>19</v>
      </c>
      <c r="AW23" s="1859">
        <v>10.0</v>
      </c>
      <c r="AX23" s="1838" t="s">
        <v>10154</v>
      </c>
      <c r="AY23" s="1838" t="s">
        <v>10056</v>
      </c>
      <c r="AZ23" s="1338"/>
      <c r="BA23" s="1230"/>
      <c r="BB23" s="1870" t="str">
        <f t="shared" si="11"/>
        <v>#NAME?</v>
      </c>
      <c r="BC23" s="1415" t="s">
        <v>3524</v>
      </c>
      <c r="BD23" s="1415" t="s">
        <v>10155</v>
      </c>
      <c r="BE23" s="1839" t="s">
        <v>10068</v>
      </c>
      <c r="BF23" s="1416" t="s">
        <v>10094</v>
      </c>
      <c r="BG23" s="1230"/>
      <c r="BH23" s="1870" t="str">
        <f t="shared" si="13"/>
        <v>#NAME?</v>
      </c>
      <c r="BI23" s="1537" t="s">
        <v>3611</v>
      </c>
      <c r="BJ23" s="128"/>
      <c r="BK23" s="1908" t="str">
        <f t="shared" si="14"/>
        <v>#NAME?</v>
      </c>
      <c r="BL23" s="1537" t="s">
        <v>3633</v>
      </c>
      <c r="BM23" s="138"/>
      <c r="BN23" s="128"/>
      <c r="BO23" s="1851"/>
    </row>
    <row r="24" ht="15.75" customHeight="1">
      <c r="A24" s="1238"/>
      <c r="B24" s="1923" t="s">
        <v>10156</v>
      </c>
      <c r="C24" s="1026"/>
      <c r="D24" s="1026"/>
      <c r="E24" s="998"/>
      <c r="F24" s="1230"/>
      <c r="G24" s="1155"/>
      <c r="H24" s="1154"/>
      <c r="I24" s="1154"/>
      <c r="J24" s="428"/>
      <c r="K24" s="1870" t="str">
        <f t="shared" ref="K24:K26" si="19">ITEMICON(L24)</f>
        <v>#NAME?</v>
      </c>
      <c r="L24" s="1435" t="s">
        <v>703</v>
      </c>
      <c r="M24" s="1435" t="s">
        <v>4648</v>
      </c>
      <c r="N24" s="428"/>
      <c r="O24" s="1860"/>
      <c r="P24" s="30"/>
      <c r="Q24" s="30"/>
      <c r="R24" s="428"/>
      <c r="S24" s="1870" t="str">
        <f t="shared" si="15"/>
        <v>#NAME?</v>
      </c>
      <c r="T24" s="1435" t="s">
        <v>241</v>
      </c>
      <c r="U24" s="1435" t="s">
        <v>10157</v>
      </c>
      <c r="V24" s="428"/>
      <c r="W24" s="1924" t="str">
        <f t="shared" ref="W24:W39" si="20">ITEMICON(X24)</f>
        <v>#NAME?</v>
      </c>
      <c r="X24" s="1925" t="s">
        <v>1045</v>
      </c>
      <c r="Y24" s="1925" t="s">
        <v>10158</v>
      </c>
      <c r="Z24" s="428"/>
      <c r="AA24" s="1436" t="s">
        <v>9691</v>
      </c>
      <c r="AB24" s="1416" t="s">
        <v>156</v>
      </c>
      <c r="AC24" s="1416" t="s">
        <v>19</v>
      </c>
      <c r="AD24" s="1416" t="s">
        <v>19</v>
      </c>
      <c r="AE24" s="1416">
        <v>10.0</v>
      </c>
      <c r="AF24" s="1926" t="s">
        <v>4741</v>
      </c>
      <c r="AG24" s="1927" t="s">
        <v>10068</v>
      </c>
      <c r="AH24" s="1884" t="s">
        <v>10049</v>
      </c>
      <c r="AI24" s="428"/>
      <c r="AJ24" s="1436" t="s">
        <v>9727</v>
      </c>
      <c r="AK24" s="1416" t="s">
        <v>156</v>
      </c>
      <c r="AL24" s="1416">
        <v>40.0</v>
      </c>
      <c r="AM24" s="1866">
        <v>1.0</v>
      </c>
      <c r="AN24" s="1416">
        <v>40.0</v>
      </c>
      <c r="AO24" s="1921" t="s">
        <v>4524</v>
      </c>
      <c r="AP24" s="1922" t="s">
        <v>10068</v>
      </c>
      <c r="AQ24" s="1879" t="s">
        <v>10049</v>
      </c>
      <c r="AR24" s="1230"/>
      <c r="AS24" s="1839" t="s">
        <v>9762</v>
      </c>
      <c r="AT24" s="1416" t="s">
        <v>95</v>
      </c>
      <c r="AU24" s="1416">
        <v>80.0</v>
      </c>
      <c r="AV24" s="1866">
        <v>1.0</v>
      </c>
      <c r="AW24" s="1870">
        <v>10.0</v>
      </c>
      <c r="AX24" s="1839" t="s">
        <v>10159</v>
      </c>
      <c r="AY24" s="1839" t="s">
        <v>10160</v>
      </c>
      <c r="AZ24" s="1416"/>
      <c r="BA24" s="1230"/>
      <c r="BB24" s="1859" t="str">
        <f t="shared" si="11"/>
        <v>#NAME?</v>
      </c>
      <c r="BC24" s="1356" t="s">
        <v>2381</v>
      </c>
      <c r="BD24" s="1356" t="s">
        <v>10161</v>
      </c>
      <c r="BE24" s="1838" t="s">
        <v>10162</v>
      </c>
      <c r="BF24" s="1338" t="s">
        <v>10049</v>
      </c>
      <c r="BG24" s="1230"/>
      <c r="BH24" s="1928" t="str">
        <f t="shared" si="13"/>
        <v>#NAME?</v>
      </c>
      <c r="BI24" s="1929" t="s">
        <v>2317</v>
      </c>
      <c r="BJ24" s="414"/>
      <c r="BK24" s="1930" t="str">
        <f t="shared" si="14"/>
        <v>#NAME?</v>
      </c>
      <c r="BL24" s="1931" t="s">
        <v>3626</v>
      </c>
      <c r="BM24" s="413"/>
      <c r="BN24" s="414"/>
      <c r="BO24" s="1851"/>
    </row>
    <row r="25" ht="15.75" customHeight="1">
      <c r="A25" s="1238"/>
      <c r="F25" s="1230"/>
      <c r="G25" s="1860"/>
      <c r="H25" s="30"/>
      <c r="I25" s="30"/>
      <c r="J25" s="428"/>
      <c r="K25" s="1859" t="str">
        <f t="shared" si="19"/>
        <v>#NAME?</v>
      </c>
      <c r="L25" s="1337" t="s">
        <v>1703</v>
      </c>
      <c r="M25" s="1337" t="s">
        <v>4552</v>
      </c>
      <c r="N25" s="428"/>
      <c r="O25" s="1859" t="str">
        <f t="shared" ref="O25:O39" si="21">ITEMICON(P25)</f>
        <v>#NAME?</v>
      </c>
      <c r="P25" s="1337" t="s">
        <v>2777</v>
      </c>
      <c r="Q25" s="1337" t="s">
        <v>4534</v>
      </c>
      <c r="R25" s="428"/>
      <c r="S25" s="1859" t="str">
        <f t="shared" si="15"/>
        <v>#NAME?</v>
      </c>
      <c r="T25" s="1337" t="s">
        <v>757</v>
      </c>
      <c r="U25" s="1337" t="s">
        <v>4746</v>
      </c>
      <c r="V25" s="428"/>
      <c r="W25" s="1932" t="str">
        <f t="shared" si="20"/>
        <v>#NAME?</v>
      </c>
      <c r="X25" s="1337" t="s">
        <v>1105</v>
      </c>
      <c r="Y25" s="1337" t="s">
        <v>10163</v>
      </c>
      <c r="Z25" s="428"/>
      <c r="AA25" s="1898" t="s">
        <v>9693</v>
      </c>
      <c r="AB25" s="1338" t="s">
        <v>32</v>
      </c>
      <c r="AC25" s="1338" t="s">
        <v>19</v>
      </c>
      <c r="AD25" s="1338" t="s">
        <v>19</v>
      </c>
      <c r="AE25" s="1338">
        <v>5.0</v>
      </c>
      <c r="AF25" s="1898" t="s">
        <v>4817</v>
      </c>
      <c r="AG25" s="1898" t="s">
        <v>10056</v>
      </c>
      <c r="AH25" s="1338"/>
      <c r="AI25" s="428"/>
      <c r="AJ25" s="1933" t="s">
        <v>10164</v>
      </c>
      <c r="AK25" s="1416" t="s">
        <v>32</v>
      </c>
      <c r="AL25" s="1416">
        <v>80.0</v>
      </c>
      <c r="AM25" s="1866">
        <v>1.0</v>
      </c>
      <c r="AN25" s="1416">
        <v>15.0</v>
      </c>
      <c r="AO25" s="1934" t="s">
        <v>4907</v>
      </c>
      <c r="AP25" s="1927" t="s">
        <v>10068</v>
      </c>
      <c r="AQ25" s="1884" t="s">
        <v>10049</v>
      </c>
      <c r="AR25" s="1230"/>
      <c r="AS25" s="1935" t="s">
        <v>9784</v>
      </c>
      <c r="AT25" s="1336" t="s">
        <v>2541</v>
      </c>
      <c r="AU25" s="1336" t="s">
        <v>19</v>
      </c>
      <c r="AV25" s="1336" t="s">
        <v>19</v>
      </c>
      <c r="AW25" s="1888">
        <v>5.0</v>
      </c>
      <c r="AX25" s="1935" t="s">
        <v>4533</v>
      </c>
      <c r="AY25" s="1935" t="s">
        <v>10068</v>
      </c>
      <c r="AZ25" s="1336"/>
      <c r="BA25" s="1230"/>
      <c r="BB25" s="1870" t="str">
        <f t="shared" si="11"/>
        <v>#NAME?</v>
      </c>
      <c r="BC25" s="1415" t="s">
        <v>2448</v>
      </c>
      <c r="BD25" s="1415" t="s">
        <v>10165</v>
      </c>
      <c r="BE25" s="1839" t="s">
        <v>10166</v>
      </c>
      <c r="BF25" s="1416"/>
      <c r="BG25" s="1230"/>
      <c r="BH25" s="449"/>
      <c r="BI25" s="1230"/>
      <c r="BJ25" s="1230"/>
      <c r="BK25" s="1230"/>
      <c r="BL25" s="1230"/>
      <c r="BM25" s="1230"/>
      <c r="BN25" s="1230"/>
      <c r="BO25" s="1851"/>
    </row>
    <row r="26" ht="15.75" customHeight="1">
      <c r="A26" s="1238"/>
      <c r="B26" s="1848" t="s">
        <v>10167</v>
      </c>
      <c r="C26" s="12"/>
      <c r="D26" s="12"/>
      <c r="E26" s="48"/>
      <c r="F26" s="1230"/>
      <c r="G26" s="1880" t="str">
        <f>ITEMICON(H26)</f>
        <v>#NAME?</v>
      </c>
      <c r="H26" s="1912" t="s">
        <v>1582</v>
      </c>
      <c r="I26" s="1912" t="s">
        <v>10168</v>
      </c>
      <c r="J26" s="428"/>
      <c r="K26" s="1863" t="str">
        <f t="shared" si="19"/>
        <v>#NAME?</v>
      </c>
      <c r="L26" s="1895" t="s">
        <v>1480</v>
      </c>
      <c r="M26" s="1895" t="s">
        <v>10169</v>
      </c>
      <c r="N26" s="428"/>
      <c r="O26" s="1870" t="str">
        <f t="shared" si="21"/>
        <v>#NAME?</v>
      </c>
      <c r="P26" s="1435" t="s">
        <v>111</v>
      </c>
      <c r="Q26" s="1435" t="s">
        <v>10170</v>
      </c>
      <c r="R26" s="428"/>
      <c r="S26" s="1870" t="str">
        <f t="shared" si="15"/>
        <v>#NAME?</v>
      </c>
      <c r="T26" s="1435" t="s">
        <v>415</v>
      </c>
      <c r="U26" s="1435" t="s">
        <v>10171</v>
      </c>
      <c r="V26" s="428"/>
      <c r="W26" s="1936" t="str">
        <f t="shared" si="20"/>
        <v>#NAME?</v>
      </c>
      <c r="X26" s="1435" t="s">
        <v>1141</v>
      </c>
      <c r="Y26" s="1435" t="s">
        <v>10172</v>
      </c>
      <c r="Z26" s="428"/>
      <c r="AA26" s="1436" t="s">
        <v>9694</v>
      </c>
      <c r="AB26" s="1416" t="s">
        <v>6</v>
      </c>
      <c r="AC26" s="1416">
        <v>60.0</v>
      </c>
      <c r="AD26" s="1866">
        <v>1.0</v>
      </c>
      <c r="AE26" s="1416">
        <v>10.0</v>
      </c>
      <c r="AF26" s="1436" t="s">
        <v>10173</v>
      </c>
      <c r="AG26" s="1436" t="s">
        <v>10056</v>
      </c>
      <c r="AH26" s="1416"/>
      <c r="AI26" s="428"/>
      <c r="AJ26" s="1936" t="s">
        <v>10174</v>
      </c>
      <c r="AK26" s="1416" t="s">
        <v>76</v>
      </c>
      <c r="AL26" s="1416" t="s">
        <v>10073</v>
      </c>
      <c r="AM26" s="1866">
        <v>1.0</v>
      </c>
      <c r="AN26" s="1416">
        <v>10.0</v>
      </c>
      <c r="AO26" s="1435" t="s">
        <v>4781</v>
      </c>
      <c r="AP26" s="1436" t="s">
        <v>10056</v>
      </c>
      <c r="AQ26" s="1416"/>
      <c r="AR26" s="1230"/>
      <c r="AS26" s="1230"/>
      <c r="AT26" s="449"/>
      <c r="AU26" s="449"/>
      <c r="AV26" s="449"/>
      <c r="AW26" s="449"/>
      <c r="AX26" s="1230"/>
      <c r="AY26" s="1230"/>
      <c r="AZ26" s="449"/>
      <c r="BA26" s="1230"/>
      <c r="BB26" s="1859" t="str">
        <f t="shared" si="11"/>
        <v>#NAME?</v>
      </c>
      <c r="BC26" s="1356" t="s">
        <v>2249</v>
      </c>
      <c r="BD26" s="1356" t="s">
        <v>4540</v>
      </c>
      <c r="BE26" s="1838" t="s">
        <v>10068</v>
      </c>
      <c r="BF26" s="1338"/>
      <c r="BG26" s="1230"/>
      <c r="BH26" s="1834" t="s">
        <v>10175</v>
      </c>
      <c r="BI26" s="12"/>
      <c r="BJ26" s="12"/>
      <c r="BK26" s="12"/>
      <c r="BL26" s="12"/>
      <c r="BM26" s="12"/>
      <c r="BN26" s="48"/>
      <c r="BO26" s="1851"/>
    </row>
    <row r="27" ht="15.75" customHeight="1">
      <c r="A27" s="1238"/>
      <c r="B27" s="1937" t="s">
        <v>10176</v>
      </c>
      <c r="C27" s="976"/>
      <c r="D27" s="976"/>
      <c r="E27" s="954"/>
      <c r="F27" s="1230"/>
      <c r="G27" s="1885"/>
      <c r="H27" s="1886"/>
      <c r="I27" s="1886"/>
      <c r="J27" s="428"/>
      <c r="K27" s="1155"/>
      <c r="L27" s="1154"/>
      <c r="M27" s="1154"/>
      <c r="N27" s="428"/>
      <c r="O27" s="1859" t="str">
        <f t="shared" si="21"/>
        <v>#NAME?</v>
      </c>
      <c r="P27" s="1337" t="s">
        <v>818</v>
      </c>
      <c r="Q27" s="1337" t="s">
        <v>5398</v>
      </c>
      <c r="R27" s="428"/>
      <c r="S27" s="1880" t="str">
        <f t="shared" si="15"/>
        <v>#NAME?</v>
      </c>
      <c r="T27" s="1912" t="s">
        <v>1521</v>
      </c>
      <c r="U27" s="1912" t="s">
        <v>10177</v>
      </c>
      <c r="V27" s="428"/>
      <c r="W27" s="1932" t="str">
        <f t="shared" si="20"/>
        <v>#NAME?</v>
      </c>
      <c r="X27" s="1337" t="s">
        <v>1113</v>
      </c>
      <c r="Y27" s="1337" t="s">
        <v>10178</v>
      </c>
      <c r="Z27" s="428"/>
      <c r="AA27" s="1898" t="s">
        <v>9697</v>
      </c>
      <c r="AB27" s="1338" t="s">
        <v>156</v>
      </c>
      <c r="AC27" s="1338" t="s">
        <v>19</v>
      </c>
      <c r="AD27" s="1338" t="s">
        <v>19</v>
      </c>
      <c r="AE27" s="1338">
        <v>25.0</v>
      </c>
      <c r="AF27" s="1915" t="s">
        <v>4734</v>
      </c>
      <c r="AG27" s="1916" t="s">
        <v>10056</v>
      </c>
      <c r="AH27" s="1869" t="s">
        <v>10049</v>
      </c>
      <c r="AI27" s="428"/>
      <c r="AJ27" s="1933" t="s">
        <v>10179</v>
      </c>
      <c r="AK27" s="1416" t="s">
        <v>197</v>
      </c>
      <c r="AL27" s="1416">
        <v>100.0</v>
      </c>
      <c r="AM27" s="1866">
        <v>1.0</v>
      </c>
      <c r="AN27" s="1416">
        <v>15.0</v>
      </c>
      <c r="AO27" s="1436" t="s">
        <v>10180</v>
      </c>
      <c r="AP27" s="1436" t="s">
        <v>10181</v>
      </c>
      <c r="AQ27" s="1416"/>
      <c r="AR27" s="1230"/>
      <c r="AS27" s="1938" t="s">
        <v>10182</v>
      </c>
      <c r="AT27" s="1939" t="s">
        <v>6</v>
      </c>
      <c r="AU27" s="1940">
        <v>60.0</v>
      </c>
      <c r="AV27" s="1941">
        <v>1.0</v>
      </c>
      <c r="AW27" s="1942">
        <v>25.0</v>
      </c>
      <c r="AX27" s="1938" t="s">
        <v>4524</v>
      </c>
      <c r="AY27" s="1938" t="s">
        <v>10166</v>
      </c>
      <c r="AZ27" s="1943"/>
      <c r="BA27" s="1230"/>
      <c r="BB27" s="1870" t="str">
        <f t="shared" si="11"/>
        <v>#NAME?</v>
      </c>
      <c r="BC27" s="1415" t="s">
        <v>2433</v>
      </c>
      <c r="BD27" s="1415" t="s">
        <v>10183</v>
      </c>
      <c r="BE27" s="1839" t="s">
        <v>10068</v>
      </c>
      <c r="BF27" s="1416"/>
      <c r="BG27" s="1230"/>
      <c r="BH27" s="1849" t="s">
        <v>10184</v>
      </c>
      <c r="BI27" s="12"/>
      <c r="BJ27" s="12"/>
      <c r="BK27" s="12"/>
      <c r="BL27" s="12"/>
      <c r="BM27" s="12"/>
      <c r="BN27" s="48"/>
      <c r="BO27" s="1851"/>
    </row>
    <row r="28" ht="15.75" customHeight="1">
      <c r="A28" s="1238"/>
      <c r="B28" s="1155"/>
      <c r="E28" s="1154"/>
      <c r="F28" s="1230"/>
      <c r="G28" s="1863" t="str">
        <f>ITEMICON(H28)</f>
        <v>#NAME?</v>
      </c>
      <c r="H28" s="1895" t="s">
        <v>1570</v>
      </c>
      <c r="I28" s="1895" t="s">
        <v>10168</v>
      </c>
      <c r="J28" s="428"/>
      <c r="K28" s="1860"/>
      <c r="L28" s="30"/>
      <c r="M28" s="30"/>
      <c r="N28" s="428"/>
      <c r="O28" s="1870" t="str">
        <f t="shared" si="21"/>
        <v>#NAME?</v>
      </c>
      <c r="P28" s="1435" t="s">
        <v>855</v>
      </c>
      <c r="Q28" s="1435" t="s">
        <v>5398</v>
      </c>
      <c r="R28" s="428"/>
      <c r="S28" s="1885"/>
      <c r="T28" s="1886"/>
      <c r="U28" s="1886"/>
      <c r="V28" s="428"/>
      <c r="W28" s="1936" t="str">
        <f t="shared" si="20"/>
        <v>#NAME?</v>
      </c>
      <c r="X28" s="1435" t="s">
        <v>1071</v>
      </c>
      <c r="Y28" s="1435" t="s">
        <v>10185</v>
      </c>
      <c r="Z28" s="428"/>
      <c r="AA28" s="1436" t="s">
        <v>9695</v>
      </c>
      <c r="AB28" s="1416" t="s">
        <v>156</v>
      </c>
      <c r="AC28" s="1416" t="s">
        <v>10073</v>
      </c>
      <c r="AD28" s="1866">
        <v>1.0</v>
      </c>
      <c r="AE28" s="1416">
        <v>20.0</v>
      </c>
      <c r="AF28" s="1436" t="s">
        <v>4934</v>
      </c>
      <c r="AG28" s="1436" t="s">
        <v>10056</v>
      </c>
      <c r="AH28" s="1416"/>
      <c r="AI28" s="428"/>
      <c r="AJ28" s="1436" t="s">
        <v>9732</v>
      </c>
      <c r="AK28" s="1416" t="s">
        <v>156</v>
      </c>
      <c r="AL28" s="1416" t="s">
        <v>19</v>
      </c>
      <c r="AM28" s="1416" t="s">
        <v>19</v>
      </c>
      <c r="AN28" s="1416">
        <v>10.0</v>
      </c>
      <c r="AO28" s="1919" t="s">
        <v>4752</v>
      </c>
      <c r="AP28" s="1920" t="s">
        <v>10056</v>
      </c>
      <c r="AQ28" s="1873" t="s">
        <v>10049</v>
      </c>
      <c r="AR28" s="1230"/>
      <c r="AS28" s="1839" t="s">
        <v>9759</v>
      </c>
      <c r="AT28" s="1416" t="s">
        <v>18</v>
      </c>
      <c r="AU28" s="1944">
        <v>100.0</v>
      </c>
      <c r="AV28" s="1945">
        <v>1.0</v>
      </c>
      <c r="AW28" s="1870">
        <v>15.0</v>
      </c>
      <c r="AX28" s="1839" t="s">
        <v>10186</v>
      </c>
      <c r="AY28" s="1839" t="s">
        <v>10056</v>
      </c>
      <c r="AZ28" s="1416"/>
      <c r="BA28" s="1230"/>
      <c r="BB28" s="1859" t="str">
        <f t="shared" si="11"/>
        <v>#NAME?</v>
      </c>
      <c r="BC28" s="1356" t="s">
        <v>2332</v>
      </c>
      <c r="BD28" s="1356" t="s">
        <v>4767</v>
      </c>
      <c r="BE28" s="1838" t="s">
        <v>10068</v>
      </c>
      <c r="BF28" s="1338"/>
      <c r="BG28" s="1230"/>
      <c r="BH28" s="349"/>
      <c r="BO28" s="1851"/>
    </row>
    <row r="29" ht="15.75" customHeight="1">
      <c r="A29" s="1238"/>
      <c r="B29" s="1860"/>
      <c r="C29" s="1032"/>
      <c r="D29" s="1032"/>
      <c r="E29" s="30"/>
      <c r="F29" s="1230"/>
      <c r="G29" s="1860"/>
      <c r="H29" s="30"/>
      <c r="I29" s="30"/>
      <c r="J29" s="428"/>
      <c r="K29" s="1859" t="str">
        <f t="shared" ref="K29:K30" si="22">ITEMICON(L29)</f>
        <v>#NAME?</v>
      </c>
      <c r="L29" s="1337" t="s">
        <v>678</v>
      </c>
      <c r="M29" s="1337" t="s">
        <v>10187</v>
      </c>
      <c r="N29" s="428"/>
      <c r="O29" s="1859" t="str">
        <f t="shared" si="21"/>
        <v>#NAME?</v>
      </c>
      <c r="P29" s="1337" t="s">
        <v>864</v>
      </c>
      <c r="Q29" s="1337" t="s">
        <v>5398</v>
      </c>
      <c r="R29" s="428"/>
      <c r="S29" s="1870" t="str">
        <f t="shared" ref="S29:S30" si="23">ITEMICON(T29)</f>
        <v>#NAME?</v>
      </c>
      <c r="T29" s="1435" t="s">
        <v>765</v>
      </c>
      <c r="U29" s="1435" t="s">
        <v>4746</v>
      </c>
      <c r="V29" s="428"/>
      <c r="W29" s="1932" t="str">
        <f t="shared" si="20"/>
        <v>#NAME?</v>
      </c>
      <c r="X29" s="1337" t="s">
        <v>1080</v>
      </c>
      <c r="Y29" s="1337" t="s">
        <v>10188</v>
      </c>
      <c r="Z29" s="428"/>
      <c r="AA29" s="1898" t="s">
        <v>9700</v>
      </c>
      <c r="AB29" s="1338" t="s">
        <v>6</v>
      </c>
      <c r="AC29" s="1338">
        <v>120.0</v>
      </c>
      <c r="AD29" s="1861">
        <v>1.0</v>
      </c>
      <c r="AE29" s="1338">
        <v>10.0</v>
      </c>
      <c r="AF29" s="1915" t="s">
        <v>10128</v>
      </c>
      <c r="AG29" s="1916" t="s">
        <v>10056</v>
      </c>
      <c r="AH29" s="1869" t="s">
        <v>10049</v>
      </c>
      <c r="AI29" s="428"/>
      <c r="AJ29" s="1898" t="s">
        <v>9736</v>
      </c>
      <c r="AK29" s="1338" t="s">
        <v>61</v>
      </c>
      <c r="AL29" s="1338">
        <v>90.0</v>
      </c>
      <c r="AM29" s="1861">
        <v>1.0</v>
      </c>
      <c r="AN29" s="1338">
        <v>10.0</v>
      </c>
      <c r="AO29" s="1926" t="s">
        <v>10189</v>
      </c>
      <c r="AP29" s="1927" t="s">
        <v>10056</v>
      </c>
      <c r="AQ29" s="1884" t="s">
        <v>10049</v>
      </c>
      <c r="AR29" s="1230"/>
      <c r="AS29" s="1838" t="s">
        <v>9761</v>
      </c>
      <c r="AT29" s="1338" t="s">
        <v>32</v>
      </c>
      <c r="AU29" s="1338">
        <v>95.0</v>
      </c>
      <c r="AV29" s="1946">
        <v>1.0</v>
      </c>
      <c r="AW29" s="1338">
        <v>15.0</v>
      </c>
      <c r="AX29" s="1838" t="s">
        <v>4841</v>
      </c>
      <c r="AY29" s="1838" t="s">
        <v>10068</v>
      </c>
      <c r="AZ29" s="1338"/>
      <c r="BA29" s="1230"/>
      <c r="BB29" s="1870" t="str">
        <f t="shared" si="11"/>
        <v>#NAME?</v>
      </c>
      <c r="BC29" s="1415" t="s">
        <v>2208</v>
      </c>
      <c r="BD29" s="1415" t="s">
        <v>10101</v>
      </c>
      <c r="BE29" s="1839" t="s">
        <v>10068</v>
      </c>
      <c r="BF29" s="1416"/>
      <c r="BG29" s="1230"/>
      <c r="BH29" s="449"/>
      <c r="BI29" s="1230"/>
      <c r="BJ29" s="1230"/>
      <c r="BK29" s="1230"/>
      <c r="BL29" s="1230"/>
      <c r="BM29" s="1230"/>
      <c r="BN29" s="1230"/>
      <c r="BO29" s="1851"/>
    </row>
    <row r="30" ht="15.75" customHeight="1">
      <c r="A30" s="1238"/>
      <c r="B30" s="1947" t="s">
        <v>10190</v>
      </c>
      <c r="C30" s="138"/>
      <c r="D30" s="138"/>
      <c r="E30" s="128"/>
      <c r="F30" s="1230"/>
      <c r="G30" s="1859" t="str">
        <f t="shared" ref="G30:G32" si="24">ITEMICON(H30)</f>
        <v>#NAME?</v>
      </c>
      <c r="H30" s="1337" t="s">
        <v>958</v>
      </c>
      <c r="I30" s="1337" t="s">
        <v>10191</v>
      </c>
      <c r="J30" s="428"/>
      <c r="K30" s="1863" t="str">
        <f t="shared" si="22"/>
        <v>#NAME?</v>
      </c>
      <c r="L30" s="1895" t="s">
        <v>362</v>
      </c>
      <c r="M30" s="1895" t="s">
        <v>10192</v>
      </c>
      <c r="N30" s="428"/>
      <c r="O30" s="1870" t="str">
        <f t="shared" si="21"/>
        <v>#NAME?</v>
      </c>
      <c r="P30" s="1435" t="s">
        <v>837</v>
      </c>
      <c r="Q30" s="1435" t="s">
        <v>5398</v>
      </c>
      <c r="R30" s="428"/>
      <c r="S30" s="1880" t="str">
        <f t="shared" si="23"/>
        <v>#NAME?</v>
      </c>
      <c r="T30" s="1912" t="s">
        <v>1506</v>
      </c>
      <c r="U30" s="1912" t="s">
        <v>10193</v>
      </c>
      <c r="V30" s="428"/>
      <c r="W30" s="1936" t="str">
        <f t="shared" si="20"/>
        <v>#NAME?</v>
      </c>
      <c r="X30" s="1435" t="s">
        <v>1171</v>
      </c>
      <c r="Y30" s="1435" t="s">
        <v>10194</v>
      </c>
      <c r="Z30" s="428"/>
      <c r="AA30" s="1436" t="s">
        <v>10195</v>
      </c>
      <c r="AB30" s="1416" t="s">
        <v>95</v>
      </c>
      <c r="AC30" s="1416">
        <v>100.0</v>
      </c>
      <c r="AD30" s="1866">
        <v>0.75</v>
      </c>
      <c r="AE30" s="1416">
        <v>15.0</v>
      </c>
      <c r="AF30" s="1436" t="s">
        <v>5629</v>
      </c>
      <c r="AG30" s="1436" t="s">
        <v>10056</v>
      </c>
      <c r="AH30" s="1416"/>
      <c r="AI30" s="428"/>
      <c r="AJ30" s="1436" t="s">
        <v>10196</v>
      </c>
      <c r="AK30" s="1416" t="s">
        <v>64</v>
      </c>
      <c r="AL30" s="1416">
        <v>60.0</v>
      </c>
      <c r="AM30" s="1866">
        <v>1.0</v>
      </c>
      <c r="AN30" s="1416">
        <v>5.0</v>
      </c>
      <c r="AO30" s="1436" t="s">
        <v>10197</v>
      </c>
      <c r="AP30" s="1436" t="s">
        <v>10147</v>
      </c>
      <c r="AQ30" s="1416"/>
      <c r="AR30" s="1230"/>
      <c r="AS30" s="1839" t="s">
        <v>9766</v>
      </c>
      <c r="AT30" s="1416" t="s">
        <v>156</v>
      </c>
      <c r="AU30" s="1948">
        <v>100.0</v>
      </c>
      <c r="AV30" s="1866">
        <v>1.0</v>
      </c>
      <c r="AW30" s="1416">
        <v>15.0</v>
      </c>
      <c r="AX30" s="1839" t="s">
        <v>10198</v>
      </c>
      <c r="AY30" s="1839" t="s">
        <v>10199</v>
      </c>
      <c r="AZ30" s="1416"/>
      <c r="BA30" s="1230"/>
      <c r="BB30" s="1859" t="str">
        <f t="shared" si="11"/>
        <v>#NAME?</v>
      </c>
      <c r="BC30" s="1356" t="s">
        <v>2416</v>
      </c>
      <c r="BD30" s="1356" t="s">
        <v>10200</v>
      </c>
      <c r="BE30" s="1838" t="s">
        <v>10201</v>
      </c>
      <c r="BF30" s="1338" t="s">
        <v>10049</v>
      </c>
      <c r="BG30" s="1230"/>
      <c r="BH30" s="449"/>
      <c r="BI30" s="1230"/>
      <c r="BJ30" s="1230"/>
      <c r="BK30" s="1230"/>
      <c r="BL30" s="1230"/>
      <c r="BM30" s="1230"/>
      <c r="BN30" s="1230"/>
      <c r="BO30" s="1851"/>
    </row>
    <row r="31" ht="15.75" customHeight="1">
      <c r="A31" s="1238"/>
      <c r="B31" s="1911" t="s">
        <v>10202</v>
      </c>
      <c r="C31" s="138"/>
      <c r="D31" s="138"/>
      <c r="E31" s="128"/>
      <c r="F31" s="1230"/>
      <c r="G31" s="1870" t="str">
        <f t="shared" si="24"/>
        <v>#NAME?</v>
      </c>
      <c r="H31" s="1435" t="s">
        <v>268</v>
      </c>
      <c r="I31" s="1435" t="s">
        <v>4841</v>
      </c>
      <c r="J31" s="428"/>
      <c r="K31" s="1860"/>
      <c r="L31" s="30"/>
      <c r="M31" s="30"/>
      <c r="N31" s="428"/>
      <c r="O31" s="1859" t="str">
        <f t="shared" si="21"/>
        <v>#NAME?</v>
      </c>
      <c r="P31" s="1337" t="s">
        <v>919</v>
      </c>
      <c r="Q31" s="1337" t="s">
        <v>10076</v>
      </c>
      <c r="R31" s="428"/>
      <c r="S31" s="1894"/>
      <c r="T31" s="1432"/>
      <c r="U31" s="1432"/>
      <c r="V31" s="428"/>
      <c r="W31" s="1932" t="str">
        <f t="shared" si="20"/>
        <v>#NAME?</v>
      </c>
      <c r="X31" s="1337" t="s">
        <v>1062</v>
      </c>
      <c r="Y31" s="1337" t="s">
        <v>10203</v>
      </c>
      <c r="Z31" s="428"/>
      <c r="AA31" s="1898" t="s">
        <v>9705</v>
      </c>
      <c r="AB31" s="1338" t="s">
        <v>197</v>
      </c>
      <c r="AC31" s="1338">
        <v>95.0</v>
      </c>
      <c r="AD31" s="1861">
        <v>1.0</v>
      </c>
      <c r="AE31" s="1338">
        <v>15.0</v>
      </c>
      <c r="AF31" s="1898" t="s">
        <v>4520</v>
      </c>
      <c r="AG31" s="1898" t="s">
        <v>10056</v>
      </c>
      <c r="AH31" s="1338"/>
      <c r="AI31" s="428"/>
      <c r="AJ31" s="1898" t="s">
        <v>9738</v>
      </c>
      <c r="AK31" s="1338" t="s">
        <v>34</v>
      </c>
      <c r="AL31" s="1338" t="s">
        <v>19</v>
      </c>
      <c r="AM31" s="1861">
        <v>0.75</v>
      </c>
      <c r="AN31" s="1338">
        <v>15.0</v>
      </c>
      <c r="AO31" s="1915" t="s">
        <v>10139</v>
      </c>
      <c r="AP31" s="1916" t="s">
        <v>10056</v>
      </c>
      <c r="AQ31" s="1869" t="s">
        <v>10049</v>
      </c>
      <c r="AR31" s="1230"/>
      <c r="AS31" s="1838" t="s">
        <v>9768</v>
      </c>
      <c r="AT31" s="1338" t="s">
        <v>18</v>
      </c>
      <c r="AU31" s="1338" t="s">
        <v>19</v>
      </c>
      <c r="AV31" s="1859" t="s">
        <v>19</v>
      </c>
      <c r="AW31" s="1338">
        <v>15.0</v>
      </c>
      <c r="AX31" s="1838" t="s">
        <v>4530</v>
      </c>
      <c r="AY31" s="1838" t="s">
        <v>10056</v>
      </c>
      <c r="AZ31" s="1338"/>
      <c r="BA31" s="1230"/>
      <c r="BB31" s="1870" t="str">
        <f t="shared" si="11"/>
        <v>#NAME?</v>
      </c>
      <c r="BC31" s="1415" t="s">
        <v>3531</v>
      </c>
      <c r="BD31" s="1415" t="s">
        <v>4524</v>
      </c>
      <c r="BE31" s="1839" t="s">
        <v>10162</v>
      </c>
      <c r="BF31" s="1416" t="s">
        <v>10094</v>
      </c>
      <c r="BG31" s="1230"/>
      <c r="BH31" s="449"/>
      <c r="BI31" s="1230"/>
      <c r="BJ31" s="1230"/>
      <c r="BK31" s="1230"/>
      <c r="BL31" s="1230"/>
      <c r="BM31" s="1230"/>
      <c r="BN31" s="1230"/>
      <c r="BO31" s="1851"/>
    </row>
    <row r="32" ht="15.75" customHeight="1">
      <c r="A32" s="1238"/>
      <c r="B32" s="1947" t="s">
        <v>10204</v>
      </c>
      <c r="C32" s="138"/>
      <c r="D32" s="138"/>
      <c r="E32" s="128"/>
      <c r="F32" s="1230"/>
      <c r="G32" s="1880" t="str">
        <f t="shared" si="24"/>
        <v>#NAME?</v>
      </c>
      <c r="H32" s="1912" t="s">
        <v>1590</v>
      </c>
      <c r="I32" s="1912" t="s">
        <v>10205</v>
      </c>
      <c r="J32" s="428"/>
      <c r="K32" s="1859" t="str">
        <f t="shared" ref="K32:K33" si="25">ITEMICON(L32)</f>
        <v>#NAME?</v>
      </c>
      <c r="L32" s="1337" t="s">
        <v>320</v>
      </c>
      <c r="M32" s="1337" t="s">
        <v>4746</v>
      </c>
      <c r="N32" s="428"/>
      <c r="O32" s="1870" t="str">
        <f t="shared" si="21"/>
        <v>#NAME?</v>
      </c>
      <c r="P32" s="1435" t="s">
        <v>846</v>
      </c>
      <c r="Q32" s="1435" t="s">
        <v>5398</v>
      </c>
      <c r="R32" s="428"/>
      <c r="S32" s="1885"/>
      <c r="T32" s="1886"/>
      <c r="U32" s="1886"/>
      <c r="V32" s="428"/>
      <c r="W32" s="1936" t="str">
        <f t="shared" si="20"/>
        <v>#NAME?</v>
      </c>
      <c r="X32" s="1435" t="s">
        <v>1089</v>
      </c>
      <c r="Y32" s="1435" t="s">
        <v>10206</v>
      </c>
      <c r="Z32" s="428"/>
      <c r="AA32" s="1436" t="s">
        <v>10207</v>
      </c>
      <c r="AB32" s="1416" t="s">
        <v>197</v>
      </c>
      <c r="AC32" s="1416">
        <v>120.0</v>
      </c>
      <c r="AD32" s="1866">
        <v>0.7</v>
      </c>
      <c r="AE32" s="1416">
        <v>10.0</v>
      </c>
      <c r="AF32" s="1436" t="s">
        <v>4788</v>
      </c>
      <c r="AG32" s="1436" t="s">
        <v>10056</v>
      </c>
      <c r="AH32" s="1416"/>
      <c r="AI32" s="428"/>
      <c r="AJ32" s="1949" t="s">
        <v>9689</v>
      </c>
      <c r="AK32" s="1416" t="s">
        <v>109</v>
      </c>
      <c r="AL32" s="1416">
        <v>90.0</v>
      </c>
      <c r="AM32" s="1866">
        <v>1.0</v>
      </c>
      <c r="AN32" s="1416">
        <v>10.0</v>
      </c>
      <c r="AO32" s="1436" t="s">
        <v>4686</v>
      </c>
      <c r="AP32" s="1436" t="s">
        <v>10056</v>
      </c>
      <c r="AQ32" s="1416"/>
      <c r="AR32" s="1230"/>
      <c r="AS32" s="1839" t="s">
        <v>10208</v>
      </c>
      <c r="AT32" s="1870" t="s">
        <v>64</v>
      </c>
      <c r="AU32" s="1416">
        <v>60.0</v>
      </c>
      <c r="AV32" s="1866">
        <v>1.0</v>
      </c>
      <c r="AW32" s="1416">
        <v>15.0</v>
      </c>
      <c r="AX32" s="1839" t="s">
        <v>5103</v>
      </c>
      <c r="AY32" s="1839" t="s">
        <v>10068</v>
      </c>
      <c r="AZ32" s="1416"/>
      <c r="BA32" s="1230"/>
      <c r="BB32" s="1859" t="str">
        <f t="shared" si="11"/>
        <v>#NAME?</v>
      </c>
      <c r="BC32" s="1356" t="s">
        <v>3491</v>
      </c>
      <c r="BD32" s="1356" t="s">
        <v>10209</v>
      </c>
      <c r="BE32" s="1838" t="s">
        <v>4652</v>
      </c>
      <c r="BF32" s="1338" t="s">
        <v>10094</v>
      </c>
      <c r="BG32" s="1230"/>
      <c r="BH32" s="449"/>
      <c r="BI32" s="1230"/>
      <c r="BJ32" s="1230"/>
      <c r="BK32" s="1230"/>
      <c r="BL32" s="1230"/>
      <c r="BM32" s="1230"/>
      <c r="BN32" s="1230"/>
      <c r="BO32" s="1851"/>
    </row>
    <row r="33" ht="15.75" customHeight="1">
      <c r="A33" s="1238"/>
      <c r="B33" s="1911" t="s">
        <v>10210</v>
      </c>
      <c r="C33" s="138"/>
      <c r="D33" s="138"/>
      <c r="E33" s="128"/>
      <c r="F33" s="1230"/>
      <c r="G33" s="1885"/>
      <c r="H33" s="1886"/>
      <c r="I33" s="1886"/>
      <c r="J33" s="428"/>
      <c r="K33" s="1863" t="str">
        <f t="shared" si="25"/>
        <v>#NAME?</v>
      </c>
      <c r="L33" s="1895" t="s">
        <v>722</v>
      </c>
      <c r="M33" s="1895" t="s">
        <v>10211</v>
      </c>
      <c r="N33" s="428"/>
      <c r="O33" s="1859" t="str">
        <f t="shared" si="21"/>
        <v>#NAME?</v>
      </c>
      <c r="P33" s="1337" t="s">
        <v>829</v>
      </c>
      <c r="Q33" s="1337" t="s">
        <v>5398</v>
      </c>
      <c r="R33" s="428"/>
      <c r="S33" s="1870" t="str">
        <f t="shared" ref="S33:S36" si="26">ITEMICON(T33)</f>
        <v>#NAME?</v>
      </c>
      <c r="T33" s="1435" t="s">
        <v>345</v>
      </c>
      <c r="U33" s="1435" t="s">
        <v>10212</v>
      </c>
      <c r="V33" s="428"/>
      <c r="W33" s="1932" t="str">
        <f t="shared" si="20"/>
        <v>#NAME?</v>
      </c>
      <c r="X33" s="1337" t="s">
        <v>1133</v>
      </c>
      <c r="Y33" s="1337" t="s">
        <v>10213</v>
      </c>
      <c r="Z33" s="428"/>
      <c r="AA33" s="1898" t="s">
        <v>10214</v>
      </c>
      <c r="AB33" s="1338" t="s">
        <v>79</v>
      </c>
      <c r="AC33" s="1338">
        <v>100.0</v>
      </c>
      <c r="AD33" s="1861">
        <v>1.0</v>
      </c>
      <c r="AE33" s="1338">
        <v>10.0</v>
      </c>
      <c r="AF33" s="1919" t="s">
        <v>10215</v>
      </c>
      <c r="AG33" s="1920" t="s">
        <v>10216</v>
      </c>
      <c r="AH33" s="1873" t="s">
        <v>10049</v>
      </c>
      <c r="AI33" s="428"/>
      <c r="AJ33" s="1898" t="s">
        <v>9733</v>
      </c>
      <c r="AK33" s="1338" t="s">
        <v>76</v>
      </c>
      <c r="AL33" s="1338" t="s">
        <v>19</v>
      </c>
      <c r="AM33" s="1861">
        <v>1.0</v>
      </c>
      <c r="AN33" s="1338">
        <v>15.0</v>
      </c>
      <c r="AO33" s="1898" t="s">
        <v>4762</v>
      </c>
      <c r="AP33" s="1898" t="s">
        <v>10068</v>
      </c>
      <c r="AQ33" s="1338"/>
      <c r="AR33" s="1230"/>
      <c r="AS33" s="1838" t="s">
        <v>10217</v>
      </c>
      <c r="AT33" s="1338" t="s">
        <v>32</v>
      </c>
      <c r="AU33" s="1338">
        <v>80.0</v>
      </c>
      <c r="AV33" s="1861">
        <v>1.0</v>
      </c>
      <c r="AW33" s="1338">
        <v>15.0</v>
      </c>
      <c r="AX33" s="1871" t="s">
        <v>10218</v>
      </c>
      <c r="AY33" s="1872" t="s">
        <v>10219</v>
      </c>
      <c r="AZ33" s="1873" t="s">
        <v>10049</v>
      </c>
      <c r="BA33" s="1230"/>
      <c r="BB33" s="1870" t="str">
        <f t="shared" si="11"/>
        <v>#NAME?</v>
      </c>
      <c r="BC33" s="1415" t="s">
        <v>2215</v>
      </c>
      <c r="BD33" s="1415" t="s">
        <v>10220</v>
      </c>
      <c r="BE33" s="1839" t="s">
        <v>10068</v>
      </c>
      <c r="BF33" s="1416"/>
      <c r="BG33" s="1230"/>
      <c r="BH33" s="449"/>
      <c r="BI33" s="1230"/>
      <c r="BJ33" s="1230"/>
      <c r="BK33" s="1230"/>
      <c r="BL33" s="1230"/>
      <c r="BM33" s="1230"/>
      <c r="BN33" s="1230"/>
      <c r="BO33" s="1851"/>
    </row>
    <row r="34" ht="15.75" customHeight="1">
      <c r="A34" s="1238"/>
      <c r="B34" s="1947" t="s">
        <v>10221</v>
      </c>
      <c r="C34" s="138"/>
      <c r="D34" s="138"/>
      <c r="E34" s="128"/>
      <c r="F34" s="1230"/>
      <c r="G34" s="1870" t="str">
        <f t="shared" ref="G34:G35" si="27">ITEMICON(H34)</f>
        <v>#NAME?</v>
      </c>
      <c r="H34" s="1435" t="s">
        <v>1635</v>
      </c>
      <c r="I34" s="1435" t="s">
        <v>10222</v>
      </c>
      <c r="J34" s="428"/>
      <c r="K34" s="1860"/>
      <c r="L34" s="30"/>
      <c r="M34" s="30"/>
      <c r="N34" s="428"/>
      <c r="O34" s="1870" t="str">
        <f t="shared" si="21"/>
        <v>#NAME?</v>
      </c>
      <c r="P34" s="1435" t="s">
        <v>2456</v>
      </c>
      <c r="Q34" s="1435" t="s">
        <v>10223</v>
      </c>
      <c r="R34" s="428"/>
      <c r="S34" s="1859" t="str">
        <f t="shared" si="26"/>
        <v>#NAME?</v>
      </c>
      <c r="T34" s="1337" t="s">
        <v>123</v>
      </c>
      <c r="U34" s="1337" t="s">
        <v>4748</v>
      </c>
      <c r="V34" s="428"/>
      <c r="W34" s="1936" t="str">
        <f t="shared" si="20"/>
        <v>#NAME?</v>
      </c>
      <c r="X34" s="1435" t="s">
        <v>1037</v>
      </c>
      <c r="Y34" s="1435" t="s">
        <v>10224</v>
      </c>
      <c r="Z34" s="428"/>
      <c r="AA34" s="1436" t="s">
        <v>9702</v>
      </c>
      <c r="AB34" s="1416" t="s">
        <v>156</v>
      </c>
      <c r="AC34" s="1416" t="s">
        <v>10073</v>
      </c>
      <c r="AD34" s="1866">
        <v>1.0</v>
      </c>
      <c r="AE34" s="1416">
        <v>20.0</v>
      </c>
      <c r="AF34" s="1921" t="s">
        <v>4894</v>
      </c>
      <c r="AG34" s="1922" t="s">
        <v>10225</v>
      </c>
      <c r="AH34" s="1879" t="s">
        <v>10049</v>
      </c>
      <c r="AI34" s="428"/>
      <c r="AJ34" s="1436" t="s">
        <v>9735</v>
      </c>
      <c r="AK34" s="1416" t="s">
        <v>156</v>
      </c>
      <c r="AL34" s="1416">
        <v>250.0</v>
      </c>
      <c r="AM34" s="1866">
        <v>1.0</v>
      </c>
      <c r="AN34" s="1416">
        <v>5.0</v>
      </c>
      <c r="AO34" s="1436" t="s">
        <v>10226</v>
      </c>
      <c r="AP34" s="1436" t="s">
        <v>10068</v>
      </c>
      <c r="AQ34" s="1416"/>
      <c r="AR34" s="1230"/>
      <c r="AS34" s="1843" t="s">
        <v>10227</v>
      </c>
      <c r="AT34" s="1950" t="s">
        <v>66</v>
      </c>
      <c r="AU34" s="1951">
        <v>80.0</v>
      </c>
      <c r="AV34" s="1952">
        <v>0.95</v>
      </c>
      <c r="AW34" s="1411">
        <v>20.0</v>
      </c>
      <c r="AX34" s="1953" t="s">
        <v>5057</v>
      </c>
      <c r="AY34" s="1954" t="s">
        <v>10228</v>
      </c>
      <c r="AZ34" s="1955" t="s">
        <v>10049</v>
      </c>
      <c r="BA34" s="1230"/>
      <c r="BB34" s="1859" t="str">
        <f t="shared" si="11"/>
        <v>#NAME?</v>
      </c>
      <c r="BC34" s="1356" t="s">
        <v>2309</v>
      </c>
      <c r="BD34" s="1356" t="s">
        <v>10229</v>
      </c>
      <c r="BE34" s="1838" t="s">
        <v>10056</v>
      </c>
      <c r="BF34" s="1338"/>
      <c r="BG34" s="1230"/>
      <c r="BH34" s="449"/>
      <c r="BI34" s="1230"/>
      <c r="BJ34" s="1230"/>
      <c r="BK34" s="1230"/>
      <c r="BL34" s="1230"/>
      <c r="BM34" s="1230"/>
      <c r="BN34" s="1230"/>
      <c r="BO34" s="1851"/>
    </row>
    <row r="35" ht="15.75" customHeight="1">
      <c r="A35" s="1238"/>
      <c r="B35" s="1911" t="s">
        <v>10230</v>
      </c>
      <c r="C35" s="138"/>
      <c r="D35" s="138"/>
      <c r="E35" s="128"/>
      <c r="F35" s="1230"/>
      <c r="G35" s="1880" t="str">
        <f t="shared" si="27"/>
        <v>#NAME?</v>
      </c>
      <c r="H35" s="1912" t="s">
        <v>1544</v>
      </c>
      <c r="I35" s="1912" t="s">
        <v>10231</v>
      </c>
      <c r="J35" s="428"/>
      <c r="K35" s="1859" t="str">
        <f t="shared" ref="K35:K39" si="28">ITEMICON(L35)</f>
        <v>#NAME?</v>
      </c>
      <c r="L35" s="1337" t="s">
        <v>1761</v>
      </c>
      <c r="M35" s="1337" t="s">
        <v>4516</v>
      </c>
      <c r="N35" s="428"/>
      <c r="O35" s="1859" t="str">
        <f t="shared" si="21"/>
        <v>#NAME?</v>
      </c>
      <c r="P35" s="1337" t="s">
        <v>1616</v>
      </c>
      <c r="Q35" s="1337" t="s">
        <v>10232</v>
      </c>
      <c r="R35" s="428"/>
      <c r="S35" s="1870" t="str">
        <f t="shared" si="26"/>
        <v>#NAME?</v>
      </c>
      <c r="T35" s="1435" t="s">
        <v>1627</v>
      </c>
      <c r="U35" s="1435" t="s">
        <v>10233</v>
      </c>
      <c r="V35" s="428"/>
      <c r="W35" s="1068" t="str">
        <f t="shared" si="20"/>
        <v>#NAME?</v>
      </c>
      <c r="X35" s="255" t="s">
        <v>1097</v>
      </c>
      <c r="Y35" s="1337" t="s">
        <v>10234</v>
      </c>
      <c r="Z35" s="428"/>
      <c r="AA35" s="1898" t="s">
        <v>10235</v>
      </c>
      <c r="AB35" s="1338" t="s">
        <v>79</v>
      </c>
      <c r="AC35" s="1338">
        <v>80.0</v>
      </c>
      <c r="AD35" s="1861">
        <v>1.0</v>
      </c>
      <c r="AE35" s="1338">
        <v>10.0</v>
      </c>
      <c r="AF35" s="1921" t="s">
        <v>4524</v>
      </c>
      <c r="AG35" s="1922" t="s">
        <v>10068</v>
      </c>
      <c r="AH35" s="1879" t="s">
        <v>10049</v>
      </c>
      <c r="AI35" s="428"/>
      <c r="AJ35" s="1949" t="s">
        <v>9753</v>
      </c>
      <c r="AK35" s="1338" t="s">
        <v>92</v>
      </c>
      <c r="AL35" s="1948">
        <v>80.0</v>
      </c>
      <c r="AM35" s="1861">
        <v>1.0</v>
      </c>
      <c r="AN35" s="1338">
        <v>15.0</v>
      </c>
      <c r="AO35" s="1915" t="s">
        <v>4786</v>
      </c>
      <c r="AP35" s="1916" t="s">
        <v>10056</v>
      </c>
      <c r="AQ35" s="1869" t="s">
        <v>10049</v>
      </c>
      <c r="AR35" s="1230"/>
      <c r="AS35" s="1230"/>
      <c r="AT35" s="449"/>
      <c r="AU35" s="449"/>
      <c r="AV35" s="449"/>
      <c r="AW35" s="449"/>
      <c r="AX35" s="1230"/>
      <c r="AY35" s="1230"/>
      <c r="AZ35" s="449"/>
      <c r="BA35" s="1230"/>
      <c r="BB35" s="1870" t="str">
        <f t="shared" si="11"/>
        <v>#NAME?</v>
      </c>
      <c r="BC35" s="1415" t="s">
        <v>2424</v>
      </c>
      <c r="BD35" s="1415" t="s">
        <v>10236</v>
      </c>
      <c r="BE35" s="1839" t="s">
        <v>10166</v>
      </c>
      <c r="BF35" s="1416"/>
      <c r="BG35" s="1230"/>
      <c r="BH35" s="449"/>
      <c r="BI35" s="1230"/>
      <c r="BJ35" s="1230"/>
      <c r="BK35" s="1230"/>
      <c r="BL35" s="1230"/>
      <c r="BM35" s="1230"/>
      <c r="BN35" s="1230"/>
      <c r="BO35" s="1851"/>
    </row>
    <row r="36" ht="15.75" customHeight="1">
      <c r="A36" s="1238"/>
      <c r="B36" s="1956" t="s">
        <v>10237</v>
      </c>
      <c r="C36" s="1150"/>
      <c r="D36" s="1150"/>
      <c r="E36" s="1151"/>
      <c r="F36" s="1230"/>
      <c r="G36" s="1894"/>
      <c r="H36" s="1432"/>
      <c r="I36" s="1432"/>
      <c r="J36" s="428"/>
      <c r="K36" s="1870" t="str">
        <f t="shared" si="28"/>
        <v>#NAME?</v>
      </c>
      <c r="L36" s="1435" t="s">
        <v>603</v>
      </c>
      <c r="M36" s="1435" t="s">
        <v>4966</v>
      </c>
      <c r="N36" s="428"/>
      <c r="O36" s="1870" t="str">
        <f t="shared" si="21"/>
        <v>#NAME?</v>
      </c>
      <c r="P36" s="1435" t="s">
        <v>1738</v>
      </c>
      <c r="Q36" s="1435" t="s">
        <v>4538</v>
      </c>
      <c r="R36" s="428"/>
      <c r="S36" s="1880" t="str">
        <f t="shared" si="26"/>
        <v>#NAME?</v>
      </c>
      <c r="T36" s="1912" t="s">
        <v>1497</v>
      </c>
      <c r="U36" s="1912" t="s">
        <v>10238</v>
      </c>
      <c r="V36" s="428"/>
      <c r="W36" s="1936" t="str">
        <f t="shared" si="20"/>
        <v>#NAME?</v>
      </c>
      <c r="X36" s="1435" t="s">
        <v>1055</v>
      </c>
      <c r="Y36" s="1435" t="s">
        <v>10239</v>
      </c>
      <c r="Z36" s="428"/>
      <c r="AA36" s="1436" t="s">
        <v>10240</v>
      </c>
      <c r="AB36" s="1416" t="s">
        <v>2541</v>
      </c>
      <c r="AC36" s="1416">
        <v>90.0</v>
      </c>
      <c r="AD36" s="1866">
        <v>1.0</v>
      </c>
      <c r="AE36" s="1416">
        <v>10.0</v>
      </c>
      <c r="AF36" s="1921" t="s">
        <v>10241</v>
      </c>
      <c r="AG36" s="1922" t="s">
        <v>10242</v>
      </c>
      <c r="AH36" s="1879" t="s">
        <v>10049</v>
      </c>
      <c r="AI36" s="428"/>
      <c r="AJ36" s="1436" t="s">
        <v>10243</v>
      </c>
      <c r="AK36" s="1416" t="s">
        <v>76</v>
      </c>
      <c r="AL36" s="1416">
        <v>50.0</v>
      </c>
      <c r="AM36" s="1866">
        <v>1.0</v>
      </c>
      <c r="AN36" s="1416">
        <v>10.0</v>
      </c>
      <c r="AO36" s="1436" t="s">
        <v>4531</v>
      </c>
      <c r="AP36" s="1436" t="s">
        <v>10056</v>
      </c>
      <c r="AQ36" s="1416"/>
      <c r="AR36" s="1230"/>
      <c r="AS36" s="1230"/>
      <c r="AT36" s="449"/>
      <c r="AU36" s="449"/>
      <c r="AV36" s="449"/>
      <c r="AW36" s="449"/>
      <c r="AX36" s="1230"/>
      <c r="AY36" s="1230"/>
      <c r="AZ36" s="449"/>
      <c r="BA36" s="1230"/>
      <c r="BB36" s="1859" t="str">
        <f t="shared" si="11"/>
        <v>#NAME?</v>
      </c>
      <c r="BC36" s="1356" t="s">
        <v>3546</v>
      </c>
      <c r="BD36" s="1356" t="s">
        <v>10244</v>
      </c>
      <c r="BE36" s="1838" t="s">
        <v>10162</v>
      </c>
      <c r="BF36" s="1338" t="s">
        <v>10094</v>
      </c>
      <c r="BG36" s="1230"/>
      <c r="BH36" s="449"/>
      <c r="BI36" s="1230"/>
      <c r="BJ36" s="1230"/>
      <c r="BK36" s="1230"/>
      <c r="BL36" s="1230"/>
      <c r="BM36" s="1230"/>
      <c r="BN36" s="1230"/>
      <c r="BO36" s="1851"/>
    </row>
    <row r="37" ht="15.75" customHeight="1">
      <c r="A37" s="1238"/>
      <c r="B37" s="1860"/>
      <c r="C37" s="1032"/>
      <c r="D37" s="1032"/>
      <c r="E37" s="30"/>
      <c r="F37" s="1230"/>
      <c r="G37" s="1885"/>
      <c r="H37" s="1886"/>
      <c r="I37" s="1886"/>
      <c r="J37" s="428"/>
      <c r="K37" s="1859" t="str">
        <f t="shared" si="28"/>
        <v>#NAME?</v>
      </c>
      <c r="L37" s="1337" t="s">
        <v>773</v>
      </c>
      <c r="M37" s="1337" t="s">
        <v>4746</v>
      </c>
      <c r="N37" s="428"/>
      <c r="O37" s="1859" t="str">
        <f t="shared" si="21"/>
        <v>#NAME?</v>
      </c>
      <c r="P37" s="1337" t="s">
        <v>693</v>
      </c>
      <c r="Q37" s="1337" t="s">
        <v>4515</v>
      </c>
      <c r="R37" s="428"/>
      <c r="S37" s="1894"/>
      <c r="T37" s="1432"/>
      <c r="U37" s="1432"/>
      <c r="V37" s="428"/>
      <c r="W37" s="1932" t="str">
        <f t="shared" si="20"/>
        <v>#NAME?</v>
      </c>
      <c r="X37" s="1337" t="s">
        <v>1123</v>
      </c>
      <c r="Y37" s="1337" t="s">
        <v>10245</v>
      </c>
      <c r="Z37" s="428"/>
      <c r="AA37" s="1898" t="s">
        <v>9714</v>
      </c>
      <c r="AB37" s="1338" t="s">
        <v>92</v>
      </c>
      <c r="AC37" s="1338">
        <v>80.0</v>
      </c>
      <c r="AD37" s="1861">
        <v>1.0</v>
      </c>
      <c r="AE37" s="1338">
        <v>15.0</v>
      </c>
      <c r="AF37" s="1926" t="s">
        <v>10246</v>
      </c>
      <c r="AG37" s="1927" t="s">
        <v>10247</v>
      </c>
      <c r="AH37" s="1884" t="s">
        <v>10049</v>
      </c>
      <c r="AI37" s="428"/>
      <c r="AJ37" s="1898" t="s">
        <v>9746</v>
      </c>
      <c r="AK37" s="1338" t="s">
        <v>156</v>
      </c>
      <c r="AL37" s="1338" t="s">
        <v>19</v>
      </c>
      <c r="AM37" s="1338" t="s">
        <v>19</v>
      </c>
      <c r="AN37" s="1338">
        <v>10.0</v>
      </c>
      <c r="AO37" s="1898" t="s">
        <v>4524</v>
      </c>
      <c r="AP37" s="1898" t="s">
        <v>10068</v>
      </c>
      <c r="AQ37" s="1338"/>
      <c r="AR37" s="1230"/>
      <c r="AS37" s="1230"/>
      <c r="AT37" s="449"/>
      <c r="AU37" s="449"/>
      <c r="AV37" s="449"/>
      <c r="AW37" s="449"/>
      <c r="AX37" s="1230"/>
      <c r="AY37" s="1230"/>
      <c r="AZ37" s="449"/>
      <c r="BA37" s="1230"/>
      <c r="BB37" s="1870" t="str">
        <f t="shared" si="11"/>
        <v>#NAME?</v>
      </c>
      <c r="BC37" s="1415" t="s">
        <v>2372</v>
      </c>
      <c r="BD37" s="1415" t="s">
        <v>4746</v>
      </c>
      <c r="BE37" s="1839" t="s">
        <v>10068</v>
      </c>
      <c r="BF37" s="1416"/>
      <c r="BG37" s="1230"/>
      <c r="BH37" s="449"/>
      <c r="BI37" s="1230"/>
      <c r="BJ37" s="1230"/>
      <c r="BK37" s="1230"/>
      <c r="BL37" s="1230"/>
      <c r="BM37" s="1230"/>
      <c r="BN37" s="1230"/>
      <c r="BO37" s="1851"/>
    </row>
    <row r="38" ht="15.75" customHeight="1">
      <c r="A38" s="1238"/>
      <c r="B38" s="1911" t="s">
        <v>10248</v>
      </c>
      <c r="C38" s="138"/>
      <c r="D38" s="138"/>
      <c r="E38" s="128"/>
      <c r="F38" s="1230"/>
      <c r="G38" s="1863" t="str">
        <f>ITEMICON(H38)</f>
        <v>#NAME?</v>
      </c>
      <c r="H38" s="1895" t="s">
        <v>1598</v>
      </c>
      <c r="I38" s="1895" t="s">
        <v>10052</v>
      </c>
      <c r="J38" s="428"/>
      <c r="K38" s="1870" t="str">
        <f t="shared" si="28"/>
        <v>#NAME?</v>
      </c>
      <c r="L38" s="1415" t="s">
        <v>381</v>
      </c>
      <c r="M38" s="1415" t="s">
        <v>10063</v>
      </c>
      <c r="N38" s="428"/>
      <c r="O38" s="1870" t="str">
        <f t="shared" si="21"/>
        <v>#NAME?</v>
      </c>
      <c r="P38" s="1435" t="s">
        <v>791</v>
      </c>
      <c r="Q38" s="1435" t="s">
        <v>4746</v>
      </c>
      <c r="R38" s="428"/>
      <c r="S38" s="1885"/>
      <c r="T38" s="1886"/>
      <c r="U38" s="1886"/>
      <c r="V38" s="428"/>
      <c r="W38" s="1936" t="str">
        <f t="shared" si="20"/>
        <v>#NAME?</v>
      </c>
      <c r="X38" s="1435" t="s">
        <v>1150</v>
      </c>
      <c r="Y38" s="1435" t="s">
        <v>10249</v>
      </c>
      <c r="Z38" s="428"/>
      <c r="AA38" s="1436" t="s">
        <v>9712</v>
      </c>
      <c r="AB38" s="1416" t="s">
        <v>64</v>
      </c>
      <c r="AC38" s="1416">
        <v>75.0</v>
      </c>
      <c r="AD38" s="1866">
        <v>1.0</v>
      </c>
      <c r="AE38" s="1416">
        <v>15.0</v>
      </c>
      <c r="AF38" s="1436" t="s">
        <v>5103</v>
      </c>
      <c r="AG38" s="1436" t="s">
        <v>10056</v>
      </c>
      <c r="AH38" s="1416"/>
      <c r="AI38" s="428"/>
      <c r="AJ38" s="1436" t="s">
        <v>9741</v>
      </c>
      <c r="AK38" s="1416" t="s">
        <v>156</v>
      </c>
      <c r="AL38" s="1416">
        <v>150.0</v>
      </c>
      <c r="AM38" s="1866">
        <v>0.9</v>
      </c>
      <c r="AN38" s="1416">
        <v>5.0</v>
      </c>
      <c r="AO38" s="1915" t="s">
        <v>5054</v>
      </c>
      <c r="AP38" s="1916" t="s">
        <v>10056</v>
      </c>
      <c r="AQ38" s="1869" t="s">
        <v>10049</v>
      </c>
      <c r="AR38" s="1230"/>
      <c r="AS38" s="1230"/>
      <c r="AT38" s="449"/>
      <c r="AU38" s="449"/>
      <c r="AV38" s="449"/>
      <c r="AW38" s="449"/>
      <c r="AX38" s="1230"/>
      <c r="AY38" s="1230"/>
      <c r="AZ38" s="449"/>
      <c r="BA38" s="1230"/>
      <c r="BB38" s="1859" t="str">
        <f t="shared" si="11"/>
        <v>#NAME?</v>
      </c>
      <c r="BC38" s="1356" t="s">
        <v>2291</v>
      </c>
      <c r="BD38" s="1356" t="s">
        <v>10250</v>
      </c>
      <c r="BE38" s="1838" t="s">
        <v>10251</v>
      </c>
      <c r="BF38" s="1338"/>
      <c r="BG38" s="1230"/>
      <c r="BH38" s="449"/>
      <c r="BI38" s="1230"/>
      <c r="BJ38" s="1230"/>
      <c r="BK38" s="1230"/>
      <c r="BL38" s="1230"/>
      <c r="BM38" s="1230"/>
      <c r="BN38" s="1230"/>
      <c r="BO38" s="1851"/>
    </row>
    <row r="39" ht="15.75" customHeight="1">
      <c r="A39" s="1238"/>
      <c r="B39" s="1956" t="s">
        <v>10252</v>
      </c>
      <c r="C39" s="1150"/>
      <c r="D39" s="1150"/>
      <c r="E39" s="1151"/>
      <c r="F39" s="1230"/>
      <c r="G39" s="1860"/>
      <c r="H39" s="30"/>
      <c r="I39" s="30"/>
      <c r="J39" s="1230"/>
      <c r="K39" s="1888" t="str">
        <f t="shared" si="28"/>
        <v>#NAME?</v>
      </c>
      <c r="L39" s="1335" t="s">
        <v>810</v>
      </c>
      <c r="M39" s="1335" t="s">
        <v>4534</v>
      </c>
      <c r="N39" s="1230"/>
      <c r="O39" s="1880" t="str">
        <f t="shared" si="21"/>
        <v>#NAME?</v>
      </c>
      <c r="P39" s="1881" t="s">
        <v>1678</v>
      </c>
      <c r="Q39" s="1881" t="s">
        <v>10253</v>
      </c>
      <c r="R39" s="1230"/>
      <c r="S39" s="1870" t="str">
        <f t="shared" ref="S39:S40" si="29">ITEMICON(T39)</f>
        <v>#NAME?</v>
      </c>
      <c r="T39" s="1415" t="s">
        <v>1754</v>
      </c>
      <c r="U39" s="1415" t="s">
        <v>4536</v>
      </c>
      <c r="V39" s="1230"/>
      <c r="W39" s="1890" t="str">
        <f t="shared" si="20"/>
        <v>#NAME?</v>
      </c>
      <c r="X39" s="1335" t="s">
        <v>1159</v>
      </c>
      <c r="Y39" s="1335" t="s">
        <v>10254</v>
      </c>
      <c r="Z39" s="1230"/>
      <c r="AA39" s="1838" t="s">
        <v>9704</v>
      </c>
      <c r="AB39" s="1338" t="s">
        <v>156</v>
      </c>
      <c r="AC39" s="1338" t="s">
        <v>19</v>
      </c>
      <c r="AD39" s="1338" t="s">
        <v>19</v>
      </c>
      <c r="AE39" s="1338">
        <v>15.0</v>
      </c>
      <c r="AF39" s="1838" t="s">
        <v>5067</v>
      </c>
      <c r="AG39" s="1838" t="s">
        <v>10056</v>
      </c>
      <c r="AH39" s="1338"/>
      <c r="AI39" s="1230"/>
      <c r="AJ39" s="1838" t="s">
        <v>9744</v>
      </c>
      <c r="AK39" s="1338" t="s">
        <v>66</v>
      </c>
      <c r="AL39" s="1338" t="s">
        <v>19</v>
      </c>
      <c r="AM39" s="1338" t="s">
        <v>19</v>
      </c>
      <c r="AN39" s="1338">
        <v>20.0</v>
      </c>
      <c r="AO39" s="1838" t="s">
        <v>10063</v>
      </c>
      <c r="AP39" s="1838" t="s">
        <v>10056</v>
      </c>
      <c r="AQ39" s="1338"/>
      <c r="AR39" s="1230"/>
      <c r="AS39" s="1230"/>
      <c r="AT39" s="449"/>
      <c r="AU39" s="449"/>
      <c r="AV39" s="449"/>
      <c r="AW39" s="449"/>
      <c r="AX39" s="1230"/>
      <c r="AY39" s="1230"/>
      <c r="AZ39" s="449"/>
      <c r="BA39" s="1230"/>
      <c r="BB39" s="1870" t="str">
        <f t="shared" si="11"/>
        <v>#NAME?</v>
      </c>
      <c r="BC39" s="1415" t="s">
        <v>2408</v>
      </c>
      <c r="BD39" s="1415" t="s">
        <v>5057</v>
      </c>
      <c r="BE39" s="1839" t="s">
        <v>10068</v>
      </c>
      <c r="BF39" s="1416" t="s">
        <v>10049</v>
      </c>
      <c r="BG39" s="1230"/>
      <c r="BH39" s="449"/>
      <c r="BI39" s="1230"/>
      <c r="BJ39" s="1230"/>
      <c r="BK39" s="1230"/>
      <c r="BL39" s="1230"/>
      <c r="BM39" s="1230"/>
      <c r="BN39" s="1230"/>
      <c r="BO39" s="1851"/>
    </row>
    <row r="40" ht="15.75" customHeight="1">
      <c r="A40" s="1238"/>
      <c r="B40" s="997"/>
      <c r="C40" s="1026"/>
      <c r="D40" s="1026"/>
      <c r="E40" s="998"/>
      <c r="F40" s="1230"/>
      <c r="G40" s="1888" t="str">
        <f>ITEMICON(H40)</f>
        <v>#NAME?</v>
      </c>
      <c r="H40" s="1335" t="s">
        <v>1563</v>
      </c>
      <c r="I40" s="1335" t="s">
        <v>10255</v>
      </c>
      <c r="J40" s="1230"/>
      <c r="N40" s="1230"/>
      <c r="O40" s="1444"/>
      <c r="P40" s="1446"/>
      <c r="Q40" s="1446"/>
      <c r="R40" s="1230"/>
      <c r="S40" s="1888" t="str">
        <f t="shared" si="29"/>
        <v>#NAME?</v>
      </c>
      <c r="T40" s="1335" t="s">
        <v>2692</v>
      </c>
      <c r="U40" s="1335" t="s">
        <v>4822</v>
      </c>
      <c r="V40" s="1230"/>
      <c r="W40" s="1957" t="s">
        <v>10256</v>
      </c>
      <c r="X40" s="12"/>
      <c r="Y40" s="48"/>
      <c r="Z40" s="1230"/>
      <c r="AA40" s="1843" t="s">
        <v>9715</v>
      </c>
      <c r="AB40" s="1411" t="s">
        <v>2541</v>
      </c>
      <c r="AC40" s="1411" t="s">
        <v>19</v>
      </c>
      <c r="AD40" s="1411" t="s">
        <v>19</v>
      </c>
      <c r="AE40" s="1411">
        <v>20.0</v>
      </c>
      <c r="AF40" s="1958" t="s">
        <v>10151</v>
      </c>
      <c r="AG40" s="1959" t="s">
        <v>10056</v>
      </c>
      <c r="AH40" s="1960" t="s">
        <v>10049</v>
      </c>
      <c r="AI40" s="1230"/>
      <c r="AJ40" s="1843" t="s">
        <v>10257</v>
      </c>
      <c r="AK40" s="1411" t="s">
        <v>156</v>
      </c>
      <c r="AL40" s="1411" t="s">
        <v>19</v>
      </c>
      <c r="AM40" s="1961">
        <v>1.0</v>
      </c>
      <c r="AN40" s="1411">
        <v>20.0</v>
      </c>
      <c r="AO40" s="1843" t="s">
        <v>5103</v>
      </c>
      <c r="AP40" s="1843" t="s">
        <v>10056</v>
      </c>
      <c r="AQ40" s="1411"/>
      <c r="AR40" s="1230"/>
      <c r="AS40" s="1230"/>
      <c r="AT40" s="449"/>
      <c r="AU40" s="449"/>
      <c r="AV40" s="449"/>
      <c r="AW40" s="449"/>
      <c r="AX40" s="1230"/>
      <c r="AY40" s="1230"/>
      <c r="AZ40" s="449"/>
      <c r="BA40" s="1230"/>
      <c r="BB40" s="1888" t="str">
        <f t="shared" si="11"/>
        <v>#NAME?</v>
      </c>
      <c r="BC40" s="1335" t="s">
        <v>3554</v>
      </c>
      <c r="BD40" s="1335" t="s">
        <v>10258</v>
      </c>
      <c r="BE40" s="1935" t="s">
        <v>10259</v>
      </c>
      <c r="BF40" s="1336" t="s">
        <v>10094</v>
      </c>
      <c r="BG40" s="1230"/>
      <c r="BH40" s="449"/>
      <c r="BI40" s="1230"/>
      <c r="BJ40" s="1230"/>
      <c r="BK40" s="1230"/>
      <c r="BL40" s="1230"/>
      <c r="BM40" s="1230"/>
      <c r="BN40" s="1230"/>
      <c r="BO40" s="1851"/>
    </row>
    <row r="41" ht="15.75" customHeight="1">
      <c r="A41" s="1923"/>
      <c r="B41" s="1634"/>
      <c r="C41" s="1634"/>
      <c r="D41" s="1634"/>
      <c r="E41" s="1634"/>
      <c r="F41" s="1634"/>
      <c r="G41" s="1634"/>
      <c r="H41" s="1634"/>
      <c r="I41" s="1634"/>
      <c r="J41" s="1634"/>
      <c r="K41" s="1634"/>
      <c r="L41" s="1634"/>
      <c r="M41" s="1634"/>
      <c r="N41" s="1634"/>
      <c r="O41" s="1634"/>
      <c r="P41" s="1634"/>
      <c r="Q41" s="1634"/>
      <c r="R41" s="1634"/>
      <c r="S41" s="1634"/>
      <c r="T41" s="1634"/>
      <c r="U41" s="1634"/>
      <c r="V41" s="1634"/>
      <c r="W41" s="1227"/>
      <c r="X41" s="1634"/>
      <c r="Y41" s="1634"/>
      <c r="Z41" s="1634"/>
      <c r="AA41" s="1634"/>
      <c r="AB41" s="1634"/>
      <c r="AC41" s="1634"/>
      <c r="AD41" s="1634"/>
      <c r="AE41" s="1634"/>
      <c r="AF41" s="1634"/>
      <c r="AG41" s="1634"/>
      <c r="AH41" s="1227"/>
      <c r="AI41" s="1634"/>
      <c r="AJ41" s="1634"/>
      <c r="AK41" s="1227"/>
      <c r="AL41" s="1227"/>
      <c r="AM41" s="1227"/>
      <c r="AN41" s="1227"/>
      <c r="AO41" s="1634"/>
      <c r="AP41" s="1634"/>
      <c r="AQ41" s="1227"/>
      <c r="AR41" s="1634"/>
      <c r="AS41" s="1634"/>
      <c r="AT41" s="1227"/>
      <c r="AU41" s="1227"/>
      <c r="AV41" s="1227"/>
      <c r="AW41" s="1227"/>
      <c r="AX41" s="1634"/>
      <c r="AY41" s="1634"/>
      <c r="AZ41" s="1227"/>
      <c r="BA41" s="1634"/>
      <c r="BB41" s="1227"/>
      <c r="BC41" s="1634"/>
      <c r="BD41" s="1634"/>
      <c r="BE41" s="1634"/>
      <c r="BF41" s="1227"/>
      <c r="BG41" s="1634"/>
      <c r="BH41" s="1227"/>
      <c r="BI41" s="1634"/>
      <c r="BJ41" s="1634"/>
      <c r="BK41" s="1634"/>
      <c r="BL41" s="1634"/>
      <c r="BM41" s="1634"/>
      <c r="BN41" s="1634"/>
      <c r="BO41" s="130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4">
    <mergeCell ref="BL15:BN15"/>
    <mergeCell ref="BL16:BN16"/>
    <mergeCell ref="BH9:BN9"/>
    <mergeCell ref="BH11:BN11"/>
    <mergeCell ref="BH12:BN12"/>
    <mergeCell ref="BH14:BJ14"/>
    <mergeCell ref="BK14:BN14"/>
    <mergeCell ref="BI15:BJ15"/>
    <mergeCell ref="BI16:BJ16"/>
    <mergeCell ref="BI21:BJ21"/>
    <mergeCell ref="BI22:BJ22"/>
    <mergeCell ref="BI23:BJ23"/>
    <mergeCell ref="BI24:BJ24"/>
    <mergeCell ref="BL22:BN22"/>
    <mergeCell ref="BL23:BN23"/>
    <mergeCell ref="BL24:BN24"/>
    <mergeCell ref="BH26:BN26"/>
    <mergeCell ref="BH27:BN27"/>
    <mergeCell ref="BI18:BJ18"/>
    <mergeCell ref="BL18:BN18"/>
    <mergeCell ref="BI19:BJ19"/>
    <mergeCell ref="BL19:BN19"/>
    <mergeCell ref="BI20:BJ20"/>
    <mergeCell ref="BL20:BN20"/>
    <mergeCell ref="BL21:BN21"/>
    <mergeCell ref="W4:W5"/>
    <mergeCell ref="X4:X5"/>
    <mergeCell ref="Y4:Y5"/>
    <mergeCell ref="W7:W8"/>
    <mergeCell ref="X7:X8"/>
    <mergeCell ref="Y7:Y8"/>
    <mergeCell ref="B2:E3"/>
    <mergeCell ref="B5:E5"/>
    <mergeCell ref="B7:E8"/>
    <mergeCell ref="G2:I2"/>
    <mergeCell ref="K2:L2"/>
    <mergeCell ref="S2:T2"/>
    <mergeCell ref="W2:X2"/>
    <mergeCell ref="AA2:AH2"/>
    <mergeCell ref="G4:H4"/>
    <mergeCell ref="AA4:AH4"/>
    <mergeCell ref="O2:P2"/>
    <mergeCell ref="O4:O5"/>
    <mergeCell ref="P4:P5"/>
    <mergeCell ref="Q4:Q5"/>
    <mergeCell ref="S4:S5"/>
    <mergeCell ref="T4:T5"/>
    <mergeCell ref="U4:U5"/>
    <mergeCell ref="BB5:BF5"/>
    <mergeCell ref="BB7:BC7"/>
    <mergeCell ref="BB2:BF2"/>
    <mergeCell ref="BH2:BI2"/>
    <mergeCell ref="BJ2:BL2"/>
    <mergeCell ref="BB4:BF4"/>
    <mergeCell ref="BJ4:BL4"/>
    <mergeCell ref="BJ5:BL5"/>
    <mergeCell ref="BJ6:BL6"/>
    <mergeCell ref="BI17:BJ17"/>
    <mergeCell ref="BL17:BN17"/>
    <mergeCell ref="B16:E17"/>
    <mergeCell ref="G16:G17"/>
    <mergeCell ref="H16:H17"/>
    <mergeCell ref="I16:I17"/>
    <mergeCell ref="K18:K19"/>
    <mergeCell ref="L18:L19"/>
    <mergeCell ref="M18:M19"/>
    <mergeCell ref="B18:E18"/>
    <mergeCell ref="B19:E19"/>
    <mergeCell ref="B20:E20"/>
    <mergeCell ref="B22:E23"/>
    <mergeCell ref="K22:K23"/>
    <mergeCell ref="L22:L23"/>
    <mergeCell ref="M22:M23"/>
    <mergeCell ref="B24:E24"/>
    <mergeCell ref="G26:G27"/>
    <mergeCell ref="H26:H27"/>
    <mergeCell ref="I26:I27"/>
    <mergeCell ref="K26:K28"/>
    <mergeCell ref="L26:L28"/>
    <mergeCell ref="M26:M28"/>
    <mergeCell ref="L30:L31"/>
    <mergeCell ref="M30:M31"/>
    <mergeCell ref="S30:S32"/>
    <mergeCell ref="T30:T32"/>
    <mergeCell ref="U30:U32"/>
    <mergeCell ref="B26:E26"/>
    <mergeCell ref="B27:E29"/>
    <mergeCell ref="G28:G29"/>
    <mergeCell ref="H28:H29"/>
    <mergeCell ref="I28:I29"/>
    <mergeCell ref="B30:E30"/>
    <mergeCell ref="K30:K31"/>
    <mergeCell ref="B31:E31"/>
    <mergeCell ref="B32:E32"/>
    <mergeCell ref="G32:G33"/>
    <mergeCell ref="H32:H33"/>
    <mergeCell ref="I32:I33"/>
    <mergeCell ref="B33:E33"/>
    <mergeCell ref="K33:K34"/>
    <mergeCell ref="G38:G39"/>
    <mergeCell ref="H38:H39"/>
    <mergeCell ref="I38:I39"/>
    <mergeCell ref="B34:E34"/>
    <mergeCell ref="B35:E35"/>
    <mergeCell ref="G35:G37"/>
    <mergeCell ref="H35:H37"/>
    <mergeCell ref="I35:I37"/>
    <mergeCell ref="B36:E37"/>
    <mergeCell ref="B38:E38"/>
    <mergeCell ref="B39:E40"/>
    <mergeCell ref="Q39:Q40"/>
    <mergeCell ref="W40:Y40"/>
    <mergeCell ref="L33:L34"/>
    <mergeCell ref="M33:M34"/>
    <mergeCell ref="S36:S38"/>
    <mergeCell ref="T36:T38"/>
    <mergeCell ref="U36:U38"/>
    <mergeCell ref="O39:O40"/>
    <mergeCell ref="P39:P40"/>
    <mergeCell ref="P12:P13"/>
    <mergeCell ref="Q12:Q13"/>
    <mergeCell ref="W13:Y13"/>
    <mergeCell ref="K6:K8"/>
    <mergeCell ref="L6:L8"/>
    <mergeCell ref="M6:M8"/>
    <mergeCell ref="O8:O9"/>
    <mergeCell ref="P8:P9"/>
    <mergeCell ref="Q8:Q9"/>
    <mergeCell ref="O12:O13"/>
    <mergeCell ref="O17:O18"/>
    <mergeCell ref="P17:P18"/>
    <mergeCell ref="Q17:Q18"/>
    <mergeCell ref="W17:Y18"/>
    <mergeCell ref="O14:O16"/>
    <mergeCell ref="P14:P16"/>
    <mergeCell ref="Q14:Q16"/>
    <mergeCell ref="S15:S16"/>
    <mergeCell ref="T15:T16"/>
    <mergeCell ref="U15:U16"/>
    <mergeCell ref="W15:Y16"/>
    <mergeCell ref="O19:O20"/>
    <mergeCell ref="P19:P20"/>
    <mergeCell ref="Q19:Q20"/>
    <mergeCell ref="W19:Y20"/>
    <mergeCell ref="W22:X22"/>
    <mergeCell ref="G23:G25"/>
    <mergeCell ref="H23:H25"/>
    <mergeCell ref="I23:I25"/>
    <mergeCell ref="O23:O24"/>
    <mergeCell ref="P23:P24"/>
    <mergeCell ref="Q23:Q24"/>
    <mergeCell ref="S27:S28"/>
    <mergeCell ref="T27:T28"/>
    <mergeCell ref="U27:U28"/>
  </mergeCells>
  <hyperlinks>
    <hyperlink display="(more info here)" location="GiFTSEVENTS!GJ2:GJ3" ref="W40"/>
  </hyperlinks>
  <printOptions gridLines="1" horizontalCentered="1"/>
  <pageMargins bottom="0.75" footer="0.0" header="0.0" left="0.25" right="0.25" top="0.75"/>
  <pageSetup paperSize="9" orientation="landscape" pageOrder="overThenDown"/>
  <rowBreaks count="1" manualBreakCount="1">
    <brk id="41" man="1"/>
  </rowBreaks>
  <colBreaks count="1" manualBreakCount="1">
    <brk id="67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C34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10" width="3.88"/>
    <col customWidth="1" min="11" max="11" width="12.13"/>
    <col customWidth="1" min="12" max="12" width="2.38"/>
    <col customWidth="1" min="13" max="19" width="3.88"/>
    <col customWidth="1" min="20" max="20" width="20.0"/>
    <col customWidth="1" min="21" max="21" width="2.38"/>
    <col customWidth="1" min="22" max="24" width="3.88"/>
    <col customWidth="1" min="25" max="25" width="35.63"/>
    <col customWidth="1" min="26" max="26" width="2.38"/>
    <col customWidth="1" min="27" max="27" width="4.5"/>
    <col customWidth="1" min="28" max="32" width="3.88"/>
    <col customWidth="1" min="33" max="33" width="4.75"/>
    <col customWidth="1" min="34" max="34" width="2.38"/>
    <col customWidth="1" min="35" max="35" width="4.5"/>
    <col customWidth="1" min="36" max="40" width="3.88"/>
    <col customWidth="1" min="41" max="41" width="4.75"/>
    <col customWidth="1" min="42" max="42" width="2.38"/>
    <col customWidth="1" min="43" max="43" width="4.5"/>
    <col customWidth="1" min="44" max="48" width="3.88"/>
    <col customWidth="1" min="49" max="49" width="4.75"/>
    <col customWidth="1" min="50" max="50" width="37.25"/>
    <col customWidth="1" min="51" max="51" width="2.38"/>
    <col customWidth="1" min="52" max="52" width="4.5"/>
    <col customWidth="1" min="53" max="57" width="3.88"/>
    <col customWidth="1" min="58" max="58" width="4.75"/>
    <col customWidth="1" min="59" max="59" width="37.25"/>
    <col customWidth="1" min="60" max="60" width="2.38"/>
    <col customWidth="1" min="61" max="61" width="4.5"/>
    <col customWidth="1" min="62" max="66" width="3.88"/>
    <col customWidth="1" min="67" max="67" width="4.75"/>
    <col customWidth="1" min="68" max="68" width="37.25"/>
    <col customWidth="1" min="69" max="69" width="2.38"/>
    <col customWidth="1" min="70" max="70" width="4.5"/>
    <col customWidth="1" min="71" max="75" width="3.88"/>
    <col customWidth="1" min="76" max="76" width="4.75"/>
    <col customWidth="1" min="77" max="77" width="37.25"/>
    <col customWidth="1" min="78" max="78" width="2.38"/>
    <col customWidth="1" min="79" max="79" width="4.5"/>
    <col customWidth="1" min="80" max="84" width="3.88"/>
    <col customWidth="1" min="85" max="85" width="4.75"/>
    <col customWidth="1" min="86" max="86" width="18.5"/>
    <col customWidth="1" min="87" max="87" width="1.25"/>
    <col customWidth="1" min="88" max="93" width="3.88"/>
    <col customWidth="1" min="94" max="94" width="4.75"/>
    <col customWidth="1" min="95" max="95" width="1.25"/>
    <col customWidth="1" min="96" max="101" width="3.88"/>
    <col customWidth="1" min="102" max="102" width="4.75"/>
    <col customWidth="1" min="103" max="103" width="1.25"/>
    <col customWidth="1" min="104" max="109" width="3.88"/>
    <col customWidth="1" min="110" max="110" width="4.75"/>
    <col customWidth="1" min="111" max="111" width="1.25"/>
    <col customWidth="1" min="112" max="117" width="3.88"/>
    <col customWidth="1" min="118" max="118" width="4.75"/>
    <col customWidth="1" min="119" max="119" width="2.38"/>
    <col customWidth="1" min="120" max="120" width="4.5"/>
    <col customWidth="1" min="121" max="125" width="3.88"/>
    <col customWidth="1" min="126" max="126" width="4.75"/>
    <col customWidth="1" min="127" max="127" width="37.25"/>
    <col customWidth="1" min="128" max="128" width="2.38"/>
    <col customWidth="1" min="129" max="129" width="4.5"/>
    <col customWidth="1" min="130" max="134" width="3.88"/>
    <col customWidth="1" min="135" max="135" width="4.75"/>
    <col customWidth="1" min="136" max="136" width="37.25"/>
    <col customWidth="1" min="137" max="137" width="2.38"/>
    <col customWidth="1" min="138" max="138" width="4.5"/>
    <col customWidth="1" min="139" max="143" width="3.88"/>
    <col customWidth="1" min="144" max="144" width="4.75"/>
    <col customWidth="1" min="145" max="145" width="37.25"/>
    <col customWidth="1" min="146" max="146" width="2.38"/>
    <col customWidth="1" min="147" max="147" width="4.5"/>
    <col customWidth="1" min="148" max="152" width="3.88"/>
    <col customWidth="1" min="153" max="153" width="4.75"/>
    <col customWidth="1" min="154" max="154" width="37.25"/>
    <col customWidth="1" min="155" max="155" width="2.38"/>
    <col customWidth="1" min="156" max="156" width="4.5"/>
    <col customWidth="1" min="157" max="161" width="3.88"/>
    <col customWidth="1" min="162" max="162" width="4.75"/>
    <col customWidth="1" min="163" max="163" width="37.25"/>
    <col customWidth="1" min="164" max="164" width="2.38"/>
    <col customWidth="1" min="165" max="165" width="4.5"/>
    <col customWidth="1" min="166" max="170" width="3.88"/>
    <col customWidth="1" min="171" max="171" width="4.75"/>
    <col customWidth="1" min="172" max="172" width="37.25"/>
    <col customWidth="1" min="173" max="173" width="2.38"/>
    <col customWidth="1" min="174" max="174" width="4.5"/>
    <col customWidth="1" min="175" max="179" width="3.88"/>
    <col customWidth="1" min="180" max="180" width="4.75"/>
    <col customWidth="1" min="181" max="181" width="37.25"/>
    <col customWidth="1" min="182" max="182" width="2.38"/>
    <col customWidth="1" min="183" max="183" width="4.5"/>
    <col customWidth="1" min="184" max="188" width="3.88"/>
    <col customWidth="1" min="189" max="189" width="4.75"/>
    <col customWidth="1" min="190" max="190" width="37.25"/>
    <col customWidth="1" min="191" max="191" width="2.38"/>
    <col customWidth="1" min="192" max="192" width="4.5"/>
    <col customWidth="1" min="193" max="197" width="3.88"/>
    <col customWidth="1" min="198" max="198" width="4.75"/>
    <col customWidth="1" min="199" max="199" width="52.0"/>
    <col customWidth="1" min="200" max="200" width="1.25"/>
    <col customWidth="1" min="201" max="206" width="3.88"/>
    <col customWidth="1" min="207" max="207" width="4.75"/>
    <col customWidth="1" min="208" max="208" width="1.25"/>
    <col customWidth="1" min="209" max="214" width="3.88"/>
    <col customWidth="1" min="215" max="215" width="4.75"/>
    <col customWidth="1" min="216" max="216" width="1.25"/>
    <col customWidth="1" min="217" max="222" width="3.88"/>
    <col customWidth="1" min="223" max="223" width="4.75"/>
    <col customWidth="1" min="224" max="224" width="1.25"/>
    <col customWidth="1" min="225" max="230" width="3.88"/>
    <col customWidth="1" min="231" max="231" width="4.75"/>
    <col customWidth="1" min="232" max="232" width="1.25"/>
    <col customWidth="1" min="233" max="238" width="3.88"/>
    <col customWidth="1" min="239" max="239" width="4.75"/>
    <col customWidth="1" min="240" max="240" width="1.25"/>
    <col customWidth="1" min="241" max="246" width="3.88"/>
    <col customWidth="1" min="247" max="247" width="4.75"/>
    <col customWidth="1" min="248" max="248" width="1.25"/>
    <col customWidth="1" min="249" max="254" width="3.88"/>
    <col customWidth="1" min="255" max="255" width="4.75"/>
    <col customWidth="1" min="256" max="256" width="1.25"/>
    <col customWidth="1" min="257" max="262" width="3.88"/>
    <col customWidth="1" min="263" max="263" width="4.75"/>
    <col customWidth="1" min="264" max="264" width="2.38"/>
  </cols>
  <sheetData>
    <row r="1" ht="15.75" customHeight="1">
      <c r="A1" s="1231"/>
      <c r="B1" s="1233"/>
      <c r="C1" s="1233"/>
      <c r="D1" s="1233"/>
      <c r="E1" s="1233"/>
      <c r="F1" s="1233"/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3"/>
      <c r="AB1" s="1233"/>
      <c r="AC1" s="1233"/>
      <c r="AD1" s="1233"/>
      <c r="AE1" s="1233"/>
      <c r="AF1" s="1233"/>
      <c r="AG1" s="1233"/>
      <c r="AH1" s="1233"/>
      <c r="AI1" s="1233"/>
      <c r="AJ1" s="1233"/>
      <c r="AK1" s="1233"/>
      <c r="AL1" s="1233"/>
      <c r="AM1" s="1233"/>
      <c r="AN1" s="1233"/>
      <c r="AO1" s="1233"/>
      <c r="AP1" s="1233"/>
      <c r="AQ1" s="1233"/>
      <c r="AR1" s="1233"/>
      <c r="AS1" s="1233"/>
      <c r="AT1" s="1233"/>
      <c r="AU1" s="1233"/>
      <c r="AV1" s="1233"/>
      <c r="AW1" s="1233"/>
      <c r="AX1" s="1233"/>
      <c r="AY1" s="1233"/>
      <c r="AZ1" s="1233"/>
      <c r="BA1" s="1233"/>
      <c r="BB1" s="1233"/>
      <c r="BC1" s="1233"/>
      <c r="BD1" s="1233"/>
      <c r="BE1" s="1233"/>
      <c r="BF1" s="1233"/>
      <c r="BG1" s="1233"/>
      <c r="BH1" s="1233"/>
      <c r="BI1" s="1233"/>
      <c r="BJ1" s="1233"/>
      <c r="BK1" s="1233"/>
      <c r="BL1" s="1233"/>
      <c r="BM1" s="1233"/>
      <c r="BN1" s="1233"/>
      <c r="BO1" s="1233"/>
      <c r="BP1" s="1233"/>
      <c r="BQ1" s="1233"/>
      <c r="BR1" s="1233"/>
      <c r="BS1" s="1233"/>
      <c r="BT1" s="1233"/>
      <c r="BU1" s="1233"/>
      <c r="BV1" s="1233"/>
      <c r="BW1" s="1233"/>
      <c r="BX1" s="1233"/>
      <c r="BY1" s="1233"/>
      <c r="BZ1" s="1233"/>
      <c r="CA1" s="1233"/>
      <c r="CB1" s="1233"/>
      <c r="CC1" s="1233"/>
      <c r="CD1" s="1233"/>
      <c r="CE1" s="1233"/>
      <c r="CF1" s="1233"/>
      <c r="CG1" s="1233"/>
      <c r="CH1" s="1233"/>
      <c r="CI1" s="1233"/>
      <c r="CJ1" s="1233"/>
      <c r="CK1" s="1233"/>
      <c r="CL1" s="1233"/>
      <c r="CM1" s="1233"/>
      <c r="CN1" s="1233"/>
      <c r="CO1" s="1233"/>
      <c r="CP1" s="1233"/>
      <c r="CQ1" s="1233"/>
      <c r="CR1" s="1233"/>
      <c r="CS1" s="1233"/>
      <c r="CT1" s="1233"/>
      <c r="CU1" s="1233"/>
      <c r="CV1" s="1233"/>
      <c r="CW1" s="1233"/>
      <c r="CX1" s="1233"/>
      <c r="CY1" s="1233"/>
      <c r="CZ1" s="1233"/>
      <c r="DA1" s="1233"/>
      <c r="DB1" s="1233"/>
      <c r="DC1" s="1233"/>
      <c r="DD1" s="1233"/>
      <c r="DE1" s="1233"/>
      <c r="DF1" s="1233"/>
      <c r="DG1" s="1233"/>
      <c r="DH1" s="1233"/>
      <c r="DI1" s="1233"/>
      <c r="DJ1" s="1233"/>
      <c r="DK1" s="1233"/>
      <c r="DL1" s="1233"/>
      <c r="DM1" s="1233"/>
      <c r="DN1" s="1233"/>
      <c r="DO1" s="1233"/>
      <c r="DP1" s="1233"/>
      <c r="DQ1" s="1233"/>
      <c r="DR1" s="1233"/>
      <c r="DS1" s="1233"/>
      <c r="DT1" s="1233"/>
      <c r="DU1" s="1233"/>
      <c r="DV1" s="1233"/>
      <c r="DW1" s="1233"/>
      <c r="DX1" s="1233"/>
      <c r="DY1" s="1233"/>
      <c r="DZ1" s="1233"/>
      <c r="EA1" s="1233"/>
      <c r="EB1" s="1233"/>
      <c r="EC1" s="1233"/>
      <c r="ED1" s="1233"/>
      <c r="EE1" s="1233"/>
      <c r="EF1" s="1233"/>
      <c r="EG1" s="1233"/>
      <c r="EH1" s="1233"/>
      <c r="EI1" s="1233"/>
      <c r="EJ1" s="1233"/>
      <c r="EK1" s="1233"/>
      <c r="EL1" s="1233"/>
      <c r="EM1" s="1233"/>
      <c r="EN1" s="1233"/>
      <c r="EO1" s="1233"/>
      <c r="EP1" s="1233"/>
      <c r="EQ1" s="1233"/>
      <c r="ER1" s="1233"/>
      <c r="ES1" s="1233"/>
      <c r="ET1" s="1233"/>
      <c r="EU1" s="1233"/>
      <c r="EV1" s="1233"/>
      <c r="EW1" s="1233"/>
      <c r="EX1" s="1233"/>
      <c r="EY1" s="1233"/>
      <c r="EZ1" s="1233"/>
      <c r="FA1" s="1233"/>
      <c r="FB1" s="1233"/>
      <c r="FC1" s="1233"/>
      <c r="FD1" s="1233"/>
      <c r="FE1" s="1233"/>
      <c r="FF1" s="1233"/>
      <c r="FG1" s="1233"/>
      <c r="FH1" s="1233"/>
      <c r="FI1" s="1233"/>
      <c r="FJ1" s="1233"/>
      <c r="FK1" s="1233"/>
      <c r="FL1" s="1233"/>
      <c r="FM1" s="1233"/>
      <c r="FN1" s="1233"/>
      <c r="FO1" s="1233"/>
      <c r="FP1" s="1233"/>
      <c r="FQ1" s="1233"/>
      <c r="FR1" s="1233"/>
      <c r="FS1" s="1233"/>
      <c r="FT1" s="1233"/>
      <c r="FU1" s="1233"/>
      <c r="FV1" s="1233"/>
      <c r="FW1" s="1233"/>
      <c r="FX1" s="1233"/>
      <c r="FY1" s="1233"/>
      <c r="FZ1" s="1233"/>
      <c r="GA1" s="1233"/>
      <c r="GB1" s="1233"/>
      <c r="GC1" s="1233"/>
      <c r="GD1" s="1233"/>
      <c r="GE1" s="1233"/>
      <c r="GF1" s="1233"/>
      <c r="GG1" s="1233"/>
      <c r="GH1" s="1233"/>
      <c r="GI1" s="1233"/>
      <c r="GJ1" s="1233"/>
      <c r="GK1" s="1233"/>
      <c r="GL1" s="1233"/>
      <c r="GM1" s="1233"/>
      <c r="GN1" s="1233"/>
      <c r="GO1" s="1233"/>
      <c r="GP1" s="1233"/>
      <c r="GQ1" s="1233"/>
      <c r="GR1" s="1233"/>
      <c r="GS1" s="134"/>
      <c r="GT1" s="134"/>
      <c r="GU1" s="134"/>
      <c r="GV1" s="134"/>
      <c r="GW1" s="134"/>
      <c r="GX1" s="134"/>
      <c r="GY1" s="134"/>
      <c r="GZ1" s="134"/>
      <c r="HA1" s="134"/>
      <c r="HB1" s="134"/>
      <c r="HC1" s="134"/>
      <c r="HD1" s="134"/>
      <c r="HE1" s="134"/>
      <c r="HF1" s="134"/>
      <c r="HG1" s="134"/>
      <c r="HH1" s="134"/>
      <c r="HI1" s="134"/>
      <c r="HJ1" s="134"/>
      <c r="HK1" s="134"/>
      <c r="HL1" s="134"/>
      <c r="HM1" s="134"/>
      <c r="HN1" s="134"/>
      <c r="HO1" s="134"/>
      <c r="HP1" s="134"/>
      <c r="HQ1" s="134"/>
      <c r="HR1" s="134"/>
      <c r="HS1" s="134"/>
      <c r="HT1" s="134"/>
      <c r="HU1" s="134"/>
      <c r="HV1" s="134"/>
      <c r="HW1" s="134"/>
      <c r="HX1" s="134"/>
      <c r="HY1" s="134"/>
      <c r="HZ1" s="134"/>
      <c r="IA1" s="134"/>
      <c r="IB1" s="134"/>
      <c r="IC1" s="134"/>
      <c r="ID1" s="134"/>
      <c r="IE1" s="134"/>
      <c r="IF1" s="134"/>
      <c r="IG1" s="134"/>
      <c r="IH1" s="134"/>
      <c r="II1" s="134"/>
      <c r="IJ1" s="134"/>
      <c r="IK1" s="134"/>
      <c r="IL1" s="134"/>
      <c r="IM1" s="134"/>
      <c r="IN1" s="134"/>
      <c r="IO1" s="134"/>
      <c r="IP1" s="134"/>
      <c r="IQ1" s="134"/>
      <c r="IR1" s="134"/>
      <c r="IS1" s="134"/>
      <c r="IT1" s="134"/>
      <c r="IU1" s="134"/>
      <c r="IV1" s="134"/>
      <c r="IW1" s="134"/>
      <c r="IX1" s="134"/>
      <c r="IY1" s="134"/>
      <c r="IZ1" s="134"/>
      <c r="JA1" s="134"/>
      <c r="JB1" s="134"/>
      <c r="JC1" s="134"/>
      <c r="JD1" s="1230"/>
    </row>
    <row r="2" ht="15.75" customHeight="1">
      <c r="A2" s="1238"/>
      <c r="B2" s="1847" t="s">
        <v>10260</v>
      </c>
      <c r="C2" s="976"/>
      <c r="D2" s="976"/>
      <c r="E2" s="976"/>
      <c r="F2" s="976"/>
      <c r="G2" s="976"/>
      <c r="H2" s="976"/>
      <c r="I2" s="976"/>
      <c r="J2" s="976"/>
      <c r="K2" s="954"/>
      <c r="L2" s="1230"/>
      <c r="M2" s="1962" t="str">
        <f>image("https://archives.bulbagarden.net/media/upload/a/ab/131MS6.png", 3)</f>
        <v/>
      </c>
      <c r="N2" s="1963" t="s">
        <v>10261</v>
      </c>
      <c r="O2" s="12"/>
      <c r="P2" s="12"/>
      <c r="Q2" s="12"/>
      <c r="R2" s="12"/>
      <c r="S2" s="12"/>
      <c r="T2" s="48"/>
      <c r="U2" s="442"/>
      <c r="V2" s="1962" t="str">
        <f>image("https://archives.bulbagarden.net/media/upload/4/41/152MS6.png", 3)</f>
        <v/>
      </c>
      <c r="W2" s="1964" t="str">
        <f>image("https://archives.bulbagarden.net/media/upload/9/96/155MS6.png", 3)</f>
        <v/>
      </c>
      <c r="X2" s="1964" t="str">
        <f>image("https://archives.bulbagarden.net/media/upload/3/39/158MS6.png", 3)</f>
        <v/>
      </c>
      <c r="Y2" s="1965" t="s">
        <v>10262</v>
      </c>
      <c r="Z2" s="1230"/>
      <c r="AA2" s="1848" t="s">
        <v>10263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48"/>
      <c r="AQ2" s="1848" t="s">
        <v>10264</v>
      </c>
      <c r="AR2" s="12"/>
      <c r="AS2" s="12"/>
      <c r="AT2" s="12"/>
      <c r="AU2" s="12"/>
      <c r="AV2" s="12"/>
      <c r="AW2" s="12"/>
      <c r="AX2" s="48"/>
      <c r="AY2" s="1230"/>
      <c r="AZ2" s="1966" t="str">
        <f>MONSPRITE(BA2)</f>
        <v>#NAME?</v>
      </c>
      <c r="BA2" s="1259" t="s">
        <v>1516</v>
      </c>
      <c r="BB2" s="12"/>
      <c r="BC2" s="12"/>
      <c r="BD2" s="12"/>
      <c r="BE2" s="962"/>
      <c r="BF2" s="1256" t="s">
        <v>5032</v>
      </c>
      <c r="BG2" s="1967"/>
      <c r="BH2" s="1230"/>
      <c r="BI2" s="1966" t="str">
        <f>MONSPRITE(BJ2)</f>
        <v>#NAME?</v>
      </c>
      <c r="BJ2" s="1259" t="s">
        <v>2302</v>
      </c>
      <c r="BK2" s="12"/>
      <c r="BL2" s="12"/>
      <c r="BM2" s="12"/>
      <c r="BN2" s="962"/>
      <c r="BO2" s="1256" t="s">
        <v>5018</v>
      </c>
      <c r="BP2" s="1967"/>
      <c r="BQ2" s="1230"/>
      <c r="BR2" s="1966" t="str">
        <f>MONSPRITE(BS2)</f>
        <v>#NAME?</v>
      </c>
      <c r="BS2" s="1259" t="s">
        <v>2351</v>
      </c>
      <c r="BT2" s="12"/>
      <c r="BU2" s="12"/>
      <c r="BV2" s="12"/>
      <c r="BW2" s="962"/>
      <c r="BX2" s="1256" t="s">
        <v>5032</v>
      </c>
      <c r="BY2" s="1967"/>
      <c r="BZ2" s="1230"/>
      <c r="CA2" s="1966" t="str">
        <f>MONSPRITE(CB2)</f>
        <v>#NAME?</v>
      </c>
      <c r="CB2" s="1259" t="s">
        <v>2367</v>
      </c>
      <c r="CC2" s="12"/>
      <c r="CD2" s="12"/>
      <c r="CE2" s="12"/>
      <c r="CF2" s="962"/>
      <c r="CG2" s="1256" t="s">
        <v>5032</v>
      </c>
      <c r="CH2" s="1968"/>
      <c r="CI2" s="1230"/>
      <c r="CJ2" s="1969" t="str">
        <f>image("https://archives.bulbagarden.net/media/upload/b/b4/Spr_DP_Bird_Keeper.png",3)</f>
        <v/>
      </c>
      <c r="CK2" s="976"/>
      <c r="CL2" s="976"/>
      <c r="CM2" s="976"/>
      <c r="CN2" s="976"/>
      <c r="CO2" s="974"/>
      <c r="CP2" s="1970"/>
      <c r="CQ2" s="1230"/>
      <c r="CR2" s="1876" t="str">
        <f>image("https://archives.bulbagarden.net/media/upload/0/0b/Spr_DP_Bug_Catcher.png",3)</f>
        <v/>
      </c>
      <c r="CS2" s="976"/>
      <c r="CT2" s="976"/>
      <c r="CU2" s="976"/>
      <c r="CV2" s="976"/>
      <c r="CW2" s="974"/>
      <c r="CX2" s="1970"/>
      <c r="CY2" s="1230"/>
      <c r="CZ2" s="1969" t="str">
        <f>image("https://archives.bulbagarden.net/media/upload/c/cc/Spr_DP_Idol.png",3)</f>
        <v/>
      </c>
      <c r="DA2" s="976"/>
      <c r="DB2" s="976"/>
      <c r="DC2" s="976"/>
      <c r="DD2" s="976"/>
      <c r="DE2" s="974"/>
      <c r="DF2" s="1970"/>
      <c r="DG2" s="1230"/>
      <c r="DH2" s="1969" t="str">
        <f>image("https://archives.bulbagarden.net/media/upload/b/b9/Spr_DP_Ace_Trainer_M_1.png",3)</f>
        <v/>
      </c>
      <c r="DI2" s="976"/>
      <c r="DJ2" s="976"/>
      <c r="DK2" s="976"/>
      <c r="DL2" s="976"/>
      <c r="DM2" s="974"/>
      <c r="DN2" s="1970"/>
      <c r="DO2" s="1230"/>
      <c r="DP2" s="1966" t="str">
        <f>MONSPRITE(DQ2)</f>
        <v>#NAME?</v>
      </c>
      <c r="DQ2" s="1259" t="s">
        <v>3493</v>
      </c>
      <c r="DR2" s="12"/>
      <c r="DS2" s="12"/>
      <c r="DT2" s="12"/>
      <c r="DU2" s="962"/>
      <c r="DV2" s="1256" t="s">
        <v>5018</v>
      </c>
      <c r="DW2" s="1967"/>
      <c r="DX2" s="1230"/>
      <c r="DY2" s="1966" t="str">
        <f>MONSPRITE(DZ2)</f>
        <v>#NAME?</v>
      </c>
      <c r="DZ2" s="1259" t="s">
        <v>3513</v>
      </c>
      <c r="EA2" s="12"/>
      <c r="EB2" s="12"/>
      <c r="EC2" s="12"/>
      <c r="ED2" s="962"/>
      <c r="EE2" s="1256" t="s">
        <v>5410</v>
      </c>
      <c r="EF2" s="1967"/>
      <c r="EG2" s="1230"/>
      <c r="EH2" s="1966" t="str">
        <f>MONSPRITE(EI2)</f>
        <v>#NAME?</v>
      </c>
      <c r="EI2" s="1259" t="s">
        <v>3526</v>
      </c>
      <c r="EJ2" s="12"/>
      <c r="EK2" s="12"/>
      <c r="EL2" s="12"/>
      <c r="EM2" s="962"/>
      <c r="EN2" s="1256" t="s">
        <v>5032</v>
      </c>
      <c r="EO2" s="1967"/>
      <c r="EP2" s="1230"/>
      <c r="EQ2" s="1966" t="str">
        <f>MONSPRITE(ER2)</f>
        <v>#NAME?</v>
      </c>
      <c r="ER2" s="1259" t="s">
        <v>3548</v>
      </c>
      <c r="ES2" s="12"/>
      <c r="ET2" s="12"/>
      <c r="EU2" s="12"/>
      <c r="EV2" s="962"/>
      <c r="EW2" s="1256" t="s">
        <v>5390</v>
      </c>
      <c r="EX2" s="1967"/>
      <c r="EY2" s="1230"/>
      <c r="EZ2" s="1966" t="str">
        <f>MONSPRITE(FA2)</f>
        <v>#NAME?</v>
      </c>
      <c r="FA2" s="1259" t="s">
        <v>4307</v>
      </c>
      <c r="FB2" s="12"/>
      <c r="FC2" s="12"/>
      <c r="FD2" s="12"/>
      <c r="FE2" s="962"/>
      <c r="FF2" s="1256" t="s">
        <v>5018</v>
      </c>
      <c r="FG2" s="1967"/>
      <c r="FH2" s="1230"/>
      <c r="FI2" s="1966" t="str">
        <f>MONSPRITE(FJ2)</f>
        <v>#NAME?</v>
      </c>
      <c r="FJ2" s="1259" t="s">
        <v>4319</v>
      </c>
      <c r="FK2" s="12"/>
      <c r="FL2" s="12"/>
      <c r="FM2" s="12"/>
      <c r="FN2" s="962"/>
      <c r="FO2" s="1256" t="s">
        <v>5032</v>
      </c>
      <c r="FP2" s="1967"/>
      <c r="FQ2" s="1230"/>
      <c r="FR2" s="1966" t="str">
        <f>MONSPRITE(FS2)</f>
        <v>#NAME?</v>
      </c>
      <c r="FS2" s="1259" t="s">
        <v>4330</v>
      </c>
      <c r="FT2" s="12"/>
      <c r="FU2" s="12"/>
      <c r="FV2" s="12"/>
      <c r="FW2" s="962"/>
      <c r="FX2" s="1256" t="s">
        <v>5410</v>
      </c>
      <c r="FY2" s="1967"/>
      <c r="FZ2" s="1230"/>
      <c r="GA2" s="1966" t="str">
        <f>MONSPRITE(GB2)</f>
        <v>#NAME?</v>
      </c>
      <c r="GB2" s="1259" t="s">
        <v>4356</v>
      </c>
      <c r="GC2" s="12"/>
      <c r="GD2" s="12"/>
      <c r="GE2" s="12"/>
      <c r="GF2" s="962"/>
      <c r="GG2" s="1256" t="s">
        <v>5410</v>
      </c>
      <c r="GH2" s="1967"/>
      <c r="GI2" s="1230"/>
      <c r="GJ2" s="1966" t="str">
        <f>MONSPRITE(GK2)</f>
        <v>#NAME?</v>
      </c>
      <c r="GK2" s="1259" t="s">
        <v>4387</v>
      </c>
      <c r="GL2" s="12"/>
      <c r="GM2" s="12"/>
      <c r="GN2" s="12"/>
      <c r="GO2" s="962"/>
      <c r="GP2" s="1256" t="s">
        <v>5648</v>
      </c>
      <c r="GQ2" s="1967"/>
      <c r="GR2" s="1230"/>
      <c r="GS2" s="1971" t="str">
        <f>image("https://archives.bulbagarden.net/media/upload/b/b9/Spr_DP_Ace_Trainer_M_1.png",3)</f>
        <v/>
      </c>
      <c r="GT2" s="976"/>
      <c r="GU2" s="976"/>
      <c r="GV2" s="976"/>
      <c r="GW2" s="976"/>
      <c r="GX2" s="974"/>
      <c r="GY2" s="1972" t="str">
        <f>image("https://archives.bulbagarden.net/media/upload/f/f4/Ace_Trainer_m_IV_OD.png", 1)</f>
        <v/>
      </c>
      <c r="GZ2" s="65"/>
      <c r="HA2" s="1971" t="str">
        <f>image("https://archives.bulbagarden.net/media/upload/7/73/Spr_DP_Beauty.png",3)</f>
        <v/>
      </c>
      <c r="HB2" s="976"/>
      <c r="HC2" s="976"/>
      <c r="HD2" s="976"/>
      <c r="HE2" s="976"/>
      <c r="HF2" s="974"/>
      <c r="HG2" s="1972" t="str">
        <f>image("https://archives.bulbagarden.net/media/upload/0/0f/Beauty_DPPt_OD.png", 1)</f>
        <v/>
      </c>
      <c r="HH2" s="65"/>
      <c r="HI2" s="1971" t="str">
        <f>image("https://archives.bulbagarden.net/media/upload/8/8c/Spr_DP_Guitarist.png",3)</f>
        <v/>
      </c>
      <c r="HJ2" s="976"/>
      <c r="HK2" s="976"/>
      <c r="HL2" s="976"/>
      <c r="HM2" s="976"/>
      <c r="HN2" s="974"/>
      <c r="HO2" s="1972" t="str">
        <f>image("https://archives.bulbagarden.net/media/upload/6/65/Guitarist_IV_OD.png", 1)</f>
        <v/>
      </c>
      <c r="HP2" s="65"/>
      <c r="HQ2" s="1973" t="str">
        <f>image("https://archives.bulbagarden.net/media/upload/7/74/Spr_DP_Lass.png",3)</f>
        <v/>
      </c>
      <c r="HR2" s="976"/>
      <c r="HS2" s="976"/>
      <c r="HT2" s="976"/>
      <c r="HU2" s="976"/>
      <c r="HV2" s="974"/>
      <c r="HW2" s="1972" t="str">
        <f>image("https://archives.bulbagarden.net/media/upload/7/75/Lass_IV_OD.png", 1)</f>
        <v/>
      </c>
      <c r="HX2" s="65"/>
      <c r="HY2" s="1971" t="str">
        <f>image("https://archives.bulbagarden.net/media/upload/6/64/Spr_DP_Ace_Trainer_F_2.png",3)</f>
        <v/>
      </c>
      <c r="HZ2" s="976"/>
      <c r="IA2" s="976"/>
      <c r="IB2" s="976"/>
      <c r="IC2" s="976"/>
      <c r="ID2" s="974"/>
      <c r="IE2" s="1972" t="str">
        <f>image("https://archives.bulbagarden.net/media/upload/b/b6/Ace_Trainer_f_IV_Snow_OD.png", 1)</f>
        <v/>
      </c>
      <c r="IF2" s="65"/>
      <c r="IG2" s="1973" t="str">
        <f>image("https://archives.bulbagarden.net/media/upload/e/eb/Spr_DP_Black_Belt.png",3)</f>
        <v/>
      </c>
      <c r="IH2" s="976"/>
      <c r="II2" s="976"/>
      <c r="IJ2" s="976"/>
      <c r="IK2" s="976"/>
      <c r="IL2" s="974"/>
      <c r="IM2" s="1972" t="str">
        <f>image("https://archives.bulbagarden.net/media/upload/f/fb/Black_Belt_DPPt_OD.png", 1)</f>
        <v/>
      </c>
      <c r="IN2" s="65"/>
      <c r="IO2" s="1973" t="str">
        <f>image("https://archives.bulbagarden.net/media/upload/f/f3/Spr_DP_Scientist.png",3)</f>
        <v/>
      </c>
      <c r="IP2" s="976"/>
      <c r="IQ2" s="976"/>
      <c r="IR2" s="976"/>
      <c r="IS2" s="976"/>
      <c r="IT2" s="974"/>
      <c r="IU2" s="1972" t="str">
        <f>image("https://archives.bulbagarden.net/media/upload/3/34/Scientist_IV_OD.png", 1)</f>
        <v/>
      </c>
      <c r="IV2" s="65"/>
      <c r="IW2" s="1971" t="str">
        <f>image("https://archives.bulbagarden.net/media/upload/7/76/Spr_DP_Hiker.png",3)</f>
        <v/>
      </c>
      <c r="IX2" s="976"/>
      <c r="IY2" s="976"/>
      <c r="IZ2" s="976"/>
      <c r="JA2" s="976"/>
      <c r="JB2" s="974"/>
      <c r="JC2" s="1972" t="str">
        <f>image("https://archives.bulbagarden.net/media/upload/a/ae/Hiker_IV_OD.png", 1)</f>
        <v/>
      </c>
      <c r="JD2" s="1230"/>
    </row>
    <row r="3" ht="15.75" customHeight="1">
      <c r="A3" s="1238"/>
      <c r="B3" s="997"/>
      <c r="C3" s="1026"/>
      <c r="D3" s="1026"/>
      <c r="E3" s="1026"/>
      <c r="F3" s="1026"/>
      <c r="G3" s="1026"/>
      <c r="H3" s="1026"/>
      <c r="I3" s="1026"/>
      <c r="J3" s="1026"/>
      <c r="K3" s="998"/>
      <c r="L3" s="1230"/>
      <c r="M3" s="1974" t="s">
        <v>10265</v>
      </c>
      <c r="N3" s="482"/>
      <c r="O3" s="482"/>
      <c r="P3" s="482"/>
      <c r="Q3" s="482"/>
      <c r="R3" s="482"/>
      <c r="S3" s="482"/>
      <c r="T3" s="267"/>
      <c r="U3" s="442"/>
      <c r="V3" s="1975" t="s">
        <v>10266</v>
      </c>
      <c r="W3" s="984"/>
      <c r="X3" s="984"/>
      <c r="Y3" s="319"/>
      <c r="Z3" s="1230"/>
      <c r="AA3" s="428"/>
      <c r="AB3" s="428"/>
      <c r="AC3" s="428"/>
      <c r="AD3" s="428"/>
      <c r="AE3" s="428"/>
      <c r="AF3" s="428"/>
      <c r="AG3" s="428"/>
      <c r="AH3" s="428"/>
      <c r="AI3" s="1230"/>
      <c r="AJ3" s="1230"/>
      <c r="AK3" s="1230"/>
      <c r="AL3" s="1230"/>
      <c r="AM3" s="1230"/>
      <c r="AN3" s="1230"/>
      <c r="AO3" s="1230"/>
      <c r="AP3" s="1230"/>
      <c r="AY3" s="1230"/>
      <c r="AZ3" s="1444"/>
      <c r="BA3" s="1092" t="str">
        <f>TYPEICON(BB3)</f>
        <v>#NAME?</v>
      </c>
      <c r="BB3" s="398" t="str">
        <f>MONTYPE(BA2)</f>
        <v>#NAME?</v>
      </c>
      <c r="BC3" s="48"/>
      <c r="BD3" s="986" t="str">
        <f>TYPEICON(BE3)</f>
        <v>#NAME?</v>
      </c>
      <c r="BE3" s="398" t="str">
        <f>MONTYPE2(BA2)</f>
        <v>#NAME?</v>
      </c>
      <c r="BF3" s="48"/>
      <c r="BG3" s="1809" t="s">
        <v>10267</v>
      </c>
      <c r="BH3" s="1230"/>
      <c r="BI3" s="1444"/>
      <c r="BJ3" s="1092" t="str">
        <f>TYPEICON(BK3)</f>
        <v>#NAME?</v>
      </c>
      <c r="BK3" s="398" t="str">
        <f>MONTYPE(BJ2)</f>
        <v>#NAME?</v>
      </c>
      <c r="BL3" s="48"/>
      <c r="BM3" s="986" t="str">
        <f>TYPEICON(BN3)</f>
        <v>#NAME?</v>
      </c>
      <c r="BN3" s="398" t="str">
        <f>MONTYPE2(BJ2)</f>
        <v>#NAME?</v>
      </c>
      <c r="BO3" s="48"/>
      <c r="BP3" s="1976" t="s">
        <v>10268</v>
      </c>
      <c r="BQ3" s="1230"/>
      <c r="BR3" s="1444"/>
      <c r="BS3" s="1092" t="str">
        <f>TYPEICON(BT3)</f>
        <v>#NAME?</v>
      </c>
      <c r="BT3" s="398" t="str">
        <f>MONTYPE(BS2)</f>
        <v>#NAME?</v>
      </c>
      <c r="BU3" s="48"/>
      <c r="BV3" s="986" t="str">
        <f>TYPEICON(BW3)</f>
        <v>#NAME?</v>
      </c>
      <c r="BW3" s="398" t="str">
        <f>MONTYPE2(BS2)</f>
        <v>#NAME?</v>
      </c>
      <c r="BX3" s="48"/>
      <c r="BY3" s="1977" t="s">
        <v>10269</v>
      </c>
      <c r="BZ3" s="1230"/>
      <c r="CA3" s="1444"/>
      <c r="CB3" s="1092" t="str">
        <f>TYPEICON(CC3)</f>
        <v>#NAME?</v>
      </c>
      <c r="CC3" s="398" t="str">
        <f>MONTYPE(CB2)</f>
        <v>#NAME?</v>
      </c>
      <c r="CD3" s="48"/>
      <c r="CE3" s="986" t="str">
        <f>TYPEICON(CF3)</f>
        <v>#NAME?</v>
      </c>
      <c r="CF3" s="398" t="str">
        <f>MONTYPE2(CB2)</f>
        <v>#NAME?</v>
      </c>
      <c r="CG3" s="1978"/>
      <c r="CH3" s="1406" t="s">
        <v>10270</v>
      </c>
      <c r="CI3" s="1230"/>
      <c r="CJ3" s="1155"/>
      <c r="CO3" s="539"/>
      <c r="CP3" s="1432"/>
      <c r="CQ3" s="1230"/>
      <c r="CR3" s="1155"/>
      <c r="CW3" s="539"/>
      <c r="CX3" s="1432"/>
      <c r="CY3" s="1230"/>
      <c r="CZ3" s="1155"/>
      <c r="DE3" s="539"/>
      <c r="DF3" s="1432"/>
      <c r="DG3" s="1230"/>
      <c r="DH3" s="1155"/>
      <c r="DM3" s="539"/>
      <c r="DN3" s="1432"/>
      <c r="DO3" s="1230"/>
      <c r="DP3" s="1444"/>
      <c r="DQ3" s="1092" t="str">
        <f>TYPEICON(DR3)</f>
        <v>#NAME?</v>
      </c>
      <c r="DR3" s="398" t="str">
        <f>MONTYPE(DQ2)</f>
        <v>#NAME?</v>
      </c>
      <c r="DS3" s="48"/>
      <c r="DT3" s="986" t="str">
        <f>TYPEICON(DU3)</f>
        <v>#NAME?</v>
      </c>
      <c r="DU3" s="398" t="str">
        <f>MONTYPE2(DQ2)</f>
        <v>#NAME?</v>
      </c>
      <c r="DV3" s="48"/>
      <c r="DW3" s="1977" t="s">
        <v>10271</v>
      </c>
      <c r="DX3" s="1230"/>
      <c r="DY3" s="1444"/>
      <c r="DZ3" s="1092" t="str">
        <f>TYPEICON(EA3)</f>
        <v>#NAME?</v>
      </c>
      <c r="EA3" s="398" t="str">
        <f>MONTYPE(DZ2)</f>
        <v>#NAME?</v>
      </c>
      <c r="EB3" s="48"/>
      <c r="EC3" s="986" t="str">
        <f>TYPEICON(ED3)</f>
        <v>#NAME?</v>
      </c>
      <c r="ED3" s="398" t="str">
        <f>MONTYPE2(DZ2)</f>
        <v>#NAME?</v>
      </c>
      <c r="EE3" s="48"/>
      <c r="EF3" s="1979" t="s">
        <v>10272</v>
      </c>
      <c r="EG3" s="1230"/>
      <c r="EH3" s="1444"/>
      <c r="EI3" s="1092" t="str">
        <f>TYPEICON(EJ3)</f>
        <v>#NAME?</v>
      </c>
      <c r="EJ3" s="398" t="str">
        <f>MONTYPE(EI2)</f>
        <v>#NAME?</v>
      </c>
      <c r="EK3" s="48"/>
      <c r="EL3" s="986" t="str">
        <f>TYPEICON(EM3)</f>
        <v>#NAME?</v>
      </c>
      <c r="EM3" s="398" t="str">
        <f>MONTYPE2(EI2)</f>
        <v>#NAME?</v>
      </c>
      <c r="EN3" s="48"/>
      <c r="EO3" s="1979" t="s">
        <v>10273</v>
      </c>
      <c r="EP3" s="1230"/>
      <c r="EQ3" s="1444"/>
      <c r="ER3" s="1092" t="str">
        <f>TYPEICON(ES3)</f>
        <v>#NAME?</v>
      </c>
      <c r="ES3" s="398" t="str">
        <f>MONTYPE(ER2)</f>
        <v>#NAME?</v>
      </c>
      <c r="ET3" s="48"/>
      <c r="EU3" s="986" t="str">
        <f>TYPEICON(EV3)</f>
        <v>#NAME?</v>
      </c>
      <c r="EV3" s="398" t="str">
        <f>MONTYPE2(ER2)</f>
        <v>#NAME?</v>
      </c>
      <c r="EW3" s="48"/>
      <c r="EX3" s="1809" t="s">
        <v>10274</v>
      </c>
      <c r="EY3" s="1230"/>
      <c r="EZ3" s="1444"/>
      <c r="FA3" s="1092" t="str">
        <f>TYPEICON(FB3)</f>
        <v>#NAME?</v>
      </c>
      <c r="FB3" s="398" t="str">
        <f>MONTYPE(FA2)</f>
        <v>#NAME?</v>
      </c>
      <c r="FC3" s="48"/>
      <c r="FD3" s="1980" t="str">
        <f>TYPEICON(FE3)</f>
        <v>#NAME?</v>
      </c>
      <c r="FE3" s="398" t="str">
        <f>MONTYPE2(FA2)</f>
        <v>#NAME?</v>
      </c>
      <c r="FF3" s="48"/>
      <c r="FG3" s="1979" t="s">
        <v>10268</v>
      </c>
      <c r="FH3" s="1230"/>
      <c r="FI3" s="1444"/>
      <c r="FJ3" s="1092" t="str">
        <f>TYPEICON(FK3)</f>
        <v>#NAME?</v>
      </c>
      <c r="FK3" s="398" t="str">
        <f>MONTYPE(FJ2)</f>
        <v>#NAME?</v>
      </c>
      <c r="FL3" s="48"/>
      <c r="FM3" s="986" t="str">
        <f>TYPEICON(FN3)</f>
        <v>#NAME?</v>
      </c>
      <c r="FN3" s="398" t="str">
        <f>MONTYPE2(FJ2)</f>
        <v>#NAME?</v>
      </c>
      <c r="FO3" s="48"/>
      <c r="FP3" s="1979" t="s">
        <v>10275</v>
      </c>
      <c r="FQ3" s="1230"/>
      <c r="FR3" s="1444"/>
      <c r="FS3" s="1092" t="str">
        <f>TYPEICON(FT3)</f>
        <v>#NAME?</v>
      </c>
      <c r="FT3" s="398" t="str">
        <f>MONTYPE(FS2)</f>
        <v>#NAME?</v>
      </c>
      <c r="FU3" s="48"/>
      <c r="FV3" s="986" t="str">
        <f>TYPEICON(FW3)</f>
        <v>#NAME?</v>
      </c>
      <c r="FW3" s="398" t="str">
        <f>MONTYPE2(FS2)</f>
        <v>#NAME?</v>
      </c>
      <c r="FX3" s="48"/>
      <c r="FY3" s="1979" t="s">
        <v>10276</v>
      </c>
      <c r="FZ3" s="1230"/>
      <c r="GA3" s="1444"/>
      <c r="GB3" s="1092" t="str">
        <f>TYPEICON(GC3)</f>
        <v>#NAME?</v>
      </c>
      <c r="GC3" s="398" t="str">
        <f>MONTYPE(GB2)</f>
        <v>#NAME?</v>
      </c>
      <c r="GD3" s="48"/>
      <c r="GE3" s="986" t="str">
        <f>TYPEICON(GF3)</f>
        <v>#NAME?</v>
      </c>
      <c r="GF3" s="398" t="str">
        <f>MONTYPE2(GB2)</f>
        <v>#NAME?</v>
      </c>
      <c r="GG3" s="48"/>
      <c r="GH3" s="1979" t="s">
        <v>10277</v>
      </c>
      <c r="GI3" s="1230"/>
      <c r="GJ3" s="1444"/>
      <c r="GK3" s="1092" t="str">
        <f>TYPEICON(GL3)</f>
        <v>#NAME?</v>
      </c>
      <c r="GL3" s="398" t="str">
        <f>MONTYPE(GK2)</f>
        <v>#NAME?</v>
      </c>
      <c r="GM3" s="48"/>
      <c r="GN3" s="986" t="str">
        <f>TYPEICON(GO3)</f>
        <v>#NAME?</v>
      </c>
      <c r="GO3" s="398" t="str">
        <f>MONTYPE2(GK2)</f>
        <v>#NAME?</v>
      </c>
      <c r="GP3" s="48"/>
      <c r="GQ3" s="1979" t="s">
        <v>10278</v>
      </c>
      <c r="GR3" s="1230"/>
      <c r="GS3" s="1155"/>
      <c r="GX3" s="539"/>
      <c r="GY3" s="1432"/>
      <c r="GZ3" s="65"/>
      <c r="HA3" s="1155"/>
      <c r="HF3" s="539"/>
      <c r="HG3" s="1432"/>
      <c r="HH3" s="65"/>
      <c r="HI3" s="1155"/>
      <c r="HN3" s="539"/>
      <c r="HO3" s="1432"/>
      <c r="HP3" s="65"/>
      <c r="HQ3" s="1155"/>
      <c r="HV3" s="539"/>
      <c r="HW3" s="1432"/>
      <c r="HX3" s="65"/>
      <c r="HY3" s="1155"/>
      <c r="ID3" s="539"/>
      <c r="IE3" s="1432"/>
      <c r="IF3" s="65"/>
      <c r="IG3" s="1155"/>
      <c r="IL3" s="539"/>
      <c r="IM3" s="1432"/>
      <c r="IN3" s="65"/>
      <c r="IO3" s="1155"/>
      <c r="IT3" s="539"/>
      <c r="IU3" s="1432"/>
      <c r="IV3" s="65"/>
      <c r="IW3" s="1155"/>
      <c r="JB3" s="539"/>
      <c r="JC3" s="1432"/>
      <c r="JD3" s="1230"/>
    </row>
    <row r="4" ht="15.75" customHeight="1">
      <c r="A4" s="1238"/>
      <c r="B4" s="1230"/>
      <c r="C4" s="1230"/>
      <c r="D4" s="1230"/>
      <c r="E4" s="1230"/>
      <c r="F4" s="1230"/>
      <c r="G4" s="1230"/>
      <c r="H4" s="1230"/>
      <c r="I4" s="1230"/>
      <c r="J4" s="1230"/>
      <c r="K4" s="1230"/>
      <c r="L4" s="1230"/>
      <c r="M4" s="1981" t="s">
        <v>10279</v>
      </c>
      <c r="N4" s="413"/>
      <c r="O4" s="413"/>
      <c r="P4" s="413"/>
      <c r="Q4" s="413"/>
      <c r="R4" s="413"/>
      <c r="S4" s="413"/>
      <c r="T4" s="414"/>
      <c r="U4" s="442"/>
      <c r="V4" s="1981" t="s">
        <v>10280</v>
      </c>
      <c r="W4" s="413"/>
      <c r="X4" s="413"/>
      <c r="Y4" s="414"/>
      <c r="Z4" s="1230"/>
      <c r="AA4" s="1966" t="str">
        <f>MONSPRITE(AB4)</f>
        <v>#NAME?</v>
      </c>
      <c r="AB4" s="1259" t="s">
        <v>1014</v>
      </c>
      <c r="AC4" s="12"/>
      <c r="AD4" s="12"/>
      <c r="AE4" s="12"/>
      <c r="AF4" s="962"/>
      <c r="AG4" s="1968" t="s">
        <v>5040</v>
      </c>
      <c r="AI4" s="1966" t="str">
        <f>MONSPRITE(AJ4)</f>
        <v>#NAME?</v>
      </c>
      <c r="AJ4" s="1259" t="s">
        <v>4010</v>
      </c>
      <c r="AK4" s="12"/>
      <c r="AL4" s="12"/>
      <c r="AM4" s="12"/>
      <c r="AN4" s="962"/>
      <c r="AO4" s="1968" t="s">
        <v>5045</v>
      </c>
      <c r="AP4" s="1230"/>
      <c r="AQ4" s="1966" t="str">
        <f>MONSPRITE(AR4)</f>
        <v>#NAME?</v>
      </c>
      <c r="AR4" s="1259" t="s">
        <v>1463</v>
      </c>
      <c r="AS4" s="12"/>
      <c r="AT4" s="12"/>
      <c r="AU4" s="12"/>
      <c r="AV4" s="962"/>
      <c r="AW4" s="1256" t="s">
        <v>5018</v>
      </c>
      <c r="AX4" s="1967"/>
      <c r="AY4" s="1230"/>
      <c r="AZ4" s="1982" t="s">
        <v>10281</v>
      </c>
      <c r="BA4" s="12"/>
      <c r="BB4" s="12"/>
      <c r="BC4" s="12"/>
      <c r="BD4" s="12"/>
      <c r="BE4" s="12"/>
      <c r="BF4" s="48"/>
      <c r="BG4" s="30"/>
      <c r="BH4" s="1230"/>
      <c r="BI4" s="1983" t="s">
        <v>10282</v>
      </c>
      <c r="BJ4" s="12"/>
      <c r="BK4" s="12"/>
      <c r="BL4" s="12"/>
      <c r="BM4" s="12"/>
      <c r="BN4" s="12"/>
      <c r="BO4" s="48"/>
      <c r="BP4" s="1984" t="s">
        <v>10283</v>
      </c>
      <c r="BQ4" s="1230"/>
      <c r="BR4" s="1983" t="s">
        <v>10284</v>
      </c>
      <c r="BS4" s="12"/>
      <c r="BT4" s="12"/>
      <c r="BU4" s="12"/>
      <c r="BV4" s="12"/>
      <c r="BW4" s="12"/>
      <c r="BX4" s="48"/>
      <c r="BY4" s="1985" t="s">
        <v>10285</v>
      </c>
      <c r="BZ4" s="1230"/>
      <c r="CA4" s="1983" t="s">
        <v>10286</v>
      </c>
      <c r="CB4" s="12"/>
      <c r="CC4" s="12"/>
      <c r="CD4" s="12"/>
      <c r="CE4" s="12"/>
      <c r="CF4" s="12"/>
      <c r="CG4" s="1978"/>
      <c r="CH4" s="1154"/>
      <c r="CI4" s="1230"/>
      <c r="CJ4" s="1016"/>
      <c r="CK4" s="1019"/>
      <c r="CL4" s="1019"/>
      <c r="CM4" s="1019"/>
      <c r="CN4" s="1019"/>
      <c r="CO4" s="1017"/>
      <c r="CP4" s="1986"/>
      <c r="CQ4" s="1230"/>
      <c r="CR4" s="1016"/>
      <c r="CS4" s="1019"/>
      <c r="CT4" s="1019"/>
      <c r="CU4" s="1019"/>
      <c r="CV4" s="1019"/>
      <c r="CW4" s="1017"/>
      <c r="CX4" s="1986"/>
      <c r="CY4" s="1230"/>
      <c r="CZ4" s="1016"/>
      <c r="DA4" s="1019"/>
      <c r="DB4" s="1019"/>
      <c r="DC4" s="1019"/>
      <c r="DD4" s="1019"/>
      <c r="DE4" s="1017"/>
      <c r="DF4" s="1986"/>
      <c r="DG4" s="1230"/>
      <c r="DH4" s="1016"/>
      <c r="DI4" s="1019"/>
      <c r="DJ4" s="1019"/>
      <c r="DK4" s="1019"/>
      <c r="DL4" s="1019"/>
      <c r="DM4" s="1017"/>
      <c r="DN4" s="1986"/>
      <c r="DO4" s="1230"/>
      <c r="DP4" s="1983" t="s">
        <v>10287</v>
      </c>
      <c r="DQ4" s="12"/>
      <c r="DR4" s="12"/>
      <c r="DS4" s="12"/>
      <c r="DT4" s="12"/>
      <c r="DU4" s="12"/>
      <c r="DV4" s="48"/>
      <c r="DW4" s="1985" t="s">
        <v>10288</v>
      </c>
      <c r="DX4" s="1230"/>
      <c r="DY4" s="1983" t="s">
        <v>10289</v>
      </c>
      <c r="DZ4" s="12"/>
      <c r="EA4" s="12"/>
      <c r="EB4" s="12"/>
      <c r="EC4" s="12"/>
      <c r="ED4" s="12"/>
      <c r="EE4" s="48"/>
      <c r="EF4" s="1987"/>
      <c r="EG4" s="1230"/>
      <c r="EH4" s="1983" t="s">
        <v>10290</v>
      </c>
      <c r="EI4" s="12"/>
      <c r="EJ4" s="12"/>
      <c r="EK4" s="12"/>
      <c r="EL4" s="12"/>
      <c r="EM4" s="12"/>
      <c r="EN4" s="48"/>
      <c r="EO4" s="1988"/>
      <c r="EP4" s="1230"/>
      <c r="EQ4" s="1983" t="s">
        <v>10291</v>
      </c>
      <c r="ER4" s="12"/>
      <c r="ES4" s="12"/>
      <c r="ET4" s="12"/>
      <c r="EU4" s="12"/>
      <c r="EV4" s="12"/>
      <c r="EW4" s="48"/>
      <c r="EX4" s="30"/>
      <c r="EY4" s="1230"/>
      <c r="EZ4" s="1983" t="s">
        <v>10292</v>
      </c>
      <c r="FA4" s="12"/>
      <c r="FB4" s="12"/>
      <c r="FC4" s="12"/>
      <c r="FD4" s="12"/>
      <c r="FE4" s="12"/>
      <c r="FF4" s="48"/>
      <c r="FG4" s="1985" t="s">
        <v>10293</v>
      </c>
      <c r="FH4" s="1230"/>
      <c r="FI4" s="1983" t="s">
        <v>10294</v>
      </c>
      <c r="FJ4" s="12"/>
      <c r="FK4" s="12"/>
      <c r="FL4" s="12"/>
      <c r="FM4" s="12"/>
      <c r="FN4" s="12"/>
      <c r="FO4" s="48"/>
      <c r="FP4" s="1987"/>
      <c r="FQ4" s="1230"/>
      <c r="FR4" s="1983" t="s">
        <v>10295</v>
      </c>
      <c r="FS4" s="12"/>
      <c r="FT4" s="12"/>
      <c r="FU4" s="12"/>
      <c r="FV4" s="12"/>
      <c r="FW4" s="12"/>
      <c r="FX4" s="48"/>
      <c r="FY4" s="1987"/>
      <c r="FZ4" s="1230"/>
      <c r="GA4" s="1983" t="s">
        <v>10289</v>
      </c>
      <c r="GB4" s="12"/>
      <c r="GC4" s="12"/>
      <c r="GD4" s="12"/>
      <c r="GE4" s="12"/>
      <c r="GF4" s="12"/>
      <c r="GG4" s="48"/>
      <c r="GH4" s="1987"/>
      <c r="GI4" s="1230"/>
      <c r="GJ4" s="1983" t="s">
        <v>10296</v>
      </c>
      <c r="GK4" s="12"/>
      <c r="GL4" s="12"/>
      <c r="GM4" s="12"/>
      <c r="GN4" s="12"/>
      <c r="GO4" s="12"/>
      <c r="GP4" s="48"/>
      <c r="GQ4" s="1987"/>
      <c r="GR4" s="1230"/>
      <c r="GS4" s="1016"/>
      <c r="GT4" s="1019"/>
      <c r="GU4" s="1019"/>
      <c r="GV4" s="1019"/>
      <c r="GW4" s="1019"/>
      <c r="GX4" s="1017"/>
      <c r="GY4" s="1986"/>
      <c r="GZ4" s="65"/>
      <c r="HA4" s="1016"/>
      <c r="HB4" s="1019"/>
      <c r="HC4" s="1019"/>
      <c r="HD4" s="1019"/>
      <c r="HE4" s="1019"/>
      <c r="HF4" s="1017"/>
      <c r="HG4" s="1986"/>
      <c r="HH4" s="65"/>
      <c r="HI4" s="1016"/>
      <c r="HJ4" s="1019"/>
      <c r="HK4" s="1019"/>
      <c r="HL4" s="1019"/>
      <c r="HM4" s="1019"/>
      <c r="HN4" s="1017"/>
      <c r="HO4" s="1986"/>
      <c r="HP4" s="65"/>
      <c r="HQ4" s="1016"/>
      <c r="HR4" s="1019"/>
      <c r="HS4" s="1019"/>
      <c r="HT4" s="1019"/>
      <c r="HU4" s="1019"/>
      <c r="HV4" s="1017"/>
      <c r="HW4" s="1986"/>
      <c r="HX4" s="65"/>
      <c r="HY4" s="1016"/>
      <c r="HZ4" s="1019"/>
      <c r="IA4" s="1019"/>
      <c r="IB4" s="1019"/>
      <c r="IC4" s="1019"/>
      <c r="ID4" s="1017"/>
      <c r="IE4" s="1986"/>
      <c r="IF4" s="65"/>
      <c r="IG4" s="1016"/>
      <c r="IH4" s="1019"/>
      <c r="II4" s="1019"/>
      <c r="IJ4" s="1019"/>
      <c r="IK4" s="1019"/>
      <c r="IL4" s="1017"/>
      <c r="IM4" s="1986"/>
      <c r="IN4" s="65"/>
      <c r="IO4" s="1016"/>
      <c r="IP4" s="1019"/>
      <c r="IQ4" s="1019"/>
      <c r="IR4" s="1019"/>
      <c r="IS4" s="1019"/>
      <c r="IT4" s="1017"/>
      <c r="IU4" s="1986"/>
      <c r="IV4" s="65"/>
      <c r="IW4" s="1016"/>
      <c r="IX4" s="1019"/>
      <c r="IY4" s="1019"/>
      <c r="IZ4" s="1019"/>
      <c r="JA4" s="1019"/>
      <c r="JB4" s="1017"/>
      <c r="JC4" s="1986"/>
      <c r="JD4" s="1230"/>
    </row>
    <row r="5" ht="15.75" customHeight="1">
      <c r="A5" s="1238"/>
      <c r="B5" s="1848" t="s">
        <v>10297</v>
      </c>
      <c r="C5" s="12"/>
      <c r="D5" s="12"/>
      <c r="E5" s="12"/>
      <c r="F5" s="12"/>
      <c r="G5" s="12"/>
      <c r="H5" s="12"/>
      <c r="I5" s="12"/>
      <c r="J5" s="12"/>
      <c r="K5" s="48"/>
      <c r="L5" s="1230"/>
      <c r="M5" s="1989" t="s">
        <v>10298</v>
      </c>
      <c r="N5" s="984"/>
      <c r="O5" s="984"/>
      <c r="P5" s="984"/>
      <c r="Q5" s="984"/>
      <c r="R5" s="984"/>
      <c r="S5" s="984"/>
      <c r="T5" s="319"/>
      <c r="U5" s="442"/>
      <c r="V5" s="1989" t="s">
        <v>10299</v>
      </c>
      <c r="W5" s="984"/>
      <c r="X5" s="984"/>
      <c r="Y5" s="319"/>
      <c r="Z5" s="1230"/>
      <c r="AA5" s="1444"/>
      <c r="AB5" s="1092" t="str">
        <f>TYPEICON(AC5)</f>
        <v>#NAME?</v>
      </c>
      <c r="AC5" s="398" t="str">
        <f>MONTYPE(AB4)</f>
        <v>#NAME?</v>
      </c>
      <c r="AD5" s="48"/>
      <c r="AE5" s="986" t="str">
        <f>TYPEICON(AF5)</f>
        <v>#NAME?</v>
      </c>
      <c r="AF5" s="398" t="str">
        <f>MONTYPE2(AB4)</f>
        <v>#NAME?</v>
      </c>
      <c r="AG5" s="48"/>
      <c r="AI5" s="1444"/>
      <c r="AJ5" s="1092" t="str">
        <f>TYPEICON(AK5)</f>
        <v>#NAME?</v>
      </c>
      <c r="AK5" s="398" t="str">
        <f>MONTYPE(AJ4)</f>
        <v>#NAME?</v>
      </c>
      <c r="AL5" s="48"/>
      <c r="AM5" s="986" t="str">
        <f>TYPEICON(AN5)</f>
        <v>#NAME?</v>
      </c>
      <c r="AN5" s="398" t="str">
        <f>MONTYPE2(AJ4)</f>
        <v>#NAME?</v>
      </c>
      <c r="AO5" s="48"/>
      <c r="AP5" s="1230"/>
      <c r="AQ5" s="1444"/>
      <c r="AR5" s="1092" t="str">
        <f>TYPEICON(AS5)</f>
        <v>#NAME?</v>
      </c>
      <c r="AS5" s="398" t="str">
        <f>MONTYPE(AR4)</f>
        <v>#NAME?</v>
      </c>
      <c r="AT5" s="48"/>
      <c r="AU5" s="986" t="str">
        <f>TYPEICON(AV5)</f>
        <v>#NAME?</v>
      </c>
      <c r="AV5" s="398" t="str">
        <f>MONTYPE2(AR4)</f>
        <v>#NAME?</v>
      </c>
      <c r="AW5" s="48"/>
      <c r="AX5" s="1977" t="s">
        <v>10268</v>
      </c>
      <c r="AY5" s="1230"/>
      <c r="AZ5" s="1990" t="s">
        <v>4416</v>
      </c>
      <c r="BA5" s="1991" t="s">
        <v>4417</v>
      </c>
      <c r="BB5" s="1991" t="s">
        <v>3748</v>
      </c>
      <c r="BC5" s="1991" t="s">
        <v>4418</v>
      </c>
      <c r="BD5" s="1991" t="s">
        <v>4419</v>
      </c>
      <c r="BE5" s="1991" t="s">
        <v>4420</v>
      </c>
      <c r="BF5" s="1991" t="s">
        <v>4421</v>
      </c>
      <c r="BG5" s="1985" t="s">
        <v>10300</v>
      </c>
      <c r="BH5" s="1230"/>
      <c r="BI5" s="1990" t="s">
        <v>4416</v>
      </c>
      <c r="BJ5" s="1991" t="s">
        <v>4417</v>
      </c>
      <c r="BK5" s="1991" t="s">
        <v>3748</v>
      </c>
      <c r="BL5" s="1991" t="s">
        <v>4418</v>
      </c>
      <c r="BM5" s="1991" t="s">
        <v>4419</v>
      </c>
      <c r="BN5" s="1991" t="s">
        <v>4420</v>
      </c>
      <c r="BO5" s="1991" t="s">
        <v>4421</v>
      </c>
      <c r="BP5" s="1992" t="s">
        <v>10301</v>
      </c>
      <c r="BQ5" s="1230"/>
      <c r="BR5" s="1990" t="s">
        <v>4416</v>
      </c>
      <c r="BS5" s="1991" t="s">
        <v>4417</v>
      </c>
      <c r="BT5" s="1991" t="s">
        <v>3748</v>
      </c>
      <c r="BU5" s="1991" t="s">
        <v>4418</v>
      </c>
      <c r="BV5" s="1991" t="s">
        <v>4419</v>
      </c>
      <c r="BW5" s="1991" t="s">
        <v>4420</v>
      </c>
      <c r="BX5" s="1991" t="s">
        <v>4421</v>
      </c>
      <c r="BY5" s="1988"/>
      <c r="BZ5" s="1230"/>
      <c r="CA5" s="1990" t="s">
        <v>4416</v>
      </c>
      <c r="CB5" s="1991" t="s">
        <v>4417</v>
      </c>
      <c r="CC5" s="1991" t="s">
        <v>3748</v>
      </c>
      <c r="CD5" s="1991" t="s">
        <v>4418</v>
      </c>
      <c r="CE5" s="1991" t="s">
        <v>4419</v>
      </c>
      <c r="CF5" s="1991" t="s">
        <v>4420</v>
      </c>
      <c r="CG5" s="1993" t="s">
        <v>4421</v>
      </c>
      <c r="CH5" s="30"/>
      <c r="CI5" s="1230"/>
      <c r="CJ5" s="1994" t="s">
        <v>10302</v>
      </c>
      <c r="CK5" s="967"/>
      <c r="CL5" s="967"/>
      <c r="CM5" s="967"/>
      <c r="CN5" s="967"/>
      <c r="CO5" s="967"/>
      <c r="CP5" s="263"/>
      <c r="CQ5" s="1230"/>
      <c r="CR5" s="1994" t="s">
        <v>10303</v>
      </c>
      <c r="CS5" s="967"/>
      <c r="CT5" s="967"/>
      <c r="CU5" s="967"/>
      <c r="CV5" s="967"/>
      <c r="CW5" s="967"/>
      <c r="CX5" s="263"/>
      <c r="CY5" s="1230"/>
      <c r="CZ5" s="1994" t="s">
        <v>10304</v>
      </c>
      <c r="DA5" s="967"/>
      <c r="DB5" s="967"/>
      <c r="DC5" s="967"/>
      <c r="DD5" s="967"/>
      <c r="DE5" s="967"/>
      <c r="DF5" s="263"/>
      <c r="DG5" s="1230"/>
      <c r="DH5" s="1994" t="s">
        <v>10305</v>
      </c>
      <c r="DI5" s="967"/>
      <c r="DJ5" s="967"/>
      <c r="DK5" s="967"/>
      <c r="DL5" s="967"/>
      <c r="DM5" s="967"/>
      <c r="DN5" s="263"/>
      <c r="DO5" s="1230"/>
      <c r="DP5" s="1990" t="s">
        <v>4416</v>
      </c>
      <c r="DQ5" s="1991" t="s">
        <v>4417</v>
      </c>
      <c r="DR5" s="1991" t="s">
        <v>3748</v>
      </c>
      <c r="DS5" s="1991" t="s">
        <v>4418</v>
      </c>
      <c r="DT5" s="1991" t="s">
        <v>4419</v>
      </c>
      <c r="DU5" s="1991" t="s">
        <v>4420</v>
      </c>
      <c r="DV5" s="1991" t="s">
        <v>4421</v>
      </c>
      <c r="DW5" s="1988"/>
      <c r="DX5" s="1230"/>
      <c r="DY5" s="1990" t="s">
        <v>4416</v>
      </c>
      <c r="DZ5" s="1991" t="s">
        <v>4417</v>
      </c>
      <c r="EA5" s="1991" t="s">
        <v>3748</v>
      </c>
      <c r="EB5" s="1991" t="s">
        <v>4418</v>
      </c>
      <c r="EC5" s="1991" t="s">
        <v>4419</v>
      </c>
      <c r="ED5" s="1991" t="s">
        <v>4420</v>
      </c>
      <c r="EE5" s="1991" t="s">
        <v>4421</v>
      </c>
      <c r="EF5" s="1988"/>
      <c r="EG5" s="1230"/>
      <c r="EH5" s="1990" t="s">
        <v>4416</v>
      </c>
      <c r="EI5" s="1991" t="s">
        <v>4417</v>
      </c>
      <c r="EJ5" s="1991" t="s">
        <v>3748</v>
      </c>
      <c r="EK5" s="1991" t="s">
        <v>4418</v>
      </c>
      <c r="EL5" s="1991" t="s">
        <v>4419</v>
      </c>
      <c r="EM5" s="1991" t="s">
        <v>4420</v>
      </c>
      <c r="EN5" s="1991" t="s">
        <v>4421</v>
      </c>
      <c r="EO5" s="1985" t="s">
        <v>10306</v>
      </c>
      <c r="EP5" s="1230"/>
      <c r="EQ5" s="1990" t="s">
        <v>4416</v>
      </c>
      <c r="ER5" s="1991" t="s">
        <v>4417</v>
      </c>
      <c r="ES5" s="1991" t="s">
        <v>3748</v>
      </c>
      <c r="ET5" s="1991" t="s">
        <v>4418</v>
      </c>
      <c r="EU5" s="1991" t="s">
        <v>4419</v>
      </c>
      <c r="EV5" s="1991" t="s">
        <v>4420</v>
      </c>
      <c r="EW5" s="1991" t="s">
        <v>4421</v>
      </c>
      <c r="EX5" s="1985" t="s">
        <v>10307</v>
      </c>
      <c r="EY5" s="1230"/>
      <c r="EZ5" s="1990" t="s">
        <v>4416</v>
      </c>
      <c r="FA5" s="1991" t="s">
        <v>4417</v>
      </c>
      <c r="FB5" s="1991" t="s">
        <v>3748</v>
      </c>
      <c r="FC5" s="1991" t="s">
        <v>4418</v>
      </c>
      <c r="FD5" s="1991" t="s">
        <v>4419</v>
      </c>
      <c r="FE5" s="1991" t="s">
        <v>4420</v>
      </c>
      <c r="FF5" s="1991" t="s">
        <v>4421</v>
      </c>
      <c r="FG5" s="1988"/>
      <c r="FH5" s="1230"/>
      <c r="FI5" s="1990" t="s">
        <v>4416</v>
      </c>
      <c r="FJ5" s="1991" t="s">
        <v>4417</v>
      </c>
      <c r="FK5" s="1991" t="s">
        <v>3748</v>
      </c>
      <c r="FL5" s="1991" t="s">
        <v>4418</v>
      </c>
      <c r="FM5" s="1991" t="s">
        <v>4419</v>
      </c>
      <c r="FN5" s="1991" t="s">
        <v>4420</v>
      </c>
      <c r="FO5" s="1991" t="s">
        <v>4421</v>
      </c>
      <c r="FP5" s="1995" t="s">
        <v>10308</v>
      </c>
      <c r="FQ5" s="1230"/>
      <c r="FR5" s="1990" t="s">
        <v>4416</v>
      </c>
      <c r="FS5" s="1991" t="s">
        <v>4417</v>
      </c>
      <c r="FT5" s="1991" t="s">
        <v>3748</v>
      </c>
      <c r="FU5" s="1991" t="s">
        <v>4418</v>
      </c>
      <c r="FV5" s="1991" t="s">
        <v>4419</v>
      </c>
      <c r="FW5" s="1991" t="s">
        <v>4420</v>
      </c>
      <c r="FX5" s="1991" t="s">
        <v>4421</v>
      </c>
      <c r="FY5" s="1995" t="s">
        <v>10309</v>
      </c>
      <c r="FZ5" s="1230"/>
      <c r="GA5" s="1990" t="s">
        <v>4416</v>
      </c>
      <c r="GB5" s="1991" t="s">
        <v>4417</v>
      </c>
      <c r="GC5" s="1991" t="s">
        <v>3748</v>
      </c>
      <c r="GD5" s="1991" t="s">
        <v>4418</v>
      </c>
      <c r="GE5" s="1991" t="s">
        <v>4419</v>
      </c>
      <c r="GF5" s="1991" t="s">
        <v>4420</v>
      </c>
      <c r="GG5" s="1991" t="s">
        <v>4421</v>
      </c>
      <c r="GH5" s="1995" t="s">
        <v>10310</v>
      </c>
      <c r="GI5" s="1230"/>
      <c r="GJ5" s="1990" t="s">
        <v>4416</v>
      </c>
      <c r="GK5" s="1991" t="s">
        <v>4417</v>
      </c>
      <c r="GL5" s="1991" t="s">
        <v>3748</v>
      </c>
      <c r="GM5" s="1991" t="s">
        <v>4418</v>
      </c>
      <c r="GN5" s="1991" t="s">
        <v>4419</v>
      </c>
      <c r="GO5" s="1991" t="s">
        <v>4420</v>
      </c>
      <c r="GP5" s="1991" t="s">
        <v>4421</v>
      </c>
      <c r="GQ5" s="1987"/>
      <c r="GR5" s="1230"/>
      <c r="GS5" s="1996"/>
      <c r="GT5" s="1997" t="s">
        <v>10311</v>
      </c>
      <c r="GU5" s="967"/>
      <c r="GV5" s="967"/>
      <c r="GW5" s="967"/>
      <c r="GX5" s="967"/>
      <c r="GY5" s="263"/>
      <c r="GZ5" s="65"/>
      <c r="HA5" s="1996"/>
      <c r="HB5" s="1997" t="s">
        <v>10312</v>
      </c>
      <c r="HC5" s="967"/>
      <c r="HD5" s="967"/>
      <c r="HE5" s="967"/>
      <c r="HF5" s="967"/>
      <c r="HG5" s="263"/>
      <c r="HH5" s="65"/>
      <c r="HI5" s="1996"/>
      <c r="HJ5" s="1997" t="s">
        <v>10313</v>
      </c>
      <c r="HK5" s="967"/>
      <c r="HL5" s="967"/>
      <c r="HM5" s="967"/>
      <c r="HN5" s="967"/>
      <c r="HO5" s="263"/>
      <c r="HP5" s="65"/>
      <c r="HQ5" s="1996"/>
      <c r="HR5" s="1997" t="s">
        <v>10314</v>
      </c>
      <c r="HS5" s="967"/>
      <c r="HT5" s="967"/>
      <c r="HU5" s="967"/>
      <c r="HV5" s="967"/>
      <c r="HW5" s="263"/>
      <c r="HX5" s="65"/>
      <c r="HY5" s="1996"/>
      <c r="HZ5" s="1997" t="s">
        <v>10315</v>
      </c>
      <c r="IA5" s="967"/>
      <c r="IB5" s="967"/>
      <c r="IC5" s="967"/>
      <c r="ID5" s="967"/>
      <c r="IE5" s="263"/>
      <c r="IF5" s="65"/>
      <c r="IG5" s="1996"/>
      <c r="IH5" s="1997" t="s">
        <v>10316</v>
      </c>
      <c r="II5" s="967"/>
      <c r="IJ5" s="967"/>
      <c r="IK5" s="967"/>
      <c r="IL5" s="967"/>
      <c r="IM5" s="263"/>
      <c r="IN5" s="65"/>
      <c r="IO5" s="1996"/>
      <c r="IP5" s="1997" t="s">
        <v>10317</v>
      </c>
      <c r="IQ5" s="967"/>
      <c r="IR5" s="967"/>
      <c r="IS5" s="967"/>
      <c r="IT5" s="967"/>
      <c r="IU5" s="263"/>
      <c r="IV5" s="65"/>
      <c r="IW5" s="1996"/>
      <c r="IX5" s="1997" t="s">
        <v>10318</v>
      </c>
      <c r="IY5" s="967"/>
      <c r="IZ5" s="967"/>
      <c r="JA5" s="967"/>
      <c r="JB5" s="967"/>
      <c r="JC5" s="263"/>
      <c r="JD5" s="1230"/>
    </row>
    <row r="6" ht="15.75" customHeight="1">
      <c r="A6" s="1238"/>
      <c r="B6" s="1230"/>
      <c r="C6" s="1230"/>
      <c r="D6" s="1230"/>
      <c r="E6" s="1230"/>
      <c r="F6" s="1230"/>
      <c r="G6" s="1230"/>
      <c r="H6" s="1230"/>
      <c r="I6" s="1230"/>
      <c r="J6" s="1230"/>
      <c r="K6" s="1230"/>
      <c r="L6" s="1230"/>
      <c r="M6" s="1981" t="s">
        <v>10319</v>
      </c>
      <c r="N6" s="413"/>
      <c r="O6" s="413"/>
      <c r="P6" s="413"/>
      <c r="Q6" s="413"/>
      <c r="R6" s="413"/>
      <c r="S6" s="413"/>
      <c r="T6" s="414"/>
      <c r="U6" s="442"/>
      <c r="V6" s="1911" t="s">
        <v>10320</v>
      </c>
      <c r="W6" s="138"/>
      <c r="X6" s="138"/>
      <c r="Y6" s="128"/>
      <c r="Z6" s="1230"/>
      <c r="AA6" s="1983" t="s">
        <v>10321</v>
      </c>
      <c r="AB6" s="12"/>
      <c r="AC6" s="12"/>
      <c r="AD6" s="12"/>
      <c r="AE6" s="12"/>
      <c r="AF6" s="12"/>
      <c r="AG6" s="48"/>
      <c r="AI6" s="1011" t="s">
        <v>10322</v>
      </c>
      <c r="AJ6" s="12"/>
      <c r="AK6" s="12"/>
      <c r="AL6" s="12"/>
      <c r="AM6" s="12"/>
      <c r="AN6" s="12"/>
      <c r="AO6" s="48"/>
      <c r="AP6" s="1230"/>
      <c r="AQ6" s="1983" t="s">
        <v>10323</v>
      </c>
      <c r="AR6" s="12"/>
      <c r="AS6" s="12"/>
      <c r="AT6" s="12"/>
      <c r="AU6" s="12"/>
      <c r="AV6" s="12"/>
      <c r="AW6" s="48"/>
      <c r="AX6" s="1985" t="s">
        <v>10324</v>
      </c>
      <c r="AY6" s="1230"/>
      <c r="AZ6" s="1092" t="str">
        <f>MONHP(BA2)</f>
        <v>#NAME?</v>
      </c>
      <c r="BA6" s="986" t="str">
        <f>MONATK(BA2)</f>
        <v>#NAME?</v>
      </c>
      <c r="BB6" s="986" t="str">
        <f>MONDEF(BA2)</f>
        <v>#NAME?</v>
      </c>
      <c r="BC6" s="986" t="str">
        <f>MONSPA(BA2)</f>
        <v>#NAME?</v>
      </c>
      <c r="BD6" s="986" t="str">
        <f>MONSPD(BA2)</f>
        <v>#NAME?</v>
      </c>
      <c r="BE6" s="986" t="str">
        <f>MONSPE(BA2)</f>
        <v>#NAME?</v>
      </c>
      <c r="BF6" s="986" t="str">
        <f>MONBST(BA2)</f>
        <v>#NAME?</v>
      </c>
      <c r="BG6" s="1998"/>
      <c r="BH6" s="1230"/>
      <c r="BI6" s="1092" t="str">
        <f>MONHP(BJ2)</f>
        <v>#NAME?</v>
      </c>
      <c r="BJ6" s="986" t="str">
        <f>MONATK(BJ2)</f>
        <v>#NAME?</v>
      </c>
      <c r="BK6" s="986" t="str">
        <f>MONDEF(BJ2)</f>
        <v>#NAME?</v>
      </c>
      <c r="BL6" s="986" t="str">
        <f>MONSPA(BJ2)</f>
        <v>#NAME?</v>
      </c>
      <c r="BM6" s="986" t="str">
        <f>MONSPD(BJ2)</f>
        <v>#NAME?</v>
      </c>
      <c r="BN6" s="986" t="str">
        <f>MONSPE(BJ2)</f>
        <v>#NAME?</v>
      </c>
      <c r="BO6" s="986" t="str">
        <f>MONBST(BJ2)</f>
        <v>#NAME?</v>
      </c>
      <c r="BP6" s="1988"/>
      <c r="BQ6" s="1230"/>
      <c r="BR6" s="1092" t="str">
        <f>MONHP(BS2)</f>
        <v>#NAME?</v>
      </c>
      <c r="BS6" s="986" t="str">
        <f>MONATK(BS2)</f>
        <v>#NAME?</v>
      </c>
      <c r="BT6" s="986" t="str">
        <f>MONDEF(BS2)</f>
        <v>#NAME?</v>
      </c>
      <c r="BU6" s="986" t="str">
        <f>MONSPA(BS2)</f>
        <v>#NAME?</v>
      </c>
      <c r="BV6" s="986" t="str">
        <f>MONSPD(BS2)</f>
        <v>#NAME?</v>
      </c>
      <c r="BW6" s="986" t="str">
        <f>MONSPE(BS2)</f>
        <v>#NAME?</v>
      </c>
      <c r="BX6" s="986" t="str">
        <f>MONBST(BS2)</f>
        <v>#NAME?</v>
      </c>
      <c r="BY6" s="1992" t="s">
        <v>10325</v>
      </c>
      <c r="BZ6" s="1230"/>
      <c r="CA6" s="1092" t="str">
        <f>MONHP(CB2)</f>
        <v>#NAME?</v>
      </c>
      <c r="CB6" s="986" t="str">
        <f>MONATK(CB2)</f>
        <v>#NAME?</v>
      </c>
      <c r="CC6" s="986" t="str">
        <f>MONDEF(CB2)</f>
        <v>#NAME?</v>
      </c>
      <c r="CD6" s="986" t="str">
        <f>MONSPA(CB2)</f>
        <v>#NAME?</v>
      </c>
      <c r="CE6" s="986" t="str">
        <f>MONSPD(CB2)</f>
        <v>#NAME?</v>
      </c>
      <c r="CF6" s="986" t="str">
        <f>MONSPE(CB2)</f>
        <v>#NAME?</v>
      </c>
      <c r="CG6" s="1999" t="str">
        <f>MONBST(CB2)</f>
        <v>#NAME?</v>
      </c>
      <c r="CH6" s="1985" t="s">
        <v>10326</v>
      </c>
      <c r="CI6" s="1230"/>
      <c r="CJ6" s="1966" t="str">
        <f>MONSPRITE(CK6)</f>
        <v>#NAME?</v>
      </c>
      <c r="CK6" s="1259" t="s">
        <v>254</v>
      </c>
      <c r="CL6" s="12"/>
      <c r="CM6" s="12"/>
      <c r="CN6" s="962"/>
      <c r="CO6" s="1003" t="str">
        <f>FEMALE()</f>
        <v/>
      </c>
      <c r="CP6" s="2000" t="s">
        <v>5158</v>
      </c>
      <c r="CQ6" s="1230"/>
      <c r="CR6" s="1966" t="str">
        <f>MONSPRITE(CS6)</f>
        <v>#NAME?</v>
      </c>
      <c r="CS6" s="1259" t="s">
        <v>2046</v>
      </c>
      <c r="CT6" s="12"/>
      <c r="CU6" s="12"/>
      <c r="CV6" s="962"/>
      <c r="CW6" s="1003" t="str">
        <f>MALE()</f>
        <v/>
      </c>
      <c r="CX6" s="2000" t="s">
        <v>5158</v>
      </c>
      <c r="CY6" s="1230"/>
      <c r="CZ6" s="1966" t="str">
        <f>MONSPRITE(DA6)</f>
        <v>#NAME?</v>
      </c>
      <c r="DA6" s="1259" t="s">
        <v>2285</v>
      </c>
      <c r="DB6" s="12"/>
      <c r="DC6" s="12"/>
      <c r="DD6" s="962"/>
      <c r="DE6" s="1003" t="str">
        <f>FEMALE()</f>
        <v/>
      </c>
      <c r="DF6" s="2000" t="s">
        <v>5158</v>
      </c>
      <c r="DG6" s="1230"/>
      <c r="DH6" s="1966" t="str">
        <f>MONSPRITE(DI6)</f>
        <v>#NAME?</v>
      </c>
      <c r="DI6" s="1259" t="s">
        <v>1014</v>
      </c>
      <c r="DJ6" s="12"/>
      <c r="DK6" s="12"/>
      <c r="DL6" s="962"/>
      <c r="DM6" s="1003" t="str">
        <f>MALE()</f>
        <v/>
      </c>
      <c r="DN6" s="2000" t="s">
        <v>5158</v>
      </c>
      <c r="DO6" s="1230"/>
      <c r="DP6" s="1092" t="str">
        <f>MONHP(DQ2)</f>
        <v>#NAME?</v>
      </c>
      <c r="DQ6" s="986" t="str">
        <f>MONATK(DQ2)</f>
        <v>#NAME?</v>
      </c>
      <c r="DR6" s="986" t="str">
        <f>MONDEF(DQ2)</f>
        <v>#NAME?</v>
      </c>
      <c r="DS6" s="986" t="str">
        <f>MONSPA(DQ2)</f>
        <v>#NAME?</v>
      </c>
      <c r="DT6" s="986" t="str">
        <f>MONSPD(DQ2)</f>
        <v>#NAME?</v>
      </c>
      <c r="DU6" s="986" t="str">
        <f>MONSPE(DQ2)</f>
        <v>#NAME?</v>
      </c>
      <c r="DV6" s="986" t="str">
        <f>MONBST(DQ2)</f>
        <v>#NAME?</v>
      </c>
      <c r="DW6" s="1992" t="s">
        <v>10327</v>
      </c>
      <c r="DX6" s="1230"/>
      <c r="DY6" s="1092" t="str">
        <f>MONHP(DZ2)</f>
        <v>#NAME?</v>
      </c>
      <c r="DZ6" s="986" t="str">
        <f>MONATK(DZ2)</f>
        <v>#NAME?</v>
      </c>
      <c r="EA6" s="986" t="str">
        <f>MONDEF(DZ2)</f>
        <v>#NAME?</v>
      </c>
      <c r="EB6" s="986" t="str">
        <f>MONSPA(DZ2)</f>
        <v>#NAME?</v>
      </c>
      <c r="EC6" s="986" t="str">
        <f>MONSPD(DZ2)</f>
        <v>#NAME?</v>
      </c>
      <c r="ED6" s="986" t="str">
        <f>MONSPE(DZ2)</f>
        <v>#NAME?</v>
      </c>
      <c r="EE6" s="986" t="str">
        <f>MONBST(DZ2)</f>
        <v>#NAME?</v>
      </c>
      <c r="EF6" s="1985" t="s">
        <v>10328</v>
      </c>
      <c r="EG6" s="1230"/>
      <c r="EH6" s="1092" t="str">
        <f>MONHP(EI2)</f>
        <v>#NAME?</v>
      </c>
      <c r="EI6" s="986" t="str">
        <f>MONATK(EI2)</f>
        <v>#NAME?</v>
      </c>
      <c r="EJ6" s="986" t="str">
        <f>MONDEF(EI2)</f>
        <v>#NAME?</v>
      </c>
      <c r="EK6" s="986" t="str">
        <f>MONSPA(EI2)</f>
        <v>#NAME?</v>
      </c>
      <c r="EL6" s="986" t="str">
        <f>MONSPD(EI2)</f>
        <v>#NAME?</v>
      </c>
      <c r="EM6" s="986" t="str">
        <f>MONSPE(EI2)</f>
        <v>#NAME?</v>
      </c>
      <c r="EN6" s="986" t="str">
        <f>MONBST(EI2)</f>
        <v>#NAME?</v>
      </c>
      <c r="EO6" s="1998"/>
      <c r="EP6" s="1230"/>
      <c r="EQ6" s="1092" t="str">
        <f>MONHP(ER2)</f>
        <v>#NAME?</v>
      </c>
      <c r="ER6" s="986" t="str">
        <f>MONATK(ER2)</f>
        <v>#NAME?</v>
      </c>
      <c r="ES6" s="986" t="str">
        <f>MONDEF(ER2)</f>
        <v>#NAME?</v>
      </c>
      <c r="ET6" s="986" t="str">
        <f>MONSPA(ER2)</f>
        <v>#NAME?</v>
      </c>
      <c r="EU6" s="986" t="str">
        <f>MONSPD(ER2)</f>
        <v>#NAME?</v>
      </c>
      <c r="EV6" s="986" t="str">
        <f>MONSPE(ER2)</f>
        <v>#NAME?</v>
      </c>
      <c r="EW6" s="986" t="str">
        <f>MONBST(ER2)</f>
        <v>#NAME?</v>
      </c>
      <c r="EX6" s="1987"/>
      <c r="EY6" s="1230"/>
      <c r="EZ6" s="1092" t="str">
        <f>MONHP(FA2)</f>
        <v>#NAME?</v>
      </c>
      <c r="FA6" s="986" t="str">
        <f>MONATK(FA2)</f>
        <v>#NAME?</v>
      </c>
      <c r="FB6" s="986" t="str">
        <f>MONDEF(FA2)</f>
        <v>#NAME?</v>
      </c>
      <c r="FC6" s="986" t="str">
        <f>MONSPA(FA2)</f>
        <v>#NAME?</v>
      </c>
      <c r="FD6" s="986" t="str">
        <f>MONSPD(FA2)</f>
        <v>#NAME?</v>
      </c>
      <c r="FE6" s="986" t="str">
        <f>MONSPE(FA2)</f>
        <v>#NAME?</v>
      </c>
      <c r="FF6" s="986" t="str">
        <f>MONBST(FA2)</f>
        <v>#NAME?</v>
      </c>
      <c r="FG6" s="1992" t="s">
        <v>10329</v>
      </c>
      <c r="FH6" s="1230"/>
      <c r="FI6" s="1092" t="str">
        <f>MONHP(FJ2)</f>
        <v>#NAME?</v>
      </c>
      <c r="FJ6" s="986" t="str">
        <f>MONATK(FJ2)</f>
        <v>#NAME?</v>
      </c>
      <c r="FK6" s="986" t="str">
        <f>MONDEF(FJ2)</f>
        <v>#NAME?</v>
      </c>
      <c r="FL6" s="986" t="str">
        <f>MONSPA(FJ2)</f>
        <v>#NAME?</v>
      </c>
      <c r="FM6" s="986" t="str">
        <f>MONSPD(FJ2)</f>
        <v>#NAME?</v>
      </c>
      <c r="FN6" s="986" t="str">
        <f>MONSPE(FJ2)</f>
        <v>#NAME?</v>
      </c>
      <c r="FO6" s="986" t="str">
        <f>MONBST(FJ2)</f>
        <v>#NAME?</v>
      </c>
      <c r="FP6" s="1992" t="s">
        <v>10330</v>
      </c>
      <c r="FQ6" s="1230"/>
      <c r="FR6" s="1092" t="str">
        <f>MONHP(FS2)</f>
        <v>#NAME?</v>
      </c>
      <c r="FS6" s="986" t="str">
        <f>MONATK(FS2)</f>
        <v>#NAME?</v>
      </c>
      <c r="FT6" s="986" t="str">
        <f>MONDEF(FS2)</f>
        <v>#NAME?</v>
      </c>
      <c r="FU6" s="986" t="str">
        <f>MONSPA(FS2)</f>
        <v>#NAME?</v>
      </c>
      <c r="FV6" s="986" t="str">
        <f>MONSPD(FS2)</f>
        <v>#NAME?</v>
      </c>
      <c r="FW6" s="986" t="str">
        <f>MONSPE(FS2)</f>
        <v>#NAME?</v>
      </c>
      <c r="FX6" s="986" t="str">
        <f>MONBST(FS2)</f>
        <v>#NAME?</v>
      </c>
      <c r="FY6" s="1992" t="s">
        <v>10331</v>
      </c>
      <c r="FZ6" s="1230"/>
      <c r="GA6" s="1092" t="str">
        <f>MONHP(GB2)</f>
        <v>#NAME?</v>
      </c>
      <c r="GB6" s="986" t="str">
        <f>MONATK(GB2)</f>
        <v>#NAME?</v>
      </c>
      <c r="GC6" s="986" t="str">
        <f>MONDEF(GB2)</f>
        <v>#NAME?</v>
      </c>
      <c r="GD6" s="986" t="str">
        <f>MONSPA(GB2)</f>
        <v>#NAME?</v>
      </c>
      <c r="GE6" s="986" t="str">
        <f>MONSPD(GB2)</f>
        <v>#NAME?</v>
      </c>
      <c r="GF6" s="986" t="str">
        <f>MONSPE(GB2)</f>
        <v>#NAME?</v>
      </c>
      <c r="GG6" s="986" t="str">
        <f>MONBST(GB2)</f>
        <v>#NAME?</v>
      </c>
      <c r="GH6" s="1992" t="s">
        <v>10332</v>
      </c>
      <c r="GI6" s="1230"/>
      <c r="GJ6" s="1092" t="str">
        <f>MONHP(GK2)</f>
        <v>#NAME?</v>
      </c>
      <c r="GK6" s="986" t="str">
        <f>MONATK(GK2)</f>
        <v>#NAME?</v>
      </c>
      <c r="GL6" s="986" t="str">
        <f>MONDEF(GK2)</f>
        <v>#NAME?</v>
      </c>
      <c r="GM6" s="986" t="str">
        <f>MONSPA(GK2)</f>
        <v>#NAME?</v>
      </c>
      <c r="GN6" s="986" t="str">
        <f>MONSPD(GK2)</f>
        <v>#NAME?</v>
      </c>
      <c r="GO6" s="986" t="str">
        <f>MONSPE(GK2)</f>
        <v>#NAME?</v>
      </c>
      <c r="GP6" s="986" t="str">
        <f>MONBST(GK2)</f>
        <v>#NAME?</v>
      </c>
      <c r="GQ6" s="1985" t="s">
        <v>10333</v>
      </c>
      <c r="GR6" s="1230"/>
      <c r="GS6" s="2001" t="str">
        <f>MONSPRITE(GT6)</f>
        <v>#NAME?</v>
      </c>
      <c r="GT6" s="2002" t="s">
        <v>2106</v>
      </c>
      <c r="GU6" s="967"/>
      <c r="GV6" s="967"/>
      <c r="GW6" s="1249"/>
      <c r="GX6" s="2003" t="str">
        <f>MALE()</f>
        <v/>
      </c>
      <c r="GY6" s="2004" t="s">
        <v>5228</v>
      </c>
      <c r="GZ6" s="65"/>
      <c r="HA6" s="2001" t="str">
        <f>MONSPRITE(HB6)</f>
        <v>#NAME?</v>
      </c>
      <c r="HB6" s="2002" t="s">
        <v>2544</v>
      </c>
      <c r="HC6" s="967"/>
      <c r="HD6" s="967"/>
      <c r="HE6" s="1249"/>
      <c r="HF6" s="2003" t="str">
        <f>FEMALE()</f>
        <v/>
      </c>
      <c r="HG6" s="2004" t="s">
        <v>5228</v>
      </c>
      <c r="HH6" s="65"/>
      <c r="HI6" s="2001" t="str">
        <f>MONSPRITE(HJ6)</f>
        <v>#NAME?</v>
      </c>
      <c r="HJ6" s="2002" t="s">
        <v>4174</v>
      </c>
      <c r="HK6" s="967"/>
      <c r="HL6" s="967"/>
      <c r="HM6" s="1249"/>
      <c r="HN6" s="2003" t="str">
        <f>MALE()</f>
        <v/>
      </c>
      <c r="HO6" s="2004" t="s">
        <v>5228</v>
      </c>
      <c r="HP6" s="65"/>
      <c r="HQ6" s="2001" t="str">
        <f>MONSPRITE(HR6)</f>
        <v>#NAME?</v>
      </c>
      <c r="HR6" s="2002" t="s">
        <v>3317</v>
      </c>
      <c r="HS6" s="967"/>
      <c r="HT6" s="967"/>
      <c r="HU6" s="1249"/>
      <c r="HV6" s="2003" t="str">
        <f>FEMALE()</f>
        <v/>
      </c>
      <c r="HW6" s="2004" t="s">
        <v>5228</v>
      </c>
      <c r="HX6" s="65"/>
      <c r="HY6" s="2001" t="str">
        <f>MONSPRITE(HZ6)</f>
        <v>#NAME?</v>
      </c>
      <c r="HZ6" s="2002" t="s">
        <v>4139</v>
      </c>
      <c r="IA6" s="967"/>
      <c r="IB6" s="967"/>
      <c r="IC6" s="1249"/>
      <c r="ID6" s="2003" t="str">
        <f>FEMALE()</f>
        <v/>
      </c>
      <c r="IE6" s="2004" t="s">
        <v>5228</v>
      </c>
      <c r="IF6" s="65"/>
      <c r="IG6" s="2001" t="str">
        <f>MONSPRITE(IH6)</f>
        <v>#NAME?</v>
      </c>
      <c r="IH6" s="2002" t="s">
        <v>4238</v>
      </c>
      <c r="II6" s="967"/>
      <c r="IJ6" s="967"/>
      <c r="IK6" s="1249"/>
      <c r="IL6" s="2003" t="str">
        <f>MALE()</f>
        <v/>
      </c>
      <c r="IM6" s="2004" t="s">
        <v>5228</v>
      </c>
      <c r="IN6" s="65"/>
      <c r="IO6" s="2001" t="str">
        <f>MONSPRITE(IP6)</f>
        <v>#NAME?</v>
      </c>
      <c r="IP6" s="2002" t="s">
        <v>447</v>
      </c>
      <c r="IQ6" s="967"/>
      <c r="IR6" s="967"/>
      <c r="IS6" s="1249"/>
      <c r="IT6" s="2003" t="str">
        <f>MALE()</f>
        <v/>
      </c>
      <c r="IU6" s="2004" t="s">
        <v>5228</v>
      </c>
      <c r="IV6" s="65"/>
      <c r="IW6" s="2001" t="str">
        <f>MONSPRITE(IX6)</f>
        <v>#NAME?</v>
      </c>
      <c r="IX6" s="2002" t="s">
        <v>1901</v>
      </c>
      <c r="IY6" s="967"/>
      <c r="IZ6" s="967"/>
      <c r="JA6" s="1249"/>
      <c r="JB6" s="2003" t="str">
        <f>MALE()</f>
        <v/>
      </c>
      <c r="JC6" s="2004" t="s">
        <v>5228</v>
      </c>
      <c r="JD6" s="1230"/>
    </row>
    <row r="7" ht="15.75" customHeight="1">
      <c r="A7" s="1238"/>
      <c r="B7" s="1231" t="s">
        <v>10334</v>
      </c>
      <c r="C7" s="976"/>
      <c r="D7" s="976"/>
      <c r="E7" s="976"/>
      <c r="F7" s="976"/>
      <c r="G7" s="976"/>
      <c r="H7" s="976"/>
      <c r="I7" s="976"/>
      <c r="J7" s="976"/>
      <c r="K7" s="954"/>
      <c r="L7" s="1230"/>
      <c r="M7" s="1230"/>
      <c r="N7" s="1230"/>
      <c r="O7" s="1230"/>
      <c r="P7" s="1230"/>
      <c r="Q7" s="1230"/>
      <c r="R7" s="1230"/>
      <c r="S7" s="1230"/>
      <c r="T7" s="1230"/>
      <c r="U7" s="1230"/>
      <c r="V7" s="1947" t="s">
        <v>10335</v>
      </c>
      <c r="W7" s="138"/>
      <c r="X7" s="138"/>
      <c r="Y7" s="128"/>
      <c r="Z7" s="1230"/>
      <c r="AA7" s="1990" t="s">
        <v>4416</v>
      </c>
      <c r="AB7" s="1991" t="s">
        <v>4417</v>
      </c>
      <c r="AC7" s="1991" t="s">
        <v>3748</v>
      </c>
      <c r="AD7" s="1991" t="s">
        <v>4418</v>
      </c>
      <c r="AE7" s="1991" t="s">
        <v>4419</v>
      </c>
      <c r="AF7" s="1991" t="s">
        <v>4420</v>
      </c>
      <c r="AG7" s="2005" t="s">
        <v>4421</v>
      </c>
      <c r="AI7" s="2006" t="s">
        <v>4416</v>
      </c>
      <c r="AJ7" s="2007" t="s">
        <v>4417</v>
      </c>
      <c r="AK7" s="2007" t="s">
        <v>3748</v>
      </c>
      <c r="AL7" s="2007" t="s">
        <v>4418</v>
      </c>
      <c r="AM7" s="2007" t="s">
        <v>4419</v>
      </c>
      <c r="AN7" s="2007" t="s">
        <v>4420</v>
      </c>
      <c r="AO7" s="2008" t="s">
        <v>4421</v>
      </c>
      <c r="AP7" s="1230"/>
      <c r="AQ7" s="1990" t="s">
        <v>4416</v>
      </c>
      <c r="AR7" s="1991" t="s">
        <v>4417</v>
      </c>
      <c r="AS7" s="1991" t="s">
        <v>3748</v>
      </c>
      <c r="AT7" s="1991" t="s">
        <v>4418</v>
      </c>
      <c r="AU7" s="1991" t="s">
        <v>4419</v>
      </c>
      <c r="AV7" s="1991" t="s">
        <v>4420</v>
      </c>
      <c r="AW7" s="1991" t="s">
        <v>4421</v>
      </c>
      <c r="AX7" s="1988"/>
      <c r="AY7" s="1230"/>
      <c r="AZ7" s="2009" t="str">
        <f>ITEMICON(BA7)</f>
        <v>#NAME?</v>
      </c>
      <c r="BA7" s="2010" t="s">
        <v>3466</v>
      </c>
      <c r="BB7" s="967"/>
      <c r="BC7" s="1249"/>
      <c r="BD7" s="1092" t="s">
        <v>10336</v>
      </c>
      <c r="BE7" s="12"/>
      <c r="BF7" s="48"/>
      <c r="BG7" s="1992" t="s">
        <v>10337</v>
      </c>
      <c r="BH7" s="1230"/>
      <c r="BI7" s="2009" t="str">
        <f>ITEMICON(BJ7)</f>
        <v>#NAME?</v>
      </c>
      <c r="BJ7" s="2010" t="s">
        <v>3466</v>
      </c>
      <c r="BK7" s="967"/>
      <c r="BL7" s="1249"/>
      <c r="BM7" s="1092" t="s">
        <v>10336</v>
      </c>
      <c r="BN7" s="12"/>
      <c r="BO7" s="48"/>
      <c r="BP7" s="2011" t="s">
        <v>10338</v>
      </c>
      <c r="BQ7" s="1230"/>
      <c r="BR7" s="2009" t="str">
        <f>ITEMICON(BS7)</f>
        <v>#NAME?</v>
      </c>
      <c r="BS7" s="2010" t="s">
        <v>3466</v>
      </c>
      <c r="BT7" s="967"/>
      <c r="BU7" s="1249"/>
      <c r="BV7" s="1092" t="s">
        <v>10336</v>
      </c>
      <c r="BW7" s="12"/>
      <c r="BX7" s="48"/>
      <c r="BY7" s="1988"/>
      <c r="BZ7" s="1230"/>
      <c r="CA7" s="2009" t="str">
        <f>ITEMICON(CB7)</f>
        <v>#NAME?</v>
      </c>
      <c r="CB7" s="2010" t="s">
        <v>2932</v>
      </c>
      <c r="CC7" s="967"/>
      <c r="CD7" s="1249"/>
      <c r="CE7" s="1092" t="s">
        <v>10339</v>
      </c>
      <c r="CF7" s="12"/>
      <c r="CG7" s="1978"/>
      <c r="CH7" s="1987"/>
      <c r="CI7" s="1230"/>
      <c r="CJ7" s="1444"/>
      <c r="CK7" s="1092" t="str">
        <f>TYPEICON(CL7)</f>
        <v>#NAME?</v>
      </c>
      <c r="CL7" s="398" t="str">
        <f>MONTYPE(CK6)</f>
        <v>#NAME?</v>
      </c>
      <c r="CM7" s="48"/>
      <c r="CN7" s="1092" t="str">
        <f>TYPEICON(CO7)</f>
        <v>#NAME?</v>
      </c>
      <c r="CO7" s="398" t="str">
        <f>MONTYPE2(CK6)</f>
        <v>#NAME?</v>
      </c>
      <c r="CP7" s="48"/>
      <c r="CQ7" s="1230"/>
      <c r="CR7" s="1444"/>
      <c r="CS7" s="1092" t="str">
        <f>TYPEICON(CT7)</f>
        <v>#NAME?</v>
      </c>
      <c r="CT7" s="398" t="str">
        <f>MONTYPE(CS6)</f>
        <v>#NAME?</v>
      </c>
      <c r="CU7" s="48"/>
      <c r="CV7" s="1092" t="str">
        <f>TYPEICON(CW7)</f>
        <v>#NAME?</v>
      </c>
      <c r="CW7" s="398" t="str">
        <f>MONTYPE2(CS6)</f>
        <v>#NAME?</v>
      </c>
      <c r="CX7" s="48"/>
      <c r="CY7" s="1230"/>
      <c r="CZ7" s="1444"/>
      <c r="DA7" s="1092" t="str">
        <f>TYPEICON(DB7)</f>
        <v>#NAME?</v>
      </c>
      <c r="DB7" s="398" t="str">
        <f>MONTYPE(DA6)</f>
        <v>#NAME?</v>
      </c>
      <c r="DC7" s="48"/>
      <c r="DD7" s="1092" t="str">
        <f>TYPEICON(DE7)</f>
        <v>#NAME?</v>
      </c>
      <c r="DE7" s="398" t="str">
        <f>MONTYPE2(DA6)</f>
        <v>#NAME?</v>
      </c>
      <c r="DF7" s="48"/>
      <c r="DG7" s="1230"/>
      <c r="DH7" s="1444"/>
      <c r="DI7" s="1092" t="str">
        <f>TYPEICON(DJ7)</f>
        <v>#NAME?</v>
      </c>
      <c r="DJ7" s="398" t="str">
        <f>MONTYPE(DI6)</f>
        <v>#NAME?</v>
      </c>
      <c r="DK7" s="48"/>
      <c r="DL7" s="1092" t="str">
        <f>TYPEICON(DM7)</f>
        <v>#NAME?</v>
      </c>
      <c r="DM7" s="398" t="str">
        <f>MONTYPE2(DI6)</f>
        <v>#NAME?</v>
      </c>
      <c r="DN7" s="48"/>
      <c r="DO7" s="1230"/>
      <c r="DP7" s="2009" t="str">
        <f>ITEMICON(DQ7)</f>
        <v>#NAME?</v>
      </c>
      <c r="DQ7" s="2010" t="s">
        <v>3466</v>
      </c>
      <c r="DR7" s="967"/>
      <c r="DS7" s="1249"/>
      <c r="DT7" s="1092" t="s">
        <v>10336</v>
      </c>
      <c r="DU7" s="12"/>
      <c r="DV7" s="48"/>
      <c r="DW7" s="1988"/>
      <c r="DX7" s="1230"/>
      <c r="DY7" s="2009" t="str">
        <f>ITEMICON(DZ7)</f>
        <v>#NAME?</v>
      </c>
      <c r="DZ7" s="2010" t="s">
        <v>3466</v>
      </c>
      <c r="EA7" s="967"/>
      <c r="EB7" s="1249"/>
      <c r="EC7" s="1092" t="s">
        <v>10336</v>
      </c>
      <c r="ED7" s="12"/>
      <c r="EE7" s="48"/>
      <c r="EF7" s="1988"/>
      <c r="EG7" s="1230"/>
      <c r="EH7" s="2009" t="str">
        <f>ITEMICON(EI7)</f>
        <v>#NAME?</v>
      </c>
      <c r="EI7" s="2010" t="s">
        <v>3466</v>
      </c>
      <c r="EJ7" s="967"/>
      <c r="EK7" s="1249"/>
      <c r="EL7" s="1092" t="s">
        <v>10340</v>
      </c>
      <c r="EM7" s="12"/>
      <c r="EN7" s="48"/>
      <c r="EO7" s="1992" t="s">
        <v>10341</v>
      </c>
      <c r="EP7" s="1230"/>
      <c r="EQ7" s="2009" t="str">
        <f>ITEMICON(ER7)</f>
        <v>#NAME?</v>
      </c>
      <c r="ER7" s="2010" t="s">
        <v>2483</v>
      </c>
      <c r="ES7" s="967"/>
      <c r="ET7" s="1249"/>
      <c r="EU7" s="1092" t="s">
        <v>10336</v>
      </c>
      <c r="EV7" s="12"/>
      <c r="EW7" s="12"/>
      <c r="EX7" s="1987"/>
      <c r="EY7" s="1230"/>
      <c r="EZ7" s="2009" t="str">
        <f>ITEMICON(FA7)</f>
        <v>#NAME?</v>
      </c>
      <c r="FA7" s="2010" t="s">
        <v>3466</v>
      </c>
      <c r="FB7" s="967"/>
      <c r="FC7" s="1249"/>
      <c r="FD7" s="1092" t="s">
        <v>10336</v>
      </c>
      <c r="FE7" s="12"/>
      <c r="FF7" s="48"/>
      <c r="FG7" s="1995" t="s">
        <v>10342</v>
      </c>
      <c r="FH7" s="1230"/>
      <c r="FI7" s="2009" t="str">
        <f>ITEMICON(FJ7)</f>
        <v>#NAME?</v>
      </c>
      <c r="FJ7" s="2010" t="s">
        <v>3466</v>
      </c>
      <c r="FK7" s="967"/>
      <c r="FL7" s="1249"/>
      <c r="FM7" s="1092" t="s">
        <v>10343</v>
      </c>
      <c r="FN7" s="12"/>
      <c r="FO7" s="48"/>
      <c r="FP7" s="1988"/>
      <c r="FQ7" s="1230"/>
      <c r="FR7" s="2009" t="str">
        <f>ITEMICON(FS7)</f>
        <v>#NAME?</v>
      </c>
      <c r="FS7" s="2010" t="s">
        <v>3466</v>
      </c>
      <c r="FT7" s="967"/>
      <c r="FU7" s="1249"/>
      <c r="FV7" s="1092" t="s">
        <v>10336</v>
      </c>
      <c r="FW7" s="12"/>
      <c r="FX7" s="48"/>
      <c r="FY7" s="1987"/>
      <c r="FZ7" s="1230"/>
      <c r="GA7" s="2009" t="str">
        <f>ITEMICON(GB7)</f>
        <v>#NAME?</v>
      </c>
      <c r="GB7" s="2010" t="s">
        <v>3466</v>
      </c>
      <c r="GC7" s="967"/>
      <c r="GD7" s="1249"/>
      <c r="GE7" s="1092" t="s">
        <v>10336</v>
      </c>
      <c r="GF7" s="12"/>
      <c r="GG7" s="48"/>
      <c r="GH7" s="1985" t="s">
        <v>10344</v>
      </c>
      <c r="GI7" s="1230"/>
      <c r="GJ7" s="2009" t="str">
        <f>ITEMICON(GK7)</f>
        <v>#NAME?</v>
      </c>
      <c r="GK7" s="2010" t="s">
        <v>3466</v>
      </c>
      <c r="GL7" s="967"/>
      <c r="GM7" s="1249"/>
      <c r="GN7" s="1092" t="s">
        <v>10336</v>
      </c>
      <c r="GO7" s="12"/>
      <c r="GP7" s="48"/>
      <c r="GQ7" s="1998"/>
      <c r="GR7" s="1230"/>
      <c r="GS7" s="1444"/>
      <c r="GT7" s="1092" t="str">
        <f>TYPEICON(GU7)</f>
        <v>#NAME?</v>
      </c>
      <c r="GU7" s="398" t="str">
        <f>MONTYPE(GT6)</f>
        <v>#NAME?</v>
      </c>
      <c r="GV7" s="48"/>
      <c r="GW7" s="1092" t="str">
        <f>TYPEICON(GX7)</f>
        <v>#NAME?</v>
      </c>
      <c r="GX7" s="398" t="str">
        <f>MONTYPE2(GT6)</f>
        <v>#NAME?</v>
      </c>
      <c r="GY7" s="48"/>
      <c r="GZ7" s="65"/>
      <c r="HA7" s="1444"/>
      <c r="HB7" s="1092" t="str">
        <f>TYPEICON(HC7)</f>
        <v>#NAME?</v>
      </c>
      <c r="HC7" s="398" t="str">
        <f>MONTYPE(HB6)</f>
        <v>#NAME?</v>
      </c>
      <c r="HD7" s="48"/>
      <c r="HE7" s="1092" t="str">
        <f>TYPEICON(HF7)</f>
        <v>#NAME?</v>
      </c>
      <c r="HF7" s="398" t="str">
        <f>MONTYPE2(HB6)</f>
        <v>#NAME?</v>
      </c>
      <c r="HG7" s="48"/>
      <c r="HH7" s="65"/>
      <c r="HI7" s="1444"/>
      <c r="HJ7" s="1092" t="str">
        <f>TYPEICON(HK7)</f>
        <v>#NAME?</v>
      </c>
      <c r="HK7" s="398" t="str">
        <f>MONTYPE(HJ6)</f>
        <v>#NAME?</v>
      </c>
      <c r="HL7" s="48"/>
      <c r="HM7" s="2012" t="str">
        <f>TYPEICON(HN7)</f>
        <v>#NAME?</v>
      </c>
      <c r="HN7" s="398" t="str">
        <f>MONTYPE2(HJ6)</f>
        <v>#NAME?</v>
      </c>
      <c r="HO7" s="48"/>
      <c r="HP7" s="65"/>
      <c r="HQ7" s="1444"/>
      <c r="HR7" s="1092" t="str">
        <f>TYPEICON(HS7)</f>
        <v>#NAME?</v>
      </c>
      <c r="HS7" s="398" t="str">
        <f>MONTYPE(HR6)</f>
        <v>#NAME?</v>
      </c>
      <c r="HT7" s="48"/>
      <c r="HU7" s="1092" t="str">
        <f>TYPEICON(HV7)</f>
        <v>#NAME?</v>
      </c>
      <c r="HV7" s="398" t="str">
        <f>MONTYPE2(HR6)</f>
        <v>#NAME?</v>
      </c>
      <c r="HW7" s="48"/>
      <c r="HX7" s="65"/>
      <c r="HY7" s="1444"/>
      <c r="HZ7" s="1092" t="str">
        <f>TYPEICON(IA7)</f>
        <v>#NAME?</v>
      </c>
      <c r="IA7" s="398" t="str">
        <f>MONTYPE(HZ6)</f>
        <v>#NAME?</v>
      </c>
      <c r="IB7" s="48"/>
      <c r="IC7" s="1092" t="str">
        <f>TYPEICON(ID7)</f>
        <v>#NAME?</v>
      </c>
      <c r="ID7" s="398" t="str">
        <f>MONTYPE2(HZ6)</f>
        <v>#NAME?</v>
      </c>
      <c r="IE7" s="48"/>
      <c r="IF7" s="65"/>
      <c r="IG7" s="1444"/>
      <c r="IH7" s="1092" t="str">
        <f>TYPEICON(II7)</f>
        <v>#NAME?</v>
      </c>
      <c r="II7" s="398" t="str">
        <f>MONTYPE(IH6)</f>
        <v>#NAME?</v>
      </c>
      <c r="IJ7" s="48"/>
      <c r="IK7" s="1092" t="str">
        <f>TYPEICON(IL7)</f>
        <v>#NAME?</v>
      </c>
      <c r="IL7" s="398" t="str">
        <f>MONTYPE2(IH6)</f>
        <v>#NAME?</v>
      </c>
      <c r="IM7" s="48"/>
      <c r="IN7" s="65"/>
      <c r="IO7" s="1444"/>
      <c r="IP7" s="1092" t="str">
        <f>TYPEICON(IQ7)</f>
        <v>#NAME?</v>
      </c>
      <c r="IQ7" s="398" t="str">
        <f>MONTYPE(IP6)</f>
        <v>#NAME?</v>
      </c>
      <c r="IR7" s="48"/>
      <c r="IS7" s="1092" t="str">
        <f>TYPEICON(IT7)</f>
        <v>#NAME?</v>
      </c>
      <c r="IT7" s="398" t="str">
        <f>MONTYPE2(IP6)</f>
        <v>#NAME?</v>
      </c>
      <c r="IU7" s="48"/>
      <c r="IV7" s="65"/>
      <c r="IW7" s="1444"/>
      <c r="IX7" s="1092" t="str">
        <f>TYPEICON(IY7)</f>
        <v>#NAME?</v>
      </c>
      <c r="IY7" s="398" t="str">
        <f>MONTYPE(IX6)</f>
        <v>#NAME?</v>
      </c>
      <c r="IZ7" s="48"/>
      <c r="JA7" s="1092" t="str">
        <f>TYPEICON(JB7)</f>
        <v>#NAME?</v>
      </c>
      <c r="JB7" s="398" t="str">
        <f>MONTYPE2(IX6)</f>
        <v>#NAME?</v>
      </c>
      <c r="JC7" s="48"/>
      <c r="JD7" s="1230"/>
    </row>
    <row r="8" ht="15.75" customHeight="1">
      <c r="A8" s="1238"/>
      <c r="B8" s="1155"/>
      <c r="K8" s="1154"/>
      <c r="L8" s="1230"/>
      <c r="M8" s="1962" t="str">
        <f>image("https://archives.bulbagarden.net/media/upload/6/67/133MS6.png", 3)</f>
        <v/>
      </c>
      <c r="N8" s="1963" t="s">
        <v>1368</v>
      </c>
      <c r="O8" s="12"/>
      <c r="P8" s="12"/>
      <c r="Q8" s="12"/>
      <c r="R8" s="12"/>
      <c r="S8" s="12"/>
      <c r="T8" s="48"/>
      <c r="U8" s="1230"/>
      <c r="V8" s="1911" t="s">
        <v>10345</v>
      </c>
      <c r="W8" s="138"/>
      <c r="X8" s="138"/>
      <c r="Y8" s="128"/>
      <c r="Z8" s="1230"/>
      <c r="AA8" s="949" t="str">
        <f>MONHP(AB4)</f>
        <v>#NAME?</v>
      </c>
      <c r="AB8" s="950" t="str">
        <f>MONATK(AB4)</f>
        <v>#NAME?</v>
      </c>
      <c r="AC8" s="950" t="str">
        <f>MONDEF(AB4)</f>
        <v>#NAME?</v>
      </c>
      <c r="AD8" s="950" t="str">
        <f>MONSPA(AB4)</f>
        <v>#NAME?</v>
      </c>
      <c r="AE8" s="986" t="str">
        <f>MONSPD(AB4)</f>
        <v>#NAME?</v>
      </c>
      <c r="AF8" s="986" t="str">
        <f>MONSPE(AB4)</f>
        <v>#NAME?</v>
      </c>
      <c r="AG8" s="987" t="str">
        <f>MONBST(AB4)</f>
        <v>#NAME?</v>
      </c>
      <c r="AI8" s="1092" t="str">
        <f>MONHP(AJ4)</f>
        <v>#NAME?</v>
      </c>
      <c r="AJ8" s="986" t="str">
        <f>MONATK(AJ4)</f>
        <v>#NAME?</v>
      </c>
      <c r="AK8" s="986" t="str">
        <f>MONDEF(AJ4)</f>
        <v>#NAME?</v>
      </c>
      <c r="AL8" s="986" t="str">
        <f>MONSPA(AJ4)</f>
        <v>#NAME?</v>
      </c>
      <c r="AM8" s="986" t="str">
        <f>MONSPD(AJ4)</f>
        <v>#NAME?</v>
      </c>
      <c r="AN8" s="986" t="str">
        <f>MONSPE(AJ4)</f>
        <v>#NAME?</v>
      </c>
      <c r="AO8" s="987" t="str">
        <f>MONBST(AJ4)</f>
        <v>#NAME?</v>
      </c>
      <c r="AP8" s="1230"/>
      <c r="AQ8" s="1092" t="str">
        <f>MONHP(AR4)</f>
        <v>#NAME?</v>
      </c>
      <c r="AR8" s="986" t="str">
        <f>MONATK(AR4)</f>
        <v>#NAME?</v>
      </c>
      <c r="AS8" s="986" t="str">
        <f>MONDEF(AR4)</f>
        <v>#NAME?</v>
      </c>
      <c r="AT8" s="986" t="str">
        <f>MONSPA(AR4)</f>
        <v>#NAME?</v>
      </c>
      <c r="AU8" s="986" t="str">
        <f>MONSPD(AR4)</f>
        <v>#NAME?</v>
      </c>
      <c r="AV8" s="986" t="str">
        <f>MONSPE(AR4)</f>
        <v>#NAME?</v>
      </c>
      <c r="AW8" s="986" t="str">
        <f>MONBST(AR4)</f>
        <v>#NAME?</v>
      </c>
      <c r="AX8" s="2013" t="s">
        <v>10346</v>
      </c>
      <c r="AY8" s="1230"/>
      <c r="AZ8" s="10" t="s">
        <v>4395</v>
      </c>
      <c r="BA8" s="1049" t="str">
        <f>MONABILITY(BA2)</f>
        <v>#NAME?</v>
      </c>
      <c r="BB8" s="1026"/>
      <c r="BC8" s="1026"/>
      <c r="BD8" s="2014" t="str">
        <f>MONABILITY2(BA2)</f>
        <v>#NAME?</v>
      </c>
      <c r="BF8" s="2015"/>
      <c r="BG8" s="1985" t="s">
        <v>10347</v>
      </c>
      <c r="BH8" s="1230"/>
      <c r="BI8" s="10" t="s">
        <v>4395</v>
      </c>
      <c r="BJ8" s="1049" t="str">
        <f>MONABILITY(BJ2)</f>
        <v>#NAME?</v>
      </c>
      <c r="BK8" s="1026"/>
      <c r="BL8" s="1026"/>
      <c r="BM8" s="2014" t="str">
        <f>MONABILITY2(BJ2)</f>
        <v>#NAME?</v>
      </c>
      <c r="BO8" s="2015"/>
      <c r="BP8" s="2016" t="s">
        <v>10348</v>
      </c>
      <c r="BQ8" s="1230"/>
      <c r="BR8" s="10" t="s">
        <v>4395</v>
      </c>
      <c r="BS8" s="1049" t="str">
        <f>MONABILITY(BS2)</f>
        <v>#NAME?</v>
      </c>
      <c r="BT8" s="1026"/>
      <c r="BU8" s="1026"/>
      <c r="BV8" s="2014" t="str">
        <f>MONABILITY2(BS2)</f>
        <v>#NAME?</v>
      </c>
      <c r="BX8" s="2015"/>
      <c r="BY8" s="1984" t="s">
        <v>10349</v>
      </c>
      <c r="BZ8" s="1230"/>
      <c r="CA8" s="10" t="s">
        <v>4395</v>
      </c>
      <c r="CB8" s="1049" t="str">
        <f>MONABILITY(CB2)</f>
        <v>#NAME?</v>
      </c>
      <c r="CC8" s="1026"/>
      <c r="CD8" s="1026"/>
      <c r="CE8" s="2014" t="str">
        <f>MONABILITY2(CB2)</f>
        <v>#NAME?</v>
      </c>
      <c r="CG8" s="2015"/>
      <c r="CH8" s="1998"/>
      <c r="CI8" s="1230"/>
      <c r="CJ8" s="2006" t="s">
        <v>4416</v>
      </c>
      <c r="CK8" s="2007" t="s">
        <v>4417</v>
      </c>
      <c r="CL8" s="2007" t="s">
        <v>3748</v>
      </c>
      <c r="CM8" s="2007" t="s">
        <v>4418</v>
      </c>
      <c r="CN8" s="1120" t="s">
        <v>4419</v>
      </c>
      <c r="CO8" s="1120" t="s">
        <v>4420</v>
      </c>
      <c r="CP8" s="1118" t="s">
        <v>4421</v>
      </c>
      <c r="CQ8" s="1230"/>
      <c r="CR8" s="2006" t="s">
        <v>4416</v>
      </c>
      <c r="CS8" s="2007" t="s">
        <v>4417</v>
      </c>
      <c r="CT8" s="2007" t="s">
        <v>3748</v>
      </c>
      <c r="CU8" s="2007" t="s">
        <v>4418</v>
      </c>
      <c r="CV8" s="1120" t="s">
        <v>4419</v>
      </c>
      <c r="CW8" s="1120" t="s">
        <v>4420</v>
      </c>
      <c r="CX8" s="1118" t="s">
        <v>4421</v>
      </c>
      <c r="CY8" s="1230"/>
      <c r="CZ8" s="2006" t="s">
        <v>4416</v>
      </c>
      <c r="DA8" s="2007" t="s">
        <v>4417</v>
      </c>
      <c r="DB8" s="2007" t="s">
        <v>3748</v>
      </c>
      <c r="DC8" s="2007" t="s">
        <v>4418</v>
      </c>
      <c r="DD8" s="1120" t="s">
        <v>4419</v>
      </c>
      <c r="DE8" s="1120" t="s">
        <v>4420</v>
      </c>
      <c r="DF8" s="1118" t="s">
        <v>4421</v>
      </c>
      <c r="DG8" s="1230"/>
      <c r="DH8" s="2006" t="s">
        <v>4416</v>
      </c>
      <c r="DI8" s="2007" t="s">
        <v>4417</v>
      </c>
      <c r="DJ8" s="2007" t="s">
        <v>3748</v>
      </c>
      <c r="DK8" s="2007" t="s">
        <v>4418</v>
      </c>
      <c r="DL8" s="1120" t="s">
        <v>4419</v>
      </c>
      <c r="DM8" s="1120" t="s">
        <v>4420</v>
      </c>
      <c r="DN8" s="1118" t="s">
        <v>4421</v>
      </c>
      <c r="DO8" s="1230"/>
      <c r="DP8" s="10" t="s">
        <v>4395</v>
      </c>
      <c r="DQ8" s="1049" t="str">
        <f>MONABILITY(DQ2)</f>
        <v>#NAME?</v>
      </c>
      <c r="DR8" s="1026"/>
      <c r="DS8" s="1026"/>
      <c r="DT8" s="2014" t="str">
        <f>MONABILITY2(DQ2)</f>
        <v>#NAME?</v>
      </c>
      <c r="DV8" s="2015"/>
      <c r="DW8" s="1985" t="s">
        <v>10350</v>
      </c>
      <c r="DX8" s="1230"/>
      <c r="DY8" s="10" t="s">
        <v>4395</v>
      </c>
      <c r="DZ8" s="1049" t="str">
        <f>MONABILITY(DZ2)</f>
        <v>#NAME?</v>
      </c>
      <c r="EA8" s="1026"/>
      <c r="EB8" s="1026"/>
      <c r="EC8" s="2014" t="str">
        <f>MONABILITY2(DZ2)</f>
        <v>#NAME?</v>
      </c>
      <c r="EE8" s="2015"/>
      <c r="EF8" s="1992" t="s">
        <v>10351</v>
      </c>
      <c r="EG8" s="1230"/>
      <c r="EH8" s="10" t="s">
        <v>4395</v>
      </c>
      <c r="EI8" s="1049" t="str">
        <f>MONABILITY(EI2)</f>
        <v>#NAME?</v>
      </c>
      <c r="EJ8" s="1026"/>
      <c r="EK8" s="1026"/>
      <c r="EL8" s="2014" t="str">
        <f>MONABILITY2(EI2)</f>
        <v>#NAME?</v>
      </c>
      <c r="EN8" s="2015"/>
      <c r="EO8" s="1987"/>
      <c r="EP8" s="1230"/>
      <c r="EQ8" s="10" t="s">
        <v>4395</v>
      </c>
      <c r="ER8" s="1049" t="str">
        <f>MONABILITY(ER2)</f>
        <v>#NAME?</v>
      </c>
      <c r="ES8" s="1026"/>
      <c r="ET8" s="1026"/>
      <c r="EU8" s="2014" t="str">
        <f>MONABILITY2(ER2)</f>
        <v>#NAME?</v>
      </c>
      <c r="EW8" s="2015"/>
      <c r="EX8" s="1998"/>
      <c r="EY8" s="1230"/>
      <c r="EZ8" s="10" t="s">
        <v>4395</v>
      </c>
      <c r="FA8" s="1049" t="str">
        <f>MONABILITY(FA2)</f>
        <v>#NAME?</v>
      </c>
      <c r="FB8" s="1026"/>
      <c r="FC8" s="1026"/>
      <c r="FD8" s="2014" t="str">
        <f>MONABILITY2(FA2)</f>
        <v>#NAME?</v>
      </c>
      <c r="FF8" s="2015"/>
      <c r="FG8" s="1992" t="s">
        <v>10352</v>
      </c>
      <c r="FH8" s="1230"/>
      <c r="FI8" s="10" t="s">
        <v>4395</v>
      </c>
      <c r="FJ8" s="1049" t="str">
        <f>MONABILITY(FJ2)</f>
        <v>#NAME?</v>
      </c>
      <c r="FK8" s="1026"/>
      <c r="FL8" s="1026"/>
      <c r="FM8" s="2014" t="str">
        <f>MONABILITY2(FJ2)</f>
        <v>#NAME?</v>
      </c>
      <c r="FO8" s="2015"/>
      <c r="FP8" s="1985" t="s">
        <v>10353</v>
      </c>
      <c r="FQ8" s="1230"/>
      <c r="FR8" s="10" t="s">
        <v>4395</v>
      </c>
      <c r="FS8" s="1049" t="str">
        <f>MONABILITY(FS2)</f>
        <v>#NAME?</v>
      </c>
      <c r="FT8" s="1026"/>
      <c r="FU8" s="1026"/>
      <c r="FV8" s="2014" t="str">
        <f>MONABILITY2(FS2)</f>
        <v>#NAME?</v>
      </c>
      <c r="FX8" s="2015"/>
      <c r="FY8" s="1995" t="s">
        <v>10354</v>
      </c>
      <c r="FZ8" s="1230"/>
      <c r="GA8" s="10" t="s">
        <v>4395</v>
      </c>
      <c r="GB8" s="1049" t="str">
        <f>MONABILITY(GB2)</f>
        <v>#NAME?</v>
      </c>
      <c r="GC8" s="1026"/>
      <c r="GD8" s="1026"/>
      <c r="GE8" s="2014" t="str">
        <f>MONABILITY2(GB2)</f>
        <v>#NAME?</v>
      </c>
      <c r="GG8" s="2015"/>
      <c r="GH8" s="1988"/>
      <c r="GI8" s="1230"/>
      <c r="GJ8" s="10" t="s">
        <v>4395</v>
      </c>
      <c r="GK8" s="1049" t="str">
        <f>MONABILITY(GK2)</f>
        <v>#NAME?</v>
      </c>
      <c r="GL8" s="1026"/>
      <c r="GM8" s="1026"/>
      <c r="GN8" s="2014" t="str">
        <f>MONABILITY2(GK2)</f>
        <v>#NAME?</v>
      </c>
      <c r="GP8" s="2015"/>
      <c r="GQ8" s="1992" t="s">
        <v>10355</v>
      </c>
      <c r="GR8" s="1230"/>
      <c r="GS8" s="2006" t="s">
        <v>4416</v>
      </c>
      <c r="GT8" s="2007" t="s">
        <v>4417</v>
      </c>
      <c r="GU8" s="2007" t="s">
        <v>3748</v>
      </c>
      <c r="GV8" s="2007" t="s">
        <v>4418</v>
      </c>
      <c r="GW8" s="1120" t="s">
        <v>4419</v>
      </c>
      <c r="GX8" s="1120" t="s">
        <v>4420</v>
      </c>
      <c r="GY8" s="1118" t="s">
        <v>4421</v>
      </c>
      <c r="GZ8" s="65"/>
      <c r="HA8" s="2006" t="s">
        <v>4416</v>
      </c>
      <c r="HB8" s="2007" t="s">
        <v>4417</v>
      </c>
      <c r="HC8" s="2007" t="s">
        <v>3748</v>
      </c>
      <c r="HD8" s="2007" t="s">
        <v>4418</v>
      </c>
      <c r="HE8" s="1120" t="s">
        <v>4419</v>
      </c>
      <c r="HF8" s="1120" t="s">
        <v>4420</v>
      </c>
      <c r="HG8" s="1118" t="s">
        <v>4421</v>
      </c>
      <c r="HH8" s="65"/>
      <c r="HI8" s="2006" t="s">
        <v>4416</v>
      </c>
      <c r="HJ8" s="2007" t="s">
        <v>4417</v>
      </c>
      <c r="HK8" s="2007" t="s">
        <v>3748</v>
      </c>
      <c r="HL8" s="2007" t="s">
        <v>4418</v>
      </c>
      <c r="HM8" s="1120" t="s">
        <v>4419</v>
      </c>
      <c r="HN8" s="1120" t="s">
        <v>4420</v>
      </c>
      <c r="HO8" s="1118" t="s">
        <v>4421</v>
      </c>
      <c r="HP8" s="65"/>
      <c r="HQ8" s="2006" t="s">
        <v>4416</v>
      </c>
      <c r="HR8" s="2007" t="s">
        <v>4417</v>
      </c>
      <c r="HS8" s="2007" t="s">
        <v>3748</v>
      </c>
      <c r="HT8" s="2007" t="s">
        <v>4418</v>
      </c>
      <c r="HU8" s="1120" t="s">
        <v>4419</v>
      </c>
      <c r="HV8" s="1120" t="s">
        <v>4420</v>
      </c>
      <c r="HW8" s="1118" t="s">
        <v>4421</v>
      </c>
      <c r="HX8" s="65"/>
      <c r="HY8" s="2006" t="s">
        <v>4416</v>
      </c>
      <c r="HZ8" s="2007" t="s">
        <v>4417</v>
      </c>
      <c r="IA8" s="2007" t="s">
        <v>3748</v>
      </c>
      <c r="IB8" s="2007" t="s">
        <v>4418</v>
      </c>
      <c r="IC8" s="1120" t="s">
        <v>4419</v>
      </c>
      <c r="ID8" s="1120" t="s">
        <v>4420</v>
      </c>
      <c r="IE8" s="1118" t="s">
        <v>4421</v>
      </c>
      <c r="IF8" s="65"/>
      <c r="IG8" s="2006" t="s">
        <v>4416</v>
      </c>
      <c r="IH8" s="2007" t="s">
        <v>4417</v>
      </c>
      <c r="II8" s="2007" t="s">
        <v>3748</v>
      </c>
      <c r="IJ8" s="2007" t="s">
        <v>4418</v>
      </c>
      <c r="IK8" s="1120" t="s">
        <v>4419</v>
      </c>
      <c r="IL8" s="1120" t="s">
        <v>4420</v>
      </c>
      <c r="IM8" s="1118" t="s">
        <v>4421</v>
      </c>
      <c r="IN8" s="65"/>
      <c r="IO8" s="2006" t="s">
        <v>4416</v>
      </c>
      <c r="IP8" s="2007" t="s">
        <v>4417</v>
      </c>
      <c r="IQ8" s="2007" t="s">
        <v>3748</v>
      </c>
      <c r="IR8" s="2007" t="s">
        <v>4418</v>
      </c>
      <c r="IS8" s="1120" t="s">
        <v>4419</v>
      </c>
      <c r="IT8" s="1120" t="s">
        <v>4420</v>
      </c>
      <c r="IU8" s="1118" t="s">
        <v>4421</v>
      </c>
      <c r="IV8" s="65"/>
      <c r="IW8" s="2006" t="s">
        <v>4416</v>
      </c>
      <c r="IX8" s="2007" t="s">
        <v>4417</v>
      </c>
      <c r="IY8" s="2007" t="s">
        <v>3748</v>
      </c>
      <c r="IZ8" s="2007" t="s">
        <v>4418</v>
      </c>
      <c r="JA8" s="1120" t="s">
        <v>4419</v>
      </c>
      <c r="JB8" s="1120" t="s">
        <v>4420</v>
      </c>
      <c r="JC8" s="1118" t="s">
        <v>4421</v>
      </c>
      <c r="JD8" s="1230"/>
    </row>
    <row r="9" ht="15.75" customHeight="1">
      <c r="A9" s="1238"/>
      <c r="B9" s="997"/>
      <c r="C9" s="1026"/>
      <c r="D9" s="1026"/>
      <c r="E9" s="1026"/>
      <c r="F9" s="1026"/>
      <c r="G9" s="1026"/>
      <c r="H9" s="1026"/>
      <c r="I9" s="1026"/>
      <c r="J9" s="1026"/>
      <c r="K9" s="998"/>
      <c r="L9" s="1230"/>
      <c r="M9" s="1974" t="s">
        <v>10356</v>
      </c>
      <c r="N9" s="482"/>
      <c r="O9" s="482"/>
      <c r="P9" s="482"/>
      <c r="Q9" s="482"/>
      <c r="R9" s="482"/>
      <c r="S9" s="482"/>
      <c r="T9" s="267"/>
      <c r="U9" s="1230"/>
      <c r="V9" s="1947" t="s">
        <v>10357</v>
      </c>
      <c r="W9" s="138"/>
      <c r="X9" s="138"/>
      <c r="Y9" s="128"/>
      <c r="Z9" s="1230"/>
      <c r="AA9" s="2009" t="str">
        <f>ITEMICON(AB9)</f>
        <v>#NAME?</v>
      </c>
      <c r="AB9" s="2017" t="s">
        <v>3466</v>
      </c>
      <c r="AC9" s="12"/>
      <c r="AD9" s="962"/>
      <c r="AE9" s="1092" t="s">
        <v>10339</v>
      </c>
      <c r="AF9" s="12"/>
      <c r="AG9" s="48"/>
      <c r="AI9" s="2009" t="str">
        <f>ITEMICON(AJ9)</f>
        <v>#NAME?</v>
      </c>
      <c r="AJ9" s="2018" t="s">
        <v>296</v>
      </c>
      <c r="AK9" s="967"/>
      <c r="AL9" s="1249"/>
      <c r="AM9" s="1092" t="s">
        <v>10358</v>
      </c>
      <c r="AN9" s="12"/>
      <c r="AO9" s="48"/>
      <c r="AP9" s="1230"/>
      <c r="AQ9" s="2009" t="str">
        <f>ITEMICON(AR9)</f>
        <v>#NAME?</v>
      </c>
      <c r="AR9" s="2010" t="s">
        <v>3466</v>
      </c>
      <c r="AS9" s="967"/>
      <c r="AT9" s="1249"/>
      <c r="AU9" s="1092" t="s">
        <v>10336</v>
      </c>
      <c r="AV9" s="12"/>
      <c r="AW9" s="48"/>
      <c r="AX9" s="2019" t="s">
        <v>10359</v>
      </c>
      <c r="AY9" s="1230"/>
      <c r="AZ9" s="983" t="s">
        <v>1981</v>
      </c>
      <c r="BA9" s="984"/>
      <c r="BB9" s="984"/>
      <c r="BC9" s="2020" t="str">
        <f t="shared" ref="BC9:BC12" si="1">MOVEICON(AZ9)</f>
        <v>#NAME?</v>
      </c>
      <c r="BD9" s="979" t="str">
        <f t="shared" ref="BD9:BD12" si="2">MOVEBP(AZ9)</f>
        <v>#NAME?</v>
      </c>
      <c r="BE9" s="2021" t="str">
        <f t="shared" ref="BE9:BE12" si="3">MOVEACC(AZ9)</f>
        <v>#NAME?</v>
      </c>
      <c r="BF9" s="979" t="str">
        <f t="shared" ref="BF9:BF12" si="4">MOVEPP(AZ9)</f>
        <v>#NAME?</v>
      </c>
      <c r="BG9" s="1988"/>
      <c r="BH9" s="1230"/>
      <c r="BI9" s="983" t="s">
        <v>1981</v>
      </c>
      <c r="BJ9" s="984"/>
      <c r="BK9" s="984"/>
      <c r="BL9" s="2020" t="str">
        <f t="shared" ref="BL9:BL12" si="5">MOVEICON(BI9)</f>
        <v>#NAME?</v>
      </c>
      <c r="BM9" s="979" t="str">
        <f t="shared" ref="BM9:BM12" si="6">MOVEBP(BI9)</f>
        <v>#NAME?</v>
      </c>
      <c r="BN9" s="2021" t="str">
        <f t="shared" ref="BN9:BN12" si="7">MOVEACC(BI9)</f>
        <v>#NAME?</v>
      </c>
      <c r="BO9" s="979" t="str">
        <f t="shared" ref="BO9:BO12" si="8">MOVEPP(BI9)</f>
        <v>#NAME?</v>
      </c>
      <c r="BP9" s="1984"/>
      <c r="BQ9" s="1230"/>
      <c r="BR9" s="983" t="s">
        <v>1606</v>
      </c>
      <c r="BS9" s="984"/>
      <c r="BT9" s="984"/>
      <c r="BU9" s="2020" t="str">
        <f t="shared" ref="BU9:BU12" si="9">MOVEICON(BR9)</f>
        <v>#NAME?</v>
      </c>
      <c r="BV9" s="979" t="str">
        <f t="shared" ref="BV9:BV12" si="10">MOVEBP(BR9)</f>
        <v>#NAME?</v>
      </c>
      <c r="BW9" s="2021" t="str">
        <f t="shared" ref="BW9:BW12" si="11">MOVEACC(BR9)</f>
        <v>#NAME?</v>
      </c>
      <c r="BX9" s="979" t="str">
        <f t="shared" ref="BX9:BX12" si="12">MOVEPP(BR9)</f>
        <v>#NAME?</v>
      </c>
      <c r="BY9" s="2016" t="s">
        <v>10360</v>
      </c>
      <c r="BZ9" s="1230"/>
      <c r="CA9" s="983" t="s">
        <v>3675</v>
      </c>
      <c r="CB9" s="984"/>
      <c r="CC9" s="984"/>
      <c r="CD9" s="2020" t="str">
        <f t="shared" ref="CD9:CD12" si="13">MOVEICON(CA9)</f>
        <v>#NAME?</v>
      </c>
      <c r="CE9" s="979" t="str">
        <f t="shared" ref="CE9:CE12" si="14">MOVEBP(CA9)</f>
        <v>#NAME?</v>
      </c>
      <c r="CF9" s="2021" t="str">
        <f t="shared" ref="CF9:CF12" si="15">MOVEACC(CA9)</f>
        <v>#NAME?</v>
      </c>
      <c r="CG9" s="2022" t="str">
        <f t="shared" ref="CG9:CG12" si="16">MOVEPP(CA9)</f>
        <v>#NAME?</v>
      </c>
      <c r="CH9" s="1992" t="s">
        <v>10361</v>
      </c>
      <c r="CI9" s="1230"/>
      <c r="CJ9" s="1092" t="str">
        <f>MONHP(CK6)</f>
        <v>#NAME?</v>
      </c>
      <c r="CK9" s="986" t="str">
        <f>MONATK(CK6)</f>
        <v>#NAME?</v>
      </c>
      <c r="CL9" s="986" t="str">
        <f>MONDEF(CK6)</f>
        <v>#NAME?</v>
      </c>
      <c r="CM9" s="986" t="str">
        <f>MONSPA(CK6)</f>
        <v>#NAME?</v>
      </c>
      <c r="CN9" s="986" t="str">
        <f>MONSPD(CK6)</f>
        <v>#NAME?</v>
      </c>
      <c r="CO9" s="2023" t="str">
        <f>MONSPE(CK6)</f>
        <v>#NAME?</v>
      </c>
      <c r="CP9" s="2024" t="str">
        <f>MONBST(CK6)</f>
        <v>#NAME?</v>
      </c>
      <c r="CQ9" s="1230"/>
      <c r="CR9" s="1092" t="str">
        <f>MONHP(CS6)</f>
        <v>#NAME?</v>
      </c>
      <c r="CS9" s="986" t="str">
        <f>MONATK(CS6)</f>
        <v>#NAME?</v>
      </c>
      <c r="CT9" s="986" t="str">
        <f>MONDEF(CS6)</f>
        <v>#NAME?</v>
      </c>
      <c r="CU9" s="986" t="str">
        <f>MONSPA(CS6)</f>
        <v>#NAME?</v>
      </c>
      <c r="CV9" s="986" t="str">
        <f>MONSPD(CS6)</f>
        <v>#NAME?</v>
      </c>
      <c r="CW9" s="986" t="str">
        <f>MONSPE(CS6)</f>
        <v>#NAME?</v>
      </c>
      <c r="CX9" s="987" t="str">
        <f>MONBST(CS6)</f>
        <v>#NAME?</v>
      </c>
      <c r="CY9" s="1230"/>
      <c r="CZ9" s="1092" t="str">
        <f>MONHP(DA6)</f>
        <v>#NAME?</v>
      </c>
      <c r="DA9" s="986" t="str">
        <f>MONATK(DA6)</f>
        <v>#NAME?</v>
      </c>
      <c r="DB9" s="986" t="str">
        <f>MONDEF(DA6)</f>
        <v>#NAME?</v>
      </c>
      <c r="DC9" s="986" t="str">
        <f>MONSPA(DA6)</f>
        <v>#NAME?</v>
      </c>
      <c r="DD9" s="986" t="str">
        <f>MONSPD(DA6)</f>
        <v>#NAME?</v>
      </c>
      <c r="DE9" s="986" t="str">
        <f>MONSPE(DA6)</f>
        <v>#NAME?</v>
      </c>
      <c r="DF9" s="987" t="str">
        <f>MONBST(DA6)</f>
        <v>#NAME?</v>
      </c>
      <c r="DG9" s="1230"/>
      <c r="DH9" s="1092" t="str">
        <f>MONHP(DI6)</f>
        <v>#NAME?</v>
      </c>
      <c r="DI9" s="986" t="str">
        <f>MONATK(DI6)</f>
        <v>#NAME?</v>
      </c>
      <c r="DJ9" s="986" t="str">
        <f>MONDEF(DI6)</f>
        <v>#NAME?</v>
      </c>
      <c r="DK9" s="986" t="str">
        <f>MONSPA(DI6)</f>
        <v>#NAME?</v>
      </c>
      <c r="DL9" s="986" t="str">
        <f>MONSPD(DI6)</f>
        <v>#NAME?</v>
      </c>
      <c r="DM9" s="986" t="str">
        <f>MONSPE(DI6)</f>
        <v>#NAME?</v>
      </c>
      <c r="DN9" s="987" t="str">
        <f>MONBST(DI6)</f>
        <v>#NAME?</v>
      </c>
      <c r="DO9" s="1230"/>
      <c r="DP9" s="983" t="s">
        <v>2308</v>
      </c>
      <c r="DQ9" s="984"/>
      <c r="DR9" s="984"/>
      <c r="DS9" s="2020" t="str">
        <f t="shared" ref="DS9:DS12" si="17">MOVEICON(DP9)</f>
        <v>#NAME?</v>
      </c>
      <c r="DT9" s="979" t="str">
        <f t="shared" ref="DT9:DT12" si="18">MOVEBP(DP9)</f>
        <v>#NAME?</v>
      </c>
      <c r="DU9" s="2021" t="str">
        <f t="shared" ref="DU9:DU12" si="19">MOVEACC(DP9)</f>
        <v>#NAME?</v>
      </c>
      <c r="DV9" s="979" t="str">
        <f t="shared" ref="DV9:DV12" si="20">MOVEPP(DP9)</f>
        <v>#NAME?</v>
      </c>
      <c r="DW9" s="1988"/>
      <c r="DX9" s="1230"/>
      <c r="DY9" s="983" t="s">
        <v>1053</v>
      </c>
      <c r="DZ9" s="984"/>
      <c r="EA9" s="984"/>
      <c r="EB9" s="2020" t="str">
        <f t="shared" ref="EB9:EB12" si="21">MOVEICON(DY9)</f>
        <v>#NAME?</v>
      </c>
      <c r="EC9" s="979" t="str">
        <f t="shared" ref="EC9:EC12" si="22">MOVEBP(DY9)</f>
        <v>#NAME?</v>
      </c>
      <c r="ED9" s="2021" t="str">
        <f t="shared" ref="ED9:ED12" si="23">MOVEACC(DY9)</f>
        <v>#NAME?</v>
      </c>
      <c r="EE9" s="979" t="str">
        <f t="shared" ref="EE9:EE12" si="24">MOVEPP(DY9)</f>
        <v>#NAME?</v>
      </c>
      <c r="EF9" s="1988"/>
      <c r="EG9" s="1230"/>
      <c r="EH9" s="983" t="s">
        <v>2813</v>
      </c>
      <c r="EI9" s="984"/>
      <c r="EJ9" s="984"/>
      <c r="EK9" s="2020" t="str">
        <f t="shared" ref="EK9:EK12" si="25">MOVEICON(EH9)</f>
        <v>#NAME?</v>
      </c>
      <c r="EL9" s="979" t="str">
        <f t="shared" ref="EL9:EL12" si="26">MOVEBP(EH9)</f>
        <v>#NAME?</v>
      </c>
      <c r="EM9" s="2021" t="str">
        <f t="shared" ref="EM9:EM12" si="27">MOVEACC(EH9)</f>
        <v>#NAME?</v>
      </c>
      <c r="EN9" s="979" t="str">
        <f t="shared" ref="EN9:EN12" si="28">MOVEPP(EH9)</f>
        <v>#NAME?</v>
      </c>
      <c r="EO9" s="1987"/>
      <c r="EP9" s="1230"/>
      <c r="EQ9" s="983" t="s">
        <v>2104</v>
      </c>
      <c r="ER9" s="984"/>
      <c r="ES9" s="984"/>
      <c r="ET9" s="2020" t="str">
        <f t="shared" ref="ET9:ET12" si="29">MOVEICON(EQ9)</f>
        <v>#NAME?</v>
      </c>
      <c r="EU9" s="979" t="str">
        <f t="shared" ref="EU9:EU12" si="30">MOVEBP(EQ9)</f>
        <v>#NAME?</v>
      </c>
      <c r="EV9" s="2021" t="str">
        <f t="shared" ref="EV9:EV12" si="31">MOVEACC(EQ9)</f>
        <v>#NAME?</v>
      </c>
      <c r="EW9" s="979" t="str">
        <f t="shared" ref="EW9:EW12" si="32">MOVEPP(EQ9)</f>
        <v>#NAME?</v>
      </c>
      <c r="EX9" s="1992" t="s">
        <v>10362</v>
      </c>
      <c r="EY9" s="1230"/>
      <c r="EZ9" s="983" t="s">
        <v>2541</v>
      </c>
      <c r="FA9" s="984"/>
      <c r="FB9" s="984"/>
      <c r="FC9" s="2020" t="str">
        <f t="shared" ref="FC9:FC12" si="33">MOVEICON(EZ9)</f>
        <v>#NAME?</v>
      </c>
      <c r="FD9" s="979" t="str">
        <f t="shared" ref="FD9:FD12" si="34">MOVEBP(EZ9)</f>
        <v>#NAME?</v>
      </c>
      <c r="FE9" s="2021" t="str">
        <f t="shared" ref="FE9:FE12" si="35">MOVEACC(EZ9)</f>
        <v>#NAME?</v>
      </c>
      <c r="FF9" s="979" t="str">
        <f t="shared" ref="FF9:FF12" si="36">MOVEPP(EZ9)</f>
        <v>#NAME?</v>
      </c>
      <c r="FG9" s="1984"/>
      <c r="FH9" s="1230"/>
      <c r="FI9" s="983" t="s">
        <v>2572</v>
      </c>
      <c r="FJ9" s="984"/>
      <c r="FK9" s="984"/>
      <c r="FL9" s="2020" t="str">
        <f t="shared" ref="FL9:FL12" si="37">MOVEICON(FI9)</f>
        <v>#NAME?</v>
      </c>
      <c r="FM9" s="979" t="str">
        <f t="shared" ref="FM9:FM12" si="38">MOVEBP(FI9)</f>
        <v>#NAME?</v>
      </c>
      <c r="FN9" s="2021" t="str">
        <f t="shared" ref="FN9:FN12" si="39">MOVEACC(FI9)</f>
        <v>#NAME?</v>
      </c>
      <c r="FO9" s="979" t="str">
        <f t="shared" ref="FO9:FO12" si="40">MOVEPP(FI9)</f>
        <v>#NAME?</v>
      </c>
      <c r="FP9" s="1987"/>
      <c r="FQ9" s="1230"/>
      <c r="FR9" s="983" t="s">
        <v>2388</v>
      </c>
      <c r="FS9" s="984"/>
      <c r="FT9" s="984"/>
      <c r="FU9" s="2020" t="str">
        <f t="shared" ref="FU9:FU12" si="41">MOVEICON(FR9)</f>
        <v>#NAME?</v>
      </c>
      <c r="FV9" s="979" t="str">
        <f t="shared" ref="FV9:FV12" si="42">MOVEBP(FR9)</f>
        <v>#NAME?</v>
      </c>
      <c r="FW9" s="2021" t="str">
        <f t="shared" ref="FW9:FW12" si="43">MOVEACC(FR9)</f>
        <v>#NAME?</v>
      </c>
      <c r="FX9" s="979" t="str">
        <f t="shared" ref="FX9:FX12" si="44">MOVEPP(FR9)</f>
        <v>#NAME?</v>
      </c>
      <c r="FY9" s="1992" t="s">
        <v>10363</v>
      </c>
      <c r="FZ9" s="1230"/>
      <c r="GA9" s="983" t="s">
        <v>3530</v>
      </c>
      <c r="GB9" s="984"/>
      <c r="GC9" s="984"/>
      <c r="GD9" s="2020" t="str">
        <f t="shared" ref="GD9:GD12" si="45">MOVEICON(GA9)</f>
        <v>#NAME?</v>
      </c>
      <c r="GE9" s="979" t="str">
        <f t="shared" ref="GE9:GE12" si="46">MOVEBP(GA9)</f>
        <v>#NAME?</v>
      </c>
      <c r="GF9" s="2021" t="str">
        <f t="shared" ref="GF9:GF12" si="47">MOVEACC(GA9)</f>
        <v>#NAME?</v>
      </c>
      <c r="GG9" s="979" t="str">
        <f t="shared" ref="GG9:GG12" si="48">MOVEPP(GA9)</f>
        <v>#NAME?</v>
      </c>
      <c r="GH9" s="2016"/>
      <c r="GI9" s="1230"/>
      <c r="GJ9" s="983" t="s">
        <v>2338</v>
      </c>
      <c r="GK9" s="984"/>
      <c r="GL9" s="984"/>
      <c r="GM9" s="2020" t="str">
        <f t="shared" ref="GM9:GM12" si="49">MOVEICON(GJ9)</f>
        <v>#NAME?</v>
      </c>
      <c r="GN9" s="979" t="str">
        <f t="shared" ref="GN9:GN12" si="50">MOVEBP(GJ9)</f>
        <v>#NAME?</v>
      </c>
      <c r="GO9" s="2021" t="str">
        <f t="shared" ref="GO9:GO12" si="51">MOVEACC(GJ9)</f>
        <v>#NAME?</v>
      </c>
      <c r="GP9" s="979" t="str">
        <f t="shared" ref="GP9:GP12" si="52">MOVEPP(GJ9)</f>
        <v>#NAME?</v>
      </c>
      <c r="GQ9" s="1987"/>
      <c r="GR9" s="1230"/>
      <c r="GS9" s="1092" t="str">
        <f>MONHP(GT6)</f>
        <v>#NAME?</v>
      </c>
      <c r="GT9" s="986" t="str">
        <f>MONATK(GT6)</f>
        <v>#NAME?</v>
      </c>
      <c r="GU9" s="986" t="str">
        <f>MONDEF(GT6)</f>
        <v>#NAME?</v>
      </c>
      <c r="GV9" s="986" t="str">
        <f>MONSPA(GT6)</f>
        <v>#NAME?</v>
      </c>
      <c r="GW9" s="986" t="str">
        <f>MONSPD(GT6)</f>
        <v>#NAME?</v>
      </c>
      <c r="GX9" s="2023" t="str">
        <f>MONSPE(GT6)</f>
        <v>#NAME?</v>
      </c>
      <c r="GY9" s="2024" t="str">
        <f>MONBST(GT6)</f>
        <v>#NAME?</v>
      </c>
      <c r="GZ9" s="65"/>
      <c r="HA9" s="1092" t="str">
        <f>MONHP(HB6)</f>
        <v>#NAME?</v>
      </c>
      <c r="HB9" s="986" t="str">
        <f>MONATK(HB6)</f>
        <v>#NAME?</v>
      </c>
      <c r="HC9" s="986" t="str">
        <f>MONDEF(HB6)</f>
        <v>#NAME?</v>
      </c>
      <c r="HD9" s="986" t="str">
        <f>MONSPA(HB6)</f>
        <v>#NAME?</v>
      </c>
      <c r="HE9" s="986" t="str">
        <f>MONSPD(HB6)</f>
        <v>#NAME?</v>
      </c>
      <c r="HF9" s="986" t="str">
        <f>MONSPE(HB6)</f>
        <v>#NAME?</v>
      </c>
      <c r="HG9" s="987" t="str">
        <f>MONBST(HB6)</f>
        <v>#NAME?</v>
      </c>
      <c r="HH9" s="65"/>
      <c r="HI9" s="1092" t="str">
        <f>MONHP(HJ6)</f>
        <v>#NAME?</v>
      </c>
      <c r="HJ9" s="986" t="str">
        <f>MONATK(HJ6)</f>
        <v>#NAME?</v>
      </c>
      <c r="HK9" s="986" t="str">
        <f>MONDEF(HJ6)</f>
        <v>#NAME?</v>
      </c>
      <c r="HL9" s="986" t="str">
        <f>MONSPA(HJ6)</f>
        <v>#NAME?</v>
      </c>
      <c r="HM9" s="986" t="str">
        <f>MONSPD(HJ6)</f>
        <v>#NAME?</v>
      </c>
      <c r="HN9" s="986" t="str">
        <f>MONSPE(HJ6)</f>
        <v>#NAME?</v>
      </c>
      <c r="HO9" s="987" t="str">
        <f>MONBST(HJ6)</f>
        <v>#NAME?</v>
      </c>
      <c r="HP9" s="65"/>
      <c r="HQ9" s="1092" t="str">
        <f>MONHP(HR6)</f>
        <v>#NAME?</v>
      </c>
      <c r="HR9" s="986" t="str">
        <f>MONATK(HR6)</f>
        <v>#NAME?</v>
      </c>
      <c r="HS9" s="986" t="str">
        <f>MONDEF(HR6)</f>
        <v>#NAME?</v>
      </c>
      <c r="HT9" s="986" t="str">
        <f>MONSPA(HR6)</f>
        <v>#NAME?</v>
      </c>
      <c r="HU9" s="986" t="str">
        <f>MONSPD(HR6)</f>
        <v>#NAME?</v>
      </c>
      <c r="HV9" s="986" t="str">
        <f>MONSPE(HR6)</f>
        <v>#NAME?</v>
      </c>
      <c r="HW9" s="987" t="str">
        <f>MONBST(HR6)</f>
        <v>#NAME?</v>
      </c>
      <c r="HX9" s="65"/>
      <c r="HY9" s="1092" t="str">
        <f>MONHP(HZ6)</f>
        <v>#NAME?</v>
      </c>
      <c r="HZ9" s="986" t="str">
        <f>MONATK(HZ6)</f>
        <v>#NAME?</v>
      </c>
      <c r="IA9" s="986" t="str">
        <f>MONDEF(HZ6)</f>
        <v>#NAME?</v>
      </c>
      <c r="IB9" s="986" t="str">
        <f>MONSPA(HZ6)</f>
        <v>#NAME?</v>
      </c>
      <c r="IC9" s="986" t="str">
        <f>MONSPD(HZ6)</f>
        <v>#NAME?</v>
      </c>
      <c r="ID9" s="986" t="str">
        <f>MONSPE(HZ6)</f>
        <v>#NAME?</v>
      </c>
      <c r="IE9" s="987" t="str">
        <f>MONBST(HZ6)</f>
        <v>#NAME?</v>
      </c>
      <c r="IF9" s="65"/>
      <c r="IG9" s="1092" t="str">
        <f>MONHP(IH6)</f>
        <v>#NAME?</v>
      </c>
      <c r="IH9" s="986" t="str">
        <f>MONATK(IH6)</f>
        <v>#NAME?</v>
      </c>
      <c r="II9" s="986" t="str">
        <f>MONDEF(IH6)</f>
        <v>#NAME?</v>
      </c>
      <c r="IJ9" s="986" t="str">
        <f>MONSPA(IH6)</f>
        <v>#NAME?</v>
      </c>
      <c r="IK9" s="986" t="str">
        <f>MONSPD(IH6)</f>
        <v>#NAME?</v>
      </c>
      <c r="IL9" s="986" t="str">
        <f>MONSPE(IH6)</f>
        <v>#NAME?</v>
      </c>
      <c r="IM9" s="987" t="str">
        <f>MONBST(IH6)</f>
        <v>#NAME?</v>
      </c>
      <c r="IN9" s="65"/>
      <c r="IO9" s="1092" t="str">
        <f>MONHP(IP6)</f>
        <v>#NAME?</v>
      </c>
      <c r="IP9" s="986" t="str">
        <f>MONATK(IP6)</f>
        <v>#NAME?</v>
      </c>
      <c r="IQ9" s="986" t="str">
        <f>MONDEF(IP6)</f>
        <v>#NAME?</v>
      </c>
      <c r="IR9" s="986" t="str">
        <f>MONSPA(IP6)</f>
        <v>#NAME?</v>
      </c>
      <c r="IS9" s="986" t="str">
        <f>MONSPD(IP6)</f>
        <v>#NAME?</v>
      </c>
      <c r="IT9" s="986" t="str">
        <f>MONSPE(IP6)</f>
        <v>#NAME?</v>
      </c>
      <c r="IU9" s="987" t="str">
        <f>MONBST(IP6)</f>
        <v>#NAME?</v>
      </c>
      <c r="IV9" s="65"/>
      <c r="IW9" s="1092" t="str">
        <f>MONHP(IX6)</f>
        <v>#NAME?</v>
      </c>
      <c r="IX9" s="986" t="str">
        <f>MONATK(IX6)</f>
        <v>#NAME?</v>
      </c>
      <c r="IY9" s="986" t="str">
        <f>MONDEF(IX6)</f>
        <v>#NAME?</v>
      </c>
      <c r="IZ9" s="986" t="str">
        <f>MONSPA(IX6)</f>
        <v>#NAME?</v>
      </c>
      <c r="JA9" s="986" t="str">
        <f>MONSPD(IX6)</f>
        <v>#NAME?</v>
      </c>
      <c r="JB9" s="986" t="str">
        <f>MONSPE(IX6)</f>
        <v>#NAME?</v>
      </c>
      <c r="JC9" s="987" t="str">
        <f>MONBST(IX6)</f>
        <v>#NAME?</v>
      </c>
      <c r="JD9" s="1230"/>
    </row>
    <row r="10" ht="15.75" customHeight="1">
      <c r="A10" s="1238"/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1230"/>
      <c r="M10" s="1981" t="s">
        <v>10364</v>
      </c>
      <c r="N10" s="413"/>
      <c r="O10" s="413"/>
      <c r="P10" s="413"/>
      <c r="Q10" s="413"/>
      <c r="R10" s="413"/>
      <c r="S10" s="413"/>
      <c r="T10" s="414"/>
      <c r="U10" s="1230"/>
      <c r="V10" s="2025" t="s">
        <v>10365</v>
      </c>
      <c r="W10" s="1150"/>
      <c r="X10" s="1150"/>
      <c r="Y10" s="1151"/>
      <c r="Z10" s="1230"/>
      <c r="AA10" s="2026" t="s">
        <v>4395</v>
      </c>
      <c r="AB10" s="398" t="str">
        <f>MONABILITY(AB4)</f>
        <v>#NAME?</v>
      </c>
      <c r="AC10" s="12"/>
      <c r="AD10" s="64"/>
      <c r="AE10" s="442" t="str">
        <f>MONABILITY2(AB4)</f>
        <v>#NAME?</v>
      </c>
      <c r="AG10" s="1154"/>
      <c r="AI10" s="10" t="s">
        <v>4395</v>
      </c>
      <c r="AJ10" s="1049" t="str">
        <f>MONABILITY(AJ4)</f>
        <v>#NAME?</v>
      </c>
      <c r="AK10" s="1026"/>
      <c r="AL10" s="1026"/>
      <c r="AM10" s="2014" t="str">
        <f>MONABILITY2(AJ4)</f>
        <v>#NAME?</v>
      </c>
      <c r="AO10" s="1154"/>
      <c r="AP10" s="1230"/>
      <c r="AQ10" s="10" t="s">
        <v>4395</v>
      </c>
      <c r="AR10" s="1049" t="str">
        <f>MONABILITY(AR4)</f>
        <v>#NAME?</v>
      </c>
      <c r="AS10" s="1026"/>
      <c r="AT10" s="1026"/>
      <c r="AU10" s="2014" t="str">
        <f>MONABILITY2(AR4)</f>
        <v>#NAME?</v>
      </c>
      <c r="AW10" s="2015"/>
      <c r="AX10" s="2013" t="s">
        <v>10366</v>
      </c>
      <c r="AY10" s="1230"/>
      <c r="AZ10" s="2027" t="s">
        <v>3553</v>
      </c>
      <c r="BA10" s="138"/>
      <c r="BB10" s="138"/>
      <c r="BC10" s="2028" t="str">
        <f t="shared" si="1"/>
        <v>#NAME?</v>
      </c>
      <c r="BD10" s="1014" t="str">
        <f t="shared" si="2"/>
        <v>#NAME?</v>
      </c>
      <c r="BE10" s="2029" t="str">
        <f t="shared" si="3"/>
        <v>#NAME?</v>
      </c>
      <c r="BF10" s="1014" t="str">
        <f t="shared" si="4"/>
        <v>#NAME?</v>
      </c>
      <c r="BG10" s="1992" t="s">
        <v>10367</v>
      </c>
      <c r="BH10" s="1230"/>
      <c r="BI10" s="1096" t="s">
        <v>2717</v>
      </c>
      <c r="BJ10" s="138"/>
      <c r="BK10" s="138"/>
      <c r="BL10" s="2028" t="str">
        <f t="shared" si="5"/>
        <v>#NAME?</v>
      </c>
      <c r="BM10" s="1014" t="str">
        <f t="shared" si="6"/>
        <v>#NAME?</v>
      </c>
      <c r="BN10" s="2029" t="str">
        <f t="shared" si="7"/>
        <v>#NAME?</v>
      </c>
      <c r="BO10" s="1014" t="str">
        <f t="shared" si="8"/>
        <v>#NAME?</v>
      </c>
      <c r="BP10" s="2013"/>
      <c r="BQ10" s="1230"/>
      <c r="BR10" s="1096" t="s">
        <v>1946</v>
      </c>
      <c r="BS10" s="138"/>
      <c r="BT10" s="138"/>
      <c r="BU10" s="2028" t="str">
        <f t="shared" si="9"/>
        <v>#NAME?</v>
      </c>
      <c r="BV10" s="1014" t="str">
        <f t="shared" si="10"/>
        <v>#NAME?</v>
      </c>
      <c r="BW10" s="2029" t="str">
        <f t="shared" si="11"/>
        <v>#NAME?</v>
      </c>
      <c r="BX10" s="1014" t="str">
        <f t="shared" si="12"/>
        <v>#NAME?</v>
      </c>
      <c r="BY10" s="1985" t="s">
        <v>10368</v>
      </c>
      <c r="BZ10" s="1230"/>
      <c r="CA10" s="1096" t="s">
        <v>2236</v>
      </c>
      <c r="CB10" s="138"/>
      <c r="CC10" s="138"/>
      <c r="CD10" s="2028" t="str">
        <f t="shared" si="13"/>
        <v>#NAME?</v>
      </c>
      <c r="CE10" s="1014" t="str">
        <f t="shared" si="14"/>
        <v>#NAME?</v>
      </c>
      <c r="CF10" s="2029" t="str">
        <f t="shared" si="15"/>
        <v>#NAME?</v>
      </c>
      <c r="CG10" s="2030" t="str">
        <f t="shared" si="16"/>
        <v>#NAME?</v>
      </c>
      <c r="CH10" s="1987"/>
      <c r="CI10" s="1230"/>
      <c r="CJ10" s="2009" t="str">
        <f>ITEMICON(CK10)</f>
        <v>#NAME?</v>
      </c>
      <c r="CK10" s="2010" t="s">
        <v>3466</v>
      </c>
      <c r="CL10" s="967"/>
      <c r="CM10" s="1249"/>
      <c r="CN10" s="1092" t="str">
        <f>MONABILITY(CK6)</f>
        <v>#NAME?</v>
      </c>
      <c r="CO10" s="12"/>
      <c r="CP10" s="48"/>
      <c r="CQ10" s="1230"/>
      <c r="CR10" s="2009" t="str">
        <f>ITEMICON(CS10)</f>
        <v>#NAME?</v>
      </c>
      <c r="CS10" s="2010" t="s">
        <v>3466</v>
      </c>
      <c r="CT10" s="967"/>
      <c r="CU10" s="1249"/>
      <c r="CV10" s="1092" t="str">
        <f>MONABILITY(CS6)</f>
        <v>#NAME?</v>
      </c>
      <c r="CW10" s="12"/>
      <c r="CX10" s="48"/>
      <c r="CY10" s="1230"/>
      <c r="CZ10" s="2009" t="str">
        <f>ITEMICON(DA10)</f>
        <v>#NAME?</v>
      </c>
      <c r="DA10" s="2010" t="s">
        <v>3466</v>
      </c>
      <c r="DB10" s="967"/>
      <c r="DC10" s="1249"/>
      <c r="DD10" s="1092" t="str">
        <f>MONABILITY(DA6)</f>
        <v>#NAME?</v>
      </c>
      <c r="DE10" s="12"/>
      <c r="DF10" s="48"/>
      <c r="DG10" s="1230"/>
      <c r="DH10" s="2009" t="str">
        <f>ITEMICON(DI10)</f>
        <v>#NAME?</v>
      </c>
      <c r="DI10" s="2010" t="s">
        <v>3466</v>
      </c>
      <c r="DJ10" s="967"/>
      <c r="DK10" s="1249"/>
      <c r="DL10" s="1092" t="str">
        <f>MONABILITY(DI6)</f>
        <v>#NAME?</v>
      </c>
      <c r="DM10" s="12"/>
      <c r="DN10" s="48"/>
      <c r="DO10" s="1230"/>
      <c r="DP10" s="1096" t="s">
        <v>1745</v>
      </c>
      <c r="DQ10" s="138"/>
      <c r="DR10" s="138"/>
      <c r="DS10" s="2028" t="str">
        <f t="shared" si="17"/>
        <v>#NAME?</v>
      </c>
      <c r="DT10" s="1014" t="str">
        <f t="shared" si="18"/>
        <v>#NAME?</v>
      </c>
      <c r="DU10" s="2029" t="str">
        <f t="shared" si="19"/>
        <v>#NAME?</v>
      </c>
      <c r="DV10" s="1014" t="str">
        <f t="shared" si="20"/>
        <v>#NAME?</v>
      </c>
      <c r="DW10" s="1992" t="s">
        <v>10369</v>
      </c>
      <c r="DX10" s="1230"/>
      <c r="DY10" s="1096" t="s">
        <v>2121</v>
      </c>
      <c r="DZ10" s="138"/>
      <c r="EA10" s="138"/>
      <c r="EB10" s="2028" t="str">
        <f t="shared" si="21"/>
        <v>#NAME?</v>
      </c>
      <c r="EC10" s="1014" t="str">
        <f t="shared" si="22"/>
        <v>#NAME?</v>
      </c>
      <c r="ED10" s="2029" t="str">
        <f t="shared" si="23"/>
        <v>#NAME?</v>
      </c>
      <c r="EE10" s="1014" t="str">
        <f t="shared" si="24"/>
        <v>#NAME?</v>
      </c>
      <c r="EF10" s="1995" t="s">
        <v>10370</v>
      </c>
      <c r="EG10" s="1230"/>
      <c r="EH10" s="1096" t="s">
        <v>567</v>
      </c>
      <c r="EI10" s="138"/>
      <c r="EJ10" s="138"/>
      <c r="EK10" s="2028" t="str">
        <f t="shared" si="25"/>
        <v>#NAME?</v>
      </c>
      <c r="EL10" s="1014" t="str">
        <f t="shared" si="26"/>
        <v>#NAME?</v>
      </c>
      <c r="EM10" s="2029" t="str">
        <f t="shared" si="27"/>
        <v>#NAME?</v>
      </c>
      <c r="EN10" s="1014" t="str">
        <f t="shared" si="28"/>
        <v>#NAME?</v>
      </c>
      <c r="EO10" s="1985" t="s">
        <v>10371</v>
      </c>
      <c r="EP10" s="1230"/>
      <c r="EQ10" s="1096" t="s">
        <v>1053</v>
      </c>
      <c r="ER10" s="138"/>
      <c r="ES10" s="138"/>
      <c r="ET10" s="2028" t="str">
        <f t="shared" si="29"/>
        <v>#NAME?</v>
      </c>
      <c r="EU10" s="1014" t="str">
        <f t="shared" si="30"/>
        <v>#NAME?</v>
      </c>
      <c r="EV10" s="2029" t="str">
        <f t="shared" si="31"/>
        <v>#NAME?</v>
      </c>
      <c r="EW10" s="1014" t="str">
        <f t="shared" si="32"/>
        <v>#NAME?</v>
      </c>
      <c r="EX10" s="1987"/>
      <c r="EY10" s="1230"/>
      <c r="EZ10" s="1096" t="s">
        <v>3815</v>
      </c>
      <c r="FA10" s="138"/>
      <c r="FB10" s="138"/>
      <c r="FC10" s="2028" t="str">
        <f t="shared" si="33"/>
        <v>#NAME?</v>
      </c>
      <c r="FD10" s="1014" t="str">
        <f t="shared" si="34"/>
        <v>#NAME?</v>
      </c>
      <c r="FE10" s="2029" t="str">
        <f t="shared" si="35"/>
        <v>#NAME?</v>
      </c>
      <c r="FF10" s="1014" t="str">
        <f t="shared" si="36"/>
        <v>#NAME?</v>
      </c>
      <c r="FG10" s="2013"/>
      <c r="FH10" s="1230"/>
      <c r="FI10" s="1096" t="s">
        <v>2214</v>
      </c>
      <c r="FJ10" s="138"/>
      <c r="FK10" s="138"/>
      <c r="FL10" s="2028" t="str">
        <f t="shared" si="37"/>
        <v>#NAME?</v>
      </c>
      <c r="FM10" s="1014" t="str">
        <f t="shared" si="38"/>
        <v>#NAME?</v>
      </c>
      <c r="FN10" s="2029" t="str">
        <f t="shared" si="39"/>
        <v>#NAME?</v>
      </c>
      <c r="FO10" s="1014" t="str">
        <f t="shared" si="40"/>
        <v>#NAME?</v>
      </c>
      <c r="FP10" s="1998"/>
      <c r="FQ10" s="1230"/>
      <c r="FR10" s="1096" t="s">
        <v>1685</v>
      </c>
      <c r="FS10" s="138"/>
      <c r="FT10" s="138"/>
      <c r="FU10" s="2028" t="str">
        <f t="shared" si="41"/>
        <v>#NAME?</v>
      </c>
      <c r="FV10" s="1014" t="str">
        <f t="shared" si="42"/>
        <v>#NAME?</v>
      </c>
      <c r="FW10" s="2029" t="str">
        <f t="shared" si="43"/>
        <v>#NAME?</v>
      </c>
      <c r="FX10" s="1014" t="str">
        <f t="shared" si="44"/>
        <v>#NAME?</v>
      </c>
      <c r="FY10" s="1988"/>
      <c r="FZ10" s="1230"/>
      <c r="GA10" s="1096" t="s">
        <v>2541</v>
      </c>
      <c r="GB10" s="138"/>
      <c r="GC10" s="138"/>
      <c r="GD10" s="2028" t="str">
        <f t="shared" si="45"/>
        <v>#NAME?</v>
      </c>
      <c r="GE10" s="1014" t="str">
        <f t="shared" si="46"/>
        <v>#NAME?</v>
      </c>
      <c r="GF10" s="2029" t="str">
        <f t="shared" si="47"/>
        <v>#NAME?</v>
      </c>
      <c r="GG10" s="1014" t="str">
        <f t="shared" si="48"/>
        <v>#NAME?</v>
      </c>
      <c r="GH10" s="1984"/>
      <c r="GI10" s="1230"/>
      <c r="GJ10" s="1096" t="s">
        <v>2290</v>
      </c>
      <c r="GK10" s="138"/>
      <c r="GL10" s="138"/>
      <c r="GM10" s="2028" t="str">
        <f t="shared" si="49"/>
        <v>#NAME?</v>
      </c>
      <c r="GN10" s="1014" t="str">
        <f t="shared" si="50"/>
        <v>#NAME?</v>
      </c>
      <c r="GO10" s="2029" t="str">
        <f t="shared" si="51"/>
        <v>#NAME?</v>
      </c>
      <c r="GP10" s="1014" t="str">
        <f t="shared" si="52"/>
        <v>#NAME?</v>
      </c>
      <c r="GQ10" s="1987"/>
      <c r="GR10" s="1230"/>
      <c r="GS10" s="2009" t="str">
        <f>ITEMICON(GT10)</f>
        <v>#NAME?</v>
      </c>
      <c r="GT10" s="2010" t="s">
        <v>3466</v>
      </c>
      <c r="GU10" s="967"/>
      <c r="GV10" s="1249"/>
      <c r="GW10" s="1092" t="str">
        <f>MONABILITY(GT6)</f>
        <v>#NAME?</v>
      </c>
      <c r="GX10" s="12"/>
      <c r="GY10" s="48"/>
      <c r="GZ10" s="65"/>
      <c r="HA10" s="2009" t="str">
        <f>ITEMICON(HB10)</f>
        <v>#NAME?</v>
      </c>
      <c r="HB10" s="2010" t="s">
        <v>3466</v>
      </c>
      <c r="HC10" s="967"/>
      <c r="HD10" s="1249"/>
      <c r="HE10" s="1092" t="str">
        <f>MONABILITY(HB6)</f>
        <v>#NAME?</v>
      </c>
      <c r="HF10" s="12"/>
      <c r="HG10" s="48"/>
      <c r="HH10" s="65"/>
      <c r="HI10" s="2009" t="str">
        <f>ITEMICON(HJ10)</f>
        <v>#NAME?</v>
      </c>
      <c r="HJ10" s="2010" t="s">
        <v>3466</v>
      </c>
      <c r="HK10" s="967"/>
      <c r="HL10" s="1249"/>
      <c r="HM10" s="1092" t="str">
        <f>MONABILITY(HJ6)</f>
        <v>#NAME?</v>
      </c>
      <c r="HN10" s="12"/>
      <c r="HO10" s="48"/>
      <c r="HP10" s="65"/>
      <c r="HQ10" s="2009" t="str">
        <f>ITEMICON(HR10)</f>
        <v>#NAME?</v>
      </c>
      <c r="HR10" s="2010" t="s">
        <v>3466</v>
      </c>
      <c r="HS10" s="967"/>
      <c r="HT10" s="1249"/>
      <c r="HU10" s="1092" t="str">
        <f>MONABILITY(HR6)</f>
        <v>#NAME?</v>
      </c>
      <c r="HV10" s="12"/>
      <c r="HW10" s="48"/>
      <c r="HX10" s="65"/>
      <c r="HY10" s="2009" t="str">
        <f>ITEMICON(HZ10)</f>
        <v>#NAME?</v>
      </c>
      <c r="HZ10" s="2010" t="s">
        <v>3466</v>
      </c>
      <c r="IA10" s="967"/>
      <c r="IB10" s="1249"/>
      <c r="IC10" s="1092" t="str">
        <f>MONABILITY(HZ6)</f>
        <v>#NAME?</v>
      </c>
      <c r="ID10" s="12"/>
      <c r="IE10" s="48"/>
      <c r="IF10" s="65"/>
      <c r="IG10" s="2009" t="str">
        <f>ITEMICON(IH10)</f>
        <v>#NAME?</v>
      </c>
      <c r="IH10" s="2010" t="s">
        <v>3466</v>
      </c>
      <c r="II10" s="967"/>
      <c r="IJ10" s="1249"/>
      <c r="IK10" s="1092" t="str">
        <f>MONABILITY(IH6)</f>
        <v>#NAME?</v>
      </c>
      <c r="IL10" s="12"/>
      <c r="IM10" s="48"/>
      <c r="IN10" s="65"/>
      <c r="IO10" s="2009" t="str">
        <f>ITEMICON(IP10)</f>
        <v>#NAME?</v>
      </c>
      <c r="IP10" s="2010" t="s">
        <v>3466</v>
      </c>
      <c r="IQ10" s="967"/>
      <c r="IR10" s="1249"/>
      <c r="IS10" s="1092" t="str">
        <f>MONABILITY(IP6)</f>
        <v>#NAME?</v>
      </c>
      <c r="IT10" s="12"/>
      <c r="IU10" s="48"/>
      <c r="IV10" s="65"/>
      <c r="IW10" s="2009" t="str">
        <f>ITEMICON(IX10)</f>
        <v>#NAME?</v>
      </c>
      <c r="IX10" s="2010" t="s">
        <v>3466</v>
      </c>
      <c r="IY10" s="967"/>
      <c r="IZ10" s="1249"/>
      <c r="JA10" s="1092" t="str">
        <f>MONABILITY(IX6)</f>
        <v>#NAME?</v>
      </c>
      <c r="JB10" s="12"/>
      <c r="JC10" s="48"/>
      <c r="JD10" s="1230"/>
    </row>
    <row r="11" ht="15.75" customHeight="1">
      <c r="A11" s="1238"/>
      <c r="B11" s="1848" t="s">
        <v>10372</v>
      </c>
      <c r="C11" s="12"/>
      <c r="D11" s="12"/>
      <c r="E11" s="12"/>
      <c r="F11" s="12"/>
      <c r="G11" s="12"/>
      <c r="H11" s="12"/>
      <c r="I11" s="12"/>
      <c r="J11" s="12"/>
      <c r="K11" s="48"/>
      <c r="L11" s="1230"/>
      <c r="M11" s="1231" t="s">
        <v>10373</v>
      </c>
      <c r="N11" s="976"/>
      <c r="O11" s="976"/>
      <c r="P11" s="976"/>
      <c r="Q11" s="976"/>
      <c r="R11" s="976"/>
      <c r="S11" s="976"/>
      <c r="T11" s="954"/>
      <c r="U11" s="1230"/>
      <c r="V11" s="997"/>
      <c r="W11" s="1026"/>
      <c r="X11" s="1026"/>
      <c r="Y11" s="998"/>
      <c r="Z11" s="1230"/>
      <c r="AA11" s="983" t="s">
        <v>3088</v>
      </c>
      <c r="AB11" s="984"/>
      <c r="AC11" s="984"/>
      <c r="AD11" s="2020" t="str">
        <f t="shared" ref="AD11:AD14" si="53">MOVEICON(AA11)</f>
        <v>#NAME?</v>
      </c>
      <c r="AE11" s="979" t="str">
        <f t="shared" ref="AE11:AE14" si="54">MOVEBP(AA11)</f>
        <v>#NAME?</v>
      </c>
      <c r="AF11" s="2021" t="str">
        <f t="shared" ref="AF11:AF14" si="55">MOVEACC(AA11)</f>
        <v>#NAME?</v>
      </c>
      <c r="AG11" s="980" t="str">
        <f t="shared" ref="AG11:AG14" si="56">MOVEPP(AA11)</f>
        <v>#NAME?</v>
      </c>
      <c r="AI11" s="983" t="s">
        <v>2588</v>
      </c>
      <c r="AJ11" s="984"/>
      <c r="AK11" s="984"/>
      <c r="AL11" s="2020" t="str">
        <f t="shared" ref="AL11:AL14" si="57">MOVEICON(AI11)</f>
        <v>#NAME?</v>
      </c>
      <c r="AM11" s="979" t="str">
        <f t="shared" ref="AM11:AM14" si="58">MOVEBP(AI11)</f>
        <v>#NAME?</v>
      </c>
      <c r="AN11" s="2021" t="str">
        <f t="shared" ref="AN11:AN14" si="59">MOVEACC(AI11)</f>
        <v>#NAME?</v>
      </c>
      <c r="AO11" s="980" t="str">
        <f t="shared" ref="AO11:AO14" si="60">MOVEPP(AI11)</f>
        <v>#NAME?</v>
      </c>
      <c r="AP11" s="1230"/>
      <c r="AQ11" s="983" t="s">
        <v>2595</v>
      </c>
      <c r="AR11" s="984"/>
      <c r="AS11" s="984"/>
      <c r="AT11" s="2020" t="str">
        <f t="shared" ref="AT11:AT14" si="61">MOVEICON(AQ11)</f>
        <v>#NAME?</v>
      </c>
      <c r="AU11" s="979" t="str">
        <f t="shared" ref="AU11:AU14" si="62">MOVEBP(AQ11)</f>
        <v>#NAME?</v>
      </c>
      <c r="AV11" s="2021" t="str">
        <f t="shared" ref="AV11:AV14" si="63">MOVEACC(AQ11)</f>
        <v>#NAME?</v>
      </c>
      <c r="AW11" s="979" t="str">
        <f t="shared" ref="AW11:AW14" si="64">MOVEPP(AQ11)</f>
        <v>#NAME?</v>
      </c>
      <c r="AX11" s="2019"/>
      <c r="AY11" s="1230"/>
      <c r="AZ11" s="1096" t="s">
        <v>3647</v>
      </c>
      <c r="BA11" s="138"/>
      <c r="BB11" s="138"/>
      <c r="BC11" s="2028" t="str">
        <f t="shared" si="1"/>
        <v>#NAME?</v>
      </c>
      <c r="BD11" s="1014" t="str">
        <f t="shared" si="2"/>
        <v>#NAME?</v>
      </c>
      <c r="BE11" s="2029" t="str">
        <f t="shared" si="3"/>
        <v>#NAME?</v>
      </c>
      <c r="BF11" s="1014" t="str">
        <f t="shared" si="4"/>
        <v>#NAME?</v>
      </c>
      <c r="BG11" s="1988"/>
      <c r="BH11" s="1230"/>
      <c r="BI11" s="1096" t="s">
        <v>2975</v>
      </c>
      <c r="BJ11" s="138"/>
      <c r="BK11" s="138"/>
      <c r="BL11" s="2028" t="str">
        <f t="shared" si="5"/>
        <v>#NAME?</v>
      </c>
      <c r="BM11" s="1014" t="str">
        <f t="shared" si="6"/>
        <v>#NAME?</v>
      </c>
      <c r="BN11" s="2029" t="str">
        <f t="shared" si="7"/>
        <v>#NAME?</v>
      </c>
      <c r="BO11" s="1014" t="str">
        <f t="shared" si="8"/>
        <v>#NAME?</v>
      </c>
      <c r="BP11" s="1984"/>
      <c r="BQ11" s="1230"/>
      <c r="BR11" s="1096" t="s">
        <v>594</v>
      </c>
      <c r="BS11" s="138"/>
      <c r="BT11" s="138"/>
      <c r="BU11" s="2028" t="str">
        <f t="shared" si="9"/>
        <v>#NAME?</v>
      </c>
      <c r="BV11" s="1014" t="str">
        <f t="shared" si="10"/>
        <v>#NAME?</v>
      </c>
      <c r="BW11" s="2029" t="str">
        <f t="shared" si="11"/>
        <v>#NAME?</v>
      </c>
      <c r="BX11" s="1014" t="str">
        <f t="shared" si="12"/>
        <v>#NAME?</v>
      </c>
      <c r="BY11" s="1988"/>
      <c r="BZ11" s="1230"/>
      <c r="CA11" s="1096" t="s">
        <v>2541</v>
      </c>
      <c r="CB11" s="138"/>
      <c r="CC11" s="138"/>
      <c r="CD11" s="2028" t="str">
        <f t="shared" si="13"/>
        <v>#NAME?</v>
      </c>
      <c r="CE11" s="1014" t="str">
        <f t="shared" si="14"/>
        <v>#NAME?</v>
      </c>
      <c r="CF11" s="2029" t="str">
        <f t="shared" si="15"/>
        <v>#NAME?</v>
      </c>
      <c r="CG11" s="2030" t="str">
        <f t="shared" si="16"/>
        <v>#NAME?</v>
      </c>
      <c r="CH11" s="1987"/>
      <c r="CI11" s="1230"/>
      <c r="CJ11" s="985" t="s">
        <v>168</v>
      </c>
      <c r="CK11" s="12"/>
      <c r="CL11" s="12"/>
      <c r="CM11" s="12"/>
      <c r="CN11" s="12"/>
      <c r="CO11" s="64"/>
      <c r="CP11" s="2031" t="s">
        <v>10374</v>
      </c>
      <c r="CQ11" s="1230"/>
      <c r="CR11" s="985" t="s">
        <v>252</v>
      </c>
      <c r="CS11" s="12"/>
      <c r="CT11" s="12"/>
      <c r="CU11" s="12"/>
      <c r="CV11" s="12"/>
      <c r="CW11" s="64"/>
      <c r="CX11" s="2031" t="s">
        <v>10374</v>
      </c>
      <c r="CY11" s="1230"/>
      <c r="CZ11" s="985" t="s">
        <v>185</v>
      </c>
      <c r="DA11" s="12"/>
      <c r="DB11" s="12"/>
      <c r="DC11" s="12"/>
      <c r="DD11" s="12"/>
      <c r="DE11" s="64"/>
      <c r="DF11" s="2031" t="s">
        <v>10374</v>
      </c>
      <c r="DG11" s="1230"/>
      <c r="DH11" s="985" t="s">
        <v>185</v>
      </c>
      <c r="DI11" s="12"/>
      <c r="DJ11" s="12"/>
      <c r="DK11" s="12"/>
      <c r="DL11" s="12"/>
      <c r="DM11" s="64"/>
      <c r="DN11" s="2031" t="s">
        <v>10374</v>
      </c>
      <c r="DO11" s="1230"/>
      <c r="DP11" s="1096" t="s">
        <v>1685</v>
      </c>
      <c r="DQ11" s="138"/>
      <c r="DR11" s="138"/>
      <c r="DS11" s="2028" t="str">
        <f t="shared" si="17"/>
        <v>#NAME?</v>
      </c>
      <c r="DT11" s="1014" t="str">
        <f t="shared" si="18"/>
        <v>#NAME?</v>
      </c>
      <c r="DU11" s="2029" t="str">
        <f t="shared" si="19"/>
        <v>#NAME?</v>
      </c>
      <c r="DV11" s="1014" t="str">
        <f t="shared" si="20"/>
        <v>#NAME?</v>
      </c>
      <c r="DW11" s="1988"/>
      <c r="DX11" s="1230"/>
      <c r="DY11" s="1096" t="s">
        <v>2541</v>
      </c>
      <c r="DZ11" s="138"/>
      <c r="EA11" s="138"/>
      <c r="EB11" s="2028" t="str">
        <f t="shared" si="21"/>
        <v>#NAME?</v>
      </c>
      <c r="EC11" s="1014" t="str">
        <f t="shared" si="22"/>
        <v>#NAME?</v>
      </c>
      <c r="ED11" s="2029" t="str">
        <f t="shared" si="23"/>
        <v>#NAME?</v>
      </c>
      <c r="EE11" s="1014" t="str">
        <f t="shared" si="24"/>
        <v>#NAME?</v>
      </c>
      <c r="EF11" s="1992" t="s">
        <v>10375</v>
      </c>
      <c r="EG11" s="1230"/>
      <c r="EH11" s="1096" t="s">
        <v>2717</v>
      </c>
      <c r="EI11" s="138"/>
      <c r="EJ11" s="138"/>
      <c r="EK11" s="2028" t="str">
        <f t="shared" si="25"/>
        <v>#NAME?</v>
      </c>
      <c r="EL11" s="1014" t="str">
        <f t="shared" si="26"/>
        <v>#NAME?</v>
      </c>
      <c r="EM11" s="2029" t="str">
        <f t="shared" si="27"/>
        <v>#NAME?</v>
      </c>
      <c r="EN11" s="1014" t="str">
        <f t="shared" si="28"/>
        <v>#NAME?</v>
      </c>
      <c r="EO11" s="1988"/>
      <c r="EP11" s="1230"/>
      <c r="EQ11" s="1096" t="s">
        <v>567</v>
      </c>
      <c r="ER11" s="138"/>
      <c r="ES11" s="138"/>
      <c r="ET11" s="2028" t="str">
        <f t="shared" si="29"/>
        <v>#NAME?</v>
      </c>
      <c r="EU11" s="1014" t="str">
        <f t="shared" si="30"/>
        <v>#NAME?</v>
      </c>
      <c r="EV11" s="2029" t="str">
        <f t="shared" si="31"/>
        <v>#NAME?</v>
      </c>
      <c r="EW11" s="1014" t="str">
        <f t="shared" si="32"/>
        <v>#NAME?</v>
      </c>
      <c r="EX11" s="1987"/>
      <c r="EY11" s="1230"/>
      <c r="EZ11" s="1096" t="s">
        <v>2880</v>
      </c>
      <c r="FA11" s="138"/>
      <c r="FB11" s="138"/>
      <c r="FC11" s="2028" t="str">
        <f t="shared" si="33"/>
        <v>#NAME?</v>
      </c>
      <c r="FD11" s="1014" t="str">
        <f t="shared" si="34"/>
        <v>#NAME?</v>
      </c>
      <c r="FE11" s="2029" t="str">
        <f t="shared" si="35"/>
        <v>#NAME?</v>
      </c>
      <c r="FF11" s="1014" t="str">
        <f t="shared" si="36"/>
        <v>#NAME?</v>
      </c>
      <c r="FG11" s="1984"/>
      <c r="FH11" s="1230"/>
      <c r="FI11" s="1096" t="s">
        <v>2153</v>
      </c>
      <c r="FJ11" s="138"/>
      <c r="FK11" s="138"/>
      <c r="FL11" s="2028" t="str">
        <f t="shared" si="37"/>
        <v>#NAME?</v>
      </c>
      <c r="FM11" s="1014" t="str">
        <f t="shared" si="38"/>
        <v>#NAME?</v>
      </c>
      <c r="FN11" s="2029" t="str">
        <f t="shared" si="39"/>
        <v>#NAME?</v>
      </c>
      <c r="FO11" s="1014" t="str">
        <f t="shared" si="40"/>
        <v>#NAME?</v>
      </c>
      <c r="FP11" s="1992" t="s">
        <v>10376</v>
      </c>
      <c r="FQ11" s="1230"/>
      <c r="FR11" s="1096" t="s">
        <v>2273</v>
      </c>
      <c r="FS11" s="138"/>
      <c r="FT11" s="138"/>
      <c r="FU11" s="2028" t="str">
        <f t="shared" si="41"/>
        <v>#NAME?</v>
      </c>
      <c r="FV11" s="1014" t="str">
        <f t="shared" si="42"/>
        <v>#NAME?</v>
      </c>
      <c r="FW11" s="2029" t="str">
        <f t="shared" si="43"/>
        <v>#NAME?</v>
      </c>
      <c r="FX11" s="1014" t="str">
        <f t="shared" si="44"/>
        <v>#NAME?</v>
      </c>
      <c r="FY11" s="1985" t="s">
        <v>10377</v>
      </c>
      <c r="FZ11" s="1230"/>
      <c r="GA11" s="1096" t="s">
        <v>2323</v>
      </c>
      <c r="GB11" s="138"/>
      <c r="GC11" s="138"/>
      <c r="GD11" s="2028" t="str">
        <f t="shared" si="45"/>
        <v>#NAME?</v>
      </c>
      <c r="GE11" s="1014" t="str">
        <f t="shared" si="46"/>
        <v>#NAME?</v>
      </c>
      <c r="GF11" s="2029" t="str">
        <f t="shared" si="47"/>
        <v>#NAME?</v>
      </c>
      <c r="GG11" s="1014" t="str">
        <f t="shared" si="48"/>
        <v>#NAME?</v>
      </c>
      <c r="GH11" s="2016"/>
      <c r="GI11" s="1230"/>
      <c r="GJ11" s="1096" t="s">
        <v>1997</v>
      </c>
      <c r="GK11" s="138"/>
      <c r="GL11" s="138"/>
      <c r="GM11" s="2028" t="str">
        <f t="shared" si="49"/>
        <v>#NAME?</v>
      </c>
      <c r="GN11" s="1014" t="str">
        <f t="shared" si="50"/>
        <v>#NAME?</v>
      </c>
      <c r="GO11" s="2029" t="str">
        <f t="shared" si="51"/>
        <v>#NAME?</v>
      </c>
      <c r="GP11" s="1014" t="str">
        <f t="shared" si="52"/>
        <v>#NAME?</v>
      </c>
      <c r="GQ11" s="1985" t="s">
        <v>10378</v>
      </c>
      <c r="GR11" s="1230"/>
      <c r="GS11" s="985" t="s">
        <v>226</v>
      </c>
      <c r="GT11" s="12"/>
      <c r="GU11" s="12"/>
      <c r="GV11" s="12"/>
      <c r="GW11" s="12"/>
      <c r="GX11" s="64"/>
      <c r="GY11" s="2031" t="s">
        <v>10374</v>
      </c>
      <c r="GZ11" s="65"/>
      <c r="HA11" s="985" t="s">
        <v>207</v>
      </c>
      <c r="HB11" s="12"/>
      <c r="HC11" s="12"/>
      <c r="HD11" s="12"/>
      <c r="HE11" s="12"/>
      <c r="HF11" s="64"/>
      <c r="HG11" s="2031" t="s">
        <v>10374</v>
      </c>
      <c r="HH11" s="65"/>
      <c r="HI11" s="985" t="s">
        <v>21</v>
      </c>
      <c r="HJ11" s="12"/>
      <c r="HK11" s="12"/>
      <c r="HL11" s="12"/>
      <c r="HM11" s="12"/>
      <c r="HN11" s="64"/>
      <c r="HO11" s="2031" t="s">
        <v>10374</v>
      </c>
      <c r="HP11" s="65"/>
      <c r="HQ11" s="985" t="s">
        <v>78</v>
      </c>
      <c r="HR11" s="12"/>
      <c r="HS11" s="12"/>
      <c r="HT11" s="12"/>
      <c r="HU11" s="12"/>
      <c r="HV11" s="64"/>
      <c r="HW11" s="2031" t="s">
        <v>10374</v>
      </c>
      <c r="HX11" s="65"/>
      <c r="HY11" s="985" t="s">
        <v>110</v>
      </c>
      <c r="HZ11" s="12"/>
      <c r="IA11" s="12"/>
      <c r="IB11" s="12"/>
      <c r="IC11" s="12"/>
      <c r="ID11" s="64"/>
      <c r="IE11" s="2031" t="s">
        <v>10374</v>
      </c>
      <c r="IF11" s="65"/>
      <c r="IG11" s="985" t="s">
        <v>281</v>
      </c>
      <c r="IH11" s="12"/>
      <c r="II11" s="12"/>
      <c r="IJ11" s="12"/>
      <c r="IK11" s="12"/>
      <c r="IL11" s="64"/>
      <c r="IM11" s="2031" t="s">
        <v>10374</v>
      </c>
      <c r="IN11" s="65"/>
      <c r="IO11" s="985" t="s">
        <v>33</v>
      </c>
      <c r="IP11" s="12"/>
      <c r="IQ11" s="12"/>
      <c r="IR11" s="12"/>
      <c r="IS11" s="12"/>
      <c r="IT11" s="64"/>
      <c r="IU11" s="2031" t="s">
        <v>10374</v>
      </c>
      <c r="IV11" s="65"/>
      <c r="IW11" s="985" t="s">
        <v>329</v>
      </c>
      <c r="IX11" s="12"/>
      <c r="IY11" s="12"/>
      <c r="IZ11" s="12"/>
      <c r="JA11" s="12"/>
      <c r="JB11" s="64"/>
      <c r="JC11" s="2031" t="s">
        <v>10374</v>
      </c>
      <c r="JD11" s="1230"/>
    </row>
    <row r="12" ht="15.75" customHeight="1">
      <c r="A12" s="1238"/>
      <c r="B12" s="1230"/>
      <c r="C12" s="1230"/>
      <c r="D12" s="1230"/>
      <c r="E12" s="1230"/>
      <c r="F12" s="1230"/>
      <c r="G12" s="1230"/>
      <c r="H12" s="1230"/>
      <c r="I12" s="1230"/>
      <c r="J12" s="1230"/>
      <c r="K12" s="1230"/>
      <c r="L12" s="1230"/>
      <c r="M12" s="1860"/>
      <c r="N12" s="1032"/>
      <c r="O12" s="1032"/>
      <c r="P12" s="1032"/>
      <c r="Q12" s="1032"/>
      <c r="R12" s="1032"/>
      <c r="S12" s="1032"/>
      <c r="T12" s="30"/>
      <c r="U12" s="1230"/>
      <c r="V12" s="442"/>
      <c r="W12" s="442"/>
      <c r="X12" s="442"/>
      <c r="Y12" s="442"/>
      <c r="Z12" s="1230"/>
      <c r="AA12" s="1096" t="s">
        <v>2492</v>
      </c>
      <c r="AB12" s="138"/>
      <c r="AC12" s="138"/>
      <c r="AD12" s="2028" t="str">
        <f t="shared" si="53"/>
        <v>#NAME?</v>
      </c>
      <c r="AE12" s="1014" t="str">
        <f t="shared" si="54"/>
        <v>#NAME?</v>
      </c>
      <c r="AF12" s="2029" t="str">
        <f t="shared" si="55"/>
        <v>#NAME?</v>
      </c>
      <c r="AG12" s="1015" t="str">
        <f t="shared" si="56"/>
        <v>#NAME?</v>
      </c>
      <c r="AI12" s="1096" t="s">
        <v>3088</v>
      </c>
      <c r="AJ12" s="138"/>
      <c r="AK12" s="138"/>
      <c r="AL12" s="2028" t="str">
        <f t="shared" si="57"/>
        <v>#NAME?</v>
      </c>
      <c r="AM12" s="1014" t="str">
        <f t="shared" si="58"/>
        <v>#NAME?</v>
      </c>
      <c r="AN12" s="2029" t="str">
        <f t="shared" si="59"/>
        <v>#NAME?</v>
      </c>
      <c r="AO12" s="1015" t="str">
        <f t="shared" si="60"/>
        <v>#NAME?</v>
      </c>
      <c r="AP12" s="1230"/>
      <c r="AQ12" s="1096" t="s">
        <v>2767</v>
      </c>
      <c r="AR12" s="138"/>
      <c r="AS12" s="138"/>
      <c r="AT12" s="2028" t="str">
        <f t="shared" si="61"/>
        <v>#NAME?</v>
      </c>
      <c r="AU12" s="1014" t="str">
        <f t="shared" si="62"/>
        <v>#NAME?</v>
      </c>
      <c r="AV12" s="2029" t="str">
        <f t="shared" si="63"/>
        <v>#NAME?</v>
      </c>
      <c r="AW12" s="1014" t="str">
        <f t="shared" si="64"/>
        <v>#NAME?</v>
      </c>
      <c r="AX12" s="2013"/>
      <c r="AY12" s="1230"/>
      <c r="AZ12" s="1094" t="s">
        <v>2541</v>
      </c>
      <c r="BA12" s="413"/>
      <c r="BB12" s="413"/>
      <c r="BC12" s="2032" t="str">
        <f t="shared" si="1"/>
        <v>#NAME?</v>
      </c>
      <c r="BD12" s="1130" t="str">
        <f t="shared" si="2"/>
        <v>#NAME?</v>
      </c>
      <c r="BE12" s="2033" t="str">
        <f t="shared" si="3"/>
        <v>#NAME?</v>
      </c>
      <c r="BF12" s="1130" t="str">
        <f t="shared" si="4"/>
        <v>#NAME?</v>
      </c>
      <c r="BG12" s="2034" t="s">
        <v>10379</v>
      </c>
      <c r="BH12" s="1230"/>
      <c r="BI12" s="1094" t="s">
        <v>3776</v>
      </c>
      <c r="BJ12" s="413"/>
      <c r="BK12" s="413"/>
      <c r="BL12" s="2032" t="str">
        <f t="shared" si="5"/>
        <v>#NAME?</v>
      </c>
      <c r="BM12" s="1130" t="str">
        <f t="shared" si="6"/>
        <v>#NAME?</v>
      </c>
      <c r="BN12" s="2033" t="str">
        <f t="shared" si="7"/>
        <v>#NAME?</v>
      </c>
      <c r="BO12" s="1130" t="str">
        <f t="shared" si="8"/>
        <v>#NAME?</v>
      </c>
      <c r="BP12" s="2035"/>
      <c r="BQ12" s="1230"/>
      <c r="BR12" s="1094" t="s">
        <v>2299</v>
      </c>
      <c r="BS12" s="413"/>
      <c r="BT12" s="413"/>
      <c r="BU12" s="2032" t="str">
        <f t="shared" si="9"/>
        <v>#NAME?</v>
      </c>
      <c r="BV12" s="1130" t="str">
        <f t="shared" si="10"/>
        <v>#NAME?</v>
      </c>
      <c r="BW12" s="2033" t="str">
        <f t="shared" si="11"/>
        <v>#NAME?</v>
      </c>
      <c r="BX12" s="1130" t="str">
        <f t="shared" si="12"/>
        <v>#NAME?</v>
      </c>
      <c r="BY12" s="2035" t="s">
        <v>10380</v>
      </c>
      <c r="BZ12" s="1230"/>
      <c r="CA12" s="2036" t="s">
        <v>3384</v>
      </c>
      <c r="CB12" s="2037"/>
      <c r="CC12" s="2037"/>
      <c r="CD12" s="2038" t="str">
        <f t="shared" si="13"/>
        <v>#NAME?</v>
      </c>
      <c r="CE12" s="2039" t="str">
        <f t="shared" si="14"/>
        <v>#NAME?</v>
      </c>
      <c r="CF12" s="2040" t="str">
        <f t="shared" si="15"/>
        <v>#NAME?</v>
      </c>
      <c r="CG12" s="2041" t="str">
        <f t="shared" si="16"/>
        <v>#NAME?</v>
      </c>
      <c r="CH12" s="1988"/>
      <c r="CI12" s="1230"/>
      <c r="CJ12" s="1012" t="s">
        <v>1965</v>
      </c>
      <c r="CK12" s="1032"/>
      <c r="CL12" s="1032"/>
      <c r="CM12" s="2042" t="str">
        <f t="shared" ref="CM12:CM15" si="65">MOVEICON(CJ12)</f>
        <v>#NAME?</v>
      </c>
      <c r="CN12" s="1034" t="str">
        <f t="shared" ref="CN12:CN15" si="66">MOVEBP(CJ12)</f>
        <v>#NAME?</v>
      </c>
      <c r="CO12" s="2043" t="str">
        <f t="shared" ref="CO12:CO15" si="67">MOVEACC(CJ12)</f>
        <v>#NAME?</v>
      </c>
      <c r="CP12" s="1015" t="str">
        <f t="shared" ref="CP12:CP15" si="68">MOVEPP(CJ12)</f>
        <v>#NAME?</v>
      </c>
      <c r="CQ12" s="1230"/>
      <c r="CR12" s="1012" t="s">
        <v>1820</v>
      </c>
      <c r="CS12" s="1032"/>
      <c r="CT12" s="1032"/>
      <c r="CU12" s="2042" t="str">
        <f t="shared" ref="CU12:CU15" si="69">MOVEICON(CR12)</f>
        <v>#NAME?</v>
      </c>
      <c r="CV12" s="1034" t="str">
        <f t="shared" ref="CV12:CV15" si="70">MOVEBP(CR12)</f>
        <v>#NAME?</v>
      </c>
      <c r="CW12" s="2043" t="str">
        <f t="shared" ref="CW12:CW15" si="71">MOVEACC(CR12)</f>
        <v>#NAME?</v>
      </c>
      <c r="CX12" s="1015" t="str">
        <f t="shared" ref="CX12:CX15" si="72">MOVEPP(CR12)</f>
        <v>#NAME?</v>
      </c>
      <c r="CY12" s="1230"/>
      <c r="CZ12" s="1012" t="s">
        <v>1486</v>
      </c>
      <c r="DA12" s="1032"/>
      <c r="DB12" s="1032"/>
      <c r="DC12" s="2042" t="str">
        <f t="shared" ref="DC12:DC15" si="73">MOVEICON(CZ12)</f>
        <v>#NAME?</v>
      </c>
      <c r="DD12" s="1034" t="str">
        <f t="shared" ref="DD12:DD15" si="74">MOVEBP(CZ12)</f>
        <v>#NAME?</v>
      </c>
      <c r="DE12" s="2043" t="str">
        <f t="shared" ref="DE12:DE15" si="75">MOVEACC(CZ12)</f>
        <v>#NAME?</v>
      </c>
      <c r="DF12" s="1015" t="str">
        <f t="shared" ref="DF12:DF15" si="76">MOVEPP(CZ12)</f>
        <v>#NAME?</v>
      </c>
      <c r="DG12" s="1230"/>
      <c r="DH12" s="1012" t="s">
        <v>2588</v>
      </c>
      <c r="DI12" s="1032"/>
      <c r="DJ12" s="1032"/>
      <c r="DK12" s="2042" t="str">
        <f t="shared" ref="DK12:DK15" si="77">MOVEICON(DH12)</f>
        <v>#NAME?</v>
      </c>
      <c r="DL12" s="1034" t="str">
        <f t="shared" ref="DL12:DL15" si="78">MOVEBP(DH12)</f>
        <v>#NAME?</v>
      </c>
      <c r="DM12" s="2043" t="str">
        <f t="shared" ref="DM12:DM15" si="79">MOVEACC(DH12)</f>
        <v>#NAME?</v>
      </c>
      <c r="DN12" s="1015" t="str">
        <f t="shared" ref="DN12:DN15" si="80">MOVEPP(DH12)</f>
        <v>#NAME?</v>
      </c>
      <c r="DO12" s="1230"/>
      <c r="DP12" s="1094" t="s">
        <v>3863</v>
      </c>
      <c r="DQ12" s="413"/>
      <c r="DR12" s="413"/>
      <c r="DS12" s="2032" t="str">
        <f t="shared" si="17"/>
        <v>#NAME?</v>
      </c>
      <c r="DT12" s="1130" t="str">
        <f t="shared" si="18"/>
        <v>#NAME?</v>
      </c>
      <c r="DU12" s="2033" t="str">
        <f t="shared" si="19"/>
        <v>#NAME?</v>
      </c>
      <c r="DV12" s="1130" t="str">
        <f t="shared" si="20"/>
        <v>#NAME?</v>
      </c>
      <c r="DW12" s="2044"/>
      <c r="DX12" s="1230"/>
      <c r="DY12" s="1094" t="s">
        <v>3784</v>
      </c>
      <c r="DZ12" s="413"/>
      <c r="EA12" s="413"/>
      <c r="EB12" s="2032" t="str">
        <f t="shared" si="21"/>
        <v>#NAME?</v>
      </c>
      <c r="EC12" s="1130" t="str">
        <f t="shared" si="22"/>
        <v>#NAME?</v>
      </c>
      <c r="ED12" s="2033" t="str">
        <f t="shared" si="23"/>
        <v>#NAME?</v>
      </c>
      <c r="EE12" s="1130" t="str">
        <f t="shared" si="24"/>
        <v>#NAME?</v>
      </c>
      <c r="EF12" s="2045"/>
      <c r="EG12" s="1230"/>
      <c r="EH12" s="2036" t="s">
        <v>2299</v>
      </c>
      <c r="EI12" s="2037"/>
      <c r="EJ12" s="2037"/>
      <c r="EK12" s="2038" t="str">
        <f t="shared" si="25"/>
        <v>#NAME?</v>
      </c>
      <c r="EL12" s="2039" t="str">
        <f t="shared" si="26"/>
        <v>#NAME?</v>
      </c>
      <c r="EM12" s="2040" t="str">
        <f t="shared" si="27"/>
        <v>#NAME?</v>
      </c>
      <c r="EN12" s="2039" t="str">
        <f t="shared" si="28"/>
        <v>#NAME?</v>
      </c>
      <c r="EO12" s="2016" t="s">
        <v>10381</v>
      </c>
      <c r="EP12" s="1230"/>
      <c r="EQ12" s="2036" t="s">
        <v>2236</v>
      </c>
      <c r="ER12" s="2037"/>
      <c r="ES12" s="2037"/>
      <c r="ET12" s="2038" t="str">
        <f t="shared" si="29"/>
        <v>#NAME?</v>
      </c>
      <c r="EU12" s="2039" t="str">
        <f t="shared" si="30"/>
        <v>#NAME?</v>
      </c>
      <c r="EV12" s="2040" t="str">
        <f t="shared" si="31"/>
        <v>#NAME?</v>
      </c>
      <c r="EW12" s="2039" t="str">
        <f t="shared" si="32"/>
        <v>#NAME?</v>
      </c>
      <c r="EX12" s="1984" t="s">
        <v>10382</v>
      </c>
      <c r="EY12" s="1230"/>
      <c r="EZ12" s="1094" t="s">
        <v>2183</v>
      </c>
      <c r="FA12" s="413"/>
      <c r="FB12" s="413"/>
      <c r="FC12" s="2032" t="str">
        <f t="shared" si="33"/>
        <v>#NAME?</v>
      </c>
      <c r="FD12" s="1130" t="str">
        <f t="shared" si="34"/>
        <v>#NAME?</v>
      </c>
      <c r="FE12" s="2033" t="str">
        <f t="shared" si="35"/>
        <v>#NAME?</v>
      </c>
      <c r="FF12" s="1130" t="str">
        <f t="shared" si="36"/>
        <v>#NAME?</v>
      </c>
      <c r="FG12" s="2035"/>
      <c r="FH12" s="1230"/>
      <c r="FI12" s="1094" t="s">
        <v>1981</v>
      </c>
      <c r="FJ12" s="413"/>
      <c r="FK12" s="413"/>
      <c r="FL12" s="2032" t="str">
        <f t="shared" si="37"/>
        <v>#NAME?</v>
      </c>
      <c r="FM12" s="1130" t="str">
        <f t="shared" si="38"/>
        <v>#NAME?</v>
      </c>
      <c r="FN12" s="2033" t="str">
        <f t="shared" si="39"/>
        <v>#NAME?</v>
      </c>
      <c r="FO12" s="1130" t="str">
        <f t="shared" si="40"/>
        <v>#NAME?</v>
      </c>
      <c r="FP12" s="2045"/>
      <c r="FQ12" s="1230"/>
      <c r="FR12" s="1094" t="s">
        <v>2153</v>
      </c>
      <c r="FS12" s="413"/>
      <c r="FT12" s="413"/>
      <c r="FU12" s="2032" t="str">
        <f t="shared" si="41"/>
        <v>#NAME?</v>
      </c>
      <c r="FV12" s="1130" t="str">
        <f t="shared" si="42"/>
        <v>#NAME?</v>
      </c>
      <c r="FW12" s="2033" t="str">
        <f t="shared" si="43"/>
        <v>#NAME?</v>
      </c>
      <c r="FX12" s="1130" t="str">
        <f t="shared" si="44"/>
        <v>#NAME?</v>
      </c>
      <c r="FY12" s="2045"/>
      <c r="FZ12" s="1230"/>
      <c r="GA12" s="1094" t="s">
        <v>3655</v>
      </c>
      <c r="GB12" s="413"/>
      <c r="GC12" s="413"/>
      <c r="GD12" s="2046" t="str">
        <f t="shared" si="45"/>
        <v>#NAME?</v>
      </c>
      <c r="GE12" s="1130" t="str">
        <f t="shared" si="46"/>
        <v>#NAME?</v>
      </c>
      <c r="GF12" s="2033" t="str">
        <f t="shared" si="47"/>
        <v>#NAME?</v>
      </c>
      <c r="GG12" s="1130" t="str">
        <f t="shared" si="48"/>
        <v>#NAME?</v>
      </c>
      <c r="GH12" s="2047"/>
      <c r="GI12" s="1230"/>
      <c r="GJ12" s="2036" t="s">
        <v>3784</v>
      </c>
      <c r="GK12" s="2037"/>
      <c r="GL12" s="2037"/>
      <c r="GM12" s="2038" t="str">
        <f t="shared" si="49"/>
        <v>#NAME?</v>
      </c>
      <c r="GN12" s="2039" t="str">
        <f t="shared" si="50"/>
        <v>#NAME?</v>
      </c>
      <c r="GO12" s="2040" t="str">
        <f t="shared" si="51"/>
        <v>#NAME?</v>
      </c>
      <c r="GP12" s="2039" t="str">
        <f t="shared" si="52"/>
        <v>#NAME?</v>
      </c>
      <c r="GQ12" s="1988"/>
      <c r="GR12" s="1230"/>
      <c r="GS12" s="2048" t="s">
        <v>2525</v>
      </c>
      <c r="GT12" s="1032"/>
      <c r="GU12" s="1032"/>
      <c r="GV12" s="2042" t="str">
        <f t="shared" ref="GV12:GV15" si="81">MOVEICON(GS12)</f>
        <v>#NAME?</v>
      </c>
      <c r="GW12" s="1034" t="str">
        <f t="shared" ref="GW12:GW15" si="82">MOVEBP(GS12)</f>
        <v>#NAME?</v>
      </c>
      <c r="GX12" s="2043" t="str">
        <f t="shared" ref="GX12:GX15" si="83">MOVEACC(GS12)</f>
        <v>#NAME?</v>
      </c>
      <c r="GY12" s="1015" t="str">
        <f t="shared" ref="GY12:GY15" si="84">MOVEPP(GS12)</f>
        <v>#NAME?</v>
      </c>
      <c r="GZ12" s="65"/>
      <c r="HA12" s="1012" t="s">
        <v>2248</v>
      </c>
      <c r="HB12" s="1032"/>
      <c r="HC12" s="1032"/>
      <c r="HD12" s="2042" t="str">
        <f t="shared" ref="HD12:HD15" si="85">MOVEICON(HA12)</f>
        <v>#NAME?</v>
      </c>
      <c r="HE12" s="1034" t="str">
        <f t="shared" ref="HE12:HE15" si="86">MOVEBP(HA12)</f>
        <v>#NAME?</v>
      </c>
      <c r="HF12" s="2043" t="str">
        <f t="shared" ref="HF12:HF15" si="87">MOVEACC(HA12)</f>
        <v>#NAME?</v>
      </c>
      <c r="HG12" s="1015" t="str">
        <f t="shared" ref="HG12:HG15" si="88">MOVEPP(HA12)</f>
        <v>#NAME?</v>
      </c>
      <c r="HH12" s="65"/>
      <c r="HI12" s="1012" t="s">
        <v>632</v>
      </c>
      <c r="HJ12" s="1032"/>
      <c r="HK12" s="1032"/>
      <c r="HL12" s="2042" t="str">
        <f t="shared" ref="HL12:HL15" si="89">MOVEICON(HI12)</f>
        <v>#NAME?</v>
      </c>
      <c r="HM12" s="1034" t="str">
        <f t="shared" ref="HM12:HM15" si="90">MOVEBP(HI12)</f>
        <v>#NAME?</v>
      </c>
      <c r="HN12" s="2043" t="str">
        <f t="shared" ref="HN12:HN15" si="91">MOVEACC(HI12)</f>
        <v>#NAME?</v>
      </c>
      <c r="HO12" s="1015" t="str">
        <f t="shared" ref="HO12:HO15" si="92">MOVEPP(HI12)</f>
        <v>#NAME?</v>
      </c>
      <c r="HP12" s="65"/>
      <c r="HQ12" s="1012" t="s">
        <v>2767</v>
      </c>
      <c r="HR12" s="1032"/>
      <c r="HS12" s="1032"/>
      <c r="HT12" s="2042" t="str">
        <f t="shared" ref="HT12:HT15" si="93">MOVEICON(HQ12)</f>
        <v>#NAME?</v>
      </c>
      <c r="HU12" s="1034" t="str">
        <f t="shared" ref="HU12:HU15" si="94">MOVEBP(HQ12)</f>
        <v>#NAME?</v>
      </c>
      <c r="HV12" s="2043" t="str">
        <f t="shared" ref="HV12:HV15" si="95">MOVEACC(HQ12)</f>
        <v>#NAME?</v>
      </c>
      <c r="HW12" s="1015" t="str">
        <f t="shared" ref="HW12:HW15" si="96">MOVEPP(HQ12)</f>
        <v>#NAME?</v>
      </c>
      <c r="HX12" s="65"/>
      <c r="HY12" s="1012" t="s">
        <v>1088</v>
      </c>
      <c r="HZ12" s="1032"/>
      <c r="IA12" s="1032"/>
      <c r="IB12" s="2042" t="str">
        <f t="shared" ref="IB12:IB15" si="97">MOVEICON(HY12)</f>
        <v>#NAME?</v>
      </c>
      <c r="IC12" s="1034" t="str">
        <f t="shared" ref="IC12:IC15" si="98">MOVEBP(HY12)</f>
        <v>#NAME?</v>
      </c>
      <c r="ID12" s="2043" t="str">
        <f t="shared" ref="ID12:ID15" si="99">MOVEACC(HY12)</f>
        <v>#NAME?</v>
      </c>
      <c r="IE12" s="1015" t="str">
        <f t="shared" ref="IE12:IE15" si="100">MOVEPP(HY12)</f>
        <v>#NAME?</v>
      </c>
      <c r="IF12" s="65"/>
      <c r="IG12" s="1012" t="s">
        <v>1921</v>
      </c>
      <c r="IH12" s="1032"/>
      <c r="II12" s="1032"/>
      <c r="IJ12" s="2042" t="str">
        <f t="shared" ref="IJ12:IJ15" si="101">MOVEICON(IG12)</f>
        <v>#NAME?</v>
      </c>
      <c r="IK12" s="1034" t="str">
        <f t="shared" ref="IK12:IK15" si="102">MOVEBP(IG12)</f>
        <v>#NAME?</v>
      </c>
      <c r="IL12" s="2043" t="str">
        <f t="shared" ref="IL12:IL15" si="103">MOVEACC(IG12)</f>
        <v>#NAME?</v>
      </c>
      <c r="IM12" s="1015" t="str">
        <f t="shared" ref="IM12:IM15" si="104">MOVEPP(IG12)</f>
        <v>#NAME?</v>
      </c>
      <c r="IN12" s="65"/>
      <c r="IO12" s="1012" t="s">
        <v>632</v>
      </c>
      <c r="IP12" s="1032"/>
      <c r="IQ12" s="1032"/>
      <c r="IR12" s="2042" t="str">
        <f t="shared" ref="IR12:IR15" si="105">MOVEICON(IO12)</f>
        <v>#NAME?</v>
      </c>
      <c r="IS12" s="1034" t="str">
        <f t="shared" ref="IS12:IS15" si="106">MOVEBP(IO12)</f>
        <v>#NAME?</v>
      </c>
      <c r="IT12" s="2043" t="str">
        <f t="shared" ref="IT12:IT15" si="107">MOVEACC(IO12)</f>
        <v>#NAME?</v>
      </c>
      <c r="IU12" s="1015" t="str">
        <f t="shared" ref="IU12:IU15" si="108">MOVEPP(IO12)</f>
        <v>#NAME?</v>
      </c>
      <c r="IV12" s="65"/>
      <c r="IW12" s="1012" t="s">
        <v>48</v>
      </c>
      <c r="IX12" s="1032"/>
      <c r="IY12" s="1032"/>
      <c r="IZ12" s="2042" t="str">
        <f t="shared" ref="IZ12:IZ15" si="109">MOVEICON(IW12)</f>
        <v>#NAME?</v>
      </c>
      <c r="JA12" s="1034" t="str">
        <f t="shared" ref="JA12:JA15" si="110">MOVEBP(IW12)</f>
        <v>#NAME?</v>
      </c>
      <c r="JB12" s="2043" t="str">
        <f t="shared" ref="JB12:JB15" si="111">MOVEACC(IW12)</f>
        <v>#NAME?</v>
      </c>
      <c r="JC12" s="1015" t="str">
        <f t="shared" ref="JC12:JC15" si="112">MOVEPP(IW12)</f>
        <v>#NAME?</v>
      </c>
      <c r="JD12" s="1230"/>
    </row>
    <row r="13" ht="15.75" customHeight="1">
      <c r="A13" s="1238"/>
      <c r="B13" s="2049" t="str">
        <f>image("https://archives.bulbagarden.net/media/upload/5/55/172MS6.png", 3)</f>
        <v/>
      </c>
      <c r="C13" s="2050" t="str">
        <f>image("https://archives.bulbagarden.net/media/upload/9/9c/173MS6.png", 3)</f>
        <v/>
      </c>
      <c r="D13" s="2050" t="str">
        <f>image("https://archives.bulbagarden.net/media/upload/5/59/174MS6.png", 3)</f>
        <v/>
      </c>
      <c r="E13" s="2050" t="str">
        <f>image("https://archives.bulbagarden.net/media/upload/d/d1/175MS6.png", 3)</f>
        <v/>
      </c>
      <c r="F13" s="2050" t="str">
        <f>image("https://archives.bulbagarden.net/media/upload/c/c0/236MS6.png", 3)</f>
        <v/>
      </c>
      <c r="G13" s="2050" t="str">
        <f>image("https://archives.bulbagarden.net/media/upload/6/6d/238MS6.png", 3)</f>
        <v/>
      </c>
      <c r="H13" s="2050" t="str">
        <f>image("https://archives.bulbagarden.net/media/upload/a/ad/239MS6.png", 3)</f>
        <v/>
      </c>
      <c r="I13" s="2050" t="str">
        <f>image("https://archives.bulbagarden.net/media/upload/9/99/240MS6.png", 3)</f>
        <v/>
      </c>
      <c r="J13" s="2050" t="str">
        <f>image("https://archives.bulbagarden.net/media/upload/b/b2/298MS6.png", 3)</f>
        <v/>
      </c>
      <c r="K13" s="2051" t="s">
        <v>10383</v>
      </c>
      <c r="L13" s="1230"/>
      <c r="M13" s="1911" t="s">
        <v>10384</v>
      </c>
      <c r="N13" s="138"/>
      <c r="O13" s="138"/>
      <c r="P13" s="138"/>
      <c r="Q13" s="138"/>
      <c r="R13" s="138"/>
      <c r="S13" s="138"/>
      <c r="T13" s="128"/>
      <c r="U13" s="1230"/>
      <c r="V13" s="1962" t="str">
        <f>image("https://archives.bulbagarden.net/media/upload/2/2e/252MS6.png", 3)</f>
        <v/>
      </c>
      <c r="W13" s="1964" t="str">
        <f>image("https://archives.bulbagarden.net/media/upload/4/41/255MS6.png", 3)</f>
        <v/>
      </c>
      <c r="X13" s="1964" t="str">
        <f>image("https://archives.bulbagarden.net/media/upload/a/ab/258MS6.png", 3)</f>
        <v/>
      </c>
      <c r="Y13" s="2052" t="s">
        <v>10385</v>
      </c>
      <c r="Z13" s="1230"/>
      <c r="AA13" s="1096" t="s">
        <v>3026</v>
      </c>
      <c r="AB13" s="138"/>
      <c r="AC13" s="138"/>
      <c r="AD13" s="2028" t="str">
        <f t="shared" si="53"/>
        <v>#NAME?</v>
      </c>
      <c r="AE13" s="1014" t="str">
        <f t="shared" si="54"/>
        <v>#NAME?</v>
      </c>
      <c r="AF13" s="2029" t="str">
        <f t="shared" si="55"/>
        <v>#NAME?</v>
      </c>
      <c r="AG13" s="1015" t="str">
        <f t="shared" si="56"/>
        <v>#NAME?</v>
      </c>
      <c r="AI13" s="1096" t="s">
        <v>3154</v>
      </c>
      <c r="AJ13" s="138"/>
      <c r="AK13" s="138"/>
      <c r="AL13" s="2028" t="str">
        <f t="shared" si="57"/>
        <v>#NAME?</v>
      </c>
      <c r="AM13" s="1014" t="str">
        <f t="shared" si="58"/>
        <v>#NAME?</v>
      </c>
      <c r="AN13" s="2029" t="str">
        <f t="shared" si="59"/>
        <v>#NAME?</v>
      </c>
      <c r="AO13" s="1015" t="str">
        <f t="shared" si="60"/>
        <v>#NAME?</v>
      </c>
      <c r="AP13" s="1230"/>
      <c r="AQ13" s="1096" t="s">
        <v>3841</v>
      </c>
      <c r="AR13" s="138"/>
      <c r="AS13" s="138"/>
      <c r="AT13" s="2028" t="str">
        <f t="shared" si="61"/>
        <v>#NAME?</v>
      </c>
      <c r="AU13" s="1014" t="str">
        <f t="shared" si="62"/>
        <v>#NAME?</v>
      </c>
      <c r="AV13" s="2029" t="str">
        <f t="shared" si="63"/>
        <v>#NAME?</v>
      </c>
      <c r="AW13" s="1014" t="str">
        <f t="shared" si="64"/>
        <v>#NAME?</v>
      </c>
      <c r="AX13" s="2019"/>
      <c r="AY13" s="1230"/>
      <c r="AZ13" s="442"/>
      <c r="BA13" s="442"/>
      <c r="BB13" s="442"/>
      <c r="BC13" s="442"/>
      <c r="BD13" s="442"/>
      <c r="BE13" s="442"/>
      <c r="BF13" s="442"/>
      <c r="BG13" s="442"/>
      <c r="BH13" s="1230"/>
      <c r="BI13" s="1230"/>
      <c r="BJ13" s="1230"/>
      <c r="BK13" s="1230"/>
      <c r="BL13" s="1230"/>
      <c r="BM13" s="1230"/>
      <c r="BN13" s="1230"/>
      <c r="BO13" s="1230"/>
      <c r="BP13" s="1230"/>
      <c r="BQ13" s="1230"/>
      <c r="BR13" s="1230"/>
      <c r="BS13" s="1230"/>
      <c r="BT13" s="1230"/>
      <c r="BU13" s="1230"/>
      <c r="BV13" s="1230"/>
      <c r="BW13" s="1230"/>
      <c r="BX13" s="1230"/>
      <c r="BY13" s="1230"/>
      <c r="BZ13" s="1230"/>
      <c r="CA13" s="2053" t="s">
        <v>10386</v>
      </c>
      <c r="CB13" s="519"/>
      <c r="CC13" s="519"/>
      <c r="CD13" s="519"/>
      <c r="CE13" s="519"/>
      <c r="CF13" s="519"/>
      <c r="CG13" s="519"/>
      <c r="CH13" s="982"/>
      <c r="CI13" s="1230"/>
      <c r="CJ13" s="1096" t="s">
        <v>2273</v>
      </c>
      <c r="CK13" s="138"/>
      <c r="CL13" s="138"/>
      <c r="CM13" s="2042" t="str">
        <f t="shared" si="65"/>
        <v>#NAME?</v>
      </c>
      <c r="CN13" s="1034" t="str">
        <f t="shared" si="66"/>
        <v>#NAME?</v>
      </c>
      <c r="CO13" s="2029" t="str">
        <f t="shared" si="67"/>
        <v>#NAME?</v>
      </c>
      <c r="CP13" s="1015" t="str">
        <f t="shared" si="68"/>
        <v>#NAME?</v>
      </c>
      <c r="CQ13" s="1230"/>
      <c r="CR13" s="1096" t="s">
        <v>341</v>
      </c>
      <c r="CS13" s="138"/>
      <c r="CT13" s="138"/>
      <c r="CU13" s="2042" t="str">
        <f t="shared" si="69"/>
        <v>#NAME?</v>
      </c>
      <c r="CV13" s="1034" t="str">
        <f t="shared" si="70"/>
        <v>#NAME?</v>
      </c>
      <c r="CW13" s="2029" t="str">
        <f t="shared" si="71"/>
        <v>#NAME?</v>
      </c>
      <c r="CX13" s="1015" t="str">
        <f t="shared" si="72"/>
        <v>#NAME?</v>
      </c>
      <c r="CY13" s="1230"/>
      <c r="CZ13" s="1096" t="s">
        <v>2919</v>
      </c>
      <c r="DA13" s="138"/>
      <c r="DB13" s="138"/>
      <c r="DC13" s="2042" t="str">
        <f t="shared" si="73"/>
        <v>#NAME?</v>
      </c>
      <c r="DD13" s="1034" t="str">
        <f t="shared" si="74"/>
        <v>#NAME?</v>
      </c>
      <c r="DE13" s="2029" t="str">
        <f t="shared" si="75"/>
        <v>#NAME?</v>
      </c>
      <c r="DF13" s="1015" t="str">
        <f t="shared" si="76"/>
        <v>#NAME?</v>
      </c>
      <c r="DG13" s="1230"/>
      <c r="DH13" s="1096" t="s">
        <v>2640</v>
      </c>
      <c r="DI13" s="138"/>
      <c r="DJ13" s="138"/>
      <c r="DK13" s="2042" t="str">
        <f t="shared" si="77"/>
        <v>#NAME?</v>
      </c>
      <c r="DL13" s="1034" t="str">
        <f t="shared" si="78"/>
        <v>#NAME?</v>
      </c>
      <c r="DM13" s="2029" t="str">
        <f t="shared" si="79"/>
        <v>#NAME?</v>
      </c>
      <c r="DN13" s="1015" t="str">
        <f t="shared" si="80"/>
        <v>#NAME?</v>
      </c>
      <c r="DO13" s="1230"/>
      <c r="DP13" s="1230"/>
      <c r="DQ13" s="1230"/>
      <c r="DR13" s="1230"/>
      <c r="DS13" s="1230"/>
      <c r="DT13" s="1230"/>
      <c r="DU13" s="1230"/>
      <c r="DV13" s="1230"/>
      <c r="DW13" s="1230"/>
      <c r="DX13" s="1230"/>
      <c r="DY13" s="1230"/>
      <c r="DZ13" s="1230"/>
      <c r="EA13" s="1230"/>
      <c r="EB13" s="1230"/>
      <c r="EC13" s="1230"/>
      <c r="ED13" s="1230"/>
      <c r="EE13" s="1230"/>
      <c r="EF13" s="1230"/>
      <c r="EG13" s="1230"/>
      <c r="EH13" s="1923" t="s">
        <v>10387</v>
      </c>
      <c r="EI13" s="1026"/>
      <c r="EJ13" s="1026"/>
      <c r="EK13" s="1026"/>
      <c r="EL13" s="1026"/>
      <c r="EM13" s="1026"/>
      <c r="EN13" s="1026"/>
      <c r="EO13" s="998"/>
      <c r="EP13" s="1230"/>
      <c r="EQ13" s="2054" t="s">
        <v>10388</v>
      </c>
      <c r="ER13" s="1032"/>
      <c r="ES13" s="1032"/>
      <c r="ET13" s="1032"/>
      <c r="EU13" s="1032"/>
      <c r="EV13" s="1032"/>
      <c r="EW13" s="1032"/>
      <c r="EX13" s="30"/>
      <c r="EY13" s="1230"/>
      <c r="FH13" s="1230"/>
      <c r="FQ13" s="1230"/>
      <c r="FR13" s="1230"/>
      <c r="FS13" s="1230"/>
      <c r="FT13" s="1230"/>
      <c r="FU13" s="1230"/>
      <c r="FV13" s="1230"/>
      <c r="FW13" s="1230"/>
      <c r="FX13" s="1230"/>
      <c r="FY13" s="1230"/>
      <c r="FZ13" s="1230"/>
      <c r="GD13" s="1230"/>
      <c r="GE13" s="1230"/>
      <c r="GF13" s="1230"/>
      <c r="GG13" s="1230"/>
      <c r="GH13" s="1230"/>
      <c r="GI13" s="1230"/>
      <c r="GJ13" s="2055" t="s">
        <v>4608</v>
      </c>
      <c r="GK13" s="2056" t="s">
        <v>10389</v>
      </c>
      <c r="GL13" s="1032"/>
      <c r="GM13" s="1032"/>
      <c r="GN13" s="1032"/>
      <c r="GO13" s="1032"/>
      <c r="GP13" s="1032"/>
      <c r="GQ13" s="30"/>
      <c r="GR13" s="1230"/>
      <c r="GS13" s="1831" t="s">
        <v>2153</v>
      </c>
      <c r="GT13" s="138"/>
      <c r="GU13" s="138"/>
      <c r="GV13" s="2042" t="str">
        <f t="shared" si="81"/>
        <v>#NAME?</v>
      </c>
      <c r="GW13" s="1034" t="str">
        <f t="shared" si="82"/>
        <v>#NAME?</v>
      </c>
      <c r="GX13" s="2029" t="str">
        <f t="shared" si="83"/>
        <v>#NAME?</v>
      </c>
      <c r="GY13" s="1015" t="str">
        <f t="shared" si="84"/>
        <v>#NAME?</v>
      </c>
      <c r="GZ13" s="65"/>
      <c r="HA13" s="1096" t="s">
        <v>3482</v>
      </c>
      <c r="HB13" s="138"/>
      <c r="HC13" s="138"/>
      <c r="HD13" s="2042" t="str">
        <f t="shared" si="85"/>
        <v>#NAME?</v>
      </c>
      <c r="HE13" s="1034" t="str">
        <f t="shared" si="86"/>
        <v>#NAME?</v>
      </c>
      <c r="HF13" s="2029" t="str">
        <f t="shared" si="87"/>
        <v>#NAME?</v>
      </c>
      <c r="HG13" s="1015" t="str">
        <f t="shared" si="88"/>
        <v>#NAME?</v>
      </c>
      <c r="HH13" s="65"/>
      <c r="HI13" s="1096" t="s">
        <v>379</v>
      </c>
      <c r="HJ13" s="138"/>
      <c r="HK13" s="138"/>
      <c r="HL13" s="2042" t="str">
        <f t="shared" si="89"/>
        <v>#NAME?</v>
      </c>
      <c r="HM13" s="1034" t="str">
        <f t="shared" si="90"/>
        <v>#NAME?</v>
      </c>
      <c r="HN13" s="2029" t="str">
        <f t="shared" si="91"/>
        <v>#NAME?</v>
      </c>
      <c r="HO13" s="1015" t="str">
        <f t="shared" si="92"/>
        <v>#NAME?</v>
      </c>
      <c r="HP13" s="65"/>
      <c r="HQ13" s="1096" t="s">
        <v>4023</v>
      </c>
      <c r="HR13" s="138"/>
      <c r="HS13" s="138"/>
      <c r="HT13" s="2042" t="str">
        <f t="shared" si="93"/>
        <v>#NAME?</v>
      </c>
      <c r="HU13" s="1034" t="str">
        <f t="shared" si="94"/>
        <v>#NAME?</v>
      </c>
      <c r="HV13" s="2029" t="str">
        <f t="shared" si="95"/>
        <v>#NAME?</v>
      </c>
      <c r="HW13" s="1015" t="str">
        <f t="shared" si="96"/>
        <v>#NAME?</v>
      </c>
      <c r="HX13" s="65"/>
      <c r="HY13" s="1096" t="s">
        <v>1197</v>
      </c>
      <c r="HZ13" s="138"/>
      <c r="IA13" s="138"/>
      <c r="IB13" s="2042" t="str">
        <f t="shared" si="97"/>
        <v>#NAME?</v>
      </c>
      <c r="IC13" s="1034" t="str">
        <f t="shared" si="98"/>
        <v>#NAME?</v>
      </c>
      <c r="ID13" s="2029" t="str">
        <f t="shared" si="99"/>
        <v>#NAME?</v>
      </c>
      <c r="IE13" s="1015" t="str">
        <f t="shared" si="100"/>
        <v>#NAME?</v>
      </c>
      <c r="IF13" s="65"/>
      <c r="IG13" s="1096" t="s">
        <v>379</v>
      </c>
      <c r="IH13" s="138"/>
      <c r="II13" s="138"/>
      <c r="IJ13" s="2042" t="str">
        <f t="shared" si="101"/>
        <v>#NAME?</v>
      </c>
      <c r="IK13" s="1034" t="str">
        <f t="shared" si="102"/>
        <v>#NAME?</v>
      </c>
      <c r="IL13" s="2029" t="str">
        <f t="shared" si="103"/>
        <v>#NAME?</v>
      </c>
      <c r="IM13" s="1015" t="str">
        <f t="shared" si="104"/>
        <v>#NAME?</v>
      </c>
      <c r="IN13" s="65"/>
      <c r="IO13" s="1096" t="s">
        <v>2189</v>
      </c>
      <c r="IP13" s="138"/>
      <c r="IQ13" s="138"/>
      <c r="IR13" s="2042" t="str">
        <f t="shared" si="105"/>
        <v>#NAME?</v>
      </c>
      <c r="IS13" s="1034" t="str">
        <f t="shared" si="106"/>
        <v>#NAME?</v>
      </c>
      <c r="IT13" s="2029" t="str">
        <f t="shared" si="107"/>
        <v>#NAME?</v>
      </c>
      <c r="IU13" s="1015" t="str">
        <f t="shared" si="108"/>
        <v>#NAME?</v>
      </c>
      <c r="IV13" s="65"/>
      <c r="IW13" s="1096" t="s">
        <v>987</v>
      </c>
      <c r="IX13" s="138"/>
      <c r="IY13" s="138"/>
      <c r="IZ13" s="2042" t="str">
        <f t="shared" si="109"/>
        <v>#NAME?</v>
      </c>
      <c r="JA13" s="1034" t="str">
        <f t="shared" si="110"/>
        <v>#NAME?</v>
      </c>
      <c r="JB13" s="2029" t="str">
        <f t="shared" si="111"/>
        <v>#NAME?</v>
      </c>
      <c r="JC13" s="1015" t="str">
        <f t="shared" si="112"/>
        <v>#NAME?</v>
      </c>
      <c r="JD13" s="1230"/>
    </row>
    <row r="14" ht="15.75" customHeight="1">
      <c r="A14" s="1238"/>
      <c r="B14" s="2057" t="str">
        <f>image("https://archives.bulbagarden.net/media/upload/8/82/360MS6.png", 3)</f>
        <v/>
      </c>
      <c r="C14" s="2058" t="str">
        <f>image("https://archives.bulbagarden.net/media/upload/0/0e/406MS6.png", 3)</f>
        <v/>
      </c>
      <c r="D14" s="2058" t="str">
        <f>image("https://archives.bulbagarden.net/media/upload/7/7b/433MS6.png", 3)</f>
        <v/>
      </c>
      <c r="E14" s="2058" t="str">
        <f>image("https://archives.bulbagarden.net/media/upload/c/cc/438MS6.png", 3)</f>
        <v/>
      </c>
      <c r="F14" s="2058" t="str">
        <f>image("https://archives.bulbagarden.net/media/upload/2/29/439MS6.png", 3)</f>
        <v/>
      </c>
      <c r="G14" s="2058" t="str">
        <f>image("https://archives.bulbagarden.net/media/upload/9/92/440MS6.png", 3)</f>
        <v/>
      </c>
      <c r="H14" s="2058" t="str">
        <f>image("https://archives.bulbagarden.net/media/upload/d/d7/446MS6.png", 3)</f>
        <v/>
      </c>
      <c r="I14" s="2058" t="str">
        <f>image("https://archives.bulbagarden.net/media/upload/d/d6/447MS6.png", 3)</f>
        <v/>
      </c>
      <c r="J14" s="2058" t="str">
        <f>image("https://archives.bulbagarden.net/media/upload/3/31/458MS6.png", 3)</f>
        <v/>
      </c>
      <c r="K14" s="1446"/>
      <c r="L14" s="1230"/>
      <c r="M14" s="1914" t="s">
        <v>10390</v>
      </c>
      <c r="N14" s="413"/>
      <c r="O14" s="413"/>
      <c r="P14" s="413"/>
      <c r="Q14" s="413"/>
      <c r="R14" s="413"/>
      <c r="S14" s="413"/>
      <c r="T14" s="414"/>
      <c r="U14" s="1230"/>
      <c r="V14" s="2059" t="s">
        <v>10391</v>
      </c>
      <c r="W14" s="482"/>
      <c r="X14" s="482"/>
      <c r="Y14" s="267"/>
      <c r="Z14" s="1230"/>
      <c r="AA14" s="1094" t="s">
        <v>2648</v>
      </c>
      <c r="AB14" s="413"/>
      <c r="AC14" s="413"/>
      <c r="AD14" s="2032" t="str">
        <f t="shared" si="53"/>
        <v>#NAME?</v>
      </c>
      <c r="AE14" s="1130" t="str">
        <f t="shared" si="54"/>
        <v>#NAME?</v>
      </c>
      <c r="AF14" s="2033" t="str">
        <f t="shared" si="55"/>
        <v>#NAME?</v>
      </c>
      <c r="AG14" s="1131" t="str">
        <f t="shared" si="56"/>
        <v>#NAME?</v>
      </c>
      <c r="AI14" s="1094" t="s">
        <v>2492</v>
      </c>
      <c r="AJ14" s="413"/>
      <c r="AK14" s="413"/>
      <c r="AL14" s="2032" t="str">
        <f t="shared" si="57"/>
        <v>#NAME?</v>
      </c>
      <c r="AM14" s="1130" t="str">
        <f t="shared" si="58"/>
        <v>#NAME?</v>
      </c>
      <c r="AN14" s="2033" t="str">
        <f t="shared" si="59"/>
        <v>#NAME?</v>
      </c>
      <c r="AO14" s="1131" t="str">
        <f t="shared" si="60"/>
        <v>#NAME?</v>
      </c>
      <c r="AP14" s="1230"/>
      <c r="AQ14" s="1094" t="s">
        <v>2008</v>
      </c>
      <c r="AR14" s="413"/>
      <c r="AS14" s="413"/>
      <c r="AT14" s="2032" t="str">
        <f t="shared" si="61"/>
        <v>#NAME?</v>
      </c>
      <c r="AU14" s="1130" t="str">
        <f t="shared" si="62"/>
        <v>#NAME?</v>
      </c>
      <c r="AV14" s="2033" t="str">
        <f t="shared" si="63"/>
        <v>#NAME?</v>
      </c>
      <c r="AW14" s="1130" t="str">
        <f t="shared" si="64"/>
        <v>#NAME?</v>
      </c>
      <c r="AX14" s="2035"/>
      <c r="AY14" s="1230"/>
      <c r="AZ14" s="1966" t="str">
        <f>MONSPRITE(BA14)</f>
        <v>#NAME?</v>
      </c>
      <c r="BA14" s="1259" t="s">
        <v>1523</v>
      </c>
      <c r="BB14" s="12"/>
      <c r="BC14" s="12"/>
      <c r="BD14" s="12"/>
      <c r="BE14" s="962"/>
      <c r="BF14" s="1256" t="s">
        <v>5390</v>
      </c>
      <c r="BG14" s="1967"/>
      <c r="BH14" s="1230"/>
      <c r="BI14" s="1966" t="str">
        <f>MONSPRITE(BJ14)</f>
        <v>#NAME?</v>
      </c>
      <c r="BJ14" s="1259" t="s">
        <v>2311</v>
      </c>
      <c r="BK14" s="12"/>
      <c r="BL14" s="12"/>
      <c r="BM14" s="12"/>
      <c r="BN14" s="962"/>
      <c r="BO14" s="1256" t="s">
        <v>5018</v>
      </c>
      <c r="BP14" s="1967"/>
      <c r="BQ14" s="1230"/>
      <c r="BR14" s="1966" t="str">
        <f>MONSPRITE(BS14)</f>
        <v>#NAME?</v>
      </c>
      <c r="BS14" s="1259" t="s">
        <v>2358</v>
      </c>
      <c r="BT14" s="12"/>
      <c r="BU14" s="12"/>
      <c r="BV14" s="12"/>
      <c r="BW14" s="962"/>
      <c r="BX14" s="1256" t="s">
        <v>5032</v>
      </c>
      <c r="BY14" s="1967"/>
      <c r="BZ14" s="1230"/>
      <c r="CA14" s="1860"/>
      <c r="CB14" s="1032"/>
      <c r="CC14" s="1032"/>
      <c r="CD14" s="1032"/>
      <c r="CE14" s="1032"/>
      <c r="CF14" s="1032"/>
      <c r="CG14" s="1032"/>
      <c r="CH14" s="30"/>
      <c r="CI14" s="1230"/>
      <c r="CJ14" s="1096" t="s">
        <v>3841</v>
      </c>
      <c r="CK14" s="138"/>
      <c r="CL14" s="138"/>
      <c r="CM14" s="2042" t="str">
        <f t="shared" si="65"/>
        <v>#NAME?</v>
      </c>
      <c r="CN14" s="1034" t="str">
        <f t="shared" si="66"/>
        <v>#NAME?</v>
      </c>
      <c r="CO14" s="2029" t="str">
        <f t="shared" si="67"/>
        <v>#NAME?</v>
      </c>
      <c r="CP14" s="1015" t="str">
        <f t="shared" si="68"/>
        <v>#NAME?</v>
      </c>
      <c r="CQ14" s="1230"/>
      <c r="CR14" s="1096" t="s">
        <v>1913</v>
      </c>
      <c r="CS14" s="138"/>
      <c r="CT14" s="138"/>
      <c r="CU14" s="2042" t="str">
        <f t="shared" si="69"/>
        <v>#NAME?</v>
      </c>
      <c r="CV14" s="1034" t="str">
        <f t="shared" si="70"/>
        <v>#NAME?</v>
      </c>
      <c r="CW14" s="2029" t="str">
        <f t="shared" si="71"/>
        <v>#NAME?</v>
      </c>
      <c r="CX14" s="1015" t="str">
        <f t="shared" si="72"/>
        <v>#NAME?</v>
      </c>
      <c r="CY14" s="1230"/>
      <c r="CZ14" s="1096" t="s">
        <v>239</v>
      </c>
      <c r="DA14" s="138"/>
      <c r="DB14" s="138"/>
      <c r="DC14" s="2042" t="str">
        <f t="shared" si="73"/>
        <v>#NAME?</v>
      </c>
      <c r="DD14" s="1034" t="str">
        <f t="shared" si="74"/>
        <v>#NAME?</v>
      </c>
      <c r="DE14" s="2029" t="str">
        <f t="shared" si="75"/>
        <v>#NAME?</v>
      </c>
      <c r="DF14" s="1015" t="str">
        <f t="shared" si="76"/>
        <v>#NAME?</v>
      </c>
      <c r="DG14" s="1230"/>
      <c r="DH14" s="1096" t="s">
        <v>3438</v>
      </c>
      <c r="DI14" s="138"/>
      <c r="DJ14" s="138"/>
      <c r="DK14" s="2042" t="str">
        <f t="shared" si="77"/>
        <v>#NAME?</v>
      </c>
      <c r="DL14" s="1034" t="str">
        <f t="shared" si="78"/>
        <v>#NAME?</v>
      </c>
      <c r="DM14" s="2029" t="str">
        <f t="shared" si="79"/>
        <v>#NAME?</v>
      </c>
      <c r="DN14" s="1015" t="str">
        <f t="shared" si="80"/>
        <v>#NAME?</v>
      </c>
      <c r="DO14" s="1230"/>
      <c r="DP14" s="1966" t="str">
        <f>MONSPRITE(DQ14)</f>
        <v>#NAME?</v>
      </c>
      <c r="DQ14" s="1259" t="s">
        <v>3499</v>
      </c>
      <c r="DR14" s="12"/>
      <c r="DS14" s="12"/>
      <c r="DT14" s="12"/>
      <c r="DU14" s="962"/>
      <c r="DV14" s="1256" t="s">
        <v>5018</v>
      </c>
      <c r="DW14" s="1967"/>
      <c r="DX14" s="1230"/>
      <c r="DY14" s="1966" t="str">
        <f>MONSPRITE(DZ14)</f>
        <v>#NAME?</v>
      </c>
      <c r="DZ14" s="1259" t="s">
        <v>3520</v>
      </c>
      <c r="EA14" s="12"/>
      <c r="EB14" s="12"/>
      <c r="EC14" s="12"/>
      <c r="ED14" s="962"/>
      <c r="EE14" s="1256" t="s">
        <v>5410</v>
      </c>
      <c r="EF14" s="1967"/>
      <c r="EG14" s="1230"/>
      <c r="EP14" s="1230"/>
      <c r="EQ14" s="1981" t="s">
        <v>10392</v>
      </c>
      <c r="ER14" s="413"/>
      <c r="ES14" s="413"/>
      <c r="ET14" s="413"/>
      <c r="EU14" s="413"/>
      <c r="EV14" s="413"/>
      <c r="EW14" s="413"/>
      <c r="EX14" s="414"/>
      <c r="EY14" s="1230"/>
      <c r="EZ14" s="1966" t="str">
        <f>MONSPRITE(FA14)</f>
        <v>#NAME?</v>
      </c>
      <c r="FA14" s="1259" t="s">
        <v>4311</v>
      </c>
      <c r="FB14" s="12"/>
      <c r="FC14" s="12"/>
      <c r="FD14" s="12"/>
      <c r="FE14" s="962"/>
      <c r="FF14" s="1256" t="s">
        <v>5018</v>
      </c>
      <c r="FG14" s="1967"/>
      <c r="FH14" s="1230"/>
      <c r="FI14" s="1966" t="str">
        <f>MONSPRITE(FJ14)</f>
        <v>#NAME?</v>
      </c>
      <c r="FJ14" s="1259" t="s">
        <v>4325</v>
      </c>
      <c r="FK14" s="12"/>
      <c r="FL14" s="12"/>
      <c r="FM14" s="12"/>
      <c r="FN14" s="962"/>
      <c r="FO14" s="1256" t="s">
        <v>5032</v>
      </c>
      <c r="FP14" s="1967"/>
      <c r="FQ14" s="1230"/>
      <c r="FR14" s="1966" t="str">
        <f>MONSPRITE(FS14)</f>
        <v>#NAME?</v>
      </c>
      <c r="FS14" s="1259" t="s">
        <v>4336</v>
      </c>
      <c r="FT14" s="12"/>
      <c r="FU14" s="12"/>
      <c r="FV14" s="12"/>
      <c r="FW14" s="962"/>
      <c r="FX14" s="1256" t="s">
        <v>5032</v>
      </c>
      <c r="FY14" s="1967"/>
      <c r="FZ14" s="1230"/>
      <c r="GA14" s="1966" t="str">
        <f>MONSPRITE(GB14)</f>
        <v>#NAME?</v>
      </c>
      <c r="GB14" s="1259" t="s">
        <v>4371</v>
      </c>
      <c r="GC14" s="12"/>
      <c r="GD14" s="12"/>
      <c r="GE14" s="12"/>
      <c r="GF14" s="962"/>
      <c r="GG14" s="1256" t="s">
        <v>5410</v>
      </c>
      <c r="GH14" s="1967"/>
      <c r="GI14" s="1230"/>
      <c r="GJ14" s="2060" t="s">
        <v>4608</v>
      </c>
      <c r="GK14" s="2061" t="s">
        <v>10393</v>
      </c>
      <c r="GL14" s="138"/>
      <c r="GM14" s="138"/>
      <c r="GN14" s="138"/>
      <c r="GO14" s="138"/>
      <c r="GP14" s="138"/>
      <c r="GQ14" s="128"/>
      <c r="GR14" s="1230"/>
      <c r="GS14" s="1831" t="s">
        <v>3465</v>
      </c>
      <c r="GT14" s="138"/>
      <c r="GU14" s="138"/>
      <c r="GV14" s="2042" t="str">
        <f t="shared" si="81"/>
        <v>#NAME?</v>
      </c>
      <c r="GW14" s="1034" t="str">
        <f t="shared" si="82"/>
        <v>#NAME?</v>
      </c>
      <c r="GX14" s="2029" t="str">
        <f t="shared" si="83"/>
        <v>#NAME?</v>
      </c>
      <c r="GY14" s="1015" t="str">
        <f t="shared" si="84"/>
        <v>#NAME?</v>
      </c>
      <c r="GZ14" s="65"/>
      <c r="HA14" s="1096" t="s">
        <v>3748</v>
      </c>
      <c r="HB14" s="138"/>
      <c r="HC14" s="138"/>
      <c r="HD14" s="2042" t="str">
        <f t="shared" si="85"/>
        <v>#NAME?</v>
      </c>
      <c r="HE14" s="1034" t="str">
        <f t="shared" si="86"/>
        <v>#NAME?</v>
      </c>
      <c r="HF14" s="2029" t="str">
        <f t="shared" si="87"/>
        <v>#NAME?</v>
      </c>
      <c r="HG14" s="1015" t="str">
        <f t="shared" si="88"/>
        <v>#NAME?</v>
      </c>
      <c r="HH14" s="65"/>
      <c r="HI14" s="1096" t="s">
        <v>987</v>
      </c>
      <c r="HJ14" s="138"/>
      <c r="HK14" s="138"/>
      <c r="HL14" s="2042" t="str">
        <f t="shared" si="89"/>
        <v>#NAME?</v>
      </c>
      <c r="HM14" s="1034" t="str">
        <f t="shared" si="90"/>
        <v>#NAME?</v>
      </c>
      <c r="HN14" s="2029" t="str">
        <f t="shared" si="91"/>
        <v>#NAME?</v>
      </c>
      <c r="HO14" s="1015" t="str">
        <f t="shared" si="92"/>
        <v>#NAME?</v>
      </c>
      <c r="HP14" s="65"/>
      <c r="HQ14" s="1096" t="s">
        <v>3841</v>
      </c>
      <c r="HR14" s="138"/>
      <c r="HS14" s="138"/>
      <c r="HT14" s="2042" t="str">
        <f t="shared" si="93"/>
        <v>#NAME?</v>
      </c>
      <c r="HU14" s="1034" t="str">
        <f t="shared" si="94"/>
        <v>#NAME?</v>
      </c>
      <c r="HV14" s="2029" t="str">
        <f t="shared" si="95"/>
        <v>#NAME?</v>
      </c>
      <c r="HW14" s="1015" t="str">
        <f t="shared" si="96"/>
        <v>#NAME?</v>
      </c>
      <c r="HX14" s="65"/>
      <c r="HY14" s="1096" t="s">
        <v>1357</v>
      </c>
      <c r="HZ14" s="138"/>
      <c r="IA14" s="138"/>
      <c r="IB14" s="2042" t="str">
        <f t="shared" si="97"/>
        <v>#NAME?</v>
      </c>
      <c r="IC14" s="1034" t="str">
        <f t="shared" si="98"/>
        <v>#NAME?</v>
      </c>
      <c r="ID14" s="2029" t="str">
        <f t="shared" si="99"/>
        <v>#NAME?</v>
      </c>
      <c r="IE14" s="1015" t="str">
        <f t="shared" si="100"/>
        <v>#NAME?</v>
      </c>
      <c r="IF14" s="65"/>
      <c r="IG14" s="1096" t="s">
        <v>4130</v>
      </c>
      <c r="IH14" s="138"/>
      <c r="II14" s="138"/>
      <c r="IJ14" s="2042" t="str">
        <f t="shared" si="101"/>
        <v>#NAME?</v>
      </c>
      <c r="IK14" s="1034" t="str">
        <f t="shared" si="102"/>
        <v>#NAME?</v>
      </c>
      <c r="IL14" s="2029" t="str">
        <f t="shared" si="103"/>
        <v>#NAME?</v>
      </c>
      <c r="IM14" s="1015" t="str">
        <f t="shared" si="104"/>
        <v>#NAME?</v>
      </c>
      <c r="IN14" s="65"/>
      <c r="IO14" s="1096" t="s">
        <v>2725</v>
      </c>
      <c r="IP14" s="138"/>
      <c r="IQ14" s="138"/>
      <c r="IR14" s="2042" t="str">
        <f t="shared" si="105"/>
        <v>#NAME?</v>
      </c>
      <c r="IS14" s="1034" t="str">
        <f t="shared" si="106"/>
        <v>#NAME?</v>
      </c>
      <c r="IT14" s="2029" t="str">
        <f t="shared" si="107"/>
        <v>#NAME?</v>
      </c>
      <c r="IU14" s="1015" t="str">
        <f t="shared" si="108"/>
        <v>#NAME?</v>
      </c>
      <c r="IV14" s="65"/>
      <c r="IW14" s="1096" t="s">
        <v>632</v>
      </c>
      <c r="IX14" s="138"/>
      <c r="IY14" s="138"/>
      <c r="IZ14" s="2042" t="str">
        <f t="shared" si="109"/>
        <v>#NAME?</v>
      </c>
      <c r="JA14" s="1034" t="str">
        <f t="shared" si="110"/>
        <v>#NAME?</v>
      </c>
      <c r="JB14" s="2029" t="str">
        <f t="shared" si="111"/>
        <v>#NAME?</v>
      </c>
      <c r="JC14" s="1015" t="str">
        <f t="shared" si="112"/>
        <v>#NAME?</v>
      </c>
      <c r="JD14" s="1230"/>
    </row>
    <row r="15" ht="15.75" customHeight="1">
      <c r="A15" s="1238"/>
      <c r="B15" s="1974" t="s">
        <v>10394</v>
      </c>
      <c r="C15" s="482"/>
      <c r="D15" s="482"/>
      <c r="E15" s="482"/>
      <c r="F15" s="482"/>
      <c r="G15" s="482"/>
      <c r="H15" s="482"/>
      <c r="I15" s="482"/>
      <c r="J15" s="482"/>
      <c r="K15" s="267"/>
      <c r="L15" s="1230"/>
      <c r="M15" s="428"/>
      <c r="N15" s="428"/>
      <c r="O15" s="428"/>
      <c r="P15" s="428"/>
      <c r="Q15" s="428"/>
      <c r="R15" s="428"/>
      <c r="S15" s="428"/>
      <c r="T15" s="428"/>
      <c r="U15" s="1230"/>
      <c r="V15" s="2062" t="s">
        <v>10395</v>
      </c>
      <c r="W15" s="413"/>
      <c r="X15" s="413"/>
      <c r="Y15" s="414"/>
      <c r="Z15" s="1230"/>
      <c r="AA15" s="1825" t="s">
        <v>10396</v>
      </c>
      <c r="AB15" s="976"/>
      <c r="AC15" s="976"/>
      <c r="AD15" s="976"/>
      <c r="AE15" s="976"/>
      <c r="AF15" s="976"/>
      <c r="AG15" s="954"/>
      <c r="AH15" s="442"/>
      <c r="AI15" s="1825" t="s">
        <v>10397</v>
      </c>
      <c r="AJ15" s="976"/>
      <c r="AK15" s="976"/>
      <c r="AL15" s="976"/>
      <c r="AM15" s="976"/>
      <c r="AN15" s="976"/>
      <c r="AO15" s="954"/>
      <c r="AP15" s="1230"/>
      <c r="AQ15" s="442"/>
      <c r="AR15" s="442"/>
      <c r="AS15" s="442"/>
      <c r="AT15" s="442"/>
      <c r="AU15" s="442"/>
      <c r="AV15" s="442"/>
      <c r="AW15" s="442"/>
      <c r="AX15" s="442"/>
      <c r="AY15" s="1230"/>
      <c r="AZ15" s="1444"/>
      <c r="BA15" s="1092" t="str">
        <f>TYPEICON(BB15)</f>
        <v>#NAME?</v>
      </c>
      <c r="BB15" s="398" t="str">
        <f>MONTYPE(BA14)</f>
        <v>#NAME?</v>
      </c>
      <c r="BC15" s="48"/>
      <c r="BD15" s="986" t="str">
        <f>TYPEICON(BE15)</f>
        <v>#NAME?</v>
      </c>
      <c r="BE15" s="398" t="str">
        <f>MONTYPE2(BA14)</f>
        <v>#NAME?</v>
      </c>
      <c r="BF15" s="48"/>
      <c r="BG15" s="1809" t="s">
        <v>10398</v>
      </c>
      <c r="BH15" s="1230"/>
      <c r="BI15" s="1444"/>
      <c r="BJ15" s="1092" t="str">
        <f>TYPEICON(BK15)</f>
        <v>#NAME?</v>
      </c>
      <c r="BK15" s="398" t="str">
        <f>MONTYPE(BJ14)</f>
        <v>#NAME?</v>
      </c>
      <c r="BL15" s="48"/>
      <c r="BM15" s="986" t="str">
        <f>TYPEICON(BN15)</f>
        <v>#NAME?</v>
      </c>
      <c r="BN15" s="398" t="str">
        <f>MONTYPE2(BJ14)</f>
        <v>#NAME?</v>
      </c>
      <c r="BO15" s="48"/>
      <c r="BP15" s="1977" t="s">
        <v>10268</v>
      </c>
      <c r="BQ15" s="1230"/>
      <c r="BR15" s="1444"/>
      <c r="BS15" s="1092" t="str">
        <f>TYPEICON(BT15)</f>
        <v>#NAME?</v>
      </c>
      <c r="BT15" s="398" t="str">
        <f>MONTYPE(BS14)</f>
        <v>#NAME?</v>
      </c>
      <c r="BU15" s="48"/>
      <c r="BV15" s="986" t="str">
        <f>TYPEICON(BW15)</f>
        <v>#NAME?</v>
      </c>
      <c r="BW15" s="398" t="str">
        <f>MONTYPE2(BS14)</f>
        <v>#NAME?</v>
      </c>
      <c r="BX15" s="48"/>
      <c r="BY15" s="1979" t="s">
        <v>10399</v>
      </c>
      <c r="BZ15" s="1230"/>
      <c r="CA15" s="1913" t="s">
        <v>10400</v>
      </c>
      <c r="CB15" s="1150"/>
      <c r="CC15" s="1150"/>
      <c r="CD15" s="1150"/>
      <c r="CE15" s="1150"/>
      <c r="CF15" s="1150"/>
      <c r="CG15" s="1150"/>
      <c r="CH15" s="1151"/>
      <c r="CI15" s="1230"/>
      <c r="CJ15" s="1094" t="s">
        <v>2776</v>
      </c>
      <c r="CK15" s="413"/>
      <c r="CL15" s="413"/>
      <c r="CM15" s="2063" t="str">
        <f t="shared" si="65"/>
        <v>#NAME?</v>
      </c>
      <c r="CN15" s="1054" t="str">
        <f t="shared" si="66"/>
        <v>#NAME?</v>
      </c>
      <c r="CO15" s="2033" t="str">
        <f t="shared" si="67"/>
        <v>#NAME?</v>
      </c>
      <c r="CP15" s="1131" t="str">
        <f t="shared" si="68"/>
        <v>#NAME?</v>
      </c>
      <c r="CQ15" s="1230"/>
      <c r="CR15" s="1094" t="s">
        <v>17</v>
      </c>
      <c r="CS15" s="413"/>
      <c r="CT15" s="413"/>
      <c r="CU15" s="2063" t="str">
        <f t="shared" si="69"/>
        <v>#NAME?</v>
      </c>
      <c r="CV15" s="1054" t="str">
        <f t="shared" si="70"/>
        <v>#NAME?</v>
      </c>
      <c r="CW15" s="2033" t="str">
        <f t="shared" si="71"/>
        <v>#NAME?</v>
      </c>
      <c r="CX15" s="1131" t="str">
        <f t="shared" si="72"/>
        <v>#NAME?</v>
      </c>
      <c r="CY15" s="1230"/>
      <c r="CZ15" s="1094" t="s">
        <v>3600</v>
      </c>
      <c r="DA15" s="413"/>
      <c r="DB15" s="413"/>
      <c r="DC15" s="2063" t="str">
        <f t="shared" si="73"/>
        <v>#NAME?</v>
      </c>
      <c r="DD15" s="1054" t="str">
        <f t="shared" si="74"/>
        <v>#NAME?</v>
      </c>
      <c r="DE15" s="2033" t="str">
        <f t="shared" si="75"/>
        <v>#NAME?</v>
      </c>
      <c r="DF15" s="1131" t="str">
        <f t="shared" si="76"/>
        <v>#NAME?</v>
      </c>
      <c r="DG15" s="1230"/>
      <c r="DH15" s="1094" t="s">
        <v>2145</v>
      </c>
      <c r="DI15" s="413"/>
      <c r="DJ15" s="413"/>
      <c r="DK15" s="2063" t="str">
        <f t="shared" si="77"/>
        <v>#NAME?</v>
      </c>
      <c r="DL15" s="1054" t="str">
        <f t="shared" si="78"/>
        <v>#NAME?</v>
      </c>
      <c r="DM15" s="2033" t="str">
        <f t="shared" si="79"/>
        <v>#NAME?</v>
      </c>
      <c r="DN15" s="1131" t="str">
        <f t="shared" si="80"/>
        <v>#NAME?</v>
      </c>
      <c r="DO15" s="1230"/>
      <c r="DP15" s="1444"/>
      <c r="DQ15" s="1092" t="str">
        <f>TYPEICON(DR15)</f>
        <v>#NAME?</v>
      </c>
      <c r="DR15" s="398" t="str">
        <f>MONTYPE(DQ14)</f>
        <v>#NAME?</v>
      </c>
      <c r="DS15" s="48"/>
      <c r="DT15" s="986" t="str">
        <f>TYPEICON(DU15)</f>
        <v>#NAME?</v>
      </c>
      <c r="DU15" s="398" t="str">
        <f>MONTYPE2(DQ14)</f>
        <v>#NAME?</v>
      </c>
      <c r="DV15" s="48"/>
      <c r="DW15" s="1977" t="s">
        <v>10271</v>
      </c>
      <c r="DX15" s="1230"/>
      <c r="DY15" s="1444"/>
      <c r="DZ15" s="1092" t="str">
        <f>TYPEICON(EA15)</f>
        <v>#NAME?</v>
      </c>
      <c r="EA15" s="398" t="str">
        <f>MONTYPE(DZ14)</f>
        <v>#NAME?</v>
      </c>
      <c r="EB15" s="48"/>
      <c r="EC15" s="986" t="str">
        <f>TYPEICON(ED15)</f>
        <v>#NAME?</v>
      </c>
      <c r="ED15" s="398" t="str">
        <f>MONTYPE2(DZ14)</f>
        <v>#NAME?</v>
      </c>
      <c r="EE15" s="48"/>
      <c r="EF15" s="1979" t="s">
        <v>10272</v>
      </c>
      <c r="EG15" s="1230"/>
      <c r="EH15" s="1966" t="str">
        <f>MONSPRITE(EI15)</f>
        <v>#NAME?</v>
      </c>
      <c r="EI15" s="1259" t="s">
        <v>3533</v>
      </c>
      <c r="EJ15" s="12"/>
      <c r="EK15" s="12"/>
      <c r="EL15" s="12"/>
      <c r="EM15" s="962"/>
      <c r="EN15" s="1256" t="s">
        <v>5032</v>
      </c>
      <c r="EO15" s="1967"/>
      <c r="EP15" s="1230"/>
      <c r="EQ15" s="1230"/>
      <c r="ER15" s="1230"/>
      <c r="ES15" s="1230"/>
      <c r="ET15" s="1230"/>
      <c r="EU15" s="1230"/>
      <c r="EV15" s="1230"/>
      <c r="EW15" s="1230"/>
      <c r="EX15" s="1230"/>
      <c r="EY15" s="1230"/>
      <c r="EZ15" s="1444"/>
      <c r="FA15" s="1092" t="str">
        <f>TYPEICON(FB15)</f>
        <v>#NAME?</v>
      </c>
      <c r="FB15" s="398" t="str">
        <f>MONTYPE(FA14)</f>
        <v>#NAME?</v>
      </c>
      <c r="FC15" s="48"/>
      <c r="FD15" s="1980" t="str">
        <f>TYPEICON(FE15)</f>
        <v>#NAME?</v>
      </c>
      <c r="FE15" s="398" t="str">
        <f>MONTYPE2(FA14)</f>
        <v>#NAME?</v>
      </c>
      <c r="FF15" s="48"/>
      <c r="FG15" s="1979" t="s">
        <v>10268</v>
      </c>
      <c r="FH15" s="1230"/>
      <c r="FI15" s="1444"/>
      <c r="FJ15" s="1092" t="str">
        <f>TYPEICON(FK15)</f>
        <v>#NAME?</v>
      </c>
      <c r="FK15" s="398" t="str">
        <f>MONTYPE(FJ14)</f>
        <v>#NAME?</v>
      </c>
      <c r="FL15" s="48"/>
      <c r="FM15" s="986" t="str">
        <f>TYPEICON(FN15)</f>
        <v>#NAME?</v>
      </c>
      <c r="FN15" s="398" t="str">
        <f>MONTYPE2(FJ14)</f>
        <v>#NAME?</v>
      </c>
      <c r="FO15" s="48"/>
      <c r="FP15" s="1979" t="s">
        <v>10275</v>
      </c>
      <c r="FQ15" s="1230"/>
      <c r="FR15" s="1444"/>
      <c r="FS15" s="1092" t="str">
        <f>TYPEICON(FT15)</f>
        <v>#NAME?</v>
      </c>
      <c r="FT15" s="398" t="str">
        <f>MONTYPE(FS14)</f>
        <v>#NAME?</v>
      </c>
      <c r="FU15" s="48"/>
      <c r="FV15" s="986" t="str">
        <f>TYPEICON(FW15)</f>
        <v>#NAME?</v>
      </c>
      <c r="FW15" s="398" t="str">
        <f>MONTYPE2(FS14)</f>
        <v>#NAME?</v>
      </c>
      <c r="FX15" s="48"/>
      <c r="FY15" s="1979" t="s">
        <v>10401</v>
      </c>
      <c r="FZ15" s="1230"/>
      <c r="GA15" s="1444"/>
      <c r="GB15" s="1092" t="str">
        <f>TYPEICON(GC15)</f>
        <v>#NAME?</v>
      </c>
      <c r="GC15" s="398" t="str">
        <f>MONTYPE(GB14)</f>
        <v>#NAME?</v>
      </c>
      <c r="GD15" s="48"/>
      <c r="GE15" s="986" t="str">
        <f>TYPEICON(GF15)</f>
        <v>#NAME?</v>
      </c>
      <c r="GF15" s="398" t="str">
        <f>MONTYPE2(GB14)</f>
        <v>#NAME?</v>
      </c>
      <c r="GG15" s="48"/>
      <c r="GH15" s="1979" t="s">
        <v>10402</v>
      </c>
      <c r="GI15" s="1230"/>
      <c r="GJ15" s="2064" t="s">
        <v>4608</v>
      </c>
      <c r="GK15" s="1537" t="s">
        <v>10403</v>
      </c>
      <c r="GL15" s="138"/>
      <c r="GM15" s="138"/>
      <c r="GN15" s="138"/>
      <c r="GO15" s="138"/>
      <c r="GP15" s="138"/>
      <c r="GQ15" s="128"/>
      <c r="GR15" s="1230"/>
      <c r="GS15" s="1094"/>
      <c r="GT15" s="413"/>
      <c r="GU15" s="413"/>
      <c r="GV15" s="2063" t="str">
        <f t="shared" si="81"/>
        <v>#NAME?</v>
      </c>
      <c r="GW15" s="1054" t="str">
        <f t="shared" si="82"/>
        <v>#NAME?</v>
      </c>
      <c r="GX15" s="2033" t="str">
        <f t="shared" si="83"/>
        <v>#NAME?</v>
      </c>
      <c r="GY15" s="1131" t="str">
        <f t="shared" si="84"/>
        <v>#NAME?</v>
      </c>
      <c r="GZ15" s="65"/>
      <c r="HA15" s="1094" t="s">
        <v>1794</v>
      </c>
      <c r="HB15" s="413"/>
      <c r="HC15" s="413"/>
      <c r="HD15" s="2063" t="str">
        <f t="shared" si="85"/>
        <v>#NAME?</v>
      </c>
      <c r="HE15" s="1054" t="str">
        <f t="shared" si="86"/>
        <v>#NAME?</v>
      </c>
      <c r="HF15" s="2033" t="str">
        <f t="shared" si="87"/>
        <v>#NAME?</v>
      </c>
      <c r="HG15" s="1131" t="str">
        <f t="shared" si="88"/>
        <v>#NAME?</v>
      </c>
      <c r="HH15" s="65"/>
      <c r="HI15" s="1094"/>
      <c r="HJ15" s="413"/>
      <c r="HK15" s="413"/>
      <c r="HL15" s="2063" t="str">
        <f t="shared" si="89"/>
        <v>#NAME?</v>
      </c>
      <c r="HM15" s="1054" t="str">
        <f t="shared" si="90"/>
        <v>#NAME?</v>
      </c>
      <c r="HN15" s="2033" t="str">
        <f t="shared" si="91"/>
        <v>#NAME?</v>
      </c>
      <c r="HO15" s="1131" t="str">
        <f t="shared" si="92"/>
        <v>#NAME?</v>
      </c>
      <c r="HP15" s="65"/>
      <c r="HQ15" s="1094" t="s">
        <v>1965</v>
      </c>
      <c r="HR15" s="413"/>
      <c r="HS15" s="413"/>
      <c r="HT15" s="2063" t="str">
        <f t="shared" si="93"/>
        <v>#NAME?</v>
      </c>
      <c r="HU15" s="1054" t="str">
        <f t="shared" si="94"/>
        <v>#NAME?</v>
      </c>
      <c r="HV15" s="2033" t="str">
        <f t="shared" si="95"/>
        <v>#NAME?</v>
      </c>
      <c r="HW15" s="1131" t="str">
        <f t="shared" si="96"/>
        <v>#NAME?</v>
      </c>
      <c r="HX15" s="65"/>
      <c r="HY15" s="1094" t="s">
        <v>1913</v>
      </c>
      <c r="HZ15" s="413"/>
      <c r="IA15" s="413"/>
      <c r="IB15" s="2063" t="str">
        <f t="shared" si="97"/>
        <v>#NAME?</v>
      </c>
      <c r="IC15" s="1054" t="str">
        <f t="shared" si="98"/>
        <v>#NAME?</v>
      </c>
      <c r="ID15" s="2033" t="str">
        <f t="shared" si="99"/>
        <v>#NAME?</v>
      </c>
      <c r="IE15" s="1131" t="str">
        <f t="shared" si="100"/>
        <v>#NAME?</v>
      </c>
      <c r="IF15" s="65"/>
      <c r="IG15" s="1094" t="s">
        <v>3026</v>
      </c>
      <c r="IH15" s="413"/>
      <c r="II15" s="413"/>
      <c r="IJ15" s="2063" t="str">
        <f t="shared" si="101"/>
        <v>#NAME?</v>
      </c>
      <c r="IK15" s="1054" t="str">
        <f t="shared" si="102"/>
        <v>#NAME?</v>
      </c>
      <c r="IL15" s="2033" t="str">
        <f t="shared" si="103"/>
        <v>#NAME?</v>
      </c>
      <c r="IM15" s="1131" t="str">
        <f t="shared" si="104"/>
        <v>#NAME?</v>
      </c>
      <c r="IN15" s="65"/>
      <c r="IO15" s="1094" t="s">
        <v>2880</v>
      </c>
      <c r="IP15" s="413"/>
      <c r="IQ15" s="413"/>
      <c r="IR15" s="2063" t="str">
        <f t="shared" si="105"/>
        <v>#NAME?</v>
      </c>
      <c r="IS15" s="1054" t="str">
        <f t="shared" si="106"/>
        <v>#NAME?</v>
      </c>
      <c r="IT15" s="2033" t="str">
        <f t="shared" si="107"/>
        <v>#NAME?</v>
      </c>
      <c r="IU15" s="1131" t="str">
        <f t="shared" si="108"/>
        <v>#NAME?</v>
      </c>
      <c r="IV15" s="65"/>
      <c r="IW15" s="1094" t="s">
        <v>3784</v>
      </c>
      <c r="IX15" s="413"/>
      <c r="IY15" s="413"/>
      <c r="IZ15" s="2063" t="str">
        <f t="shared" si="109"/>
        <v>#NAME?</v>
      </c>
      <c r="JA15" s="1054" t="str">
        <f t="shared" si="110"/>
        <v>#NAME?</v>
      </c>
      <c r="JB15" s="2033" t="str">
        <f t="shared" si="111"/>
        <v>#NAME?</v>
      </c>
      <c r="JC15" s="1131" t="str">
        <f t="shared" si="112"/>
        <v>#NAME?</v>
      </c>
      <c r="JD15" s="1230"/>
    </row>
    <row r="16" ht="15.75" customHeight="1">
      <c r="A16" s="1238"/>
      <c r="B16" s="1981" t="s">
        <v>10404</v>
      </c>
      <c r="C16" s="413"/>
      <c r="D16" s="413"/>
      <c r="E16" s="413"/>
      <c r="F16" s="413"/>
      <c r="G16" s="413"/>
      <c r="H16" s="413"/>
      <c r="I16" s="413"/>
      <c r="J16" s="413"/>
      <c r="K16" s="414"/>
      <c r="L16" s="1230"/>
      <c r="M16" s="1962" t="str">
        <f>image("https://archives.bulbagarden.net/media/upload/2/28/137MS6.png", 3)</f>
        <v/>
      </c>
      <c r="N16" s="1963" t="s">
        <v>1401</v>
      </c>
      <c r="O16" s="12"/>
      <c r="P16" s="12"/>
      <c r="Q16" s="12"/>
      <c r="R16" s="12"/>
      <c r="S16" s="12"/>
      <c r="T16" s="48"/>
      <c r="U16" s="1230"/>
      <c r="V16" s="1989" t="s">
        <v>10299</v>
      </c>
      <c r="W16" s="984"/>
      <c r="X16" s="984"/>
      <c r="Y16" s="319"/>
      <c r="Z16" s="1230"/>
      <c r="AA16" s="1155"/>
      <c r="AG16" s="1154"/>
      <c r="AI16" s="1155"/>
      <c r="AO16" s="1154"/>
      <c r="AP16" s="1230"/>
      <c r="AQ16" s="1966" t="str">
        <f>MONSPRITE(AR16)</f>
        <v>#NAME?</v>
      </c>
      <c r="AR16" s="1259" t="s">
        <v>1473</v>
      </c>
      <c r="AS16" s="12"/>
      <c r="AT16" s="12"/>
      <c r="AU16" s="12"/>
      <c r="AV16" s="962"/>
      <c r="AW16" s="1256" t="s">
        <v>5018</v>
      </c>
      <c r="AX16" s="1967"/>
      <c r="AY16" s="1230"/>
      <c r="AZ16" s="1983" t="s">
        <v>10405</v>
      </c>
      <c r="BA16" s="12"/>
      <c r="BB16" s="12"/>
      <c r="BC16" s="12"/>
      <c r="BD16" s="12"/>
      <c r="BE16" s="12"/>
      <c r="BF16" s="48"/>
      <c r="BG16" s="30"/>
      <c r="BH16" s="1230"/>
      <c r="BI16" s="1983" t="s">
        <v>10406</v>
      </c>
      <c r="BJ16" s="12"/>
      <c r="BK16" s="12"/>
      <c r="BL16" s="12"/>
      <c r="BM16" s="12"/>
      <c r="BN16" s="12"/>
      <c r="BO16" s="48"/>
      <c r="BP16" s="1985" t="s">
        <v>10407</v>
      </c>
      <c r="BQ16" s="1230"/>
      <c r="BR16" s="1983" t="s">
        <v>10408</v>
      </c>
      <c r="BS16" s="12"/>
      <c r="BT16" s="12"/>
      <c r="BU16" s="12"/>
      <c r="BV16" s="12"/>
      <c r="BW16" s="12"/>
      <c r="BX16" s="48"/>
      <c r="BY16" s="1988"/>
      <c r="BZ16" s="1230"/>
      <c r="CA16" s="1860"/>
      <c r="CB16" s="1032"/>
      <c r="CC16" s="1032"/>
      <c r="CD16" s="1032"/>
      <c r="CE16" s="1032"/>
      <c r="CF16" s="1032"/>
      <c r="CG16" s="1032"/>
      <c r="CH16" s="30"/>
      <c r="CI16" s="1230"/>
      <c r="CQ16" s="1230"/>
      <c r="DO16" s="1230"/>
      <c r="DP16" s="1011" t="s">
        <v>10409</v>
      </c>
      <c r="DQ16" s="12"/>
      <c r="DR16" s="12"/>
      <c r="DS16" s="12"/>
      <c r="DT16" s="12"/>
      <c r="DU16" s="12"/>
      <c r="DV16" s="48"/>
      <c r="DW16" s="1985" t="s">
        <v>10410</v>
      </c>
      <c r="DX16" s="1230"/>
      <c r="DY16" s="1983" t="s">
        <v>10289</v>
      </c>
      <c r="DZ16" s="12"/>
      <c r="EA16" s="12"/>
      <c r="EB16" s="12"/>
      <c r="EC16" s="12"/>
      <c r="ED16" s="12"/>
      <c r="EE16" s="48"/>
      <c r="EF16" s="1987"/>
      <c r="EG16" s="1230"/>
      <c r="EH16" s="1444"/>
      <c r="EI16" s="1092" t="str">
        <f>TYPEICON(EJ16)</f>
        <v>#NAME?</v>
      </c>
      <c r="EJ16" s="398" t="str">
        <f>MONTYPE(EI15)</f>
        <v>#NAME?</v>
      </c>
      <c r="EK16" s="48"/>
      <c r="EL16" s="986" t="str">
        <f>TYPEICON(EM16)</f>
        <v>#NAME?</v>
      </c>
      <c r="EM16" s="398" t="str">
        <f>MONTYPE2(EI15)</f>
        <v>#NAME?</v>
      </c>
      <c r="EN16" s="48"/>
      <c r="EO16" s="1979" t="s">
        <v>10411</v>
      </c>
      <c r="EP16" s="1230"/>
      <c r="EQ16" s="1966" t="str">
        <f>MONSPRITE(ER16)</f>
        <v>#NAME?</v>
      </c>
      <c r="ER16" s="1259" t="s">
        <v>3556</v>
      </c>
      <c r="ES16" s="12"/>
      <c r="ET16" s="12"/>
      <c r="EU16" s="12"/>
      <c r="EV16" s="962"/>
      <c r="EW16" s="1256" t="s">
        <v>5032</v>
      </c>
      <c r="EX16" s="1967"/>
      <c r="EY16" s="1230"/>
      <c r="EZ16" s="1983" t="s">
        <v>10412</v>
      </c>
      <c r="FA16" s="12"/>
      <c r="FB16" s="12"/>
      <c r="FC16" s="12"/>
      <c r="FD16" s="12"/>
      <c r="FE16" s="12"/>
      <c r="FF16" s="48"/>
      <c r="FG16" s="1995" t="s">
        <v>10413</v>
      </c>
      <c r="FH16" s="1230"/>
      <c r="FI16" s="1983" t="s">
        <v>10294</v>
      </c>
      <c r="FJ16" s="12"/>
      <c r="FK16" s="12"/>
      <c r="FL16" s="12"/>
      <c r="FM16" s="12"/>
      <c r="FN16" s="12"/>
      <c r="FO16" s="48"/>
      <c r="FP16" s="1987"/>
      <c r="FQ16" s="1230"/>
      <c r="FR16" s="1983" t="s">
        <v>10414</v>
      </c>
      <c r="FS16" s="12"/>
      <c r="FT16" s="12"/>
      <c r="FU16" s="12"/>
      <c r="FV16" s="12"/>
      <c r="FW16" s="12"/>
      <c r="FX16" s="48"/>
      <c r="FY16" s="1987"/>
      <c r="FZ16" s="1230"/>
      <c r="GA16" s="1983" t="s">
        <v>10415</v>
      </c>
      <c r="GB16" s="12"/>
      <c r="GC16" s="12"/>
      <c r="GD16" s="12"/>
      <c r="GE16" s="12"/>
      <c r="GF16" s="12"/>
      <c r="GG16" s="48"/>
      <c r="GH16" s="1987"/>
      <c r="GI16" s="1230"/>
      <c r="GJ16" s="2065" t="s">
        <v>4608</v>
      </c>
      <c r="GK16" s="1862" t="s">
        <v>10416</v>
      </c>
      <c r="GL16" s="138"/>
      <c r="GM16" s="138"/>
      <c r="GN16" s="138"/>
      <c r="GO16" s="138"/>
      <c r="GP16" s="138"/>
      <c r="GQ16" s="128"/>
      <c r="GR16" s="1230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65"/>
      <c r="IW16" s="65"/>
      <c r="IX16" s="65"/>
      <c r="IY16" s="65"/>
      <c r="IZ16" s="65"/>
      <c r="JA16" s="65"/>
      <c r="JB16" s="65"/>
      <c r="JC16" s="65"/>
      <c r="JD16" s="1230"/>
    </row>
    <row r="17" ht="15.75" customHeight="1">
      <c r="A17" s="1238"/>
      <c r="B17" s="1989" t="s">
        <v>10417</v>
      </c>
      <c r="C17" s="984"/>
      <c r="D17" s="984"/>
      <c r="E17" s="984"/>
      <c r="F17" s="984"/>
      <c r="G17" s="984"/>
      <c r="H17" s="984"/>
      <c r="I17" s="984"/>
      <c r="J17" s="984"/>
      <c r="K17" s="319"/>
      <c r="L17" s="1230"/>
      <c r="M17" s="1974" t="s">
        <v>10418</v>
      </c>
      <c r="N17" s="482"/>
      <c r="O17" s="482"/>
      <c r="P17" s="482"/>
      <c r="Q17" s="482"/>
      <c r="R17" s="482"/>
      <c r="S17" s="482"/>
      <c r="T17" s="267"/>
      <c r="U17" s="1230"/>
      <c r="V17" s="1911" t="s">
        <v>10320</v>
      </c>
      <c r="W17" s="138"/>
      <c r="X17" s="138"/>
      <c r="Y17" s="128"/>
      <c r="Z17" s="1230"/>
      <c r="AA17" s="1860"/>
      <c r="AB17" s="1032"/>
      <c r="AC17" s="1032"/>
      <c r="AD17" s="1032"/>
      <c r="AE17" s="1032"/>
      <c r="AF17" s="1032"/>
      <c r="AG17" s="30"/>
      <c r="AI17" s="1860"/>
      <c r="AJ17" s="1032"/>
      <c r="AK17" s="1032"/>
      <c r="AL17" s="1032"/>
      <c r="AM17" s="1032"/>
      <c r="AN17" s="1032"/>
      <c r="AO17" s="30"/>
      <c r="AP17" s="1230"/>
      <c r="AQ17" s="1444"/>
      <c r="AR17" s="1092" t="str">
        <f>TYPEICON(AS17)</f>
        <v>#NAME?</v>
      </c>
      <c r="AS17" s="398" t="str">
        <f>MONTYPE(AR16)</f>
        <v>#NAME?</v>
      </c>
      <c r="AT17" s="48"/>
      <c r="AU17" s="986" t="str">
        <f>TYPEICON(AV17)</f>
        <v>#NAME?</v>
      </c>
      <c r="AV17" s="398" t="str">
        <f>MONTYPE2(AR16)</f>
        <v>#NAME?</v>
      </c>
      <c r="AW17" s="48"/>
      <c r="AX17" s="1979" t="s">
        <v>10268</v>
      </c>
      <c r="AY17" s="1230"/>
      <c r="AZ17" s="1990" t="s">
        <v>4416</v>
      </c>
      <c r="BA17" s="1991" t="s">
        <v>4417</v>
      </c>
      <c r="BB17" s="1991" t="s">
        <v>3748</v>
      </c>
      <c r="BC17" s="1991" t="s">
        <v>4418</v>
      </c>
      <c r="BD17" s="1991" t="s">
        <v>4419</v>
      </c>
      <c r="BE17" s="1991" t="s">
        <v>4420</v>
      </c>
      <c r="BF17" s="1991" t="s">
        <v>4421</v>
      </c>
      <c r="BG17" s="1985" t="s">
        <v>10419</v>
      </c>
      <c r="BH17" s="1230"/>
      <c r="BI17" s="1990" t="s">
        <v>4416</v>
      </c>
      <c r="BJ17" s="1991" t="s">
        <v>4417</v>
      </c>
      <c r="BK17" s="1991" t="s">
        <v>3748</v>
      </c>
      <c r="BL17" s="1991" t="s">
        <v>4418</v>
      </c>
      <c r="BM17" s="1991" t="s">
        <v>4419</v>
      </c>
      <c r="BN17" s="1991" t="s">
        <v>4420</v>
      </c>
      <c r="BO17" s="1991" t="s">
        <v>4421</v>
      </c>
      <c r="BP17" s="1988"/>
      <c r="BQ17" s="1230"/>
      <c r="BR17" s="1990" t="s">
        <v>4416</v>
      </c>
      <c r="BS17" s="1991" t="s">
        <v>4417</v>
      </c>
      <c r="BT17" s="1991" t="s">
        <v>3748</v>
      </c>
      <c r="BU17" s="1991" t="s">
        <v>4418</v>
      </c>
      <c r="BV17" s="1991" t="s">
        <v>4419</v>
      </c>
      <c r="BW17" s="1991" t="s">
        <v>4420</v>
      </c>
      <c r="BX17" s="1991" t="s">
        <v>4421</v>
      </c>
      <c r="BY17" s="1985" t="s">
        <v>10420</v>
      </c>
      <c r="BZ17" s="1230"/>
      <c r="CA17" s="1905" t="s">
        <v>10421</v>
      </c>
      <c r="CB17" s="1150"/>
      <c r="CC17" s="1150"/>
      <c r="CD17" s="1150"/>
      <c r="CE17" s="1150"/>
      <c r="CF17" s="1150"/>
      <c r="CG17" s="1150"/>
      <c r="CH17" s="1151"/>
      <c r="CJ17" s="1876" t="str">
        <f>image("https://archives.bulbagarden.net/media/upload/e/eb/Spr_DP_Black_Belt.png",3)</f>
        <v/>
      </c>
      <c r="CK17" s="976"/>
      <c r="CL17" s="976"/>
      <c r="CM17" s="976"/>
      <c r="CN17" s="976"/>
      <c r="CO17" s="974"/>
      <c r="CP17" s="1970"/>
      <c r="CR17" s="1876" t="str">
        <f>image("https://archives.bulbagarden.net/media/upload/7/74/Spr_DP_Lass.png",3)</f>
        <v/>
      </c>
      <c r="CS17" s="976"/>
      <c r="CT17" s="976"/>
      <c r="CU17" s="976"/>
      <c r="CV17" s="976"/>
      <c r="CW17" s="974"/>
      <c r="CX17" s="1970"/>
      <c r="CY17" s="1230"/>
      <c r="CZ17" s="1969" t="str">
        <f>image("https://archives.bulbagarden.net/media/upload/a/af/Spr_DP_Veteran.png",3)</f>
        <v/>
      </c>
      <c r="DA17" s="976"/>
      <c r="DB17" s="976"/>
      <c r="DC17" s="976"/>
      <c r="DD17" s="976"/>
      <c r="DE17" s="974"/>
      <c r="DF17" s="1970"/>
      <c r="DG17" s="1230"/>
      <c r="DH17" s="1969" t="str">
        <f>image("https://archives.bulbagarden.net/media/upload/8/83/Spr_DP_Ace_Trainer_F_1.png",3)</f>
        <v/>
      </c>
      <c r="DI17" s="976"/>
      <c r="DJ17" s="976"/>
      <c r="DK17" s="976"/>
      <c r="DL17" s="976"/>
      <c r="DM17" s="974"/>
      <c r="DN17" s="1970"/>
      <c r="DO17" s="1230"/>
      <c r="DP17" s="1990" t="s">
        <v>4416</v>
      </c>
      <c r="DQ17" s="1991" t="s">
        <v>4417</v>
      </c>
      <c r="DR17" s="1991" t="s">
        <v>3748</v>
      </c>
      <c r="DS17" s="1991" t="s">
        <v>4418</v>
      </c>
      <c r="DT17" s="1991" t="s">
        <v>4419</v>
      </c>
      <c r="DU17" s="1991" t="s">
        <v>4420</v>
      </c>
      <c r="DV17" s="1991" t="s">
        <v>4421</v>
      </c>
      <c r="DW17" s="1988"/>
      <c r="DX17" s="1230"/>
      <c r="DY17" s="1990" t="s">
        <v>4416</v>
      </c>
      <c r="DZ17" s="1991" t="s">
        <v>4417</v>
      </c>
      <c r="EA17" s="1991" t="s">
        <v>3748</v>
      </c>
      <c r="EB17" s="1991" t="s">
        <v>4418</v>
      </c>
      <c r="EC17" s="1991" t="s">
        <v>4419</v>
      </c>
      <c r="ED17" s="1991" t="s">
        <v>4420</v>
      </c>
      <c r="EE17" s="1991" t="s">
        <v>4421</v>
      </c>
      <c r="EF17" s="1988"/>
      <c r="EG17" s="1230"/>
      <c r="EH17" s="1983" t="s">
        <v>10422</v>
      </c>
      <c r="EI17" s="12"/>
      <c r="EJ17" s="12"/>
      <c r="EK17" s="12"/>
      <c r="EL17" s="12"/>
      <c r="EM17" s="12"/>
      <c r="EN17" s="48"/>
      <c r="EO17" s="1988"/>
      <c r="EP17" s="1230"/>
      <c r="EQ17" s="1444"/>
      <c r="ER17" s="1092" t="str">
        <f>TYPEICON(ES17)</f>
        <v>#NAME?</v>
      </c>
      <c r="ES17" s="398" t="str">
        <f>MONTYPE(ER16)</f>
        <v>#NAME?</v>
      </c>
      <c r="ET17" s="48"/>
      <c r="EU17" s="986" t="str">
        <f>TYPEICON(EV17)</f>
        <v>#NAME?</v>
      </c>
      <c r="EV17" s="398" t="str">
        <f>MONTYPE2(ER16)</f>
        <v>#NAME?</v>
      </c>
      <c r="EW17" s="48"/>
      <c r="EX17" s="1979" t="s">
        <v>10423</v>
      </c>
      <c r="EY17" s="1230"/>
      <c r="EZ17" s="1990" t="s">
        <v>4416</v>
      </c>
      <c r="FA17" s="1991" t="s">
        <v>4417</v>
      </c>
      <c r="FB17" s="1991" t="s">
        <v>3748</v>
      </c>
      <c r="FC17" s="1991" t="s">
        <v>4418</v>
      </c>
      <c r="FD17" s="1991" t="s">
        <v>4419</v>
      </c>
      <c r="FE17" s="1991" t="s">
        <v>4420</v>
      </c>
      <c r="FF17" s="1991" t="s">
        <v>4421</v>
      </c>
      <c r="FG17" s="1992" t="s">
        <v>10329</v>
      </c>
      <c r="FH17" s="1230"/>
      <c r="FI17" s="1990" t="s">
        <v>4416</v>
      </c>
      <c r="FJ17" s="1991" t="s">
        <v>4417</v>
      </c>
      <c r="FK17" s="1991" t="s">
        <v>3748</v>
      </c>
      <c r="FL17" s="1991" t="s">
        <v>4418</v>
      </c>
      <c r="FM17" s="1991" t="s">
        <v>4419</v>
      </c>
      <c r="FN17" s="1991" t="s">
        <v>4420</v>
      </c>
      <c r="FO17" s="1991" t="s">
        <v>4421</v>
      </c>
      <c r="FP17" s="1995" t="s">
        <v>10308</v>
      </c>
      <c r="FQ17" s="1230"/>
      <c r="FR17" s="1990" t="s">
        <v>4416</v>
      </c>
      <c r="FS17" s="1991" t="s">
        <v>4417</v>
      </c>
      <c r="FT17" s="1991" t="s">
        <v>3748</v>
      </c>
      <c r="FU17" s="1991" t="s">
        <v>4418</v>
      </c>
      <c r="FV17" s="1991" t="s">
        <v>4419</v>
      </c>
      <c r="FW17" s="1991" t="s">
        <v>4420</v>
      </c>
      <c r="FX17" s="1991" t="s">
        <v>4421</v>
      </c>
      <c r="FY17" s="1995" t="s">
        <v>10424</v>
      </c>
      <c r="FZ17" s="1230"/>
      <c r="GA17" s="1990" t="s">
        <v>4416</v>
      </c>
      <c r="GB17" s="1991" t="s">
        <v>4417</v>
      </c>
      <c r="GC17" s="1991" t="s">
        <v>3748</v>
      </c>
      <c r="GD17" s="1991" t="s">
        <v>4418</v>
      </c>
      <c r="GE17" s="1991" t="s">
        <v>4419</v>
      </c>
      <c r="GF17" s="1991" t="s">
        <v>4420</v>
      </c>
      <c r="GG17" s="1991" t="s">
        <v>4421</v>
      </c>
      <c r="GH17" s="1985" t="s">
        <v>10425</v>
      </c>
      <c r="GI17" s="1230"/>
      <c r="GJ17" s="2066" t="s">
        <v>4608</v>
      </c>
      <c r="GK17" s="1537" t="s">
        <v>10426</v>
      </c>
      <c r="GL17" s="138"/>
      <c r="GM17" s="138"/>
      <c r="GN17" s="138"/>
      <c r="GO17" s="138"/>
      <c r="GP17" s="138"/>
      <c r="GQ17" s="128"/>
      <c r="GS17" s="1971" t="str">
        <f>image("https://archives.bulbagarden.net/media/upload/b/b4/Spr_DP_Bird_Keeper.png",3)</f>
        <v/>
      </c>
      <c r="GT17" s="976"/>
      <c r="GU17" s="976"/>
      <c r="GV17" s="976"/>
      <c r="GW17" s="976"/>
      <c r="GX17" s="974"/>
      <c r="GY17" s="1972" t="str">
        <f>image("https://archives.bulbagarden.net/media/upload/4/47/Ace_Trainer_f_IV_OD.png", 1)</f>
        <v/>
      </c>
      <c r="GZ17" s="21"/>
      <c r="HA17" s="1971" t="str">
        <f>image("https://archives.bulbagarden.net/media/upload/1/1f/Spr_DP_Psychic_M.png",3)</f>
        <v/>
      </c>
      <c r="HB17" s="976"/>
      <c r="HC17" s="976"/>
      <c r="HD17" s="976"/>
      <c r="HE17" s="976"/>
      <c r="HF17" s="974"/>
      <c r="HG17" s="1972" t="str">
        <f>image("https://archives.bulbagarden.net/media/upload/3/36/Psychic_IV_OD.png", 1)</f>
        <v/>
      </c>
      <c r="HH17" s="21"/>
      <c r="HI17" s="1973" t="str">
        <f>image("https://archives.bulbagarden.net/media/upload/0/0b/Spr_DP_Bug_Catcher.png",3)</f>
        <v/>
      </c>
      <c r="HJ17" s="976"/>
      <c r="HK17" s="976"/>
      <c r="HL17" s="976"/>
      <c r="HM17" s="976"/>
      <c r="HN17" s="974"/>
      <c r="HO17" s="1972" t="str">
        <f>image("https://archives.bulbagarden.net/media/upload/f/fd/Bug_Catcher_IV_OD.png", 1)</f>
        <v/>
      </c>
      <c r="HP17" s="65"/>
      <c r="HQ17" s="1971" t="str">
        <f>image("https://archives.bulbagarden.net/media/upload/7/76/Spr_DP_Hiker.png",3)</f>
        <v/>
      </c>
      <c r="HR17" s="976"/>
      <c r="HS17" s="976"/>
      <c r="HT17" s="976"/>
      <c r="HU17" s="976"/>
      <c r="HV17" s="974"/>
      <c r="HW17" s="1972" t="str">
        <f>image("https://archives.bulbagarden.net/media/upload/a/ae/Hiker_IV_OD.png", 1)</f>
        <v/>
      </c>
      <c r="HX17" s="65"/>
      <c r="HY17" s="1971" t="str">
        <f>image("https://archives.bulbagarden.net/media/upload/1/1f/Spr_DP_Psychic_M.png",3)</f>
        <v/>
      </c>
      <c r="HZ17" s="976"/>
      <c r="IA17" s="976"/>
      <c r="IB17" s="976"/>
      <c r="IC17" s="976"/>
      <c r="ID17" s="974"/>
      <c r="IE17" s="1972" t="str">
        <f>image("https://archives.bulbagarden.net/media/upload/3/36/Psychic_IV_OD.png", 1)</f>
        <v/>
      </c>
      <c r="IF17" s="65"/>
      <c r="IG17" s="1971" t="str">
        <f>image("https://archives.bulbagarden.net/media/upload/b/b9/Spr_DP_Ace_Trainer_M_1.png",3)</f>
        <v/>
      </c>
      <c r="IH17" s="976"/>
      <c r="II17" s="976"/>
      <c r="IJ17" s="976"/>
      <c r="IK17" s="976"/>
      <c r="IL17" s="974"/>
      <c r="IM17" s="1972" t="str">
        <f>image("https://archives.bulbagarden.net/media/upload/f/f4/Ace_Trainer_m_IV_OD.png", 1)</f>
        <v/>
      </c>
      <c r="IN17" s="65"/>
      <c r="IO17" s="1971" t="str">
        <f>image("https://archives.bulbagarden.net/media/upload/8/83/Spr_DP_Ace_Trainer_F_1.png",3)</f>
        <v/>
      </c>
      <c r="IP17" s="976"/>
      <c r="IQ17" s="976"/>
      <c r="IR17" s="976"/>
      <c r="IS17" s="976"/>
      <c r="IT17" s="974"/>
      <c r="IU17" s="1972" t="str">
        <f>image("https://archives.bulbagarden.net/media/upload/4/47/Ace_Trainer_f_IV_OD.png", 1)</f>
        <v/>
      </c>
      <c r="IV17" s="21"/>
      <c r="IW17" s="1973" t="str">
        <f>image("https://archives.bulbagarden.net/media/upload/f/f3/Spr_DP_Scientist.png",3)</f>
        <v/>
      </c>
      <c r="IX17" s="976"/>
      <c r="IY17" s="976"/>
      <c r="IZ17" s="976"/>
      <c r="JA17" s="976"/>
      <c r="JB17" s="974"/>
      <c r="JC17" s="1972" t="str">
        <f>image("https://archives.bulbagarden.net/media/upload/3/34/Scientist_IV_OD.png", 1)</f>
        <v/>
      </c>
      <c r="JD17" s="1230"/>
    </row>
    <row r="18" ht="15.75" customHeight="1">
      <c r="A18" s="1238"/>
      <c r="B18" s="1911" t="s">
        <v>10427</v>
      </c>
      <c r="C18" s="138"/>
      <c r="D18" s="138"/>
      <c r="E18" s="138"/>
      <c r="F18" s="138"/>
      <c r="G18" s="138"/>
      <c r="H18" s="138"/>
      <c r="I18" s="138"/>
      <c r="J18" s="138"/>
      <c r="K18" s="128"/>
      <c r="L18" s="1230"/>
      <c r="M18" s="1981" t="s">
        <v>10428</v>
      </c>
      <c r="N18" s="413"/>
      <c r="O18" s="413"/>
      <c r="P18" s="413"/>
      <c r="Q18" s="413"/>
      <c r="R18" s="413"/>
      <c r="S18" s="413"/>
      <c r="T18" s="414"/>
      <c r="U18" s="1230"/>
      <c r="V18" s="1947" t="s">
        <v>10429</v>
      </c>
      <c r="W18" s="138"/>
      <c r="X18" s="138"/>
      <c r="Y18" s="128"/>
      <c r="Z18" s="1230"/>
      <c r="AA18" s="1905" t="s">
        <v>10430</v>
      </c>
      <c r="AB18" s="1150"/>
      <c r="AC18" s="1150"/>
      <c r="AD18" s="1150"/>
      <c r="AE18" s="1150"/>
      <c r="AF18" s="1150"/>
      <c r="AG18" s="1151"/>
      <c r="AI18" s="1905" t="s">
        <v>10431</v>
      </c>
      <c r="AJ18" s="1150"/>
      <c r="AK18" s="1150"/>
      <c r="AL18" s="1150"/>
      <c r="AM18" s="1150"/>
      <c r="AN18" s="1150"/>
      <c r="AO18" s="1151"/>
      <c r="AP18" s="1230"/>
      <c r="AQ18" s="1983" t="s">
        <v>10432</v>
      </c>
      <c r="AR18" s="12"/>
      <c r="AS18" s="12"/>
      <c r="AT18" s="12"/>
      <c r="AU18" s="12"/>
      <c r="AV18" s="12"/>
      <c r="AW18" s="48"/>
      <c r="AX18" s="1995" t="s">
        <v>10433</v>
      </c>
      <c r="AY18" s="1230"/>
      <c r="AZ18" s="1092" t="str">
        <f>MONHP(BA14)</f>
        <v>#NAME?</v>
      </c>
      <c r="BA18" s="986" t="str">
        <f>MONATK(BA14)</f>
        <v>#NAME?</v>
      </c>
      <c r="BB18" s="986" t="str">
        <f>MONDEF(BA14)</f>
        <v>#NAME?</v>
      </c>
      <c r="BC18" s="986" t="str">
        <f>MONSPA(BA14)</f>
        <v>#NAME?</v>
      </c>
      <c r="BD18" s="986" t="str">
        <f>MONSPD(BA14)</f>
        <v>#NAME?</v>
      </c>
      <c r="BE18" s="986" t="str">
        <f>MONSPE(BA14)</f>
        <v>#NAME?</v>
      </c>
      <c r="BF18" s="986" t="str">
        <f>MONBST(BA14)</f>
        <v>#NAME?</v>
      </c>
      <c r="BG18" s="1998"/>
      <c r="BH18" s="1230"/>
      <c r="BI18" s="1092" t="str">
        <f>MONHP(BJ14)</f>
        <v>#NAME?</v>
      </c>
      <c r="BJ18" s="986" t="str">
        <f>MONATK(BJ14)</f>
        <v>#NAME?</v>
      </c>
      <c r="BK18" s="986" t="str">
        <f>MONDEF(BJ14)</f>
        <v>#NAME?</v>
      </c>
      <c r="BL18" s="986" t="str">
        <f>MONSPA(BJ14)</f>
        <v>#NAME?</v>
      </c>
      <c r="BM18" s="986" t="str">
        <f>MONSPD(BJ14)</f>
        <v>#NAME?</v>
      </c>
      <c r="BN18" s="986" t="str">
        <f>MONSPE(BJ14)</f>
        <v>#NAME?</v>
      </c>
      <c r="BO18" s="986" t="str">
        <f>MONBST(BJ14)</f>
        <v>#NAME?</v>
      </c>
      <c r="BP18" s="1992" t="s">
        <v>10434</v>
      </c>
      <c r="BQ18" s="1230"/>
      <c r="BR18" s="1092" t="str">
        <f>MONHP(BS14)</f>
        <v>#NAME?</v>
      </c>
      <c r="BS18" s="986" t="str">
        <f>MONATK(BS14)</f>
        <v>#NAME?</v>
      </c>
      <c r="BT18" s="986" t="str">
        <f>MONDEF(BS14)</f>
        <v>#NAME?</v>
      </c>
      <c r="BU18" s="986" t="str">
        <f>MONSPA(BS14)</f>
        <v>#NAME?</v>
      </c>
      <c r="BV18" s="986" t="str">
        <f>MONSPD(BS14)</f>
        <v>#NAME?</v>
      </c>
      <c r="BW18" s="986" t="str">
        <f>MONSPE(BS14)</f>
        <v>#NAME?</v>
      </c>
      <c r="BX18" s="986" t="str">
        <f>MONBST(BS14)</f>
        <v>#NAME?</v>
      </c>
      <c r="BY18" s="1988"/>
      <c r="BZ18" s="1230"/>
      <c r="CA18" s="1860"/>
      <c r="CB18" s="1032"/>
      <c r="CC18" s="1032"/>
      <c r="CD18" s="1032"/>
      <c r="CE18" s="1032"/>
      <c r="CF18" s="1032"/>
      <c r="CG18" s="1032"/>
      <c r="CH18" s="30"/>
      <c r="CJ18" s="1155"/>
      <c r="CO18" s="539"/>
      <c r="CP18" s="1432"/>
      <c r="CR18" s="1155"/>
      <c r="CW18" s="539"/>
      <c r="CX18" s="1432"/>
      <c r="CY18" s="1230"/>
      <c r="CZ18" s="1155"/>
      <c r="DE18" s="539"/>
      <c r="DF18" s="1432"/>
      <c r="DG18" s="1230"/>
      <c r="DH18" s="1155"/>
      <c r="DM18" s="539"/>
      <c r="DN18" s="1432"/>
      <c r="DO18" s="1230"/>
      <c r="DP18" s="1092" t="str">
        <f>MONHP(DQ14)</f>
        <v>#NAME?</v>
      </c>
      <c r="DQ18" s="986" t="str">
        <f>MONATK(DQ14)</f>
        <v>#NAME?</v>
      </c>
      <c r="DR18" s="986" t="str">
        <f>MONDEF(DQ14)</f>
        <v>#NAME?</v>
      </c>
      <c r="DS18" s="986" t="str">
        <f>MONSPA(DQ14)</f>
        <v>#NAME?</v>
      </c>
      <c r="DT18" s="986" t="str">
        <f>MONSPD(DQ14)</f>
        <v>#NAME?</v>
      </c>
      <c r="DU18" s="986" t="str">
        <f>MONSPE(DQ14)</f>
        <v>#NAME?</v>
      </c>
      <c r="DV18" s="986" t="str">
        <f>MONBST(DQ14)</f>
        <v>#NAME?</v>
      </c>
      <c r="DW18" s="1992" t="s">
        <v>10435</v>
      </c>
      <c r="DX18" s="1230"/>
      <c r="DY18" s="1092" t="str">
        <f>MONHP(DZ14)</f>
        <v>#NAME?</v>
      </c>
      <c r="DZ18" s="986" t="str">
        <f>MONATK(DZ14)</f>
        <v>#NAME?</v>
      </c>
      <c r="EA18" s="986" t="str">
        <f>MONDEF(DZ14)</f>
        <v>#NAME?</v>
      </c>
      <c r="EB18" s="986" t="str">
        <f>MONSPA(DZ14)</f>
        <v>#NAME?</v>
      </c>
      <c r="EC18" s="986" t="str">
        <f>MONSPD(DZ14)</f>
        <v>#NAME?</v>
      </c>
      <c r="ED18" s="986" t="str">
        <f>MONSPE(DZ14)</f>
        <v>#NAME?</v>
      </c>
      <c r="EE18" s="986" t="str">
        <f>MONBST(DZ14)</f>
        <v>#NAME?</v>
      </c>
      <c r="EF18" s="1985" t="s">
        <v>10328</v>
      </c>
      <c r="EG18" s="1230"/>
      <c r="EH18" s="1990" t="s">
        <v>4416</v>
      </c>
      <c r="EI18" s="1991" t="s">
        <v>4417</v>
      </c>
      <c r="EJ18" s="1991" t="s">
        <v>3748</v>
      </c>
      <c r="EK18" s="1991" t="s">
        <v>4418</v>
      </c>
      <c r="EL18" s="1991" t="s">
        <v>4419</v>
      </c>
      <c r="EM18" s="1991" t="s">
        <v>4420</v>
      </c>
      <c r="EN18" s="1991" t="s">
        <v>4421</v>
      </c>
      <c r="EO18" s="1985" t="s">
        <v>10306</v>
      </c>
      <c r="EP18" s="1230"/>
      <c r="EQ18" s="1983" t="s">
        <v>10436</v>
      </c>
      <c r="ER18" s="12"/>
      <c r="ES18" s="12"/>
      <c r="ET18" s="12"/>
      <c r="EU18" s="12"/>
      <c r="EV18" s="12"/>
      <c r="EW18" s="48"/>
      <c r="EX18" s="1987"/>
      <c r="EY18" s="1230"/>
      <c r="EZ18" s="1092" t="str">
        <f>MONHP(FA14)</f>
        <v>#NAME?</v>
      </c>
      <c r="FA18" s="986" t="str">
        <f>MONATK(FA14)</f>
        <v>#NAME?</v>
      </c>
      <c r="FB18" s="986" t="str">
        <f>MONDEF(FA14)</f>
        <v>#NAME?</v>
      </c>
      <c r="FC18" s="986" t="str">
        <f>MONSPA(FA14)</f>
        <v>#NAME?</v>
      </c>
      <c r="FD18" s="986" t="str">
        <f>MONSPD(FA14)</f>
        <v>#NAME?</v>
      </c>
      <c r="FE18" s="986" t="str">
        <f>MONSPE(FA14)</f>
        <v>#NAME?</v>
      </c>
      <c r="FF18" s="986" t="str">
        <f>MONBST(FA14)</f>
        <v>#NAME?</v>
      </c>
      <c r="FG18" s="1995" t="s">
        <v>10437</v>
      </c>
      <c r="FH18" s="1230"/>
      <c r="FI18" s="1092" t="str">
        <f>MONHP(FJ14)</f>
        <v>#NAME?</v>
      </c>
      <c r="FJ18" s="986" t="str">
        <f>MONATK(FJ14)</f>
        <v>#NAME?</v>
      </c>
      <c r="FK18" s="986" t="str">
        <f>MONDEF(FJ14)</f>
        <v>#NAME?</v>
      </c>
      <c r="FL18" s="986" t="str">
        <f>MONSPA(FJ14)</f>
        <v>#NAME?</v>
      </c>
      <c r="FM18" s="986" t="str">
        <f>MONSPD(FJ14)</f>
        <v>#NAME?</v>
      </c>
      <c r="FN18" s="986" t="str">
        <f>MONSPE(FJ14)</f>
        <v>#NAME?</v>
      </c>
      <c r="FO18" s="986" t="str">
        <f>MONBST(FJ14)</f>
        <v>#NAME?</v>
      </c>
      <c r="FP18" s="1992" t="s">
        <v>10438</v>
      </c>
      <c r="FQ18" s="1230"/>
      <c r="FR18" s="1092" t="str">
        <f>MONHP(FS14)</f>
        <v>#NAME?</v>
      </c>
      <c r="FS18" s="986" t="str">
        <f>MONATK(FS14)</f>
        <v>#NAME?</v>
      </c>
      <c r="FT18" s="986" t="str">
        <f>MONDEF(FS14)</f>
        <v>#NAME?</v>
      </c>
      <c r="FU18" s="986" t="str">
        <f>MONSPA(FS14)</f>
        <v>#NAME?</v>
      </c>
      <c r="FV18" s="986" t="str">
        <f>MONSPD(FS14)</f>
        <v>#NAME?</v>
      </c>
      <c r="FW18" s="986" t="str">
        <f>MONSPE(FS14)</f>
        <v>#NAME?</v>
      </c>
      <c r="FX18" s="986" t="str">
        <f>MONBST(FS14)</f>
        <v>#NAME?</v>
      </c>
      <c r="FY18" s="1992" t="s">
        <v>10439</v>
      </c>
      <c r="FZ18" s="1230"/>
      <c r="GA18" s="1092" t="str">
        <f>MONHP(GB14)</f>
        <v>#NAME?</v>
      </c>
      <c r="GB18" s="986" t="str">
        <f>MONATK(GB14)</f>
        <v>#NAME?</v>
      </c>
      <c r="GC18" s="986" t="str">
        <f>MONDEF(GB14)</f>
        <v>#NAME?</v>
      </c>
      <c r="GD18" s="986" t="str">
        <f>MONSPA(GB14)</f>
        <v>#NAME?</v>
      </c>
      <c r="GE18" s="986" t="str">
        <f>MONSPD(GB14)</f>
        <v>#NAME?</v>
      </c>
      <c r="GF18" s="986" t="str">
        <f>MONSPE(GB14)</f>
        <v>#NAME?</v>
      </c>
      <c r="GG18" s="986" t="str">
        <f>MONBST(GB14)</f>
        <v>#NAME?</v>
      </c>
      <c r="GH18" s="1998"/>
      <c r="GI18" s="1230"/>
      <c r="GJ18" s="2065" t="s">
        <v>4608</v>
      </c>
      <c r="GK18" s="2061" t="s">
        <v>10440</v>
      </c>
      <c r="GL18" s="138"/>
      <c r="GM18" s="138"/>
      <c r="GN18" s="138"/>
      <c r="GO18" s="138"/>
      <c r="GP18" s="138"/>
      <c r="GQ18" s="128"/>
      <c r="GS18" s="1155"/>
      <c r="GX18" s="539"/>
      <c r="GY18" s="1432"/>
      <c r="GZ18" s="21"/>
      <c r="HA18" s="1155"/>
      <c r="HF18" s="539"/>
      <c r="HG18" s="1432"/>
      <c r="HH18" s="21"/>
      <c r="HI18" s="1155"/>
      <c r="HN18" s="539"/>
      <c r="HO18" s="1432"/>
      <c r="HP18" s="65"/>
      <c r="HQ18" s="1155"/>
      <c r="HV18" s="539"/>
      <c r="HW18" s="1432"/>
      <c r="HX18" s="65"/>
      <c r="HY18" s="1155"/>
      <c r="ID18" s="539"/>
      <c r="IE18" s="1432"/>
      <c r="IF18" s="65"/>
      <c r="IG18" s="1155"/>
      <c r="IL18" s="539"/>
      <c r="IM18" s="1432"/>
      <c r="IN18" s="65"/>
      <c r="IO18" s="1155"/>
      <c r="IT18" s="539"/>
      <c r="IU18" s="1432"/>
      <c r="IV18" s="21"/>
      <c r="IW18" s="1155"/>
      <c r="JB18" s="539"/>
      <c r="JC18" s="1432"/>
      <c r="JD18" s="1230"/>
    </row>
    <row r="19" ht="15.75" customHeight="1">
      <c r="A19" s="1238"/>
      <c r="B19" s="1956" t="s">
        <v>10441</v>
      </c>
      <c r="C19" s="1150"/>
      <c r="D19" s="1150"/>
      <c r="E19" s="1150"/>
      <c r="F19" s="1150"/>
      <c r="G19" s="1150"/>
      <c r="H19" s="1150"/>
      <c r="I19" s="1150"/>
      <c r="J19" s="1150"/>
      <c r="K19" s="1151"/>
      <c r="L19" s="1230"/>
      <c r="M19" s="1989" t="s">
        <v>10442</v>
      </c>
      <c r="N19" s="984"/>
      <c r="O19" s="984"/>
      <c r="P19" s="984"/>
      <c r="Q19" s="984"/>
      <c r="R19" s="984"/>
      <c r="S19" s="984"/>
      <c r="T19" s="319"/>
      <c r="U19" s="1230"/>
      <c r="V19" s="1911" t="s">
        <v>10443</v>
      </c>
      <c r="W19" s="138"/>
      <c r="X19" s="138"/>
      <c r="Y19" s="128"/>
      <c r="Z19" s="1230"/>
      <c r="AA19" s="1860"/>
      <c r="AB19" s="1032"/>
      <c r="AC19" s="1032"/>
      <c r="AD19" s="1032"/>
      <c r="AE19" s="1032"/>
      <c r="AF19" s="1032"/>
      <c r="AG19" s="30"/>
      <c r="AI19" s="997"/>
      <c r="AJ19" s="1026"/>
      <c r="AK19" s="1026"/>
      <c r="AL19" s="1026"/>
      <c r="AM19" s="1026"/>
      <c r="AN19" s="1026"/>
      <c r="AO19" s="998"/>
      <c r="AP19" s="1230"/>
      <c r="AQ19" s="1990" t="s">
        <v>4416</v>
      </c>
      <c r="AR19" s="1991" t="s">
        <v>4417</v>
      </c>
      <c r="AS19" s="1991" t="s">
        <v>3748</v>
      </c>
      <c r="AT19" s="1991" t="s">
        <v>4418</v>
      </c>
      <c r="AU19" s="1991" t="s">
        <v>4419</v>
      </c>
      <c r="AV19" s="1991" t="s">
        <v>4420</v>
      </c>
      <c r="AW19" s="1991" t="s">
        <v>4421</v>
      </c>
      <c r="AX19" s="2016" t="s">
        <v>10444</v>
      </c>
      <c r="AY19" s="1230"/>
      <c r="AZ19" s="2009" t="str">
        <f>ITEMICON(BA19)</f>
        <v>#NAME?</v>
      </c>
      <c r="BA19" s="2010" t="s">
        <v>2932</v>
      </c>
      <c r="BB19" s="967"/>
      <c r="BC19" s="1249"/>
      <c r="BD19" s="1092" t="s">
        <v>10339</v>
      </c>
      <c r="BE19" s="12"/>
      <c r="BF19" s="12"/>
      <c r="BG19" s="1992" t="s">
        <v>10445</v>
      </c>
      <c r="BH19" s="1230"/>
      <c r="BI19" s="2009" t="str">
        <f>ITEMICON(BJ19)</f>
        <v>#NAME?</v>
      </c>
      <c r="BJ19" s="2010" t="s">
        <v>3466</v>
      </c>
      <c r="BK19" s="967"/>
      <c r="BL19" s="1249"/>
      <c r="BM19" s="1092" t="s">
        <v>10336</v>
      </c>
      <c r="BN19" s="12"/>
      <c r="BO19" s="48"/>
      <c r="BP19" s="1988"/>
      <c r="BQ19" s="1230"/>
      <c r="BR19" s="2009" t="str">
        <f>ITEMICON(BS19)</f>
        <v>#NAME?</v>
      </c>
      <c r="BS19" s="2010" t="s">
        <v>2096</v>
      </c>
      <c r="BT19" s="967"/>
      <c r="BU19" s="1249"/>
      <c r="BV19" s="1092" t="s">
        <v>10336</v>
      </c>
      <c r="BW19" s="12"/>
      <c r="BX19" s="48"/>
      <c r="BY19" s="1992" t="s">
        <v>10446</v>
      </c>
      <c r="BZ19" s="1230"/>
      <c r="CA19" s="1096" t="s">
        <v>10447</v>
      </c>
      <c r="CB19" s="138"/>
      <c r="CC19" s="138"/>
      <c r="CD19" s="138"/>
      <c r="CE19" s="138"/>
      <c r="CF19" s="138"/>
      <c r="CG19" s="138"/>
      <c r="CH19" s="128"/>
      <c r="CJ19" s="1016"/>
      <c r="CK19" s="1019"/>
      <c r="CL19" s="1019"/>
      <c r="CM19" s="1019"/>
      <c r="CN19" s="1019"/>
      <c r="CO19" s="1017"/>
      <c r="CP19" s="1986"/>
      <c r="CR19" s="1016"/>
      <c r="CS19" s="1019"/>
      <c r="CT19" s="1019"/>
      <c r="CU19" s="1019"/>
      <c r="CV19" s="1019"/>
      <c r="CW19" s="1017"/>
      <c r="CX19" s="1986"/>
      <c r="CY19" s="1230"/>
      <c r="CZ19" s="1016"/>
      <c r="DA19" s="1019"/>
      <c r="DB19" s="1019"/>
      <c r="DC19" s="1019"/>
      <c r="DD19" s="1019"/>
      <c r="DE19" s="1017"/>
      <c r="DF19" s="1986"/>
      <c r="DG19" s="1230"/>
      <c r="DH19" s="1016"/>
      <c r="DI19" s="1019"/>
      <c r="DJ19" s="1019"/>
      <c r="DK19" s="1019"/>
      <c r="DL19" s="1019"/>
      <c r="DM19" s="1017"/>
      <c r="DN19" s="1986"/>
      <c r="DO19" s="1230"/>
      <c r="DP19" s="2009" t="str">
        <f>ITEMICON(DQ19)</f>
        <v>#NAME?</v>
      </c>
      <c r="DQ19" s="2010" t="s">
        <v>3466</v>
      </c>
      <c r="DR19" s="967"/>
      <c r="DS19" s="1249"/>
      <c r="DT19" s="1092" t="s">
        <v>10336</v>
      </c>
      <c r="DU19" s="12"/>
      <c r="DV19" s="48"/>
      <c r="DW19" s="1985" t="s">
        <v>10448</v>
      </c>
      <c r="DX19" s="1230"/>
      <c r="DY19" s="2009" t="str">
        <f>ITEMICON(DZ19)</f>
        <v>#NAME?</v>
      </c>
      <c r="DZ19" s="2010" t="s">
        <v>3466</v>
      </c>
      <c r="EA19" s="967"/>
      <c r="EB19" s="1249"/>
      <c r="EC19" s="1092" t="s">
        <v>10336</v>
      </c>
      <c r="ED19" s="12"/>
      <c r="EE19" s="48"/>
      <c r="EF19" s="1988"/>
      <c r="EG19" s="1230"/>
      <c r="EH19" s="1092" t="str">
        <f>MONHP(EI15)</f>
        <v>#NAME?</v>
      </c>
      <c r="EI19" s="986" t="str">
        <f>MONATK(EI15)</f>
        <v>#NAME?</v>
      </c>
      <c r="EJ19" s="986" t="str">
        <f>MONDEF(EI15)</f>
        <v>#NAME?</v>
      </c>
      <c r="EK19" s="986" t="str">
        <f>MONSPA(EI15)</f>
        <v>#NAME?</v>
      </c>
      <c r="EL19" s="986" t="str">
        <f>MONSPD(EI15)</f>
        <v>#NAME?</v>
      </c>
      <c r="EM19" s="986" t="str">
        <f>MONSPE(EI15)</f>
        <v>#NAME?</v>
      </c>
      <c r="EN19" s="986" t="str">
        <f>MONBST(EI15)</f>
        <v>#NAME?</v>
      </c>
      <c r="EO19" s="1998"/>
      <c r="EP19" s="1230"/>
      <c r="EQ19" s="1990" t="s">
        <v>4416</v>
      </c>
      <c r="ER19" s="1991" t="s">
        <v>4417</v>
      </c>
      <c r="ES19" s="1991" t="s">
        <v>3748</v>
      </c>
      <c r="ET19" s="1991" t="s">
        <v>4418</v>
      </c>
      <c r="EU19" s="1991" t="s">
        <v>4419</v>
      </c>
      <c r="EV19" s="1991" t="s">
        <v>4420</v>
      </c>
      <c r="EW19" s="1991" t="s">
        <v>4421</v>
      </c>
      <c r="EX19" s="1985" t="s">
        <v>10449</v>
      </c>
      <c r="EY19" s="1230"/>
      <c r="EZ19" s="2009" t="str">
        <f>ITEMICON(FA19)</f>
        <v>#NAME?</v>
      </c>
      <c r="FA19" s="2010" t="s">
        <v>3466</v>
      </c>
      <c r="FB19" s="967"/>
      <c r="FC19" s="1249"/>
      <c r="FD19" s="1092" t="s">
        <v>10336</v>
      </c>
      <c r="FE19" s="12"/>
      <c r="FF19" s="48"/>
      <c r="FG19" s="2016" t="s">
        <v>10450</v>
      </c>
      <c r="FH19" s="1230"/>
      <c r="FI19" s="2009" t="str">
        <f>ITEMICON(FJ19)</f>
        <v>#NAME?</v>
      </c>
      <c r="FJ19" s="2010" t="s">
        <v>3466</v>
      </c>
      <c r="FK19" s="967"/>
      <c r="FL19" s="1249"/>
      <c r="FM19" s="1092" t="s">
        <v>10343</v>
      </c>
      <c r="FN19" s="12"/>
      <c r="FO19" s="48"/>
      <c r="FP19" s="1988"/>
      <c r="FQ19" s="1230"/>
      <c r="FR19" s="2009" t="str">
        <f>ITEMICON(FS19)</f>
        <v>#NAME?</v>
      </c>
      <c r="FS19" s="2010" t="s">
        <v>3466</v>
      </c>
      <c r="FT19" s="967"/>
      <c r="FU19" s="1249"/>
      <c r="FV19" s="1092" t="s">
        <v>10336</v>
      </c>
      <c r="FW19" s="12"/>
      <c r="FX19" s="48"/>
      <c r="FY19" s="1987"/>
      <c r="FZ19" s="1230"/>
      <c r="GA19" s="2009" t="str">
        <f>ITEMICON(GB19)</f>
        <v>#NAME?</v>
      </c>
      <c r="GB19" s="2010" t="s">
        <v>3466</v>
      </c>
      <c r="GC19" s="967"/>
      <c r="GD19" s="1249"/>
      <c r="GE19" s="1092" t="s">
        <v>10336</v>
      </c>
      <c r="GF19" s="12"/>
      <c r="GG19" s="48"/>
      <c r="GH19" s="1992" t="s">
        <v>10451</v>
      </c>
      <c r="GI19" s="1230"/>
      <c r="GJ19" s="2066" t="s">
        <v>4608</v>
      </c>
      <c r="GK19" s="1537" t="s">
        <v>10452</v>
      </c>
      <c r="GL19" s="138"/>
      <c r="GM19" s="138"/>
      <c r="GN19" s="138"/>
      <c r="GO19" s="138"/>
      <c r="GP19" s="138"/>
      <c r="GQ19" s="128"/>
      <c r="GS19" s="1016"/>
      <c r="GT19" s="1019"/>
      <c r="GU19" s="1019"/>
      <c r="GV19" s="1019"/>
      <c r="GW19" s="1019"/>
      <c r="GX19" s="1017"/>
      <c r="GY19" s="1986"/>
      <c r="GZ19" s="21"/>
      <c r="HA19" s="1016"/>
      <c r="HB19" s="1019"/>
      <c r="HC19" s="1019"/>
      <c r="HD19" s="1019"/>
      <c r="HE19" s="1019"/>
      <c r="HF19" s="1017"/>
      <c r="HG19" s="1986"/>
      <c r="HH19" s="21"/>
      <c r="HI19" s="1016"/>
      <c r="HJ19" s="1019"/>
      <c r="HK19" s="1019"/>
      <c r="HL19" s="1019"/>
      <c r="HM19" s="1019"/>
      <c r="HN19" s="1017"/>
      <c r="HO19" s="1986"/>
      <c r="HP19" s="65"/>
      <c r="HQ19" s="1016"/>
      <c r="HR19" s="1019"/>
      <c r="HS19" s="1019"/>
      <c r="HT19" s="1019"/>
      <c r="HU19" s="1019"/>
      <c r="HV19" s="1017"/>
      <c r="HW19" s="1986"/>
      <c r="HX19" s="65"/>
      <c r="HY19" s="1016"/>
      <c r="HZ19" s="1019"/>
      <c r="IA19" s="1019"/>
      <c r="IB19" s="1019"/>
      <c r="IC19" s="1019"/>
      <c r="ID19" s="1017"/>
      <c r="IE19" s="1986"/>
      <c r="IF19" s="65"/>
      <c r="IG19" s="1016"/>
      <c r="IH19" s="1019"/>
      <c r="II19" s="1019"/>
      <c r="IJ19" s="1019"/>
      <c r="IK19" s="1019"/>
      <c r="IL19" s="1017"/>
      <c r="IM19" s="1986"/>
      <c r="IN19" s="65"/>
      <c r="IO19" s="1016"/>
      <c r="IP19" s="1019"/>
      <c r="IQ19" s="1019"/>
      <c r="IR19" s="1019"/>
      <c r="IS19" s="1019"/>
      <c r="IT19" s="1017"/>
      <c r="IU19" s="1986"/>
      <c r="IV19" s="21"/>
      <c r="IW19" s="1016"/>
      <c r="IX19" s="1019"/>
      <c r="IY19" s="1019"/>
      <c r="IZ19" s="1019"/>
      <c r="JA19" s="1019"/>
      <c r="JB19" s="1017"/>
      <c r="JC19" s="1986"/>
      <c r="JD19" s="1230"/>
    </row>
    <row r="20" ht="15.75" customHeight="1">
      <c r="A20" s="1238"/>
      <c r="B20" s="1155"/>
      <c r="K20" s="1154"/>
      <c r="L20" s="1230"/>
      <c r="M20" s="1914" t="s">
        <v>10453</v>
      </c>
      <c r="N20" s="413"/>
      <c r="O20" s="413"/>
      <c r="P20" s="413"/>
      <c r="Q20" s="413"/>
      <c r="R20" s="413"/>
      <c r="S20" s="413"/>
      <c r="T20" s="414"/>
      <c r="U20" s="1230"/>
      <c r="V20" s="1947" t="s">
        <v>10454</v>
      </c>
      <c r="W20" s="138"/>
      <c r="X20" s="138"/>
      <c r="Y20" s="128"/>
      <c r="Z20" s="1230"/>
      <c r="AA20" s="2067" t="s">
        <v>10455</v>
      </c>
      <c r="AB20" s="413"/>
      <c r="AC20" s="413"/>
      <c r="AD20" s="413"/>
      <c r="AE20" s="413"/>
      <c r="AF20" s="413"/>
      <c r="AG20" s="414"/>
      <c r="AP20" s="1230"/>
      <c r="AQ20" s="1092" t="str">
        <f>MONHP(AR16)</f>
        <v>#NAME?</v>
      </c>
      <c r="AR20" s="986" t="str">
        <f>MONATK(AR16)</f>
        <v>#NAME?</v>
      </c>
      <c r="AS20" s="986" t="str">
        <f>MONDEF(AR16)</f>
        <v>#NAME?</v>
      </c>
      <c r="AT20" s="986" t="str">
        <f>MONSPA(AR16)</f>
        <v>#NAME?</v>
      </c>
      <c r="AU20" s="986" t="str">
        <f>MONSPD(AR16)</f>
        <v>#NAME?</v>
      </c>
      <c r="AV20" s="986" t="str">
        <f>MONSPE(AR16)</f>
        <v>#NAME?</v>
      </c>
      <c r="AW20" s="986" t="str">
        <f>MONBST(AR16)</f>
        <v>#NAME?</v>
      </c>
      <c r="AX20" s="1984" t="s">
        <v>10456</v>
      </c>
      <c r="AY20" s="1230"/>
      <c r="AZ20" s="10" t="s">
        <v>4395</v>
      </c>
      <c r="BA20" s="1049" t="str">
        <f>MONABILITY(BA14)</f>
        <v>#NAME?</v>
      </c>
      <c r="BB20" s="1026"/>
      <c r="BC20" s="1026"/>
      <c r="BD20" s="2014" t="str">
        <f>MONABILITY2(BA14)</f>
        <v>#NAME?</v>
      </c>
      <c r="BF20" s="2015"/>
      <c r="BG20" s="1987"/>
      <c r="BH20" s="1230"/>
      <c r="BI20" s="10" t="s">
        <v>4395</v>
      </c>
      <c r="BJ20" s="1049" t="str">
        <f>MONABILITY(BJ14)</f>
        <v>#NAME?</v>
      </c>
      <c r="BK20" s="1026"/>
      <c r="BL20" s="1026"/>
      <c r="BM20" s="2014" t="str">
        <f>MONABILITY2(BJ14)</f>
        <v>#NAME?</v>
      </c>
      <c r="BO20" s="2015"/>
      <c r="BP20" s="2068" t="s">
        <v>10457</v>
      </c>
      <c r="BQ20" s="1230"/>
      <c r="BR20" s="10" t="s">
        <v>4395</v>
      </c>
      <c r="BS20" s="1049" t="str">
        <f>MONABILITY(BS14)</f>
        <v>#NAME?</v>
      </c>
      <c r="BT20" s="1026"/>
      <c r="BU20" s="1026"/>
      <c r="BV20" s="2014" t="str">
        <f>MONABILITY2(BS14)</f>
        <v>#NAME?</v>
      </c>
      <c r="BX20" s="2015"/>
      <c r="BY20" s="1988"/>
      <c r="BZ20" s="1230"/>
      <c r="CA20" s="2069" t="s">
        <v>10458</v>
      </c>
      <c r="CB20" s="138"/>
      <c r="CC20" s="138"/>
      <c r="CD20" s="138"/>
      <c r="CE20" s="138"/>
      <c r="CF20" s="138"/>
      <c r="CG20" s="138"/>
      <c r="CH20" s="128"/>
      <c r="CJ20" s="1994" t="s">
        <v>10459</v>
      </c>
      <c r="CK20" s="967"/>
      <c r="CL20" s="967"/>
      <c r="CM20" s="967"/>
      <c r="CN20" s="967"/>
      <c r="CO20" s="967"/>
      <c r="CP20" s="263"/>
      <c r="CR20" s="1994" t="s">
        <v>10460</v>
      </c>
      <c r="CS20" s="967"/>
      <c r="CT20" s="967"/>
      <c r="CU20" s="967"/>
      <c r="CV20" s="967"/>
      <c r="CW20" s="967"/>
      <c r="CX20" s="263"/>
      <c r="CY20" s="1230"/>
      <c r="CZ20" s="1994" t="s">
        <v>10461</v>
      </c>
      <c r="DA20" s="967"/>
      <c r="DB20" s="967"/>
      <c r="DC20" s="967"/>
      <c r="DD20" s="967"/>
      <c r="DE20" s="967"/>
      <c r="DF20" s="263"/>
      <c r="DG20" s="1230"/>
      <c r="DH20" s="1994" t="s">
        <v>10462</v>
      </c>
      <c r="DI20" s="967"/>
      <c r="DJ20" s="967"/>
      <c r="DK20" s="967"/>
      <c r="DL20" s="967"/>
      <c r="DM20" s="967"/>
      <c r="DN20" s="263"/>
      <c r="DO20" s="1230"/>
      <c r="DP20" s="10" t="s">
        <v>4395</v>
      </c>
      <c r="DQ20" s="1049" t="str">
        <f>MONABILITY(DQ14)</f>
        <v>#NAME?</v>
      </c>
      <c r="DR20" s="1026"/>
      <c r="DS20" s="1026"/>
      <c r="DT20" s="2014" t="str">
        <f>MONABILITY2(DQ14)</f>
        <v>#NAME?</v>
      </c>
      <c r="DV20" s="2015"/>
      <c r="DW20" s="1988"/>
      <c r="DX20" s="1230"/>
      <c r="DY20" s="10" t="s">
        <v>4395</v>
      </c>
      <c r="DZ20" s="1049" t="str">
        <f>MONABILITY(DZ14)</f>
        <v>#NAME?</v>
      </c>
      <c r="EA20" s="1026"/>
      <c r="EB20" s="1026"/>
      <c r="EC20" s="2014" t="str">
        <f>MONABILITY2(DZ14)</f>
        <v>#NAME?</v>
      </c>
      <c r="EE20" s="2015"/>
      <c r="EF20" s="1992" t="s">
        <v>10351</v>
      </c>
      <c r="EG20" s="1230"/>
      <c r="EH20" s="2009" t="str">
        <f>ITEMICON(EI20)</f>
        <v>#NAME?</v>
      </c>
      <c r="EI20" s="2010" t="s">
        <v>3466</v>
      </c>
      <c r="EJ20" s="967"/>
      <c r="EK20" s="1249"/>
      <c r="EL20" s="1092" t="s">
        <v>10340</v>
      </c>
      <c r="EM20" s="12"/>
      <c r="EN20" s="48"/>
      <c r="EO20" s="1992" t="s">
        <v>10463</v>
      </c>
      <c r="EP20" s="1230"/>
      <c r="EQ20" s="1092" t="str">
        <f>MONHP(ER16)</f>
        <v>#NAME?</v>
      </c>
      <c r="ER20" s="986" t="str">
        <f>MONATK(ER16)</f>
        <v>#NAME?</v>
      </c>
      <c r="ES20" s="986" t="str">
        <f>MONDEF(ER16)</f>
        <v>#NAME?</v>
      </c>
      <c r="ET20" s="986" t="str">
        <f>MONSPA(ER16)</f>
        <v>#NAME?</v>
      </c>
      <c r="EU20" s="986" t="str">
        <f>MONSPD(ER16)</f>
        <v>#NAME?</v>
      </c>
      <c r="EV20" s="986" t="str">
        <f>MONSPE(ER16)</f>
        <v>#NAME?</v>
      </c>
      <c r="EW20" s="986" t="str">
        <f>MONBST(ER16)</f>
        <v>#NAME?</v>
      </c>
      <c r="EX20" s="1988"/>
      <c r="EY20" s="1230"/>
      <c r="EZ20" s="10" t="s">
        <v>4395</v>
      </c>
      <c r="FA20" s="1049" t="str">
        <f>MONABILITY(FA14)</f>
        <v>#NAME?</v>
      </c>
      <c r="FB20" s="1026"/>
      <c r="FC20" s="1026"/>
      <c r="FD20" s="2014" t="str">
        <f>MONABILITY2(FA14)</f>
        <v>#NAME?</v>
      </c>
      <c r="FF20" s="2015"/>
      <c r="FG20" s="1984"/>
      <c r="FH20" s="1230"/>
      <c r="FI20" s="10" t="s">
        <v>4395</v>
      </c>
      <c r="FJ20" s="1049" t="str">
        <f>MONABILITY(FJ14)</f>
        <v>#NAME?</v>
      </c>
      <c r="FK20" s="1026"/>
      <c r="FL20" s="1026"/>
      <c r="FM20" s="2014" t="str">
        <f>MONABILITY2(FJ14)</f>
        <v>#NAME?</v>
      </c>
      <c r="FO20" s="2015"/>
      <c r="FP20" s="1985" t="s">
        <v>10464</v>
      </c>
      <c r="FQ20" s="1230"/>
      <c r="FR20" s="10" t="s">
        <v>4395</v>
      </c>
      <c r="FS20" s="1049" t="str">
        <f>MONABILITY(FS14)</f>
        <v>#NAME?</v>
      </c>
      <c r="FT20" s="1026"/>
      <c r="FU20" s="1026"/>
      <c r="FV20" s="2014" t="str">
        <f>MONABILITY2(FS14)</f>
        <v>#NAME?</v>
      </c>
      <c r="FX20" s="2015"/>
      <c r="FY20" s="1985" t="s">
        <v>10465</v>
      </c>
      <c r="FZ20" s="1230"/>
      <c r="GA20" s="10" t="s">
        <v>4395</v>
      </c>
      <c r="GB20" s="1049" t="str">
        <f>MONABILITY(GB14)</f>
        <v>#NAME?</v>
      </c>
      <c r="GC20" s="1026"/>
      <c r="GD20" s="1026"/>
      <c r="GE20" s="2014" t="str">
        <f>MONABILITY2(GB14)</f>
        <v>#NAME?</v>
      </c>
      <c r="GG20" s="2015"/>
      <c r="GH20" s="1987"/>
      <c r="GI20" s="1230"/>
      <c r="GJ20" s="2065" t="s">
        <v>4608</v>
      </c>
      <c r="GK20" s="1862" t="s">
        <v>10466</v>
      </c>
      <c r="GL20" s="138"/>
      <c r="GM20" s="138"/>
      <c r="GN20" s="138"/>
      <c r="GO20" s="138"/>
      <c r="GP20" s="138"/>
      <c r="GQ20" s="128"/>
      <c r="GS20" s="1996"/>
      <c r="GT20" s="1997" t="s">
        <v>10467</v>
      </c>
      <c r="GU20" s="967"/>
      <c r="GV20" s="967"/>
      <c r="GW20" s="967"/>
      <c r="GX20" s="967"/>
      <c r="GY20" s="263"/>
      <c r="GZ20" s="21"/>
      <c r="HA20" s="1996"/>
      <c r="HB20" s="1997" t="s">
        <v>10468</v>
      </c>
      <c r="HC20" s="967"/>
      <c r="HD20" s="967"/>
      <c r="HE20" s="967"/>
      <c r="HF20" s="967"/>
      <c r="HG20" s="263"/>
      <c r="HH20" s="21"/>
      <c r="HI20" s="1996"/>
      <c r="HJ20" s="1997" t="s">
        <v>10469</v>
      </c>
      <c r="HK20" s="967"/>
      <c r="HL20" s="967"/>
      <c r="HM20" s="967"/>
      <c r="HN20" s="967"/>
      <c r="HO20" s="263"/>
      <c r="HP20" s="65"/>
      <c r="HQ20" s="1996"/>
      <c r="HR20" s="1997" t="s">
        <v>10470</v>
      </c>
      <c r="HS20" s="967"/>
      <c r="HT20" s="967"/>
      <c r="HU20" s="967"/>
      <c r="HV20" s="967"/>
      <c r="HW20" s="263"/>
      <c r="HX20" s="65"/>
      <c r="HY20" s="1996"/>
      <c r="HZ20" s="1997" t="s">
        <v>10471</v>
      </c>
      <c r="IA20" s="967"/>
      <c r="IB20" s="967"/>
      <c r="IC20" s="967"/>
      <c r="ID20" s="967"/>
      <c r="IE20" s="263"/>
      <c r="IF20" s="65"/>
      <c r="IG20" s="1996"/>
      <c r="IH20" s="1997" t="s">
        <v>10472</v>
      </c>
      <c r="II20" s="967"/>
      <c r="IJ20" s="967"/>
      <c r="IK20" s="967"/>
      <c r="IL20" s="967"/>
      <c r="IM20" s="263"/>
      <c r="IN20" s="65"/>
      <c r="IO20" s="1996"/>
      <c r="IP20" s="1997" t="s">
        <v>10473</v>
      </c>
      <c r="IQ20" s="967"/>
      <c r="IR20" s="967"/>
      <c r="IS20" s="967"/>
      <c r="IT20" s="967"/>
      <c r="IU20" s="263"/>
      <c r="IV20" s="21"/>
      <c r="IW20" s="1996"/>
      <c r="IX20" s="1997" t="s">
        <v>10474</v>
      </c>
      <c r="IY20" s="967"/>
      <c r="IZ20" s="967"/>
      <c r="JA20" s="967"/>
      <c r="JB20" s="967"/>
      <c r="JC20" s="263"/>
      <c r="JD20" s="1230"/>
    </row>
    <row r="21" ht="15.75" customHeight="1">
      <c r="A21" s="1238"/>
      <c r="B21" s="1155"/>
      <c r="K21" s="1154"/>
      <c r="L21" s="1230"/>
      <c r="M21" s="428"/>
      <c r="N21" s="428"/>
      <c r="O21" s="428"/>
      <c r="P21" s="428"/>
      <c r="Q21" s="428"/>
      <c r="R21" s="428"/>
      <c r="S21" s="428"/>
      <c r="T21" s="428"/>
      <c r="U21" s="1230"/>
      <c r="V21" s="2025" t="s">
        <v>10365</v>
      </c>
      <c r="W21" s="1150"/>
      <c r="X21" s="1150"/>
      <c r="Y21" s="1151"/>
      <c r="Z21" s="1230"/>
      <c r="AP21" s="1230"/>
      <c r="AQ21" s="2009" t="str">
        <f>ITEMICON(AR21)</f>
        <v>#NAME?</v>
      </c>
      <c r="AR21" s="2010" t="s">
        <v>3466</v>
      </c>
      <c r="AS21" s="967"/>
      <c r="AT21" s="1249"/>
      <c r="AU21" s="1092" t="s">
        <v>10336</v>
      </c>
      <c r="AV21" s="12"/>
      <c r="AW21" s="48"/>
      <c r="AX21" s="2016" t="s">
        <v>10475</v>
      </c>
      <c r="AY21" s="1230"/>
      <c r="AZ21" s="983" t="s">
        <v>2541</v>
      </c>
      <c r="BA21" s="984"/>
      <c r="BB21" s="984"/>
      <c r="BC21" s="2020" t="str">
        <f t="shared" ref="BC21:BC24" si="113">MOVEICON(AZ21)</f>
        <v>#NAME?</v>
      </c>
      <c r="BD21" s="979" t="str">
        <f t="shared" ref="BD21:BD24" si="114">MOVEBP(AZ21)</f>
        <v>#NAME?</v>
      </c>
      <c r="BE21" s="2021" t="str">
        <f t="shared" ref="BE21:BE24" si="115">MOVEACC(AZ21)</f>
        <v>#NAME?</v>
      </c>
      <c r="BF21" s="979" t="str">
        <f t="shared" ref="BF21:BF24" si="116">MOVEPP(AZ21)</f>
        <v>#NAME?</v>
      </c>
      <c r="BG21" s="1985" t="s">
        <v>10476</v>
      </c>
      <c r="BH21" s="1230"/>
      <c r="BI21" s="983" t="s">
        <v>764</v>
      </c>
      <c r="BJ21" s="984"/>
      <c r="BK21" s="984"/>
      <c r="BL21" s="2020" t="str">
        <f t="shared" ref="BL21:BL24" si="117">MOVEICON(BI21)</f>
        <v>#NAME?</v>
      </c>
      <c r="BM21" s="979" t="str">
        <f t="shared" ref="BM21:BM24" si="118">MOVEBP(BI21)</f>
        <v>#NAME?</v>
      </c>
      <c r="BN21" s="2021" t="str">
        <f t="shared" ref="BN21:BN24" si="119">MOVEACC(BI21)</f>
        <v>#NAME?</v>
      </c>
      <c r="BO21" s="979" t="str">
        <f t="shared" ref="BO21:BO24" si="120">MOVEPP(BI21)</f>
        <v>#NAME?</v>
      </c>
      <c r="BP21" s="2016" t="s">
        <v>10477</v>
      </c>
      <c r="BQ21" s="1230"/>
      <c r="BR21" s="983" t="s">
        <v>1606</v>
      </c>
      <c r="BS21" s="984"/>
      <c r="BT21" s="984"/>
      <c r="BU21" s="2020" t="str">
        <f t="shared" ref="BU21:BU24" si="121">MOVEICON(BR21)</f>
        <v>#NAME?</v>
      </c>
      <c r="BV21" s="979" t="str">
        <f t="shared" ref="BV21:BV24" si="122">MOVEBP(BR21)</f>
        <v>#NAME?</v>
      </c>
      <c r="BW21" s="2021" t="str">
        <f t="shared" ref="BW21:BW24" si="123">MOVEACC(BR21)</f>
        <v>#NAME?</v>
      </c>
      <c r="BX21" s="979" t="str">
        <f t="shared" ref="BX21:BX24" si="124">MOVEPP(BR21)</f>
        <v>#NAME?</v>
      </c>
      <c r="BY21" s="1985" t="s">
        <v>10478</v>
      </c>
      <c r="BZ21" s="1230"/>
      <c r="CA21" s="1947" t="s">
        <v>10479</v>
      </c>
      <c r="CB21" s="138"/>
      <c r="CC21" s="138"/>
      <c r="CD21" s="138"/>
      <c r="CE21" s="138"/>
      <c r="CF21" s="138"/>
      <c r="CG21" s="138"/>
      <c r="CH21" s="128"/>
      <c r="CJ21" s="1966" t="str">
        <f>MONSPRITE(CK21)</f>
        <v>#NAME?</v>
      </c>
      <c r="CK21" s="1259" t="s">
        <v>713</v>
      </c>
      <c r="CL21" s="12"/>
      <c r="CM21" s="12"/>
      <c r="CN21" s="962"/>
      <c r="CO21" s="1003" t="str">
        <f>MALE()</f>
        <v/>
      </c>
      <c r="CP21" s="2000" t="s">
        <v>5158</v>
      </c>
      <c r="CR21" s="1966" t="str">
        <f>MONSPRITE(CS21)</f>
        <v>#NAME?</v>
      </c>
      <c r="CS21" s="1259" t="s">
        <v>2012</v>
      </c>
      <c r="CT21" s="12"/>
      <c r="CU21" s="12"/>
      <c r="CV21" s="962"/>
      <c r="CW21" s="1003" t="str">
        <f>FEMALE()</f>
        <v/>
      </c>
      <c r="CX21" s="2000" t="s">
        <v>5158</v>
      </c>
      <c r="CY21" s="1230"/>
      <c r="CZ21" s="1966" t="str">
        <f>MONSPRITE(DA21)</f>
        <v>#NAME?</v>
      </c>
      <c r="DA21" s="1259" t="s">
        <v>4225</v>
      </c>
      <c r="DB21" s="12"/>
      <c r="DC21" s="12"/>
      <c r="DD21" s="962"/>
      <c r="DE21" s="1003" t="str">
        <f>MALE()</f>
        <v/>
      </c>
      <c r="DF21" s="2000" t="s">
        <v>5158</v>
      </c>
      <c r="DG21" s="1230"/>
      <c r="DH21" s="1966" t="str">
        <f>MONSPRITE(DI21)</f>
        <v>#NAME?</v>
      </c>
      <c r="DI21" s="1259" t="s">
        <v>2192</v>
      </c>
      <c r="DJ21" s="12"/>
      <c r="DK21" s="12"/>
      <c r="DL21" s="962"/>
      <c r="DM21" s="1003" t="str">
        <f>FEMALE()</f>
        <v/>
      </c>
      <c r="DN21" s="2000" t="s">
        <v>5158</v>
      </c>
      <c r="DO21" s="1230"/>
      <c r="DP21" s="983" t="s">
        <v>2308</v>
      </c>
      <c r="DQ21" s="984"/>
      <c r="DR21" s="984"/>
      <c r="DS21" s="2020" t="str">
        <f t="shared" ref="DS21:DS24" si="125">MOVEICON(DP21)</f>
        <v>#NAME?</v>
      </c>
      <c r="DT21" s="979" t="str">
        <f t="shared" ref="DT21:DT24" si="126">MOVEBP(DP21)</f>
        <v>#NAME?</v>
      </c>
      <c r="DU21" s="2021" t="str">
        <f t="shared" ref="DU21:DU24" si="127">MOVEACC(DP21)</f>
        <v>#NAME?</v>
      </c>
      <c r="DV21" s="979" t="str">
        <f t="shared" ref="DV21:DV24" si="128">MOVEPP(DP21)</f>
        <v>#NAME?</v>
      </c>
      <c r="DW21" s="1992" t="s">
        <v>10480</v>
      </c>
      <c r="DX21" s="1230"/>
      <c r="DY21" s="983" t="s">
        <v>1053</v>
      </c>
      <c r="DZ21" s="984"/>
      <c r="EA21" s="984"/>
      <c r="EB21" s="2020" t="str">
        <f t="shared" ref="EB21:EB24" si="129">MOVEICON(DY21)</f>
        <v>#NAME?</v>
      </c>
      <c r="EC21" s="979" t="str">
        <f t="shared" ref="EC21:EC24" si="130">MOVEBP(DY21)</f>
        <v>#NAME?</v>
      </c>
      <c r="ED21" s="2021" t="str">
        <f t="shared" ref="ED21:ED24" si="131">MOVEACC(DY21)</f>
        <v>#NAME?</v>
      </c>
      <c r="EE21" s="979" t="str">
        <f t="shared" ref="EE21:EE24" si="132">MOVEPP(DY21)</f>
        <v>#NAME?</v>
      </c>
      <c r="EF21" s="1988"/>
      <c r="EG21" s="1230"/>
      <c r="EH21" s="10" t="s">
        <v>4395</v>
      </c>
      <c r="EI21" s="1049" t="str">
        <f>MONABILITY(EI15)</f>
        <v>#NAME?</v>
      </c>
      <c r="EJ21" s="1026"/>
      <c r="EK21" s="1026"/>
      <c r="EL21" s="2014" t="str">
        <f>MONABILITY2(EI15)</f>
        <v>#NAME?</v>
      </c>
      <c r="EN21" s="2015"/>
      <c r="EO21" s="1987"/>
      <c r="EP21" s="1230"/>
      <c r="EQ21" s="2009" t="str">
        <f>ITEMICON(ER21)</f>
        <v>#NAME?</v>
      </c>
      <c r="ER21" s="2010" t="s">
        <v>3466</v>
      </c>
      <c r="ES21" s="967"/>
      <c r="ET21" s="1249"/>
      <c r="EU21" s="1092" t="s">
        <v>10336</v>
      </c>
      <c r="EV21" s="12"/>
      <c r="EW21" s="48"/>
      <c r="EX21" s="1992" t="s">
        <v>10481</v>
      </c>
      <c r="EY21" s="1230"/>
      <c r="EZ21" s="983" t="s">
        <v>2541</v>
      </c>
      <c r="FA21" s="984"/>
      <c r="FB21" s="984"/>
      <c r="FC21" s="2020" t="str">
        <f t="shared" ref="FC21:FC24" si="133">MOVEICON(EZ21)</f>
        <v>#NAME?</v>
      </c>
      <c r="FD21" s="979" t="str">
        <f t="shared" ref="FD21:FD24" si="134">MOVEBP(EZ21)</f>
        <v>#NAME?</v>
      </c>
      <c r="FE21" s="2021" t="str">
        <f t="shared" ref="FE21:FE24" si="135">MOVEACC(EZ21)</f>
        <v>#NAME?</v>
      </c>
      <c r="FF21" s="979" t="str">
        <f t="shared" ref="FF21:FF24" si="136">MOVEPP(EZ21)</f>
        <v>#NAME?</v>
      </c>
      <c r="FG21" s="2016"/>
      <c r="FH21" s="1230"/>
      <c r="FI21" s="983" t="s">
        <v>2683</v>
      </c>
      <c r="FJ21" s="984"/>
      <c r="FK21" s="984"/>
      <c r="FL21" s="2020" t="str">
        <f t="shared" ref="FL21:FL24" si="137">MOVEICON(FI21)</f>
        <v>#NAME?</v>
      </c>
      <c r="FM21" s="979" t="str">
        <f t="shared" ref="FM21:FM24" si="138">MOVEBP(FI21)</f>
        <v>#NAME?</v>
      </c>
      <c r="FN21" s="2021" t="str">
        <f t="shared" ref="FN21:FN24" si="139">MOVEACC(FI21)</f>
        <v>#NAME?</v>
      </c>
      <c r="FO21" s="979" t="str">
        <f t="shared" ref="FO21:FO24" si="140">MOVEPP(FI21)</f>
        <v>#NAME?</v>
      </c>
      <c r="FP21" s="1998"/>
      <c r="FQ21" s="1230"/>
      <c r="FR21" s="983" t="s">
        <v>845</v>
      </c>
      <c r="FS21" s="984"/>
      <c r="FT21" s="984"/>
      <c r="FU21" s="2020" t="str">
        <f t="shared" ref="FU21:FU24" si="141">MOVEICON(FR21)</f>
        <v>#NAME?</v>
      </c>
      <c r="FV21" s="979" t="str">
        <f t="shared" ref="FV21:FV24" si="142">MOVEBP(FR21)</f>
        <v>#NAME?</v>
      </c>
      <c r="FW21" s="2021" t="str">
        <f t="shared" ref="FW21:FW24" si="143">MOVEACC(FR21)</f>
        <v>#NAME?</v>
      </c>
      <c r="FX21" s="979" t="str">
        <f t="shared" ref="FX21:FX24" si="144">MOVEPP(FR21)</f>
        <v>#NAME?</v>
      </c>
      <c r="FY21" s="1998"/>
      <c r="FZ21" s="1230"/>
      <c r="GA21" s="983" t="s">
        <v>2088</v>
      </c>
      <c r="GB21" s="984"/>
      <c r="GC21" s="984"/>
      <c r="GD21" s="2020" t="str">
        <f t="shared" ref="GD21:GD24" si="145">MOVEICON(GA21)</f>
        <v>#NAME?</v>
      </c>
      <c r="GE21" s="979" t="str">
        <f t="shared" ref="GE21:GE24" si="146">MOVEBP(GA21)</f>
        <v>#NAME?</v>
      </c>
      <c r="GF21" s="2021" t="str">
        <f t="shared" ref="GF21:GF24" si="147">MOVEACC(GA21)</f>
        <v>#NAME?</v>
      </c>
      <c r="GG21" s="979" t="str">
        <f t="shared" ref="GG21:GG24" si="148">MOVEPP(GA21)</f>
        <v>#NAME?</v>
      </c>
      <c r="GH21" s="1985" t="s">
        <v>10482</v>
      </c>
      <c r="GI21" s="1230"/>
      <c r="GJ21" s="2066" t="s">
        <v>4608</v>
      </c>
      <c r="GK21" s="2070" t="s">
        <v>10483</v>
      </c>
      <c r="GL21" s="138"/>
      <c r="GM21" s="138"/>
      <c r="GN21" s="138"/>
      <c r="GO21" s="138"/>
      <c r="GP21" s="138"/>
      <c r="GQ21" s="128"/>
      <c r="GS21" s="2001" t="str">
        <f>MONSPRITE(GT21)</f>
        <v>#NAME?</v>
      </c>
      <c r="GT21" s="2002" t="s">
        <v>1508</v>
      </c>
      <c r="GU21" s="967"/>
      <c r="GV21" s="967"/>
      <c r="GW21" s="1249"/>
      <c r="GX21" s="2003" t="str">
        <f>FEMALE()</f>
        <v/>
      </c>
      <c r="GY21" s="2004" t="s">
        <v>5228</v>
      </c>
      <c r="GZ21" s="21"/>
      <c r="HA21" s="2001" t="str">
        <f>MONSPRITE(HB21)</f>
        <v>#NAME?</v>
      </c>
      <c r="HB21" s="2002" t="s">
        <v>3485</v>
      </c>
      <c r="HC21" s="967"/>
      <c r="HD21" s="967"/>
      <c r="HE21" s="1249"/>
      <c r="HF21" s="2071" t="str">
        <f>ASEXUAL()</f>
        <v/>
      </c>
      <c r="HG21" s="2004" t="s">
        <v>5228</v>
      </c>
      <c r="HH21" s="21"/>
      <c r="HI21" s="2001" t="str">
        <f>MONSPRITE(HJ21)</f>
        <v>#NAME?</v>
      </c>
      <c r="HJ21" s="2002" t="s">
        <v>4197</v>
      </c>
      <c r="HK21" s="967"/>
      <c r="HL21" s="967"/>
      <c r="HM21" s="1249"/>
      <c r="HN21" s="2003" t="str">
        <f>MALE()</f>
        <v/>
      </c>
      <c r="HO21" s="2004" t="s">
        <v>5228</v>
      </c>
      <c r="HP21" s="65"/>
      <c r="HQ21" s="2001" t="str">
        <f>MONSPRITE(HR21)</f>
        <v>#NAME?</v>
      </c>
      <c r="HR21" s="2002" t="s">
        <v>4160</v>
      </c>
      <c r="HS21" s="967"/>
      <c r="HT21" s="967"/>
      <c r="HU21" s="1249"/>
      <c r="HV21" s="2003" t="str">
        <f>MALE()</f>
        <v/>
      </c>
      <c r="HW21" s="2004" t="s">
        <v>5228</v>
      </c>
      <c r="HX21" s="65"/>
      <c r="HY21" s="2001" t="str">
        <f>MONSPRITE(HZ21)</f>
        <v>#NAME?</v>
      </c>
      <c r="HZ21" s="2002" t="s">
        <v>1014</v>
      </c>
      <c r="IA21" s="967"/>
      <c r="IB21" s="967"/>
      <c r="IC21" s="1249"/>
      <c r="ID21" s="2003" t="str">
        <f>MALE()</f>
        <v/>
      </c>
      <c r="IE21" s="2004" t="s">
        <v>5228</v>
      </c>
      <c r="IF21" s="65"/>
      <c r="IG21" s="2001" t="str">
        <f>MONSPRITE(IH21)</f>
        <v>#NAME?</v>
      </c>
      <c r="IH21" s="2002" t="s">
        <v>4031</v>
      </c>
      <c r="II21" s="967"/>
      <c r="IJ21" s="967"/>
      <c r="IK21" s="1249"/>
      <c r="IL21" s="2003" t="str">
        <f>MALE()</f>
        <v/>
      </c>
      <c r="IM21" s="2004" t="s">
        <v>5228</v>
      </c>
      <c r="IN21" s="65"/>
      <c r="IO21" s="2001" t="str">
        <f>MONSPRITE(IP21)</f>
        <v>#NAME?</v>
      </c>
      <c r="IP21" s="2002" t="s">
        <v>2341</v>
      </c>
      <c r="IQ21" s="967"/>
      <c r="IR21" s="967"/>
      <c r="IS21" s="1249"/>
      <c r="IT21" s="2003" t="str">
        <f>FEMALE()</f>
        <v/>
      </c>
      <c r="IU21" s="2004" t="s">
        <v>5228</v>
      </c>
      <c r="IV21" s="21"/>
      <c r="IW21" s="1966" t="str">
        <f>MONSPRITE(IX21)</f>
        <v>#NAME?</v>
      </c>
      <c r="IX21" s="1259" t="s">
        <v>4049</v>
      </c>
      <c r="IY21" s="12"/>
      <c r="IZ21" s="12"/>
      <c r="JA21" s="962"/>
      <c r="JB21" s="2003" t="str">
        <f>MALE()</f>
        <v/>
      </c>
      <c r="JC21" s="2000" t="s">
        <v>5228</v>
      </c>
      <c r="JD21" s="1230"/>
    </row>
    <row r="22" ht="15.75" customHeight="1">
      <c r="A22" s="1238"/>
      <c r="B22" s="1860"/>
      <c r="C22" s="1032"/>
      <c r="D22" s="1032"/>
      <c r="E22" s="1032"/>
      <c r="F22" s="1032"/>
      <c r="G22" s="1032"/>
      <c r="H22" s="1032"/>
      <c r="I22" s="1032"/>
      <c r="J22" s="1032"/>
      <c r="K22" s="30"/>
      <c r="L22" s="1230"/>
      <c r="M22" s="2072" t="str">
        <f>image("https://archives.bulbagarden.net/media/upload/d/d1/175MS6.png", 3)</f>
        <v/>
      </c>
      <c r="N22" s="1963" t="s">
        <v>10484</v>
      </c>
      <c r="O22" s="12"/>
      <c r="P22" s="12"/>
      <c r="Q22" s="12"/>
      <c r="R22" s="12"/>
      <c r="S22" s="12"/>
      <c r="T22" s="48"/>
      <c r="U22" s="1230"/>
      <c r="V22" s="997"/>
      <c r="W22" s="1026"/>
      <c r="X22" s="1026"/>
      <c r="Y22" s="998"/>
      <c r="Z22" s="1230"/>
      <c r="AA22" s="1966" t="str">
        <f>MONSPRITE(AB22)</f>
        <v>#NAME?</v>
      </c>
      <c r="AB22" s="1259" t="s">
        <v>4025</v>
      </c>
      <c r="AC22" s="12"/>
      <c r="AD22" s="12"/>
      <c r="AE22" s="12"/>
      <c r="AF22" s="962"/>
      <c r="AG22" s="1968" t="s">
        <v>4999</v>
      </c>
      <c r="AI22" s="1966" t="str">
        <f>MONSPRITE(AJ22)</f>
        <v>#NAME?</v>
      </c>
      <c r="AJ22" s="1259" t="s">
        <v>4265</v>
      </c>
      <c r="AK22" s="12"/>
      <c r="AL22" s="12"/>
      <c r="AM22" s="12"/>
      <c r="AN22" s="962"/>
      <c r="AO22" s="1968" t="s">
        <v>5040</v>
      </c>
      <c r="AP22" s="1230"/>
      <c r="AQ22" s="10" t="s">
        <v>4395</v>
      </c>
      <c r="AR22" s="1049" t="str">
        <f>MONABILITY(AR16)</f>
        <v>#NAME?</v>
      </c>
      <c r="AS22" s="1026"/>
      <c r="AT22" s="1026"/>
      <c r="AU22" s="2014" t="str">
        <f>MONABILITY2(AR16)</f>
        <v>#NAME?</v>
      </c>
      <c r="AW22" s="2015"/>
      <c r="AX22" s="2019"/>
      <c r="AY22" s="1230"/>
      <c r="AZ22" s="1096" t="s">
        <v>1973</v>
      </c>
      <c r="BA22" s="138"/>
      <c r="BB22" s="138"/>
      <c r="BC22" s="2028" t="str">
        <f t="shared" si="113"/>
        <v>#NAME?</v>
      </c>
      <c r="BD22" s="1014" t="str">
        <f t="shared" si="114"/>
        <v>#NAME?</v>
      </c>
      <c r="BE22" s="2029" t="str">
        <f t="shared" si="115"/>
        <v>#NAME?</v>
      </c>
      <c r="BF22" s="1014" t="str">
        <f t="shared" si="116"/>
        <v>#NAME?</v>
      </c>
      <c r="BG22" s="1998"/>
      <c r="BH22" s="1230"/>
      <c r="BI22" s="1096" t="s">
        <v>2175</v>
      </c>
      <c r="BJ22" s="138"/>
      <c r="BK22" s="138"/>
      <c r="BL22" s="2028" t="str">
        <f t="shared" si="117"/>
        <v>#NAME?</v>
      </c>
      <c r="BM22" s="1014" t="str">
        <f t="shared" si="118"/>
        <v>#NAME?</v>
      </c>
      <c r="BN22" s="2029" t="str">
        <f t="shared" si="119"/>
        <v>#NAME?</v>
      </c>
      <c r="BO22" s="1014" t="str">
        <f t="shared" si="120"/>
        <v>#NAME?</v>
      </c>
      <c r="BP22" s="1984"/>
      <c r="BQ22" s="1230"/>
      <c r="BR22" s="1096" t="s">
        <v>1496</v>
      </c>
      <c r="BS22" s="138"/>
      <c r="BT22" s="138"/>
      <c r="BU22" s="2028" t="str">
        <f t="shared" si="121"/>
        <v>#NAME?</v>
      </c>
      <c r="BV22" s="1014" t="str">
        <f t="shared" si="122"/>
        <v>#NAME?</v>
      </c>
      <c r="BW22" s="2029" t="str">
        <f t="shared" si="123"/>
        <v>#NAME?</v>
      </c>
      <c r="BX22" s="1014" t="str">
        <f t="shared" si="124"/>
        <v>#NAME?</v>
      </c>
      <c r="BY22" s="1988"/>
      <c r="BZ22" s="1230"/>
      <c r="CA22" s="1911" t="s">
        <v>10485</v>
      </c>
      <c r="CB22" s="138"/>
      <c r="CC22" s="138"/>
      <c r="CD22" s="138"/>
      <c r="CE22" s="138"/>
      <c r="CF22" s="138"/>
      <c r="CG22" s="138"/>
      <c r="CH22" s="128"/>
      <c r="CJ22" s="1444"/>
      <c r="CK22" s="1092" t="str">
        <f>TYPEICON(CL22)</f>
        <v>#NAME?</v>
      </c>
      <c r="CL22" s="398" t="str">
        <f>MONTYPE(CK21)</f>
        <v>#NAME?</v>
      </c>
      <c r="CM22" s="48"/>
      <c r="CN22" s="1092" t="str">
        <f>TYPEICON(CO22)</f>
        <v>#NAME?</v>
      </c>
      <c r="CO22" s="398" t="str">
        <f>MONTYPE2(CK21)</f>
        <v>#NAME?</v>
      </c>
      <c r="CP22" s="48"/>
      <c r="CR22" s="1444"/>
      <c r="CS22" s="1092" t="str">
        <f>TYPEICON(CT22)</f>
        <v>#NAME?</v>
      </c>
      <c r="CT22" s="398" t="str">
        <f>MONTYPE(CS21)</f>
        <v>#NAME?</v>
      </c>
      <c r="CU22" s="48"/>
      <c r="CV22" s="1092" t="str">
        <f>TYPEICON(CW22)</f>
        <v>#NAME?</v>
      </c>
      <c r="CW22" s="398" t="str">
        <f>MONTYPE2(CS21)</f>
        <v>#NAME?</v>
      </c>
      <c r="CX22" s="48"/>
      <c r="CY22" s="1230"/>
      <c r="CZ22" s="1444"/>
      <c r="DA22" s="1092" t="str">
        <f>TYPEICON(DB22)</f>
        <v>#NAME?</v>
      </c>
      <c r="DB22" s="398" t="str">
        <f>MONTYPE(DA21)</f>
        <v>#NAME?</v>
      </c>
      <c r="DC22" s="48"/>
      <c r="DD22" s="1092" t="str">
        <f>TYPEICON(DE22)</f>
        <v>#NAME?</v>
      </c>
      <c r="DE22" s="398" t="str">
        <f>MONTYPE2(DA21)</f>
        <v>#NAME?</v>
      </c>
      <c r="DF22" s="48"/>
      <c r="DG22" s="1230"/>
      <c r="DH22" s="1444"/>
      <c r="DI22" s="1092" t="str">
        <f>TYPEICON(DJ22)</f>
        <v>#NAME?</v>
      </c>
      <c r="DJ22" s="398" t="str">
        <f>MONTYPE(DI21)</f>
        <v>#NAME?</v>
      </c>
      <c r="DK22" s="48"/>
      <c r="DL22" s="1092" t="str">
        <f>TYPEICON(DM22)</f>
        <v>#NAME?</v>
      </c>
      <c r="DM22" s="398" t="str">
        <f>MONTYPE2(DI21)</f>
        <v>#NAME?</v>
      </c>
      <c r="DN22" s="48"/>
      <c r="DO22" s="1230"/>
      <c r="DP22" s="1096" t="s">
        <v>1745</v>
      </c>
      <c r="DQ22" s="138"/>
      <c r="DR22" s="138"/>
      <c r="DS22" s="2028" t="str">
        <f t="shared" si="125"/>
        <v>#NAME?</v>
      </c>
      <c r="DT22" s="1014" t="str">
        <f t="shared" si="126"/>
        <v>#NAME?</v>
      </c>
      <c r="DU22" s="2029" t="str">
        <f t="shared" si="127"/>
        <v>#NAME?</v>
      </c>
      <c r="DV22" s="1014" t="str">
        <f t="shared" si="128"/>
        <v>#NAME?</v>
      </c>
      <c r="DW22" s="1988"/>
      <c r="DX22" s="1230"/>
      <c r="DY22" s="1096" t="s">
        <v>2121</v>
      </c>
      <c r="DZ22" s="138"/>
      <c r="EA22" s="138"/>
      <c r="EB22" s="2028" t="str">
        <f t="shared" si="129"/>
        <v>#NAME?</v>
      </c>
      <c r="EC22" s="1014" t="str">
        <f t="shared" si="130"/>
        <v>#NAME?</v>
      </c>
      <c r="ED22" s="2029" t="str">
        <f t="shared" si="131"/>
        <v>#NAME?</v>
      </c>
      <c r="EE22" s="1014" t="str">
        <f t="shared" si="132"/>
        <v>#NAME?</v>
      </c>
      <c r="EF22" s="1995" t="s">
        <v>10486</v>
      </c>
      <c r="EG22" s="1230"/>
      <c r="EH22" s="983" t="s">
        <v>2175</v>
      </c>
      <c r="EI22" s="984"/>
      <c r="EJ22" s="984"/>
      <c r="EK22" s="2020" t="str">
        <f t="shared" ref="EK22:EK25" si="149">MOVEICON(EH22)</f>
        <v>#NAME?</v>
      </c>
      <c r="EL22" s="979" t="str">
        <f t="shared" ref="EL22:EL25" si="150">MOVEBP(EH22)</f>
        <v>#NAME?</v>
      </c>
      <c r="EM22" s="2021" t="str">
        <f t="shared" ref="EM22:EM25" si="151">MOVEACC(EH22)</f>
        <v>#NAME?</v>
      </c>
      <c r="EN22" s="979" t="str">
        <f t="shared" ref="EN22:EN25" si="152">MOVEPP(EH22)</f>
        <v>#NAME?</v>
      </c>
      <c r="EO22" s="1988"/>
      <c r="EP22" s="1230"/>
      <c r="EQ22" s="10" t="s">
        <v>4395</v>
      </c>
      <c r="ER22" s="1049" t="str">
        <f>MONABILITY(ER16)</f>
        <v>#NAME?</v>
      </c>
      <c r="ES22" s="1026"/>
      <c r="ET22" s="1026"/>
      <c r="EU22" s="2014" t="str">
        <f>MONABILITY2(ER16)</f>
        <v>#NAME?</v>
      </c>
      <c r="EW22" s="2015"/>
      <c r="EX22" s="1988"/>
      <c r="EY22" s="1230"/>
      <c r="EZ22" s="1096" t="s">
        <v>3815</v>
      </c>
      <c r="FA22" s="138"/>
      <c r="FB22" s="138"/>
      <c r="FC22" s="2028" t="str">
        <f t="shared" si="133"/>
        <v>#NAME?</v>
      </c>
      <c r="FD22" s="1014" t="str">
        <f t="shared" si="134"/>
        <v>#NAME?</v>
      </c>
      <c r="FE22" s="2029" t="str">
        <f t="shared" si="135"/>
        <v>#NAME?</v>
      </c>
      <c r="FF22" s="1014" t="str">
        <f t="shared" si="136"/>
        <v>#NAME?</v>
      </c>
      <c r="FG22" s="1984"/>
      <c r="FH22" s="1230"/>
      <c r="FI22" s="1096" t="s">
        <v>2299</v>
      </c>
      <c r="FJ22" s="138"/>
      <c r="FK22" s="138"/>
      <c r="FL22" s="2028" t="str">
        <f t="shared" si="137"/>
        <v>#NAME?</v>
      </c>
      <c r="FM22" s="1014" t="str">
        <f t="shared" si="138"/>
        <v>#NAME?</v>
      </c>
      <c r="FN22" s="2029" t="str">
        <f t="shared" si="139"/>
        <v>#NAME?</v>
      </c>
      <c r="FO22" s="1014" t="str">
        <f t="shared" si="140"/>
        <v>#NAME?</v>
      </c>
      <c r="FP22" s="1992" t="s">
        <v>10376</v>
      </c>
      <c r="FQ22" s="1230"/>
      <c r="FR22" s="1096" t="s">
        <v>1745</v>
      </c>
      <c r="FS22" s="138"/>
      <c r="FT22" s="138"/>
      <c r="FU22" s="2028" t="str">
        <f t="shared" si="141"/>
        <v>#NAME?</v>
      </c>
      <c r="FV22" s="1014" t="str">
        <f t="shared" si="142"/>
        <v>#NAME?</v>
      </c>
      <c r="FW22" s="2029" t="str">
        <f t="shared" si="143"/>
        <v>#NAME?</v>
      </c>
      <c r="FX22" s="1014" t="str">
        <f t="shared" si="144"/>
        <v>#NAME?</v>
      </c>
      <c r="FY22" s="1992" t="s">
        <v>10487</v>
      </c>
      <c r="FZ22" s="1230"/>
      <c r="GA22" s="1096" t="s">
        <v>2145</v>
      </c>
      <c r="GB22" s="138"/>
      <c r="GC22" s="138"/>
      <c r="GD22" s="2028" t="str">
        <f t="shared" si="145"/>
        <v>#NAME?</v>
      </c>
      <c r="GE22" s="1014" t="str">
        <f t="shared" si="146"/>
        <v>#NAME?</v>
      </c>
      <c r="GF22" s="2029" t="str">
        <f t="shared" si="147"/>
        <v>#NAME?</v>
      </c>
      <c r="GG22" s="1014" t="str">
        <f t="shared" si="148"/>
        <v>#NAME?</v>
      </c>
      <c r="GH22" s="1998"/>
      <c r="GI22" s="1230"/>
      <c r="GJ22" s="2065" t="s">
        <v>4608</v>
      </c>
      <c r="GK22" s="1862" t="s">
        <v>10488</v>
      </c>
      <c r="GL22" s="138"/>
      <c r="GM22" s="138"/>
      <c r="GN22" s="138"/>
      <c r="GO22" s="138"/>
      <c r="GP22" s="138"/>
      <c r="GQ22" s="128"/>
      <c r="GS22" s="1444"/>
      <c r="GT22" s="1092" t="str">
        <f>TYPEICON(GU22)</f>
        <v>#NAME?</v>
      </c>
      <c r="GU22" s="398" t="str">
        <f>MONTYPE(GT21)</f>
        <v>#NAME?</v>
      </c>
      <c r="GV22" s="48"/>
      <c r="GW22" s="1092" t="str">
        <f>TYPEICON(GX22)</f>
        <v>#NAME?</v>
      </c>
      <c r="GX22" s="398" t="str">
        <f>MONTYPE2(GT21)</f>
        <v>#NAME?</v>
      </c>
      <c r="GY22" s="48"/>
      <c r="GZ22" s="21"/>
      <c r="HA22" s="1444"/>
      <c r="HB22" s="1092" t="str">
        <f>TYPEICON(HC22)</f>
        <v>#NAME?</v>
      </c>
      <c r="HC22" s="398" t="str">
        <f>MONTYPE(HB21)</f>
        <v>#NAME?</v>
      </c>
      <c r="HD22" s="48"/>
      <c r="HE22" s="1092" t="str">
        <f>TYPEICON(HF22)</f>
        <v>#NAME?</v>
      </c>
      <c r="HF22" s="398" t="str">
        <f>MONTYPE2(HB21)</f>
        <v>#NAME?</v>
      </c>
      <c r="HG22" s="48"/>
      <c r="HH22" s="21"/>
      <c r="HI22" s="1444"/>
      <c r="HJ22" s="1092" t="str">
        <f>TYPEICON(HK22)</f>
        <v>#NAME?</v>
      </c>
      <c r="HK22" s="398" t="str">
        <f>MONTYPE(HJ21)</f>
        <v>#NAME?</v>
      </c>
      <c r="HL22" s="48"/>
      <c r="HM22" s="1092" t="str">
        <f>TYPEICON(HN22)</f>
        <v>#NAME?</v>
      </c>
      <c r="HN22" s="398" t="str">
        <f>MONTYPE2(HJ21)</f>
        <v>#NAME?</v>
      </c>
      <c r="HO22" s="48"/>
      <c r="HP22" s="65"/>
      <c r="HQ22" s="1444"/>
      <c r="HR22" s="1092" t="str">
        <f>TYPEICON(HS22)</f>
        <v>#NAME?</v>
      </c>
      <c r="HS22" s="398" t="str">
        <f>MONTYPE(HR21)</f>
        <v>#NAME?</v>
      </c>
      <c r="HT22" s="48"/>
      <c r="HU22" s="1092" t="str">
        <f>TYPEICON(HV22)</f>
        <v>#NAME?</v>
      </c>
      <c r="HV22" s="398" t="str">
        <f>MONTYPE2(HR21)</f>
        <v>#NAME?</v>
      </c>
      <c r="HW22" s="48"/>
      <c r="HX22" s="65"/>
      <c r="HY22" s="1444"/>
      <c r="HZ22" s="1092" t="str">
        <f>TYPEICON(IA22)</f>
        <v>#NAME?</v>
      </c>
      <c r="IA22" s="398" t="str">
        <f>MONTYPE(HZ21)</f>
        <v>#NAME?</v>
      </c>
      <c r="IB22" s="48"/>
      <c r="IC22" s="1092" t="str">
        <f>TYPEICON(ID22)</f>
        <v>#NAME?</v>
      </c>
      <c r="ID22" s="398" t="str">
        <f>MONTYPE2(HZ21)</f>
        <v>#NAME?</v>
      </c>
      <c r="IE22" s="48"/>
      <c r="IF22" s="65"/>
      <c r="IG22" s="1444"/>
      <c r="IH22" s="1092" t="str">
        <f>TYPEICON(II22)</f>
        <v>#NAME?</v>
      </c>
      <c r="II22" s="398" t="str">
        <f>MONTYPE(IH21)</f>
        <v>#NAME?</v>
      </c>
      <c r="IJ22" s="48"/>
      <c r="IK22" s="1092" t="str">
        <f>TYPEICON(IL22)</f>
        <v>#NAME?</v>
      </c>
      <c r="IL22" s="398" t="str">
        <f>MONTYPE2(IH21)</f>
        <v>#NAME?</v>
      </c>
      <c r="IM22" s="48"/>
      <c r="IN22" s="65"/>
      <c r="IO22" s="1444"/>
      <c r="IP22" s="1092" t="str">
        <f>TYPEICON(IQ22)</f>
        <v>#NAME?</v>
      </c>
      <c r="IQ22" s="398" t="str">
        <f>MONTYPE(IP21)</f>
        <v>#NAME?</v>
      </c>
      <c r="IR22" s="48"/>
      <c r="IS22" s="1092" t="str">
        <f>TYPEICON(IT22)</f>
        <v>#NAME?</v>
      </c>
      <c r="IT22" s="398" t="str">
        <f>MONTYPE2(IP21)</f>
        <v>#NAME?</v>
      </c>
      <c r="IU22" s="48"/>
      <c r="IV22" s="21"/>
      <c r="IW22" s="1444"/>
      <c r="IX22" s="1092" t="str">
        <f>TYPEICON(IY22)</f>
        <v>#NAME?</v>
      </c>
      <c r="IY22" s="398" t="str">
        <f>MONTYPE(IX21)</f>
        <v>#NAME?</v>
      </c>
      <c r="IZ22" s="48"/>
      <c r="JA22" s="1092" t="str">
        <f>TYPEICON(JB22)</f>
        <v>#NAME?</v>
      </c>
      <c r="JB22" s="398" t="str">
        <f>MONTYPE2(IX21)</f>
        <v>#NAME?</v>
      </c>
      <c r="JC22" s="48"/>
      <c r="JD22" s="1230"/>
    </row>
    <row r="23" ht="15.75" customHeight="1">
      <c r="A23" s="1238"/>
      <c r="B23" s="2025" t="s">
        <v>10489</v>
      </c>
      <c r="C23" s="1150"/>
      <c r="D23" s="1150"/>
      <c r="E23" s="1150"/>
      <c r="F23" s="1150"/>
      <c r="G23" s="1150"/>
      <c r="H23" s="1150"/>
      <c r="I23" s="1150"/>
      <c r="J23" s="1150"/>
      <c r="K23" s="1151"/>
      <c r="L23" s="1230"/>
      <c r="M23" s="1974" t="s">
        <v>10490</v>
      </c>
      <c r="N23" s="482"/>
      <c r="O23" s="482"/>
      <c r="P23" s="482"/>
      <c r="Q23" s="482"/>
      <c r="R23" s="482"/>
      <c r="S23" s="482"/>
      <c r="T23" s="267"/>
      <c r="U23" s="1230"/>
      <c r="V23" s="1230"/>
      <c r="W23" s="1230"/>
      <c r="X23" s="1230"/>
      <c r="Y23" s="1230"/>
      <c r="Z23" s="1230"/>
      <c r="AA23" s="1444"/>
      <c r="AB23" s="1092" t="str">
        <f>TYPEICON(AC23)</f>
        <v>#NAME?</v>
      </c>
      <c r="AC23" s="398" t="str">
        <f>MONTYPE(AB22)</f>
        <v>#NAME?</v>
      </c>
      <c r="AD23" s="48"/>
      <c r="AE23" s="986" t="str">
        <f>TYPEICON(AF23)</f>
        <v>#NAME?</v>
      </c>
      <c r="AF23" s="398" t="str">
        <f>MONTYPE2(AB22)</f>
        <v>#NAME?</v>
      </c>
      <c r="AG23" s="48"/>
      <c r="AI23" s="1444"/>
      <c r="AJ23" s="1092" t="str">
        <f>TYPEICON(AK23)</f>
        <v>#NAME?</v>
      </c>
      <c r="AK23" s="398" t="str">
        <f>MONTYPE(AJ22)</f>
        <v>#NAME?</v>
      </c>
      <c r="AL23" s="48"/>
      <c r="AM23" s="986" t="str">
        <f>TYPEICON(AN23)</f>
        <v>#NAME?</v>
      </c>
      <c r="AN23" s="398" t="str">
        <f>MONTYPE2(AJ22)</f>
        <v>#NAME?</v>
      </c>
      <c r="AO23" s="48"/>
      <c r="AP23" s="1230"/>
      <c r="AQ23" s="983" t="s">
        <v>2847</v>
      </c>
      <c r="AR23" s="984"/>
      <c r="AS23" s="984"/>
      <c r="AT23" s="2020" t="str">
        <f t="shared" ref="AT23:AT26" si="153">MOVEICON(AQ23)</f>
        <v>#NAME?</v>
      </c>
      <c r="AU23" s="979" t="str">
        <f t="shared" ref="AU23:AU26" si="154">MOVEBP(AQ23)</f>
        <v>#NAME?</v>
      </c>
      <c r="AV23" s="2021" t="str">
        <f t="shared" ref="AV23:AV26" si="155">MOVEACC(AQ23)</f>
        <v>#NAME?</v>
      </c>
      <c r="AW23" s="979" t="str">
        <f t="shared" ref="AW23:AW26" si="156">MOVEPP(AQ23)</f>
        <v>#NAME?</v>
      </c>
      <c r="AX23" s="2013"/>
      <c r="AY23" s="1230"/>
      <c r="AZ23" s="1096" t="s">
        <v>3553</v>
      </c>
      <c r="BA23" s="138"/>
      <c r="BB23" s="138"/>
      <c r="BC23" s="2028" t="str">
        <f t="shared" si="113"/>
        <v>#NAME?</v>
      </c>
      <c r="BD23" s="1014" t="str">
        <f t="shared" si="114"/>
        <v>#NAME?</v>
      </c>
      <c r="BE23" s="2029" t="str">
        <f t="shared" si="115"/>
        <v>#NAME?</v>
      </c>
      <c r="BF23" s="1014" t="str">
        <f t="shared" si="116"/>
        <v>#NAME?</v>
      </c>
      <c r="BG23" s="1992" t="s">
        <v>10491</v>
      </c>
      <c r="BH23" s="1230"/>
      <c r="BI23" s="1096" t="s">
        <v>2975</v>
      </c>
      <c r="BJ23" s="138"/>
      <c r="BK23" s="138"/>
      <c r="BL23" s="2028" t="str">
        <f t="shared" si="117"/>
        <v>#NAME?</v>
      </c>
      <c r="BM23" s="1014" t="str">
        <f t="shared" si="118"/>
        <v>#NAME?</v>
      </c>
      <c r="BN23" s="2029" t="str">
        <f t="shared" si="119"/>
        <v>#NAME?</v>
      </c>
      <c r="BO23" s="1014" t="str">
        <f t="shared" si="120"/>
        <v>#NAME?</v>
      </c>
      <c r="BP23" s="2013"/>
      <c r="BQ23" s="1230"/>
      <c r="BR23" s="1096" t="s">
        <v>306</v>
      </c>
      <c r="BS23" s="138"/>
      <c r="BT23" s="138"/>
      <c r="BU23" s="2028" t="str">
        <f t="shared" si="121"/>
        <v>#NAME?</v>
      </c>
      <c r="BV23" s="1014" t="str">
        <f t="shared" si="122"/>
        <v>#NAME?</v>
      </c>
      <c r="BW23" s="2029" t="str">
        <f t="shared" si="123"/>
        <v>#NAME?</v>
      </c>
      <c r="BX23" s="1014" t="str">
        <f t="shared" si="124"/>
        <v>#NAME?</v>
      </c>
      <c r="BY23" s="1992" t="s">
        <v>10492</v>
      </c>
      <c r="BZ23" s="1230"/>
      <c r="CA23" s="1956" t="s">
        <v>10493</v>
      </c>
      <c r="CB23" s="1150"/>
      <c r="CC23" s="1150"/>
      <c r="CD23" s="1150"/>
      <c r="CE23" s="1150"/>
      <c r="CF23" s="1150"/>
      <c r="CG23" s="1150"/>
      <c r="CH23" s="1151"/>
      <c r="CJ23" s="2006" t="s">
        <v>4416</v>
      </c>
      <c r="CK23" s="2007" t="s">
        <v>4417</v>
      </c>
      <c r="CL23" s="2007" t="s">
        <v>3748</v>
      </c>
      <c r="CM23" s="2007" t="s">
        <v>4418</v>
      </c>
      <c r="CN23" s="1120" t="s">
        <v>4419</v>
      </c>
      <c r="CO23" s="1120" t="s">
        <v>4420</v>
      </c>
      <c r="CP23" s="1118" t="s">
        <v>4421</v>
      </c>
      <c r="CR23" s="2006" t="s">
        <v>4416</v>
      </c>
      <c r="CS23" s="2007" t="s">
        <v>4417</v>
      </c>
      <c r="CT23" s="2007" t="s">
        <v>3748</v>
      </c>
      <c r="CU23" s="2007" t="s">
        <v>4418</v>
      </c>
      <c r="CV23" s="1120" t="s">
        <v>4419</v>
      </c>
      <c r="CW23" s="1120" t="s">
        <v>4420</v>
      </c>
      <c r="CX23" s="1118" t="s">
        <v>4421</v>
      </c>
      <c r="CY23" s="1230"/>
      <c r="CZ23" s="2006" t="s">
        <v>4416</v>
      </c>
      <c r="DA23" s="2007" t="s">
        <v>4417</v>
      </c>
      <c r="DB23" s="2007" t="s">
        <v>3748</v>
      </c>
      <c r="DC23" s="2007" t="s">
        <v>4418</v>
      </c>
      <c r="DD23" s="1120" t="s">
        <v>4419</v>
      </c>
      <c r="DE23" s="1120" t="s">
        <v>4420</v>
      </c>
      <c r="DF23" s="1118" t="s">
        <v>4421</v>
      </c>
      <c r="DG23" s="1230"/>
      <c r="DH23" s="2006" t="s">
        <v>4416</v>
      </c>
      <c r="DI23" s="2007" t="s">
        <v>4417</v>
      </c>
      <c r="DJ23" s="2007" t="s">
        <v>3748</v>
      </c>
      <c r="DK23" s="2007" t="s">
        <v>4418</v>
      </c>
      <c r="DL23" s="1120" t="s">
        <v>4419</v>
      </c>
      <c r="DM23" s="1120" t="s">
        <v>4420</v>
      </c>
      <c r="DN23" s="1118" t="s">
        <v>4421</v>
      </c>
      <c r="DO23" s="1230"/>
      <c r="DP23" s="1096" t="s">
        <v>2323</v>
      </c>
      <c r="DQ23" s="138"/>
      <c r="DR23" s="138"/>
      <c r="DS23" s="2028" t="str">
        <f t="shared" si="125"/>
        <v>#NAME?</v>
      </c>
      <c r="DT23" s="1014" t="str">
        <f t="shared" si="126"/>
        <v>#NAME?</v>
      </c>
      <c r="DU23" s="2029" t="str">
        <f t="shared" si="127"/>
        <v>#NAME?</v>
      </c>
      <c r="DV23" s="1014" t="str">
        <f t="shared" si="128"/>
        <v>#NAME?</v>
      </c>
      <c r="DW23" s="2019"/>
      <c r="DX23" s="1230"/>
      <c r="DY23" s="1096" t="s">
        <v>2541</v>
      </c>
      <c r="DZ23" s="138"/>
      <c r="EA23" s="138"/>
      <c r="EB23" s="2028" t="str">
        <f t="shared" si="129"/>
        <v>#NAME?</v>
      </c>
      <c r="EC23" s="1014" t="str">
        <f t="shared" si="130"/>
        <v>#NAME?</v>
      </c>
      <c r="ED23" s="2029" t="str">
        <f t="shared" si="131"/>
        <v>#NAME?</v>
      </c>
      <c r="EE23" s="1014" t="str">
        <f t="shared" si="132"/>
        <v>#NAME?</v>
      </c>
      <c r="EF23" s="1992" t="s">
        <v>10494</v>
      </c>
      <c r="EG23" s="1230"/>
      <c r="EH23" s="1096" t="s">
        <v>632</v>
      </c>
      <c r="EI23" s="138"/>
      <c r="EJ23" s="138"/>
      <c r="EK23" s="2028" t="str">
        <f t="shared" si="149"/>
        <v>#NAME?</v>
      </c>
      <c r="EL23" s="1014" t="str">
        <f t="shared" si="150"/>
        <v>#NAME?</v>
      </c>
      <c r="EM23" s="2029" t="str">
        <f t="shared" si="151"/>
        <v>#NAME?</v>
      </c>
      <c r="EN23" s="1014" t="str">
        <f t="shared" si="152"/>
        <v>#NAME?</v>
      </c>
      <c r="EO23" s="1985" t="s">
        <v>10495</v>
      </c>
      <c r="EP23" s="1230"/>
      <c r="EQ23" s="983" t="s">
        <v>2308</v>
      </c>
      <c r="ER23" s="984"/>
      <c r="ES23" s="984"/>
      <c r="ET23" s="2020" t="str">
        <f t="shared" ref="ET23:ET26" si="157">MOVEICON(EQ23)</f>
        <v>#NAME?</v>
      </c>
      <c r="EU23" s="979" t="str">
        <f t="shared" ref="EU23:EU26" si="158">MOVEBP(EQ23)</f>
        <v>#NAME?</v>
      </c>
      <c r="EV23" s="2021" t="str">
        <f t="shared" ref="EV23:EV26" si="159">MOVEACC(EQ23)</f>
        <v>#NAME?</v>
      </c>
      <c r="EW23" s="979" t="str">
        <f t="shared" ref="EW23:EW26" si="160">MOVEPP(EQ23)</f>
        <v>#NAME?</v>
      </c>
      <c r="EX23" s="1985" t="s">
        <v>10496</v>
      </c>
      <c r="EY23" s="1230"/>
      <c r="EZ23" s="1096" t="s">
        <v>3016</v>
      </c>
      <c r="FA23" s="138"/>
      <c r="FB23" s="138"/>
      <c r="FC23" s="2073" t="str">
        <f t="shared" si="133"/>
        <v>#NAME?</v>
      </c>
      <c r="FD23" s="1014" t="str">
        <f t="shared" si="134"/>
        <v>#NAME?</v>
      </c>
      <c r="FE23" s="2029" t="str">
        <f t="shared" si="135"/>
        <v>#NAME?</v>
      </c>
      <c r="FF23" s="1014" t="str">
        <f t="shared" si="136"/>
        <v>#NAME?</v>
      </c>
      <c r="FG23" s="2016"/>
      <c r="FH23" s="1230"/>
      <c r="FI23" s="1096" t="s">
        <v>2153</v>
      </c>
      <c r="FJ23" s="138"/>
      <c r="FK23" s="138"/>
      <c r="FL23" s="2028" t="str">
        <f t="shared" si="137"/>
        <v>#NAME?</v>
      </c>
      <c r="FM23" s="1014" t="str">
        <f t="shared" si="138"/>
        <v>#NAME?</v>
      </c>
      <c r="FN23" s="2029" t="str">
        <f t="shared" si="139"/>
        <v>#NAME?</v>
      </c>
      <c r="FO23" s="1014" t="str">
        <f t="shared" si="140"/>
        <v>#NAME?</v>
      </c>
      <c r="FP23" s="1988"/>
      <c r="FQ23" s="1230"/>
      <c r="FR23" s="1096" t="s">
        <v>502</v>
      </c>
      <c r="FS23" s="138"/>
      <c r="FT23" s="138"/>
      <c r="FU23" s="2028" t="str">
        <f t="shared" si="141"/>
        <v>#NAME?</v>
      </c>
      <c r="FV23" s="1014" t="str">
        <f t="shared" si="142"/>
        <v>#NAME?</v>
      </c>
      <c r="FW23" s="2029" t="str">
        <f t="shared" si="143"/>
        <v>#NAME?</v>
      </c>
      <c r="FX23" s="1014" t="str">
        <f t="shared" si="144"/>
        <v>#NAME?</v>
      </c>
      <c r="FY23" s="1988"/>
      <c r="FZ23" s="1230"/>
      <c r="GA23" s="1096" t="s">
        <v>3675</v>
      </c>
      <c r="GB23" s="138"/>
      <c r="GC23" s="138"/>
      <c r="GD23" s="2028" t="str">
        <f t="shared" si="145"/>
        <v>#NAME?</v>
      </c>
      <c r="GE23" s="1014" t="str">
        <f t="shared" si="146"/>
        <v>#NAME?</v>
      </c>
      <c r="GF23" s="2029" t="str">
        <f t="shared" si="147"/>
        <v>#NAME?</v>
      </c>
      <c r="GG23" s="1014" t="str">
        <f t="shared" si="148"/>
        <v>#NAME?</v>
      </c>
      <c r="GH23" s="1992" t="s">
        <v>10497</v>
      </c>
      <c r="GI23" s="1230"/>
      <c r="GJ23" s="2066" t="s">
        <v>4608</v>
      </c>
      <c r="GK23" s="2070" t="s">
        <v>10498</v>
      </c>
      <c r="GL23" s="138"/>
      <c r="GM23" s="138"/>
      <c r="GN23" s="138"/>
      <c r="GO23" s="138"/>
      <c r="GP23" s="138"/>
      <c r="GQ23" s="128"/>
      <c r="GS23" s="2006" t="s">
        <v>4416</v>
      </c>
      <c r="GT23" s="2007" t="s">
        <v>4417</v>
      </c>
      <c r="GU23" s="2007" t="s">
        <v>3748</v>
      </c>
      <c r="GV23" s="2007" t="s">
        <v>4418</v>
      </c>
      <c r="GW23" s="1120" t="s">
        <v>4419</v>
      </c>
      <c r="GX23" s="1120" t="s">
        <v>4420</v>
      </c>
      <c r="GY23" s="1118" t="s">
        <v>4421</v>
      </c>
      <c r="GZ23" s="21"/>
      <c r="HA23" s="2006" t="s">
        <v>4416</v>
      </c>
      <c r="HB23" s="2007" t="s">
        <v>4417</v>
      </c>
      <c r="HC23" s="2007" t="s">
        <v>3748</v>
      </c>
      <c r="HD23" s="2007" t="s">
        <v>4418</v>
      </c>
      <c r="HE23" s="1120" t="s">
        <v>4419</v>
      </c>
      <c r="HF23" s="1120" t="s">
        <v>4420</v>
      </c>
      <c r="HG23" s="1118" t="s">
        <v>4421</v>
      </c>
      <c r="HH23" s="21"/>
      <c r="HI23" s="2006" t="s">
        <v>4416</v>
      </c>
      <c r="HJ23" s="2007" t="s">
        <v>4417</v>
      </c>
      <c r="HK23" s="2007" t="s">
        <v>3748</v>
      </c>
      <c r="HL23" s="2007" t="s">
        <v>4418</v>
      </c>
      <c r="HM23" s="1120" t="s">
        <v>4419</v>
      </c>
      <c r="HN23" s="1120" t="s">
        <v>4420</v>
      </c>
      <c r="HO23" s="1118" t="s">
        <v>4421</v>
      </c>
      <c r="HP23" s="65"/>
      <c r="HQ23" s="2006" t="s">
        <v>4416</v>
      </c>
      <c r="HR23" s="2007" t="s">
        <v>4417</v>
      </c>
      <c r="HS23" s="2007" t="s">
        <v>3748</v>
      </c>
      <c r="HT23" s="2007" t="s">
        <v>4418</v>
      </c>
      <c r="HU23" s="1120" t="s">
        <v>4419</v>
      </c>
      <c r="HV23" s="1120" t="s">
        <v>4420</v>
      </c>
      <c r="HW23" s="1118" t="s">
        <v>4421</v>
      </c>
      <c r="HX23" s="65"/>
      <c r="HY23" s="2006" t="s">
        <v>4416</v>
      </c>
      <c r="HZ23" s="2007" t="s">
        <v>4417</v>
      </c>
      <c r="IA23" s="2007" t="s">
        <v>3748</v>
      </c>
      <c r="IB23" s="2007" t="s">
        <v>4418</v>
      </c>
      <c r="IC23" s="1120" t="s">
        <v>4419</v>
      </c>
      <c r="ID23" s="1120" t="s">
        <v>4420</v>
      </c>
      <c r="IE23" s="1118" t="s">
        <v>4421</v>
      </c>
      <c r="IF23" s="65"/>
      <c r="IG23" s="2006" t="s">
        <v>4416</v>
      </c>
      <c r="IH23" s="2007" t="s">
        <v>4417</v>
      </c>
      <c r="II23" s="2007" t="s">
        <v>3748</v>
      </c>
      <c r="IJ23" s="2007" t="s">
        <v>4418</v>
      </c>
      <c r="IK23" s="1120" t="s">
        <v>4419</v>
      </c>
      <c r="IL23" s="1120" t="s">
        <v>4420</v>
      </c>
      <c r="IM23" s="1118" t="s">
        <v>4421</v>
      </c>
      <c r="IN23" s="65"/>
      <c r="IO23" s="2006" t="s">
        <v>4416</v>
      </c>
      <c r="IP23" s="2007" t="s">
        <v>4417</v>
      </c>
      <c r="IQ23" s="2007" t="s">
        <v>3748</v>
      </c>
      <c r="IR23" s="2007" t="s">
        <v>4418</v>
      </c>
      <c r="IS23" s="1120" t="s">
        <v>4419</v>
      </c>
      <c r="IT23" s="1120" t="s">
        <v>4420</v>
      </c>
      <c r="IU23" s="1118" t="s">
        <v>4421</v>
      </c>
      <c r="IV23" s="21"/>
      <c r="IW23" s="2006" t="s">
        <v>4416</v>
      </c>
      <c r="IX23" s="2007" t="s">
        <v>4417</v>
      </c>
      <c r="IY23" s="2007" t="s">
        <v>3748</v>
      </c>
      <c r="IZ23" s="2007" t="s">
        <v>4418</v>
      </c>
      <c r="JA23" s="1120" t="s">
        <v>4419</v>
      </c>
      <c r="JB23" s="1120" t="s">
        <v>4420</v>
      </c>
      <c r="JC23" s="1118" t="s">
        <v>4421</v>
      </c>
      <c r="JD23" s="1230"/>
    </row>
    <row r="24" ht="15.75" customHeight="1">
      <c r="A24" s="1238"/>
      <c r="B24" s="997"/>
      <c r="C24" s="1026"/>
      <c r="D24" s="1026"/>
      <c r="E24" s="1026"/>
      <c r="F24" s="1026"/>
      <c r="G24" s="1026"/>
      <c r="H24" s="1026"/>
      <c r="I24" s="1026"/>
      <c r="J24" s="1026"/>
      <c r="K24" s="998"/>
      <c r="L24" s="1230"/>
      <c r="M24" s="1981" t="s">
        <v>10404</v>
      </c>
      <c r="N24" s="413"/>
      <c r="O24" s="413"/>
      <c r="P24" s="413"/>
      <c r="Q24" s="413"/>
      <c r="R24" s="413"/>
      <c r="S24" s="413"/>
      <c r="T24" s="414"/>
      <c r="U24" s="1230"/>
      <c r="V24" s="1962" t="str">
        <f>image("https://archives.bulbagarden.net/media/upload/c/c6/374MS6.png", 3)</f>
        <v/>
      </c>
      <c r="W24" s="1963" t="s">
        <v>3468</v>
      </c>
      <c r="X24" s="12"/>
      <c r="Y24" s="48"/>
      <c r="Z24" s="1230"/>
      <c r="AA24" s="1011" t="s">
        <v>10499</v>
      </c>
      <c r="AB24" s="12"/>
      <c r="AC24" s="12"/>
      <c r="AD24" s="12"/>
      <c r="AE24" s="12"/>
      <c r="AF24" s="12"/>
      <c r="AG24" s="48"/>
      <c r="AI24" s="1983" t="s">
        <v>10500</v>
      </c>
      <c r="AJ24" s="12"/>
      <c r="AK24" s="12"/>
      <c r="AL24" s="12"/>
      <c r="AM24" s="12"/>
      <c r="AN24" s="12"/>
      <c r="AO24" s="48"/>
      <c r="AP24" s="1230"/>
      <c r="AQ24" s="1096" t="s">
        <v>3497</v>
      </c>
      <c r="AR24" s="138"/>
      <c r="AS24" s="138"/>
      <c r="AT24" s="2028" t="str">
        <f t="shared" si="153"/>
        <v>#NAME?</v>
      </c>
      <c r="AU24" s="1014" t="str">
        <f t="shared" si="154"/>
        <v>#NAME?</v>
      </c>
      <c r="AV24" s="2029" t="str">
        <f t="shared" si="155"/>
        <v>#NAME?</v>
      </c>
      <c r="AW24" s="1014" t="str">
        <f t="shared" si="156"/>
        <v>#NAME?</v>
      </c>
      <c r="AX24" s="2019"/>
      <c r="AY24" s="1230"/>
      <c r="AZ24" s="2036" t="s">
        <v>2880</v>
      </c>
      <c r="BA24" s="2037"/>
      <c r="BB24" s="2037"/>
      <c r="BC24" s="2038" t="str">
        <f t="shared" si="113"/>
        <v>#NAME?</v>
      </c>
      <c r="BD24" s="2039" t="str">
        <f t="shared" si="114"/>
        <v>#NAME?</v>
      </c>
      <c r="BE24" s="2040" t="str">
        <f t="shared" si="115"/>
        <v>#NAME?</v>
      </c>
      <c r="BF24" s="2039" t="str">
        <f t="shared" si="116"/>
        <v>#NAME?</v>
      </c>
      <c r="BG24" s="1988"/>
      <c r="BH24" s="1230"/>
      <c r="BI24" s="1094" t="s">
        <v>2189</v>
      </c>
      <c r="BJ24" s="413"/>
      <c r="BK24" s="413"/>
      <c r="BL24" s="2032" t="str">
        <f t="shared" si="117"/>
        <v>#NAME?</v>
      </c>
      <c r="BM24" s="1130" t="str">
        <f t="shared" si="118"/>
        <v>#NAME?</v>
      </c>
      <c r="BN24" s="2033" t="str">
        <f t="shared" si="119"/>
        <v>#NAME?</v>
      </c>
      <c r="BO24" s="1130" t="str">
        <f t="shared" si="120"/>
        <v>#NAME?</v>
      </c>
      <c r="BP24" s="2044"/>
      <c r="BQ24" s="1230"/>
      <c r="BR24" s="2036" t="s">
        <v>2189</v>
      </c>
      <c r="BS24" s="2037"/>
      <c r="BT24" s="2037"/>
      <c r="BU24" s="2038" t="str">
        <f t="shared" si="121"/>
        <v>#NAME?</v>
      </c>
      <c r="BV24" s="2039" t="str">
        <f t="shared" si="122"/>
        <v>#NAME?</v>
      </c>
      <c r="BW24" s="2040" t="str">
        <f t="shared" si="123"/>
        <v>#NAME?</v>
      </c>
      <c r="BX24" s="2039" t="str">
        <f t="shared" si="124"/>
        <v>#NAME?</v>
      </c>
      <c r="BY24" s="1988"/>
      <c r="BZ24" s="1230"/>
      <c r="CA24" s="1860"/>
      <c r="CB24" s="1032"/>
      <c r="CC24" s="1032"/>
      <c r="CD24" s="1032"/>
      <c r="CE24" s="1032"/>
      <c r="CF24" s="1032"/>
      <c r="CG24" s="1032"/>
      <c r="CH24" s="30"/>
      <c r="CJ24" s="1092" t="str">
        <f>MONHP(CK21)</f>
        <v>#NAME?</v>
      </c>
      <c r="CK24" s="986" t="str">
        <f>MONATK(CK21)</f>
        <v>#NAME?</v>
      </c>
      <c r="CL24" s="986" t="str">
        <f>MONDEF(CK21)</f>
        <v>#NAME?</v>
      </c>
      <c r="CM24" s="986" t="str">
        <f>MONSPA(CK21)</f>
        <v>#NAME?</v>
      </c>
      <c r="CN24" s="986" t="str">
        <f>MONSPD(CK21)</f>
        <v>#NAME?</v>
      </c>
      <c r="CO24" s="986" t="str">
        <f>MONSPE(CK21)</f>
        <v>#NAME?</v>
      </c>
      <c r="CP24" s="987" t="str">
        <f>MONBST(CK21)</f>
        <v>#NAME?</v>
      </c>
      <c r="CR24" s="1092" t="str">
        <f>MONHP(CS21)</f>
        <v>#NAME?</v>
      </c>
      <c r="CS24" s="986" t="str">
        <f>MONATK(CS21)</f>
        <v>#NAME?</v>
      </c>
      <c r="CT24" s="986" t="str">
        <f>MONDEF(CS21)</f>
        <v>#NAME?</v>
      </c>
      <c r="CU24" s="986" t="str">
        <f>MONSPA(CS21)</f>
        <v>#NAME?</v>
      </c>
      <c r="CV24" s="986" t="str">
        <f>MONSPD(CS21)</f>
        <v>#NAME?</v>
      </c>
      <c r="CW24" s="986" t="str">
        <f>MONSPE(CS21)</f>
        <v>#NAME?</v>
      </c>
      <c r="CX24" s="987" t="str">
        <f>MONBST(CS21)</f>
        <v>#NAME?</v>
      </c>
      <c r="CY24" s="1230"/>
      <c r="CZ24" s="1092" t="str">
        <f>MONHP(DA21)</f>
        <v>#NAME?</v>
      </c>
      <c r="DA24" s="986" t="str">
        <f>MONATK(DA21)</f>
        <v>#NAME?</v>
      </c>
      <c r="DB24" s="986" t="str">
        <f>MONDEF(DA21)</f>
        <v>#NAME?</v>
      </c>
      <c r="DC24" s="986" t="str">
        <f>MONSPA(DA21)</f>
        <v>#NAME?</v>
      </c>
      <c r="DD24" s="986" t="str">
        <f>MONSPD(DA21)</f>
        <v>#NAME?</v>
      </c>
      <c r="DE24" s="986" t="str">
        <f>MONSPE(DA21)</f>
        <v>#NAME?</v>
      </c>
      <c r="DF24" s="987" t="str">
        <f>MONBST(DA21)</f>
        <v>#NAME?</v>
      </c>
      <c r="DG24" s="1230"/>
      <c r="DH24" s="1092" t="str">
        <f>MONHP(DI21)</f>
        <v>#NAME?</v>
      </c>
      <c r="DI24" s="986" t="str">
        <f>MONATK(DI21)</f>
        <v>#NAME?</v>
      </c>
      <c r="DJ24" s="986" t="str">
        <f>MONDEF(DI21)</f>
        <v>#NAME?</v>
      </c>
      <c r="DK24" s="986" t="str">
        <f>MONSPA(DI21)</f>
        <v>#NAME?</v>
      </c>
      <c r="DL24" s="986" t="str">
        <f>MONSPD(DI21)</f>
        <v>#NAME?</v>
      </c>
      <c r="DM24" s="986" t="str">
        <f>MONSPE(DI21)</f>
        <v>#NAME?</v>
      </c>
      <c r="DN24" s="987" t="str">
        <f>MONBST(DI21)</f>
        <v>#NAME?</v>
      </c>
      <c r="DO24" s="1230"/>
      <c r="DP24" s="1094" t="s">
        <v>3346</v>
      </c>
      <c r="DQ24" s="413"/>
      <c r="DR24" s="413"/>
      <c r="DS24" s="2032" t="str">
        <f t="shared" si="125"/>
        <v>#NAME?</v>
      </c>
      <c r="DT24" s="1130" t="str">
        <f t="shared" si="126"/>
        <v>#NAME?</v>
      </c>
      <c r="DU24" s="2033" t="str">
        <f t="shared" si="127"/>
        <v>#NAME?</v>
      </c>
      <c r="DV24" s="1130" t="str">
        <f t="shared" si="128"/>
        <v>#NAME?</v>
      </c>
      <c r="DW24" s="2035"/>
      <c r="DX24" s="1230"/>
      <c r="DY24" s="1094" t="s">
        <v>3784</v>
      </c>
      <c r="DZ24" s="413"/>
      <c r="EA24" s="413"/>
      <c r="EB24" s="2032" t="str">
        <f t="shared" si="129"/>
        <v>#NAME?</v>
      </c>
      <c r="EC24" s="1130" t="str">
        <f t="shared" si="130"/>
        <v>#NAME?</v>
      </c>
      <c r="ED24" s="2033" t="str">
        <f t="shared" si="131"/>
        <v>#NAME?</v>
      </c>
      <c r="EE24" s="1130" t="str">
        <f t="shared" si="132"/>
        <v>#NAME?</v>
      </c>
      <c r="EF24" s="2045"/>
      <c r="EG24" s="1230"/>
      <c r="EH24" s="1096" t="s">
        <v>2666</v>
      </c>
      <c r="EI24" s="138"/>
      <c r="EJ24" s="138"/>
      <c r="EK24" s="2028" t="str">
        <f t="shared" si="149"/>
        <v>#NAME?</v>
      </c>
      <c r="EL24" s="1014" t="str">
        <f t="shared" si="150"/>
        <v>#NAME?</v>
      </c>
      <c r="EM24" s="2029" t="str">
        <f t="shared" si="151"/>
        <v>#NAME?</v>
      </c>
      <c r="EN24" s="1014" t="str">
        <f t="shared" si="152"/>
        <v>#NAME?</v>
      </c>
      <c r="EO24" s="1988"/>
      <c r="EP24" s="1230"/>
      <c r="EQ24" s="1096" t="s">
        <v>2548</v>
      </c>
      <c r="ER24" s="138"/>
      <c r="ES24" s="138"/>
      <c r="ET24" s="2028" t="str">
        <f t="shared" si="157"/>
        <v>#NAME?</v>
      </c>
      <c r="EU24" s="1014" t="str">
        <f t="shared" si="158"/>
        <v>#NAME?</v>
      </c>
      <c r="EV24" s="2029" t="str">
        <f t="shared" si="159"/>
        <v>#NAME?</v>
      </c>
      <c r="EW24" s="1014" t="str">
        <f t="shared" si="160"/>
        <v>#NAME?</v>
      </c>
      <c r="EX24" s="1998"/>
      <c r="EY24" s="1230"/>
      <c r="EZ24" s="1094" t="s">
        <v>2183</v>
      </c>
      <c r="FA24" s="413"/>
      <c r="FB24" s="413"/>
      <c r="FC24" s="2032" t="str">
        <f t="shared" si="133"/>
        <v>#NAME?</v>
      </c>
      <c r="FD24" s="1130" t="str">
        <f t="shared" si="134"/>
        <v>#NAME?</v>
      </c>
      <c r="FE24" s="2033" t="str">
        <f t="shared" si="135"/>
        <v>#NAME?</v>
      </c>
      <c r="FF24" s="1130" t="str">
        <f t="shared" si="136"/>
        <v>#NAME?</v>
      </c>
      <c r="FG24" s="2047"/>
      <c r="FH24" s="1230"/>
      <c r="FI24" s="2036" t="s">
        <v>1981</v>
      </c>
      <c r="FJ24" s="2037"/>
      <c r="FK24" s="2037"/>
      <c r="FL24" s="2038" t="str">
        <f t="shared" si="137"/>
        <v>#NAME?</v>
      </c>
      <c r="FM24" s="2039" t="str">
        <f t="shared" si="138"/>
        <v>#NAME?</v>
      </c>
      <c r="FN24" s="2040" t="str">
        <f t="shared" si="139"/>
        <v>#NAME?</v>
      </c>
      <c r="FO24" s="2039" t="str">
        <f t="shared" si="140"/>
        <v>#NAME?</v>
      </c>
      <c r="FP24" s="2074" t="s">
        <v>10501</v>
      </c>
      <c r="FQ24" s="1230"/>
      <c r="FR24" s="1094" t="s">
        <v>3681</v>
      </c>
      <c r="FS24" s="413"/>
      <c r="FT24" s="413"/>
      <c r="FU24" s="2032" t="str">
        <f t="shared" si="141"/>
        <v>#NAME?</v>
      </c>
      <c r="FV24" s="1130" t="str">
        <f t="shared" si="142"/>
        <v>#NAME?</v>
      </c>
      <c r="FW24" s="2033" t="str">
        <f t="shared" si="143"/>
        <v>#NAME?</v>
      </c>
      <c r="FX24" s="1130" t="str">
        <f t="shared" si="144"/>
        <v>#NAME?</v>
      </c>
      <c r="FY24" s="2047"/>
      <c r="FZ24" s="1230"/>
      <c r="GA24" s="2036" t="s">
        <v>3098</v>
      </c>
      <c r="GB24" s="2037"/>
      <c r="GC24" s="2037"/>
      <c r="GD24" s="2038" t="str">
        <f t="shared" si="145"/>
        <v>#NAME?</v>
      </c>
      <c r="GE24" s="2039" t="str">
        <f t="shared" si="146"/>
        <v>#NAME?</v>
      </c>
      <c r="GF24" s="2040" t="str">
        <f t="shared" si="147"/>
        <v>#NAME?</v>
      </c>
      <c r="GG24" s="2039" t="str">
        <f t="shared" si="148"/>
        <v>#NAME?</v>
      </c>
      <c r="GH24" s="1988"/>
      <c r="GI24" s="1230"/>
      <c r="GJ24" s="2065" t="s">
        <v>4608</v>
      </c>
      <c r="GK24" s="1862" t="s">
        <v>10502</v>
      </c>
      <c r="GL24" s="138"/>
      <c r="GM24" s="138"/>
      <c r="GN24" s="138"/>
      <c r="GO24" s="138"/>
      <c r="GP24" s="138"/>
      <c r="GQ24" s="128"/>
      <c r="GS24" s="1092" t="str">
        <f>MONHP(GT21)</f>
        <v>#NAME?</v>
      </c>
      <c r="GT24" s="986" t="str">
        <f>MONATK(GT21)</f>
        <v>#NAME?</v>
      </c>
      <c r="GU24" s="986" t="str">
        <f>MONDEF(GT21)</f>
        <v>#NAME?</v>
      </c>
      <c r="GV24" s="986" t="str">
        <f>MONSPA(GT21)</f>
        <v>#NAME?</v>
      </c>
      <c r="GW24" s="986" t="str">
        <f>MONSPD(GT21)</f>
        <v>#NAME?</v>
      </c>
      <c r="GX24" s="986" t="str">
        <f>MONSPE(GT21)</f>
        <v>#NAME?</v>
      </c>
      <c r="GY24" s="987" t="str">
        <f>MONBST(GT21)</f>
        <v>#NAME?</v>
      </c>
      <c r="GZ24" s="21"/>
      <c r="HA24" s="1092" t="str">
        <f>MONHP(HB21)</f>
        <v>#NAME?</v>
      </c>
      <c r="HB24" s="986" t="str">
        <f>MONATK(HB21)</f>
        <v>#NAME?</v>
      </c>
      <c r="HC24" s="986" t="str">
        <f>MONDEF(HB21)</f>
        <v>#NAME?</v>
      </c>
      <c r="HD24" s="986" t="str">
        <f>MONSPA(HB21)</f>
        <v>#NAME?</v>
      </c>
      <c r="HE24" s="986" t="str">
        <f>MONSPD(HB21)</f>
        <v>#NAME?</v>
      </c>
      <c r="HF24" s="986" t="str">
        <f>MONSPE(HB21)</f>
        <v>#NAME?</v>
      </c>
      <c r="HG24" s="987" t="str">
        <f>MONBST(HB21)</f>
        <v>#NAME?</v>
      </c>
      <c r="HH24" s="21"/>
      <c r="HI24" s="1092" t="str">
        <f>MONHP(HJ21)</f>
        <v>#NAME?</v>
      </c>
      <c r="HJ24" s="986" t="str">
        <f>MONATK(HJ21)</f>
        <v>#NAME?</v>
      </c>
      <c r="HK24" s="986" t="str">
        <f>MONDEF(HJ21)</f>
        <v>#NAME?</v>
      </c>
      <c r="HL24" s="986" t="str">
        <f>MONSPA(HJ21)</f>
        <v>#NAME?</v>
      </c>
      <c r="HM24" s="986" t="str">
        <f>MONSPD(HJ21)</f>
        <v>#NAME?</v>
      </c>
      <c r="HN24" s="986" t="str">
        <f>MONSPE(HJ21)</f>
        <v>#NAME?</v>
      </c>
      <c r="HO24" s="987" t="str">
        <f>MONBST(HJ21)</f>
        <v>#NAME?</v>
      </c>
      <c r="HP24" s="65"/>
      <c r="HQ24" s="1092" t="str">
        <f>MONHP(HR21)</f>
        <v>#NAME?</v>
      </c>
      <c r="HR24" s="986" t="str">
        <f>MONATK(HR21)</f>
        <v>#NAME?</v>
      </c>
      <c r="HS24" s="986" t="str">
        <f>MONDEF(HR21)</f>
        <v>#NAME?</v>
      </c>
      <c r="HT24" s="986" t="str">
        <f>MONSPA(HR21)</f>
        <v>#NAME?</v>
      </c>
      <c r="HU24" s="986" t="str">
        <f>MONSPD(HR21)</f>
        <v>#NAME?</v>
      </c>
      <c r="HV24" s="986" t="str">
        <f>MONSPE(HR21)</f>
        <v>#NAME?</v>
      </c>
      <c r="HW24" s="987" t="str">
        <f>MONBST(HR21)</f>
        <v>#NAME?</v>
      </c>
      <c r="HX24" s="65"/>
      <c r="HY24" s="1092" t="str">
        <f>MONHP(HZ21)</f>
        <v>#NAME?</v>
      </c>
      <c r="HZ24" s="986" t="str">
        <f>MONATK(HZ21)</f>
        <v>#NAME?</v>
      </c>
      <c r="IA24" s="986" t="str">
        <f>MONDEF(HZ21)</f>
        <v>#NAME?</v>
      </c>
      <c r="IB24" s="986" t="str">
        <f>MONSPA(HZ21)</f>
        <v>#NAME?</v>
      </c>
      <c r="IC24" s="986" t="str">
        <f>MONSPD(HZ21)</f>
        <v>#NAME?</v>
      </c>
      <c r="ID24" s="986" t="str">
        <f>MONSPE(HZ21)</f>
        <v>#NAME?</v>
      </c>
      <c r="IE24" s="987" t="str">
        <f>MONBST(HZ21)</f>
        <v>#NAME?</v>
      </c>
      <c r="IF24" s="65"/>
      <c r="IG24" s="1092" t="str">
        <f>MONHP(IH21)</f>
        <v>#NAME?</v>
      </c>
      <c r="IH24" s="986" t="str">
        <f>MONATK(IH21)</f>
        <v>#NAME?</v>
      </c>
      <c r="II24" s="986" t="str">
        <f>MONDEF(IH21)</f>
        <v>#NAME?</v>
      </c>
      <c r="IJ24" s="986" t="str">
        <f>MONSPA(IH21)</f>
        <v>#NAME?</v>
      </c>
      <c r="IK24" s="986" t="str">
        <f>MONSPD(IH21)</f>
        <v>#NAME?</v>
      </c>
      <c r="IL24" s="986" t="str">
        <f>MONSPE(IH21)</f>
        <v>#NAME?</v>
      </c>
      <c r="IM24" s="987" t="str">
        <f>MONBST(IH21)</f>
        <v>#NAME?</v>
      </c>
      <c r="IN24" s="65"/>
      <c r="IO24" s="1092" t="str">
        <f>MONHP(IP21)</f>
        <v>#NAME?</v>
      </c>
      <c r="IP24" s="986" t="str">
        <f>MONATK(IP21)</f>
        <v>#NAME?</v>
      </c>
      <c r="IQ24" s="986" t="str">
        <f>MONDEF(IP21)</f>
        <v>#NAME?</v>
      </c>
      <c r="IR24" s="986" t="str">
        <f>MONSPA(IP21)</f>
        <v>#NAME?</v>
      </c>
      <c r="IS24" s="986" t="str">
        <f>MONSPD(IP21)</f>
        <v>#NAME?</v>
      </c>
      <c r="IT24" s="986" t="str">
        <f>MONSPE(IP21)</f>
        <v>#NAME?</v>
      </c>
      <c r="IU24" s="987" t="str">
        <f>MONBST(IP21)</f>
        <v>#NAME?</v>
      </c>
      <c r="IV24" s="21"/>
      <c r="IW24" s="1092" t="str">
        <f>MONHP(IX21)</f>
        <v>#NAME?</v>
      </c>
      <c r="IX24" s="986" t="str">
        <f>MONATK(IX21)</f>
        <v>#NAME?</v>
      </c>
      <c r="IY24" s="986" t="str">
        <f>MONDEF(IX21)</f>
        <v>#NAME?</v>
      </c>
      <c r="IZ24" s="986" t="str">
        <f>MONSPA(IX21)</f>
        <v>#NAME?</v>
      </c>
      <c r="JA24" s="986" t="str">
        <f>MONSPD(IX21)</f>
        <v>#NAME?</v>
      </c>
      <c r="JB24" s="986" t="str">
        <f>MONSPE(IX21)</f>
        <v>#NAME?</v>
      </c>
      <c r="JC24" s="987" t="str">
        <f>MONBST(IX21)</f>
        <v>#NAME?</v>
      </c>
      <c r="JD24" s="1230"/>
    </row>
    <row r="25" ht="15.75" customHeight="1">
      <c r="A25" s="1238"/>
      <c r="B25" s="1230"/>
      <c r="C25" s="1230"/>
      <c r="D25" s="1230"/>
      <c r="E25" s="1230"/>
      <c r="F25" s="1230"/>
      <c r="G25" s="1230"/>
      <c r="H25" s="1230"/>
      <c r="I25" s="1230"/>
      <c r="J25" s="1230"/>
      <c r="K25" s="1230"/>
      <c r="L25" s="1230"/>
      <c r="M25" s="1989" t="s">
        <v>10442</v>
      </c>
      <c r="N25" s="984"/>
      <c r="O25" s="984"/>
      <c r="P25" s="984"/>
      <c r="Q25" s="984"/>
      <c r="R25" s="984"/>
      <c r="S25" s="984"/>
      <c r="T25" s="319"/>
      <c r="U25" s="1230"/>
      <c r="V25" s="1974" t="s">
        <v>10391</v>
      </c>
      <c r="W25" s="482"/>
      <c r="X25" s="482"/>
      <c r="Y25" s="267"/>
      <c r="Z25" s="1230"/>
      <c r="AA25" s="1990" t="s">
        <v>4416</v>
      </c>
      <c r="AB25" s="1991" t="s">
        <v>4417</v>
      </c>
      <c r="AC25" s="1991" t="s">
        <v>3748</v>
      </c>
      <c r="AD25" s="1991" t="s">
        <v>4418</v>
      </c>
      <c r="AE25" s="1991" t="s">
        <v>4419</v>
      </c>
      <c r="AF25" s="1991" t="s">
        <v>4420</v>
      </c>
      <c r="AG25" s="2005" t="s">
        <v>4421</v>
      </c>
      <c r="AI25" s="1990" t="s">
        <v>4416</v>
      </c>
      <c r="AJ25" s="1991" t="s">
        <v>4417</v>
      </c>
      <c r="AK25" s="1991" t="s">
        <v>3748</v>
      </c>
      <c r="AL25" s="1991" t="s">
        <v>4418</v>
      </c>
      <c r="AM25" s="1991" t="s">
        <v>4419</v>
      </c>
      <c r="AN25" s="1991" t="s">
        <v>4420</v>
      </c>
      <c r="AO25" s="2005" t="s">
        <v>4421</v>
      </c>
      <c r="AP25" s="1230"/>
      <c r="AQ25" s="1096" t="s">
        <v>3841</v>
      </c>
      <c r="AR25" s="138"/>
      <c r="AS25" s="138"/>
      <c r="AT25" s="2028" t="str">
        <f t="shared" si="153"/>
        <v>#NAME?</v>
      </c>
      <c r="AU25" s="1014" t="str">
        <f t="shared" si="154"/>
        <v>#NAME?</v>
      </c>
      <c r="AV25" s="2029" t="str">
        <f t="shared" si="155"/>
        <v>#NAME?</v>
      </c>
      <c r="AW25" s="1014" t="str">
        <f t="shared" si="156"/>
        <v>#NAME?</v>
      </c>
      <c r="AX25" s="2013"/>
      <c r="AY25" s="1230"/>
      <c r="AZ25" s="2075" t="s">
        <v>10503</v>
      </c>
      <c r="BA25" s="1203"/>
      <c r="BB25" s="1203"/>
      <c r="BC25" s="1203"/>
      <c r="BD25" s="1203"/>
      <c r="BE25" s="1203"/>
      <c r="BF25" s="1203"/>
      <c r="BG25" s="1630"/>
      <c r="BH25" s="1230"/>
      <c r="BI25" s="1230"/>
      <c r="BJ25" s="1230"/>
      <c r="BK25" s="1230"/>
      <c r="BL25" s="1230"/>
      <c r="BM25" s="1230"/>
      <c r="BN25" s="1230"/>
      <c r="BO25" s="1230"/>
      <c r="BP25" s="1230"/>
      <c r="BQ25" s="1230"/>
      <c r="BR25" s="2076" t="s">
        <v>10504</v>
      </c>
      <c r="BS25" s="482"/>
      <c r="BT25" s="482"/>
      <c r="BU25" s="482"/>
      <c r="BV25" s="482"/>
      <c r="BW25" s="482"/>
      <c r="BX25" s="482"/>
      <c r="BY25" s="267"/>
      <c r="BZ25" s="1230"/>
      <c r="CA25" s="2069" t="s">
        <v>10505</v>
      </c>
      <c r="CB25" s="138"/>
      <c r="CC25" s="138"/>
      <c r="CD25" s="138"/>
      <c r="CE25" s="138"/>
      <c r="CF25" s="138"/>
      <c r="CG25" s="138"/>
      <c r="CH25" s="128"/>
      <c r="CJ25" s="2009" t="str">
        <f>ITEMICON(CK25)</f>
        <v>#NAME?</v>
      </c>
      <c r="CK25" s="2010" t="s">
        <v>3466</v>
      </c>
      <c r="CL25" s="967"/>
      <c r="CM25" s="1249"/>
      <c r="CN25" s="1092" t="str">
        <f>MONABILITY(CK21)</f>
        <v>#NAME?</v>
      </c>
      <c r="CO25" s="12"/>
      <c r="CP25" s="48"/>
      <c r="CR25" s="2009" t="str">
        <f>ITEMICON(CS25)</f>
        <v>#NAME?</v>
      </c>
      <c r="CS25" s="2010" t="s">
        <v>3466</v>
      </c>
      <c r="CT25" s="967"/>
      <c r="CU25" s="1249"/>
      <c r="CV25" s="1092" t="str">
        <f>MONABILITY(CS21)</f>
        <v>#NAME?</v>
      </c>
      <c r="CW25" s="12"/>
      <c r="CX25" s="48"/>
      <c r="CY25" s="1230"/>
      <c r="CZ25" s="2009" t="str">
        <f>ITEMICON(DA25)</f>
        <v>#NAME?</v>
      </c>
      <c r="DA25" s="2010" t="s">
        <v>3466</v>
      </c>
      <c r="DB25" s="967"/>
      <c r="DC25" s="1249"/>
      <c r="DD25" s="1092" t="str">
        <f>MONABILITY(DA21)</f>
        <v>#NAME?</v>
      </c>
      <c r="DE25" s="12"/>
      <c r="DF25" s="48"/>
      <c r="DG25" s="1230"/>
      <c r="DH25" s="2009" t="str">
        <f>ITEMICON(DI25)</f>
        <v>#NAME?</v>
      </c>
      <c r="DI25" s="2010" t="s">
        <v>3466</v>
      </c>
      <c r="DJ25" s="967"/>
      <c r="DK25" s="1249"/>
      <c r="DL25" s="1092" t="str">
        <f>MONABILITY(DI21)</f>
        <v>#NAME?</v>
      </c>
      <c r="DM25" s="12"/>
      <c r="DN25" s="48"/>
      <c r="DO25" s="1230"/>
      <c r="DP25" s="1230"/>
      <c r="DQ25" s="1230"/>
      <c r="DR25" s="1230"/>
      <c r="DS25" s="1230"/>
      <c r="DT25" s="1230"/>
      <c r="DU25" s="1230"/>
      <c r="DV25" s="1230"/>
      <c r="DW25" s="1230"/>
      <c r="DX25" s="1230"/>
      <c r="DY25" s="1230"/>
      <c r="DZ25" s="1230"/>
      <c r="EA25" s="1230"/>
      <c r="EB25" s="1230"/>
      <c r="EC25" s="1230"/>
      <c r="ED25" s="1230"/>
      <c r="EE25" s="1230"/>
      <c r="EF25" s="1230"/>
      <c r="EG25" s="1230"/>
      <c r="EH25" s="2036" t="s">
        <v>2189</v>
      </c>
      <c r="EI25" s="2037"/>
      <c r="EJ25" s="2037"/>
      <c r="EK25" s="2038" t="str">
        <f t="shared" si="149"/>
        <v>#NAME?</v>
      </c>
      <c r="EL25" s="2039" t="str">
        <f t="shared" si="150"/>
        <v>#NAME?</v>
      </c>
      <c r="EM25" s="2040" t="str">
        <f t="shared" si="151"/>
        <v>#NAME?</v>
      </c>
      <c r="EN25" s="2039" t="str">
        <f t="shared" si="152"/>
        <v>#NAME?</v>
      </c>
      <c r="EO25" s="1992" t="s">
        <v>10506</v>
      </c>
      <c r="EP25" s="1230"/>
      <c r="EQ25" s="1096" t="s">
        <v>3784</v>
      </c>
      <c r="ER25" s="138"/>
      <c r="ES25" s="138"/>
      <c r="ET25" s="2028" t="str">
        <f t="shared" si="157"/>
        <v>#NAME?</v>
      </c>
      <c r="EU25" s="1014" t="str">
        <f t="shared" si="158"/>
        <v>#NAME?</v>
      </c>
      <c r="EV25" s="2029" t="str">
        <f t="shared" si="159"/>
        <v>#NAME?</v>
      </c>
      <c r="EW25" s="1014" t="str">
        <f t="shared" si="160"/>
        <v>#NAME?</v>
      </c>
      <c r="EX25" s="1992" t="s">
        <v>10507</v>
      </c>
      <c r="EY25" s="1230"/>
      <c r="FH25" s="1230"/>
      <c r="FI25" s="1974" t="s">
        <v>10508</v>
      </c>
      <c r="FJ25" s="482"/>
      <c r="FK25" s="482"/>
      <c r="FL25" s="482"/>
      <c r="FM25" s="482"/>
      <c r="FN25" s="482"/>
      <c r="FO25" s="482"/>
      <c r="FP25" s="267"/>
      <c r="FQ25" s="1230"/>
      <c r="FR25" s="1230"/>
      <c r="FS25" s="1230"/>
      <c r="FT25" s="1230"/>
      <c r="FU25" s="1230"/>
      <c r="FV25" s="1230"/>
      <c r="FW25" s="1230"/>
      <c r="FX25" s="1230"/>
      <c r="FY25" s="1230"/>
      <c r="FZ25" s="1230"/>
      <c r="GA25" s="2077" t="s">
        <v>10509</v>
      </c>
      <c r="GB25" s="967"/>
      <c r="GC25" s="967"/>
      <c r="GD25" s="967"/>
      <c r="GE25" s="967"/>
      <c r="GF25" s="967"/>
      <c r="GG25" s="967"/>
      <c r="GH25" s="263"/>
      <c r="GI25" s="1230"/>
      <c r="GJ25" s="2066" t="s">
        <v>4608</v>
      </c>
      <c r="GK25" s="2070" t="s">
        <v>10510</v>
      </c>
      <c r="GL25" s="138"/>
      <c r="GM25" s="138"/>
      <c r="GN25" s="138"/>
      <c r="GO25" s="138"/>
      <c r="GP25" s="138"/>
      <c r="GQ25" s="128"/>
      <c r="GS25" s="2009" t="str">
        <f>ITEMICON(GT25)</f>
        <v>#NAME?</v>
      </c>
      <c r="GT25" s="2010" t="s">
        <v>3466</v>
      </c>
      <c r="GU25" s="967"/>
      <c r="GV25" s="1249"/>
      <c r="GW25" s="1092" t="str">
        <f>MONABILITY(GT21)</f>
        <v>#NAME?</v>
      </c>
      <c r="GX25" s="12"/>
      <c r="GY25" s="48"/>
      <c r="GZ25" s="21"/>
      <c r="HA25" s="2009" t="str">
        <f>ITEMICON(HB25)</f>
        <v>#NAME?</v>
      </c>
      <c r="HB25" s="2010" t="s">
        <v>3466</v>
      </c>
      <c r="HC25" s="967"/>
      <c r="HD25" s="1249"/>
      <c r="HE25" s="1092" t="str">
        <f>MONABILITY(HB21)</f>
        <v>#NAME?</v>
      </c>
      <c r="HF25" s="12"/>
      <c r="HG25" s="48"/>
      <c r="HH25" s="21"/>
      <c r="HI25" s="2009" t="str">
        <f>ITEMICON(HJ25)</f>
        <v>#NAME?</v>
      </c>
      <c r="HJ25" s="2010" t="s">
        <v>3466</v>
      </c>
      <c r="HK25" s="967"/>
      <c r="HL25" s="1249"/>
      <c r="HM25" s="1092" t="str">
        <f>MONABILITY(HJ21)</f>
        <v>#NAME?</v>
      </c>
      <c r="HN25" s="12"/>
      <c r="HO25" s="48"/>
      <c r="HP25" s="65"/>
      <c r="HQ25" s="2009" t="str">
        <f>ITEMICON(HR25)</f>
        <v>#NAME?</v>
      </c>
      <c r="HR25" s="2010" t="s">
        <v>3466</v>
      </c>
      <c r="HS25" s="967"/>
      <c r="HT25" s="1249"/>
      <c r="HU25" s="1092" t="str">
        <f>MONABILITY(HR21)</f>
        <v>#NAME?</v>
      </c>
      <c r="HV25" s="12"/>
      <c r="HW25" s="48"/>
      <c r="HX25" s="65"/>
      <c r="HY25" s="2009" t="str">
        <f>ITEMICON(HZ25)</f>
        <v>#NAME?</v>
      </c>
      <c r="HZ25" s="2010" t="s">
        <v>3466</v>
      </c>
      <c r="IA25" s="967"/>
      <c r="IB25" s="1249"/>
      <c r="IC25" s="1092" t="str">
        <f>MONABILITY(HZ21)</f>
        <v>#NAME?</v>
      </c>
      <c r="ID25" s="12"/>
      <c r="IE25" s="48"/>
      <c r="IF25" s="65"/>
      <c r="IG25" s="2009" t="str">
        <f>ITEMICON(IH25)</f>
        <v>#NAME?</v>
      </c>
      <c r="IH25" s="2010" t="s">
        <v>3466</v>
      </c>
      <c r="II25" s="967"/>
      <c r="IJ25" s="1249"/>
      <c r="IK25" s="1092" t="str">
        <f>MONABILITY(IH21)</f>
        <v>#NAME?</v>
      </c>
      <c r="IL25" s="12"/>
      <c r="IM25" s="48"/>
      <c r="IN25" s="65"/>
      <c r="IO25" s="2009" t="str">
        <f>ITEMICON(IP25)</f>
        <v>#NAME?</v>
      </c>
      <c r="IP25" s="2010" t="s">
        <v>3466</v>
      </c>
      <c r="IQ25" s="967"/>
      <c r="IR25" s="1249"/>
      <c r="IS25" s="1092" t="str">
        <f>MONABILITY(IP21)</f>
        <v>#NAME?</v>
      </c>
      <c r="IT25" s="12"/>
      <c r="IU25" s="48"/>
      <c r="IV25" s="21"/>
      <c r="IW25" s="2009" t="str">
        <f>ITEMICON(IX25)</f>
        <v>#NAME?</v>
      </c>
      <c r="IX25" s="2010" t="s">
        <v>3466</v>
      </c>
      <c r="IY25" s="967"/>
      <c r="IZ25" s="1249"/>
      <c r="JA25" s="1092" t="str">
        <f>MONABILITY(IX21)</f>
        <v>#NAME?</v>
      </c>
      <c r="JB25" s="12"/>
      <c r="JC25" s="48"/>
      <c r="JD25" s="1230"/>
    </row>
    <row r="26" ht="15.75" customHeight="1">
      <c r="A26" s="1238"/>
      <c r="B26" s="1962" t="str">
        <f>image("https://archives.bulbagarden.net/media/upload/7/7b/001MS6.png", 3)</f>
        <v/>
      </c>
      <c r="C26" s="1964" t="str">
        <f>image("https://archives.bulbagarden.net/media/upload/7/7d/004MS6.png", 3)</f>
        <v/>
      </c>
      <c r="D26" s="1964" t="str">
        <f>image("https://archives.bulbagarden.net/media/upload/9/97/007MS6.png", 3)</f>
        <v/>
      </c>
      <c r="E26" s="1963" t="s">
        <v>10511</v>
      </c>
      <c r="F26" s="12"/>
      <c r="G26" s="12"/>
      <c r="H26" s="12"/>
      <c r="I26" s="12"/>
      <c r="J26" s="12"/>
      <c r="K26" s="48"/>
      <c r="L26" s="1230"/>
      <c r="M26" s="1947" t="s">
        <v>10512</v>
      </c>
      <c r="N26" s="138"/>
      <c r="O26" s="138"/>
      <c r="P26" s="138"/>
      <c r="Q26" s="138"/>
      <c r="R26" s="138"/>
      <c r="S26" s="138"/>
      <c r="T26" s="128"/>
      <c r="U26" s="1230"/>
      <c r="V26" s="1981" t="s">
        <v>10395</v>
      </c>
      <c r="W26" s="413"/>
      <c r="X26" s="413"/>
      <c r="Y26" s="414"/>
      <c r="Z26" s="1230"/>
      <c r="AA26" s="1092" t="str">
        <f>MONHP(AB22)</f>
        <v>#NAME?</v>
      </c>
      <c r="AB26" s="986" t="str">
        <f>MONATK(AB22)</f>
        <v>#NAME?</v>
      </c>
      <c r="AC26" s="986" t="str">
        <f>MONDEF(AB22)</f>
        <v>#NAME?</v>
      </c>
      <c r="AD26" s="986" t="str">
        <f>MONSPA(AB22)</f>
        <v>#NAME?</v>
      </c>
      <c r="AE26" s="986" t="str">
        <f>MONSPD(AB22)</f>
        <v>#NAME?</v>
      </c>
      <c r="AF26" s="986" t="str">
        <f>MONSPE(AB22)</f>
        <v>#NAME?</v>
      </c>
      <c r="AG26" s="987" t="str">
        <f>MONBST(AB22)</f>
        <v>#NAME?</v>
      </c>
      <c r="AI26" s="1092" t="str">
        <f>MONHP(AJ22)</f>
        <v>#NAME?</v>
      </c>
      <c r="AJ26" s="986" t="str">
        <f>MONATK(AJ22)</f>
        <v>#NAME?</v>
      </c>
      <c r="AK26" s="986" t="str">
        <f>MONDEF(AJ22)</f>
        <v>#NAME?</v>
      </c>
      <c r="AL26" s="986" t="str">
        <f>MONSPA(AJ22)</f>
        <v>#NAME?</v>
      </c>
      <c r="AM26" s="986" t="str">
        <f>MONSPD(AJ22)</f>
        <v>#NAME?</v>
      </c>
      <c r="AN26" s="986" t="str">
        <f>MONSPE(AJ22)</f>
        <v>#NAME?</v>
      </c>
      <c r="AO26" s="987" t="str">
        <f>MONBST(AJ22)</f>
        <v>#NAME?</v>
      </c>
      <c r="AP26" s="1230"/>
      <c r="AQ26" s="1094" t="s">
        <v>2717</v>
      </c>
      <c r="AR26" s="413"/>
      <c r="AS26" s="413"/>
      <c r="AT26" s="2032" t="str">
        <f t="shared" si="153"/>
        <v>#NAME?</v>
      </c>
      <c r="AU26" s="1130" t="str">
        <f t="shared" si="154"/>
        <v>#NAME?</v>
      </c>
      <c r="AV26" s="2033" t="str">
        <f t="shared" si="155"/>
        <v>#NAME?</v>
      </c>
      <c r="AW26" s="1130" t="str">
        <f t="shared" si="156"/>
        <v>#NAME?</v>
      </c>
      <c r="AX26" s="2044"/>
      <c r="AY26" s="1230"/>
      <c r="AZ26" s="1913" t="s">
        <v>10513</v>
      </c>
      <c r="BA26" s="1150"/>
      <c r="BB26" s="1150"/>
      <c r="BC26" s="1150"/>
      <c r="BD26" s="1150"/>
      <c r="BE26" s="1150"/>
      <c r="BF26" s="1150"/>
      <c r="BG26" s="1151"/>
      <c r="BH26" s="1230"/>
      <c r="BI26" s="1966" t="str">
        <f>MONSPRITE(BJ26)</f>
        <v>#NAME?</v>
      </c>
      <c r="BJ26" s="1259" t="s">
        <v>2319</v>
      </c>
      <c r="BK26" s="12"/>
      <c r="BL26" s="12"/>
      <c r="BM26" s="12"/>
      <c r="BN26" s="962"/>
      <c r="BO26" s="1256" t="s">
        <v>5018</v>
      </c>
      <c r="BP26" s="1967"/>
      <c r="BQ26" s="1230"/>
      <c r="BR26" s="1914" t="s">
        <v>10514</v>
      </c>
      <c r="BS26" s="413"/>
      <c r="BT26" s="413"/>
      <c r="BU26" s="413"/>
      <c r="BV26" s="413"/>
      <c r="BW26" s="413"/>
      <c r="BX26" s="413"/>
      <c r="BY26" s="414"/>
      <c r="BZ26" s="1230"/>
      <c r="CA26" s="1947" t="s">
        <v>10515</v>
      </c>
      <c r="CB26" s="138"/>
      <c r="CC26" s="138"/>
      <c r="CD26" s="138"/>
      <c r="CE26" s="138"/>
      <c r="CF26" s="138"/>
      <c r="CG26" s="138"/>
      <c r="CH26" s="128"/>
      <c r="CJ26" s="985" t="s">
        <v>185</v>
      </c>
      <c r="CK26" s="12"/>
      <c r="CL26" s="12"/>
      <c r="CM26" s="12"/>
      <c r="CN26" s="12"/>
      <c r="CO26" s="64"/>
      <c r="CP26" s="2031" t="s">
        <v>10374</v>
      </c>
      <c r="CR26" s="985" t="s">
        <v>281</v>
      </c>
      <c r="CS26" s="12"/>
      <c r="CT26" s="12"/>
      <c r="CU26" s="12"/>
      <c r="CV26" s="12"/>
      <c r="CW26" s="64"/>
      <c r="CX26" s="2031" t="s">
        <v>10374</v>
      </c>
      <c r="CY26" s="1230"/>
      <c r="CZ26" s="985" t="s">
        <v>294</v>
      </c>
      <c r="DA26" s="12"/>
      <c r="DB26" s="12"/>
      <c r="DC26" s="12"/>
      <c r="DD26" s="12"/>
      <c r="DE26" s="64"/>
      <c r="DF26" s="2031" t="s">
        <v>10374</v>
      </c>
      <c r="DG26" s="1230"/>
      <c r="DH26" s="985" t="s">
        <v>318</v>
      </c>
      <c r="DI26" s="12"/>
      <c r="DJ26" s="12"/>
      <c r="DK26" s="12"/>
      <c r="DL26" s="12"/>
      <c r="DM26" s="64"/>
      <c r="DN26" s="2031" t="s">
        <v>10374</v>
      </c>
      <c r="DO26" s="1230"/>
      <c r="DP26" s="1966" t="str">
        <f>MONSPRITE(DQ26)</f>
        <v>#NAME?</v>
      </c>
      <c r="DQ26" s="1259" t="s">
        <v>3505</v>
      </c>
      <c r="DR26" s="12"/>
      <c r="DS26" s="12"/>
      <c r="DT26" s="12"/>
      <c r="DU26" s="962"/>
      <c r="DV26" s="1256" t="s">
        <v>5018</v>
      </c>
      <c r="DW26" s="1967"/>
      <c r="DX26" s="1230"/>
      <c r="EG26" s="1230"/>
      <c r="EH26" s="1923" t="s">
        <v>10516</v>
      </c>
      <c r="EI26" s="1026"/>
      <c r="EJ26" s="1026"/>
      <c r="EK26" s="1026"/>
      <c r="EL26" s="1026"/>
      <c r="EM26" s="1026"/>
      <c r="EN26" s="1026"/>
      <c r="EO26" s="998"/>
      <c r="EP26" s="1230"/>
      <c r="EQ26" s="1094" t="s">
        <v>3068</v>
      </c>
      <c r="ER26" s="413"/>
      <c r="ES26" s="413"/>
      <c r="ET26" s="2032" t="str">
        <f t="shared" si="157"/>
        <v>#NAME?</v>
      </c>
      <c r="EU26" s="1130" t="str">
        <f t="shared" si="158"/>
        <v>#NAME?</v>
      </c>
      <c r="EV26" s="2033" t="str">
        <f t="shared" si="159"/>
        <v>#NAME?</v>
      </c>
      <c r="EW26" s="1130" t="str">
        <f t="shared" si="160"/>
        <v>#NAME?</v>
      </c>
      <c r="EX26" s="2045"/>
      <c r="EY26" s="1230"/>
      <c r="EZ26" s="1966" t="str">
        <f>MONSPRITE(FA26)</f>
        <v>#NAME?</v>
      </c>
      <c r="FA26" s="1259" t="s">
        <v>4315</v>
      </c>
      <c r="FB26" s="12"/>
      <c r="FC26" s="12"/>
      <c r="FD26" s="12"/>
      <c r="FE26" s="962"/>
      <c r="FF26" s="1256" t="s">
        <v>5018</v>
      </c>
      <c r="FG26" s="1967"/>
      <c r="FH26" s="1230"/>
      <c r="FI26" s="1914" t="s">
        <v>10517</v>
      </c>
      <c r="FJ26" s="413"/>
      <c r="FK26" s="413"/>
      <c r="FL26" s="413"/>
      <c r="FM26" s="413"/>
      <c r="FN26" s="413"/>
      <c r="FO26" s="413"/>
      <c r="FP26" s="414"/>
      <c r="FQ26" s="1230"/>
      <c r="FR26" s="1255" t="str">
        <f>image("https://archives.bulbagarden.net/media/upload/6/6e/489MS6.png", 3)</f>
        <v/>
      </c>
      <c r="FS26" s="2078" t="s">
        <v>10518</v>
      </c>
      <c r="FT26" s="12"/>
      <c r="FU26" s="12"/>
      <c r="FV26" s="12"/>
      <c r="FW26" s="12"/>
      <c r="FX26" s="12"/>
      <c r="FY26" s="48"/>
      <c r="FZ26" s="1230"/>
      <c r="GI26" s="1230"/>
      <c r="GJ26" s="2065" t="s">
        <v>4608</v>
      </c>
      <c r="GK26" s="1862" t="s">
        <v>10519</v>
      </c>
      <c r="GL26" s="138"/>
      <c r="GM26" s="138"/>
      <c r="GN26" s="138"/>
      <c r="GO26" s="138"/>
      <c r="GP26" s="138"/>
      <c r="GQ26" s="128"/>
      <c r="GS26" s="985" t="s">
        <v>33</v>
      </c>
      <c r="GT26" s="12"/>
      <c r="GU26" s="12"/>
      <c r="GV26" s="12"/>
      <c r="GW26" s="12"/>
      <c r="GX26" s="64"/>
      <c r="GY26" s="2031" t="s">
        <v>10374</v>
      </c>
      <c r="GZ26" s="21"/>
      <c r="HA26" s="985" t="s">
        <v>50</v>
      </c>
      <c r="HB26" s="12"/>
      <c r="HC26" s="12"/>
      <c r="HD26" s="12"/>
      <c r="HE26" s="12"/>
      <c r="HF26" s="64"/>
      <c r="HG26" s="2031" t="s">
        <v>10374</v>
      </c>
      <c r="HH26" s="21"/>
      <c r="HI26" s="985" t="s">
        <v>294</v>
      </c>
      <c r="HJ26" s="12"/>
      <c r="HK26" s="12"/>
      <c r="HL26" s="12"/>
      <c r="HM26" s="12"/>
      <c r="HN26" s="64"/>
      <c r="HO26" s="2031" t="s">
        <v>10374</v>
      </c>
      <c r="HP26" s="65"/>
      <c r="HQ26" s="985" t="s">
        <v>318</v>
      </c>
      <c r="HR26" s="12"/>
      <c r="HS26" s="12"/>
      <c r="HT26" s="12"/>
      <c r="HU26" s="12"/>
      <c r="HV26" s="64"/>
      <c r="HW26" s="2031" t="s">
        <v>10374</v>
      </c>
      <c r="HX26" s="65"/>
      <c r="HY26" s="985" t="s">
        <v>185</v>
      </c>
      <c r="HZ26" s="12"/>
      <c r="IA26" s="12"/>
      <c r="IB26" s="12"/>
      <c r="IC26" s="12"/>
      <c r="ID26" s="64"/>
      <c r="IE26" s="2031" t="s">
        <v>10374</v>
      </c>
      <c r="IF26" s="65"/>
      <c r="IG26" s="985" t="s">
        <v>252</v>
      </c>
      <c r="IH26" s="12"/>
      <c r="II26" s="12"/>
      <c r="IJ26" s="12"/>
      <c r="IK26" s="12"/>
      <c r="IL26" s="64"/>
      <c r="IM26" s="2031" t="s">
        <v>10374</v>
      </c>
      <c r="IN26" s="65"/>
      <c r="IO26" s="985" t="s">
        <v>168</v>
      </c>
      <c r="IP26" s="12"/>
      <c r="IQ26" s="12"/>
      <c r="IR26" s="12"/>
      <c r="IS26" s="12"/>
      <c r="IT26" s="64"/>
      <c r="IU26" s="2031" t="s">
        <v>10374</v>
      </c>
      <c r="IV26" s="21"/>
      <c r="IW26" s="985" t="s">
        <v>329</v>
      </c>
      <c r="IX26" s="12"/>
      <c r="IY26" s="12"/>
      <c r="IZ26" s="12"/>
      <c r="JA26" s="12"/>
      <c r="JB26" s="64"/>
      <c r="JC26" s="2031" t="s">
        <v>10374</v>
      </c>
      <c r="JD26" s="1230"/>
    </row>
    <row r="27" ht="15.75" customHeight="1">
      <c r="A27" s="1238"/>
      <c r="B27" s="1974" t="s">
        <v>10520</v>
      </c>
      <c r="C27" s="482"/>
      <c r="D27" s="482"/>
      <c r="E27" s="482"/>
      <c r="F27" s="482"/>
      <c r="G27" s="482"/>
      <c r="H27" s="482"/>
      <c r="I27" s="482"/>
      <c r="J27" s="482"/>
      <c r="K27" s="267"/>
      <c r="L27" s="1230"/>
      <c r="M27" s="1914" t="s">
        <v>10521</v>
      </c>
      <c r="N27" s="413"/>
      <c r="O27" s="413"/>
      <c r="P27" s="413"/>
      <c r="Q27" s="413"/>
      <c r="R27" s="413"/>
      <c r="S27" s="413"/>
      <c r="T27" s="414"/>
      <c r="U27" s="1230"/>
      <c r="V27" s="1909" t="s">
        <v>10522</v>
      </c>
      <c r="W27" s="1032"/>
      <c r="X27" s="1032"/>
      <c r="Y27" s="30"/>
      <c r="Z27" s="1230"/>
      <c r="AA27" s="2009" t="str">
        <f>ITEMICON(AB27)</f>
        <v>#NAME?</v>
      </c>
      <c r="AB27" s="2010" t="s">
        <v>3466</v>
      </c>
      <c r="AC27" s="967"/>
      <c r="AD27" s="1249"/>
      <c r="AE27" s="1092" t="s">
        <v>10339</v>
      </c>
      <c r="AF27" s="12"/>
      <c r="AG27" s="48"/>
      <c r="AI27" s="2009" t="str">
        <f>ITEMICON(AJ27)</f>
        <v>#NAME?</v>
      </c>
      <c r="AJ27" s="2010" t="s">
        <v>3466</v>
      </c>
      <c r="AK27" s="967"/>
      <c r="AL27" s="1249"/>
      <c r="AM27" s="1092" t="s">
        <v>10339</v>
      </c>
      <c r="AN27" s="12"/>
      <c r="AO27" s="48"/>
      <c r="AP27" s="1230"/>
      <c r="AY27" s="1230"/>
      <c r="AZ27" s="2079" t="s">
        <v>10523</v>
      </c>
      <c r="BA27" s="306"/>
      <c r="BB27" s="306"/>
      <c r="BC27" s="306"/>
      <c r="BD27" s="306"/>
      <c r="BE27" s="306"/>
      <c r="BF27" s="306"/>
      <c r="BG27" s="307"/>
      <c r="BH27" s="1230"/>
      <c r="BI27" s="1444"/>
      <c r="BJ27" s="1092" t="str">
        <f>TYPEICON(BK27)</f>
        <v>#NAME?</v>
      </c>
      <c r="BK27" s="398" t="str">
        <f>MONTYPE(BJ26)</f>
        <v>#NAME?</v>
      </c>
      <c r="BL27" s="48"/>
      <c r="BM27" s="986" t="str">
        <f>TYPEICON(BN27)</f>
        <v>#NAME?</v>
      </c>
      <c r="BN27" s="398" t="str">
        <f>MONTYPE2(BJ26)</f>
        <v>#NAME?</v>
      </c>
      <c r="BO27" s="48"/>
      <c r="BP27" s="1977" t="s">
        <v>10268</v>
      </c>
      <c r="BQ27" s="1230"/>
      <c r="BR27" s="1230"/>
      <c r="BS27" s="1230"/>
      <c r="BT27" s="1230"/>
      <c r="BU27" s="1230"/>
      <c r="BV27" s="1230"/>
      <c r="BW27" s="1230"/>
      <c r="BX27" s="1230"/>
      <c r="BY27" s="1230"/>
      <c r="BZ27" s="1230"/>
      <c r="CA27" s="1911" t="s">
        <v>10524</v>
      </c>
      <c r="CB27" s="138"/>
      <c r="CC27" s="138"/>
      <c r="CD27" s="138"/>
      <c r="CE27" s="138"/>
      <c r="CF27" s="138"/>
      <c r="CG27" s="138"/>
      <c r="CH27" s="128"/>
      <c r="CJ27" s="1012" t="s">
        <v>1877</v>
      </c>
      <c r="CK27" s="1032"/>
      <c r="CL27" s="1032"/>
      <c r="CM27" s="2042" t="str">
        <f t="shared" ref="CM27:CM30" si="161">MOVEICON(CJ27)</f>
        <v>#NAME?</v>
      </c>
      <c r="CN27" s="1034" t="str">
        <f t="shared" ref="CN27:CN30" si="162">MOVEBP(CJ27)</f>
        <v>#NAME?</v>
      </c>
      <c r="CO27" s="2043" t="str">
        <f t="shared" ref="CO27:CO30" si="163">MOVEACC(CJ27)</f>
        <v>#NAME?</v>
      </c>
      <c r="CP27" s="1015" t="str">
        <f t="shared" ref="CP27:CP30" si="164">MOVEPP(CJ27)</f>
        <v>#NAME?</v>
      </c>
      <c r="CR27" s="1012" t="s">
        <v>1019</v>
      </c>
      <c r="CS27" s="1032"/>
      <c r="CT27" s="1032"/>
      <c r="CU27" s="2042" t="str">
        <f t="shared" ref="CU27:CU30" si="165">MOVEICON(CR27)</f>
        <v>#NAME?</v>
      </c>
      <c r="CV27" s="1034" t="str">
        <f t="shared" ref="CV27:CV30" si="166">MOVEBP(CR27)</f>
        <v>#NAME?</v>
      </c>
      <c r="CW27" s="2043" t="str">
        <f t="shared" ref="CW27:CW30" si="167">MOVEACC(CR27)</f>
        <v>#NAME?</v>
      </c>
      <c r="CX27" s="1015" t="str">
        <f t="shared" ref="CX27:CX30" si="168">MOVEPP(CR27)</f>
        <v>#NAME?</v>
      </c>
      <c r="CY27" s="1230"/>
      <c r="CZ27" s="1012" t="s">
        <v>632</v>
      </c>
      <c r="DA27" s="1032"/>
      <c r="DB27" s="1032"/>
      <c r="DC27" s="2042" t="str">
        <f t="shared" ref="DC27:DC30" si="169">MOVEICON(CZ27)</f>
        <v>#NAME?</v>
      </c>
      <c r="DD27" s="1034" t="str">
        <f t="shared" ref="DD27:DD30" si="170">MOVEBP(CZ27)</f>
        <v>#NAME?</v>
      </c>
      <c r="DE27" s="2043" t="str">
        <f t="shared" ref="DE27:DE30" si="171">MOVEACC(CZ27)</f>
        <v>#NAME?</v>
      </c>
      <c r="DF27" s="1015" t="str">
        <f t="shared" ref="DF27:DF30" si="172">MOVEPP(CZ27)</f>
        <v>#NAME?</v>
      </c>
      <c r="DG27" s="1230"/>
      <c r="DH27" s="1012" t="s">
        <v>2121</v>
      </c>
      <c r="DI27" s="1032"/>
      <c r="DJ27" s="1032"/>
      <c r="DK27" s="2042" t="str">
        <f t="shared" ref="DK27:DK30" si="173">MOVEICON(DH27)</f>
        <v>#NAME?</v>
      </c>
      <c r="DL27" s="1034" t="str">
        <f t="shared" ref="DL27:DL30" si="174">MOVEBP(DH27)</f>
        <v>#NAME?</v>
      </c>
      <c r="DM27" s="2043" t="str">
        <f t="shared" ref="DM27:DM30" si="175">MOVEACC(DH27)</f>
        <v>#NAME?</v>
      </c>
      <c r="DN27" s="1015" t="str">
        <f t="shared" ref="DN27:DN30" si="176">MOVEPP(DH27)</f>
        <v>#NAME?</v>
      </c>
      <c r="DO27" s="1230"/>
      <c r="DP27" s="1444"/>
      <c r="DQ27" s="1092" t="str">
        <f>TYPEICON(DR27)</f>
        <v>#NAME?</v>
      </c>
      <c r="DR27" s="398" t="str">
        <f>MONTYPE(DQ26)</f>
        <v>#NAME?</v>
      </c>
      <c r="DS27" s="48"/>
      <c r="DT27" s="986" t="str">
        <f>TYPEICON(DU27)</f>
        <v>#NAME?</v>
      </c>
      <c r="DU27" s="398" t="str">
        <f>MONTYPE2(DQ26)</f>
        <v>#NAME?</v>
      </c>
      <c r="DV27" s="48"/>
      <c r="DW27" s="1977" t="s">
        <v>10271</v>
      </c>
      <c r="DX27" s="1230"/>
      <c r="EG27" s="1230"/>
      <c r="EH27" s="1230"/>
      <c r="EI27" s="1230"/>
      <c r="EJ27" s="1230"/>
      <c r="EK27" s="1230"/>
      <c r="EL27" s="1230"/>
      <c r="EM27" s="1230"/>
      <c r="EN27" s="1230"/>
      <c r="EO27" s="1230"/>
      <c r="EP27" s="1230"/>
      <c r="EQ27" s="1230"/>
      <c r="ER27" s="1230"/>
      <c r="ES27" s="1230"/>
      <c r="ET27" s="1230"/>
      <c r="EU27" s="1230"/>
      <c r="EV27" s="1230"/>
      <c r="EW27" s="1230"/>
      <c r="EX27" s="1230"/>
      <c r="EY27" s="1230"/>
      <c r="EZ27" s="1444"/>
      <c r="FA27" s="1092" t="str">
        <f>TYPEICON(FB27)</f>
        <v>#NAME?</v>
      </c>
      <c r="FB27" s="398" t="str">
        <f>MONTYPE(FA26)</f>
        <v>#NAME?</v>
      </c>
      <c r="FC27" s="48"/>
      <c r="FD27" s="1980" t="str">
        <f>TYPEICON(FE27)</f>
        <v>#NAME?</v>
      </c>
      <c r="FE27" s="398" t="str">
        <f>MONTYPE2(FA26)</f>
        <v>#NAME?</v>
      </c>
      <c r="FF27" s="48"/>
      <c r="FG27" s="1979" t="s">
        <v>10268</v>
      </c>
      <c r="FH27" s="1230"/>
      <c r="FQ27" s="1230"/>
      <c r="FR27" s="2080" t="s">
        <v>10525</v>
      </c>
      <c r="FS27" s="984"/>
      <c r="FT27" s="984"/>
      <c r="FU27" s="984"/>
      <c r="FV27" s="984"/>
      <c r="FW27" s="984"/>
      <c r="FX27" s="984"/>
      <c r="FY27" s="319"/>
      <c r="FZ27" s="1230"/>
      <c r="GA27" s="1966" t="str">
        <f>MONSPRITE(GB27)</f>
        <v>#NAME?</v>
      </c>
      <c r="GB27" s="1259" t="s">
        <v>4377</v>
      </c>
      <c r="GC27" s="12"/>
      <c r="GD27" s="12"/>
      <c r="GE27" s="12"/>
      <c r="GF27" s="962"/>
      <c r="GG27" s="1256" t="s">
        <v>5045</v>
      </c>
      <c r="GH27" s="1967"/>
      <c r="GI27" s="1230"/>
      <c r="GJ27" s="2066" t="s">
        <v>4608</v>
      </c>
      <c r="GK27" s="1537" t="s">
        <v>10526</v>
      </c>
      <c r="GL27" s="138"/>
      <c r="GM27" s="138"/>
      <c r="GN27" s="138"/>
      <c r="GO27" s="138"/>
      <c r="GP27" s="138"/>
      <c r="GQ27" s="128"/>
      <c r="GS27" s="1012" t="s">
        <v>1794</v>
      </c>
      <c r="GT27" s="1032"/>
      <c r="GU27" s="1032"/>
      <c r="GV27" s="2042" t="str">
        <f t="shared" ref="GV27:GV30" si="177">MOVEICON(GS27)</f>
        <v>#NAME?</v>
      </c>
      <c r="GW27" s="1034" t="str">
        <f t="shared" ref="GW27:GW30" si="178">MOVEBP(GS27)</f>
        <v>#NAME?</v>
      </c>
      <c r="GX27" s="2043" t="str">
        <f t="shared" ref="GX27:GX30" si="179">MOVEACC(GS27)</f>
        <v>#NAME?</v>
      </c>
      <c r="GY27" s="1015" t="str">
        <f t="shared" ref="GY27:GY30" si="180">MOVEPP(GS27)</f>
        <v>#NAME?</v>
      </c>
      <c r="GZ27" s="21"/>
      <c r="HA27" s="1012" t="s">
        <v>1169</v>
      </c>
      <c r="HB27" s="1032"/>
      <c r="HC27" s="1032"/>
      <c r="HD27" s="2042" t="str">
        <f t="shared" ref="HD27:HD30" si="181">MOVEICON(HA27)</f>
        <v>#NAME?</v>
      </c>
      <c r="HE27" s="1034" t="str">
        <f t="shared" ref="HE27:HE30" si="182">MOVEBP(HA27)</f>
        <v>#NAME?</v>
      </c>
      <c r="HF27" s="2043" t="str">
        <f t="shared" ref="HF27:HF30" si="183">MOVEACC(HA27)</f>
        <v>#NAME?</v>
      </c>
      <c r="HG27" s="1015" t="str">
        <f t="shared" ref="HG27:HG30" si="184">MOVEPP(HA27)</f>
        <v>#NAME?</v>
      </c>
      <c r="HH27" s="21"/>
      <c r="HI27" s="1012" t="s">
        <v>1965</v>
      </c>
      <c r="HJ27" s="1032"/>
      <c r="HK27" s="1032"/>
      <c r="HL27" s="2042" t="str">
        <f t="shared" ref="HL27:HL30" si="185">MOVEICON(HI27)</f>
        <v>#NAME?</v>
      </c>
      <c r="HM27" s="1034" t="str">
        <f t="shared" ref="HM27:HM30" si="186">MOVEBP(HI27)</f>
        <v>#NAME?</v>
      </c>
      <c r="HN27" s="2043" t="str">
        <f t="shared" ref="HN27:HN30" si="187">MOVEACC(HI27)</f>
        <v>#NAME?</v>
      </c>
      <c r="HO27" s="1015" t="str">
        <f t="shared" ref="HO27:HO30" si="188">MOVEPP(HI27)</f>
        <v>#NAME?</v>
      </c>
      <c r="HP27" s="65"/>
      <c r="HQ27" s="1012" t="s">
        <v>632</v>
      </c>
      <c r="HR27" s="1032"/>
      <c r="HS27" s="1032"/>
      <c r="HT27" s="2042" t="str">
        <f t="shared" ref="HT27:HT30" si="189">MOVEICON(HQ27)</f>
        <v>#NAME?</v>
      </c>
      <c r="HU27" s="1034" t="str">
        <f t="shared" ref="HU27:HU30" si="190">MOVEBP(HQ27)</f>
        <v>#NAME?</v>
      </c>
      <c r="HV27" s="2043" t="str">
        <f t="shared" ref="HV27:HV30" si="191">MOVEACC(HQ27)</f>
        <v>#NAME?</v>
      </c>
      <c r="HW27" s="1015" t="str">
        <f t="shared" ref="HW27:HW30" si="192">MOVEPP(HQ27)</f>
        <v>#NAME?</v>
      </c>
      <c r="HX27" s="65"/>
      <c r="HY27" s="1012" t="s">
        <v>2588</v>
      </c>
      <c r="HZ27" s="1032"/>
      <c r="IA27" s="1032"/>
      <c r="IB27" s="2042" t="str">
        <f t="shared" ref="IB27:IB30" si="193">MOVEICON(HY27)</f>
        <v>#NAME?</v>
      </c>
      <c r="IC27" s="1034" t="str">
        <f t="shared" ref="IC27:IC30" si="194">MOVEBP(HY27)</f>
        <v>#NAME?</v>
      </c>
      <c r="ID27" s="2043" t="str">
        <f t="shared" ref="ID27:ID30" si="195">MOVEACC(HY27)</f>
        <v>#NAME?</v>
      </c>
      <c r="IE27" s="1015" t="str">
        <f t="shared" ref="IE27:IE30" si="196">MOVEPP(HY27)</f>
        <v>#NAME?</v>
      </c>
      <c r="IF27" s="65"/>
      <c r="IG27" s="1012" t="s">
        <v>1206</v>
      </c>
      <c r="IH27" s="1032"/>
      <c r="II27" s="1032"/>
      <c r="IJ27" s="2042" t="str">
        <f t="shared" ref="IJ27:IJ30" si="197">MOVEICON(IG27)</f>
        <v>#NAME?</v>
      </c>
      <c r="IK27" s="1034" t="str">
        <f t="shared" ref="IK27:IK30" si="198">MOVEBP(IG27)</f>
        <v>#NAME?</v>
      </c>
      <c r="IL27" s="2043" t="str">
        <f t="shared" ref="IL27:IL30" si="199">MOVEACC(IG27)</f>
        <v>#NAME?</v>
      </c>
      <c r="IM27" s="1015" t="str">
        <f t="shared" ref="IM27:IM30" si="200">MOVEPP(IG27)</f>
        <v>#NAME?</v>
      </c>
      <c r="IN27" s="65"/>
      <c r="IO27" s="1012" t="s">
        <v>1088</v>
      </c>
      <c r="IP27" s="1032"/>
      <c r="IQ27" s="1032"/>
      <c r="IR27" s="2042" t="str">
        <f t="shared" ref="IR27:IR30" si="201">MOVEICON(IO27)</f>
        <v>#NAME?</v>
      </c>
      <c r="IS27" s="1034" t="str">
        <f t="shared" ref="IS27:IS30" si="202">MOVEBP(IO27)</f>
        <v>#NAME?</v>
      </c>
      <c r="IT27" s="2043" t="str">
        <f t="shared" ref="IT27:IT30" si="203">MOVEACC(IO27)</f>
        <v>#NAME?</v>
      </c>
      <c r="IU27" s="1015" t="str">
        <f t="shared" ref="IU27:IU30" si="204">MOVEPP(IO27)</f>
        <v>#NAME?</v>
      </c>
      <c r="IV27" s="21"/>
      <c r="IW27" s="1012" t="s">
        <v>379</v>
      </c>
      <c r="IX27" s="1032"/>
      <c r="IY27" s="1032"/>
      <c r="IZ27" s="2042" t="str">
        <f t="shared" ref="IZ27:IZ30" si="205">MOVEICON(IW27)</f>
        <v>#NAME?</v>
      </c>
      <c r="JA27" s="1034" t="str">
        <f t="shared" ref="JA27:JA30" si="206">MOVEBP(IW27)</f>
        <v>#NAME?</v>
      </c>
      <c r="JB27" s="2043" t="str">
        <f t="shared" ref="JB27:JB30" si="207">MOVEACC(IW27)</f>
        <v>#NAME?</v>
      </c>
      <c r="JC27" s="1015" t="str">
        <f t="shared" ref="JC27:JC30" si="208">MOVEPP(IW27)</f>
        <v>#NAME?</v>
      </c>
      <c r="JD27" s="1230"/>
    </row>
    <row r="28" ht="15.75" customHeight="1">
      <c r="A28" s="1238"/>
      <c r="B28" s="1981" t="s">
        <v>10364</v>
      </c>
      <c r="C28" s="413"/>
      <c r="D28" s="413"/>
      <c r="E28" s="413"/>
      <c r="F28" s="413"/>
      <c r="G28" s="413"/>
      <c r="H28" s="413"/>
      <c r="I28" s="413"/>
      <c r="J28" s="413"/>
      <c r="K28" s="414"/>
      <c r="L28" s="1230"/>
      <c r="M28" s="428"/>
      <c r="N28" s="428"/>
      <c r="O28" s="428"/>
      <c r="P28" s="428"/>
      <c r="Q28" s="428"/>
      <c r="R28" s="428"/>
      <c r="S28" s="428"/>
      <c r="T28" s="428"/>
      <c r="U28" s="1230"/>
      <c r="V28" s="1981" t="s">
        <v>10527</v>
      </c>
      <c r="W28" s="413"/>
      <c r="X28" s="413"/>
      <c r="Y28" s="414"/>
      <c r="Z28" s="1230"/>
      <c r="AA28" s="10" t="s">
        <v>4395</v>
      </c>
      <c r="AB28" s="2081" t="str">
        <f>MONABILITY(AB22)</f>
        <v>#NAME?</v>
      </c>
      <c r="AC28" s="967"/>
      <c r="AD28" s="1249"/>
      <c r="AE28" s="2014" t="str">
        <f>MONABILITY2(AB22)</f>
        <v>#NAME?</v>
      </c>
      <c r="AG28" s="1154"/>
      <c r="AH28" s="1230"/>
      <c r="AI28" s="10" t="s">
        <v>4395</v>
      </c>
      <c r="AJ28" s="1049" t="str">
        <f>MONABILITY(AJ22)</f>
        <v>#NAME?</v>
      </c>
      <c r="AK28" s="1026"/>
      <c r="AL28" s="1026"/>
      <c r="AM28" s="2014" t="str">
        <f>MONABILITY2(AJ22)</f>
        <v>#NAME?</v>
      </c>
      <c r="AO28" s="1154"/>
      <c r="AP28" s="1230"/>
      <c r="AQ28" s="1966" t="str">
        <f>MONSPRITE(AR28)</f>
        <v>#NAME?</v>
      </c>
      <c r="AR28" s="1259" t="s">
        <v>1482</v>
      </c>
      <c r="AS28" s="12"/>
      <c r="AT28" s="12"/>
      <c r="AU28" s="12"/>
      <c r="AV28" s="962"/>
      <c r="AW28" s="1256" t="s">
        <v>5018</v>
      </c>
      <c r="AX28" s="1967"/>
      <c r="AY28" s="1230"/>
      <c r="AZ28" s="2067" t="s">
        <v>10528</v>
      </c>
      <c r="BA28" s="413"/>
      <c r="BB28" s="413"/>
      <c r="BC28" s="413"/>
      <c r="BD28" s="413"/>
      <c r="BE28" s="413"/>
      <c r="BF28" s="413"/>
      <c r="BG28" s="414"/>
      <c r="BH28" s="1230"/>
      <c r="BI28" s="1983" t="s">
        <v>10529</v>
      </c>
      <c r="BJ28" s="12"/>
      <c r="BK28" s="12"/>
      <c r="BL28" s="12"/>
      <c r="BM28" s="12"/>
      <c r="BN28" s="12"/>
      <c r="BO28" s="48"/>
      <c r="BP28" s="1984" t="s">
        <v>10530</v>
      </c>
      <c r="BQ28" s="1230"/>
      <c r="BR28" s="1230"/>
      <c r="BS28" s="1230"/>
      <c r="BT28" s="1230"/>
      <c r="BU28" s="1230"/>
      <c r="BV28" s="1230"/>
      <c r="BW28" s="1230"/>
      <c r="BX28" s="1230"/>
      <c r="BY28" s="1230"/>
      <c r="BZ28" s="1230"/>
      <c r="CA28" s="1913" t="s">
        <v>10531</v>
      </c>
      <c r="CB28" s="1150"/>
      <c r="CC28" s="1150"/>
      <c r="CD28" s="1150"/>
      <c r="CE28" s="1150"/>
      <c r="CF28" s="1150"/>
      <c r="CG28" s="1150"/>
      <c r="CH28" s="1151"/>
      <c r="CJ28" s="1096" t="s">
        <v>790</v>
      </c>
      <c r="CK28" s="138"/>
      <c r="CL28" s="138"/>
      <c r="CM28" s="2042" t="str">
        <f t="shared" si="161"/>
        <v>#NAME?</v>
      </c>
      <c r="CN28" s="1034" t="str">
        <f t="shared" si="162"/>
        <v>#NAME?</v>
      </c>
      <c r="CO28" s="2029" t="str">
        <f t="shared" si="163"/>
        <v>#NAME?</v>
      </c>
      <c r="CP28" s="1015" t="str">
        <f t="shared" si="164"/>
        <v>#NAME?</v>
      </c>
      <c r="CR28" s="1096" t="s">
        <v>632</v>
      </c>
      <c r="CS28" s="138"/>
      <c r="CT28" s="138"/>
      <c r="CU28" s="2042" t="str">
        <f t="shared" si="165"/>
        <v>#NAME?</v>
      </c>
      <c r="CV28" s="1034" t="str">
        <f t="shared" si="166"/>
        <v>#NAME?</v>
      </c>
      <c r="CW28" s="2029" t="str">
        <f t="shared" si="167"/>
        <v>#NAME?</v>
      </c>
      <c r="CX28" s="1015" t="str">
        <f t="shared" si="168"/>
        <v>#NAME?</v>
      </c>
      <c r="CY28" s="1230"/>
      <c r="CZ28" s="1096" t="s">
        <v>994</v>
      </c>
      <c r="DA28" s="138"/>
      <c r="DB28" s="138"/>
      <c r="DC28" s="2042" t="str">
        <f t="shared" si="169"/>
        <v>#NAME?</v>
      </c>
      <c r="DD28" s="1034" t="str">
        <f t="shared" si="170"/>
        <v>#NAME?</v>
      </c>
      <c r="DE28" s="2029" t="str">
        <f t="shared" si="171"/>
        <v>#NAME?</v>
      </c>
      <c r="DF28" s="1015" t="str">
        <f t="shared" si="172"/>
        <v>#NAME?</v>
      </c>
      <c r="DG28" s="1230"/>
      <c r="DH28" s="1096" t="s">
        <v>2027</v>
      </c>
      <c r="DI28" s="138"/>
      <c r="DJ28" s="138"/>
      <c r="DK28" s="2042" t="str">
        <f t="shared" si="173"/>
        <v>#NAME?</v>
      </c>
      <c r="DL28" s="1034" t="str">
        <f t="shared" si="174"/>
        <v>#NAME?</v>
      </c>
      <c r="DM28" s="2029" t="str">
        <f t="shared" si="175"/>
        <v>#NAME?</v>
      </c>
      <c r="DN28" s="1015" t="str">
        <f t="shared" si="176"/>
        <v>#NAME?</v>
      </c>
      <c r="DO28" s="1230"/>
      <c r="DP28" s="1983" t="s">
        <v>10532</v>
      </c>
      <c r="DQ28" s="12"/>
      <c r="DR28" s="12"/>
      <c r="DS28" s="12"/>
      <c r="DT28" s="12"/>
      <c r="DU28" s="12"/>
      <c r="DV28" s="48"/>
      <c r="DW28" s="1985" t="s">
        <v>10533</v>
      </c>
      <c r="DX28" s="1230"/>
      <c r="EG28" s="1230"/>
      <c r="EH28" s="1966" t="str">
        <f>MONSPRITE(EI28)</f>
        <v>#NAME?</v>
      </c>
      <c r="EI28" s="1259" t="s">
        <v>3539</v>
      </c>
      <c r="EJ28" s="12"/>
      <c r="EK28" s="12"/>
      <c r="EL28" s="12"/>
      <c r="EM28" s="962"/>
      <c r="EN28" s="1256" t="s">
        <v>5032</v>
      </c>
      <c r="EO28" s="1967"/>
      <c r="EP28" s="1230"/>
      <c r="EQ28" s="1230"/>
      <c r="ER28" s="1230"/>
      <c r="ES28" s="1230"/>
      <c r="ET28" s="1230"/>
      <c r="EU28" s="1230"/>
      <c r="EV28" s="1230"/>
      <c r="EW28" s="1230"/>
      <c r="EX28" s="1230"/>
      <c r="EY28" s="1230"/>
      <c r="EZ28" s="1983" t="s">
        <v>10534</v>
      </c>
      <c r="FA28" s="12"/>
      <c r="FB28" s="12"/>
      <c r="FC28" s="12"/>
      <c r="FD28" s="12"/>
      <c r="FE28" s="12"/>
      <c r="FF28" s="48"/>
      <c r="FG28" s="1995" t="s">
        <v>10535</v>
      </c>
      <c r="FH28" s="1230"/>
      <c r="FI28" s="2082" t="str">
        <f>image("https://archives.bulbagarden.net/media/upload/a/ab/487OMS6.png", 3)</f>
        <v/>
      </c>
      <c r="FJ28" s="1259" t="s">
        <v>4342</v>
      </c>
      <c r="FK28" s="12"/>
      <c r="FL28" s="12"/>
      <c r="FM28" s="12"/>
      <c r="FN28" s="962"/>
      <c r="FO28" s="1256" t="s">
        <v>5032</v>
      </c>
      <c r="FP28" s="1967"/>
      <c r="FQ28" s="1230"/>
      <c r="FR28" s="2062" t="s">
        <v>10404</v>
      </c>
      <c r="FS28" s="413"/>
      <c r="FT28" s="413"/>
      <c r="FU28" s="413"/>
      <c r="FV28" s="413"/>
      <c r="FW28" s="413"/>
      <c r="FX28" s="413"/>
      <c r="FY28" s="414"/>
      <c r="FZ28" s="1230"/>
      <c r="GA28" s="1444"/>
      <c r="GB28" s="1092" t="str">
        <f>TYPEICON(GC28)</f>
        <v>#NAME?</v>
      </c>
      <c r="GC28" s="398" t="str">
        <f>MONTYPE(GB27)</f>
        <v>#NAME?</v>
      </c>
      <c r="GD28" s="48"/>
      <c r="GE28" s="986" t="str">
        <f>TYPEICON(GF28)</f>
        <v>#NAME?</v>
      </c>
      <c r="GF28" s="398" t="str">
        <f>MONTYPE2(GB27)</f>
        <v>#NAME?</v>
      </c>
      <c r="GG28" s="48"/>
      <c r="GH28" s="1979" t="s">
        <v>10536</v>
      </c>
      <c r="GI28" s="1230"/>
      <c r="GJ28" s="2065" t="s">
        <v>4608</v>
      </c>
      <c r="GK28" s="1862" t="s">
        <v>10537</v>
      </c>
      <c r="GL28" s="138"/>
      <c r="GM28" s="138"/>
      <c r="GN28" s="138"/>
      <c r="GO28" s="138"/>
      <c r="GP28" s="138"/>
      <c r="GQ28" s="128"/>
      <c r="GS28" s="1096" t="s">
        <v>987</v>
      </c>
      <c r="GT28" s="138"/>
      <c r="GU28" s="138"/>
      <c r="GV28" s="2042" t="str">
        <f t="shared" si="177"/>
        <v>#NAME?</v>
      </c>
      <c r="GW28" s="1034" t="str">
        <f t="shared" si="178"/>
        <v>#NAME?</v>
      </c>
      <c r="GX28" s="2029" t="str">
        <f t="shared" si="179"/>
        <v>#NAME?</v>
      </c>
      <c r="GY28" s="1015" t="str">
        <f t="shared" si="180"/>
        <v>#NAME?</v>
      </c>
      <c r="GZ28" s="21"/>
      <c r="HA28" s="1096" t="s">
        <v>341</v>
      </c>
      <c r="HB28" s="138"/>
      <c r="HC28" s="138"/>
      <c r="HD28" s="2042" t="str">
        <f t="shared" si="181"/>
        <v>#NAME?</v>
      </c>
      <c r="HE28" s="1034" t="str">
        <f t="shared" si="182"/>
        <v>#NAME?</v>
      </c>
      <c r="HF28" s="2029" t="str">
        <f t="shared" si="183"/>
        <v>#NAME?</v>
      </c>
      <c r="HG28" s="1015" t="str">
        <f t="shared" si="184"/>
        <v>#NAME?</v>
      </c>
      <c r="HH28" s="21"/>
      <c r="HI28" s="1096" t="s">
        <v>3748</v>
      </c>
      <c r="HJ28" s="138"/>
      <c r="HK28" s="138"/>
      <c r="HL28" s="2042" t="str">
        <f t="shared" si="185"/>
        <v>#NAME?</v>
      </c>
      <c r="HM28" s="1034" t="str">
        <f t="shared" si="186"/>
        <v>#NAME?</v>
      </c>
      <c r="HN28" s="2029" t="str">
        <f t="shared" si="187"/>
        <v>#NAME?</v>
      </c>
      <c r="HO28" s="1015" t="str">
        <f t="shared" si="188"/>
        <v>#NAME?</v>
      </c>
      <c r="HP28" s="65"/>
      <c r="HQ28" s="1096" t="s">
        <v>1685</v>
      </c>
      <c r="HR28" s="138"/>
      <c r="HS28" s="138"/>
      <c r="HT28" s="2042" t="str">
        <f t="shared" si="189"/>
        <v>#NAME?</v>
      </c>
      <c r="HU28" s="1034" t="str">
        <f t="shared" si="190"/>
        <v>#NAME?</v>
      </c>
      <c r="HV28" s="2029" t="str">
        <f t="shared" si="191"/>
        <v>#NAME?</v>
      </c>
      <c r="HW28" s="1015" t="str">
        <f t="shared" si="192"/>
        <v>#NAME?</v>
      </c>
      <c r="HX28" s="65"/>
      <c r="HY28" s="1096" t="s">
        <v>3438</v>
      </c>
      <c r="HZ28" s="138"/>
      <c r="IA28" s="138"/>
      <c r="IB28" s="2042" t="str">
        <f t="shared" si="193"/>
        <v>#NAME?</v>
      </c>
      <c r="IC28" s="1034" t="str">
        <f t="shared" si="194"/>
        <v>#NAME?</v>
      </c>
      <c r="ID28" s="2029" t="str">
        <f t="shared" si="195"/>
        <v>#NAME?</v>
      </c>
      <c r="IE28" s="1015" t="str">
        <f t="shared" si="196"/>
        <v>#NAME?</v>
      </c>
      <c r="IF28" s="65"/>
      <c r="IG28" s="1096" t="s">
        <v>632</v>
      </c>
      <c r="IH28" s="138"/>
      <c r="II28" s="138"/>
      <c r="IJ28" s="2042" t="str">
        <f t="shared" si="197"/>
        <v>#NAME?</v>
      </c>
      <c r="IK28" s="1034" t="str">
        <f t="shared" si="198"/>
        <v>#NAME?</v>
      </c>
      <c r="IL28" s="2029" t="str">
        <f t="shared" si="199"/>
        <v>#NAME?</v>
      </c>
      <c r="IM28" s="1015" t="str">
        <f t="shared" si="200"/>
        <v>#NAME?</v>
      </c>
      <c r="IN28" s="65"/>
      <c r="IO28" s="1096" t="s">
        <v>1685</v>
      </c>
      <c r="IP28" s="138"/>
      <c r="IQ28" s="138"/>
      <c r="IR28" s="2042" t="str">
        <f t="shared" si="201"/>
        <v>#NAME?</v>
      </c>
      <c r="IS28" s="1034" t="str">
        <f t="shared" si="202"/>
        <v>#NAME?</v>
      </c>
      <c r="IT28" s="2029" t="str">
        <f t="shared" si="203"/>
        <v>#NAME?</v>
      </c>
      <c r="IU28" s="1015" t="str">
        <f t="shared" si="204"/>
        <v>#NAME?</v>
      </c>
      <c r="IV28" s="21"/>
      <c r="IW28" s="1096" t="s">
        <v>224</v>
      </c>
      <c r="IX28" s="138"/>
      <c r="IY28" s="138"/>
      <c r="IZ28" s="2042" t="str">
        <f t="shared" si="205"/>
        <v>#NAME?</v>
      </c>
      <c r="JA28" s="1034" t="str">
        <f t="shared" si="206"/>
        <v>#NAME?</v>
      </c>
      <c r="JB28" s="2029" t="str">
        <f t="shared" si="207"/>
        <v>#NAME?</v>
      </c>
      <c r="JC28" s="1015" t="str">
        <f t="shared" si="208"/>
        <v>#NAME?</v>
      </c>
      <c r="JD28" s="1230"/>
    </row>
    <row r="29" ht="15.75" customHeight="1">
      <c r="A29" s="1238"/>
      <c r="B29" s="1989" t="s">
        <v>10299</v>
      </c>
      <c r="C29" s="984"/>
      <c r="D29" s="984"/>
      <c r="E29" s="984"/>
      <c r="F29" s="984"/>
      <c r="G29" s="984"/>
      <c r="H29" s="984"/>
      <c r="I29" s="984"/>
      <c r="J29" s="984"/>
      <c r="K29" s="319"/>
      <c r="L29" s="1230"/>
      <c r="M29" s="2072" t="str">
        <f>image("https://archives.bulbagarden.net/media/upload/2/20/138MS6.png", 3)</f>
        <v/>
      </c>
      <c r="N29" s="2083" t="str">
        <f>image("https://archives.bulbagarden.net/media/upload/8/89/140MS6.png", 3)</f>
        <v/>
      </c>
      <c r="O29" s="2083" t="str">
        <f>image("https://archives.bulbagarden.net/media/upload/6/69/142MS6.png", 3)</f>
        <v/>
      </c>
      <c r="P29" s="2083" t="str">
        <f>image("https://archives.bulbagarden.net/media/upload/b/bc/345MS6.png", 3)</f>
        <v/>
      </c>
      <c r="Q29" s="2083" t="str">
        <f>image("https://archives.bulbagarden.net/media/upload/f/ff/347MS6.png", 3)</f>
        <v/>
      </c>
      <c r="R29" s="2083" t="str">
        <f>image("https://archives.bulbagarden.net/media/upload/a/a0/408MS6.png", 3)</f>
        <v/>
      </c>
      <c r="S29" s="2083" t="str">
        <f>image("https://archives.bulbagarden.net/media/upload/e/ec/410MS6.png", 3)</f>
        <v/>
      </c>
      <c r="T29" s="2052" t="s">
        <v>10538</v>
      </c>
      <c r="U29" s="1230"/>
      <c r="V29" s="1230"/>
      <c r="W29" s="1230"/>
      <c r="X29" s="1230"/>
      <c r="Y29" s="1230"/>
      <c r="Z29" s="1230"/>
      <c r="AA29" s="983" t="s">
        <v>523</v>
      </c>
      <c r="AB29" s="984"/>
      <c r="AC29" s="984"/>
      <c r="AD29" s="2020" t="str">
        <f t="shared" ref="AD29:AD32" si="209">MOVEICON(AA29)</f>
        <v>#NAME?</v>
      </c>
      <c r="AE29" s="979" t="str">
        <f t="shared" ref="AE29:AE32" si="210">MOVEBP(AA29)</f>
        <v>#NAME?</v>
      </c>
      <c r="AF29" s="2021" t="str">
        <f t="shared" ref="AF29:AF32" si="211">MOVEACC(AA29)</f>
        <v>#NAME?</v>
      </c>
      <c r="AG29" s="980" t="str">
        <f t="shared" ref="AG29:AG32" si="212">MOVEPP(AA29)</f>
        <v>#NAME?</v>
      </c>
      <c r="AH29" s="1230"/>
      <c r="AI29" s="983" t="s">
        <v>2776</v>
      </c>
      <c r="AJ29" s="984"/>
      <c r="AK29" s="984"/>
      <c r="AL29" s="2020" t="str">
        <f t="shared" ref="AL29:AL32" si="213">MOVEICON(AI29)</f>
        <v>#NAME?</v>
      </c>
      <c r="AM29" s="979" t="str">
        <f t="shared" ref="AM29:AM32" si="214">MOVEBP(AI29)</f>
        <v>#NAME?</v>
      </c>
      <c r="AN29" s="2021" t="str">
        <f t="shared" ref="AN29:AN32" si="215">MOVEACC(AI29)</f>
        <v>#NAME?</v>
      </c>
      <c r="AO29" s="980" t="str">
        <f t="shared" ref="AO29:AO32" si="216">MOVEPP(AI29)</f>
        <v>#NAME?</v>
      </c>
      <c r="AP29" s="1230"/>
      <c r="AQ29" s="1444"/>
      <c r="AR29" s="1092" t="str">
        <f>TYPEICON(AS29)</f>
        <v>#NAME?</v>
      </c>
      <c r="AS29" s="398" t="str">
        <f>MONTYPE(AR28)</f>
        <v>#NAME?</v>
      </c>
      <c r="AT29" s="48"/>
      <c r="AU29" s="986" t="str">
        <f>TYPEICON(AV29)</f>
        <v>#NAME?</v>
      </c>
      <c r="AV29" s="398" t="str">
        <f>MONTYPE2(AR28)</f>
        <v>#NAME?</v>
      </c>
      <c r="AW29" s="48"/>
      <c r="AX29" s="1977" t="s">
        <v>10268</v>
      </c>
      <c r="AY29" s="1230"/>
      <c r="BH29" s="1230"/>
      <c r="BI29" s="1990" t="s">
        <v>4416</v>
      </c>
      <c r="BJ29" s="1991" t="s">
        <v>4417</v>
      </c>
      <c r="BK29" s="1991" t="s">
        <v>3748</v>
      </c>
      <c r="BL29" s="1991" t="s">
        <v>4418</v>
      </c>
      <c r="BM29" s="1991" t="s">
        <v>4419</v>
      </c>
      <c r="BN29" s="1991" t="s">
        <v>4420</v>
      </c>
      <c r="BO29" s="1991" t="s">
        <v>4421</v>
      </c>
      <c r="BP29" s="2084" t="s">
        <v>10539</v>
      </c>
      <c r="BQ29" s="1230"/>
      <c r="BR29" s="1230"/>
      <c r="BS29" s="1230"/>
      <c r="BT29" s="1230"/>
      <c r="BU29" s="1230"/>
      <c r="BV29" s="1230"/>
      <c r="BW29" s="1230"/>
      <c r="BX29" s="1230"/>
      <c r="BY29" s="1230"/>
      <c r="BZ29" s="1230"/>
      <c r="CA29" s="1860"/>
      <c r="CB29" s="1032"/>
      <c r="CC29" s="1032"/>
      <c r="CD29" s="1032"/>
      <c r="CE29" s="1032"/>
      <c r="CF29" s="1032"/>
      <c r="CG29" s="1032"/>
      <c r="CH29" s="30"/>
      <c r="CJ29" s="1096" t="s">
        <v>987</v>
      </c>
      <c r="CK29" s="138"/>
      <c r="CL29" s="138"/>
      <c r="CM29" s="2042" t="str">
        <f t="shared" si="161"/>
        <v>#NAME?</v>
      </c>
      <c r="CN29" s="1034" t="str">
        <f t="shared" si="162"/>
        <v>#NAME?</v>
      </c>
      <c r="CO29" s="2029" t="str">
        <f t="shared" si="163"/>
        <v>#NAME?</v>
      </c>
      <c r="CP29" s="1015" t="str">
        <f t="shared" si="164"/>
        <v>#NAME?</v>
      </c>
      <c r="CR29" s="1096" t="s">
        <v>1433</v>
      </c>
      <c r="CS29" s="138"/>
      <c r="CT29" s="138"/>
      <c r="CU29" s="2042" t="str">
        <f t="shared" si="165"/>
        <v>#NAME?</v>
      </c>
      <c r="CV29" s="1034" t="str">
        <f t="shared" si="166"/>
        <v>#NAME?</v>
      </c>
      <c r="CW29" s="2029" t="str">
        <f t="shared" si="167"/>
        <v>#NAME?</v>
      </c>
      <c r="CX29" s="1015" t="str">
        <f t="shared" si="168"/>
        <v>#NAME?</v>
      </c>
      <c r="CY29" s="1230"/>
      <c r="CZ29" s="1096" t="s">
        <v>1004</v>
      </c>
      <c r="DA29" s="138"/>
      <c r="DB29" s="138"/>
      <c r="DC29" s="2042" t="str">
        <f t="shared" si="169"/>
        <v>#NAME?</v>
      </c>
      <c r="DD29" s="1034" t="str">
        <f t="shared" si="170"/>
        <v>#NAME?</v>
      </c>
      <c r="DE29" s="2029" t="str">
        <f t="shared" si="171"/>
        <v>#NAME?</v>
      </c>
      <c r="DF29" s="1015" t="str">
        <f t="shared" si="172"/>
        <v>#NAME?</v>
      </c>
      <c r="DG29" s="1230"/>
      <c r="DH29" s="1096" t="s">
        <v>2323</v>
      </c>
      <c r="DI29" s="138"/>
      <c r="DJ29" s="138"/>
      <c r="DK29" s="2042" t="str">
        <f t="shared" si="173"/>
        <v>#NAME?</v>
      </c>
      <c r="DL29" s="1034" t="str">
        <f t="shared" si="174"/>
        <v>#NAME?</v>
      </c>
      <c r="DM29" s="2029" t="str">
        <f t="shared" si="175"/>
        <v>#NAME?</v>
      </c>
      <c r="DN29" s="1015" t="str">
        <f t="shared" si="176"/>
        <v>#NAME?</v>
      </c>
      <c r="DO29" s="1230"/>
      <c r="DP29" s="1990" t="s">
        <v>4416</v>
      </c>
      <c r="DQ29" s="1991" t="s">
        <v>4417</v>
      </c>
      <c r="DR29" s="1991" t="s">
        <v>3748</v>
      </c>
      <c r="DS29" s="1991" t="s">
        <v>4418</v>
      </c>
      <c r="DT29" s="1991" t="s">
        <v>4419</v>
      </c>
      <c r="DU29" s="1991" t="s">
        <v>4420</v>
      </c>
      <c r="DV29" s="1991" t="s">
        <v>4421</v>
      </c>
      <c r="DW29" s="1987"/>
      <c r="DX29" s="1230"/>
      <c r="EG29" s="1230"/>
      <c r="EH29" s="1444"/>
      <c r="EI29" s="1092" t="str">
        <f>TYPEICON(EJ29)</f>
        <v>#NAME?</v>
      </c>
      <c r="EJ29" s="398" t="str">
        <f>MONTYPE(EI28)</f>
        <v>#NAME?</v>
      </c>
      <c r="EK29" s="48"/>
      <c r="EL29" s="986" t="str">
        <f>TYPEICON(EM29)</f>
        <v>#NAME?</v>
      </c>
      <c r="EM29" s="398" t="str">
        <f>MONTYPE2(EI28)</f>
        <v>#NAME?</v>
      </c>
      <c r="EN29" s="48"/>
      <c r="EO29" s="1979" t="s">
        <v>10540</v>
      </c>
      <c r="EP29" s="1230"/>
      <c r="EQ29" s="1230"/>
      <c r="ER29" s="1230"/>
      <c r="ES29" s="1230"/>
      <c r="ET29" s="1230"/>
      <c r="EU29" s="1230"/>
      <c r="EV29" s="1230"/>
      <c r="EW29" s="1230"/>
      <c r="EX29" s="1230"/>
      <c r="EY29" s="1230"/>
      <c r="EZ29" s="1990" t="s">
        <v>4416</v>
      </c>
      <c r="FA29" s="1991" t="s">
        <v>4417</v>
      </c>
      <c r="FB29" s="1991" t="s">
        <v>3748</v>
      </c>
      <c r="FC29" s="1991" t="s">
        <v>4418</v>
      </c>
      <c r="FD29" s="1991" t="s">
        <v>4419</v>
      </c>
      <c r="FE29" s="1991" t="s">
        <v>4420</v>
      </c>
      <c r="FF29" s="1991" t="s">
        <v>4421</v>
      </c>
      <c r="FG29" s="1992" t="s">
        <v>10329</v>
      </c>
      <c r="FH29" s="1230"/>
      <c r="FI29" s="2085" t="str">
        <f>image("https://archives.bulbagarden.net/media/upload/1/18/487MS6.png", 3)</f>
        <v/>
      </c>
      <c r="FJ29" s="1092" t="str">
        <f>TYPEICON(FK29)</f>
        <v>#NAME?</v>
      </c>
      <c r="FK29" s="398" t="str">
        <f>MONTYPE(FJ28)</f>
        <v>#NAME?</v>
      </c>
      <c r="FL29" s="48"/>
      <c r="FM29" s="986" t="str">
        <f>TYPEICON(FN29)</f>
        <v>#NAME?</v>
      </c>
      <c r="FN29" s="398" t="str">
        <f>MONTYPE2(FJ28)</f>
        <v>#NAME?</v>
      </c>
      <c r="FO29" s="48"/>
      <c r="FP29" s="1979" t="s">
        <v>10541</v>
      </c>
      <c r="FQ29" s="1230"/>
      <c r="FR29" s="2086" t="s">
        <v>10542</v>
      </c>
      <c r="FY29" s="1154"/>
      <c r="FZ29" s="1230"/>
      <c r="GA29" s="1983" t="s">
        <v>10543</v>
      </c>
      <c r="GB29" s="12"/>
      <c r="GC29" s="12"/>
      <c r="GD29" s="12"/>
      <c r="GE29" s="12"/>
      <c r="GF29" s="12"/>
      <c r="GG29" s="48"/>
      <c r="GH29" s="1987"/>
      <c r="GI29" s="1230"/>
      <c r="GJ29" s="1956" t="s">
        <v>10544</v>
      </c>
      <c r="GK29" s="1150"/>
      <c r="GL29" s="1150"/>
      <c r="GM29" s="1150"/>
      <c r="GN29" s="1150"/>
      <c r="GO29" s="1150"/>
      <c r="GP29" s="1150"/>
      <c r="GQ29" s="1151"/>
      <c r="GS29" s="1096" t="s">
        <v>3841</v>
      </c>
      <c r="GT29" s="138"/>
      <c r="GU29" s="138"/>
      <c r="GV29" s="2042" t="str">
        <f t="shared" si="177"/>
        <v>#NAME?</v>
      </c>
      <c r="GW29" s="1034" t="str">
        <f t="shared" si="178"/>
        <v>#NAME?</v>
      </c>
      <c r="GX29" s="2029" t="str">
        <f t="shared" si="179"/>
        <v>#NAME?</v>
      </c>
      <c r="GY29" s="1015" t="str">
        <f t="shared" si="180"/>
        <v>#NAME?</v>
      </c>
      <c r="GZ29" s="21"/>
      <c r="HA29" s="1096" t="s">
        <v>3497</v>
      </c>
      <c r="HB29" s="138"/>
      <c r="HC29" s="138"/>
      <c r="HD29" s="2042" t="str">
        <f t="shared" si="181"/>
        <v>#NAME?</v>
      </c>
      <c r="HE29" s="1034" t="str">
        <f t="shared" si="182"/>
        <v>#NAME?</v>
      </c>
      <c r="HF29" s="2029" t="str">
        <f t="shared" si="183"/>
        <v>#NAME?</v>
      </c>
      <c r="HG29" s="1015" t="str">
        <f t="shared" si="184"/>
        <v>#NAME?</v>
      </c>
      <c r="HH29" s="21"/>
      <c r="HI29" s="1096" t="s">
        <v>2053</v>
      </c>
      <c r="HJ29" s="138"/>
      <c r="HK29" s="138"/>
      <c r="HL29" s="2042" t="str">
        <f t="shared" si="185"/>
        <v>#NAME?</v>
      </c>
      <c r="HM29" s="1034" t="str">
        <f t="shared" si="186"/>
        <v>#NAME?</v>
      </c>
      <c r="HN29" s="2029" t="str">
        <f t="shared" si="187"/>
        <v>#NAME?</v>
      </c>
      <c r="HO29" s="1015" t="str">
        <f t="shared" si="188"/>
        <v>#NAME?</v>
      </c>
      <c r="HP29" s="65"/>
      <c r="HQ29" s="1096" t="s">
        <v>1140</v>
      </c>
      <c r="HR29" s="138"/>
      <c r="HS29" s="138"/>
      <c r="HT29" s="2042" t="str">
        <f t="shared" si="189"/>
        <v>#NAME?</v>
      </c>
      <c r="HU29" s="1034" t="str">
        <f t="shared" si="190"/>
        <v>#NAME?</v>
      </c>
      <c r="HV29" s="2029" t="str">
        <f t="shared" si="191"/>
        <v>#NAME?</v>
      </c>
      <c r="HW29" s="1015" t="str">
        <f t="shared" si="192"/>
        <v>#NAME?</v>
      </c>
      <c r="HX29" s="65"/>
      <c r="HY29" s="1096" t="s">
        <v>2371</v>
      </c>
      <c r="HZ29" s="138"/>
      <c r="IA29" s="138"/>
      <c r="IB29" s="2042" t="str">
        <f t="shared" si="193"/>
        <v>#NAME?</v>
      </c>
      <c r="IC29" s="1034" t="str">
        <f t="shared" si="194"/>
        <v>#NAME?</v>
      </c>
      <c r="ID29" s="2029" t="str">
        <f t="shared" si="195"/>
        <v>#NAME?</v>
      </c>
      <c r="IE29" s="1015" t="str">
        <f t="shared" si="196"/>
        <v>#NAME?</v>
      </c>
      <c r="IF29" s="65"/>
      <c r="IG29" s="1096"/>
      <c r="IH29" s="138"/>
      <c r="II29" s="138"/>
      <c r="IJ29" s="2042" t="str">
        <f t="shared" si="197"/>
        <v>#NAME?</v>
      </c>
      <c r="IK29" s="1034" t="str">
        <f t="shared" si="198"/>
        <v>#NAME?</v>
      </c>
      <c r="IL29" s="2029" t="str">
        <f t="shared" si="199"/>
        <v>#NAME?</v>
      </c>
      <c r="IM29" s="1015" t="str">
        <f t="shared" si="200"/>
        <v>#NAME?</v>
      </c>
      <c r="IN29" s="65"/>
      <c r="IO29" s="1096" t="s">
        <v>480</v>
      </c>
      <c r="IP29" s="138"/>
      <c r="IQ29" s="138"/>
      <c r="IR29" s="2042" t="str">
        <f t="shared" si="201"/>
        <v>#NAME?</v>
      </c>
      <c r="IS29" s="1034" t="str">
        <f t="shared" si="202"/>
        <v>#NAME?</v>
      </c>
      <c r="IT29" s="2029" t="str">
        <f t="shared" si="203"/>
        <v>#NAME?</v>
      </c>
      <c r="IU29" s="1015" t="str">
        <f t="shared" si="204"/>
        <v>#NAME?</v>
      </c>
      <c r="IV29" s="21"/>
      <c r="IW29" s="1096" t="s">
        <v>632</v>
      </c>
      <c r="IX29" s="138"/>
      <c r="IY29" s="138"/>
      <c r="IZ29" s="2042" t="str">
        <f t="shared" si="205"/>
        <v>#NAME?</v>
      </c>
      <c r="JA29" s="1034" t="str">
        <f t="shared" si="206"/>
        <v>#NAME?</v>
      </c>
      <c r="JB29" s="2029" t="str">
        <f t="shared" si="207"/>
        <v>#NAME?</v>
      </c>
      <c r="JC29" s="1015" t="str">
        <f t="shared" si="208"/>
        <v>#NAME?</v>
      </c>
      <c r="JD29" s="1230"/>
    </row>
    <row r="30" ht="15.75" customHeight="1">
      <c r="A30" s="1238"/>
      <c r="B30" s="1911" t="s">
        <v>10320</v>
      </c>
      <c r="C30" s="138"/>
      <c r="D30" s="138"/>
      <c r="E30" s="138"/>
      <c r="F30" s="138"/>
      <c r="G30" s="138"/>
      <c r="H30" s="138"/>
      <c r="I30" s="138"/>
      <c r="J30" s="138"/>
      <c r="K30" s="128"/>
      <c r="L30" s="1230"/>
      <c r="M30" s="1975" t="s">
        <v>10545</v>
      </c>
      <c r="N30" s="984"/>
      <c r="O30" s="984"/>
      <c r="P30" s="984"/>
      <c r="Q30" s="984"/>
      <c r="R30" s="984"/>
      <c r="S30" s="984"/>
      <c r="T30" s="319"/>
      <c r="U30" s="1230"/>
      <c r="V30" s="1962" t="str">
        <f>image("https://archives.bulbagarden.net/media/upload/8/89/387MS6.png", 3)</f>
        <v/>
      </c>
      <c r="W30" s="1964" t="str">
        <f>image("https://archives.bulbagarden.net/media/upload/3/3c/390MS6.png", 3)</f>
        <v/>
      </c>
      <c r="X30" s="1964" t="str">
        <f>image("https://archives.bulbagarden.net/media/upload/3/30/393MS6.png", 3)</f>
        <v/>
      </c>
      <c r="Y30" s="1965" t="s">
        <v>10546</v>
      </c>
      <c r="Z30" s="1230"/>
      <c r="AA30" s="1096" t="s">
        <v>3863</v>
      </c>
      <c r="AB30" s="138"/>
      <c r="AC30" s="138"/>
      <c r="AD30" s="2028" t="str">
        <f t="shared" si="209"/>
        <v>#NAME?</v>
      </c>
      <c r="AE30" s="1014" t="str">
        <f t="shared" si="210"/>
        <v>#NAME?</v>
      </c>
      <c r="AF30" s="2029" t="str">
        <f t="shared" si="211"/>
        <v>#NAME?</v>
      </c>
      <c r="AG30" s="1015" t="str">
        <f t="shared" si="212"/>
        <v>#NAME?</v>
      </c>
      <c r="AH30" s="1230"/>
      <c r="AI30" s="1096" t="s">
        <v>2492</v>
      </c>
      <c r="AJ30" s="138"/>
      <c r="AK30" s="138"/>
      <c r="AL30" s="2028" t="str">
        <f t="shared" si="213"/>
        <v>#NAME?</v>
      </c>
      <c r="AM30" s="1014" t="str">
        <f t="shared" si="214"/>
        <v>#NAME?</v>
      </c>
      <c r="AN30" s="2029" t="str">
        <f t="shared" si="215"/>
        <v>#NAME?</v>
      </c>
      <c r="AO30" s="1015" t="str">
        <f t="shared" si="216"/>
        <v>#NAME?</v>
      </c>
      <c r="AP30" s="1230"/>
      <c r="AQ30" s="1983" t="s">
        <v>10547</v>
      </c>
      <c r="AR30" s="12"/>
      <c r="AS30" s="12"/>
      <c r="AT30" s="12"/>
      <c r="AU30" s="12"/>
      <c r="AV30" s="12"/>
      <c r="AW30" s="48"/>
      <c r="AX30" s="1985" t="s">
        <v>10548</v>
      </c>
      <c r="AY30" s="1230"/>
      <c r="BH30" s="1230"/>
      <c r="BI30" s="1092" t="str">
        <f>MONHP(BJ26)</f>
        <v>#NAME?</v>
      </c>
      <c r="BJ30" s="986" t="str">
        <f>MONATK(BJ26)</f>
        <v>#NAME?</v>
      </c>
      <c r="BK30" s="986" t="str">
        <f>MONDEF(BJ26)</f>
        <v>#NAME?</v>
      </c>
      <c r="BL30" s="986" t="str">
        <f>MONSPA(BJ26)</f>
        <v>#NAME?</v>
      </c>
      <c r="BM30" s="986" t="str">
        <f>MONSPD(BJ26)</f>
        <v>#NAME?</v>
      </c>
      <c r="BN30" s="986" t="str">
        <f>MONSPE(BJ26)</f>
        <v>#NAME?</v>
      </c>
      <c r="BO30" s="986" t="str">
        <f>MONBST(BJ26)</f>
        <v>#NAME?</v>
      </c>
      <c r="BP30" s="1988"/>
      <c r="BQ30" s="1230"/>
      <c r="BR30" s="1230"/>
      <c r="BS30" s="1230"/>
      <c r="BT30" s="1230"/>
      <c r="BU30" s="1230"/>
      <c r="BV30" s="1230"/>
      <c r="BW30" s="1230"/>
      <c r="BX30" s="1230"/>
      <c r="BY30" s="1230"/>
      <c r="BZ30" s="1230"/>
      <c r="CA30" s="1981" t="s">
        <v>10549</v>
      </c>
      <c r="CB30" s="413"/>
      <c r="CC30" s="413"/>
      <c r="CD30" s="413"/>
      <c r="CE30" s="413"/>
      <c r="CF30" s="413"/>
      <c r="CG30" s="413"/>
      <c r="CH30" s="414"/>
      <c r="CJ30" s="1094" t="s">
        <v>3438</v>
      </c>
      <c r="CK30" s="413"/>
      <c r="CL30" s="413"/>
      <c r="CM30" s="2063" t="str">
        <f t="shared" si="161"/>
        <v>#NAME?</v>
      </c>
      <c r="CN30" s="1054" t="str">
        <f t="shared" si="162"/>
        <v>#NAME?</v>
      </c>
      <c r="CO30" s="2033" t="str">
        <f t="shared" si="163"/>
        <v>#NAME?</v>
      </c>
      <c r="CP30" s="1131" t="str">
        <f t="shared" si="164"/>
        <v>#NAME?</v>
      </c>
      <c r="CR30" s="1094" t="s">
        <v>3863</v>
      </c>
      <c r="CS30" s="413"/>
      <c r="CT30" s="413"/>
      <c r="CU30" s="2063" t="str">
        <f t="shared" si="165"/>
        <v>#NAME?</v>
      </c>
      <c r="CV30" s="1054" t="str">
        <f t="shared" si="166"/>
        <v>#NAME?</v>
      </c>
      <c r="CW30" s="2033" t="str">
        <f t="shared" si="167"/>
        <v>#NAME?</v>
      </c>
      <c r="CX30" s="1131" t="str">
        <f t="shared" si="168"/>
        <v>#NAME?</v>
      </c>
      <c r="CY30" s="1230"/>
      <c r="CZ30" s="1094" t="s">
        <v>1433</v>
      </c>
      <c r="DA30" s="413"/>
      <c r="DB30" s="413"/>
      <c r="DC30" s="2063" t="str">
        <f t="shared" si="169"/>
        <v>#NAME?</v>
      </c>
      <c r="DD30" s="1054" t="str">
        <f t="shared" si="170"/>
        <v>#NAME?</v>
      </c>
      <c r="DE30" s="2033" t="str">
        <f t="shared" si="171"/>
        <v>#NAME?</v>
      </c>
      <c r="DF30" s="1131" t="str">
        <f t="shared" si="172"/>
        <v>#NAME?</v>
      </c>
      <c r="DG30" s="1230"/>
      <c r="DH30" s="1094" t="s">
        <v>2308</v>
      </c>
      <c r="DI30" s="413"/>
      <c r="DJ30" s="413"/>
      <c r="DK30" s="2063" t="str">
        <f t="shared" si="173"/>
        <v>#NAME?</v>
      </c>
      <c r="DL30" s="1054" t="str">
        <f t="shared" si="174"/>
        <v>#NAME?</v>
      </c>
      <c r="DM30" s="2033" t="str">
        <f t="shared" si="175"/>
        <v>#NAME?</v>
      </c>
      <c r="DN30" s="1131" t="str">
        <f t="shared" si="176"/>
        <v>#NAME?</v>
      </c>
      <c r="DO30" s="1230"/>
      <c r="DP30" s="1092" t="str">
        <f>MONHP(DQ26)</f>
        <v>#NAME?</v>
      </c>
      <c r="DQ30" s="986" t="str">
        <f>MONATK(DQ26)</f>
        <v>#NAME?</v>
      </c>
      <c r="DR30" s="986" t="str">
        <f>MONDEF(DQ26)</f>
        <v>#NAME?</v>
      </c>
      <c r="DS30" s="986" t="str">
        <f>MONSPA(DQ26)</f>
        <v>#NAME?</v>
      </c>
      <c r="DT30" s="986" t="str">
        <f>MONSPD(DQ26)</f>
        <v>#NAME?</v>
      </c>
      <c r="DU30" s="986" t="str">
        <f>MONSPE(DQ26)</f>
        <v>#NAME?</v>
      </c>
      <c r="DV30" s="986" t="str">
        <f>MONBST(DQ26)</f>
        <v>#NAME?</v>
      </c>
      <c r="DW30" s="1988"/>
      <c r="DX30" s="1230"/>
      <c r="EG30" s="1230"/>
      <c r="EH30" s="1983" t="s">
        <v>10550</v>
      </c>
      <c r="EI30" s="12"/>
      <c r="EJ30" s="12"/>
      <c r="EK30" s="12"/>
      <c r="EL30" s="12"/>
      <c r="EM30" s="12"/>
      <c r="EN30" s="48"/>
      <c r="EO30" s="1988"/>
      <c r="EP30" s="1230"/>
      <c r="EQ30" s="1230"/>
      <c r="ER30" s="1230"/>
      <c r="ES30" s="1230"/>
      <c r="ET30" s="1230"/>
      <c r="EU30" s="1230"/>
      <c r="EV30" s="1230"/>
      <c r="EW30" s="1230"/>
      <c r="EX30" s="1230"/>
      <c r="EY30" s="1230"/>
      <c r="EZ30" s="1092" t="str">
        <f>MONHP(FA26)</f>
        <v>#NAME?</v>
      </c>
      <c r="FA30" s="986" t="str">
        <f>MONATK(FA26)</f>
        <v>#NAME?</v>
      </c>
      <c r="FB30" s="986" t="str">
        <f>MONDEF(FA26)</f>
        <v>#NAME?</v>
      </c>
      <c r="FC30" s="986" t="str">
        <f>MONSPA(FA26)</f>
        <v>#NAME?</v>
      </c>
      <c r="FD30" s="986" t="str">
        <f>MONSPD(FA26)</f>
        <v>#NAME?</v>
      </c>
      <c r="FE30" s="986" t="str">
        <f>MONSPE(FA26)</f>
        <v>#NAME?</v>
      </c>
      <c r="FF30" s="986" t="str">
        <f>MONBST(FA26)</f>
        <v>#NAME?</v>
      </c>
      <c r="FG30" s="1995" t="s">
        <v>10551</v>
      </c>
      <c r="FH30" s="1230"/>
      <c r="FI30" s="1983" t="s">
        <v>10552</v>
      </c>
      <c r="FJ30" s="12"/>
      <c r="FK30" s="12"/>
      <c r="FL30" s="12"/>
      <c r="FM30" s="12"/>
      <c r="FN30" s="12"/>
      <c r="FO30" s="48"/>
      <c r="FP30" s="1987"/>
      <c r="FQ30" s="1230"/>
      <c r="FR30" s="2062" t="s">
        <v>10553</v>
      </c>
      <c r="FS30" s="413"/>
      <c r="FT30" s="413"/>
      <c r="FU30" s="413"/>
      <c r="FV30" s="413"/>
      <c r="FW30" s="413"/>
      <c r="FX30" s="413"/>
      <c r="FY30" s="414"/>
      <c r="FZ30" s="1230"/>
      <c r="GA30" s="1990" t="s">
        <v>4416</v>
      </c>
      <c r="GB30" s="1991" t="s">
        <v>4417</v>
      </c>
      <c r="GC30" s="1991" t="s">
        <v>3748</v>
      </c>
      <c r="GD30" s="1991" t="s">
        <v>4418</v>
      </c>
      <c r="GE30" s="1991" t="s">
        <v>4419</v>
      </c>
      <c r="GF30" s="1991" t="s">
        <v>4420</v>
      </c>
      <c r="GG30" s="1991" t="s">
        <v>4421</v>
      </c>
      <c r="GH30" s="1985" t="s">
        <v>10554</v>
      </c>
      <c r="GI30" s="1230"/>
      <c r="GJ30" s="1860"/>
      <c r="GK30" s="1032"/>
      <c r="GL30" s="1032"/>
      <c r="GM30" s="1032"/>
      <c r="GN30" s="1032"/>
      <c r="GO30" s="1032"/>
      <c r="GP30" s="1032"/>
      <c r="GQ30" s="30"/>
      <c r="GS30" s="1094" t="s">
        <v>4130</v>
      </c>
      <c r="GT30" s="413"/>
      <c r="GU30" s="413"/>
      <c r="GV30" s="2063" t="str">
        <f t="shared" si="177"/>
        <v>#NAME?</v>
      </c>
      <c r="GW30" s="1054" t="str">
        <f t="shared" si="178"/>
        <v>#NAME?</v>
      </c>
      <c r="GX30" s="2033" t="str">
        <f t="shared" si="179"/>
        <v>#NAME?</v>
      </c>
      <c r="GY30" s="1131" t="str">
        <f t="shared" si="180"/>
        <v>#NAME?</v>
      </c>
      <c r="GZ30" s="21"/>
      <c r="HA30" s="1094" t="s">
        <v>1794</v>
      </c>
      <c r="HB30" s="413"/>
      <c r="HC30" s="413"/>
      <c r="HD30" s="2063" t="str">
        <f t="shared" si="181"/>
        <v>#NAME?</v>
      </c>
      <c r="HE30" s="1054" t="str">
        <f t="shared" si="182"/>
        <v>#NAME?</v>
      </c>
      <c r="HF30" s="2033" t="str">
        <f t="shared" si="183"/>
        <v>#NAME?</v>
      </c>
      <c r="HG30" s="1131" t="str">
        <f t="shared" si="184"/>
        <v>#NAME?</v>
      </c>
      <c r="HH30" s="21"/>
      <c r="HI30" s="1094" t="s">
        <v>4023</v>
      </c>
      <c r="HJ30" s="413"/>
      <c r="HK30" s="413"/>
      <c r="HL30" s="2063" t="str">
        <f t="shared" si="185"/>
        <v>#NAME?</v>
      </c>
      <c r="HM30" s="1054" t="str">
        <f t="shared" si="186"/>
        <v>#NAME?</v>
      </c>
      <c r="HN30" s="2033" t="str">
        <f t="shared" si="187"/>
        <v>#NAME?</v>
      </c>
      <c r="HO30" s="1131" t="str">
        <f t="shared" si="188"/>
        <v>#NAME?</v>
      </c>
      <c r="HP30" s="65"/>
      <c r="HQ30" s="1094" t="s">
        <v>883</v>
      </c>
      <c r="HR30" s="413"/>
      <c r="HS30" s="413"/>
      <c r="HT30" s="2063" t="str">
        <f t="shared" si="189"/>
        <v>#NAME?</v>
      </c>
      <c r="HU30" s="1054" t="str">
        <f t="shared" si="190"/>
        <v>#NAME?</v>
      </c>
      <c r="HV30" s="2033" t="str">
        <f t="shared" si="191"/>
        <v>#NAME?</v>
      </c>
      <c r="HW30" s="1131" t="str">
        <f t="shared" si="192"/>
        <v>#NAME?</v>
      </c>
      <c r="HX30" s="65"/>
      <c r="HY30" s="1094"/>
      <c r="HZ30" s="413"/>
      <c r="IA30" s="413"/>
      <c r="IB30" s="2063" t="str">
        <f t="shared" si="193"/>
        <v>#NAME?</v>
      </c>
      <c r="IC30" s="1054" t="str">
        <f t="shared" si="194"/>
        <v>#NAME?</v>
      </c>
      <c r="ID30" s="2033" t="str">
        <f t="shared" si="195"/>
        <v>#NAME?</v>
      </c>
      <c r="IE30" s="1131" t="str">
        <f t="shared" si="196"/>
        <v>#NAME?</v>
      </c>
      <c r="IF30" s="65"/>
      <c r="IG30" s="1094"/>
      <c r="IH30" s="413"/>
      <c r="II30" s="413"/>
      <c r="IJ30" s="2063" t="str">
        <f t="shared" si="197"/>
        <v>#NAME?</v>
      </c>
      <c r="IK30" s="1054" t="str">
        <f t="shared" si="198"/>
        <v>#NAME?</v>
      </c>
      <c r="IL30" s="2033" t="str">
        <f t="shared" si="199"/>
        <v>#NAME?</v>
      </c>
      <c r="IM30" s="1131" t="str">
        <f t="shared" si="200"/>
        <v>#NAME?</v>
      </c>
      <c r="IN30" s="65"/>
      <c r="IO30" s="1094" t="s">
        <v>632</v>
      </c>
      <c r="IP30" s="413"/>
      <c r="IQ30" s="413"/>
      <c r="IR30" s="2063" t="str">
        <f t="shared" si="201"/>
        <v>#NAME?</v>
      </c>
      <c r="IS30" s="1054" t="str">
        <f t="shared" si="202"/>
        <v>#NAME?</v>
      </c>
      <c r="IT30" s="2033" t="str">
        <f t="shared" si="203"/>
        <v>#NAME?</v>
      </c>
      <c r="IU30" s="1131" t="str">
        <f t="shared" si="204"/>
        <v>#NAME?</v>
      </c>
      <c r="IV30" s="21"/>
      <c r="IW30" s="1094"/>
      <c r="IX30" s="413"/>
      <c r="IY30" s="413"/>
      <c r="IZ30" s="2063" t="str">
        <f t="shared" si="205"/>
        <v>#NAME?</v>
      </c>
      <c r="JA30" s="1054" t="str">
        <f t="shared" si="206"/>
        <v>#NAME?</v>
      </c>
      <c r="JB30" s="2033" t="str">
        <f t="shared" si="207"/>
        <v>#NAME?</v>
      </c>
      <c r="JC30" s="1131" t="str">
        <f t="shared" si="208"/>
        <v>#NAME?</v>
      </c>
      <c r="JD30" s="1230"/>
    </row>
    <row r="31" ht="15.75" customHeight="1">
      <c r="A31" s="1238"/>
      <c r="B31" s="1947" t="s">
        <v>10555</v>
      </c>
      <c r="C31" s="138"/>
      <c r="D31" s="138"/>
      <c r="E31" s="138"/>
      <c r="F31" s="138"/>
      <c r="G31" s="138"/>
      <c r="H31" s="138"/>
      <c r="I31" s="138"/>
      <c r="J31" s="138"/>
      <c r="K31" s="128"/>
      <c r="L31" s="1230"/>
      <c r="M31" s="1981" t="s">
        <v>10556</v>
      </c>
      <c r="N31" s="413"/>
      <c r="O31" s="413"/>
      <c r="P31" s="413"/>
      <c r="Q31" s="413"/>
      <c r="R31" s="413"/>
      <c r="S31" s="413"/>
      <c r="T31" s="414"/>
      <c r="U31" s="1230"/>
      <c r="V31" s="1974" t="s">
        <v>10557</v>
      </c>
      <c r="W31" s="482"/>
      <c r="X31" s="482"/>
      <c r="Y31" s="267"/>
      <c r="Z31" s="1230"/>
      <c r="AA31" s="1096" t="s">
        <v>2130</v>
      </c>
      <c r="AB31" s="138"/>
      <c r="AC31" s="138"/>
      <c r="AD31" s="2028" t="str">
        <f t="shared" si="209"/>
        <v>#NAME?</v>
      </c>
      <c r="AE31" s="1014" t="str">
        <f t="shared" si="210"/>
        <v>#NAME?</v>
      </c>
      <c r="AF31" s="2029" t="str">
        <f t="shared" si="211"/>
        <v>#NAME?</v>
      </c>
      <c r="AG31" s="1015" t="str">
        <f t="shared" si="212"/>
        <v>#NAME?</v>
      </c>
      <c r="AH31" s="1230"/>
      <c r="AI31" s="1096" t="s">
        <v>3163</v>
      </c>
      <c r="AJ31" s="138"/>
      <c r="AK31" s="138"/>
      <c r="AL31" s="2028" t="str">
        <f t="shared" si="213"/>
        <v>#NAME?</v>
      </c>
      <c r="AM31" s="1014" t="str">
        <f t="shared" si="214"/>
        <v>#NAME?</v>
      </c>
      <c r="AN31" s="2029" t="str">
        <f t="shared" si="215"/>
        <v>#NAME?</v>
      </c>
      <c r="AO31" s="1015" t="str">
        <f t="shared" si="216"/>
        <v>#NAME?</v>
      </c>
      <c r="AP31" s="1230"/>
      <c r="AQ31" s="2087" t="s">
        <v>4416</v>
      </c>
      <c r="AR31" s="2088" t="s">
        <v>4417</v>
      </c>
      <c r="AS31" s="2088" t="s">
        <v>3748</v>
      </c>
      <c r="AT31" s="2088" t="s">
        <v>4418</v>
      </c>
      <c r="AU31" s="2088" t="s">
        <v>4419</v>
      </c>
      <c r="AV31" s="2088" t="s">
        <v>4420</v>
      </c>
      <c r="AW31" s="2088" t="s">
        <v>4421</v>
      </c>
      <c r="AX31" s="1988"/>
      <c r="AY31" s="1230"/>
      <c r="BH31" s="1230"/>
      <c r="BI31" s="2009" t="str">
        <f>ITEMICON(BJ31)</f>
        <v>#NAME?</v>
      </c>
      <c r="BJ31" s="2010" t="s">
        <v>3466</v>
      </c>
      <c r="BK31" s="967"/>
      <c r="BL31" s="1249"/>
      <c r="BM31" s="1092" t="s">
        <v>10336</v>
      </c>
      <c r="BN31" s="12"/>
      <c r="BO31" s="48"/>
      <c r="BP31" s="2019" t="s">
        <v>10558</v>
      </c>
      <c r="BQ31" s="1230"/>
      <c r="BR31" s="1230"/>
      <c r="BS31" s="1230"/>
      <c r="BT31" s="1230"/>
      <c r="BU31" s="1230"/>
      <c r="BV31" s="1230"/>
      <c r="BW31" s="1230"/>
      <c r="BX31" s="1230"/>
      <c r="BY31" s="1230"/>
      <c r="BZ31" s="1230"/>
      <c r="DO31" s="1230"/>
      <c r="DP31" s="2009" t="str">
        <f>ITEMICON(DQ31)</f>
        <v>#NAME?</v>
      </c>
      <c r="DQ31" s="2010" t="s">
        <v>3466</v>
      </c>
      <c r="DR31" s="967"/>
      <c r="DS31" s="1249"/>
      <c r="DT31" s="1092" t="s">
        <v>10336</v>
      </c>
      <c r="DU31" s="12"/>
      <c r="DV31" s="48"/>
      <c r="DW31" s="1992" t="s">
        <v>10435</v>
      </c>
      <c r="DX31" s="1230"/>
      <c r="EG31" s="1230"/>
      <c r="EH31" s="1990" t="s">
        <v>4416</v>
      </c>
      <c r="EI31" s="1991" t="s">
        <v>4417</v>
      </c>
      <c r="EJ31" s="1991" t="s">
        <v>3748</v>
      </c>
      <c r="EK31" s="1991" t="s">
        <v>4418</v>
      </c>
      <c r="EL31" s="1991" t="s">
        <v>4419</v>
      </c>
      <c r="EM31" s="1991" t="s">
        <v>4420</v>
      </c>
      <c r="EN31" s="1991" t="s">
        <v>4421</v>
      </c>
      <c r="EO31" s="1985" t="s">
        <v>10306</v>
      </c>
      <c r="EP31" s="1230"/>
      <c r="EQ31" s="1230"/>
      <c r="ER31" s="1230"/>
      <c r="ES31" s="1230"/>
      <c r="ET31" s="1230"/>
      <c r="EU31" s="1230"/>
      <c r="EV31" s="1230"/>
      <c r="EW31" s="1230"/>
      <c r="EX31" s="1230"/>
      <c r="EY31" s="1230"/>
      <c r="EZ31" s="2009" t="str">
        <f>ITEMICON(FA31)</f>
        <v>#NAME?</v>
      </c>
      <c r="FA31" s="2010" t="s">
        <v>3466</v>
      </c>
      <c r="FB31" s="967"/>
      <c r="FC31" s="1249"/>
      <c r="FD31" s="1092" t="s">
        <v>10336</v>
      </c>
      <c r="FE31" s="12"/>
      <c r="FF31" s="48"/>
      <c r="FG31" s="2016" t="s">
        <v>10559</v>
      </c>
      <c r="FH31" s="1230"/>
      <c r="FI31" s="1990" t="s">
        <v>4416</v>
      </c>
      <c r="FJ31" s="1991" t="s">
        <v>4417</v>
      </c>
      <c r="FK31" s="1991" t="s">
        <v>3748</v>
      </c>
      <c r="FL31" s="1991" t="s">
        <v>4418</v>
      </c>
      <c r="FM31" s="1991" t="s">
        <v>4419</v>
      </c>
      <c r="FN31" s="1991" t="s">
        <v>4420</v>
      </c>
      <c r="FO31" s="1991" t="s">
        <v>4421</v>
      </c>
      <c r="FP31" s="1985" t="s">
        <v>10560</v>
      </c>
      <c r="FQ31" s="1230"/>
      <c r="FR31" s="442"/>
      <c r="FS31" s="442"/>
      <c r="FT31" s="442"/>
      <c r="FU31" s="442"/>
      <c r="FV31" s="442"/>
      <c r="FW31" s="442"/>
      <c r="FX31" s="442"/>
      <c r="FY31" s="442"/>
      <c r="FZ31" s="1230"/>
      <c r="GA31" s="1092" t="str">
        <f>MONHP(GB27)</f>
        <v>#NAME?</v>
      </c>
      <c r="GB31" s="986" t="str">
        <f>MONATK(GB27)</f>
        <v>#NAME?</v>
      </c>
      <c r="GC31" s="986" t="str">
        <f>MONDEF(GB27)</f>
        <v>#NAME?</v>
      </c>
      <c r="GD31" s="986" t="str">
        <f>MONSPA(GB27)</f>
        <v>#NAME?</v>
      </c>
      <c r="GE31" s="986" t="str">
        <f>MONSPD(GB27)</f>
        <v>#NAME?</v>
      </c>
      <c r="GF31" s="986" t="str">
        <f>MONSPE(GB27)</f>
        <v>#NAME?</v>
      </c>
      <c r="GG31" s="986" t="str">
        <f>MONBST(GB27)</f>
        <v>#NAME?</v>
      </c>
      <c r="GH31" s="1998"/>
      <c r="GI31" s="1230"/>
      <c r="GJ31" s="2025" t="s">
        <v>10561</v>
      </c>
      <c r="GK31" s="1150"/>
      <c r="GL31" s="1150"/>
      <c r="GM31" s="1150"/>
      <c r="GN31" s="1150"/>
      <c r="GO31" s="1150"/>
      <c r="GP31" s="1150"/>
      <c r="GQ31" s="115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1230"/>
    </row>
    <row r="32" ht="15.75" customHeight="1">
      <c r="A32" s="1238"/>
      <c r="B32" s="1911" t="s">
        <v>10562</v>
      </c>
      <c r="C32" s="138"/>
      <c r="D32" s="138"/>
      <c r="E32" s="138"/>
      <c r="F32" s="138"/>
      <c r="G32" s="138"/>
      <c r="H32" s="138"/>
      <c r="I32" s="138"/>
      <c r="J32" s="138"/>
      <c r="K32" s="128"/>
      <c r="L32" s="1230"/>
      <c r="M32" s="1231" t="s">
        <v>10563</v>
      </c>
      <c r="N32" s="976"/>
      <c r="O32" s="976"/>
      <c r="P32" s="976"/>
      <c r="Q32" s="976"/>
      <c r="R32" s="976"/>
      <c r="S32" s="976"/>
      <c r="T32" s="954"/>
      <c r="U32" s="1230"/>
      <c r="V32" s="2089" t="s">
        <v>10364</v>
      </c>
      <c r="W32" s="306"/>
      <c r="X32" s="306"/>
      <c r="Y32" s="307"/>
      <c r="Z32" s="1230"/>
      <c r="AA32" s="1094" t="s">
        <v>1760</v>
      </c>
      <c r="AB32" s="413"/>
      <c r="AC32" s="413"/>
      <c r="AD32" s="2032" t="str">
        <f t="shared" si="209"/>
        <v>#NAME?</v>
      </c>
      <c r="AE32" s="1130" t="str">
        <f t="shared" si="210"/>
        <v>#NAME?</v>
      </c>
      <c r="AF32" s="2033" t="str">
        <f t="shared" si="211"/>
        <v>#NAME?</v>
      </c>
      <c r="AG32" s="1131" t="str">
        <f t="shared" si="212"/>
        <v>#NAME?</v>
      </c>
      <c r="AH32" s="1230"/>
      <c r="AI32" s="1094" t="s">
        <v>2604</v>
      </c>
      <c r="AJ32" s="413"/>
      <c r="AK32" s="413"/>
      <c r="AL32" s="2032" t="str">
        <f t="shared" si="213"/>
        <v>#NAME?</v>
      </c>
      <c r="AM32" s="1130" t="str">
        <f t="shared" si="214"/>
        <v>#NAME?</v>
      </c>
      <c r="AN32" s="2033" t="str">
        <f t="shared" si="215"/>
        <v>#NAME?</v>
      </c>
      <c r="AO32" s="1131" t="str">
        <f t="shared" si="216"/>
        <v>#NAME?</v>
      </c>
      <c r="AP32" s="1230"/>
      <c r="AQ32" s="1092" t="str">
        <f>MONHP(AR28)</f>
        <v>#NAME?</v>
      </c>
      <c r="AR32" s="986" t="str">
        <f>MONATK(AR28)</f>
        <v>#NAME?</v>
      </c>
      <c r="AS32" s="986" t="str">
        <f>MONDEF(AR28)</f>
        <v>#NAME?</v>
      </c>
      <c r="AT32" s="986" t="str">
        <f>MONSPA(AR28)</f>
        <v>#NAME?</v>
      </c>
      <c r="AU32" s="986" t="str">
        <f>MONSPD(AR28)</f>
        <v>#NAME?</v>
      </c>
      <c r="AV32" s="986" t="str">
        <f>MONSPE(AR28)</f>
        <v>#NAME?</v>
      </c>
      <c r="AW32" s="986" t="str">
        <f>MONBST(AR28)</f>
        <v>#NAME?</v>
      </c>
      <c r="AX32" s="1992" t="s">
        <v>10564</v>
      </c>
      <c r="AY32" s="1230"/>
      <c r="BH32" s="1230"/>
      <c r="BI32" s="10" t="s">
        <v>4395</v>
      </c>
      <c r="BJ32" s="1049" t="str">
        <f>MONABILITY(BJ26)</f>
        <v>#NAME?</v>
      </c>
      <c r="BK32" s="1026"/>
      <c r="BL32" s="1026"/>
      <c r="BM32" s="2014" t="str">
        <f>MONABILITY2(BJ26)</f>
        <v>#NAME?</v>
      </c>
      <c r="BO32" s="2015"/>
      <c r="BP32" s="2016" t="s">
        <v>10565</v>
      </c>
      <c r="BQ32" s="1230"/>
      <c r="BR32" s="1230"/>
      <c r="BS32" s="1230"/>
      <c r="BT32" s="1230"/>
      <c r="BU32" s="1230"/>
      <c r="BV32" s="1230"/>
      <c r="BW32" s="1230"/>
      <c r="BX32" s="1230"/>
      <c r="BY32" s="1230"/>
      <c r="BZ32" s="1230"/>
      <c r="DO32" s="1230"/>
      <c r="DP32" s="10" t="s">
        <v>4395</v>
      </c>
      <c r="DQ32" s="1049" t="str">
        <f>MONABILITY(DQ26)</f>
        <v>#NAME?</v>
      </c>
      <c r="DR32" s="1026"/>
      <c r="DS32" s="1026"/>
      <c r="DT32" s="2014" t="str">
        <f>MONABILITY2(DQ26)</f>
        <v>#NAME?</v>
      </c>
      <c r="DV32" s="2015"/>
      <c r="DW32" s="1985" t="s">
        <v>10566</v>
      </c>
      <c r="DX32" s="1230"/>
      <c r="EG32" s="1230"/>
      <c r="EH32" s="1092" t="str">
        <f>MONHP(EI28)</f>
        <v>#NAME?</v>
      </c>
      <c r="EI32" s="986" t="str">
        <f>MONATK(EI28)</f>
        <v>#NAME?</v>
      </c>
      <c r="EJ32" s="986" t="str">
        <f>MONDEF(EI28)</f>
        <v>#NAME?</v>
      </c>
      <c r="EK32" s="986" t="str">
        <f>MONSPA(EI28)</f>
        <v>#NAME?</v>
      </c>
      <c r="EL32" s="986" t="str">
        <f>MONSPD(EI28)</f>
        <v>#NAME?</v>
      </c>
      <c r="EM32" s="986" t="str">
        <f>MONSPE(EI28)</f>
        <v>#NAME?</v>
      </c>
      <c r="EN32" s="986" t="str">
        <f>MONBST(EI28)</f>
        <v>#NAME?</v>
      </c>
      <c r="EO32" s="1998"/>
      <c r="EP32" s="1230"/>
      <c r="EQ32" s="1230"/>
      <c r="ER32" s="1230"/>
      <c r="ES32" s="1230"/>
      <c r="ET32" s="1230"/>
      <c r="EU32" s="1230"/>
      <c r="EV32" s="1230"/>
      <c r="EW32" s="1230"/>
      <c r="EX32" s="1230"/>
      <c r="EY32" s="1230"/>
      <c r="EZ32" s="10" t="s">
        <v>4395</v>
      </c>
      <c r="FA32" s="1049" t="str">
        <f>MONABILITY(FA26)</f>
        <v>#NAME?</v>
      </c>
      <c r="FB32" s="1026"/>
      <c r="FC32" s="1026"/>
      <c r="FD32" s="2014" t="str">
        <f>MONABILITY2(FA26)</f>
        <v>#NAME?</v>
      </c>
      <c r="FF32" s="2015"/>
      <c r="FG32" s="1984"/>
      <c r="FH32" s="1230"/>
      <c r="FI32" s="1092" t="str">
        <f>MONHP(FJ28)</f>
        <v>#NAME?</v>
      </c>
      <c r="FJ32" s="986" t="str">
        <f>MONATK(FJ28)</f>
        <v>#NAME?</v>
      </c>
      <c r="FK32" s="986" t="str">
        <f>MONDEF(FJ28)</f>
        <v>#NAME?</v>
      </c>
      <c r="FL32" s="986" t="str">
        <f>MONSPA(FJ28)</f>
        <v>#NAME?</v>
      </c>
      <c r="FM32" s="986" t="str">
        <f>MONSPD(FJ28)</f>
        <v>#NAME?</v>
      </c>
      <c r="FN32" s="986" t="str">
        <f>MONSPE(FJ28)</f>
        <v>#NAME?</v>
      </c>
      <c r="FO32" s="986" t="str">
        <f>MONBST(FJ28)</f>
        <v>#NAME?</v>
      </c>
      <c r="FP32" s="1987"/>
      <c r="FQ32" s="1230"/>
      <c r="FR32" s="1255" t="str">
        <f>image("https://archives.bulbagarden.net/media/upload/c/c2/490MS6.png", 3)</f>
        <v/>
      </c>
      <c r="FS32" s="2078" t="s">
        <v>10567</v>
      </c>
      <c r="FT32" s="12"/>
      <c r="FU32" s="12"/>
      <c r="FV32" s="12"/>
      <c r="FW32" s="12"/>
      <c r="FX32" s="12"/>
      <c r="FY32" s="48"/>
      <c r="FZ32" s="1230"/>
      <c r="GA32" s="2009" t="str">
        <f>ITEMICON(GB32)</f>
        <v>#NAME?</v>
      </c>
      <c r="GB32" s="2010" t="s">
        <v>3466</v>
      </c>
      <c r="GC32" s="967"/>
      <c r="GD32" s="1249"/>
      <c r="GE32" s="1092" t="s">
        <v>10339</v>
      </c>
      <c r="GF32" s="12"/>
      <c r="GG32" s="48"/>
      <c r="GH32" s="1992" t="s">
        <v>10568</v>
      </c>
      <c r="GI32" s="1230"/>
      <c r="GJ32" s="1155"/>
      <c r="GQ32" s="1154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  <c r="IW32" s="65"/>
      <c r="IX32" s="65"/>
      <c r="IY32" s="65"/>
      <c r="IZ32" s="65"/>
      <c r="JA32" s="65"/>
      <c r="JB32" s="65"/>
      <c r="JC32" s="65"/>
      <c r="JD32" s="1230"/>
    </row>
    <row r="33" ht="15.75" customHeight="1">
      <c r="A33" s="1238"/>
      <c r="B33" s="1947" t="s">
        <v>10569</v>
      </c>
      <c r="C33" s="138"/>
      <c r="D33" s="138"/>
      <c r="E33" s="138"/>
      <c r="F33" s="138"/>
      <c r="G33" s="138"/>
      <c r="H33" s="138"/>
      <c r="I33" s="138"/>
      <c r="J33" s="138"/>
      <c r="K33" s="128"/>
      <c r="L33" s="1230"/>
      <c r="M33" s="1860"/>
      <c r="N33" s="1032"/>
      <c r="O33" s="1032"/>
      <c r="P33" s="1032"/>
      <c r="Q33" s="1032"/>
      <c r="R33" s="1032"/>
      <c r="S33" s="1032"/>
      <c r="T33" s="30"/>
      <c r="U33" s="1230"/>
      <c r="V33" s="1989" t="s">
        <v>10570</v>
      </c>
      <c r="W33" s="984"/>
      <c r="X33" s="984"/>
      <c r="Y33" s="319"/>
      <c r="Z33" s="1230"/>
      <c r="AA33" s="1825" t="s">
        <v>10571</v>
      </c>
      <c r="AB33" s="976"/>
      <c r="AC33" s="976"/>
      <c r="AD33" s="976"/>
      <c r="AE33" s="976"/>
      <c r="AF33" s="976"/>
      <c r="AG33" s="954"/>
      <c r="AI33" s="1825" t="s">
        <v>10572</v>
      </c>
      <c r="AJ33" s="976"/>
      <c r="AK33" s="976"/>
      <c r="AL33" s="976"/>
      <c r="AM33" s="976"/>
      <c r="AN33" s="976"/>
      <c r="AO33" s="954"/>
      <c r="AP33" s="1230"/>
      <c r="AQ33" s="2009" t="str">
        <f>ITEMICON(AR33)</f>
        <v>#NAME?</v>
      </c>
      <c r="AR33" s="2010" t="s">
        <v>3466</v>
      </c>
      <c r="AS33" s="967"/>
      <c r="AT33" s="1249"/>
      <c r="AU33" s="1092" t="s">
        <v>10336</v>
      </c>
      <c r="AV33" s="12"/>
      <c r="AW33" s="48"/>
      <c r="AX33" s="1988"/>
      <c r="AY33" s="1230"/>
      <c r="BH33" s="1230"/>
      <c r="BI33" s="983" t="s">
        <v>1965</v>
      </c>
      <c r="BJ33" s="984"/>
      <c r="BK33" s="984"/>
      <c r="BL33" s="2020" t="str">
        <f t="shared" ref="BL33:BL36" si="217">MOVEICON(BI33)</f>
        <v>#NAME?</v>
      </c>
      <c r="BM33" s="979" t="str">
        <f t="shared" ref="BM33:BM36" si="218">MOVEBP(BI33)</f>
        <v>#NAME?</v>
      </c>
      <c r="BN33" s="2021" t="str">
        <f t="shared" ref="BN33:BN36" si="219">MOVEACC(BI33)</f>
        <v>#NAME?</v>
      </c>
      <c r="BO33" s="979" t="str">
        <f t="shared" ref="BO33:BO36" si="220">MOVEPP(BI33)</f>
        <v>#NAME?</v>
      </c>
      <c r="BP33" s="1984"/>
      <c r="BQ33" s="1230"/>
      <c r="BR33" s="1230"/>
      <c r="BS33" s="1230"/>
      <c r="BT33" s="1230"/>
      <c r="BU33" s="1230"/>
      <c r="BV33" s="1230"/>
      <c r="BW33" s="1230"/>
      <c r="BX33" s="1230"/>
      <c r="BY33" s="1230"/>
      <c r="BZ33" s="1230"/>
      <c r="DO33" s="1230"/>
      <c r="DP33" s="983" t="s">
        <v>2308</v>
      </c>
      <c r="DQ33" s="984"/>
      <c r="DR33" s="984"/>
      <c r="DS33" s="2020" t="str">
        <f t="shared" ref="DS33:DS36" si="221">MOVEICON(DP33)</f>
        <v>#NAME?</v>
      </c>
      <c r="DT33" s="979" t="str">
        <f t="shared" ref="DT33:DT36" si="222">MOVEBP(DP33)</f>
        <v>#NAME?</v>
      </c>
      <c r="DU33" s="2021" t="str">
        <f t="shared" ref="DU33:DU36" si="223">MOVEACC(DP33)</f>
        <v>#NAME?</v>
      </c>
      <c r="DV33" s="979" t="str">
        <f t="shared" ref="DV33:DV36" si="224">MOVEPP(DP33)</f>
        <v>#NAME?</v>
      </c>
      <c r="DW33" s="1988"/>
      <c r="DX33" s="1230"/>
      <c r="EG33" s="1230"/>
      <c r="EH33" s="2009" t="str">
        <f>ITEMICON(EI33)</f>
        <v>#NAME?</v>
      </c>
      <c r="EI33" s="2010" t="s">
        <v>3466</v>
      </c>
      <c r="EJ33" s="967"/>
      <c r="EK33" s="1249"/>
      <c r="EL33" s="1092" t="s">
        <v>10336</v>
      </c>
      <c r="EM33" s="12"/>
      <c r="EN33" s="48"/>
      <c r="EO33" s="1992" t="s">
        <v>10573</v>
      </c>
      <c r="EP33" s="1230"/>
      <c r="EQ33" s="1230"/>
      <c r="ER33" s="1230"/>
      <c r="ES33" s="1230"/>
      <c r="ET33" s="1230"/>
      <c r="EU33" s="1230"/>
      <c r="EV33" s="1230"/>
      <c r="EW33" s="1230"/>
      <c r="EX33" s="1230"/>
      <c r="EY33" s="1230"/>
      <c r="EZ33" s="983" t="s">
        <v>2541</v>
      </c>
      <c r="FA33" s="984"/>
      <c r="FB33" s="984"/>
      <c r="FC33" s="2020" t="str">
        <f t="shared" ref="FC33:FC36" si="225">MOVEICON(EZ33)</f>
        <v>#NAME?</v>
      </c>
      <c r="FD33" s="979" t="str">
        <f t="shared" ref="FD33:FD36" si="226">MOVEBP(EZ33)</f>
        <v>#NAME?</v>
      </c>
      <c r="FE33" s="2021" t="str">
        <f t="shared" ref="FE33:FE36" si="227">MOVEACC(EZ33)</f>
        <v>#NAME?</v>
      </c>
      <c r="FF33" s="979" t="str">
        <f t="shared" ref="FF33:FF36" si="228">MOVEPP(EZ33)</f>
        <v>#NAME?</v>
      </c>
      <c r="FG33" s="2016"/>
      <c r="FH33" s="1230"/>
      <c r="FI33" s="2009" t="str">
        <f>ITEMICON(FJ33)</f>
        <v>#NAME?</v>
      </c>
      <c r="FJ33" s="2010" t="s">
        <v>389</v>
      </c>
      <c r="FK33" s="967"/>
      <c r="FL33" s="1249"/>
      <c r="FM33" s="1092" t="s">
        <v>10336</v>
      </c>
      <c r="FN33" s="12"/>
      <c r="FO33" s="48"/>
      <c r="FP33" s="1998"/>
      <c r="FQ33" s="1230"/>
      <c r="FR33" s="2090" t="s">
        <v>10574</v>
      </c>
      <c r="FS33" s="959"/>
      <c r="FT33" s="959"/>
      <c r="FU33" s="959"/>
      <c r="FV33" s="959"/>
      <c r="FW33" s="959"/>
      <c r="FX33" s="959"/>
      <c r="FY33" s="960"/>
      <c r="FZ33" s="1230"/>
      <c r="GA33" s="10" t="s">
        <v>4395</v>
      </c>
      <c r="GB33" s="1049" t="str">
        <f>MONABILITY(GB27)</f>
        <v>#NAME?</v>
      </c>
      <c r="GC33" s="1026"/>
      <c r="GD33" s="1026"/>
      <c r="GE33" s="2014" t="str">
        <f>MONABILITY2(GB27)</f>
        <v>#NAME?</v>
      </c>
      <c r="GG33" s="2015"/>
      <c r="GH33" s="1987"/>
      <c r="GI33" s="1230"/>
      <c r="GJ33" s="1860"/>
      <c r="GK33" s="1032"/>
      <c r="GL33" s="1032"/>
      <c r="GM33" s="1032"/>
      <c r="GN33" s="1032"/>
      <c r="GO33" s="1032"/>
      <c r="GP33" s="1032"/>
      <c r="GQ33" s="30"/>
      <c r="GS33" s="1230"/>
      <c r="GT33" s="1230"/>
      <c r="GU33" s="1230"/>
      <c r="GV33" s="1230"/>
      <c r="GW33" s="1230"/>
      <c r="GX33" s="1230"/>
      <c r="GY33" s="1230"/>
      <c r="GZ33" s="1230"/>
      <c r="HA33" s="1230"/>
      <c r="HB33" s="1230"/>
      <c r="HC33" s="1230"/>
      <c r="HD33" s="1230"/>
      <c r="HE33" s="1230"/>
      <c r="HF33" s="1230"/>
      <c r="HG33" s="1230"/>
      <c r="HH33" s="1230"/>
      <c r="HI33" s="1230"/>
      <c r="HJ33" s="1230"/>
      <c r="HK33" s="1230"/>
      <c r="HL33" s="1230"/>
      <c r="HM33" s="1230"/>
      <c r="HN33" s="1230"/>
      <c r="HO33" s="1230"/>
      <c r="HP33" s="1230"/>
      <c r="HQ33" s="1230"/>
      <c r="HR33" s="1230"/>
      <c r="HS33" s="1230"/>
      <c r="HT33" s="1230"/>
      <c r="HU33" s="1230"/>
      <c r="HV33" s="1230"/>
      <c r="HW33" s="1230"/>
      <c r="HX33" s="1230"/>
      <c r="HY33" s="1230"/>
      <c r="HZ33" s="1230"/>
      <c r="IA33" s="1230"/>
      <c r="IB33" s="1230"/>
      <c r="IC33" s="1230"/>
      <c r="ID33" s="1230"/>
      <c r="IE33" s="1230"/>
      <c r="IF33" s="1230"/>
      <c r="IG33" s="1230"/>
      <c r="IH33" s="1230"/>
      <c r="II33" s="1230"/>
      <c r="IJ33" s="1230"/>
      <c r="IK33" s="1230"/>
      <c r="IL33" s="1230"/>
      <c r="IM33" s="1230"/>
      <c r="IN33" s="1230"/>
      <c r="IO33" s="1230"/>
      <c r="IP33" s="1230"/>
      <c r="IQ33" s="1230"/>
      <c r="IR33" s="1230"/>
      <c r="IS33" s="1230"/>
      <c r="IT33" s="1230"/>
      <c r="IU33" s="1230"/>
      <c r="IV33" s="1230"/>
      <c r="IW33" s="1230"/>
      <c r="IX33" s="1230"/>
      <c r="IY33" s="1230"/>
      <c r="IZ33" s="1230"/>
      <c r="JA33" s="1230"/>
      <c r="JB33" s="1230"/>
      <c r="JC33" s="1230"/>
      <c r="JD33" s="1230"/>
    </row>
    <row r="34" ht="15.75" customHeight="1">
      <c r="A34" s="1238"/>
      <c r="B34" s="2025" t="s">
        <v>10365</v>
      </c>
      <c r="C34" s="1150"/>
      <c r="D34" s="1150"/>
      <c r="E34" s="1150"/>
      <c r="F34" s="1150"/>
      <c r="G34" s="1150"/>
      <c r="H34" s="1150"/>
      <c r="I34" s="1150"/>
      <c r="J34" s="1150"/>
      <c r="K34" s="1151"/>
      <c r="L34" s="1230"/>
      <c r="M34" s="1911" t="s">
        <v>10575</v>
      </c>
      <c r="N34" s="138"/>
      <c r="O34" s="138"/>
      <c r="P34" s="138"/>
      <c r="Q34" s="138"/>
      <c r="R34" s="138"/>
      <c r="S34" s="138"/>
      <c r="T34" s="128"/>
      <c r="U34" s="1230"/>
      <c r="V34" s="2025" t="s">
        <v>10576</v>
      </c>
      <c r="W34" s="1150"/>
      <c r="X34" s="1150"/>
      <c r="Y34" s="1151"/>
      <c r="Z34" s="1230"/>
      <c r="AA34" s="1860"/>
      <c r="AB34" s="1032"/>
      <c r="AC34" s="1032"/>
      <c r="AD34" s="1032"/>
      <c r="AE34" s="1032"/>
      <c r="AF34" s="1032"/>
      <c r="AG34" s="30"/>
      <c r="AI34" s="1860"/>
      <c r="AJ34" s="1032"/>
      <c r="AK34" s="1032"/>
      <c r="AL34" s="1032"/>
      <c r="AM34" s="1032"/>
      <c r="AN34" s="1032"/>
      <c r="AO34" s="30"/>
      <c r="AP34" s="1230"/>
      <c r="AQ34" s="10" t="s">
        <v>4395</v>
      </c>
      <c r="AR34" s="1049" t="str">
        <f>MONABILITY(AR28)</f>
        <v>#NAME?</v>
      </c>
      <c r="AS34" s="1026"/>
      <c r="AT34" s="1026"/>
      <c r="AU34" s="2014" t="str">
        <f>MONABILITY2(AR28)</f>
        <v>#NAME?</v>
      </c>
      <c r="AW34" s="2015"/>
      <c r="AX34" s="2068" t="s">
        <v>10577</v>
      </c>
      <c r="AY34" s="1230"/>
      <c r="BH34" s="1230"/>
      <c r="BI34" s="1096" t="s">
        <v>2008</v>
      </c>
      <c r="BJ34" s="138"/>
      <c r="BK34" s="138"/>
      <c r="BL34" s="2028" t="str">
        <f t="shared" si="217"/>
        <v>#NAME?</v>
      </c>
      <c r="BM34" s="1014" t="str">
        <f t="shared" si="218"/>
        <v>#NAME?</v>
      </c>
      <c r="BN34" s="2029" t="str">
        <f t="shared" si="219"/>
        <v>#NAME?</v>
      </c>
      <c r="BO34" s="1014" t="str">
        <f t="shared" si="220"/>
        <v>#NAME?</v>
      </c>
      <c r="BP34" s="2013"/>
      <c r="BQ34" s="1230"/>
      <c r="BR34" s="1230"/>
      <c r="BS34" s="1230"/>
      <c r="BT34" s="1230"/>
      <c r="BU34" s="1230"/>
      <c r="BV34" s="1230"/>
      <c r="BW34" s="1230"/>
      <c r="BX34" s="1230"/>
      <c r="BY34" s="1230"/>
      <c r="BZ34" s="1230"/>
      <c r="DO34" s="1230"/>
      <c r="DP34" s="1096" t="s">
        <v>1745</v>
      </c>
      <c r="DQ34" s="138"/>
      <c r="DR34" s="138"/>
      <c r="DS34" s="2028" t="str">
        <f t="shared" si="221"/>
        <v>#NAME?</v>
      </c>
      <c r="DT34" s="1014" t="str">
        <f t="shared" si="222"/>
        <v>#NAME?</v>
      </c>
      <c r="DU34" s="2029" t="str">
        <f t="shared" si="223"/>
        <v>#NAME?</v>
      </c>
      <c r="DV34" s="1014" t="str">
        <f t="shared" si="224"/>
        <v>#NAME?</v>
      </c>
      <c r="DW34" s="1992" t="s">
        <v>10578</v>
      </c>
      <c r="DX34" s="1230"/>
      <c r="EG34" s="1230"/>
      <c r="EH34" s="10" t="s">
        <v>4395</v>
      </c>
      <c r="EI34" s="1049" t="str">
        <f>MONABILITY(EI28)</f>
        <v>#NAME?</v>
      </c>
      <c r="EJ34" s="1026"/>
      <c r="EK34" s="1026"/>
      <c r="EL34" s="2014" t="str">
        <f>MONABILITY2(EI28)</f>
        <v>#NAME?</v>
      </c>
      <c r="EN34" s="2015"/>
      <c r="EO34" s="1987"/>
      <c r="EP34" s="1230"/>
      <c r="EQ34" s="1230"/>
      <c r="ER34" s="1230"/>
      <c r="ES34" s="1230"/>
      <c r="ET34" s="1230"/>
      <c r="EU34" s="1230"/>
      <c r="EV34" s="1230"/>
      <c r="EW34" s="1230"/>
      <c r="EX34" s="1230"/>
      <c r="EY34" s="1230"/>
      <c r="EZ34" s="1096" t="s">
        <v>3815</v>
      </c>
      <c r="FA34" s="138"/>
      <c r="FB34" s="138"/>
      <c r="FC34" s="2028" t="str">
        <f t="shared" si="225"/>
        <v>#NAME?</v>
      </c>
      <c r="FD34" s="1014" t="str">
        <f t="shared" si="226"/>
        <v>#NAME?</v>
      </c>
      <c r="FE34" s="2029" t="str">
        <f t="shared" si="227"/>
        <v>#NAME?</v>
      </c>
      <c r="FF34" s="1014" t="str">
        <f t="shared" si="228"/>
        <v>#NAME?</v>
      </c>
      <c r="FG34" s="1984"/>
      <c r="FH34" s="1230"/>
      <c r="FI34" s="10" t="s">
        <v>4395</v>
      </c>
      <c r="FJ34" s="1049" t="str">
        <f>MONABILITY(FJ28)</f>
        <v>#NAME?</v>
      </c>
      <c r="FK34" s="1026"/>
      <c r="FL34" s="1026"/>
      <c r="FM34" s="2014" t="str">
        <f>MONABILITY2(FJ28)</f>
        <v>#NAME?</v>
      </c>
      <c r="FO34" s="2015"/>
      <c r="FP34" s="1992" t="s">
        <v>10579</v>
      </c>
      <c r="FQ34" s="1230"/>
      <c r="FR34" s="2062" t="s">
        <v>10404</v>
      </c>
      <c r="FS34" s="413"/>
      <c r="FT34" s="413"/>
      <c r="FU34" s="413"/>
      <c r="FV34" s="413"/>
      <c r="FW34" s="413"/>
      <c r="FX34" s="413"/>
      <c r="FY34" s="414"/>
      <c r="FZ34" s="1230"/>
      <c r="GA34" s="983" t="s">
        <v>2901</v>
      </c>
      <c r="GB34" s="984"/>
      <c r="GC34" s="984"/>
      <c r="GD34" s="2020" t="str">
        <f t="shared" ref="GD34:GD37" si="229">MOVEICON(GA34)</f>
        <v>#NAME?</v>
      </c>
      <c r="GE34" s="979" t="str">
        <f t="shared" ref="GE34:GE37" si="230">MOVEBP(GA34)</f>
        <v>#NAME?</v>
      </c>
      <c r="GF34" s="2021" t="str">
        <f t="shared" ref="GF34:GF37" si="231">MOVEACC(GA34)</f>
        <v>#NAME?</v>
      </c>
      <c r="GG34" s="979" t="str">
        <f t="shared" ref="GG34:GG37" si="232">MOVEPP(GA34)</f>
        <v>#NAME?</v>
      </c>
      <c r="GH34" s="1985" t="s">
        <v>10580</v>
      </c>
      <c r="GI34" s="1230"/>
      <c r="GJ34" s="1956" t="s">
        <v>10581</v>
      </c>
      <c r="GK34" s="1150"/>
      <c r="GL34" s="1150"/>
      <c r="GM34" s="1150"/>
      <c r="GN34" s="1150"/>
      <c r="GO34" s="1150"/>
      <c r="GP34" s="1150"/>
      <c r="GQ34" s="1151"/>
      <c r="GS34" s="1230"/>
      <c r="GT34" s="1230"/>
      <c r="GU34" s="1230"/>
      <c r="GV34" s="1230"/>
      <c r="GW34" s="1230"/>
      <c r="GX34" s="1230"/>
      <c r="GY34" s="1230"/>
      <c r="GZ34" s="1230"/>
      <c r="HA34" s="1230"/>
      <c r="HB34" s="1230"/>
      <c r="HC34" s="1230"/>
      <c r="HD34" s="1230"/>
      <c r="HE34" s="1230"/>
      <c r="HF34" s="1230"/>
      <c r="HG34" s="1230"/>
      <c r="HH34" s="1230"/>
      <c r="HI34" s="1230"/>
      <c r="HJ34" s="1230"/>
      <c r="HK34" s="1230"/>
      <c r="HL34" s="1230"/>
      <c r="HM34" s="1230"/>
      <c r="HN34" s="1230"/>
      <c r="HO34" s="1230"/>
      <c r="HP34" s="1230"/>
      <c r="HQ34" s="1230"/>
      <c r="HR34" s="1230"/>
      <c r="HS34" s="1230"/>
      <c r="HT34" s="1230"/>
      <c r="HU34" s="1230"/>
      <c r="HV34" s="1230"/>
      <c r="HW34" s="1230"/>
      <c r="HX34" s="1230"/>
      <c r="HY34" s="1230"/>
      <c r="HZ34" s="1230"/>
      <c r="IA34" s="1230"/>
      <c r="IB34" s="1230"/>
      <c r="IC34" s="1230"/>
      <c r="ID34" s="1230"/>
      <c r="IE34" s="1230"/>
      <c r="IF34" s="1230"/>
      <c r="IG34" s="1230"/>
      <c r="IH34" s="1230"/>
      <c r="II34" s="1230"/>
      <c r="IJ34" s="1230"/>
      <c r="IK34" s="1230"/>
      <c r="IL34" s="1230"/>
      <c r="IM34" s="1230"/>
      <c r="IN34" s="1230"/>
      <c r="IO34" s="1230"/>
      <c r="IP34" s="1230"/>
      <c r="IQ34" s="1230"/>
      <c r="IR34" s="1230"/>
      <c r="IS34" s="1230"/>
      <c r="IT34" s="1230"/>
      <c r="IU34" s="1230"/>
      <c r="IV34" s="1230"/>
      <c r="IW34" s="1230"/>
      <c r="IX34" s="1230"/>
      <c r="IY34" s="1230"/>
      <c r="IZ34" s="1230"/>
      <c r="JA34" s="1230"/>
      <c r="JB34" s="1230"/>
      <c r="JC34" s="1230"/>
      <c r="JD34" s="1230"/>
    </row>
    <row r="35" ht="15.75" customHeight="1">
      <c r="A35" s="1238"/>
      <c r="B35" s="997"/>
      <c r="C35" s="1026"/>
      <c r="D35" s="1026"/>
      <c r="E35" s="1026"/>
      <c r="F35" s="1026"/>
      <c r="G35" s="1026"/>
      <c r="H35" s="1026"/>
      <c r="I35" s="1026"/>
      <c r="J35" s="1026"/>
      <c r="K35" s="998"/>
      <c r="L35" s="1230"/>
      <c r="M35" s="1956" t="s">
        <v>10582</v>
      </c>
      <c r="N35" s="1150"/>
      <c r="O35" s="1150"/>
      <c r="P35" s="1150"/>
      <c r="Q35" s="1150"/>
      <c r="R35" s="1150"/>
      <c r="S35" s="1150"/>
      <c r="T35" s="1151"/>
      <c r="U35" s="1230"/>
      <c r="V35" s="1860"/>
      <c r="W35" s="1032"/>
      <c r="X35" s="1032"/>
      <c r="Y35" s="30"/>
      <c r="Z35" s="1230"/>
      <c r="AA35" s="1905" t="s">
        <v>10583</v>
      </c>
      <c r="AB35" s="1150"/>
      <c r="AC35" s="1150"/>
      <c r="AD35" s="1150"/>
      <c r="AE35" s="1150"/>
      <c r="AF35" s="1150"/>
      <c r="AG35" s="1151"/>
      <c r="AI35" s="1905" t="s">
        <v>10584</v>
      </c>
      <c r="AJ35" s="1150"/>
      <c r="AK35" s="1150"/>
      <c r="AL35" s="1150"/>
      <c r="AM35" s="1150"/>
      <c r="AN35" s="1150"/>
      <c r="AO35" s="1151"/>
      <c r="AP35" s="1230"/>
      <c r="AQ35" s="983" t="s">
        <v>2500</v>
      </c>
      <c r="AR35" s="984"/>
      <c r="AS35" s="984"/>
      <c r="AT35" s="2020" t="str">
        <f t="shared" ref="AT35:AT38" si="233">MOVEICON(AQ35)</f>
        <v>#NAME?</v>
      </c>
      <c r="AU35" s="979" t="str">
        <f t="shared" ref="AU35:AU38" si="234">MOVEBP(AQ35)</f>
        <v>#NAME?</v>
      </c>
      <c r="AV35" s="2021" t="str">
        <f t="shared" ref="AV35:AV38" si="235">MOVEACC(AQ35)</f>
        <v>#NAME?</v>
      </c>
      <c r="AW35" s="979" t="str">
        <f t="shared" ref="AW35:AW38" si="236">MOVEPP(AQ35)</f>
        <v>#NAME?</v>
      </c>
      <c r="AX35" s="2016" t="s">
        <v>10585</v>
      </c>
      <c r="AY35" s="1230"/>
      <c r="BH35" s="1230"/>
      <c r="BI35" s="1096" t="s">
        <v>2975</v>
      </c>
      <c r="BJ35" s="138"/>
      <c r="BK35" s="138"/>
      <c r="BL35" s="2028" t="str">
        <f t="shared" si="217"/>
        <v>#NAME?</v>
      </c>
      <c r="BM35" s="1014" t="str">
        <f t="shared" si="218"/>
        <v>#NAME?</v>
      </c>
      <c r="BN35" s="2029" t="str">
        <f t="shared" si="219"/>
        <v>#NAME?</v>
      </c>
      <c r="BO35" s="1014" t="str">
        <f t="shared" si="220"/>
        <v>#NAME?</v>
      </c>
      <c r="BP35" s="1984"/>
      <c r="BQ35" s="1230"/>
      <c r="BR35" s="1230"/>
      <c r="BS35" s="1230"/>
      <c r="BT35" s="1230"/>
      <c r="BU35" s="1230"/>
      <c r="BV35" s="1230"/>
      <c r="BW35" s="1230"/>
      <c r="BX35" s="1230"/>
      <c r="BY35" s="1230"/>
      <c r="BZ35" s="1230"/>
      <c r="DO35" s="1230"/>
      <c r="DP35" s="1096" t="s">
        <v>2214</v>
      </c>
      <c r="DQ35" s="138"/>
      <c r="DR35" s="138"/>
      <c r="DS35" s="2028" t="str">
        <f t="shared" si="221"/>
        <v>#NAME?</v>
      </c>
      <c r="DT35" s="1014" t="str">
        <f t="shared" si="222"/>
        <v>#NAME?</v>
      </c>
      <c r="DU35" s="2029" t="str">
        <f t="shared" si="223"/>
        <v>#NAME?</v>
      </c>
      <c r="DV35" s="1014" t="str">
        <f t="shared" si="224"/>
        <v>#NAME?</v>
      </c>
      <c r="DW35" s="1988"/>
      <c r="DX35" s="1230"/>
      <c r="EG35" s="1230"/>
      <c r="EH35" s="983" t="s">
        <v>2813</v>
      </c>
      <c r="EI35" s="984"/>
      <c r="EJ35" s="984"/>
      <c r="EK35" s="2020" t="str">
        <f t="shared" ref="EK35:EK38" si="237">MOVEICON(EH35)</f>
        <v>#NAME?</v>
      </c>
      <c r="EL35" s="979" t="str">
        <f t="shared" ref="EL35:EL38" si="238">MOVEBP(EH35)</f>
        <v>#NAME?</v>
      </c>
      <c r="EM35" s="2021" t="str">
        <f t="shared" ref="EM35:EM38" si="239">MOVEACC(EH35)</f>
        <v>#NAME?</v>
      </c>
      <c r="EN35" s="979" t="str">
        <f t="shared" ref="EN35:EN38" si="240">MOVEPP(EH35)</f>
        <v>#NAME?</v>
      </c>
      <c r="EO35" s="1987"/>
      <c r="EP35" s="1230"/>
      <c r="EQ35" s="1230"/>
      <c r="ER35" s="1230"/>
      <c r="ES35" s="1230"/>
      <c r="ET35" s="1230"/>
      <c r="EU35" s="1230"/>
      <c r="EV35" s="1230"/>
      <c r="EW35" s="1230"/>
      <c r="EX35" s="1230"/>
      <c r="EY35" s="1230"/>
      <c r="EZ35" s="1096" t="s">
        <v>3675</v>
      </c>
      <c r="FA35" s="138"/>
      <c r="FB35" s="138"/>
      <c r="FC35" s="2028" t="str">
        <f t="shared" si="225"/>
        <v>#NAME?</v>
      </c>
      <c r="FD35" s="1014" t="str">
        <f t="shared" si="226"/>
        <v>#NAME?</v>
      </c>
      <c r="FE35" s="2029" t="str">
        <f t="shared" si="227"/>
        <v>#NAME?</v>
      </c>
      <c r="FF35" s="1014" t="str">
        <f t="shared" si="228"/>
        <v>#NAME?</v>
      </c>
      <c r="FG35" s="2016"/>
      <c r="FH35" s="1230"/>
      <c r="FI35" s="983" t="s">
        <v>1569</v>
      </c>
      <c r="FJ35" s="984"/>
      <c r="FK35" s="984"/>
      <c r="FL35" s="2020" t="str">
        <f t="shared" ref="FL35:FL38" si="241">MOVEICON(FI35)</f>
        <v>#NAME?</v>
      </c>
      <c r="FM35" s="979" t="str">
        <f t="shared" ref="FM35:FM38" si="242">MOVEBP(FI35)</f>
        <v>#NAME?</v>
      </c>
      <c r="FN35" s="2021" t="str">
        <f t="shared" ref="FN35:FN38" si="243">MOVEACC(FI35)</f>
        <v>#NAME?</v>
      </c>
      <c r="FO35" s="979" t="str">
        <f t="shared" ref="FO35:FO38" si="244">MOVEPP(FI35)</f>
        <v>#NAME?</v>
      </c>
      <c r="FP35" s="1987"/>
      <c r="FQ35" s="1230"/>
      <c r="FR35" s="2086" t="s">
        <v>10586</v>
      </c>
      <c r="FY35" s="1154"/>
      <c r="FZ35" s="1230"/>
      <c r="GA35" s="1096" t="s">
        <v>4223</v>
      </c>
      <c r="GB35" s="138"/>
      <c r="GC35" s="138"/>
      <c r="GD35" s="2028" t="str">
        <f t="shared" si="229"/>
        <v>#NAME?</v>
      </c>
      <c r="GE35" s="1014" t="str">
        <f t="shared" si="230"/>
        <v>#NAME?</v>
      </c>
      <c r="GF35" s="2029" t="str">
        <f t="shared" si="231"/>
        <v>#NAME?</v>
      </c>
      <c r="GG35" s="1014" t="str">
        <f t="shared" si="232"/>
        <v>#NAME?</v>
      </c>
      <c r="GH35" s="1998"/>
      <c r="GI35" s="1230"/>
      <c r="GJ35" s="1860"/>
      <c r="GK35" s="1032"/>
      <c r="GL35" s="1032"/>
      <c r="GM35" s="1032"/>
      <c r="GN35" s="1032"/>
      <c r="GO35" s="1032"/>
      <c r="GP35" s="1032"/>
      <c r="GQ35" s="30"/>
      <c r="GS35" s="1230"/>
      <c r="GT35" s="1230"/>
      <c r="GU35" s="1230"/>
      <c r="GV35" s="1230"/>
      <c r="GW35" s="1230"/>
      <c r="GX35" s="1230"/>
      <c r="GY35" s="1230"/>
      <c r="GZ35" s="1230"/>
      <c r="HA35" s="1230"/>
      <c r="HB35" s="1230"/>
      <c r="HC35" s="1230"/>
      <c r="HD35" s="1230"/>
      <c r="HE35" s="1230"/>
      <c r="HF35" s="1230"/>
      <c r="HG35" s="1230"/>
      <c r="HH35" s="1230"/>
      <c r="HI35" s="1230"/>
      <c r="HJ35" s="1230"/>
      <c r="HK35" s="1230"/>
      <c r="HL35" s="1230"/>
      <c r="HM35" s="1230"/>
      <c r="HN35" s="1230"/>
      <c r="HO35" s="1230"/>
      <c r="HP35" s="1230"/>
      <c r="HQ35" s="1230"/>
      <c r="HR35" s="1230"/>
      <c r="HS35" s="1230"/>
      <c r="HT35" s="1230"/>
      <c r="HU35" s="1230"/>
      <c r="HV35" s="1230"/>
      <c r="HW35" s="1230"/>
      <c r="HX35" s="1230"/>
      <c r="HY35" s="1230"/>
      <c r="HZ35" s="1230"/>
      <c r="IA35" s="1230"/>
      <c r="IB35" s="1230"/>
      <c r="IC35" s="1230"/>
      <c r="ID35" s="1230"/>
      <c r="IE35" s="1230"/>
      <c r="IF35" s="1230"/>
      <c r="IG35" s="1230"/>
      <c r="IH35" s="1230"/>
      <c r="II35" s="1230"/>
      <c r="IJ35" s="1230"/>
      <c r="IK35" s="1230"/>
      <c r="IL35" s="1230"/>
      <c r="IM35" s="1230"/>
      <c r="IN35" s="1230"/>
      <c r="IO35" s="1230"/>
      <c r="IP35" s="1230"/>
      <c r="IQ35" s="1230"/>
      <c r="IR35" s="1230"/>
      <c r="IS35" s="1230"/>
      <c r="IT35" s="1230"/>
      <c r="IU35" s="1230"/>
      <c r="IV35" s="1230"/>
      <c r="IW35" s="1230"/>
      <c r="IX35" s="1230"/>
      <c r="IY35" s="1230"/>
      <c r="IZ35" s="1230"/>
      <c r="JA35" s="1230"/>
      <c r="JB35" s="1230"/>
      <c r="JC35" s="1230"/>
      <c r="JD35" s="1230"/>
    </row>
    <row r="36" ht="15.75" customHeight="1">
      <c r="A36" s="1238"/>
      <c r="B36" s="1230"/>
      <c r="C36" s="1230"/>
      <c r="D36" s="1230"/>
      <c r="E36" s="1230"/>
      <c r="F36" s="1230"/>
      <c r="G36" s="1230"/>
      <c r="H36" s="1230"/>
      <c r="I36" s="1230"/>
      <c r="J36" s="1230"/>
      <c r="K36" s="1230"/>
      <c r="L36" s="1230"/>
      <c r="M36" s="1860"/>
      <c r="N36" s="1032"/>
      <c r="O36" s="1032"/>
      <c r="P36" s="1032"/>
      <c r="Q36" s="1032"/>
      <c r="R36" s="1032"/>
      <c r="S36" s="1032"/>
      <c r="T36" s="30"/>
      <c r="U36" s="1230"/>
      <c r="V36" s="1956" t="s">
        <v>10587</v>
      </c>
      <c r="W36" s="1150"/>
      <c r="X36" s="1150"/>
      <c r="Y36" s="1151"/>
      <c r="Z36" s="1230"/>
      <c r="AA36" s="1016"/>
      <c r="AB36" s="1019"/>
      <c r="AC36" s="1019"/>
      <c r="AD36" s="1019"/>
      <c r="AE36" s="1019"/>
      <c r="AF36" s="1019"/>
      <c r="AG36" s="1020"/>
      <c r="AI36" s="997"/>
      <c r="AJ36" s="1026"/>
      <c r="AK36" s="1026"/>
      <c r="AL36" s="1026"/>
      <c r="AM36" s="1026"/>
      <c r="AN36" s="1026"/>
      <c r="AO36" s="998"/>
      <c r="AP36" s="1230"/>
      <c r="AQ36" s="2091" t="s">
        <v>2767</v>
      </c>
      <c r="AR36" s="138"/>
      <c r="AS36" s="1057"/>
      <c r="AT36" s="2028" t="str">
        <f t="shared" si="233"/>
        <v>#NAME?</v>
      </c>
      <c r="AU36" s="1014" t="str">
        <f t="shared" si="234"/>
        <v>#NAME?</v>
      </c>
      <c r="AV36" s="2029" t="str">
        <f t="shared" si="235"/>
        <v>#NAME?</v>
      </c>
      <c r="AW36" s="1014" t="str">
        <f t="shared" si="236"/>
        <v>#NAME?</v>
      </c>
      <c r="AX36" s="1984"/>
      <c r="AY36" s="1230"/>
      <c r="BH36" s="1230"/>
      <c r="BI36" s="1094" t="s">
        <v>2299</v>
      </c>
      <c r="BJ36" s="413"/>
      <c r="BK36" s="413"/>
      <c r="BL36" s="2032" t="str">
        <f t="shared" si="217"/>
        <v>#NAME?</v>
      </c>
      <c r="BM36" s="1130" t="str">
        <f t="shared" si="218"/>
        <v>#NAME?</v>
      </c>
      <c r="BN36" s="2033" t="str">
        <f t="shared" si="219"/>
        <v>#NAME?</v>
      </c>
      <c r="BO36" s="1130" t="str">
        <f t="shared" si="220"/>
        <v>#NAME?</v>
      </c>
      <c r="BP36" s="2035"/>
      <c r="BQ36" s="1230"/>
      <c r="BR36" s="1230"/>
      <c r="BS36" s="1230"/>
      <c r="BT36" s="1230"/>
      <c r="BU36" s="1230"/>
      <c r="BV36" s="1230"/>
      <c r="BW36" s="1230"/>
      <c r="BX36" s="1230"/>
      <c r="BY36" s="1230"/>
      <c r="BZ36" s="1230"/>
      <c r="DO36" s="1230"/>
      <c r="DP36" s="1094" t="s">
        <v>1011</v>
      </c>
      <c r="DQ36" s="413"/>
      <c r="DR36" s="413"/>
      <c r="DS36" s="2032" t="str">
        <f t="shared" si="221"/>
        <v>#NAME?</v>
      </c>
      <c r="DT36" s="1130" t="str">
        <f t="shared" si="222"/>
        <v>#NAME?</v>
      </c>
      <c r="DU36" s="2033" t="str">
        <f t="shared" si="223"/>
        <v>#NAME?</v>
      </c>
      <c r="DV36" s="1130" t="str">
        <f t="shared" si="224"/>
        <v>#NAME?</v>
      </c>
      <c r="DW36" s="2044"/>
      <c r="DX36" s="1230"/>
      <c r="EG36" s="1230"/>
      <c r="EH36" s="1096" t="s">
        <v>567</v>
      </c>
      <c r="EI36" s="138"/>
      <c r="EJ36" s="138"/>
      <c r="EK36" s="2028" t="str">
        <f t="shared" si="237"/>
        <v>#NAME?</v>
      </c>
      <c r="EL36" s="1014" t="str">
        <f t="shared" si="238"/>
        <v>#NAME?</v>
      </c>
      <c r="EM36" s="2029" t="str">
        <f t="shared" si="239"/>
        <v>#NAME?</v>
      </c>
      <c r="EN36" s="1014" t="str">
        <f t="shared" si="240"/>
        <v>#NAME?</v>
      </c>
      <c r="EO36" s="1995" t="s">
        <v>10588</v>
      </c>
      <c r="EP36" s="1230"/>
      <c r="EQ36" s="1230"/>
      <c r="ER36" s="1230"/>
      <c r="ES36" s="1230"/>
      <c r="ET36" s="1230"/>
      <c r="EU36" s="1230"/>
      <c r="EV36" s="1230"/>
      <c r="EW36" s="1230"/>
      <c r="EX36" s="1230"/>
      <c r="EY36" s="1230"/>
      <c r="EZ36" s="1094" t="s">
        <v>2183</v>
      </c>
      <c r="FA36" s="413"/>
      <c r="FB36" s="413"/>
      <c r="FC36" s="2032" t="str">
        <f t="shared" si="225"/>
        <v>#NAME?</v>
      </c>
      <c r="FD36" s="1130" t="str">
        <f t="shared" si="226"/>
        <v>#NAME?</v>
      </c>
      <c r="FE36" s="2033" t="str">
        <f t="shared" si="227"/>
        <v>#NAME?</v>
      </c>
      <c r="FF36" s="1130" t="str">
        <f t="shared" si="228"/>
        <v>#NAME?</v>
      </c>
      <c r="FG36" s="2047"/>
      <c r="FH36" s="1230"/>
      <c r="FI36" s="1096" t="s">
        <v>2121</v>
      </c>
      <c r="FJ36" s="138"/>
      <c r="FK36" s="138"/>
      <c r="FL36" s="2028" t="str">
        <f t="shared" si="241"/>
        <v>#NAME?</v>
      </c>
      <c r="FM36" s="1014" t="str">
        <f t="shared" si="242"/>
        <v>#NAME?</v>
      </c>
      <c r="FN36" s="2029" t="str">
        <f t="shared" si="243"/>
        <v>#NAME?</v>
      </c>
      <c r="FO36" s="1014" t="str">
        <f t="shared" si="244"/>
        <v>#NAME?</v>
      </c>
      <c r="FP36" s="1988"/>
      <c r="FQ36" s="1230"/>
      <c r="FR36" s="2062" t="s">
        <v>10589</v>
      </c>
      <c r="FS36" s="413"/>
      <c r="FT36" s="413"/>
      <c r="FU36" s="413"/>
      <c r="FV36" s="413"/>
      <c r="FW36" s="413"/>
      <c r="FX36" s="413"/>
      <c r="FY36" s="414"/>
      <c r="FZ36" s="1230"/>
      <c r="GA36" s="1096" t="s">
        <v>1177</v>
      </c>
      <c r="GB36" s="138"/>
      <c r="GC36" s="138"/>
      <c r="GD36" s="2028" t="str">
        <f t="shared" si="229"/>
        <v>#NAME?</v>
      </c>
      <c r="GE36" s="1014" t="str">
        <f t="shared" si="230"/>
        <v>#NAME?</v>
      </c>
      <c r="GF36" s="2029" t="str">
        <f t="shared" si="231"/>
        <v>#NAME?</v>
      </c>
      <c r="GG36" s="1014" t="str">
        <f t="shared" si="232"/>
        <v>#NAME?</v>
      </c>
      <c r="GH36" s="1992" t="s">
        <v>10590</v>
      </c>
      <c r="GI36" s="1230"/>
      <c r="GJ36" s="2092" t="s">
        <v>10591</v>
      </c>
      <c r="GK36" s="138"/>
      <c r="GL36" s="138"/>
      <c r="GM36" s="138"/>
      <c r="GN36" s="138"/>
      <c r="GO36" s="138"/>
      <c r="GP36" s="138"/>
      <c r="GQ36" s="128"/>
      <c r="GS36" s="1230"/>
      <c r="GT36" s="1230"/>
      <c r="GU36" s="1230"/>
      <c r="GV36" s="1230"/>
      <c r="GW36" s="1230"/>
      <c r="GX36" s="1230"/>
      <c r="GY36" s="1230"/>
      <c r="GZ36" s="1230"/>
      <c r="HA36" s="1230"/>
      <c r="HB36" s="1230"/>
      <c r="HC36" s="1230"/>
      <c r="HD36" s="1230"/>
      <c r="HE36" s="1230"/>
      <c r="HF36" s="1230"/>
      <c r="HG36" s="1230"/>
      <c r="HH36" s="1230"/>
      <c r="HI36" s="1230"/>
      <c r="HJ36" s="1230"/>
      <c r="HK36" s="1230"/>
      <c r="HL36" s="1230"/>
      <c r="HM36" s="1230"/>
      <c r="HN36" s="1230"/>
      <c r="HO36" s="1230"/>
      <c r="HP36" s="1230"/>
      <c r="HQ36" s="1230"/>
      <c r="HR36" s="1230"/>
      <c r="HS36" s="1230"/>
      <c r="HT36" s="1230"/>
      <c r="HU36" s="1230"/>
      <c r="HV36" s="1230"/>
      <c r="HW36" s="1230"/>
      <c r="HX36" s="1230"/>
      <c r="HY36" s="1230"/>
      <c r="HZ36" s="1230"/>
      <c r="IA36" s="1230"/>
      <c r="IB36" s="1230"/>
      <c r="IC36" s="1230"/>
      <c r="ID36" s="1230"/>
      <c r="IE36" s="1230"/>
      <c r="IF36" s="1230"/>
      <c r="IG36" s="1230"/>
      <c r="IH36" s="1230"/>
      <c r="II36" s="1230"/>
      <c r="IJ36" s="1230"/>
      <c r="IK36" s="1230"/>
      <c r="IL36" s="1230"/>
      <c r="IM36" s="1230"/>
      <c r="IN36" s="1230"/>
      <c r="IO36" s="1230"/>
      <c r="IP36" s="1230"/>
      <c r="IQ36" s="1230"/>
      <c r="IR36" s="1230"/>
      <c r="IS36" s="1230"/>
      <c r="IT36" s="1230"/>
      <c r="IU36" s="1230"/>
      <c r="IV36" s="1230"/>
      <c r="IW36" s="1230"/>
      <c r="IX36" s="1230"/>
      <c r="IY36" s="1230"/>
      <c r="IZ36" s="1230"/>
      <c r="JA36" s="1230"/>
      <c r="JB36" s="1230"/>
      <c r="JC36" s="1230"/>
      <c r="JD36" s="1230"/>
    </row>
    <row r="37" ht="15.75" customHeight="1">
      <c r="A37" s="1238"/>
      <c r="B37" s="442"/>
      <c r="C37" s="442"/>
      <c r="D37" s="442"/>
      <c r="E37" s="442"/>
      <c r="F37" s="442"/>
      <c r="G37" s="442"/>
      <c r="H37" s="442"/>
      <c r="I37" s="442"/>
      <c r="J37" s="442"/>
      <c r="K37" s="442"/>
      <c r="L37" s="1230"/>
      <c r="M37" s="1981" t="s">
        <v>10592</v>
      </c>
      <c r="N37" s="413"/>
      <c r="O37" s="413"/>
      <c r="P37" s="413"/>
      <c r="Q37" s="413"/>
      <c r="R37" s="413"/>
      <c r="S37" s="413"/>
      <c r="T37" s="414"/>
      <c r="U37" s="1230"/>
      <c r="V37" s="1860"/>
      <c r="W37" s="1032"/>
      <c r="X37" s="1032"/>
      <c r="Y37" s="30"/>
      <c r="Z37" s="1230"/>
      <c r="AA37" s="1094" t="s">
        <v>10455</v>
      </c>
      <c r="AB37" s="413"/>
      <c r="AC37" s="413"/>
      <c r="AD37" s="413"/>
      <c r="AE37" s="413"/>
      <c r="AF37" s="413"/>
      <c r="AG37" s="414"/>
      <c r="AI37" s="1230"/>
      <c r="AP37" s="1230"/>
      <c r="AQ37" s="1096" t="s">
        <v>3841</v>
      </c>
      <c r="AR37" s="138"/>
      <c r="AS37" s="138"/>
      <c r="AT37" s="2028" t="str">
        <f t="shared" si="233"/>
        <v>#NAME?</v>
      </c>
      <c r="AU37" s="1014" t="str">
        <f t="shared" si="234"/>
        <v>#NAME?</v>
      </c>
      <c r="AV37" s="2029" t="str">
        <f t="shared" si="235"/>
        <v>#NAME?</v>
      </c>
      <c r="AW37" s="1014" t="str">
        <f t="shared" si="236"/>
        <v>#NAME?</v>
      </c>
      <c r="AX37" s="2013"/>
      <c r="AY37" s="1230"/>
      <c r="BH37" s="1230"/>
      <c r="BI37" s="1230"/>
      <c r="BJ37" s="1230"/>
      <c r="BK37" s="1230"/>
      <c r="BL37" s="1230"/>
      <c r="BM37" s="1230"/>
      <c r="BN37" s="1230"/>
      <c r="BO37" s="1230"/>
      <c r="BP37" s="1230"/>
      <c r="BQ37" s="1230"/>
      <c r="BR37" s="1230"/>
      <c r="BS37" s="1230"/>
      <c r="BT37" s="1230"/>
      <c r="BU37" s="1230"/>
      <c r="BV37" s="1230"/>
      <c r="BW37" s="1230"/>
      <c r="BX37" s="1230"/>
      <c r="BY37" s="1230"/>
      <c r="BZ37" s="1230"/>
      <c r="CA37" s="1230"/>
      <c r="CB37" s="1230"/>
      <c r="CC37" s="1230"/>
      <c r="CD37" s="1230"/>
      <c r="CE37" s="1230"/>
      <c r="CF37" s="1230"/>
      <c r="CG37" s="1230"/>
      <c r="CH37" s="1230"/>
      <c r="CI37" s="1230"/>
      <c r="CJ37" s="1230"/>
      <c r="CK37" s="1230"/>
      <c r="CL37" s="1230"/>
      <c r="CM37" s="1230"/>
      <c r="CN37" s="1230"/>
      <c r="CO37" s="1230"/>
      <c r="CP37" s="1230"/>
      <c r="CQ37" s="1230"/>
      <c r="DO37" s="1230"/>
      <c r="DP37" s="1230"/>
      <c r="DQ37" s="1230"/>
      <c r="DR37" s="1230"/>
      <c r="DS37" s="1230"/>
      <c r="DT37" s="1230"/>
      <c r="DU37" s="1230"/>
      <c r="DV37" s="1230"/>
      <c r="DW37" s="1230"/>
      <c r="DX37" s="1230"/>
      <c r="EG37" s="1230"/>
      <c r="EH37" s="1096" t="s">
        <v>2717</v>
      </c>
      <c r="EI37" s="138"/>
      <c r="EJ37" s="138"/>
      <c r="EK37" s="2028" t="str">
        <f t="shared" si="237"/>
        <v>#NAME?</v>
      </c>
      <c r="EL37" s="1014" t="str">
        <f t="shared" si="238"/>
        <v>#NAME?</v>
      </c>
      <c r="EM37" s="2029" t="str">
        <f t="shared" si="239"/>
        <v>#NAME?</v>
      </c>
      <c r="EN37" s="1014" t="str">
        <f t="shared" si="240"/>
        <v>#NAME?</v>
      </c>
      <c r="EO37" s="2016" t="s">
        <v>10593</v>
      </c>
      <c r="EP37" s="1230"/>
      <c r="EQ37" s="1230"/>
      <c r="ER37" s="1230"/>
      <c r="ES37" s="1230"/>
      <c r="ET37" s="1230"/>
      <c r="EU37" s="1230"/>
      <c r="EV37" s="1230"/>
      <c r="EW37" s="1230"/>
      <c r="EX37" s="1230"/>
      <c r="EY37" s="1230"/>
      <c r="EZ37" s="1230"/>
      <c r="FA37" s="1230"/>
      <c r="FB37" s="1230"/>
      <c r="FC37" s="1230"/>
      <c r="FD37" s="1230"/>
      <c r="FE37" s="1230"/>
      <c r="FF37" s="1230"/>
      <c r="FG37" s="1230"/>
      <c r="FH37" s="1230"/>
      <c r="FI37" s="1096" t="s">
        <v>2153</v>
      </c>
      <c r="FJ37" s="138"/>
      <c r="FK37" s="138"/>
      <c r="FL37" s="2028" t="str">
        <f t="shared" si="241"/>
        <v>#NAME?</v>
      </c>
      <c r="FM37" s="1014" t="str">
        <f t="shared" si="242"/>
        <v>#NAME?</v>
      </c>
      <c r="FN37" s="2029" t="str">
        <f t="shared" si="243"/>
        <v>#NAME?</v>
      </c>
      <c r="FO37" s="1014" t="str">
        <f t="shared" si="244"/>
        <v>#NAME?</v>
      </c>
      <c r="FP37" s="1984"/>
      <c r="FQ37" s="1230"/>
      <c r="FR37" s="1230"/>
      <c r="FS37" s="1230"/>
      <c r="FT37" s="1230"/>
      <c r="FU37" s="1230"/>
      <c r="FV37" s="1230"/>
      <c r="FW37" s="1230"/>
      <c r="FX37" s="1230"/>
      <c r="FY37" s="1230"/>
      <c r="FZ37" s="1230"/>
      <c r="GA37" s="2036" t="s">
        <v>4061</v>
      </c>
      <c r="GB37" s="2037"/>
      <c r="GC37" s="2037"/>
      <c r="GD37" s="2038" t="str">
        <f t="shared" si="229"/>
        <v>#NAME?</v>
      </c>
      <c r="GE37" s="2039" t="str">
        <f t="shared" si="230"/>
        <v>#NAME?</v>
      </c>
      <c r="GF37" s="2040" t="str">
        <f t="shared" si="231"/>
        <v>#NAME?</v>
      </c>
      <c r="GG37" s="2039" t="str">
        <f t="shared" si="232"/>
        <v>#NAME?</v>
      </c>
      <c r="GH37" s="1988"/>
      <c r="GI37" s="1230"/>
      <c r="GJ37" s="1144" t="s">
        <v>10594</v>
      </c>
      <c r="GK37" s="413"/>
      <c r="GL37" s="413"/>
      <c r="GM37" s="413"/>
      <c r="GN37" s="413"/>
      <c r="GO37" s="413"/>
      <c r="GP37" s="413"/>
      <c r="GQ37" s="414"/>
      <c r="GR37" s="1230"/>
      <c r="GS37" s="1230"/>
      <c r="GT37" s="1230"/>
      <c r="GU37" s="1230"/>
      <c r="GV37" s="1230"/>
      <c r="GW37" s="1230"/>
      <c r="GX37" s="1230"/>
      <c r="GY37" s="1230"/>
      <c r="GZ37" s="1230"/>
      <c r="HA37" s="1230"/>
      <c r="HB37" s="1230"/>
      <c r="HC37" s="1230"/>
      <c r="HD37" s="1230"/>
      <c r="HE37" s="1230"/>
      <c r="HF37" s="1230"/>
      <c r="HG37" s="1230"/>
      <c r="HH37" s="1230"/>
      <c r="HI37" s="1230"/>
      <c r="HJ37" s="1230"/>
      <c r="HK37" s="1230"/>
      <c r="HL37" s="1230"/>
      <c r="HM37" s="1230"/>
      <c r="HN37" s="1230"/>
      <c r="HO37" s="1230"/>
      <c r="HP37" s="1230"/>
      <c r="HQ37" s="1230"/>
      <c r="HR37" s="1230"/>
      <c r="HS37" s="1230"/>
      <c r="HT37" s="1230"/>
      <c r="HU37" s="1230"/>
      <c r="HV37" s="1230"/>
      <c r="HW37" s="1230"/>
      <c r="HX37" s="1230"/>
      <c r="HY37" s="1230"/>
      <c r="HZ37" s="1230"/>
      <c r="IA37" s="1230"/>
      <c r="IB37" s="1230"/>
      <c r="IC37" s="1230"/>
      <c r="ID37" s="1230"/>
      <c r="IE37" s="1230"/>
      <c r="IF37" s="1230"/>
      <c r="IG37" s="1230"/>
      <c r="IH37" s="1230"/>
      <c r="II37" s="1230"/>
      <c r="IJ37" s="1230"/>
      <c r="IK37" s="1230"/>
      <c r="IL37" s="1230"/>
      <c r="IM37" s="1230"/>
      <c r="IN37" s="1230"/>
      <c r="IO37" s="1230"/>
      <c r="IP37" s="1230"/>
      <c r="IQ37" s="1230"/>
      <c r="IR37" s="1230"/>
      <c r="IS37" s="1230"/>
      <c r="IT37" s="1230"/>
      <c r="IU37" s="1230"/>
      <c r="IV37" s="1230"/>
      <c r="IW37" s="1230"/>
      <c r="IX37" s="1230"/>
      <c r="IY37" s="1230"/>
      <c r="IZ37" s="1230"/>
      <c r="JA37" s="1230"/>
      <c r="JB37" s="1230"/>
      <c r="JC37" s="1230"/>
      <c r="JD37" s="1230"/>
    </row>
    <row r="38" ht="15.75" customHeight="1">
      <c r="A38" s="1238"/>
      <c r="B38" s="442"/>
      <c r="C38" s="442"/>
      <c r="D38" s="442"/>
      <c r="E38" s="442"/>
      <c r="F38" s="442"/>
      <c r="G38" s="442"/>
      <c r="H38" s="442"/>
      <c r="I38" s="442"/>
      <c r="J38" s="442"/>
      <c r="K38" s="442"/>
      <c r="L38" s="1230"/>
      <c r="M38" s="1230"/>
      <c r="N38" s="1230"/>
      <c r="O38" s="1230"/>
      <c r="P38" s="1230"/>
      <c r="Q38" s="1230"/>
      <c r="R38" s="1230"/>
      <c r="S38" s="1230"/>
      <c r="T38" s="1230"/>
      <c r="U38" s="1230"/>
      <c r="V38" s="2025" t="s">
        <v>10595</v>
      </c>
      <c r="W38" s="1150"/>
      <c r="X38" s="1150"/>
      <c r="Y38" s="1151"/>
      <c r="Z38" s="1230"/>
      <c r="AI38" s="1230"/>
      <c r="AP38" s="1230"/>
      <c r="AQ38" s="1094" t="s">
        <v>1606</v>
      </c>
      <c r="AR38" s="413"/>
      <c r="AS38" s="413"/>
      <c r="AT38" s="2032" t="str">
        <f t="shared" si="233"/>
        <v>#NAME?</v>
      </c>
      <c r="AU38" s="1130" t="str">
        <f t="shared" si="234"/>
        <v>#NAME?</v>
      </c>
      <c r="AV38" s="2033" t="str">
        <f t="shared" si="235"/>
        <v>#NAME?</v>
      </c>
      <c r="AW38" s="1130" t="str">
        <f t="shared" si="236"/>
        <v>#NAME?</v>
      </c>
      <c r="AX38" s="2044"/>
      <c r="AY38" s="1230"/>
      <c r="BH38" s="1230"/>
      <c r="BI38" s="1230"/>
      <c r="BJ38" s="1230"/>
      <c r="BK38" s="1230"/>
      <c r="BL38" s="1230"/>
      <c r="BM38" s="1230"/>
      <c r="BN38" s="1230"/>
      <c r="BO38" s="1230"/>
      <c r="BP38" s="1230"/>
      <c r="BQ38" s="1230"/>
      <c r="BR38" s="1230"/>
      <c r="BS38" s="1230"/>
      <c r="BT38" s="1230"/>
      <c r="BU38" s="1230"/>
      <c r="BV38" s="1230"/>
      <c r="BW38" s="1230"/>
      <c r="BX38" s="1230"/>
      <c r="BY38" s="1230"/>
      <c r="BZ38" s="1230"/>
      <c r="CA38" s="1230"/>
      <c r="CB38" s="1230"/>
      <c r="CC38" s="1230"/>
      <c r="CD38" s="1230"/>
      <c r="CE38" s="1230"/>
      <c r="CF38" s="1230"/>
      <c r="CG38" s="1230"/>
      <c r="CH38" s="1230"/>
      <c r="CI38" s="1230"/>
      <c r="CJ38" s="1230"/>
      <c r="CK38" s="1230"/>
      <c r="CL38" s="1230"/>
      <c r="CM38" s="1230"/>
      <c r="CN38" s="1230"/>
      <c r="CO38" s="1230"/>
      <c r="CP38" s="1230"/>
      <c r="CQ38" s="1230"/>
      <c r="CR38" s="1230"/>
      <c r="CS38" s="1230"/>
      <c r="CT38" s="1230"/>
      <c r="CU38" s="1230"/>
      <c r="CV38" s="1230"/>
      <c r="CW38" s="1230"/>
      <c r="CX38" s="1230"/>
      <c r="CY38" s="1230"/>
      <c r="DG38" s="1230"/>
      <c r="DH38" s="1230"/>
      <c r="DI38" s="1230"/>
      <c r="DJ38" s="1230"/>
      <c r="DK38" s="1230"/>
      <c r="DL38" s="1230"/>
      <c r="DM38" s="1230"/>
      <c r="DN38" s="1230"/>
      <c r="DO38" s="1230"/>
      <c r="DP38" s="1230"/>
      <c r="DQ38" s="1230"/>
      <c r="DR38" s="1230"/>
      <c r="DS38" s="1230"/>
      <c r="DT38" s="1230"/>
      <c r="DU38" s="1230"/>
      <c r="DV38" s="1230"/>
      <c r="DW38" s="1230"/>
      <c r="DX38" s="1230"/>
      <c r="EG38" s="1230"/>
      <c r="EH38" s="2036" t="s">
        <v>2299</v>
      </c>
      <c r="EI38" s="2037"/>
      <c r="EJ38" s="2037"/>
      <c r="EK38" s="2038" t="str">
        <f t="shared" si="237"/>
        <v>#NAME?</v>
      </c>
      <c r="EL38" s="2039" t="str">
        <f t="shared" si="238"/>
        <v>#NAME?</v>
      </c>
      <c r="EM38" s="2040" t="str">
        <f t="shared" si="239"/>
        <v>#NAME?</v>
      </c>
      <c r="EN38" s="2039" t="str">
        <f t="shared" si="240"/>
        <v>#NAME?</v>
      </c>
      <c r="EO38" s="1995" t="s">
        <v>10596</v>
      </c>
      <c r="EP38" s="1230"/>
      <c r="EQ38" s="1230"/>
      <c r="ER38" s="1230"/>
      <c r="ES38" s="1230"/>
      <c r="ET38" s="1230"/>
      <c r="EU38" s="1230"/>
      <c r="EV38" s="1230"/>
      <c r="EW38" s="1230"/>
      <c r="EX38" s="1230"/>
      <c r="EY38" s="1230"/>
      <c r="EZ38" s="1230"/>
      <c r="FA38" s="1230"/>
      <c r="FB38" s="1230"/>
      <c r="FC38" s="1230"/>
      <c r="FD38" s="1230"/>
      <c r="FE38" s="1230"/>
      <c r="FF38" s="1230"/>
      <c r="FG38" s="1230"/>
      <c r="FH38" s="1230"/>
      <c r="FI38" s="1094" t="s">
        <v>1981</v>
      </c>
      <c r="FJ38" s="413"/>
      <c r="FK38" s="413"/>
      <c r="FL38" s="2032" t="str">
        <f t="shared" si="241"/>
        <v>#NAME?</v>
      </c>
      <c r="FM38" s="1130" t="str">
        <f t="shared" si="242"/>
        <v>#NAME?</v>
      </c>
      <c r="FN38" s="2033" t="str">
        <f t="shared" si="243"/>
        <v>#NAME?</v>
      </c>
      <c r="FO38" s="1130" t="str">
        <f t="shared" si="244"/>
        <v>#NAME?</v>
      </c>
      <c r="FP38" s="2093"/>
      <c r="FQ38" s="1230"/>
      <c r="FR38" s="1230"/>
      <c r="FS38" s="1230"/>
      <c r="FT38" s="1230"/>
      <c r="FU38" s="1230"/>
      <c r="FV38" s="1230"/>
      <c r="FW38" s="1230"/>
      <c r="FX38" s="1230"/>
      <c r="FY38" s="1230"/>
      <c r="FZ38" s="1230"/>
      <c r="GA38" s="2059" t="s">
        <v>10597</v>
      </c>
      <c r="GB38" s="482"/>
      <c r="GC38" s="482"/>
      <c r="GD38" s="482"/>
      <c r="GE38" s="482"/>
      <c r="GF38" s="482"/>
      <c r="GG38" s="482"/>
      <c r="GH38" s="267"/>
      <c r="GI38" s="1230"/>
      <c r="GJ38" s="1230"/>
      <c r="GK38" s="1230"/>
      <c r="GL38" s="1230"/>
      <c r="GM38" s="1230"/>
      <c r="GN38" s="1230"/>
      <c r="GO38" s="1230"/>
      <c r="GP38" s="1230"/>
      <c r="GQ38" s="1230"/>
      <c r="GR38" s="1230"/>
      <c r="GS38" s="1230"/>
      <c r="GT38" s="1230"/>
      <c r="GU38" s="1230"/>
      <c r="GV38" s="1230"/>
      <c r="GW38" s="1230"/>
      <c r="GX38" s="1230"/>
      <c r="GY38" s="1230"/>
      <c r="GZ38" s="1230"/>
      <c r="HA38" s="1230"/>
      <c r="HB38" s="1230"/>
      <c r="HC38" s="1230"/>
      <c r="HD38" s="1230"/>
      <c r="HE38" s="1230"/>
      <c r="HF38" s="1230"/>
      <c r="HG38" s="1230"/>
      <c r="HH38" s="1230"/>
      <c r="HI38" s="1230"/>
      <c r="HJ38" s="1230"/>
      <c r="HK38" s="1230"/>
      <c r="HL38" s="1230"/>
      <c r="HM38" s="1230"/>
      <c r="HN38" s="1230"/>
      <c r="HO38" s="1230"/>
      <c r="HP38" s="1230"/>
      <c r="HQ38" s="1230"/>
      <c r="HR38" s="1230"/>
      <c r="HS38" s="1230"/>
      <c r="HT38" s="1230"/>
      <c r="HU38" s="1230"/>
      <c r="HV38" s="1230"/>
      <c r="HW38" s="1230"/>
      <c r="HX38" s="1230"/>
      <c r="HY38" s="1230"/>
      <c r="HZ38" s="1230"/>
      <c r="IA38" s="1230"/>
      <c r="IB38" s="1230"/>
      <c r="IC38" s="1230"/>
      <c r="ID38" s="1230"/>
      <c r="IE38" s="1230"/>
      <c r="IF38" s="1230"/>
      <c r="IG38" s="1230"/>
      <c r="IH38" s="1230"/>
      <c r="II38" s="1230"/>
      <c r="IJ38" s="1230"/>
      <c r="IK38" s="1230"/>
      <c r="IL38" s="1230"/>
      <c r="IM38" s="1230"/>
      <c r="IN38" s="1230"/>
      <c r="IO38" s="1230"/>
      <c r="IP38" s="1230"/>
      <c r="IQ38" s="1230"/>
      <c r="IR38" s="1230"/>
      <c r="IS38" s="1230"/>
      <c r="IT38" s="1230"/>
      <c r="IU38" s="1230"/>
      <c r="IV38" s="1230"/>
      <c r="IW38" s="1230"/>
      <c r="IX38" s="1230"/>
      <c r="IY38" s="1230"/>
      <c r="IZ38" s="1230"/>
      <c r="JA38" s="1230"/>
      <c r="JB38" s="1230"/>
      <c r="JC38" s="1230"/>
      <c r="JD38" s="1230"/>
    </row>
    <row r="39" ht="15.75" customHeight="1">
      <c r="A39" s="1238"/>
      <c r="B39" s="442"/>
      <c r="C39" s="442"/>
      <c r="D39" s="442"/>
      <c r="E39" s="442"/>
      <c r="F39" s="442"/>
      <c r="G39" s="442"/>
      <c r="H39" s="442"/>
      <c r="I39" s="442"/>
      <c r="J39" s="442"/>
      <c r="K39" s="442"/>
      <c r="L39" s="1230"/>
      <c r="M39" s="1230"/>
      <c r="N39" s="1230"/>
      <c r="O39" s="1230"/>
      <c r="P39" s="1230"/>
      <c r="Q39" s="1230"/>
      <c r="R39" s="1230"/>
      <c r="S39" s="1230"/>
      <c r="T39" s="1230"/>
      <c r="U39" s="1230"/>
      <c r="V39" s="997"/>
      <c r="W39" s="1026"/>
      <c r="X39" s="1026"/>
      <c r="Y39" s="998"/>
      <c r="Z39" s="1230"/>
      <c r="AA39" s="428"/>
      <c r="AB39" s="428"/>
      <c r="AC39" s="428"/>
      <c r="AD39" s="428"/>
      <c r="AE39" s="428"/>
      <c r="AF39" s="428"/>
      <c r="AG39" s="428"/>
      <c r="AH39" s="428"/>
      <c r="AI39" s="1230"/>
      <c r="AJ39" s="1230"/>
      <c r="AK39" s="1230"/>
      <c r="AL39" s="1230"/>
      <c r="AM39" s="1230"/>
      <c r="AN39" s="1230"/>
      <c r="AO39" s="1230"/>
      <c r="AP39" s="1230"/>
      <c r="AQ39" s="428"/>
      <c r="AR39" s="428"/>
      <c r="AS39" s="428"/>
      <c r="AT39" s="428"/>
      <c r="AU39" s="428"/>
      <c r="AV39" s="428"/>
      <c r="AW39" s="428"/>
      <c r="AX39" s="428"/>
      <c r="AY39" s="1230"/>
      <c r="BH39" s="1230"/>
      <c r="BI39" s="1230"/>
      <c r="BJ39" s="1230"/>
      <c r="BK39" s="1230"/>
      <c r="BL39" s="1230"/>
      <c r="BM39" s="1230"/>
      <c r="BN39" s="1230"/>
      <c r="BO39" s="1230"/>
      <c r="BP39" s="1230"/>
      <c r="BQ39" s="1230"/>
      <c r="BR39" s="1230"/>
      <c r="BS39" s="1230"/>
      <c r="BT39" s="1230"/>
      <c r="BU39" s="1230"/>
      <c r="BV39" s="1230"/>
      <c r="BW39" s="1230"/>
      <c r="BX39" s="1230"/>
      <c r="BY39" s="1230"/>
      <c r="BZ39" s="1230"/>
      <c r="CA39" s="1230"/>
      <c r="CB39" s="1230"/>
      <c r="CC39" s="1230"/>
      <c r="CD39" s="1230"/>
      <c r="CE39" s="1230"/>
      <c r="CF39" s="1230"/>
      <c r="CG39" s="1230"/>
      <c r="CH39" s="1230"/>
      <c r="CI39" s="1230"/>
      <c r="CJ39" s="1230"/>
      <c r="CK39" s="1230"/>
      <c r="CL39" s="1230"/>
      <c r="CM39" s="1230"/>
      <c r="CN39" s="1230"/>
      <c r="CO39" s="1230"/>
      <c r="CP39" s="1230"/>
      <c r="CQ39" s="1230"/>
      <c r="CR39" s="1230"/>
      <c r="CS39" s="1230"/>
      <c r="CT39" s="1230"/>
      <c r="CU39" s="1230"/>
      <c r="CV39" s="1230"/>
      <c r="CW39" s="1230"/>
      <c r="CX39" s="1230"/>
      <c r="CY39" s="1230"/>
      <c r="DG39" s="1230"/>
      <c r="DH39" s="1230"/>
      <c r="DI39" s="1230"/>
      <c r="DJ39" s="1230"/>
      <c r="DK39" s="1230"/>
      <c r="DL39" s="1230"/>
      <c r="DM39" s="1230"/>
      <c r="DN39" s="1230"/>
      <c r="DO39" s="1230"/>
      <c r="DP39" s="1230"/>
      <c r="DQ39" s="1230"/>
      <c r="DR39" s="1230"/>
      <c r="DS39" s="1230"/>
      <c r="DT39" s="1230"/>
      <c r="DU39" s="1230"/>
      <c r="DV39" s="1230"/>
      <c r="DW39" s="1230"/>
      <c r="DX39" s="1230"/>
      <c r="DY39" s="1230"/>
      <c r="DZ39" s="1230"/>
      <c r="EA39" s="1230"/>
      <c r="EB39" s="1230"/>
      <c r="EC39" s="1230"/>
      <c r="ED39" s="1230"/>
      <c r="EE39" s="1230"/>
      <c r="EF39" s="1230"/>
      <c r="EG39" s="1230"/>
      <c r="EH39" s="2094" t="s">
        <v>10598</v>
      </c>
      <c r="EI39" s="967"/>
      <c r="EJ39" s="967"/>
      <c r="EK39" s="967"/>
      <c r="EL39" s="967"/>
      <c r="EM39" s="967"/>
      <c r="EN39" s="967"/>
      <c r="EO39" s="263"/>
      <c r="EP39" s="1230"/>
      <c r="EQ39" s="1230"/>
      <c r="ER39" s="1230"/>
      <c r="ES39" s="1230"/>
      <c r="ET39" s="1230"/>
      <c r="EU39" s="1230"/>
      <c r="EV39" s="1230"/>
      <c r="EW39" s="1230"/>
      <c r="EX39" s="1230"/>
      <c r="EY39" s="1230"/>
      <c r="EZ39" s="1230"/>
      <c r="FA39" s="1230"/>
      <c r="FB39" s="1230"/>
      <c r="FC39" s="1230"/>
      <c r="FD39" s="1230"/>
      <c r="FE39" s="1230"/>
      <c r="FF39" s="1230"/>
      <c r="FG39" s="1230"/>
      <c r="FH39" s="1230"/>
      <c r="FI39" s="1230"/>
      <c r="FJ39" s="1230"/>
      <c r="FK39" s="1230"/>
      <c r="FL39" s="1230"/>
      <c r="FM39" s="1230"/>
      <c r="FN39" s="1230"/>
      <c r="FO39" s="1230"/>
      <c r="FP39" s="1230"/>
      <c r="FQ39" s="1230"/>
      <c r="FR39" s="1230"/>
      <c r="FS39" s="1230"/>
      <c r="FT39" s="1230"/>
      <c r="FU39" s="1230"/>
      <c r="FV39" s="1230"/>
      <c r="FW39" s="1230"/>
      <c r="FX39" s="1230"/>
      <c r="FY39" s="1230"/>
      <c r="FZ39" s="1230"/>
      <c r="GA39" s="1936" t="s">
        <v>10599</v>
      </c>
      <c r="GB39" s="138"/>
      <c r="GC39" s="138"/>
      <c r="GD39" s="138"/>
      <c r="GE39" s="138"/>
      <c r="GF39" s="138"/>
      <c r="GG39" s="138"/>
      <c r="GH39" s="128"/>
      <c r="GI39" s="1230"/>
      <c r="GJ39" s="1230"/>
      <c r="GK39" s="1230"/>
      <c r="GL39" s="1230"/>
      <c r="GM39" s="1230"/>
      <c r="GN39" s="1230"/>
      <c r="GO39" s="1230"/>
      <c r="GP39" s="1230"/>
      <c r="GQ39" s="1230"/>
      <c r="GR39" s="1230"/>
      <c r="GS39" s="1230"/>
      <c r="GT39" s="1230"/>
      <c r="GU39" s="1230"/>
      <c r="GV39" s="1230"/>
      <c r="GW39" s="1230"/>
      <c r="GX39" s="1230"/>
      <c r="GY39" s="1230"/>
      <c r="GZ39" s="1230"/>
      <c r="HA39" s="1230"/>
      <c r="HB39" s="1230"/>
      <c r="HC39" s="1230"/>
      <c r="HD39" s="1230"/>
      <c r="HE39" s="1230"/>
      <c r="HF39" s="1230"/>
      <c r="HG39" s="1230"/>
      <c r="HH39" s="1230"/>
      <c r="HI39" s="1230"/>
      <c r="HJ39" s="1230"/>
      <c r="HK39" s="1230"/>
      <c r="HL39" s="1230"/>
      <c r="HM39" s="1230"/>
      <c r="HN39" s="1230"/>
      <c r="HO39" s="1230"/>
      <c r="HP39" s="1230"/>
      <c r="HQ39" s="1230"/>
      <c r="HR39" s="1230"/>
      <c r="HS39" s="1230"/>
      <c r="HT39" s="1230"/>
      <c r="HU39" s="1230"/>
      <c r="HV39" s="1230"/>
      <c r="HW39" s="1230"/>
      <c r="HX39" s="1230"/>
      <c r="HY39" s="1230"/>
      <c r="HZ39" s="1230"/>
      <c r="IA39" s="1230"/>
      <c r="IB39" s="1230"/>
      <c r="IC39" s="1230"/>
      <c r="ID39" s="1230"/>
      <c r="IE39" s="1230"/>
      <c r="IF39" s="1230"/>
      <c r="IG39" s="1230"/>
      <c r="IH39" s="1230"/>
      <c r="II39" s="1230"/>
      <c r="IJ39" s="1230"/>
      <c r="IK39" s="1230"/>
      <c r="IL39" s="1230"/>
      <c r="IM39" s="1230"/>
      <c r="IN39" s="1230"/>
      <c r="IO39" s="1230"/>
      <c r="IP39" s="1230"/>
      <c r="IQ39" s="1230"/>
      <c r="IR39" s="1230"/>
      <c r="IS39" s="1230"/>
      <c r="IT39" s="1230"/>
      <c r="IU39" s="1230"/>
      <c r="IV39" s="1230"/>
      <c r="IW39" s="1230"/>
      <c r="IX39" s="1230"/>
      <c r="IY39" s="1230"/>
      <c r="IZ39" s="1230"/>
      <c r="JA39" s="1230"/>
      <c r="JB39" s="1230"/>
      <c r="JC39" s="1230"/>
      <c r="JD39" s="1230"/>
    </row>
    <row r="40" ht="15.75" customHeight="1">
      <c r="A40" s="1238"/>
      <c r="B40" s="442"/>
      <c r="C40" s="442"/>
      <c r="D40" s="442"/>
      <c r="E40" s="442"/>
      <c r="F40" s="442"/>
      <c r="G40" s="442"/>
      <c r="H40" s="442"/>
      <c r="I40" s="442"/>
      <c r="J40" s="442"/>
      <c r="K40" s="442"/>
      <c r="L40" s="1230"/>
      <c r="M40" s="1230"/>
      <c r="N40" s="1230"/>
      <c r="O40" s="1230"/>
      <c r="P40" s="1230"/>
      <c r="Q40" s="1230"/>
      <c r="R40" s="1230"/>
      <c r="S40" s="1230"/>
      <c r="T40" s="1230"/>
      <c r="U40" s="1230"/>
      <c r="V40" s="442"/>
      <c r="W40" s="442"/>
      <c r="X40" s="442"/>
      <c r="Y40" s="442"/>
      <c r="Z40" s="1230"/>
      <c r="AA40" s="428"/>
      <c r="AB40" s="428"/>
      <c r="AC40" s="428"/>
      <c r="AD40" s="428"/>
      <c r="AE40" s="428"/>
      <c r="AF40" s="428"/>
      <c r="AG40" s="428"/>
      <c r="AH40" s="428"/>
      <c r="AI40" s="1230"/>
      <c r="AJ40" s="1230"/>
      <c r="AK40" s="1230"/>
      <c r="AL40" s="1230"/>
      <c r="AM40" s="1230"/>
      <c r="AN40" s="1230"/>
      <c r="AO40" s="1230"/>
      <c r="AP40" s="1230"/>
      <c r="AQ40" s="428"/>
      <c r="AR40" s="428"/>
      <c r="AS40" s="428"/>
      <c r="AT40" s="428"/>
      <c r="AU40" s="428"/>
      <c r="AV40" s="428"/>
      <c r="AW40" s="428"/>
      <c r="AX40" s="428"/>
      <c r="AY40" s="1230"/>
      <c r="BH40" s="1230"/>
      <c r="BI40" s="1230"/>
      <c r="BJ40" s="1230"/>
      <c r="BK40" s="1230"/>
      <c r="BL40" s="1230"/>
      <c r="BM40" s="1230"/>
      <c r="BN40" s="1230"/>
      <c r="BO40" s="1230"/>
      <c r="BP40" s="1230"/>
      <c r="BQ40" s="1230"/>
      <c r="BR40" s="1230"/>
      <c r="BS40" s="1230"/>
      <c r="BT40" s="1230"/>
      <c r="BU40" s="1230"/>
      <c r="BV40" s="1230"/>
      <c r="BW40" s="1230"/>
      <c r="BX40" s="1230"/>
      <c r="BY40" s="1230"/>
      <c r="BZ40" s="1230"/>
      <c r="CA40" s="1230"/>
      <c r="CB40" s="1230"/>
      <c r="CC40" s="1230"/>
      <c r="CD40" s="1230"/>
      <c r="CE40" s="1230"/>
      <c r="CF40" s="1230"/>
      <c r="CG40" s="1230"/>
      <c r="CH40" s="1230"/>
      <c r="CI40" s="1230"/>
      <c r="CJ40" s="1230"/>
      <c r="CK40" s="1230"/>
      <c r="CL40" s="1230"/>
      <c r="CM40" s="1230"/>
      <c r="CN40" s="1230"/>
      <c r="CO40" s="1230"/>
      <c r="CP40" s="1230"/>
      <c r="CQ40" s="1230"/>
      <c r="CR40" s="1230"/>
      <c r="CS40" s="1230"/>
      <c r="CT40" s="1230"/>
      <c r="CU40" s="1230"/>
      <c r="CV40" s="1230"/>
      <c r="CW40" s="1230"/>
      <c r="CX40" s="1230"/>
      <c r="CY40" s="1230"/>
      <c r="DG40" s="1230"/>
      <c r="DH40" s="1230"/>
      <c r="DI40" s="1230"/>
      <c r="DJ40" s="1230"/>
      <c r="DK40" s="1230"/>
      <c r="DL40" s="1230"/>
      <c r="DM40" s="1230"/>
      <c r="DN40" s="1230"/>
      <c r="DO40" s="1230"/>
      <c r="DP40" s="1230"/>
      <c r="DQ40" s="1230"/>
      <c r="DR40" s="1230"/>
      <c r="DS40" s="1230"/>
      <c r="DT40" s="1230"/>
      <c r="DU40" s="1230"/>
      <c r="DV40" s="1230"/>
      <c r="DW40" s="1230"/>
      <c r="DX40" s="1230"/>
      <c r="DY40" s="1230"/>
      <c r="DZ40" s="1230"/>
      <c r="EA40" s="1230"/>
      <c r="EB40" s="1230"/>
      <c r="EC40" s="1230"/>
      <c r="ED40" s="1230"/>
      <c r="EE40" s="1230"/>
      <c r="EF40" s="1230"/>
      <c r="EG40" s="1230"/>
      <c r="EH40" s="1230"/>
      <c r="EI40" s="1230"/>
      <c r="EJ40" s="1230"/>
      <c r="EK40" s="1230"/>
      <c r="EL40" s="1230"/>
      <c r="EM40" s="1230"/>
      <c r="EN40" s="1230"/>
      <c r="EO40" s="1230"/>
      <c r="EP40" s="1230"/>
      <c r="EQ40" s="1230"/>
      <c r="ER40" s="1230"/>
      <c r="ES40" s="1230"/>
      <c r="ET40" s="1230"/>
      <c r="EU40" s="1230"/>
      <c r="EV40" s="1230"/>
      <c r="EW40" s="1230"/>
      <c r="EX40" s="1230"/>
      <c r="EY40" s="1230"/>
      <c r="EZ40" s="1230"/>
      <c r="FA40" s="1230"/>
      <c r="FB40" s="1230"/>
      <c r="FC40" s="1230"/>
      <c r="FD40" s="1230"/>
      <c r="FE40" s="1230"/>
      <c r="FF40" s="1230"/>
      <c r="FG40" s="1230"/>
      <c r="FH40" s="1230"/>
      <c r="FI40" s="1230"/>
      <c r="FJ40" s="1230"/>
      <c r="FK40" s="1230"/>
      <c r="FL40" s="1230"/>
      <c r="FM40" s="1230"/>
      <c r="FN40" s="1230"/>
      <c r="FO40" s="1230"/>
      <c r="FP40" s="1230"/>
      <c r="FQ40" s="1230"/>
      <c r="FR40" s="1230"/>
      <c r="FS40" s="1230"/>
      <c r="FT40" s="1230"/>
      <c r="FU40" s="1230"/>
      <c r="FV40" s="1230"/>
      <c r="FW40" s="1230"/>
      <c r="FX40" s="1230"/>
      <c r="FY40" s="1230"/>
      <c r="FZ40" s="1230"/>
      <c r="GA40" s="2062" t="s">
        <v>10600</v>
      </c>
      <c r="GB40" s="413"/>
      <c r="GC40" s="413"/>
      <c r="GD40" s="413"/>
      <c r="GE40" s="413"/>
      <c r="GF40" s="413"/>
      <c r="GG40" s="413"/>
      <c r="GH40" s="414"/>
      <c r="GI40" s="1230"/>
      <c r="GJ40" s="1230"/>
      <c r="GK40" s="1230"/>
      <c r="GL40" s="1230"/>
      <c r="GM40" s="1230"/>
      <c r="GN40" s="1230"/>
      <c r="GO40" s="1230"/>
      <c r="GP40" s="1230"/>
      <c r="GQ40" s="1230"/>
      <c r="GR40" s="1230"/>
      <c r="GS40" s="1230"/>
      <c r="GT40" s="1230"/>
      <c r="GU40" s="1230"/>
      <c r="GV40" s="1230"/>
      <c r="GW40" s="1230"/>
      <c r="GX40" s="1230"/>
      <c r="GY40" s="1230"/>
      <c r="GZ40" s="1230"/>
      <c r="HA40" s="1230"/>
      <c r="HB40" s="1230"/>
      <c r="HC40" s="1230"/>
      <c r="HD40" s="1230"/>
      <c r="HE40" s="1230"/>
      <c r="HF40" s="1230"/>
      <c r="HG40" s="1230"/>
      <c r="HH40" s="1230"/>
      <c r="HI40" s="1230"/>
      <c r="HJ40" s="1230"/>
      <c r="HK40" s="1230"/>
      <c r="HL40" s="1230"/>
      <c r="HM40" s="1230"/>
      <c r="HN40" s="1230"/>
      <c r="HO40" s="1230"/>
      <c r="HP40" s="1230"/>
      <c r="HQ40" s="1230"/>
      <c r="HR40" s="1230"/>
      <c r="HS40" s="1230"/>
      <c r="HT40" s="1230"/>
      <c r="HU40" s="1230"/>
      <c r="HV40" s="1230"/>
      <c r="HW40" s="1230"/>
      <c r="HX40" s="1230"/>
      <c r="HY40" s="1230"/>
      <c r="HZ40" s="1230"/>
      <c r="IA40" s="1230"/>
      <c r="IB40" s="1230"/>
      <c r="IC40" s="1230"/>
      <c r="ID40" s="1230"/>
      <c r="IE40" s="1230"/>
      <c r="IF40" s="1230"/>
      <c r="IG40" s="1230"/>
      <c r="IH40" s="1230"/>
      <c r="II40" s="1230"/>
      <c r="IJ40" s="1230"/>
      <c r="IK40" s="1230"/>
      <c r="IL40" s="1230"/>
      <c r="IM40" s="1230"/>
      <c r="IN40" s="1230"/>
      <c r="IO40" s="1230"/>
      <c r="IP40" s="1230"/>
      <c r="IQ40" s="1230"/>
      <c r="IR40" s="1230"/>
      <c r="IS40" s="1230"/>
      <c r="IT40" s="1230"/>
      <c r="IU40" s="1230"/>
      <c r="IV40" s="1230"/>
      <c r="IW40" s="1230"/>
      <c r="IX40" s="1230"/>
      <c r="IY40" s="1230"/>
      <c r="IZ40" s="1230"/>
      <c r="JA40" s="1230"/>
      <c r="JB40" s="1230"/>
      <c r="JC40" s="1230"/>
      <c r="JD40" s="1230"/>
    </row>
    <row r="41" ht="15.75" customHeight="1">
      <c r="A41" s="1923"/>
      <c r="B41" s="1063"/>
      <c r="C41" s="1063"/>
      <c r="D41" s="1063"/>
      <c r="E41" s="1063"/>
      <c r="F41" s="1063"/>
      <c r="G41" s="1063"/>
      <c r="H41" s="1063"/>
      <c r="I41" s="1063"/>
      <c r="J41" s="1063"/>
      <c r="K41" s="1063"/>
      <c r="L41" s="1634"/>
      <c r="M41" s="1634"/>
      <c r="N41" s="1634"/>
      <c r="O41" s="1634"/>
      <c r="P41" s="1634"/>
      <c r="Q41" s="1634"/>
      <c r="R41" s="1634"/>
      <c r="S41" s="1634"/>
      <c r="T41" s="1634"/>
      <c r="U41" s="1634"/>
      <c r="V41" s="1063"/>
      <c r="W41" s="1063"/>
      <c r="X41" s="1063"/>
      <c r="Y41" s="1063"/>
      <c r="Z41" s="1634"/>
      <c r="AA41" s="1226"/>
      <c r="AB41" s="1226"/>
      <c r="AC41" s="1226"/>
      <c r="AD41" s="1226"/>
      <c r="AE41" s="1226"/>
      <c r="AF41" s="1226"/>
      <c r="AG41" s="1226"/>
      <c r="AH41" s="1226"/>
      <c r="AI41" s="1634"/>
      <c r="AJ41" s="1634"/>
      <c r="AK41" s="1634"/>
      <c r="AL41" s="1634"/>
      <c r="AM41" s="1634"/>
      <c r="AN41" s="1634"/>
      <c r="AO41" s="1634"/>
      <c r="AP41" s="1634"/>
      <c r="AQ41" s="1226"/>
      <c r="AR41" s="1226"/>
      <c r="AS41" s="1226"/>
      <c r="AT41" s="1226"/>
      <c r="AU41" s="1226"/>
      <c r="AV41" s="1226"/>
      <c r="AW41" s="1226"/>
      <c r="AX41" s="1226"/>
      <c r="AY41" s="1634"/>
      <c r="AZ41" s="1634"/>
      <c r="BA41" s="1634"/>
      <c r="BB41" s="1634"/>
      <c r="BC41" s="1634"/>
      <c r="BD41" s="1634"/>
      <c r="BE41" s="1634"/>
      <c r="BF41" s="1634"/>
      <c r="BG41" s="1634"/>
      <c r="BH41" s="1634"/>
      <c r="BI41" s="1634"/>
      <c r="BJ41" s="1634"/>
      <c r="BK41" s="1634"/>
      <c r="BL41" s="1634"/>
      <c r="BM41" s="1634"/>
      <c r="BN41" s="1634"/>
      <c r="BO41" s="1634"/>
      <c r="BP41" s="1634"/>
      <c r="BQ41" s="1634"/>
      <c r="BR41" s="1634"/>
      <c r="BS41" s="1634"/>
      <c r="BT41" s="1634"/>
      <c r="BU41" s="1634"/>
      <c r="BV41" s="1634"/>
      <c r="BW41" s="1634"/>
      <c r="BX41" s="1634"/>
      <c r="BY41" s="1634"/>
      <c r="BZ41" s="1634"/>
      <c r="CA41" s="1634"/>
      <c r="CB41" s="1634"/>
      <c r="CC41" s="1634"/>
      <c r="CD41" s="1634"/>
      <c r="CE41" s="1634"/>
      <c r="CF41" s="1634"/>
      <c r="CG41" s="1634"/>
      <c r="CH41" s="1634"/>
      <c r="CI41" s="1634"/>
      <c r="CJ41" s="1634"/>
      <c r="CK41" s="1634"/>
      <c r="CL41" s="1634"/>
      <c r="CM41" s="1634"/>
      <c r="CN41" s="1634"/>
      <c r="CO41" s="1634"/>
      <c r="CP41" s="1634"/>
      <c r="CQ41" s="1634"/>
      <c r="CR41" s="1634"/>
      <c r="CS41" s="1634"/>
      <c r="CT41" s="1634"/>
      <c r="CU41" s="1634"/>
      <c r="CV41" s="1634"/>
      <c r="CW41" s="1634"/>
      <c r="CX41" s="1634"/>
      <c r="CY41" s="1634"/>
      <c r="CZ41" s="1634"/>
      <c r="DA41" s="1634"/>
      <c r="DB41" s="1634"/>
      <c r="DC41" s="1634"/>
      <c r="DD41" s="1634"/>
      <c r="DE41" s="1634"/>
      <c r="DF41" s="1634"/>
      <c r="DG41" s="1634"/>
      <c r="DH41" s="1634"/>
      <c r="DI41" s="1634"/>
      <c r="DJ41" s="1634"/>
      <c r="DK41" s="1634"/>
      <c r="DL41" s="1634"/>
      <c r="DM41" s="1634"/>
      <c r="DN41" s="1634"/>
      <c r="DO41" s="1634"/>
      <c r="DP41" s="1634"/>
      <c r="DQ41" s="1634"/>
      <c r="DR41" s="1634"/>
      <c r="DS41" s="1634"/>
      <c r="DT41" s="1634"/>
      <c r="DU41" s="1634"/>
      <c r="DV41" s="1634"/>
      <c r="DW41" s="1634"/>
      <c r="DX41" s="1634"/>
      <c r="DY41" s="1634"/>
      <c r="DZ41" s="1634"/>
      <c r="EA41" s="1634"/>
      <c r="EB41" s="1634"/>
      <c r="EC41" s="1634"/>
      <c r="ED41" s="1634"/>
      <c r="EE41" s="1634"/>
      <c r="EF41" s="1634"/>
      <c r="EG41" s="1634"/>
      <c r="EH41" s="1228"/>
      <c r="EI41" s="1228"/>
      <c r="EJ41" s="1228"/>
      <c r="EK41" s="1228"/>
      <c r="EL41" s="1228"/>
      <c r="EM41" s="1228"/>
      <c r="EN41" s="1228"/>
      <c r="EO41" s="1228"/>
      <c r="EP41" s="1634"/>
      <c r="EQ41" s="1634"/>
      <c r="ER41" s="1634"/>
      <c r="ES41" s="1634"/>
      <c r="ET41" s="1634"/>
      <c r="EU41" s="1634"/>
      <c r="EV41" s="1634"/>
      <c r="EW41" s="1634"/>
      <c r="EX41" s="1634"/>
      <c r="EY41" s="1634"/>
      <c r="EZ41" s="1634"/>
      <c r="FA41" s="1634"/>
      <c r="FB41" s="1634"/>
      <c r="FC41" s="1634"/>
      <c r="FD41" s="1634"/>
      <c r="FE41" s="1634"/>
      <c r="FF41" s="1634"/>
      <c r="FG41" s="1634"/>
      <c r="FH41" s="1634"/>
      <c r="FI41" s="1634"/>
      <c r="FJ41" s="1634"/>
      <c r="FK41" s="1634"/>
      <c r="FL41" s="1634"/>
      <c r="FM41" s="1634"/>
      <c r="FN41" s="1634"/>
      <c r="FO41" s="1634"/>
      <c r="FP41" s="1634"/>
      <c r="FQ41" s="1634"/>
      <c r="FR41" s="1634"/>
      <c r="FS41" s="1634"/>
      <c r="FT41" s="1634"/>
      <c r="FU41" s="1634"/>
      <c r="FV41" s="1634"/>
      <c r="FW41" s="1634"/>
      <c r="FX41" s="1634"/>
      <c r="FY41" s="1634"/>
      <c r="FZ41" s="1634"/>
      <c r="GA41" s="1634"/>
      <c r="GB41" s="1634"/>
      <c r="GC41" s="1634"/>
      <c r="GD41" s="1634"/>
      <c r="GE41" s="1634"/>
      <c r="GF41" s="1634"/>
      <c r="GG41" s="1634"/>
      <c r="GH41" s="1634"/>
      <c r="GI41" s="1634"/>
      <c r="GJ41" s="1634"/>
      <c r="GK41" s="1634"/>
      <c r="GL41" s="1634"/>
      <c r="GM41" s="1634"/>
      <c r="GN41" s="1634"/>
      <c r="GO41" s="1634"/>
      <c r="GP41" s="1634"/>
      <c r="GQ41" s="1634"/>
      <c r="GR41" s="1634"/>
      <c r="GS41" s="1634"/>
      <c r="GT41" s="1634"/>
      <c r="GU41" s="1634"/>
      <c r="GV41" s="1634"/>
      <c r="GW41" s="1634"/>
      <c r="GX41" s="1634"/>
      <c r="GY41" s="1634"/>
      <c r="GZ41" s="1634"/>
      <c r="HA41" s="1634"/>
      <c r="HB41" s="1634"/>
      <c r="HC41" s="1634"/>
      <c r="HD41" s="1634"/>
      <c r="HE41" s="1634"/>
      <c r="HF41" s="1634"/>
      <c r="HG41" s="1634"/>
      <c r="HH41" s="1634"/>
      <c r="HI41" s="1634"/>
      <c r="HJ41" s="1634"/>
      <c r="HK41" s="1634"/>
      <c r="HL41" s="1634"/>
      <c r="HM41" s="1634"/>
      <c r="HN41" s="1634"/>
      <c r="HO41" s="1634"/>
      <c r="HP41" s="1634"/>
      <c r="HQ41" s="1634"/>
      <c r="HR41" s="1634"/>
      <c r="HS41" s="1634"/>
      <c r="HT41" s="1634"/>
      <c r="HU41" s="1634"/>
      <c r="HV41" s="1634"/>
      <c r="HW41" s="1634"/>
      <c r="HX41" s="1634"/>
      <c r="HY41" s="1634"/>
      <c r="HZ41" s="1634"/>
      <c r="IA41" s="1634"/>
      <c r="IB41" s="1634"/>
      <c r="IC41" s="1634"/>
      <c r="ID41" s="1634"/>
      <c r="IE41" s="1634"/>
      <c r="IF41" s="1634"/>
      <c r="IG41" s="1634"/>
      <c r="IH41" s="1634"/>
      <c r="II41" s="1634"/>
      <c r="IJ41" s="1634"/>
      <c r="IK41" s="1634"/>
      <c r="IL41" s="1634"/>
      <c r="IM41" s="1634"/>
      <c r="IN41" s="1634"/>
      <c r="IO41" s="1634"/>
      <c r="IP41" s="1634"/>
      <c r="IQ41" s="1634"/>
      <c r="IR41" s="1634"/>
      <c r="IS41" s="1634"/>
      <c r="IT41" s="1634"/>
      <c r="IU41" s="1634"/>
      <c r="IV41" s="1634"/>
      <c r="IW41" s="1634"/>
      <c r="IX41" s="1634"/>
      <c r="IY41" s="1634"/>
      <c r="IZ41" s="1634"/>
      <c r="JA41" s="1634"/>
      <c r="JB41" s="1634"/>
      <c r="JC41" s="1634"/>
      <c r="JD41" s="123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4">
    <mergeCell ref="FK3:FL3"/>
    <mergeCell ref="FN3:FO3"/>
    <mergeCell ref="FG4:FG5"/>
    <mergeCell ref="FI4:FO4"/>
    <mergeCell ref="FR2:FR3"/>
    <mergeCell ref="FT3:FU3"/>
    <mergeCell ref="FW3:FX3"/>
    <mergeCell ref="FY3:FY4"/>
    <mergeCell ref="GC3:GD3"/>
    <mergeCell ref="GF3:GG3"/>
    <mergeCell ref="FP3:FP4"/>
    <mergeCell ref="FR4:FX4"/>
    <mergeCell ref="FI2:FI3"/>
    <mergeCell ref="GA2:GA3"/>
    <mergeCell ref="GS2:GX4"/>
    <mergeCell ref="GY2:GY4"/>
    <mergeCell ref="HA2:HF4"/>
    <mergeCell ref="GH3:GH4"/>
    <mergeCell ref="GO3:GP3"/>
    <mergeCell ref="GA4:GG4"/>
    <mergeCell ref="HR5:HW5"/>
    <mergeCell ref="HZ5:IE5"/>
    <mergeCell ref="IH5:IM5"/>
    <mergeCell ref="IP5:IU5"/>
    <mergeCell ref="IX5:JC5"/>
    <mergeCell ref="GJ2:GJ3"/>
    <mergeCell ref="GL3:GM3"/>
    <mergeCell ref="GQ3:GQ5"/>
    <mergeCell ref="GJ4:GP4"/>
    <mergeCell ref="GT5:GY5"/>
    <mergeCell ref="HB5:HG5"/>
    <mergeCell ref="HJ5:HO5"/>
    <mergeCell ref="EJ3:EK3"/>
    <mergeCell ref="EM3:EN3"/>
    <mergeCell ref="EO3:EO4"/>
    <mergeCell ref="EH4:EN4"/>
    <mergeCell ref="EO5:EO6"/>
    <mergeCell ref="EI7:EK7"/>
    <mergeCell ref="EL7:EN7"/>
    <mergeCell ref="DQ2:DU2"/>
    <mergeCell ref="DY2:DY3"/>
    <mergeCell ref="DZ2:ED2"/>
    <mergeCell ref="EH2:EH3"/>
    <mergeCell ref="EI2:EM2"/>
    <mergeCell ref="EQ2:EQ3"/>
    <mergeCell ref="EZ2:EZ3"/>
    <mergeCell ref="DW4:DW5"/>
    <mergeCell ref="DW6:DW7"/>
    <mergeCell ref="IP6:IS6"/>
    <mergeCell ref="IW6:IW7"/>
    <mergeCell ref="IX6:JA6"/>
    <mergeCell ref="IQ7:IR7"/>
    <mergeCell ref="IT7:IU7"/>
    <mergeCell ref="IY7:IZ7"/>
    <mergeCell ref="JB7:JC7"/>
    <mergeCell ref="ER7:ET7"/>
    <mergeCell ref="EU7:EW7"/>
    <mergeCell ref="GB7:GD7"/>
    <mergeCell ref="GE7:GG7"/>
    <mergeCell ref="GK7:GM7"/>
    <mergeCell ref="GN7:GP7"/>
    <mergeCell ref="HR6:HU6"/>
    <mergeCell ref="HS7:HT7"/>
    <mergeCell ref="ID7:IE7"/>
    <mergeCell ref="II7:IJ7"/>
    <mergeCell ref="IL7:IM7"/>
    <mergeCell ref="CR2:CW4"/>
    <mergeCell ref="CX2:CX4"/>
    <mergeCell ref="CZ2:DE4"/>
    <mergeCell ref="DF2:DF4"/>
    <mergeCell ref="DH2:DM4"/>
    <mergeCell ref="DN2:DN4"/>
    <mergeCell ref="DP2:DP3"/>
    <mergeCell ref="ER2:EV2"/>
    <mergeCell ref="FA2:FE2"/>
    <mergeCell ref="FJ2:FN2"/>
    <mergeCell ref="FS2:FW2"/>
    <mergeCell ref="GB2:GF2"/>
    <mergeCell ref="GK2:GO2"/>
    <mergeCell ref="IG2:IL4"/>
    <mergeCell ref="IM2:IM4"/>
    <mergeCell ref="IO2:IT4"/>
    <mergeCell ref="IU2:IU4"/>
    <mergeCell ref="IW2:JB4"/>
    <mergeCell ref="JC2:JC4"/>
    <mergeCell ref="HG2:HG4"/>
    <mergeCell ref="HI2:HN4"/>
    <mergeCell ref="HO2:HO4"/>
    <mergeCell ref="HQ2:HV4"/>
    <mergeCell ref="HW2:HW4"/>
    <mergeCell ref="HY2:ID4"/>
    <mergeCell ref="IE2:IE4"/>
    <mergeCell ref="BJ2:BN2"/>
    <mergeCell ref="BK3:BL3"/>
    <mergeCell ref="DR3:DS3"/>
    <mergeCell ref="DU3:DV3"/>
    <mergeCell ref="DP4:DV4"/>
    <mergeCell ref="FB3:FC3"/>
    <mergeCell ref="FE3:FF3"/>
    <mergeCell ref="EZ4:FF4"/>
    <mergeCell ref="DI6:DL6"/>
    <mergeCell ref="DJ7:DK7"/>
    <mergeCell ref="DI10:DK10"/>
    <mergeCell ref="DL10:DN10"/>
    <mergeCell ref="DH11:DM11"/>
    <mergeCell ref="DH12:DJ12"/>
    <mergeCell ref="DM7:DN7"/>
    <mergeCell ref="DQ7:DS7"/>
    <mergeCell ref="DQ8:DS8"/>
    <mergeCell ref="DP9:DR9"/>
    <mergeCell ref="DP10:DR10"/>
    <mergeCell ref="DP11:DR11"/>
    <mergeCell ref="DP12:DR12"/>
    <mergeCell ref="EA3:EB3"/>
    <mergeCell ref="ED3:EE3"/>
    <mergeCell ref="EF3:EF5"/>
    <mergeCell ref="DY4:EE4"/>
    <mergeCell ref="DH5:DN5"/>
    <mergeCell ref="DH6:DH7"/>
    <mergeCell ref="EF6:EF7"/>
    <mergeCell ref="EC7:EE7"/>
    <mergeCell ref="DZ8:EB8"/>
    <mergeCell ref="DY9:EA9"/>
    <mergeCell ref="DW10:DW11"/>
    <mergeCell ref="DY10:EA10"/>
    <mergeCell ref="DY11:EA11"/>
    <mergeCell ref="DY12:EA12"/>
    <mergeCell ref="DT7:DV7"/>
    <mergeCell ref="DZ7:EB7"/>
    <mergeCell ref="EO7:EO9"/>
    <mergeCell ref="DT8:DV8"/>
    <mergeCell ref="DW8:DW9"/>
    <mergeCell ref="EF8:EF9"/>
    <mergeCell ref="EL8:EN8"/>
    <mergeCell ref="EH9:EJ9"/>
    <mergeCell ref="EH12:EJ12"/>
    <mergeCell ref="EH13:EO13"/>
    <mergeCell ref="EQ13:EX13"/>
    <mergeCell ref="EC8:EE8"/>
    <mergeCell ref="EI8:EK8"/>
    <mergeCell ref="EH10:EJ10"/>
    <mergeCell ref="EO10:EO11"/>
    <mergeCell ref="EF11:EF12"/>
    <mergeCell ref="EH11:EJ11"/>
    <mergeCell ref="EQ12:ES12"/>
    <mergeCell ref="GU7:GV7"/>
    <mergeCell ref="GX7:GY7"/>
    <mergeCell ref="HC7:HD7"/>
    <mergeCell ref="HF7:HG7"/>
    <mergeCell ref="GQ6:GQ7"/>
    <mergeCell ref="GS6:GS7"/>
    <mergeCell ref="GT6:GW6"/>
    <mergeCell ref="HA6:HA7"/>
    <mergeCell ref="HB6:HE6"/>
    <mergeCell ref="HI6:HI7"/>
    <mergeCell ref="HJ6:HM6"/>
    <mergeCell ref="HK7:HL7"/>
    <mergeCell ref="HZ6:IC6"/>
    <mergeCell ref="IA7:IB7"/>
    <mergeCell ref="HQ6:HQ7"/>
    <mergeCell ref="HY6:HY7"/>
    <mergeCell ref="IG6:IG7"/>
    <mergeCell ref="IH6:IK6"/>
    <mergeCell ref="IO6:IO7"/>
    <mergeCell ref="HN7:HO7"/>
    <mergeCell ref="HV7:HW7"/>
    <mergeCell ref="CB2:CF2"/>
    <mergeCell ref="CC3:CD3"/>
    <mergeCell ref="CH3:CH5"/>
    <mergeCell ref="BY4:BY5"/>
    <mergeCell ref="CA4:CG4"/>
    <mergeCell ref="CJ5:CP5"/>
    <mergeCell ref="CR5:CX5"/>
    <mergeCell ref="CZ5:DF5"/>
    <mergeCell ref="BS2:BW2"/>
    <mergeCell ref="BT3:BU3"/>
    <mergeCell ref="BY6:BY7"/>
    <mergeCell ref="CH6:CH8"/>
    <mergeCell ref="CJ6:CJ7"/>
    <mergeCell ref="CK6:CN6"/>
    <mergeCell ref="CR6:CR7"/>
    <mergeCell ref="CA9:CC9"/>
    <mergeCell ref="CA11:CC11"/>
    <mergeCell ref="CJ11:CO11"/>
    <mergeCell ref="CR11:CW11"/>
    <mergeCell ref="CZ11:DE11"/>
    <mergeCell ref="CA10:CC10"/>
    <mergeCell ref="CK10:CM10"/>
    <mergeCell ref="CN10:CP10"/>
    <mergeCell ref="CS10:CU10"/>
    <mergeCell ref="CV10:CX10"/>
    <mergeCell ref="DA10:DC10"/>
    <mergeCell ref="DD10:DF10"/>
    <mergeCell ref="BR12:BT12"/>
    <mergeCell ref="CA12:CC12"/>
    <mergeCell ref="CJ12:CL12"/>
    <mergeCell ref="CR12:CT12"/>
    <mergeCell ref="CZ12:DB12"/>
    <mergeCell ref="CB8:CD8"/>
    <mergeCell ref="CE8:CG8"/>
    <mergeCell ref="BR9:BT9"/>
    <mergeCell ref="CH9:CH12"/>
    <mergeCell ref="BR10:BT10"/>
    <mergeCell ref="BY10:BY11"/>
    <mergeCell ref="BR11:BT11"/>
    <mergeCell ref="BN3:BO3"/>
    <mergeCell ref="BI4:BO4"/>
    <mergeCell ref="BG5:BG6"/>
    <mergeCell ref="BP5:BP6"/>
    <mergeCell ref="BJ7:BL7"/>
    <mergeCell ref="BM7:BO7"/>
    <mergeCell ref="BJ8:BL8"/>
    <mergeCell ref="BM8:BO8"/>
    <mergeCell ref="BR2:BR3"/>
    <mergeCell ref="CA2:CA3"/>
    <mergeCell ref="CJ2:CO4"/>
    <mergeCell ref="CP2:CP4"/>
    <mergeCell ref="BG3:BG4"/>
    <mergeCell ref="BW3:BX3"/>
    <mergeCell ref="CF3:CG3"/>
    <mergeCell ref="BR4:BX4"/>
    <mergeCell ref="CS6:CV6"/>
    <mergeCell ref="CZ6:CZ7"/>
    <mergeCell ref="DA6:DD6"/>
    <mergeCell ref="CT7:CU7"/>
    <mergeCell ref="CW7:CX7"/>
    <mergeCell ref="DB7:DC7"/>
    <mergeCell ref="DE7:DF7"/>
    <mergeCell ref="BS7:BU7"/>
    <mergeCell ref="BV7:BX7"/>
    <mergeCell ref="CB7:CD7"/>
    <mergeCell ref="CE7:CG7"/>
    <mergeCell ref="CL7:CM7"/>
    <mergeCell ref="CO7:CP7"/>
    <mergeCell ref="BS8:BU8"/>
    <mergeCell ref="BV8:BX8"/>
    <mergeCell ref="IC10:IE10"/>
    <mergeCell ref="IH10:IJ10"/>
    <mergeCell ref="IK10:IM10"/>
    <mergeCell ref="IP10:IR10"/>
    <mergeCell ref="IS10:IU10"/>
    <mergeCell ref="IX10:IZ10"/>
    <mergeCell ref="JA10:JC10"/>
    <mergeCell ref="HA11:HF11"/>
    <mergeCell ref="HI11:HN11"/>
    <mergeCell ref="HQ11:HV11"/>
    <mergeCell ref="HY11:ID11"/>
    <mergeCell ref="IG11:IL11"/>
    <mergeCell ref="IO11:IT11"/>
    <mergeCell ref="IW11:JB11"/>
    <mergeCell ref="HB10:HD10"/>
    <mergeCell ref="HE10:HG10"/>
    <mergeCell ref="HJ10:HL10"/>
    <mergeCell ref="HM10:HO10"/>
    <mergeCell ref="HR10:HT10"/>
    <mergeCell ref="HU10:HW10"/>
    <mergeCell ref="HZ10:IB10"/>
    <mergeCell ref="IO12:IQ12"/>
    <mergeCell ref="IW12:IY12"/>
    <mergeCell ref="GQ11:GQ12"/>
    <mergeCell ref="GS12:GU12"/>
    <mergeCell ref="HA12:HC12"/>
    <mergeCell ref="HI12:HK12"/>
    <mergeCell ref="HQ12:HS12"/>
    <mergeCell ref="HY12:IA12"/>
    <mergeCell ref="IG12:II12"/>
    <mergeCell ref="FP11:FP12"/>
    <mergeCell ref="FY11:FY12"/>
    <mergeCell ref="EZ12:FB12"/>
    <mergeCell ref="FI12:FK12"/>
    <mergeCell ref="FR12:FT12"/>
    <mergeCell ref="GA12:GC12"/>
    <mergeCell ref="GJ12:GL12"/>
    <mergeCell ref="IO13:IQ13"/>
    <mergeCell ref="IW13:IY13"/>
    <mergeCell ref="GK13:GQ13"/>
    <mergeCell ref="GS13:GU13"/>
    <mergeCell ref="HA13:HC13"/>
    <mergeCell ref="HI13:HK13"/>
    <mergeCell ref="HQ13:HS13"/>
    <mergeCell ref="HY13:IA13"/>
    <mergeCell ref="IG13:II13"/>
    <mergeCell ref="AJ4:AN4"/>
    <mergeCell ref="AQ4:AQ5"/>
    <mergeCell ref="AR4:AV4"/>
    <mergeCell ref="AK5:AL5"/>
    <mergeCell ref="AN5:AO5"/>
    <mergeCell ref="AS5:AT5"/>
    <mergeCell ref="AQ6:AW6"/>
    <mergeCell ref="V5:Y5"/>
    <mergeCell ref="AC5:AD5"/>
    <mergeCell ref="V6:Y6"/>
    <mergeCell ref="AA6:AG6"/>
    <mergeCell ref="AI6:AO6"/>
    <mergeCell ref="V7:Y7"/>
    <mergeCell ref="V8:Y8"/>
    <mergeCell ref="AI15:AO17"/>
    <mergeCell ref="AI18:AO19"/>
    <mergeCell ref="AR21:AT21"/>
    <mergeCell ref="AU21:AW21"/>
    <mergeCell ref="AJ22:AN22"/>
    <mergeCell ref="AR22:AT22"/>
    <mergeCell ref="AU22:AW22"/>
    <mergeCell ref="AI29:AK29"/>
    <mergeCell ref="AI31:AK31"/>
    <mergeCell ref="AA33:AG34"/>
    <mergeCell ref="AI33:AO34"/>
    <mergeCell ref="AK23:AL23"/>
    <mergeCell ref="AN23:AO23"/>
    <mergeCell ref="AQ23:AS23"/>
    <mergeCell ref="AQ25:AS25"/>
    <mergeCell ref="AQ28:AQ29"/>
    <mergeCell ref="AA29:AC29"/>
    <mergeCell ref="AA31:AC31"/>
    <mergeCell ref="AR34:AT34"/>
    <mergeCell ref="AU34:AW34"/>
    <mergeCell ref="AQ35:AS35"/>
    <mergeCell ref="AQ36:AS36"/>
    <mergeCell ref="AQ37:AS37"/>
    <mergeCell ref="AQ38:AS38"/>
    <mergeCell ref="AR28:AV28"/>
    <mergeCell ref="AS29:AT29"/>
    <mergeCell ref="AV29:AW29"/>
    <mergeCell ref="AX30:AX31"/>
    <mergeCell ref="AX32:AX33"/>
    <mergeCell ref="AR33:AT33"/>
    <mergeCell ref="AU33:AW33"/>
    <mergeCell ref="V15:Y15"/>
    <mergeCell ref="V16:Y16"/>
    <mergeCell ref="V14:Y14"/>
    <mergeCell ref="V17:Y17"/>
    <mergeCell ref="V18:Y18"/>
    <mergeCell ref="V20:Y20"/>
    <mergeCell ref="V21:Y22"/>
    <mergeCell ref="V25:Y25"/>
    <mergeCell ref="V31:Y31"/>
    <mergeCell ref="V38:Y39"/>
    <mergeCell ref="M4:T4"/>
    <mergeCell ref="M5:T5"/>
    <mergeCell ref="M6:T6"/>
    <mergeCell ref="N8:T8"/>
    <mergeCell ref="M9:T9"/>
    <mergeCell ref="M10:T10"/>
    <mergeCell ref="M11:T12"/>
    <mergeCell ref="AA18:AG19"/>
    <mergeCell ref="AA20:AG20"/>
    <mergeCell ref="AA22:AA23"/>
    <mergeCell ref="AB22:AF22"/>
    <mergeCell ref="AI22:AI23"/>
    <mergeCell ref="AC23:AD23"/>
    <mergeCell ref="AF23:AG23"/>
    <mergeCell ref="V10:Y11"/>
    <mergeCell ref="AA12:AC12"/>
    <mergeCell ref="AA13:AC13"/>
    <mergeCell ref="AA14:AC14"/>
    <mergeCell ref="AA15:AG17"/>
    <mergeCell ref="AQ16:AQ17"/>
    <mergeCell ref="V19:Y19"/>
    <mergeCell ref="N22:T22"/>
    <mergeCell ref="M23:T23"/>
    <mergeCell ref="M25:T25"/>
    <mergeCell ref="M31:T31"/>
    <mergeCell ref="M32:T33"/>
    <mergeCell ref="M34:T34"/>
    <mergeCell ref="M35:T36"/>
    <mergeCell ref="M37:T37"/>
    <mergeCell ref="M13:T13"/>
    <mergeCell ref="M14:T14"/>
    <mergeCell ref="N16:T16"/>
    <mergeCell ref="M17:T17"/>
    <mergeCell ref="M18:T18"/>
    <mergeCell ref="M19:T19"/>
    <mergeCell ref="M20:T20"/>
    <mergeCell ref="V32:Y32"/>
    <mergeCell ref="AA32:AC32"/>
    <mergeCell ref="AI32:AK32"/>
    <mergeCell ref="AA35:AG36"/>
    <mergeCell ref="AI35:AO36"/>
    <mergeCell ref="AA37:AG37"/>
    <mergeCell ref="V33:Y33"/>
    <mergeCell ref="V36:Y37"/>
    <mergeCell ref="AZ14:AZ15"/>
    <mergeCell ref="BA14:BE14"/>
    <mergeCell ref="BI14:BI15"/>
    <mergeCell ref="BJ14:BN14"/>
    <mergeCell ref="BR14:BR15"/>
    <mergeCell ref="BS14:BW14"/>
    <mergeCell ref="BB15:BC15"/>
    <mergeCell ref="DH17:DM19"/>
    <mergeCell ref="DN17:DN19"/>
    <mergeCell ref="DH20:DN20"/>
    <mergeCell ref="BK15:BL15"/>
    <mergeCell ref="BN15:BO15"/>
    <mergeCell ref="BP16:BP17"/>
    <mergeCell ref="AS17:AT17"/>
    <mergeCell ref="AV17:AW17"/>
    <mergeCell ref="BG17:BG18"/>
    <mergeCell ref="BY17:BY18"/>
    <mergeCell ref="CA17:CH18"/>
    <mergeCell ref="CJ17:CO19"/>
    <mergeCell ref="CP17:CP19"/>
    <mergeCell ref="CR17:CW19"/>
    <mergeCell ref="CX17:CX19"/>
    <mergeCell ref="CZ17:DE19"/>
    <mergeCell ref="DF17:DF19"/>
    <mergeCell ref="CA19:CH19"/>
    <mergeCell ref="CJ20:CP20"/>
    <mergeCell ref="CR20:CX20"/>
    <mergeCell ref="CZ20:DF20"/>
    <mergeCell ref="BA20:BC20"/>
    <mergeCell ref="AZ21:BB21"/>
    <mergeCell ref="CA20:CH20"/>
    <mergeCell ref="CA21:CH21"/>
    <mergeCell ref="CK21:CN21"/>
    <mergeCell ref="CS21:CV21"/>
    <mergeCell ref="DA21:DD21"/>
    <mergeCell ref="BP18:BP19"/>
    <mergeCell ref="BS19:BU19"/>
    <mergeCell ref="BV19:BX19"/>
    <mergeCell ref="BY19:BY20"/>
    <mergeCell ref="BS20:BU20"/>
    <mergeCell ref="BV20:BX20"/>
    <mergeCell ref="BR21:BT21"/>
    <mergeCell ref="AE27:AG27"/>
    <mergeCell ref="AJ27:AL27"/>
    <mergeCell ref="AZ26:BG26"/>
    <mergeCell ref="AZ27:BG27"/>
    <mergeCell ref="BK27:BL27"/>
    <mergeCell ref="BN27:BO27"/>
    <mergeCell ref="AZ24:BB24"/>
    <mergeCell ref="AZ25:BG25"/>
    <mergeCell ref="AQ26:AS26"/>
    <mergeCell ref="BI26:BI27"/>
    <mergeCell ref="BR26:BY26"/>
    <mergeCell ref="AB27:AD27"/>
    <mergeCell ref="AM27:AO27"/>
    <mergeCell ref="DH26:DM26"/>
    <mergeCell ref="DH27:DJ27"/>
    <mergeCell ref="CA26:CH26"/>
    <mergeCell ref="CJ26:CO26"/>
    <mergeCell ref="CZ26:DE26"/>
    <mergeCell ref="DP26:DP27"/>
    <mergeCell ref="CA27:CH27"/>
    <mergeCell ref="CJ27:CL27"/>
    <mergeCell ref="CZ27:DB27"/>
    <mergeCell ref="AQ18:AW18"/>
    <mergeCell ref="BA19:BC19"/>
    <mergeCell ref="BD19:BF19"/>
    <mergeCell ref="BG19:BG20"/>
    <mergeCell ref="BM19:BO19"/>
    <mergeCell ref="BD20:BF20"/>
    <mergeCell ref="BM20:BO20"/>
    <mergeCell ref="CO22:CP22"/>
    <mergeCell ref="CT22:CU22"/>
    <mergeCell ref="DB22:DC22"/>
    <mergeCell ref="DE22:DF22"/>
    <mergeCell ref="BJ19:BL19"/>
    <mergeCell ref="BJ20:BL20"/>
    <mergeCell ref="BI21:BK21"/>
    <mergeCell ref="BY21:BY22"/>
    <mergeCell ref="CJ21:CJ22"/>
    <mergeCell ref="CR21:CR22"/>
    <mergeCell ref="CZ21:CZ22"/>
    <mergeCell ref="CW22:CX22"/>
    <mergeCell ref="BG21:BG22"/>
    <mergeCell ref="AZ22:BB22"/>
    <mergeCell ref="AZ23:BB23"/>
    <mergeCell ref="BG23:BG24"/>
    <mergeCell ref="AA24:AG24"/>
    <mergeCell ref="AI24:AO24"/>
    <mergeCell ref="AQ24:AS24"/>
    <mergeCell ref="CV25:CX25"/>
    <mergeCell ref="DA25:DC25"/>
    <mergeCell ref="DD25:DF25"/>
    <mergeCell ref="CA22:CH22"/>
    <mergeCell ref="CL22:CM22"/>
    <mergeCell ref="CA23:CH24"/>
    <mergeCell ref="CA25:CH25"/>
    <mergeCell ref="CK25:CM25"/>
    <mergeCell ref="CN25:CP25"/>
    <mergeCell ref="CS25:CU25"/>
    <mergeCell ref="CR26:CW26"/>
    <mergeCell ref="CR27:CT27"/>
    <mergeCell ref="BB3:BC3"/>
    <mergeCell ref="BE3:BF3"/>
    <mergeCell ref="AZ4:BF4"/>
    <mergeCell ref="B2:K3"/>
    <mergeCell ref="N2:T2"/>
    <mergeCell ref="AA2:AO2"/>
    <mergeCell ref="AQ2:AX2"/>
    <mergeCell ref="AZ2:AZ3"/>
    <mergeCell ref="BA2:BE2"/>
    <mergeCell ref="BI2:BI3"/>
    <mergeCell ref="M3:T3"/>
    <mergeCell ref="V3:Y3"/>
    <mergeCell ref="V4:Y4"/>
    <mergeCell ref="AA4:AA5"/>
    <mergeCell ref="AB4:AF4"/>
    <mergeCell ref="AI4:AI5"/>
    <mergeCell ref="B5:K5"/>
    <mergeCell ref="AF5:AG5"/>
    <mergeCell ref="V9:Y9"/>
    <mergeCell ref="AB9:AD9"/>
    <mergeCell ref="AE9:AG9"/>
    <mergeCell ref="AJ9:AL9"/>
    <mergeCell ref="AM9:AO9"/>
    <mergeCell ref="AR9:AT9"/>
    <mergeCell ref="AU9:AW9"/>
    <mergeCell ref="BI9:BK9"/>
    <mergeCell ref="BG8:BG9"/>
    <mergeCell ref="BG10:BG11"/>
    <mergeCell ref="BI11:BK11"/>
    <mergeCell ref="BI12:BK12"/>
    <mergeCell ref="AV5:AW5"/>
    <mergeCell ref="AX6:AX7"/>
    <mergeCell ref="BA7:BC7"/>
    <mergeCell ref="BD7:BF7"/>
    <mergeCell ref="BA8:BC8"/>
    <mergeCell ref="BD8:BF8"/>
    <mergeCell ref="AZ9:BB9"/>
    <mergeCell ref="AI12:AK12"/>
    <mergeCell ref="AI13:AK13"/>
    <mergeCell ref="AQ13:AS13"/>
    <mergeCell ref="AE10:AG10"/>
    <mergeCell ref="AJ10:AL10"/>
    <mergeCell ref="AM10:AO10"/>
    <mergeCell ref="AR10:AT10"/>
    <mergeCell ref="AU10:AW10"/>
    <mergeCell ref="AZ10:BB10"/>
    <mergeCell ref="BI10:BK10"/>
    <mergeCell ref="AQ12:AS12"/>
    <mergeCell ref="AQ14:AS14"/>
    <mergeCell ref="AR16:AV16"/>
    <mergeCell ref="AB10:AD10"/>
    <mergeCell ref="AA11:AC11"/>
    <mergeCell ref="AI11:AK11"/>
    <mergeCell ref="AQ11:AS11"/>
    <mergeCell ref="AZ11:BB11"/>
    <mergeCell ref="AZ12:BB12"/>
    <mergeCell ref="AI14:AK14"/>
    <mergeCell ref="CA13:CH14"/>
    <mergeCell ref="CJ13:CL13"/>
    <mergeCell ref="CR13:CT13"/>
    <mergeCell ref="CZ13:DB13"/>
    <mergeCell ref="CJ14:CL14"/>
    <mergeCell ref="CR14:CT14"/>
    <mergeCell ref="CZ14:DB14"/>
    <mergeCell ref="BE15:BF15"/>
    <mergeCell ref="BG15:BG16"/>
    <mergeCell ref="AZ16:BF16"/>
    <mergeCell ref="BI16:BO16"/>
    <mergeCell ref="BT15:BU15"/>
    <mergeCell ref="BW15:BX15"/>
    <mergeCell ref="BY15:BY16"/>
    <mergeCell ref="CA15:CH16"/>
    <mergeCell ref="CJ15:CL15"/>
    <mergeCell ref="CR15:CT15"/>
    <mergeCell ref="CZ15:DB15"/>
    <mergeCell ref="BR16:BX16"/>
    <mergeCell ref="EA15:EB15"/>
    <mergeCell ref="ED15:EE15"/>
    <mergeCell ref="DZ20:EB20"/>
    <mergeCell ref="EC20:EE20"/>
    <mergeCell ref="EF20:EF21"/>
    <mergeCell ref="EI20:EK20"/>
    <mergeCell ref="EL20:EN20"/>
    <mergeCell ref="DY21:EA21"/>
    <mergeCell ref="EL21:EN21"/>
    <mergeCell ref="EI21:EK21"/>
    <mergeCell ref="EH22:EJ22"/>
    <mergeCell ref="EF23:EF24"/>
    <mergeCell ref="EH23:EJ23"/>
    <mergeCell ref="EO23:EO24"/>
    <mergeCell ref="EX23:EX24"/>
    <mergeCell ref="DY24:EA24"/>
    <mergeCell ref="EH24:EJ24"/>
    <mergeCell ref="EH25:EJ25"/>
    <mergeCell ref="EQ25:ES25"/>
    <mergeCell ref="EX25:EX26"/>
    <mergeCell ref="EH26:EO26"/>
    <mergeCell ref="EQ26:ES26"/>
    <mergeCell ref="EZ26:EZ27"/>
    <mergeCell ref="EI33:EK33"/>
    <mergeCell ref="EI34:EK34"/>
    <mergeCell ref="EL34:EN34"/>
    <mergeCell ref="EH35:EJ35"/>
    <mergeCell ref="EH36:EJ36"/>
    <mergeCell ref="EH28:EH29"/>
    <mergeCell ref="EI28:EM28"/>
    <mergeCell ref="EJ29:EK29"/>
    <mergeCell ref="EM29:EN29"/>
    <mergeCell ref="EO29:EO30"/>
    <mergeCell ref="EH30:EN30"/>
    <mergeCell ref="EL33:EN33"/>
    <mergeCell ref="EZ34:FB34"/>
    <mergeCell ref="EZ35:FB35"/>
    <mergeCell ref="EZ36:FB36"/>
    <mergeCell ref="FB27:FC27"/>
    <mergeCell ref="FE27:FF27"/>
    <mergeCell ref="FA31:FC31"/>
    <mergeCell ref="FD31:FF31"/>
    <mergeCell ref="FA32:FC32"/>
    <mergeCell ref="FD32:FF32"/>
    <mergeCell ref="EZ33:FB33"/>
    <mergeCell ref="B7:K9"/>
    <mergeCell ref="B11:K11"/>
    <mergeCell ref="K13:K14"/>
    <mergeCell ref="B15:K15"/>
    <mergeCell ref="B16:K16"/>
    <mergeCell ref="B17:K17"/>
    <mergeCell ref="B18:K18"/>
    <mergeCell ref="M26:T26"/>
    <mergeCell ref="M27:T27"/>
    <mergeCell ref="V28:Y28"/>
    <mergeCell ref="AB28:AD28"/>
    <mergeCell ref="AE28:AG28"/>
    <mergeCell ref="AJ28:AL28"/>
    <mergeCell ref="AM28:AO28"/>
    <mergeCell ref="B19:K22"/>
    <mergeCell ref="B23:K24"/>
    <mergeCell ref="M24:T24"/>
    <mergeCell ref="W24:Y24"/>
    <mergeCell ref="E26:K26"/>
    <mergeCell ref="V26:Y26"/>
    <mergeCell ref="V27:Y27"/>
    <mergeCell ref="B31:K31"/>
    <mergeCell ref="B32:K32"/>
    <mergeCell ref="B33:K33"/>
    <mergeCell ref="B34:K35"/>
    <mergeCell ref="V34:Y35"/>
    <mergeCell ref="B27:K27"/>
    <mergeCell ref="B28:K28"/>
    <mergeCell ref="B29:K29"/>
    <mergeCell ref="B30:K30"/>
    <mergeCell ref="M30:T30"/>
    <mergeCell ref="AA30:AC30"/>
    <mergeCell ref="AI30:AK30"/>
    <mergeCell ref="DH21:DH22"/>
    <mergeCell ref="DI21:DL21"/>
    <mergeCell ref="DP21:DR21"/>
    <mergeCell ref="DW21:DW22"/>
    <mergeCell ref="DJ22:DK22"/>
    <mergeCell ref="DM22:DN22"/>
    <mergeCell ref="DY22:EA22"/>
    <mergeCell ref="DP22:DR22"/>
    <mergeCell ref="DP23:DR23"/>
    <mergeCell ref="DY23:EA23"/>
    <mergeCell ref="DP24:DR24"/>
    <mergeCell ref="DI25:DK25"/>
    <mergeCell ref="DL25:DN25"/>
    <mergeCell ref="DQ26:DU26"/>
    <mergeCell ref="DR27:DS27"/>
    <mergeCell ref="DU27:DV27"/>
    <mergeCell ref="DH28:DJ28"/>
    <mergeCell ref="DP28:DV28"/>
    <mergeCell ref="DW28:DW30"/>
    <mergeCell ref="DH29:DJ29"/>
    <mergeCell ref="DH30:DJ30"/>
    <mergeCell ref="DP34:DR34"/>
    <mergeCell ref="DP35:DR35"/>
    <mergeCell ref="DP36:DR36"/>
    <mergeCell ref="DQ31:DS31"/>
    <mergeCell ref="DT31:DV31"/>
    <mergeCell ref="DQ32:DS32"/>
    <mergeCell ref="DT32:DV32"/>
    <mergeCell ref="DW32:DW33"/>
    <mergeCell ref="DP33:DR33"/>
    <mergeCell ref="DW34:DW35"/>
    <mergeCell ref="DH13:DJ13"/>
    <mergeCell ref="DH14:DJ14"/>
    <mergeCell ref="DP14:DP15"/>
    <mergeCell ref="DQ14:DU14"/>
    <mergeCell ref="DY14:DY15"/>
    <mergeCell ref="DZ14:ED14"/>
    <mergeCell ref="DH15:DJ15"/>
    <mergeCell ref="EO16:EO17"/>
    <mergeCell ref="EO18:EO19"/>
    <mergeCell ref="EO20:EO22"/>
    <mergeCell ref="EI15:EM15"/>
    <mergeCell ref="EJ16:EK16"/>
    <mergeCell ref="EM16:EN16"/>
    <mergeCell ref="EQ16:EQ17"/>
    <mergeCell ref="EH17:EN17"/>
    <mergeCell ref="ES17:ET17"/>
    <mergeCell ref="EF18:EF19"/>
    <mergeCell ref="DR15:DS15"/>
    <mergeCell ref="DU15:DV15"/>
    <mergeCell ref="EF15:EF17"/>
    <mergeCell ref="EH15:EH16"/>
    <mergeCell ref="DP16:DV16"/>
    <mergeCell ref="DW16:DW17"/>
    <mergeCell ref="DY16:EE16"/>
    <mergeCell ref="DQ19:DS19"/>
    <mergeCell ref="DT19:DV19"/>
    <mergeCell ref="DW19:DW20"/>
    <mergeCell ref="DZ19:EB19"/>
    <mergeCell ref="EC19:EE19"/>
    <mergeCell ref="DQ20:DS20"/>
    <mergeCell ref="DT20:DV20"/>
    <mergeCell ref="ER22:ET22"/>
    <mergeCell ref="EU22:EW22"/>
    <mergeCell ref="EV17:EW17"/>
    <mergeCell ref="EX17:EX18"/>
    <mergeCell ref="EQ18:EW18"/>
    <mergeCell ref="EX19:EX20"/>
    <mergeCell ref="ER21:ET21"/>
    <mergeCell ref="EU21:EW21"/>
    <mergeCell ref="EX21:EX22"/>
    <mergeCell ref="BI22:BK22"/>
    <mergeCell ref="BR22:BT22"/>
    <mergeCell ref="BI23:BK23"/>
    <mergeCell ref="BR23:BT23"/>
    <mergeCell ref="BY23:BY24"/>
    <mergeCell ref="BR24:BT24"/>
    <mergeCell ref="BR25:BY25"/>
    <mergeCell ref="CR28:CT28"/>
    <mergeCell ref="CR29:CT29"/>
    <mergeCell ref="CA30:CH30"/>
    <mergeCell ref="CJ30:CL30"/>
    <mergeCell ref="CR30:CT30"/>
    <mergeCell ref="CZ30:DB30"/>
    <mergeCell ref="BI24:BK24"/>
    <mergeCell ref="BJ26:BN26"/>
    <mergeCell ref="AZ28:BG28"/>
    <mergeCell ref="CA28:CH29"/>
    <mergeCell ref="CJ28:CL28"/>
    <mergeCell ref="CZ28:DB28"/>
    <mergeCell ref="CJ29:CL29"/>
    <mergeCell ref="CZ29:DB29"/>
    <mergeCell ref="BI33:BK33"/>
    <mergeCell ref="BI34:BK34"/>
    <mergeCell ref="BI35:BK35"/>
    <mergeCell ref="BI36:BK36"/>
    <mergeCell ref="BI28:BO28"/>
    <mergeCell ref="BP29:BP30"/>
    <mergeCell ref="AQ30:AW30"/>
    <mergeCell ref="BJ31:BL31"/>
    <mergeCell ref="BM31:BO31"/>
    <mergeCell ref="BJ32:BL32"/>
    <mergeCell ref="BM32:BO32"/>
    <mergeCell ref="FJ20:FL20"/>
    <mergeCell ref="FI21:FK21"/>
    <mergeCell ref="FJ19:FL19"/>
    <mergeCell ref="FM19:FO19"/>
    <mergeCell ref="FA20:FC20"/>
    <mergeCell ref="FD20:FF20"/>
    <mergeCell ref="FM20:FO20"/>
    <mergeCell ref="FP20:FP21"/>
    <mergeCell ref="EZ21:FB21"/>
    <mergeCell ref="FY22:FY23"/>
    <mergeCell ref="GA23:GC23"/>
    <mergeCell ref="GH23:GH24"/>
    <mergeCell ref="GA24:GC24"/>
    <mergeCell ref="GA25:GH25"/>
    <mergeCell ref="EZ23:FB23"/>
    <mergeCell ref="EZ24:FB24"/>
    <mergeCell ref="FA26:FE26"/>
    <mergeCell ref="EZ28:FF28"/>
    <mergeCell ref="FR23:FT23"/>
    <mergeCell ref="FR24:FT24"/>
    <mergeCell ref="EZ22:FB22"/>
    <mergeCell ref="FI22:FK22"/>
    <mergeCell ref="FP22:FP23"/>
    <mergeCell ref="EQ23:ES23"/>
    <mergeCell ref="FI23:FK23"/>
    <mergeCell ref="EQ24:ES24"/>
    <mergeCell ref="FI24:FK24"/>
    <mergeCell ref="FI25:FP25"/>
    <mergeCell ref="FI26:FP26"/>
    <mergeCell ref="FS26:FY26"/>
    <mergeCell ref="FR27:FY27"/>
    <mergeCell ref="GA27:GA28"/>
    <mergeCell ref="GB27:GF27"/>
    <mergeCell ref="FJ28:FN28"/>
    <mergeCell ref="FR29:FY29"/>
    <mergeCell ref="GA29:GG29"/>
    <mergeCell ref="IO29:IQ29"/>
    <mergeCell ref="IW29:IY29"/>
    <mergeCell ref="IO30:IQ30"/>
    <mergeCell ref="IW30:IY30"/>
    <mergeCell ref="FR28:FY28"/>
    <mergeCell ref="GC28:GD28"/>
    <mergeCell ref="GF28:GG28"/>
    <mergeCell ref="GH28:GH29"/>
    <mergeCell ref="FK29:FL29"/>
    <mergeCell ref="FN29:FO29"/>
    <mergeCell ref="FP29:FP30"/>
    <mergeCell ref="GH30:GH31"/>
    <mergeCell ref="HA29:HC29"/>
    <mergeCell ref="HA30:HC30"/>
    <mergeCell ref="HQ29:HS29"/>
    <mergeCell ref="HQ30:HS30"/>
    <mergeCell ref="IG29:II29"/>
    <mergeCell ref="IG30:II30"/>
    <mergeCell ref="GJ29:GQ30"/>
    <mergeCell ref="GS29:GU29"/>
    <mergeCell ref="HI29:HK29"/>
    <mergeCell ref="HY29:IA29"/>
    <mergeCell ref="GS30:GU30"/>
    <mergeCell ref="HI30:HK30"/>
    <mergeCell ref="HY30:IA30"/>
    <mergeCell ref="FI37:FK37"/>
    <mergeCell ref="FI38:FK38"/>
    <mergeCell ref="EH38:EJ38"/>
    <mergeCell ref="EH39:EO39"/>
    <mergeCell ref="GA39:GH39"/>
    <mergeCell ref="GA40:GH40"/>
    <mergeCell ref="FI35:FK35"/>
    <mergeCell ref="FR35:FY35"/>
    <mergeCell ref="FR36:FY36"/>
    <mergeCell ref="GA36:GC36"/>
    <mergeCell ref="EH37:EJ37"/>
    <mergeCell ref="GA37:GC37"/>
    <mergeCell ref="GA38:GH38"/>
    <mergeCell ref="GE32:GG32"/>
    <mergeCell ref="GH32:GH33"/>
    <mergeCell ref="GE33:GG33"/>
    <mergeCell ref="GH36:GH37"/>
    <mergeCell ref="FP31:FP33"/>
    <mergeCell ref="FJ33:FL33"/>
    <mergeCell ref="FM33:FO33"/>
    <mergeCell ref="GB32:GD32"/>
    <mergeCell ref="GB33:GD33"/>
    <mergeCell ref="FJ34:FL34"/>
    <mergeCell ref="FM34:FO34"/>
    <mergeCell ref="FP34:FP36"/>
    <mergeCell ref="FI36:FK36"/>
    <mergeCell ref="FR34:FY34"/>
    <mergeCell ref="GA34:GC34"/>
    <mergeCell ref="GJ31:GQ33"/>
    <mergeCell ref="GJ34:GQ35"/>
    <mergeCell ref="GJ36:GQ36"/>
    <mergeCell ref="GJ37:GQ37"/>
    <mergeCell ref="FI30:FO30"/>
    <mergeCell ref="FR30:FY30"/>
    <mergeCell ref="EO31:EO32"/>
    <mergeCell ref="FS32:FY32"/>
    <mergeCell ref="EO33:EO35"/>
    <mergeCell ref="FR33:FY33"/>
    <mergeCell ref="GH34:GH35"/>
    <mergeCell ref="GA35:GC35"/>
    <mergeCell ref="FR9:FT9"/>
    <mergeCell ref="FR10:FT10"/>
    <mergeCell ref="FJ8:FL8"/>
    <mergeCell ref="FM8:FO8"/>
    <mergeCell ref="FP8:FP10"/>
    <mergeCell ref="FI9:FK9"/>
    <mergeCell ref="FY9:FY10"/>
    <mergeCell ref="GA9:GC9"/>
    <mergeCell ref="FI10:FK10"/>
    <mergeCell ref="GA10:GC10"/>
    <mergeCell ref="FA7:FC7"/>
    <mergeCell ref="FD7:FF7"/>
    <mergeCell ref="FJ7:FL7"/>
    <mergeCell ref="FM7:FO7"/>
    <mergeCell ref="FA8:FC8"/>
    <mergeCell ref="FD8:FF8"/>
    <mergeCell ref="EZ9:FB9"/>
    <mergeCell ref="EZ10:FB10"/>
    <mergeCell ref="EZ11:FB11"/>
    <mergeCell ref="FI11:FK11"/>
    <mergeCell ref="FR11:FT11"/>
    <mergeCell ref="GA11:GC11"/>
    <mergeCell ref="ES3:ET3"/>
    <mergeCell ref="EV3:EW3"/>
    <mergeCell ref="EX3:EX4"/>
    <mergeCell ref="EQ4:EW4"/>
    <mergeCell ref="EX5:EX8"/>
    <mergeCell ref="FP6:FP7"/>
    <mergeCell ref="FY6:FY7"/>
    <mergeCell ref="FS7:FU7"/>
    <mergeCell ref="FV7:FX7"/>
    <mergeCell ref="GH7:GH8"/>
    <mergeCell ref="FS8:FU8"/>
    <mergeCell ref="FV8:FX8"/>
    <mergeCell ref="GB8:GD8"/>
    <mergeCell ref="GE8:GG8"/>
    <mergeCell ref="GT10:GV10"/>
    <mergeCell ref="GS11:GX11"/>
    <mergeCell ref="GK8:GM8"/>
    <mergeCell ref="GN8:GP8"/>
    <mergeCell ref="GQ8:GQ10"/>
    <mergeCell ref="GJ9:GL9"/>
    <mergeCell ref="GJ10:GL10"/>
    <mergeCell ref="GW10:GY10"/>
    <mergeCell ref="GJ11:GL11"/>
    <mergeCell ref="ER8:ET8"/>
    <mergeCell ref="EU8:EW8"/>
    <mergeCell ref="EQ9:ES9"/>
    <mergeCell ref="EX9:EX11"/>
    <mergeCell ref="EQ10:ES10"/>
    <mergeCell ref="EQ11:ES11"/>
    <mergeCell ref="EZ14:EZ15"/>
    <mergeCell ref="ER16:EV16"/>
    <mergeCell ref="IG14:II14"/>
    <mergeCell ref="IO14:IQ14"/>
    <mergeCell ref="IW14:IY14"/>
    <mergeCell ref="GB14:GF14"/>
    <mergeCell ref="GK14:GQ14"/>
    <mergeCell ref="GS14:GU14"/>
    <mergeCell ref="HA14:HC14"/>
    <mergeCell ref="HI14:HK14"/>
    <mergeCell ref="HQ14:HS14"/>
    <mergeCell ref="HY14:IA14"/>
    <mergeCell ref="FB15:FC15"/>
    <mergeCell ref="FE15:FF15"/>
    <mergeCell ref="EZ16:FF16"/>
    <mergeCell ref="FK15:FL15"/>
    <mergeCell ref="FN15:FO15"/>
    <mergeCell ref="FP15:FP16"/>
    <mergeCell ref="FI16:FO16"/>
    <mergeCell ref="FR16:FX16"/>
    <mergeCell ref="EQ14:EX14"/>
    <mergeCell ref="FA14:FE14"/>
    <mergeCell ref="FI14:FI15"/>
    <mergeCell ref="FJ14:FN14"/>
    <mergeCell ref="FR14:FR15"/>
    <mergeCell ref="FS14:FW14"/>
    <mergeCell ref="GA14:GA15"/>
    <mergeCell ref="HQ15:HS15"/>
    <mergeCell ref="HY15:IA15"/>
    <mergeCell ref="IG15:II15"/>
    <mergeCell ref="IO15:IQ15"/>
    <mergeCell ref="IW15:IY15"/>
    <mergeCell ref="GC15:GD15"/>
    <mergeCell ref="GF15:GG15"/>
    <mergeCell ref="GH15:GH16"/>
    <mergeCell ref="GS15:GU15"/>
    <mergeCell ref="HA15:HC15"/>
    <mergeCell ref="HI15:HK15"/>
    <mergeCell ref="GA16:GG16"/>
    <mergeCell ref="HG17:HG19"/>
    <mergeCell ref="HI17:HN19"/>
    <mergeCell ref="HO17:HO19"/>
    <mergeCell ref="HQ17:HV19"/>
    <mergeCell ref="HW17:HW19"/>
    <mergeCell ref="HY17:ID19"/>
    <mergeCell ref="IE17:IE19"/>
    <mergeCell ref="FT15:FU15"/>
    <mergeCell ref="FW15:FX15"/>
    <mergeCell ref="FY15:FY16"/>
    <mergeCell ref="FP18:FP19"/>
    <mergeCell ref="FY18:FY19"/>
    <mergeCell ref="FA19:FC19"/>
    <mergeCell ref="FD19:FF19"/>
    <mergeCell ref="GK18:GQ18"/>
    <mergeCell ref="GK19:GQ19"/>
    <mergeCell ref="GK20:GQ20"/>
    <mergeCell ref="GT20:GY20"/>
    <mergeCell ref="HB20:HG20"/>
    <mergeCell ref="HJ20:HO20"/>
    <mergeCell ref="HR20:HW20"/>
    <mergeCell ref="HZ20:IE20"/>
    <mergeCell ref="GK15:GQ15"/>
    <mergeCell ref="GK16:GQ16"/>
    <mergeCell ref="GH17:GH18"/>
    <mergeCell ref="GK17:GQ17"/>
    <mergeCell ref="GS17:GX19"/>
    <mergeCell ref="GY17:GY19"/>
    <mergeCell ref="HA17:HF19"/>
    <mergeCell ref="IP20:IU20"/>
    <mergeCell ref="IX20:JC20"/>
    <mergeCell ref="IG17:IL19"/>
    <mergeCell ref="IM17:IM19"/>
    <mergeCell ref="IO17:IT19"/>
    <mergeCell ref="IU17:IU19"/>
    <mergeCell ref="IW17:JB19"/>
    <mergeCell ref="JC17:JC19"/>
    <mergeCell ref="IH20:IM20"/>
    <mergeCell ref="HB21:HE21"/>
    <mergeCell ref="HC22:HD22"/>
    <mergeCell ref="HB25:HD25"/>
    <mergeCell ref="HE25:HG25"/>
    <mergeCell ref="HA26:HF26"/>
    <mergeCell ref="HA27:HC27"/>
    <mergeCell ref="HA28:HC28"/>
    <mergeCell ref="GK21:GQ21"/>
    <mergeCell ref="GS21:GS22"/>
    <mergeCell ref="HA21:HA22"/>
    <mergeCell ref="HI21:HI22"/>
    <mergeCell ref="GK22:GQ22"/>
    <mergeCell ref="GX22:GY22"/>
    <mergeCell ref="HF22:HG22"/>
    <mergeCell ref="IC25:IE25"/>
    <mergeCell ref="IH25:IJ25"/>
    <mergeCell ref="IK25:IM25"/>
    <mergeCell ref="IP25:IR25"/>
    <mergeCell ref="IS25:IU25"/>
    <mergeCell ref="IX25:IZ25"/>
    <mergeCell ref="JA25:JC25"/>
    <mergeCell ref="HI26:HN26"/>
    <mergeCell ref="HQ26:HV26"/>
    <mergeCell ref="HY26:ID26"/>
    <mergeCell ref="IG26:IL26"/>
    <mergeCell ref="IO26:IT26"/>
    <mergeCell ref="IW26:JB26"/>
    <mergeCell ref="HJ21:HM21"/>
    <mergeCell ref="HK22:HL22"/>
    <mergeCell ref="HJ25:HL25"/>
    <mergeCell ref="HM25:HO25"/>
    <mergeCell ref="HR25:HT25"/>
    <mergeCell ref="HU25:HW25"/>
    <mergeCell ref="HZ25:IB25"/>
    <mergeCell ref="GK27:GQ27"/>
    <mergeCell ref="GS27:GU27"/>
    <mergeCell ref="HI27:HK27"/>
    <mergeCell ref="HQ27:HS27"/>
    <mergeCell ref="HY27:IA27"/>
    <mergeCell ref="IG27:II27"/>
    <mergeCell ref="IO27:IQ27"/>
    <mergeCell ref="IW27:IY27"/>
    <mergeCell ref="GK28:GQ28"/>
    <mergeCell ref="GS28:GU28"/>
    <mergeCell ref="HI28:HK28"/>
    <mergeCell ref="HQ28:HS28"/>
    <mergeCell ref="HY28:IA28"/>
    <mergeCell ref="IG28:II28"/>
    <mergeCell ref="IO28:IQ28"/>
    <mergeCell ref="IW28:IY28"/>
    <mergeCell ref="GK23:GQ23"/>
    <mergeCell ref="GK24:GQ24"/>
    <mergeCell ref="GK25:GQ25"/>
    <mergeCell ref="GT25:GV25"/>
    <mergeCell ref="GW25:GY25"/>
    <mergeCell ref="GK26:GQ26"/>
    <mergeCell ref="GS26:GX26"/>
    <mergeCell ref="HZ21:IC21"/>
    <mergeCell ref="IA22:IB22"/>
    <mergeCell ref="IH21:IK21"/>
    <mergeCell ref="II22:IJ22"/>
    <mergeCell ref="HQ21:HQ22"/>
    <mergeCell ref="HY21:HY22"/>
    <mergeCell ref="IG21:IG22"/>
    <mergeCell ref="IO21:IO22"/>
    <mergeCell ref="HN22:HO22"/>
    <mergeCell ref="HV22:HW22"/>
    <mergeCell ref="ID22:IE22"/>
    <mergeCell ref="IL22:IM22"/>
    <mergeCell ref="GB19:GD19"/>
    <mergeCell ref="GB20:GD20"/>
    <mergeCell ref="GA22:GC22"/>
    <mergeCell ref="FS20:FU20"/>
    <mergeCell ref="FR21:FT21"/>
    <mergeCell ref="FR22:FT22"/>
    <mergeCell ref="GH19:GH20"/>
    <mergeCell ref="GH21:GH22"/>
    <mergeCell ref="FS19:FU19"/>
    <mergeCell ref="FV19:FX19"/>
    <mergeCell ref="GE19:GG19"/>
    <mergeCell ref="FV20:FX20"/>
    <mergeCell ref="FY20:FY21"/>
    <mergeCell ref="GE20:GG20"/>
    <mergeCell ref="GA21:GC21"/>
    <mergeCell ref="IP21:IS21"/>
    <mergeCell ref="IW21:IW22"/>
    <mergeCell ref="IX21:JA21"/>
    <mergeCell ref="IQ22:IR22"/>
    <mergeCell ref="IT22:IU22"/>
    <mergeCell ref="IY22:IZ22"/>
    <mergeCell ref="JB22:JC22"/>
    <mergeCell ref="GT21:GW21"/>
    <mergeCell ref="GU22:GV22"/>
    <mergeCell ref="HR21:HU21"/>
    <mergeCell ref="HS22:HT22"/>
  </mergeCells>
  <conditionalFormatting sqref="AA4:AG14 AA22:AG32 AH22 AH27 AI4:AO14 AI20:AO32 AP2 AQ2:AW38 AX2 AX8:AX12 AZ2:BF36 BI2:BO12 BI14:BO24 BI26:BO36 BR2:BX12 BR14:BX24 CA2:CG12 CA25:CG40 CH26:CH36 CI17:CI36 CJ2:CP36 CQ17:CQ36 CR2:CX37 CY17:CY36 CZ2:DF40 DG17:DG36 DH2:DN37 DP2:DV12 DP14:DV24 DP26:DV36 DY2:EE12 DY14:EE24 DY27:EE36 EH2:EH26 EH28:EN39 EI2:EN12 EI14:EN26 EQ2:EW13 EQ16:EW26 EZ2:FF12 EZ14:FF24 EZ26:FF36 FI2:FO12 FI14:FO24 FI26:FO38 FR2:FX12 FR14:FX24 GA2:GG12 GA14:GG24 GA27:GG37 GJ2:GP12 GR17:HH36 GS2:GS4 GS6:GS15 GT2:GY15 HA2:HG15 HI2:HI19 HI21:HI36 HJ2:HO36 HP17:HX36 HQ2:HW15 HY2:HY4 HY6:HY36 HZ2:HZ36 IA2:IA31 IA34:IA36 IB2:IE36 IF17:IN36 IG2:IG4 IG6:IG15 IH2:IM15 IO2:IO19 IO21:IO36 IP2:IU36 IV17:JC36 IW2:JC15">
    <cfRule type="containsText" dxfId="44" priority="1" operator="containsText" text="᠎">
      <formula>NOT(ISERROR(SEARCH(("᠎"),(AA4))))</formula>
    </cfRule>
  </conditionalFormatting>
  <conditionalFormatting sqref="AA4:AG14 AA22:AG32 AH22 AH27 AI4:AO14 AI20:AO32 AP2 AQ2:AW38 AX2 AX8:AX12 AZ2:BF36 BI2:BO12 BI14:BO24 BI26:BO36 BR2:BX12 BR14:BX24 CA2:CG12 CA25:CG40 CH26:CH36 CI17:CI36 CJ2:CP36 CQ17:CQ36 CR2:CX37 CY17:CY36 CZ2:DF40 DG17:DG36 DH2:DN37 DP2:DV12 DP14:DV24 DP26:DV36 DY2:EE12 DY14:EE24 DY27:EE36 EH2:EH26 EH28:EN39 EI2:EN12 EI14:EN26 EQ2:EW13 EQ16:EW26 EZ2:FF12 EZ14:FF24 EZ26:FF36 FI2:FO12 FI14:FO24 FI26:FO38 FR2:FX12 FR14:FX24 GA2:GG12 GA14:GG24 GA27:GG37 GJ2:GP12 GR17:HH36 GS2:GS4 GS6:GS15 GT2:GY15 HA2:HG15 HI2:HI19 HI21:HI36 HJ2:HO36 HP17:HX36 HQ2:HW15 HY2:HY4 HY6:HY36 HZ2:HZ36 IA2:IA31 IA34:IA36 IB2:IE36 IF17:IN36 IG2:IG4 IG6:IG15 IH2:IM15 IO2:IO19 IO21:IO36 IP2:IU36 IV17:JC36 IW2:JC15">
    <cfRule type="containsText" dxfId="44" priority="2" operator="containsText" text="឵">
      <formula>NOT(ISERROR(SEARCH(("឵"),(AA4))))</formula>
    </cfRule>
  </conditionalFormatting>
  <conditionalFormatting sqref="AA4:AG14 AA22:AG32 AH22 AH27 AI4:AO14 AI20:AO32 AP2 AQ2:AW38 AX2 AX8:AX12 AZ2:BF36 BI2:BO12 BI14:BO24 BI26:BO36 BR2:BX12 BR14:BX24 CA2:CG12 DP2:DV12 DP14:DV24 DP26:DV36 DY2:EE12 DY14:EE24 DY27:EE36 EH2:EH26 EH28:EN39 EI2:EN12 EI14:EN26 EQ2:EW13 EQ16:EW26 EZ2:FF12 EZ14:FF24 EZ26:FF36 FI2:FO12 FI14:FO24 FI26:FO38 FR2:FX12 FR14:FX24 GA2:GG12 GA14:GG24 GA27:GG37 GJ2:GP12">
    <cfRule type="containsText" dxfId="45" priority="3" operator="containsText" text="᠋">
      <formula>NOT(ISERROR(SEARCH(("᠋"),(AA4))))</formula>
    </cfRule>
  </conditionalFormatting>
  <conditionalFormatting sqref="AA4:AG14 AA22:AG32 AH22 AH27 AI4:AO14 AI20:AO32 AP2 AQ2:AW38 AX2 AX8:AX12 AZ2:BF36 BI2:BO12 BI14:BO24 BI26:BO36 BR2:BX12 BR14:BX24 CA2:CG12 CA25:CG40 CH26:CH36 CI17:CI36 CJ2:CP36 CQ17:CQ36 CR2:CX37 CY17:CY36 CZ2:DF40 DG17:DG36 DH2:DN37 DP2:DV12 DP14:DV24 DP26:DV36 DY2:EE12 DY14:EE24 DY27:EE36 EH2:EH26 EH28:EN39 EI2:EN12 EI14:EN26 EQ2:EW13 EQ16:EW26 EZ2:FF12 EZ14:FF24 EZ26:FF36 FI2:FO12 FI14:FO24 FI26:FO38 FR2:FX12 FR14:FX24 GA2:GG12 GA14:GG24 GA27:GG37 GJ2:GP12 GR17:HH36 GS2:GS4 GS6:GS15 GT2:GY15 HA2:HG15 HI2:HI19 HI21:HI36 HJ2:HO36 HP17:HX36 HQ2:HW15 HY2:HY4 HY6:HY36 HZ2:HZ36 IA2:IA31 IA34:IA36 IB2:IE36 IF17:IN36 IG2:IG4 IG6:IG15 IH2:IM15 IO2:IO19 IO21:IO36 IP2:IU36 IV17:JC36 IW2:JC15">
    <cfRule type="containsText" dxfId="44" priority="4" operator="containsText" text="(!)">
      <formula>NOT(ISERROR(SEARCH(("(!)"),(AA4))))</formula>
    </cfRule>
  </conditionalFormatting>
  <conditionalFormatting sqref="CA25:CG40 CH26:CH36 CI17:CI36 CJ2:CP36 CQ17:CQ36 CR2:CX37 CY17:CY36 CZ2:DF40 DG17:DG36 DH2:DN37 GR17:HH36 GS2:GS4 GS6:GS15 GT2:GY15 HA2:HG15 HI2:HI19 HI21:HI36 HJ2:HO36 HP17:HX36 HQ2:HW15 HY2:HY4 HY6:HY36 HZ2:HZ36 IA2:IA31 IA34:IA36 IB2:IE36 IF17:IN36 IG2:IG4 IG6:IG15 IH2:IM15 IO2:IO19 IO21:IO36 IP2:IU36 IV17:JC36 IW2:JC15">
    <cfRule type="containsText" dxfId="45" priority="5" operator="containsText" text="᠋">
      <formula>NOT(ISERROR(SEARCH(("᠋"),(CA25))))</formula>
    </cfRule>
  </conditionalFormatting>
  <hyperlinks>
    <hyperlink display="?" location="GiFTSEVENTS!GT2:GY4" ref="GJ13"/>
    <hyperlink display="?" location="GiFTSEVENTS!HB2:HG4" ref="GJ14"/>
    <hyperlink display="?" location="GiFTSEVENTS!HJ2:HO4" ref="GJ15"/>
    <hyperlink display="?" location="GiFTSEVENTS!HR2:HW4" ref="GJ16"/>
    <hyperlink display="?" location="GiFTSEVENTS!HZ2:IE4" ref="GJ17"/>
    <hyperlink display="?" location="GiFTSEVENTS!IH2:IM4" ref="GJ18"/>
    <hyperlink display="?" location="GiFTSEVENTS!IP2:IU4" ref="GJ19"/>
    <hyperlink display="?" location="GiFTSEVENTS!IX2:JC4" ref="GJ20"/>
    <hyperlink display="?" location="GiFTSEVENTS!GT17:GY19" ref="GJ21"/>
    <hyperlink display="?" location="GiFTSEVENTS!HB17:HG19" ref="GJ22"/>
    <hyperlink display="?" location="GiFTSEVENTS!HJ17:HO19" ref="GJ23"/>
    <hyperlink display="?" location="GiFTSEVENTS!HR17:HW19" ref="GJ24"/>
    <hyperlink display="?" location="GiFTSEVENTS!HZ17:IE19" ref="GJ25"/>
    <hyperlink display="?" location="GiFTSEVENTS!IH17:IM19" ref="GJ26"/>
    <hyperlink display="?" location="GiFTSEVENTS!IP17:IU19" ref="GJ27"/>
    <hyperlink display="?" location="GiFTSEVENTS!IX17:JC19" ref="GJ28"/>
  </hyperlinks>
  <printOptions gridLines="1" horizontalCentered="1"/>
  <pageMargins bottom="0.75" footer="0.0" header="0.0" left="0.25" right="0.25" top="0.75"/>
  <pageSetup paperSize="9" orientation="landscape" pageOrder="overThenDown"/>
  <rowBreaks count="1" manualBreakCount="1">
    <brk id="41" man="1"/>
  </rowBreaks>
  <colBreaks count="1" manualBreakCount="1">
    <brk id="50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C34A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47.75"/>
    <col customWidth="1" min="3" max="3" width="2.38"/>
    <col customWidth="1" min="4" max="4" width="47.63"/>
    <col customWidth="1" min="5" max="5" width="2.38"/>
    <col customWidth="1" min="6" max="6" width="47.63"/>
    <col customWidth="1" min="7" max="7" width="2.38"/>
    <col customWidth="1" min="8" max="8" width="43.75"/>
    <col customWidth="1" min="9" max="9" width="3.88"/>
    <col customWidth="1" min="10" max="10" width="2.38"/>
    <col customWidth="1" min="11" max="11" width="16.88"/>
    <col customWidth="1" min="12" max="12" width="4.5"/>
    <col customWidth="1" min="13" max="13" width="12.13"/>
    <col customWidth="1" min="14" max="14" width="4.5"/>
    <col customWidth="1" min="15" max="15" width="12.13"/>
    <col customWidth="1" min="16" max="16" width="4.5"/>
    <col customWidth="1" min="17" max="17" width="12.13"/>
    <col customWidth="1" min="18" max="18" width="4.5"/>
    <col customWidth="1" min="19" max="19" width="12.13"/>
    <col customWidth="1" min="20" max="20" width="4.5"/>
    <col customWidth="1" min="21" max="21" width="12.13"/>
    <col customWidth="1" min="22" max="22" width="4.5"/>
    <col customWidth="1" min="23" max="23" width="12.13"/>
    <col customWidth="1" min="24" max="24" width="4.5"/>
    <col customWidth="1" min="25" max="25" width="12.13"/>
    <col customWidth="1" min="26" max="26" width="6.63"/>
    <col customWidth="1" min="27" max="27" width="22.63"/>
    <col customWidth="1" min="28" max="28" width="5.0"/>
    <col customWidth="1" min="29" max="29" width="1.25"/>
    <col customWidth="1" min="30" max="35" width="3.88"/>
    <col customWidth="1" min="36" max="36" width="4.75"/>
    <col customWidth="1" min="37" max="37" width="1.25"/>
    <col customWidth="1" min="38" max="43" width="3.88"/>
    <col customWidth="1" min="44" max="44" width="4.75"/>
    <col customWidth="1" min="45" max="46" width="2.38"/>
    <col customWidth="1" min="47" max="47" width="22.63"/>
    <col customWidth="1" min="48" max="48" width="5.0"/>
    <col customWidth="1" min="49" max="49" width="1.25"/>
    <col customWidth="1" min="50" max="55" width="3.88"/>
    <col customWidth="1" min="56" max="56" width="4.75"/>
    <col customWidth="1" min="57" max="57" width="1.25"/>
    <col customWidth="1" min="58" max="63" width="3.88"/>
    <col customWidth="1" min="64" max="64" width="4.75"/>
    <col customWidth="1" min="65" max="65" width="2.38"/>
    <col customWidth="1" min="66" max="66" width="6.63"/>
    <col customWidth="1" min="67" max="67" width="22.63"/>
    <col customWidth="1" min="68" max="68" width="5.0"/>
    <col customWidth="1" min="69" max="69" width="1.25"/>
    <col customWidth="1" min="70" max="75" width="3.88"/>
    <col customWidth="1" min="76" max="76" width="4.75"/>
    <col customWidth="1" min="77" max="77" width="1.25"/>
    <col customWidth="1" min="78" max="83" width="3.88"/>
    <col customWidth="1" min="84" max="84" width="4.75"/>
    <col customWidth="1" min="85" max="86" width="2.38"/>
    <col customWidth="1" min="87" max="87" width="22.63"/>
    <col customWidth="1" min="88" max="88" width="5.0"/>
    <col customWidth="1" min="89" max="89" width="1.25"/>
    <col customWidth="1" min="90" max="95" width="3.88"/>
    <col customWidth="1" min="96" max="96" width="4.75"/>
    <col customWidth="1" min="97" max="97" width="1.25"/>
    <col customWidth="1" min="98" max="103" width="3.88"/>
    <col customWidth="1" min="104" max="104" width="4.75"/>
    <col customWidth="1" min="105" max="105" width="2.38"/>
    <col customWidth="1" min="106" max="106" width="6.63"/>
    <col customWidth="1" min="107" max="107" width="22.63"/>
    <col customWidth="1" min="108" max="108" width="5.0"/>
    <col customWidth="1" min="109" max="109" width="1.25"/>
    <col customWidth="1" min="110" max="115" width="3.88"/>
    <col customWidth="1" min="116" max="116" width="4.75"/>
    <col customWidth="1" min="117" max="117" width="1.25"/>
    <col customWidth="1" min="118" max="123" width="3.88"/>
    <col customWidth="1" min="124" max="124" width="4.75"/>
    <col customWidth="1" min="125" max="126" width="2.38"/>
    <col customWidth="1" min="127" max="127" width="22.63"/>
    <col customWidth="1" min="128" max="128" width="5.0"/>
    <col customWidth="1" min="129" max="129" width="1.25"/>
    <col customWidth="1" min="130" max="135" width="3.88"/>
    <col customWidth="1" min="136" max="136" width="4.75"/>
    <col customWidth="1" min="137" max="137" width="1.25"/>
    <col customWidth="1" min="138" max="143" width="3.88"/>
    <col customWidth="1" min="144" max="144" width="4.75"/>
    <col customWidth="1" min="145" max="145" width="2.38"/>
    <col customWidth="1" min="146" max="146" width="6.63"/>
    <col customWidth="1" min="147" max="147" width="22.63"/>
    <col customWidth="1" min="148" max="148" width="5.0"/>
    <col customWidth="1" min="149" max="149" width="1.25"/>
    <col customWidth="1" min="150" max="155" width="3.88"/>
    <col customWidth="1" min="156" max="156" width="4.75"/>
    <col customWidth="1" min="157" max="157" width="1.25"/>
    <col customWidth="1" min="158" max="163" width="3.88"/>
    <col customWidth="1" min="164" max="164" width="4.75"/>
    <col customWidth="1" min="165" max="166" width="2.38"/>
    <col customWidth="1" min="167" max="167" width="22.63"/>
    <col customWidth="1" min="168" max="168" width="5.0"/>
    <col customWidth="1" min="169" max="169" width="1.25"/>
    <col customWidth="1" min="170" max="175" width="3.88"/>
    <col customWidth="1" min="176" max="176" width="4.75"/>
    <col customWidth="1" min="177" max="177" width="1.25"/>
    <col customWidth="1" min="178" max="183" width="3.88"/>
    <col customWidth="1" min="184" max="184" width="4.75"/>
    <col customWidth="1" min="185" max="185" width="2.38"/>
    <col customWidth="1" min="186" max="186" width="6.63"/>
    <col customWidth="1" min="187" max="187" width="22.63"/>
    <col customWidth="1" min="188" max="188" width="5.0"/>
    <col customWidth="1" min="189" max="189" width="1.25"/>
    <col customWidth="1" min="190" max="195" width="3.88"/>
    <col customWidth="1" min="196" max="196" width="4.75"/>
    <col customWidth="1" min="197" max="197" width="1.25"/>
    <col customWidth="1" min="198" max="203" width="3.88"/>
    <col customWidth="1" min="204" max="204" width="4.75"/>
    <col customWidth="1" min="205" max="206" width="2.38"/>
    <col customWidth="1" min="207" max="207" width="22.63"/>
    <col customWidth="1" min="208" max="208" width="5.0"/>
    <col customWidth="1" min="209" max="209" width="1.25"/>
    <col customWidth="1" min="210" max="215" width="3.88"/>
    <col customWidth="1" min="216" max="216" width="4.75"/>
    <col customWidth="1" min="217" max="217" width="1.25"/>
    <col customWidth="1" min="218" max="223" width="3.88"/>
    <col customWidth="1" min="224" max="224" width="4.75"/>
    <col customWidth="1" min="225" max="225" width="2.38"/>
    <col customWidth="1" min="226" max="226" width="6.63"/>
    <col customWidth="1" min="227" max="227" width="22.63"/>
    <col customWidth="1" min="228" max="228" width="5.0"/>
    <col customWidth="1" min="229" max="229" width="1.25"/>
    <col customWidth="1" min="230" max="235" width="3.88"/>
    <col customWidth="1" min="236" max="236" width="4.75"/>
    <col customWidth="1" min="237" max="237" width="1.25"/>
    <col customWidth="1" min="238" max="243" width="3.88"/>
    <col customWidth="1" min="244" max="244" width="4.75"/>
    <col customWidth="1" min="245" max="245" width="1.25"/>
    <col customWidth="1" min="246" max="251" width="3.88"/>
    <col customWidth="1" min="252" max="252" width="4.75"/>
    <col customWidth="1" min="253" max="254" width="2.38"/>
    <col customWidth="1" min="255" max="255" width="22.63"/>
    <col customWidth="1" min="256" max="256" width="5.0"/>
    <col customWidth="1" min="257" max="257" width="1.25"/>
    <col customWidth="1" min="258" max="263" width="3.88"/>
    <col customWidth="1" min="264" max="264" width="4.75"/>
    <col customWidth="1" min="265" max="265" width="1.25"/>
    <col customWidth="1" min="266" max="271" width="3.88"/>
    <col customWidth="1" min="272" max="272" width="4.75"/>
    <col customWidth="1" min="273" max="273" width="2.38"/>
    <col customWidth="1" min="274" max="279" width="3.88"/>
    <col customWidth="1" min="280" max="280" width="4.75"/>
    <col customWidth="1" min="281" max="281" width="2.38"/>
    <col customWidth="1" min="282" max="282" width="6.63"/>
    <col customWidth="1" min="283" max="283" width="22.63"/>
    <col customWidth="1" min="284" max="284" width="5.0"/>
    <col customWidth="1" min="285" max="285" width="1.25"/>
    <col customWidth="1" min="286" max="291" width="3.88"/>
    <col customWidth="1" min="292" max="292" width="4.75"/>
    <col customWidth="1" min="293" max="293" width="1.25"/>
    <col customWidth="1" min="294" max="299" width="3.88"/>
    <col customWidth="1" min="300" max="300" width="4.75"/>
    <col customWidth="1" min="301" max="302" width="2.38"/>
    <col customWidth="1" min="303" max="303" width="22.63"/>
    <col customWidth="1" min="304" max="304" width="5.0"/>
    <col customWidth="1" min="305" max="305" width="1.25"/>
    <col customWidth="1" min="306" max="311" width="3.88"/>
    <col customWidth="1" min="312" max="312" width="4.75"/>
    <col customWidth="1" min="313" max="313" width="1.25"/>
    <col customWidth="1" min="314" max="319" width="3.88"/>
    <col customWidth="1" min="320" max="320" width="4.75"/>
    <col customWidth="1" min="321" max="322" width="2.38"/>
  </cols>
  <sheetData>
    <row r="1" ht="15.75" customHeight="1">
      <c r="A1" s="1231"/>
      <c r="B1" s="1233"/>
      <c r="C1" s="1233"/>
      <c r="D1" s="1233"/>
      <c r="E1" s="1233"/>
      <c r="F1" s="1233"/>
      <c r="G1" s="1233"/>
      <c r="H1" s="1233"/>
      <c r="I1" s="1234"/>
      <c r="J1" s="1230"/>
      <c r="K1" s="1230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1230"/>
      <c r="AA1" s="1230"/>
      <c r="AB1" s="1230"/>
      <c r="AC1" s="1230"/>
      <c r="AD1" s="1230"/>
      <c r="AE1" s="1230"/>
      <c r="AF1" s="1230"/>
      <c r="AG1" s="1230"/>
      <c r="AH1" s="1230"/>
      <c r="AI1" s="1230"/>
      <c r="AJ1" s="1230"/>
      <c r="AK1" s="1230"/>
      <c r="AL1" s="1230"/>
      <c r="AM1" s="1230"/>
      <c r="AN1" s="1230"/>
      <c r="AO1" s="1230"/>
      <c r="AP1" s="1230"/>
      <c r="AQ1" s="1230"/>
      <c r="AR1" s="1230"/>
      <c r="AS1" s="1230"/>
      <c r="AT1" s="1230"/>
      <c r="AU1" s="1230"/>
      <c r="AV1" s="1230"/>
      <c r="AW1" s="1230"/>
      <c r="AX1" s="1230"/>
      <c r="AY1" s="1230"/>
      <c r="AZ1" s="1230"/>
      <c r="BA1" s="1230"/>
      <c r="BB1" s="1230"/>
      <c r="BC1" s="1230"/>
      <c r="BD1" s="1230"/>
      <c r="BE1" s="1230"/>
      <c r="BF1" s="1230"/>
      <c r="BG1" s="1230"/>
      <c r="BH1" s="1230"/>
      <c r="BI1" s="1230"/>
      <c r="BJ1" s="1230"/>
      <c r="BK1" s="1230"/>
      <c r="BL1" s="1230"/>
      <c r="BM1" s="1230"/>
      <c r="BN1" s="1230"/>
      <c r="BO1" s="1230"/>
      <c r="BP1" s="1230"/>
      <c r="BQ1" s="1230"/>
      <c r="BR1" s="1230"/>
      <c r="BS1" s="1230"/>
      <c r="BT1" s="1230"/>
      <c r="BU1" s="1230"/>
      <c r="BV1" s="1230"/>
      <c r="BW1" s="1230"/>
      <c r="BX1" s="1230"/>
      <c r="BY1" s="1230"/>
      <c r="BZ1" s="1230"/>
      <c r="CA1" s="1230"/>
      <c r="CB1" s="1230"/>
      <c r="CC1" s="1230"/>
      <c r="CD1" s="1230"/>
      <c r="CE1" s="1230"/>
      <c r="CF1" s="1230"/>
      <c r="CG1" s="1230"/>
      <c r="CH1" s="1230"/>
      <c r="CI1" s="1230"/>
      <c r="CJ1" s="1230"/>
      <c r="CK1" s="1230"/>
      <c r="CL1" s="1230"/>
      <c r="CM1" s="1230"/>
      <c r="CN1" s="1230"/>
      <c r="CO1" s="1230"/>
      <c r="CP1" s="1230"/>
      <c r="CQ1" s="1230"/>
      <c r="CR1" s="1230"/>
      <c r="CS1" s="1230"/>
      <c r="CT1" s="1230"/>
      <c r="CU1" s="1230"/>
      <c r="CV1" s="1230"/>
      <c r="CW1" s="1230"/>
      <c r="CX1" s="1230"/>
      <c r="CY1" s="1230"/>
      <c r="CZ1" s="1230"/>
      <c r="DA1" s="1230"/>
      <c r="DB1" s="1230"/>
      <c r="DC1" s="1230"/>
      <c r="DD1" s="1230"/>
      <c r="DE1" s="1230"/>
      <c r="DF1" s="1230"/>
      <c r="DG1" s="1230"/>
      <c r="DH1" s="1230"/>
      <c r="DI1" s="1230"/>
      <c r="DJ1" s="1230"/>
      <c r="DK1" s="1230"/>
      <c r="DL1" s="1230"/>
      <c r="DM1" s="1230"/>
      <c r="DN1" s="1230"/>
      <c r="DO1" s="1230"/>
      <c r="DP1" s="1230"/>
      <c r="DQ1" s="1230"/>
      <c r="DR1" s="1230"/>
      <c r="DS1" s="1230"/>
      <c r="DT1" s="1230"/>
      <c r="DU1" s="1230"/>
      <c r="DV1" s="1230"/>
      <c r="DW1" s="1230"/>
      <c r="DX1" s="1230"/>
      <c r="DY1" s="1230"/>
      <c r="DZ1" s="1230"/>
      <c r="EA1" s="1230"/>
      <c r="EB1" s="1230"/>
      <c r="EC1" s="1230"/>
      <c r="ED1" s="1230"/>
      <c r="EE1" s="1230"/>
      <c r="EF1" s="1230"/>
      <c r="EG1" s="1230"/>
      <c r="EH1" s="1230"/>
      <c r="EI1" s="1230"/>
      <c r="EJ1" s="1230"/>
      <c r="EK1" s="1230"/>
      <c r="EL1" s="1230"/>
      <c r="EM1" s="1230"/>
      <c r="EN1" s="1230"/>
      <c r="EO1" s="1230"/>
      <c r="EP1" s="1230"/>
      <c r="EQ1" s="1230"/>
      <c r="ER1" s="1230"/>
      <c r="ES1" s="1230"/>
      <c r="ET1" s="1230"/>
      <c r="EU1" s="1230"/>
      <c r="EV1" s="1230"/>
      <c r="EW1" s="1230"/>
      <c r="EX1" s="1230"/>
      <c r="EY1" s="1230"/>
      <c r="EZ1" s="1230"/>
      <c r="FA1" s="1230"/>
      <c r="FB1" s="1230"/>
      <c r="FC1" s="1230"/>
      <c r="FD1" s="1230"/>
      <c r="FE1" s="1230"/>
      <c r="FF1" s="1230"/>
      <c r="FG1" s="1230"/>
      <c r="FH1" s="1230"/>
      <c r="FI1" s="1230"/>
      <c r="FJ1" s="1230"/>
      <c r="FK1" s="1230"/>
      <c r="FL1" s="1230"/>
      <c r="FM1" s="1230"/>
      <c r="FN1" s="1230"/>
      <c r="FO1" s="1230"/>
      <c r="FP1" s="1230"/>
      <c r="FQ1" s="1230"/>
      <c r="FR1" s="1230"/>
      <c r="FS1" s="1230"/>
      <c r="FT1" s="1230"/>
      <c r="FU1" s="1230"/>
      <c r="FV1" s="1230"/>
      <c r="FW1" s="1230"/>
      <c r="FX1" s="1230"/>
      <c r="FY1" s="1230"/>
      <c r="FZ1" s="1230"/>
      <c r="GA1" s="1230"/>
      <c r="GB1" s="1230"/>
      <c r="GC1" s="1230"/>
      <c r="GD1" s="1230"/>
      <c r="GE1" s="1230"/>
      <c r="GF1" s="1230"/>
      <c r="GG1" s="1230"/>
      <c r="GH1" s="1230"/>
      <c r="GI1" s="1230"/>
      <c r="GJ1" s="1230"/>
      <c r="GK1" s="1230"/>
      <c r="GL1" s="1230"/>
      <c r="GM1" s="1230"/>
      <c r="GN1" s="1230"/>
      <c r="GO1" s="1230"/>
      <c r="GP1" s="1230"/>
      <c r="GQ1" s="1230"/>
      <c r="GR1" s="1230"/>
      <c r="GS1" s="1230"/>
      <c r="GT1" s="1230"/>
      <c r="GU1" s="1230"/>
      <c r="GV1" s="1230"/>
      <c r="GW1" s="1230"/>
      <c r="GX1" s="1230"/>
      <c r="GY1" s="1230"/>
      <c r="GZ1" s="1230"/>
      <c r="HA1" s="1230"/>
      <c r="HB1" s="1230"/>
      <c r="HC1" s="1230"/>
      <c r="HD1" s="1230"/>
      <c r="HE1" s="1230"/>
      <c r="HF1" s="1230"/>
      <c r="HG1" s="1230"/>
      <c r="HH1" s="1230"/>
      <c r="HI1" s="1230"/>
      <c r="HJ1" s="1230"/>
      <c r="HK1" s="1230"/>
      <c r="HL1" s="1230"/>
      <c r="HM1" s="1230"/>
      <c r="HN1" s="1230"/>
      <c r="HO1" s="1230"/>
      <c r="HP1" s="1230"/>
      <c r="HQ1" s="1230"/>
      <c r="HR1" s="1230"/>
      <c r="HS1" s="1230"/>
      <c r="HT1" s="1230"/>
      <c r="HU1" s="1230"/>
      <c r="HV1" s="1230"/>
      <c r="HW1" s="1230"/>
      <c r="HX1" s="1230"/>
      <c r="HY1" s="1230"/>
      <c r="HZ1" s="1230"/>
      <c r="IA1" s="1230"/>
      <c r="IB1" s="1230"/>
      <c r="IC1" s="1230"/>
      <c r="ID1" s="1230"/>
      <c r="IE1" s="1230"/>
      <c r="IF1" s="1230"/>
      <c r="IG1" s="1230"/>
      <c r="IH1" s="1230"/>
      <c r="II1" s="1230"/>
      <c r="IJ1" s="1230"/>
      <c r="IK1" s="1230"/>
      <c r="IL1" s="1230"/>
      <c r="IM1" s="1230"/>
      <c r="IN1" s="1230"/>
      <c r="IO1" s="1230"/>
      <c r="IP1" s="1230"/>
      <c r="IQ1" s="1230"/>
      <c r="IR1" s="1230"/>
      <c r="IS1" s="1230"/>
      <c r="IT1" s="1230"/>
      <c r="IU1" s="1230"/>
      <c r="IV1" s="1230"/>
      <c r="IW1" s="1230"/>
      <c r="IX1" s="1230"/>
      <c r="IY1" s="1230"/>
      <c r="IZ1" s="1230"/>
      <c r="JA1" s="1230"/>
      <c r="JB1" s="1230"/>
      <c r="JC1" s="1230"/>
      <c r="JD1" s="1230"/>
      <c r="JE1" s="1230"/>
      <c r="JF1" s="1230"/>
      <c r="JG1" s="1230"/>
      <c r="JH1" s="1230"/>
      <c r="JI1" s="1230"/>
      <c r="JJ1" s="1230"/>
      <c r="JK1" s="1230"/>
      <c r="JL1" s="1230"/>
      <c r="JM1" s="1230"/>
      <c r="JN1" s="1230"/>
      <c r="JO1" s="1230"/>
      <c r="JP1" s="1230"/>
      <c r="JQ1" s="1230"/>
      <c r="JR1" s="1230"/>
      <c r="JS1" s="1230"/>
      <c r="JT1" s="1230"/>
      <c r="JU1" s="1230"/>
      <c r="JV1" s="1230"/>
      <c r="JW1" s="1230"/>
      <c r="JX1" s="1230"/>
      <c r="JY1" s="1230"/>
      <c r="JZ1" s="1230"/>
      <c r="KA1" s="1230"/>
      <c r="KB1" s="1230"/>
      <c r="KC1" s="1230"/>
      <c r="KD1" s="1230"/>
      <c r="KE1" s="1230"/>
      <c r="KF1" s="1230"/>
      <c r="KG1" s="1230"/>
      <c r="KH1" s="1230"/>
      <c r="KI1" s="1230"/>
      <c r="KJ1" s="1230"/>
      <c r="KK1" s="1230"/>
      <c r="KL1" s="1230"/>
      <c r="KM1" s="1230"/>
      <c r="KN1" s="1230"/>
      <c r="KO1" s="1230"/>
      <c r="KP1" s="1230"/>
      <c r="KQ1" s="1230"/>
      <c r="KR1" s="1230"/>
      <c r="KS1" s="1230"/>
      <c r="KT1" s="1230"/>
      <c r="KU1" s="1230"/>
      <c r="KV1" s="1230"/>
      <c r="KW1" s="1230"/>
      <c r="KX1" s="1230"/>
      <c r="KY1" s="1230"/>
      <c r="KZ1" s="1230"/>
      <c r="LA1" s="1230"/>
      <c r="LB1" s="1230"/>
      <c r="LC1" s="1230"/>
      <c r="LD1" s="1230"/>
      <c r="LE1" s="1230"/>
      <c r="LF1" s="1230"/>
      <c r="LG1" s="1230"/>
      <c r="LH1" s="1230"/>
      <c r="LI1" s="1230"/>
      <c r="LJ1" s="1230"/>
    </row>
    <row r="2" ht="15.75" customHeight="1">
      <c r="A2" s="1238"/>
      <c r="B2" s="2095" t="s">
        <v>10601</v>
      </c>
      <c r="C2" s="1230"/>
      <c r="D2" s="1218" t="s">
        <v>10602</v>
      </c>
      <c r="E2" s="1230"/>
      <c r="F2" s="2096" t="s">
        <v>10603</v>
      </c>
      <c r="G2" s="1230"/>
      <c r="H2" s="1847" t="s">
        <v>10604</v>
      </c>
      <c r="I2" s="954"/>
      <c r="J2" s="1230"/>
      <c r="K2" s="1847" t="s">
        <v>10605</v>
      </c>
      <c r="L2" s="976"/>
      <c r="M2" s="976"/>
      <c r="N2" s="976"/>
      <c r="O2" s="954"/>
      <c r="AT2" s="1230"/>
      <c r="AU2" s="1230"/>
      <c r="AV2" s="1230"/>
      <c r="AX2" s="1230"/>
      <c r="AY2" s="1230"/>
      <c r="AZ2" s="1230"/>
      <c r="BA2" s="1230"/>
      <c r="BB2" s="1230"/>
      <c r="BC2" s="1230"/>
      <c r="BD2" s="1230"/>
      <c r="BE2" s="1230"/>
      <c r="BF2" s="1230"/>
      <c r="BG2" s="1230"/>
      <c r="BH2" s="1230"/>
      <c r="BI2" s="1230"/>
      <c r="BJ2" s="1230"/>
      <c r="BK2" s="1230"/>
      <c r="BL2" s="1230"/>
      <c r="BM2" s="1230"/>
      <c r="BN2" s="1230"/>
      <c r="BO2" s="1230"/>
      <c r="BP2" s="1230"/>
      <c r="BQ2" s="1230"/>
      <c r="BR2" s="1230"/>
      <c r="BS2" s="1230"/>
      <c r="BT2" s="1230"/>
      <c r="BU2" s="1230"/>
      <c r="BV2" s="1230"/>
      <c r="BW2" s="1230"/>
      <c r="BX2" s="1230"/>
      <c r="BY2" s="1230"/>
      <c r="BZ2" s="1230"/>
      <c r="CA2" s="1230"/>
      <c r="CB2" s="1230"/>
      <c r="CC2" s="1230"/>
      <c r="CD2" s="1230"/>
      <c r="CE2" s="1230"/>
      <c r="CF2" s="1230"/>
      <c r="CG2" s="1230"/>
      <c r="CH2" s="1230"/>
      <c r="CI2" s="1230"/>
      <c r="CJ2" s="1230"/>
      <c r="CK2" s="1230"/>
      <c r="CL2" s="1230"/>
      <c r="CM2" s="1230"/>
      <c r="CN2" s="1230"/>
      <c r="CO2" s="1230"/>
      <c r="CP2" s="1230"/>
      <c r="CQ2" s="1230"/>
      <c r="CR2" s="1230"/>
      <c r="CS2" s="1230"/>
      <c r="CT2" s="1230"/>
      <c r="CU2" s="1230"/>
      <c r="CV2" s="1230"/>
      <c r="CW2" s="1230"/>
      <c r="CX2" s="1230"/>
      <c r="CY2" s="1230"/>
      <c r="CZ2" s="1230"/>
      <c r="DA2" s="1230"/>
      <c r="DB2" s="1230"/>
      <c r="DC2" s="1230"/>
      <c r="DD2" s="1230"/>
      <c r="DE2" s="1230"/>
      <c r="DF2" s="1230"/>
      <c r="DG2" s="1230"/>
      <c r="DH2" s="1230"/>
      <c r="DI2" s="1230"/>
      <c r="DJ2" s="1230"/>
      <c r="DK2" s="1230"/>
      <c r="DL2" s="1230"/>
      <c r="DM2" s="1230"/>
      <c r="DN2" s="1230"/>
      <c r="DO2" s="1230"/>
      <c r="DP2" s="1230"/>
      <c r="DQ2" s="1230"/>
      <c r="DR2" s="1230"/>
      <c r="DS2" s="1230"/>
      <c r="DT2" s="1230"/>
      <c r="DU2" s="1230"/>
      <c r="DV2" s="1230"/>
      <c r="DW2" s="1230"/>
      <c r="DX2" s="1230"/>
      <c r="DY2" s="1230"/>
      <c r="DZ2" s="1230"/>
      <c r="EA2" s="1230"/>
      <c r="EB2" s="1230"/>
      <c r="EC2" s="1230"/>
      <c r="ED2" s="1230"/>
      <c r="EE2" s="1230"/>
      <c r="EF2" s="1230"/>
      <c r="EG2" s="1230"/>
      <c r="EH2" s="1230"/>
      <c r="EI2" s="1230"/>
      <c r="EJ2" s="1230"/>
      <c r="EK2" s="1230"/>
      <c r="EL2" s="1230"/>
      <c r="EM2" s="1230"/>
      <c r="EN2" s="1230"/>
      <c r="EO2" s="1230"/>
      <c r="EP2" s="1230"/>
      <c r="EQ2" s="1230"/>
      <c r="ER2" s="1230"/>
      <c r="ES2" s="1230"/>
      <c r="ET2" s="1230"/>
      <c r="EU2" s="1230"/>
      <c r="EV2" s="1230"/>
      <c r="EW2" s="1230"/>
      <c r="EX2" s="1230"/>
      <c r="EY2" s="1230"/>
      <c r="EZ2" s="1230"/>
      <c r="FA2" s="1230"/>
      <c r="FB2" s="1230"/>
      <c r="FC2" s="1230"/>
      <c r="FD2" s="1230"/>
      <c r="FE2" s="1230"/>
      <c r="FF2" s="1230"/>
      <c r="FG2" s="1230"/>
      <c r="FH2" s="1230"/>
      <c r="FI2" s="1230"/>
      <c r="FJ2" s="1230"/>
      <c r="FK2" s="1230"/>
      <c r="FL2" s="1230"/>
      <c r="FM2" s="1230"/>
      <c r="FN2" s="1230"/>
      <c r="FO2" s="1230"/>
      <c r="FP2" s="1230"/>
      <c r="FQ2" s="1230"/>
      <c r="FR2" s="1230"/>
      <c r="FS2" s="1230"/>
      <c r="FT2" s="1230"/>
      <c r="FU2" s="1230"/>
      <c r="FV2" s="1230"/>
      <c r="FW2" s="1230"/>
      <c r="FX2" s="1230"/>
      <c r="FY2" s="1230"/>
      <c r="FZ2" s="1230"/>
      <c r="GA2" s="1230"/>
      <c r="GB2" s="1230"/>
      <c r="GC2" s="1230"/>
      <c r="GD2" s="1230"/>
      <c r="GE2" s="1230"/>
      <c r="GF2" s="1230"/>
      <c r="GG2" s="1230"/>
      <c r="GH2" s="1230"/>
      <c r="GI2" s="1230"/>
      <c r="GJ2" s="1230"/>
      <c r="GK2" s="1230"/>
      <c r="GL2" s="1230"/>
      <c r="GM2" s="1230"/>
      <c r="GN2" s="1230"/>
      <c r="GO2" s="1230"/>
      <c r="GP2" s="1230"/>
      <c r="GQ2" s="1230"/>
      <c r="GR2" s="1230"/>
      <c r="GS2" s="1230"/>
      <c r="GT2" s="1230"/>
      <c r="GU2" s="1230"/>
      <c r="GV2" s="1230"/>
      <c r="GW2" s="1230"/>
      <c r="GX2" s="1230"/>
      <c r="GY2" s="1230"/>
      <c r="GZ2" s="1230"/>
      <c r="HA2" s="1230"/>
      <c r="HB2" s="1230"/>
      <c r="HC2" s="1230"/>
      <c r="HD2" s="1230"/>
      <c r="HE2" s="1230"/>
      <c r="HF2" s="1230"/>
      <c r="HG2" s="1230"/>
      <c r="HH2" s="1230"/>
      <c r="HI2" s="1230"/>
      <c r="HJ2" s="1230"/>
      <c r="HK2" s="1230"/>
      <c r="HL2" s="1230"/>
      <c r="HM2" s="1230"/>
      <c r="HN2" s="1230"/>
      <c r="HO2" s="1230"/>
      <c r="HP2" s="1230"/>
      <c r="HQ2" s="1230"/>
      <c r="HR2" s="1230"/>
      <c r="HS2" s="1230"/>
      <c r="HT2" s="1230"/>
      <c r="HU2" s="1230"/>
      <c r="HV2" s="1230"/>
      <c r="HW2" s="1230"/>
      <c r="HX2" s="1230"/>
      <c r="HY2" s="1230"/>
      <c r="HZ2" s="1230"/>
      <c r="IA2" s="1230"/>
      <c r="IB2" s="1230"/>
      <c r="IC2" s="1230"/>
      <c r="ID2" s="1230"/>
      <c r="IE2" s="1230"/>
      <c r="IF2" s="1230"/>
      <c r="IG2" s="1230"/>
      <c r="IH2" s="1230"/>
      <c r="II2" s="1230"/>
      <c r="IJ2" s="1230"/>
      <c r="IK2" s="1230"/>
      <c r="IL2" s="1230"/>
      <c r="IM2" s="1230"/>
      <c r="IN2" s="1230"/>
      <c r="IO2" s="1230"/>
      <c r="IP2" s="1230"/>
      <c r="IQ2" s="1230"/>
      <c r="IR2" s="1230"/>
      <c r="IS2" s="1230"/>
      <c r="IT2" s="1230"/>
      <c r="IU2" s="1230"/>
      <c r="IV2" s="1230"/>
      <c r="IW2" s="1230"/>
      <c r="IX2" s="1230"/>
      <c r="IY2" s="1230"/>
      <c r="IZ2" s="1230"/>
      <c r="JA2" s="1230"/>
      <c r="JB2" s="1230"/>
      <c r="JC2" s="1230"/>
      <c r="JD2" s="1230"/>
      <c r="JE2" s="1230"/>
      <c r="JF2" s="1230"/>
      <c r="JG2" s="1230"/>
      <c r="JH2" s="1230"/>
      <c r="JI2" s="1230"/>
      <c r="JJ2" s="1230"/>
      <c r="JK2" s="1230"/>
      <c r="JL2" s="1230"/>
      <c r="JM2" s="1230"/>
      <c r="JN2" s="1230"/>
      <c r="JO2" s="1230"/>
      <c r="JP2" s="1230"/>
      <c r="JQ2" s="1230"/>
      <c r="JR2" s="1230"/>
      <c r="JS2" s="1230"/>
      <c r="JT2" s="1230"/>
      <c r="JU2" s="1230"/>
      <c r="JV2" s="1230"/>
      <c r="JW2" s="1230"/>
      <c r="JX2" s="1230"/>
      <c r="JY2" s="1230"/>
      <c r="JZ2" s="1230"/>
      <c r="KA2" s="1230"/>
      <c r="KB2" s="1230"/>
      <c r="KC2" s="1230"/>
      <c r="KD2" s="1230"/>
      <c r="KE2" s="1230"/>
      <c r="KF2" s="1230"/>
      <c r="KG2" s="1230"/>
      <c r="KH2" s="1230"/>
      <c r="KI2" s="1230"/>
      <c r="KJ2" s="1230"/>
      <c r="KK2" s="1230"/>
      <c r="KL2" s="1230"/>
      <c r="KM2" s="1230"/>
      <c r="KN2" s="1230"/>
      <c r="KO2" s="1230"/>
      <c r="KP2" s="1230"/>
      <c r="KQ2" s="1230"/>
      <c r="KR2" s="1230"/>
      <c r="KS2" s="1230"/>
      <c r="KT2" s="1230"/>
      <c r="KU2" s="1230"/>
      <c r="KV2" s="1230"/>
      <c r="KW2" s="1230"/>
      <c r="KX2" s="1230"/>
      <c r="KY2" s="1230"/>
      <c r="KZ2" s="1230"/>
      <c r="LA2" s="1230"/>
      <c r="LB2" s="1230"/>
      <c r="LC2" s="1230"/>
      <c r="LD2" s="1230"/>
      <c r="LE2" s="1230"/>
      <c r="LF2" s="1230"/>
      <c r="LG2" s="1230"/>
      <c r="LH2" s="1230"/>
      <c r="LI2" s="1230"/>
      <c r="LJ2" s="1230"/>
    </row>
    <row r="3" ht="15.75" customHeight="1">
      <c r="A3" s="1238"/>
      <c r="B3" s="1254"/>
      <c r="C3" s="1230"/>
      <c r="D3" s="1619" t="s">
        <v>10606</v>
      </c>
      <c r="E3" s="1230"/>
      <c r="F3" s="2097" t="s">
        <v>10607</v>
      </c>
      <c r="G3" s="1230"/>
      <c r="H3" s="997"/>
      <c r="I3" s="998"/>
      <c r="J3" s="1230"/>
      <c r="K3" s="997"/>
      <c r="L3" s="1026"/>
      <c r="M3" s="1026"/>
      <c r="N3" s="1026"/>
      <c r="O3" s="998"/>
      <c r="AA3" s="2098" t="str">
        <f>image("https://archives.bulbagarden.net/media/upload/c/c2/Spr_DP_Reporter.png",3)</f>
        <v/>
      </c>
      <c r="AB3" s="2099" t="str">
        <f>image("https://archives.bulbagarden.net/media/upload/3/36/Reporter_OD.png", 1)</f>
        <v/>
      </c>
      <c r="AC3" s="2099"/>
      <c r="AD3" s="2100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48"/>
      <c r="AU3" s="2098" t="str">
        <f>image("https://archives.bulbagarden.net/media/upload/c/c2/Spr_DP_Reporter.png",3)</f>
        <v/>
      </c>
      <c r="AV3" s="2099" t="str">
        <f>image("https://archives.bulbagarden.net/media/upload/3/36/Reporter_OD.png", 1)</f>
        <v/>
      </c>
      <c r="AW3" s="2099"/>
      <c r="AX3" s="2100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48"/>
      <c r="BO3" s="2098" t="str">
        <f>image("https://archives.bulbagarden.net/media/upload/6/65/Spr_DP_Cameraman.png",3)</f>
        <v/>
      </c>
      <c r="BP3" s="2099" t="str">
        <f>image("https://archives.bulbagarden.net/media/upload/8/80/Cameraman_OD.png", 1)</f>
        <v/>
      </c>
      <c r="BQ3" s="2099"/>
      <c r="BR3" s="2100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48"/>
      <c r="CI3" s="2098" t="str">
        <f>image("https://archives.bulbagarden.net/media/upload/6/65/Spr_DP_Cameraman.png",3)</f>
        <v/>
      </c>
      <c r="CJ3" s="2101" t="str">
        <f>image("https://archives.bulbagarden.net/media/upload/8/80/Cameraman_OD.png", 1)</f>
        <v/>
      </c>
      <c r="CK3" s="2099"/>
      <c r="CL3" s="2100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48"/>
      <c r="DC3" s="2098" t="str">
        <f>image("https://archives.bulbagarden.net/media/upload/1/12/Spr_DP_Interviewers.png",3)</f>
        <v/>
      </c>
      <c r="DD3" s="2101" t="str">
        <f>image("https://archives.bulbagarden.net/media/upload/3/36/Reporter_OD.png", 1)</f>
        <v/>
      </c>
      <c r="DE3" s="2099"/>
      <c r="DF3" s="2100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48"/>
      <c r="DW3" s="2098" t="str">
        <f>image("https://archives.bulbagarden.net/media/upload/1/12/Spr_DP_Interviewers.png",3)</f>
        <v/>
      </c>
      <c r="DX3" s="2101" t="str">
        <f>image("https://archives.bulbagarden.net/media/upload/3/36/Reporter_OD.png", 1)</f>
        <v/>
      </c>
      <c r="DY3" s="2099"/>
      <c r="DZ3" s="2100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48"/>
      <c r="EQ3" s="2102" t="str">
        <f>image("https://archives.bulbagarden.net/media/upload/c/cc/Spr_DP_Idol.png",3)</f>
        <v/>
      </c>
      <c r="ER3" s="2101" t="str">
        <f>image("https://archives.bulbagarden.net/media/upload/1/1a/Idol_OD.png", 1)</f>
        <v/>
      </c>
      <c r="ES3" s="2099"/>
      <c r="ET3" s="2100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48"/>
      <c r="FK3" s="2102" t="str">
        <f>image("https://archives.bulbagarden.net/media/upload/c/cc/Spr_DP_Idol.png",3)</f>
        <v/>
      </c>
      <c r="FL3" s="2101" t="str">
        <f>image("https://archives.bulbagarden.net/media/upload/1/1a/Idol_OD.png", 1)</f>
        <v/>
      </c>
      <c r="FM3" s="2099"/>
      <c r="FN3" s="2100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48"/>
      <c r="GE3" s="2098" t="str">
        <f>image("https://archives.bulbagarden.net/media/upload/8/8c/Spr_DP_Guitarist.png",3)</f>
        <v/>
      </c>
      <c r="GF3" s="2101" t="str">
        <f>image("https://archives.bulbagarden.net/media/upload/6/65/Guitarist_IV_OD.png", 1)</f>
        <v/>
      </c>
      <c r="GG3" s="2099"/>
      <c r="GH3" s="2100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48"/>
      <c r="GY3" s="2098" t="str">
        <f>image("https://archives.bulbagarden.net/media/upload/8/8c/Spr_DP_Guitarist.png",3)</f>
        <v/>
      </c>
      <c r="GZ3" s="2101" t="str">
        <f>image("https://archives.bulbagarden.net/media/upload/6/65/Guitarist_IV_OD.png", 1)</f>
        <v/>
      </c>
      <c r="HA3" s="2099"/>
      <c r="HB3" s="2100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48"/>
      <c r="HS3" s="2103" t="str">
        <f>image("https://archives.bulbagarden.net/media/upload/1/1c/Spr_DP_Pok%C3%A9_Kid.png",3)</f>
        <v/>
      </c>
      <c r="HT3" s="2101" t="str">
        <f>image("https://archives.bulbagarden.net/media/upload/8/8c/025OD_DP.png", 1)</f>
        <v/>
      </c>
      <c r="HU3" s="2099"/>
      <c r="HV3" s="2100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48"/>
      <c r="IU3" s="2103" t="str">
        <f>image("https://archives.bulbagarden.net/media/upload/1/1c/Spr_DP_Pok%C3%A9_Kid.png",3)</f>
        <v/>
      </c>
      <c r="IV3" s="2101" t="str">
        <f>image("https://archives.bulbagarden.net/media/upload/8/8c/025OD_DP.png", 1)</f>
        <v/>
      </c>
      <c r="IW3" s="2099"/>
      <c r="IX3" s="2100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48"/>
      <c r="JW3" s="2098" t="str">
        <f>image("https://archives.bulbagarden.net/media/upload/2/2a/Spr_DP_Clown.png",3)</f>
        <v/>
      </c>
      <c r="JX3" s="2101" t="str">
        <f>image("https://archives.bulbagarden.net/media/upload/e/e0/Clown_OD.png", 1)</f>
        <v/>
      </c>
      <c r="JY3" s="2099"/>
      <c r="JZ3" s="2100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48"/>
      <c r="KQ3" s="2098" t="str">
        <f>image("https://archives.bulbagarden.net/media/upload/2/2a/Spr_DP_Clown.png",3)</f>
        <v/>
      </c>
      <c r="KR3" s="2101" t="str">
        <f>image("https://archives.bulbagarden.net/media/upload/e/e0/Clown_OD.png", 1)</f>
        <v/>
      </c>
      <c r="KS3" s="2099"/>
      <c r="KT3" s="2100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48"/>
    </row>
    <row r="4" ht="15.75" customHeight="1">
      <c r="A4" s="1238"/>
      <c r="B4" s="1230"/>
      <c r="C4" s="1230"/>
      <c r="D4" s="428"/>
      <c r="E4" s="1230"/>
      <c r="F4" s="1230"/>
      <c r="G4" s="1230"/>
      <c r="H4" s="1230"/>
      <c r="I4" s="449"/>
      <c r="J4" s="1230"/>
      <c r="AA4" s="1894"/>
      <c r="AB4" s="2104"/>
      <c r="AC4" s="2104"/>
      <c r="AD4" s="1966" t="str">
        <f>MONSPRITE(AE4)</f>
        <v>#NAME?</v>
      </c>
      <c r="AE4" s="1259" t="s">
        <v>3886</v>
      </c>
      <c r="AF4" s="12"/>
      <c r="AG4" s="12"/>
      <c r="AH4" s="962"/>
      <c r="AI4" s="1003"/>
      <c r="AJ4" s="2000" t="s">
        <v>10608</v>
      </c>
      <c r="AK4" s="1230"/>
      <c r="AL4" s="1966" t="str">
        <f>MONSPRITE(AM4)</f>
        <v>#NAME?</v>
      </c>
      <c r="AM4" s="1259" t="s">
        <v>3707</v>
      </c>
      <c r="AN4" s="12"/>
      <c r="AO4" s="12"/>
      <c r="AP4" s="962"/>
      <c r="AQ4" s="1003"/>
      <c r="AR4" s="2000" t="s">
        <v>10608</v>
      </c>
      <c r="AS4" s="290"/>
      <c r="AU4" s="1894"/>
      <c r="AV4" s="2104"/>
      <c r="AW4" s="2104"/>
      <c r="AX4" s="1966" t="str">
        <f>MONSPRITE(AY4)</f>
        <v>#NAME?</v>
      </c>
      <c r="AY4" s="1259" t="s">
        <v>3886</v>
      </c>
      <c r="AZ4" s="12"/>
      <c r="BA4" s="12"/>
      <c r="BB4" s="962"/>
      <c r="BC4" s="1003"/>
      <c r="BD4" s="2000" t="s">
        <v>5045</v>
      </c>
      <c r="BE4" s="1230"/>
      <c r="BF4" s="1966" t="str">
        <f>MONSPRITE(BG4)</f>
        <v>#NAME?</v>
      </c>
      <c r="BG4" s="1259" t="s">
        <v>3715</v>
      </c>
      <c r="BH4" s="12"/>
      <c r="BI4" s="12"/>
      <c r="BJ4" s="962"/>
      <c r="BK4" s="1003"/>
      <c r="BL4" s="2000" t="s">
        <v>5045</v>
      </c>
      <c r="BM4" s="290"/>
      <c r="BO4" s="1894"/>
      <c r="BP4" s="2104"/>
      <c r="BQ4" s="2104"/>
      <c r="BR4" s="1966" t="str">
        <f>MONSPRITE(BS4)</f>
        <v>#NAME?</v>
      </c>
      <c r="BS4" s="1259" t="s">
        <v>3990</v>
      </c>
      <c r="BT4" s="12"/>
      <c r="BU4" s="12"/>
      <c r="BV4" s="962"/>
      <c r="BW4" s="1003"/>
      <c r="BX4" s="2000" t="s">
        <v>10608</v>
      </c>
      <c r="BY4" s="1230"/>
      <c r="BZ4" s="1966" t="str">
        <f>MONSPRITE(CA4)</f>
        <v>#NAME?</v>
      </c>
      <c r="CA4" s="1259" t="s">
        <v>750</v>
      </c>
      <c r="CB4" s="12"/>
      <c r="CC4" s="12"/>
      <c r="CD4" s="962"/>
      <c r="CE4" s="1003"/>
      <c r="CF4" s="2000" t="s">
        <v>10608</v>
      </c>
      <c r="CG4" s="290"/>
      <c r="CI4" s="1894"/>
      <c r="CJ4" s="2104"/>
      <c r="CK4" s="2104"/>
      <c r="CL4" s="1966" t="str">
        <f>MONSPRITE(CM4)</f>
        <v>#NAME?</v>
      </c>
      <c r="CM4" s="1259" t="s">
        <v>3990</v>
      </c>
      <c r="CN4" s="12"/>
      <c r="CO4" s="12"/>
      <c r="CP4" s="962"/>
      <c r="CQ4" s="1003"/>
      <c r="CR4" s="2000" t="s">
        <v>5045</v>
      </c>
      <c r="CS4" s="1230"/>
      <c r="CT4" s="1966" t="str">
        <f>MONSPRITE(CU4)</f>
        <v>#NAME?</v>
      </c>
      <c r="CU4" s="1259" t="s">
        <v>759</v>
      </c>
      <c r="CV4" s="12"/>
      <c r="CW4" s="12"/>
      <c r="CX4" s="962"/>
      <c r="CY4" s="1003"/>
      <c r="CZ4" s="2000" t="s">
        <v>5045</v>
      </c>
      <c r="DA4" s="290"/>
      <c r="DC4" s="1894"/>
      <c r="DD4" s="2105"/>
      <c r="DE4" s="2104"/>
      <c r="DF4" s="1966" t="str">
        <f>MONSPRITE(DG4)</f>
        <v>#NAME?</v>
      </c>
      <c r="DG4" s="1259" t="s">
        <v>885</v>
      </c>
      <c r="DH4" s="12"/>
      <c r="DI4" s="12"/>
      <c r="DJ4" s="962"/>
      <c r="DK4" s="1003"/>
      <c r="DL4" s="2000" t="s">
        <v>10608</v>
      </c>
      <c r="DM4" s="1230"/>
      <c r="DN4" s="1966" t="str">
        <f>MONSPRITE(DO4)</f>
        <v>#NAME?</v>
      </c>
      <c r="DO4" s="1259" t="s">
        <v>2607</v>
      </c>
      <c r="DP4" s="12"/>
      <c r="DQ4" s="12"/>
      <c r="DR4" s="962"/>
      <c r="DS4" s="1003"/>
      <c r="DT4" s="2000" t="s">
        <v>10608</v>
      </c>
      <c r="DU4" s="290"/>
      <c r="DW4" s="1894"/>
      <c r="DX4" s="2105"/>
      <c r="DY4" s="2104"/>
      <c r="DZ4" s="1966" t="str">
        <f>MONSPRITE(EA4)</f>
        <v>#NAME?</v>
      </c>
      <c r="EA4" s="1259" t="s">
        <v>896</v>
      </c>
      <c r="EB4" s="12"/>
      <c r="EC4" s="12"/>
      <c r="ED4" s="962"/>
      <c r="EE4" s="1003"/>
      <c r="EF4" s="2000" t="s">
        <v>5045</v>
      </c>
      <c r="EG4" s="1230"/>
      <c r="EH4" s="1966" t="str">
        <f>MONSPRITE(EI4)</f>
        <v>#NAME?</v>
      </c>
      <c r="EI4" s="1259" t="s">
        <v>2616</v>
      </c>
      <c r="EJ4" s="12"/>
      <c r="EK4" s="12"/>
      <c r="EL4" s="962"/>
      <c r="EM4" s="1003"/>
      <c r="EN4" s="2000" t="s">
        <v>5045</v>
      </c>
      <c r="EO4" s="290"/>
      <c r="EQ4" s="1894"/>
      <c r="ER4" s="2104"/>
      <c r="ES4" s="2104"/>
      <c r="ET4" s="1966" t="str">
        <f>MONSPRITE(EU4)</f>
        <v>#NAME?</v>
      </c>
      <c r="EU4" s="1259" t="s">
        <v>1722</v>
      </c>
      <c r="EV4" s="12"/>
      <c r="EW4" s="12"/>
      <c r="EX4" s="962"/>
      <c r="EY4" s="1003"/>
      <c r="EZ4" s="2000" t="s">
        <v>10608</v>
      </c>
      <c r="FA4" s="1230"/>
      <c r="FB4" s="1966" t="str">
        <f>MONSPRITE(FC4)</f>
        <v>#NAME?</v>
      </c>
      <c r="FC4" s="1259" t="s">
        <v>1714</v>
      </c>
      <c r="FD4" s="12"/>
      <c r="FE4" s="12"/>
      <c r="FF4" s="962"/>
      <c r="FG4" s="1003"/>
      <c r="FH4" s="2000" t="s">
        <v>10608</v>
      </c>
      <c r="FI4" s="290"/>
      <c r="FK4" s="1894"/>
      <c r="FL4" s="2104"/>
      <c r="FM4" s="2104"/>
      <c r="FN4" s="1966" t="str">
        <f>MONSPRITE(FO4)</f>
        <v>#NAME?</v>
      </c>
      <c r="FO4" s="1259" t="s">
        <v>504</v>
      </c>
      <c r="FP4" s="12"/>
      <c r="FQ4" s="12"/>
      <c r="FR4" s="962"/>
      <c r="FS4" s="1003"/>
      <c r="FT4" s="2000" t="s">
        <v>5045</v>
      </c>
      <c r="FU4" s="1230"/>
      <c r="FV4" s="1966" t="str">
        <f>MONSPRITE(FW4)</f>
        <v>#NAME?</v>
      </c>
      <c r="FW4" s="1259" t="s">
        <v>458</v>
      </c>
      <c r="FX4" s="12"/>
      <c r="FY4" s="12"/>
      <c r="FZ4" s="962"/>
      <c r="GA4" s="1003"/>
      <c r="GB4" s="2000" t="s">
        <v>5045</v>
      </c>
      <c r="GC4" s="290"/>
      <c r="GE4" s="1894"/>
      <c r="GF4" s="2104"/>
      <c r="GG4" s="2104"/>
      <c r="GH4" s="1966" t="str">
        <f>MONSPRITE(GI4)</f>
        <v>#NAME?</v>
      </c>
      <c r="GI4" s="1259" t="s">
        <v>3691</v>
      </c>
      <c r="GJ4" s="12"/>
      <c r="GK4" s="12"/>
      <c r="GL4" s="962"/>
      <c r="GM4" s="1003"/>
      <c r="GN4" s="2000" t="s">
        <v>10608</v>
      </c>
      <c r="GO4" s="1230"/>
      <c r="GP4" s="1966" t="str">
        <f>MONSPRITE(GQ4)</f>
        <v>#NAME?</v>
      </c>
      <c r="GQ4" s="1259" t="s">
        <v>1064</v>
      </c>
      <c r="GR4" s="12"/>
      <c r="GS4" s="12"/>
      <c r="GT4" s="962"/>
      <c r="GU4" s="1003"/>
      <c r="GV4" s="2000" t="s">
        <v>10608</v>
      </c>
      <c r="GW4" s="290"/>
      <c r="GY4" s="1894"/>
      <c r="GZ4" s="2104"/>
      <c r="HA4" s="2104"/>
      <c r="HB4" s="1966" t="str">
        <f>MONSPRITE(HC4)</f>
        <v>#NAME?</v>
      </c>
      <c r="HC4" s="1259" t="s">
        <v>3700</v>
      </c>
      <c r="HD4" s="12"/>
      <c r="HE4" s="12"/>
      <c r="HF4" s="962"/>
      <c r="HG4" s="1003"/>
      <c r="HH4" s="2000" t="s">
        <v>5045</v>
      </c>
      <c r="HI4" s="1230"/>
      <c r="HJ4" s="1966" t="str">
        <f>MONSPRITE(HK4)</f>
        <v>#NAME?</v>
      </c>
      <c r="HK4" s="1259" t="s">
        <v>1073</v>
      </c>
      <c r="HL4" s="12"/>
      <c r="HM4" s="12"/>
      <c r="HN4" s="962"/>
      <c r="HO4" s="1003"/>
      <c r="HP4" s="2000" t="s">
        <v>5045</v>
      </c>
      <c r="HQ4" s="290"/>
      <c r="HS4" s="1894"/>
      <c r="HT4" s="2104"/>
      <c r="HU4" s="2104"/>
      <c r="HV4" s="1966" t="str">
        <f>MONSPRITE(HW4)</f>
        <v>#NAME?</v>
      </c>
      <c r="HW4" s="1259" t="s">
        <v>1705</v>
      </c>
      <c r="HX4" s="12"/>
      <c r="HY4" s="12"/>
      <c r="HZ4" s="962"/>
      <c r="IA4" s="1003"/>
      <c r="IB4" s="2000" t="s">
        <v>10608</v>
      </c>
      <c r="IC4" s="1230"/>
      <c r="ID4" s="1966" t="str">
        <f>MONSPRITE(IE4)</f>
        <v>#NAME?</v>
      </c>
      <c r="IE4" s="1259" t="s">
        <v>1705</v>
      </c>
      <c r="IF4" s="12"/>
      <c r="IG4" s="12"/>
      <c r="IH4" s="962"/>
      <c r="II4" s="1003"/>
      <c r="IJ4" s="2000" t="s">
        <v>10608</v>
      </c>
      <c r="IK4" s="1230"/>
      <c r="IL4" s="1966" t="str">
        <f>MONSPRITE(IM4)</f>
        <v>#NAME?</v>
      </c>
      <c r="IM4" s="1259" t="s">
        <v>1705</v>
      </c>
      <c r="IN4" s="12"/>
      <c r="IO4" s="12"/>
      <c r="IP4" s="962"/>
      <c r="IQ4" s="1003"/>
      <c r="IR4" s="2000" t="s">
        <v>10608</v>
      </c>
      <c r="IS4" s="290"/>
      <c r="IU4" s="1894"/>
      <c r="IV4" s="2104"/>
      <c r="IW4" s="2104"/>
      <c r="IX4" s="1966" t="str">
        <f>MONSPRITE(IY4)</f>
        <v>#NAME?</v>
      </c>
      <c r="IY4" s="1259" t="s">
        <v>1705</v>
      </c>
      <c r="IZ4" s="12"/>
      <c r="JA4" s="12"/>
      <c r="JB4" s="962"/>
      <c r="JC4" s="1003"/>
      <c r="JD4" s="2000" t="s">
        <v>5045</v>
      </c>
      <c r="JE4" s="1230"/>
      <c r="JF4" s="1966" t="str">
        <f>MONSPRITE(JG4)</f>
        <v>#NAME?</v>
      </c>
      <c r="JG4" s="1259" t="s">
        <v>347</v>
      </c>
      <c r="JH4" s="12"/>
      <c r="JI4" s="12"/>
      <c r="JJ4" s="962"/>
      <c r="JK4" s="1003"/>
      <c r="JL4" s="2000" t="s">
        <v>5045</v>
      </c>
      <c r="JM4" s="1230"/>
      <c r="JN4" s="1966" t="str">
        <f>MONSPRITE(JO4)</f>
        <v>#NAME?</v>
      </c>
      <c r="JO4" s="1259" t="s">
        <v>347</v>
      </c>
      <c r="JP4" s="12"/>
      <c r="JQ4" s="12"/>
      <c r="JR4" s="962"/>
      <c r="JS4" s="1003"/>
      <c r="JT4" s="2000" t="s">
        <v>5045</v>
      </c>
      <c r="JU4" s="290"/>
      <c r="JW4" s="1894"/>
      <c r="JX4" s="2104"/>
      <c r="JY4" s="2104"/>
      <c r="JZ4" s="1966" t="str">
        <f>MONSPRITE(KA4)</f>
        <v>#NAME?</v>
      </c>
      <c r="KA4" s="1259" t="s">
        <v>1858</v>
      </c>
      <c r="KB4" s="12"/>
      <c r="KC4" s="12"/>
      <c r="KD4" s="962"/>
      <c r="KE4" s="1003"/>
      <c r="KF4" s="2000" t="s">
        <v>10608</v>
      </c>
      <c r="KG4" s="1230"/>
      <c r="KH4" s="1966" t="str">
        <f>MONSPRITE(KI4)</f>
        <v>#NAME?</v>
      </c>
      <c r="KI4" s="1259" t="s">
        <v>724</v>
      </c>
      <c r="KJ4" s="12"/>
      <c r="KK4" s="12"/>
      <c r="KL4" s="962"/>
      <c r="KM4" s="1003"/>
      <c r="KN4" s="2000" t="s">
        <v>10608</v>
      </c>
      <c r="KO4" s="290"/>
      <c r="KQ4" s="1894"/>
      <c r="KR4" s="2104"/>
      <c r="KS4" s="2104"/>
      <c r="KT4" s="1966" t="str">
        <f>MONSPRITE(KU4)</f>
        <v>#NAME?</v>
      </c>
      <c r="KU4" s="1259" t="s">
        <v>1858</v>
      </c>
      <c r="KV4" s="12"/>
      <c r="KW4" s="12"/>
      <c r="KX4" s="962"/>
      <c r="KY4" s="1003"/>
      <c r="KZ4" s="2000" t="s">
        <v>5045</v>
      </c>
      <c r="LA4" s="1230"/>
      <c r="LB4" s="1966" t="str">
        <f>MONSPRITE(LC4)</f>
        <v>#NAME?</v>
      </c>
      <c r="LC4" s="1259" t="s">
        <v>734</v>
      </c>
      <c r="LD4" s="12"/>
      <c r="LE4" s="12"/>
      <c r="LF4" s="962"/>
      <c r="LG4" s="1003"/>
      <c r="LH4" s="2000" t="s">
        <v>5045</v>
      </c>
      <c r="LI4" s="290"/>
    </row>
    <row r="5" ht="15.75" customHeight="1">
      <c r="A5" s="1238"/>
      <c r="B5" s="2096" t="s">
        <v>10609</v>
      </c>
      <c r="C5" s="1230"/>
      <c r="D5" s="2106" t="s">
        <v>10610</v>
      </c>
      <c r="E5" s="1230"/>
      <c r="F5" s="2107" t="s">
        <v>10611</v>
      </c>
      <c r="G5" s="1230"/>
      <c r="H5" s="1848" t="s">
        <v>4614</v>
      </c>
      <c r="I5" s="48"/>
      <c r="J5" s="1230"/>
      <c r="K5" s="2096"/>
      <c r="L5" s="2108" t="s">
        <v>10612</v>
      </c>
      <c r="M5" s="960"/>
      <c r="N5" s="2109" t="s">
        <v>10613</v>
      </c>
      <c r="O5" s="48"/>
      <c r="P5" s="2109" t="s">
        <v>10614</v>
      </c>
      <c r="Q5" s="48"/>
      <c r="R5" s="2109" t="s">
        <v>10615</v>
      </c>
      <c r="S5" s="48"/>
      <c r="T5" s="2109" t="s">
        <v>10616</v>
      </c>
      <c r="U5" s="48"/>
      <c r="V5" s="2109" t="s">
        <v>10617</v>
      </c>
      <c r="W5" s="48"/>
      <c r="X5" s="2109" t="s">
        <v>10618</v>
      </c>
      <c r="Y5" s="48"/>
      <c r="AA5" s="2110"/>
      <c r="AB5" s="2105"/>
      <c r="AC5" s="2104"/>
      <c r="AD5" s="1444"/>
      <c r="AE5" s="1092" t="str">
        <f>TYPEICON(AF5)</f>
        <v>#NAME?</v>
      </c>
      <c r="AF5" s="398" t="str">
        <f>MONTYPE(AE4)</f>
        <v>#NAME?</v>
      </c>
      <c r="AG5" s="48"/>
      <c r="AH5" s="1092" t="str">
        <f>TYPEICON(AI5)</f>
        <v>#NAME?</v>
      </c>
      <c r="AI5" s="398" t="str">
        <f>MONTYPE2(AE4)</f>
        <v>#NAME?</v>
      </c>
      <c r="AJ5" s="48"/>
      <c r="AK5" s="1230"/>
      <c r="AL5" s="1444"/>
      <c r="AM5" s="1092" t="str">
        <f>TYPEICON(AN5)</f>
        <v>#NAME?</v>
      </c>
      <c r="AN5" s="398" t="str">
        <f>MONTYPE(AM4)</f>
        <v>#NAME?</v>
      </c>
      <c r="AO5" s="48"/>
      <c r="AP5" s="1092" t="str">
        <f>TYPEICON(AQ5)</f>
        <v>#NAME?</v>
      </c>
      <c r="AQ5" s="398" t="str">
        <f>MONTYPE2(AM4)</f>
        <v>#NAME?</v>
      </c>
      <c r="AR5" s="48"/>
      <c r="AS5" s="290"/>
      <c r="AU5" s="2110"/>
      <c r="AV5" s="2105"/>
      <c r="AW5" s="2104"/>
      <c r="AX5" s="1444"/>
      <c r="AY5" s="1092" t="str">
        <f>TYPEICON(AZ5)</f>
        <v>#NAME?</v>
      </c>
      <c r="AZ5" s="398" t="str">
        <f>MONTYPE(AY4)</f>
        <v>#NAME?</v>
      </c>
      <c r="BA5" s="48"/>
      <c r="BB5" s="1092" t="str">
        <f>TYPEICON(BC5)</f>
        <v>#NAME?</v>
      </c>
      <c r="BC5" s="398" t="str">
        <f>MONTYPE2(AY4)</f>
        <v>#NAME?</v>
      </c>
      <c r="BD5" s="48"/>
      <c r="BE5" s="1230"/>
      <c r="BF5" s="1444"/>
      <c r="BG5" s="1092" t="str">
        <f>TYPEICON(BH5)</f>
        <v>#NAME?</v>
      </c>
      <c r="BH5" s="398" t="str">
        <f>MONTYPE(BG4)</f>
        <v>#NAME?</v>
      </c>
      <c r="BI5" s="48"/>
      <c r="BJ5" s="1092" t="str">
        <f>TYPEICON(BK5)</f>
        <v>#NAME?</v>
      </c>
      <c r="BK5" s="398" t="str">
        <f>MONTYPE2(BG4)</f>
        <v>#NAME?</v>
      </c>
      <c r="BL5" s="48"/>
      <c r="BM5" s="290"/>
      <c r="BO5" s="2110"/>
      <c r="BP5" s="2105"/>
      <c r="BQ5" s="2104"/>
      <c r="BR5" s="1444"/>
      <c r="BS5" s="1092" t="str">
        <f>TYPEICON(BT5)</f>
        <v>#NAME?</v>
      </c>
      <c r="BT5" s="398" t="str">
        <f>MONTYPE(BS4)</f>
        <v>#NAME?</v>
      </c>
      <c r="BU5" s="48"/>
      <c r="BV5" s="2012" t="str">
        <f>TYPEICON(BW5)</f>
        <v>#NAME?</v>
      </c>
      <c r="BW5" s="398" t="str">
        <f>MONTYPE2(BS4)</f>
        <v>#NAME?</v>
      </c>
      <c r="BX5" s="48"/>
      <c r="BY5" s="1230"/>
      <c r="BZ5" s="1444"/>
      <c r="CA5" s="1092" t="str">
        <f>TYPEICON(CB5)</f>
        <v>#NAME?</v>
      </c>
      <c r="CB5" s="398" t="str">
        <f>MONTYPE(CA4)</f>
        <v>#NAME?</v>
      </c>
      <c r="CC5" s="48"/>
      <c r="CD5" s="1092" t="str">
        <f>TYPEICON(CE5)</f>
        <v>#NAME?</v>
      </c>
      <c r="CE5" s="398" t="str">
        <f>MONTYPE2(CA4)</f>
        <v>#NAME?</v>
      </c>
      <c r="CF5" s="48"/>
      <c r="CG5" s="290"/>
      <c r="CI5" s="2110"/>
      <c r="CJ5" s="2105"/>
      <c r="CK5" s="2104"/>
      <c r="CL5" s="1444"/>
      <c r="CM5" s="1092" t="str">
        <f>TYPEICON(CN5)</f>
        <v>#NAME?</v>
      </c>
      <c r="CN5" s="398" t="str">
        <f>MONTYPE(CM4)</f>
        <v>#NAME?</v>
      </c>
      <c r="CO5" s="48"/>
      <c r="CP5" s="2012" t="str">
        <f>TYPEICON(CQ5)</f>
        <v>#NAME?</v>
      </c>
      <c r="CQ5" s="398" t="str">
        <f>MONTYPE2(CM4)</f>
        <v>#NAME?</v>
      </c>
      <c r="CR5" s="48"/>
      <c r="CS5" s="1230"/>
      <c r="CT5" s="1444"/>
      <c r="CU5" s="1092" t="str">
        <f>TYPEICON(CV5)</f>
        <v>#NAME?</v>
      </c>
      <c r="CV5" s="398" t="str">
        <f>MONTYPE(CU4)</f>
        <v>#NAME?</v>
      </c>
      <c r="CW5" s="48"/>
      <c r="CX5" s="1092" t="str">
        <f>TYPEICON(CY5)</f>
        <v>#NAME?</v>
      </c>
      <c r="CY5" s="398" t="str">
        <f>MONTYPE2(CU4)</f>
        <v>#NAME?</v>
      </c>
      <c r="CZ5" s="48"/>
      <c r="DA5" s="290"/>
      <c r="DC5" s="1894"/>
      <c r="DD5" s="2111" t="str">
        <f>image("https://archives.bulbagarden.net/media/upload/8/80/Cameraman_OD.png", 1)</f>
        <v/>
      </c>
      <c r="DE5" s="2104"/>
      <c r="DF5" s="1444"/>
      <c r="DG5" s="1092" t="str">
        <f>TYPEICON(DH5)</f>
        <v>#NAME?</v>
      </c>
      <c r="DH5" s="398" t="str">
        <f>MONTYPE(DG4)</f>
        <v>#NAME?</v>
      </c>
      <c r="DI5" s="48"/>
      <c r="DJ5" s="1092" t="str">
        <f>TYPEICON(DK5)</f>
        <v>#NAME?</v>
      </c>
      <c r="DK5" s="398" t="str">
        <f>MONTYPE2(DG4)</f>
        <v>#NAME?</v>
      </c>
      <c r="DL5" s="48"/>
      <c r="DM5" s="1230"/>
      <c r="DN5" s="1444"/>
      <c r="DO5" s="1092" t="str">
        <f>TYPEICON(DP5)</f>
        <v>#NAME?</v>
      </c>
      <c r="DP5" s="398" t="str">
        <f>MONTYPE(DO4)</f>
        <v>#NAME?</v>
      </c>
      <c r="DQ5" s="48"/>
      <c r="DR5" s="2012" t="str">
        <f>TYPEICON(DS5)</f>
        <v>#NAME?</v>
      </c>
      <c r="DS5" s="398" t="str">
        <f>MONTYPE2(DO4)</f>
        <v>#NAME?</v>
      </c>
      <c r="DT5" s="48"/>
      <c r="DU5" s="290"/>
      <c r="DW5" s="1894"/>
      <c r="DX5" s="2111" t="str">
        <f>image("https://archives.bulbagarden.net/media/upload/8/80/Cameraman_OD.png", 1)</f>
        <v/>
      </c>
      <c r="DY5" s="2104"/>
      <c r="DZ5" s="1444"/>
      <c r="EA5" s="1092" t="str">
        <f>TYPEICON(EB5)</f>
        <v>#NAME?</v>
      </c>
      <c r="EB5" s="398" t="str">
        <f>MONTYPE(EA4)</f>
        <v>#NAME?</v>
      </c>
      <c r="EC5" s="48"/>
      <c r="ED5" s="1092" t="str">
        <f>TYPEICON(EE5)</f>
        <v>#NAME?</v>
      </c>
      <c r="EE5" s="398" t="str">
        <f>MONTYPE2(EA4)</f>
        <v>#NAME?</v>
      </c>
      <c r="EF5" s="48"/>
      <c r="EG5" s="1230"/>
      <c r="EH5" s="1444"/>
      <c r="EI5" s="1092" t="str">
        <f>TYPEICON(EJ5)</f>
        <v>#NAME?</v>
      </c>
      <c r="EJ5" s="398" t="str">
        <f>MONTYPE(EI4)</f>
        <v>#NAME?</v>
      </c>
      <c r="EK5" s="48"/>
      <c r="EL5" s="2012" t="str">
        <f>TYPEICON(EM5)</f>
        <v>#NAME?</v>
      </c>
      <c r="EM5" s="398" t="str">
        <f>MONTYPE2(EI4)</f>
        <v>#NAME?</v>
      </c>
      <c r="EN5" s="48"/>
      <c r="EO5" s="290"/>
      <c r="EQ5" s="2110"/>
      <c r="ER5" s="2105"/>
      <c r="ES5" s="2104"/>
      <c r="ET5" s="1444"/>
      <c r="EU5" s="1092" t="str">
        <f>TYPEICON(EV5)</f>
        <v>#NAME?</v>
      </c>
      <c r="EV5" s="398" t="str">
        <f>MONTYPE(EU4)</f>
        <v>#NAME?</v>
      </c>
      <c r="EW5" s="48"/>
      <c r="EX5" s="2012" t="str">
        <f>TYPEICON(EY5)</f>
        <v>#NAME?</v>
      </c>
      <c r="EY5" s="398" t="str">
        <f>MONTYPE2(EU4)</f>
        <v>#NAME?</v>
      </c>
      <c r="EZ5" s="48"/>
      <c r="FA5" s="1230"/>
      <c r="FB5" s="1444"/>
      <c r="FC5" s="2012" t="str">
        <f>TYPEICON(FD5)</f>
        <v>#NAME?</v>
      </c>
      <c r="FD5" s="398" t="str">
        <f>MONTYPE(FC4)</f>
        <v>#NAME?</v>
      </c>
      <c r="FE5" s="48"/>
      <c r="FF5" s="1092" t="str">
        <f>TYPEICON(FG5)</f>
        <v>#NAME?</v>
      </c>
      <c r="FG5" s="398" t="str">
        <f>MONTYPE2(FC4)</f>
        <v>#NAME?</v>
      </c>
      <c r="FH5" s="48"/>
      <c r="FI5" s="290"/>
      <c r="FK5" s="2110"/>
      <c r="FL5" s="2105"/>
      <c r="FM5" s="2104"/>
      <c r="FN5" s="1444"/>
      <c r="FO5" s="1092" t="str">
        <f>TYPEICON(FP5)</f>
        <v>#NAME?</v>
      </c>
      <c r="FP5" s="398" t="str">
        <f>MONTYPE(FO4)</f>
        <v>#NAME?</v>
      </c>
      <c r="FQ5" s="48"/>
      <c r="FR5" s="2012" t="str">
        <f>TYPEICON(FS5)</f>
        <v>#NAME?</v>
      </c>
      <c r="FS5" s="398" t="str">
        <f>MONTYPE2(FO4)</f>
        <v>#NAME?</v>
      </c>
      <c r="FT5" s="48"/>
      <c r="FU5" s="1230"/>
      <c r="FV5" s="1444"/>
      <c r="FW5" s="2012" t="str">
        <f>TYPEICON(FX5)</f>
        <v>#NAME?</v>
      </c>
      <c r="FX5" s="398" t="str">
        <f>MONTYPE(FW4)</f>
        <v>#NAME?</v>
      </c>
      <c r="FY5" s="48"/>
      <c r="FZ5" s="1092" t="str">
        <f>TYPEICON(GA5)</f>
        <v>#NAME?</v>
      </c>
      <c r="GA5" s="398" t="str">
        <f>MONTYPE2(FW4)</f>
        <v>#NAME?</v>
      </c>
      <c r="GB5" s="48"/>
      <c r="GC5" s="290"/>
      <c r="GE5" s="2110"/>
      <c r="GF5" s="2105"/>
      <c r="GG5" s="2104"/>
      <c r="GH5" s="1444"/>
      <c r="GI5" s="1092" t="str">
        <f>TYPEICON(GJ5)</f>
        <v>#NAME?</v>
      </c>
      <c r="GJ5" s="398" t="str">
        <f>MONTYPE(GI4)</f>
        <v>#NAME?</v>
      </c>
      <c r="GK5" s="48"/>
      <c r="GL5" s="1092" t="str">
        <f>TYPEICON(GM5)</f>
        <v>#NAME?</v>
      </c>
      <c r="GM5" s="398" t="str">
        <f>MONTYPE2(GI4)</f>
        <v>#NAME?</v>
      </c>
      <c r="GN5" s="48"/>
      <c r="GO5" s="1230"/>
      <c r="GP5" s="1444"/>
      <c r="GQ5" s="1092" t="str">
        <f>TYPEICON(GR5)</f>
        <v>#NAME?</v>
      </c>
      <c r="GR5" s="398" t="str">
        <f>MONTYPE(GQ4)</f>
        <v>#NAME?</v>
      </c>
      <c r="GS5" s="48"/>
      <c r="GT5" s="1092" t="str">
        <f>TYPEICON(GU5)</f>
        <v>#NAME?</v>
      </c>
      <c r="GU5" s="398" t="str">
        <f>MONTYPE2(GQ4)</f>
        <v>#NAME?</v>
      </c>
      <c r="GV5" s="48"/>
      <c r="GW5" s="290"/>
      <c r="GY5" s="2110"/>
      <c r="GZ5" s="2105"/>
      <c r="HA5" s="2104"/>
      <c r="HB5" s="1444"/>
      <c r="HC5" s="1092" t="str">
        <f>TYPEICON(HD5)</f>
        <v>#NAME?</v>
      </c>
      <c r="HD5" s="398" t="str">
        <f>MONTYPE(HC4)</f>
        <v>#NAME?</v>
      </c>
      <c r="HE5" s="48"/>
      <c r="HF5" s="1092" t="str">
        <f>TYPEICON(HG5)</f>
        <v>#NAME?</v>
      </c>
      <c r="HG5" s="398" t="str">
        <f>MONTYPE2(HC4)</f>
        <v>#NAME?</v>
      </c>
      <c r="HH5" s="48"/>
      <c r="HI5" s="1230"/>
      <c r="HJ5" s="1444"/>
      <c r="HK5" s="1092" t="str">
        <f>TYPEICON(HL5)</f>
        <v>#NAME?</v>
      </c>
      <c r="HL5" s="398" t="str">
        <f>MONTYPE(HK4)</f>
        <v>#NAME?</v>
      </c>
      <c r="HM5" s="48"/>
      <c r="HN5" s="1092" t="str">
        <f>TYPEICON(HO5)</f>
        <v>#NAME?</v>
      </c>
      <c r="HO5" s="398" t="str">
        <f>MONTYPE2(HK4)</f>
        <v>#NAME?</v>
      </c>
      <c r="HP5" s="48"/>
      <c r="HQ5" s="290"/>
      <c r="HS5" s="2110"/>
      <c r="HT5" s="2105"/>
      <c r="HU5" s="2104"/>
      <c r="HV5" s="1444"/>
      <c r="HW5" s="1092" t="str">
        <f>TYPEICON(HX5)</f>
        <v>#NAME?</v>
      </c>
      <c r="HX5" s="398" t="str">
        <f>MONTYPE(HW4)</f>
        <v>#NAME?</v>
      </c>
      <c r="HY5" s="48"/>
      <c r="HZ5" s="1092" t="str">
        <f>TYPEICON(IA5)</f>
        <v>#NAME?</v>
      </c>
      <c r="IA5" s="398" t="str">
        <f>MONTYPE2(HW4)</f>
        <v>#NAME?</v>
      </c>
      <c r="IB5" s="48"/>
      <c r="IC5" s="1230"/>
      <c r="ID5" s="1444"/>
      <c r="IE5" s="1092" t="str">
        <f>TYPEICON(IF5)</f>
        <v>#NAME?</v>
      </c>
      <c r="IF5" s="398" t="str">
        <f>MONTYPE(IE4)</f>
        <v>#NAME?</v>
      </c>
      <c r="IG5" s="48"/>
      <c r="IH5" s="1092" t="str">
        <f>TYPEICON(II5)</f>
        <v>#NAME?</v>
      </c>
      <c r="II5" s="398" t="str">
        <f>MONTYPE2(IE4)</f>
        <v>#NAME?</v>
      </c>
      <c r="IJ5" s="48"/>
      <c r="IK5" s="1230"/>
      <c r="IL5" s="1444"/>
      <c r="IM5" s="1092" t="str">
        <f>TYPEICON(IN5)</f>
        <v>#NAME?</v>
      </c>
      <c r="IN5" s="398" t="str">
        <f>MONTYPE(IM4)</f>
        <v>#NAME?</v>
      </c>
      <c r="IO5" s="48"/>
      <c r="IP5" s="1092" t="str">
        <f>TYPEICON(IQ5)</f>
        <v>#NAME?</v>
      </c>
      <c r="IQ5" s="398" t="str">
        <f>MONTYPE2(IM4)</f>
        <v>#NAME?</v>
      </c>
      <c r="IR5" s="48"/>
      <c r="IS5" s="290"/>
      <c r="IU5" s="2110"/>
      <c r="IV5" s="2105"/>
      <c r="IW5" s="2104"/>
      <c r="IX5" s="1444"/>
      <c r="IY5" s="1092" t="str">
        <f>TYPEICON(IZ5)</f>
        <v>#NAME?</v>
      </c>
      <c r="IZ5" s="398" t="str">
        <f>MONTYPE(IY4)</f>
        <v>#NAME?</v>
      </c>
      <c r="JA5" s="48"/>
      <c r="JB5" s="1092" t="str">
        <f>TYPEICON(JC5)</f>
        <v>#NAME?</v>
      </c>
      <c r="JC5" s="398" t="str">
        <f>MONTYPE2(IY4)</f>
        <v>#NAME?</v>
      </c>
      <c r="JD5" s="48"/>
      <c r="JE5" s="1230"/>
      <c r="JF5" s="1444"/>
      <c r="JG5" s="1092" t="str">
        <f>TYPEICON(JH5)</f>
        <v>#NAME?</v>
      </c>
      <c r="JH5" s="398" t="str">
        <f>MONTYPE(JG4)</f>
        <v>#NAME?</v>
      </c>
      <c r="JI5" s="48"/>
      <c r="JJ5" s="1092" t="str">
        <f>TYPEICON(JK5)</f>
        <v>#NAME?</v>
      </c>
      <c r="JK5" s="398" t="str">
        <f>MONTYPE2(JG4)</f>
        <v>#NAME?</v>
      </c>
      <c r="JL5" s="48"/>
      <c r="JM5" s="1230"/>
      <c r="JN5" s="1444"/>
      <c r="JO5" s="1092" t="str">
        <f>TYPEICON(JP5)</f>
        <v>#NAME?</v>
      </c>
      <c r="JP5" s="398" t="str">
        <f>MONTYPE(JO4)</f>
        <v>#NAME?</v>
      </c>
      <c r="JQ5" s="48"/>
      <c r="JR5" s="1092" t="str">
        <f>TYPEICON(JS5)</f>
        <v>#NAME?</v>
      </c>
      <c r="JS5" s="398" t="str">
        <f>MONTYPE2(JO4)</f>
        <v>#NAME?</v>
      </c>
      <c r="JT5" s="48"/>
      <c r="JU5" s="290"/>
      <c r="JW5" s="2110"/>
      <c r="JX5" s="2105"/>
      <c r="JY5" s="2104"/>
      <c r="JZ5" s="1444"/>
      <c r="KA5" s="1092" t="str">
        <f>TYPEICON(KB5)</f>
        <v>#NAME?</v>
      </c>
      <c r="KB5" s="398" t="str">
        <f>MONTYPE(KA4)</f>
        <v>#NAME?</v>
      </c>
      <c r="KC5" s="48"/>
      <c r="KD5" s="1092" t="str">
        <f>TYPEICON(KE5)</f>
        <v>#NAME?</v>
      </c>
      <c r="KE5" s="398" t="str">
        <f>MONTYPE2(KA4)</f>
        <v>#NAME?</v>
      </c>
      <c r="KF5" s="48"/>
      <c r="KG5" s="1230"/>
      <c r="KH5" s="1444"/>
      <c r="KI5" s="1092" t="str">
        <f>TYPEICON(KJ5)</f>
        <v>#NAME?</v>
      </c>
      <c r="KJ5" s="398" t="str">
        <f>MONTYPE(KI4)</f>
        <v>#NAME?</v>
      </c>
      <c r="KK5" s="48"/>
      <c r="KL5" s="1092" t="str">
        <f>TYPEICON(KM5)</f>
        <v>#NAME?</v>
      </c>
      <c r="KM5" s="398" t="str">
        <f>MONTYPE2(KI4)</f>
        <v>#NAME?</v>
      </c>
      <c r="KN5" s="48"/>
      <c r="KO5" s="290"/>
      <c r="KQ5" s="2110"/>
      <c r="KR5" s="2105"/>
      <c r="KS5" s="2104"/>
      <c r="KT5" s="1444"/>
      <c r="KU5" s="1092" t="str">
        <f>TYPEICON(KV5)</f>
        <v>#NAME?</v>
      </c>
      <c r="KV5" s="398" t="str">
        <f>MONTYPE(KU4)</f>
        <v>#NAME?</v>
      </c>
      <c r="KW5" s="48"/>
      <c r="KX5" s="1092" t="str">
        <f>TYPEICON(KY5)</f>
        <v>#NAME?</v>
      </c>
      <c r="KY5" s="398" t="str">
        <f>MONTYPE2(KU4)</f>
        <v>#NAME?</v>
      </c>
      <c r="KZ5" s="48"/>
      <c r="LA5" s="1230"/>
      <c r="LB5" s="1444"/>
      <c r="LC5" s="1092" t="str">
        <f>TYPEICON(LD5)</f>
        <v>#NAME?</v>
      </c>
      <c r="LD5" s="398" t="str">
        <f>MONTYPE(LC4)</f>
        <v>#NAME?</v>
      </c>
      <c r="LE5" s="48"/>
      <c r="LF5" s="1092" t="str">
        <f>TYPEICON(LG5)</f>
        <v>#NAME?</v>
      </c>
      <c r="LG5" s="398" t="str">
        <f>MONTYPE2(LC4)</f>
        <v>#NAME?</v>
      </c>
      <c r="LH5" s="48"/>
      <c r="LI5" s="290"/>
    </row>
    <row r="6" ht="15.75" customHeight="1">
      <c r="A6" s="1238"/>
      <c r="B6" s="2097" t="s">
        <v>10619</v>
      </c>
      <c r="C6" s="1230"/>
      <c r="D6" s="2112"/>
      <c r="E6" s="1230"/>
      <c r="F6" s="2112"/>
      <c r="G6" s="1230"/>
      <c r="H6" s="1848" t="s">
        <v>10620</v>
      </c>
      <c r="I6" s="48"/>
      <c r="J6" s="1230"/>
      <c r="K6" s="2113" t="s">
        <v>4515</v>
      </c>
      <c r="L6" s="2114"/>
      <c r="M6" s="2115" t="s">
        <v>10621</v>
      </c>
      <c r="N6" s="2116"/>
      <c r="O6" s="982"/>
      <c r="P6" s="2114"/>
      <c r="Q6" s="2115" t="s">
        <v>10621</v>
      </c>
      <c r="R6" s="2114"/>
      <c r="S6" s="2115" t="s">
        <v>10621</v>
      </c>
      <c r="T6" s="2116"/>
      <c r="U6" s="982"/>
      <c r="V6" s="2116"/>
      <c r="W6" s="982"/>
      <c r="X6" s="2116"/>
      <c r="Y6" s="982"/>
      <c r="AA6" s="2117" t="s">
        <v>10622</v>
      </c>
      <c r="AB6" s="1204"/>
      <c r="AC6" s="1445"/>
      <c r="AD6" s="2006" t="s">
        <v>4416</v>
      </c>
      <c r="AE6" s="2007" t="s">
        <v>4417</v>
      </c>
      <c r="AF6" s="2007" t="s">
        <v>3748</v>
      </c>
      <c r="AG6" s="2007" t="s">
        <v>4418</v>
      </c>
      <c r="AH6" s="1120" t="s">
        <v>4419</v>
      </c>
      <c r="AI6" s="1120" t="s">
        <v>4420</v>
      </c>
      <c r="AJ6" s="1118" t="s">
        <v>4421</v>
      </c>
      <c r="AK6" s="1230"/>
      <c r="AL6" s="2006" t="s">
        <v>4416</v>
      </c>
      <c r="AM6" s="2007" t="s">
        <v>4417</v>
      </c>
      <c r="AN6" s="2007" t="s">
        <v>3748</v>
      </c>
      <c r="AO6" s="2007" t="s">
        <v>4418</v>
      </c>
      <c r="AP6" s="1120" t="s">
        <v>4419</v>
      </c>
      <c r="AQ6" s="1120" t="s">
        <v>4420</v>
      </c>
      <c r="AR6" s="1118" t="s">
        <v>4421</v>
      </c>
      <c r="AS6" s="290"/>
      <c r="AU6" s="2117" t="s">
        <v>10623</v>
      </c>
      <c r="AV6" s="1204"/>
      <c r="AW6" s="1445"/>
      <c r="AX6" s="2006" t="s">
        <v>4416</v>
      </c>
      <c r="AY6" s="2007" t="s">
        <v>4417</v>
      </c>
      <c r="AZ6" s="2007" t="s">
        <v>3748</v>
      </c>
      <c r="BA6" s="2007" t="s">
        <v>4418</v>
      </c>
      <c r="BB6" s="1120" t="s">
        <v>4419</v>
      </c>
      <c r="BC6" s="1120" t="s">
        <v>4420</v>
      </c>
      <c r="BD6" s="1118" t="s">
        <v>4421</v>
      </c>
      <c r="BE6" s="1230"/>
      <c r="BF6" s="2006" t="s">
        <v>4416</v>
      </c>
      <c r="BG6" s="2007" t="s">
        <v>4417</v>
      </c>
      <c r="BH6" s="2007" t="s">
        <v>3748</v>
      </c>
      <c r="BI6" s="2007" t="s">
        <v>4418</v>
      </c>
      <c r="BJ6" s="1120" t="s">
        <v>4419</v>
      </c>
      <c r="BK6" s="1120" t="s">
        <v>4420</v>
      </c>
      <c r="BL6" s="1118" t="s">
        <v>4421</v>
      </c>
      <c r="BM6" s="290"/>
      <c r="BO6" s="2117" t="s">
        <v>10624</v>
      </c>
      <c r="BP6" s="1204"/>
      <c r="BQ6" s="1445"/>
      <c r="BR6" s="2006" t="s">
        <v>4416</v>
      </c>
      <c r="BS6" s="2007" t="s">
        <v>4417</v>
      </c>
      <c r="BT6" s="2007" t="s">
        <v>3748</v>
      </c>
      <c r="BU6" s="2007" t="s">
        <v>4418</v>
      </c>
      <c r="BV6" s="1120" t="s">
        <v>4419</v>
      </c>
      <c r="BW6" s="1120" t="s">
        <v>4420</v>
      </c>
      <c r="BX6" s="1118" t="s">
        <v>4421</v>
      </c>
      <c r="BY6" s="1230"/>
      <c r="BZ6" s="2006" t="s">
        <v>4416</v>
      </c>
      <c r="CA6" s="2007" t="s">
        <v>4417</v>
      </c>
      <c r="CB6" s="2007" t="s">
        <v>3748</v>
      </c>
      <c r="CC6" s="2007" t="s">
        <v>4418</v>
      </c>
      <c r="CD6" s="1120" t="s">
        <v>4419</v>
      </c>
      <c r="CE6" s="1120" t="s">
        <v>4420</v>
      </c>
      <c r="CF6" s="1118" t="s">
        <v>4421</v>
      </c>
      <c r="CG6" s="290"/>
      <c r="CI6" s="2117" t="s">
        <v>10625</v>
      </c>
      <c r="CJ6" s="1204"/>
      <c r="CK6" s="1445"/>
      <c r="CL6" s="2006" t="s">
        <v>4416</v>
      </c>
      <c r="CM6" s="2007" t="s">
        <v>4417</v>
      </c>
      <c r="CN6" s="2007" t="s">
        <v>3748</v>
      </c>
      <c r="CO6" s="2007" t="s">
        <v>4418</v>
      </c>
      <c r="CP6" s="1120" t="s">
        <v>4419</v>
      </c>
      <c r="CQ6" s="1120" t="s">
        <v>4420</v>
      </c>
      <c r="CR6" s="1118" t="s">
        <v>4421</v>
      </c>
      <c r="CS6" s="1230"/>
      <c r="CT6" s="2006" t="s">
        <v>4416</v>
      </c>
      <c r="CU6" s="2007" t="s">
        <v>4417</v>
      </c>
      <c r="CV6" s="2007" t="s">
        <v>3748</v>
      </c>
      <c r="CW6" s="2007" t="s">
        <v>4418</v>
      </c>
      <c r="CX6" s="1120" t="s">
        <v>4419</v>
      </c>
      <c r="CY6" s="1120" t="s">
        <v>4420</v>
      </c>
      <c r="CZ6" s="1118" t="s">
        <v>4421</v>
      </c>
      <c r="DA6" s="290"/>
      <c r="DC6" s="2110"/>
      <c r="DD6" s="2105"/>
      <c r="DE6" s="2104"/>
      <c r="DF6" s="2006" t="s">
        <v>4416</v>
      </c>
      <c r="DG6" s="2007" t="s">
        <v>4417</v>
      </c>
      <c r="DH6" s="2007" t="s">
        <v>3748</v>
      </c>
      <c r="DI6" s="2007" t="s">
        <v>4418</v>
      </c>
      <c r="DJ6" s="1120" t="s">
        <v>4419</v>
      </c>
      <c r="DK6" s="1120" t="s">
        <v>4420</v>
      </c>
      <c r="DL6" s="1118" t="s">
        <v>4421</v>
      </c>
      <c r="DM6" s="1230"/>
      <c r="DN6" s="2006" t="s">
        <v>4416</v>
      </c>
      <c r="DO6" s="2007" t="s">
        <v>4417</v>
      </c>
      <c r="DP6" s="2007" t="s">
        <v>3748</v>
      </c>
      <c r="DQ6" s="2007" t="s">
        <v>4418</v>
      </c>
      <c r="DR6" s="1120" t="s">
        <v>4419</v>
      </c>
      <c r="DS6" s="1120" t="s">
        <v>4420</v>
      </c>
      <c r="DT6" s="1118" t="s">
        <v>4421</v>
      </c>
      <c r="DU6" s="290"/>
      <c r="DW6" s="2110"/>
      <c r="DX6" s="2105"/>
      <c r="DY6" s="2104"/>
      <c r="DZ6" s="2006" t="s">
        <v>4416</v>
      </c>
      <c r="EA6" s="2007" t="s">
        <v>4417</v>
      </c>
      <c r="EB6" s="2007" t="s">
        <v>3748</v>
      </c>
      <c r="EC6" s="2007" t="s">
        <v>4418</v>
      </c>
      <c r="ED6" s="1120" t="s">
        <v>4419</v>
      </c>
      <c r="EE6" s="1120" t="s">
        <v>4420</v>
      </c>
      <c r="EF6" s="1118" t="s">
        <v>4421</v>
      </c>
      <c r="EG6" s="1230"/>
      <c r="EH6" s="2006" t="s">
        <v>4416</v>
      </c>
      <c r="EI6" s="2007" t="s">
        <v>4417</v>
      </c>
      <c r="EJ6" s="2007" t="s">
        <v>3748</v>
      </c>
      <c r="EK6" s="2007" t="s">
        <v>4418</v>
      </c>
      <c r="EL6" s="1120" t="s">
        <v>4419</v>
      </c>
      <c r="EM6" s="1120" t="s">
        <v>4420</v>
      </c>
      <c r="EN6" s="1118" t="s">
        <v>4421</v>
      </c>
      <c r="EO6" s="290"/>
      <c r="EQ6" s="2117" t="s">
        <v>10626</v>
      </c>
      <c r="ER6" s="1204"/>
      <c r="ES6" s="1445"/>
      <c r="ET6" s="2006" t="s">
        <v>4416</v>
      </c>
      <c r="EU6" s="2007" t="s">
        <v>4417</v>
      </c>
      <c r="EV6" s="2007" t="s">
        <v>3748</v>
      </c>
      <c r="EW6" s="2007" t="s">
        <v>4418</v>
      </c>
      <c r="EX6" s="1120" t="s">
        <v>4419</v>
      </c>
      <c r="EY6" s="1120" t="s">
        <v>4420</v>
      </c>
      <c r="EZ6" s="1118" t="s">
        <v>4421</v>
      </c>
      <c r="FA6" s="1230"/>
      <c r="FB6" s="2006" t="s">
        <v>4416</v>
      </c>
      <c r="FC6" s="2007" t="s">
        <v>4417</v>
      </c>
      <c r="FD6" s="2007" t="s">
        <v>3748</v>
      </c>
      <c r="FE6" s="2007" t="s">
        <v>4418</v>
      </c>
      <c r="FF6" s="1120" t="s">
        <v>4419</v>
      </c>
      <c r="FG6" s="1120" t="s">
        <v>4420</v>
      </c>
      <c r="FH6" s="1118" t="s">
        <v>4421</v>
      </c>
      <c r="FI6" s="290"/>
      <c r="FK6" s="2117" t="s">
        <v>10627</v>
      </c>
      <c r="FL6" s="1204"/>
      <c r="FM6" s="1445"/>
      <c r="FN6" s="2006" t="s">
        <v>4416</v>
      </c>
      <c r="FO6" s="2007" t="s">
        <v>4417</v>
      </c>
      <c r="FP6" s="2007" t="s">
        <v>3748</v>
      </c>
      <c r="FQ6" s="2007" t="s">
        <v>4418</v>
      </c>
      <c r="FR6" s="1120" t="s">
        <v>4419</v>
      </c>
      <c r="FS6" s="1120" t="s">
        <v>4420</v>
      </c>
      <c r="FT6" s="1118" t="s">
        <v>4421</v>
      </c>
      <c r="FU6" s="1230"/>
      <c r="FV6" s="2006" t="s">
        <v>4416</v>
      </c>
      <c r="FW6" s="2007" t="s">
        <v>4417</v>
      </c>
      <c r="FX6" s="2007" t="s">
        <v>3748</v>
      </c>
      <c r="FY6" s="2007" t="s">
        <v>4418</v>
      </c>
      <c r="FZ6" s="1120" t="s">
        <v>4419</v>
      </c>
      <c r="GA6" s="1120" t="s">
        <v>4420</v>
      </c>
      <c r="GB6" s="1118" t="s">
        <v>4421</v>
      </c>
      <c r="GC6" s="290"/>
      <c r="GE6" s="2117" t="s">
        <v>10628</v>
      </c>
      <c r="GF6" s="1204"/>
      <c r="GG6" s="1445"/>
      <c r="GH6" s="2006" t="s">
        <v>4416</v>
      </c>
      <c r="GI6" s="2007" t="s">
        <v>4417</v>
      </c>
      <c r="GJ6" s="2007" t="s">
        <v>3748</v>
      </c>
      <c r="GK6" s="2007" t="s">
        <v>4418</v>
      </c>
      <c r="GL6" s="1120" t="s">
        <v>4419</v>
      </c>
      <c r="GM6" s="1120" t="s">
        <v>4420</v>
      </c>
      <c r="GN6" s="1118" t="s">
        <v>4421</v>
      </c>
      <c r="GO6" s="1230"/>
      <c r="GP6" s="2006" t="s">
        <v>4416</v>
      </c>
      <c r="GQ6" s="2007" t="s">
        <v>4417</v>
      </c>
      <c r="GR6" s="2007" t="s">
        <v>3748</v>
      </c>
      <c r="GS6" s="2007" t="s">
        <v>4418</v>
      </c>
      <c r="GT6" s="1120" t="s">
        <v>4419</v>
      </c>
      <c r="GU6" s="1120" t="s">
        <v>4420</v>
      </c>
      <c r="GV6" s="1118" t="s">
        <v>4421</v>
      </c>
      <c r="GW6" s="290"/>
      <c r="GY6" s="2117" t="s">
        <v>10629</v>
      </c>
      <c r="GZ6" s="1204"/>
      <c r="HA6" s="1445"/>
      <c r="HB6" s="2006" t="s">
        <v>4416</v>
      </c>
      <c r="HC6" s="2007" t="s">
        <v>4417</v>
      </c>
      <c r="HD6" s="2007" t="s">
        <v>3748</v>
      </c>
      <c r="HE6" s="2007" t="s">
        <v>4418</v>
      </c>
      <c r="HF6" s="1120" t="s">
        <v>4419</v>
      </c>
      <c r="HG6" s="1120" t="s">
        <v>4420</v>
      </c>
      <c r="HH6" s="1118" t="s">
        <v>4421</v>
      </c>
      <c r="HI6" s="1230"/>
      <c r="HJ6" s="2006" t="s">
        <v>4416</v>
      </c>
      <c r="HK6" s="2007" t="s">
        <v>4417</v>
      </c>
      <c r="HL6" s="2007" t="s">
        <v>3748</v>
      </c>
      <c r="HM6" s="2007" t="s">
        <v>4418</v>
      </c>
      <c r="HN6" s="1120" t="s">
        <v>4419</v>
      </c>
      <c r="HO6" s="1120" t="s">
        <v>4420</v>
      </c>
      <c r="HP6" s="1118" t="s">
        <v>4421</v>
      </c>
      <c r="HQ6" s="290"/>
      <c r="HS6" s="2117" t="s">
        <v>10630</v>
      </c>
      <c r="HT6" s="1204"/>
      <c r="HU6" s="1445"/>
      <c r="HV6" s="2006" t="s">
        <v>4416</v>
      </c>
      <c r="HW6" s="2007" t="s">
        <v>4417</v>
      </c>
      <c r="HX6" s="2007" t="s">
        <v>3748</v>
      </c>
      <c r="HY6" s="2007" t="s">
        <v>4418</v>
      </c>
      <c r="HZ6" s="1120" t="s">
        <v>4419</v>
      </c>
      <c r="IA6" s="1120" t="s">
        <v>4420</v>
      </c>
      <c r="IB6" s="1118" t="s">
        <v>4421</v>
      </c>
      <c r="IC6" s="1230"/>
      <c r="ID6" s="2006" t="s">
        <v>4416</v>
      </c>
      <c r="IE6" s="2007" t="s">
        <v>4417</v>
      </c>
      <c r="IF6" s="2007" t="s">
        <v>3748</v>
      </c>
      <c r="IG6" s="2007" t="s">
        <v>4418</v>
      </c>
      <c r="IH6" s="1120" t="s">
        <v>4419</v>
      </c>
      <c r="II6" s="1120" t="s">
        <v>4420</v>
      </c>
      <c r="IJ6" s="1118" t="s">
        <v>4421</v>
      </c>
      <c r="IK6" s="1230"/>
      <c r="IL6" s="2006" t="s">
        <v>4416</v>
      </c>
      <c r="IM6" s="2007" t="s">
        <v>4417</v>
      </c>
      <c r="IN6" s="2007" t="s">
        <v>3748</v>
      </c>
      <c r="IO6" s="2007" t="s">
        <v>4418</v>
      </c>
      <c r="IP6" s="1120" t="s">
        <v>4419</v>
      </c>
      <c r="IQ6" s="1120" t="s">
        <v>4420</v>
      </c>
      <c r="IR6" s="1118" t="s">
        <v>4421</v>
      </c>
      <c r="IS6" s="290"/>
      <c r="IU6" s="2117" t="s">
        <v>10631</v>
      </c>
      <c r="IV6" s="1204"/>
      <c r="IW6" s="1445"/>
      <c r="IX6" s="2006" t="s">
        <v>4416</v>
      </c>
      <c r="IY6" s="2007" t="s">
        <v>4417</v>
      </c>
      <c r="IZ6" s="2007" t="s">
        <v>3748</v>
      </c>
      <c r="JA6" s="2007" t="s">
        <v>4418</v>
      </c>
      <c r="JB6" s="1120" t="s">
        <v>4419</v>
      </c>
      <c r="JC6" s="1120" t="s">
        <v>4420</v>
      </c>
      <c r="JD6" s="1118" t="s">
        <v>4421</v>
      </c>
      <c r="JE6" s="1230"/>
      <c r="JF6" s="2006" t="s">
        <v>4416</v>
      </c>
      <c r="JG6" s="2007" t="s">
        <v>4417</v>
      </c>
      <c r="JH6" s="2007" t="s">
        <v>3748</v>
      </c>
      <c r="JI6" s="2007" t="s">
        <v>4418</v>
      </c>
      <c r="JJ6" s="1120" t="s">
        <v>4419</v>
      </c>
      <c r="JK6" s="1120" t="s">
        <v>4420</v>
      </c>
      <c r="JL6" s="1118" t="s">
        <v>4421</v>
      </c>
      <c r="JM6" s="1230"/>
      <c r="JN6" s="2006" t="s">
        <v>4416</v>
      </c>
      <c r="JO6" s="2007" t="s">
        <v>4417</v>
      </c>
      <c r="JP6" s="2007" t="s">
        <v>3748</v>
      </c>
      <c r="JQ6" s="2007" t="s">
        <v>4418</v>
      </c>
      <c r="JR6" s="1120" t="s">
        <v>4419</v>
      </c>
      <c r="JS6" s="1120" t="s">
        <v>4420</v>
      </c>
      <c r="JT6" s="1118" t="s">
        <v>4421</v>
      </c>
      <c r="JU6" s="290"/>
      <c r="JW6" s="2117" t="s">
        <v>10632</v>
      </c>
      <c r="JX6" s="1204"/>
      <c r="JY6" s="1445"/>
      <c r="JZ6" s="2006" t="s">
        <v>4416</v>
      </c>
      <c r="KA6" s="2007" t="s">
        <v>4417</v>
      </c>
      <c r="KB6" s="2007" t="s">
        <v>3748</v>
      </c>
      <c r="KC6" s="2007" t="s">
        <v>4418</v>
      </c>
      <c r="KD6" s="1120" t="s">
        <v>4419</v>
      </c>
      <c r="KE6" s="1120" t="s">
        <v>4420</v>
      </c>
      <c r="KF6" s="1118" t="s">
        <v>4421</v>
      </c>
      <c r="KG6" s="1230"/>
      <c r="KH6" s="2006" t="s">
        <v>4416</v>
      </c>
      <c r="KI6" s="2007" t="s">
        <v>4417</v>
      </c>
      <c r="KJ6" s="2007" t="s">
        <v>3748</v>
      </c>
      <c r="KK6" s="2007" t="s">
        <v>4418</v>
      </c>
      <c r="KL6" s="1120" t="s">
        <v>4419</v>
      </c>
      <c r="KM6" s="1120" t="s">
        <v>4420</v>
      </c>
      <c r="KN6" s="1118" t="s">
        <v>4421</v>
      </c>
      <c r="KO6" s="290"/>
      <c r="KQ6" s="2117" t="s">
        <v>10633</v>
      </c>
      <c r="KR6" s="1204"/>
      <c r="KS6" s="1445"/>
      <c r="KT6" s="2006" t="s">
        <v>4416</v>
      </c>
      <c r="KU6" s="2007" t="s">
        <v>4417</v>
      </c>
      <c r="KV6" s="2007" t="s">
        <v>3748</v>
      </c>
      <c r="KW6" s="2007" t="s">
        <v>4418</v>
      </c>
      <c r="KX6" s="1120" t="s">
        <v>4419</v>
      </c>
      <c r="KY6" s="1120" t="s">
        <v>4420</v>
      </c>
      <c r="KZ6" s="1118" t="s">
        <v>4421</v>
      </c>
      <c r="LA6" s="1230"/>
      <c r="LB6" s="2006" t="s">
        <v>4416</v>
      </c>
      <c r="LC6" s="2007" t="s">
        <v>4417</v>
      </c>
      <c r="LD6" s="2007" t="s">
        <v>3748</v>
      </c>
      <c r="LE6" s="2007" t="s">
        <v>4418</v>
      </c>
      <c r="LF6" s="1120" t="s">
        <v>4419</v>
      </c>
      <c r="LG6" s="1120" t="s">
        <v>4420</v>
      </c>
      <c r="LH6" s="1118" t="s">
        <v>4421</v>
      </c>
      <c r="LI6" s="290"/>
    </row>
    <row r="7" ht="15.75" customHeight="1">
      <c r="A7" s="1238"/>
      <c r="B7" s="1230"/>
      <c r="C7" s="1230"/>
      <c r="D7" s="2118" t="s">
        <v>10634</v>
      </c>
      <c r="E7" s="1230"/>
      <c r="F7" s="2119" t="s">
        <v>10635</v>
      </c>
      <c r="G7" s="1230"/>
      <c r="H7" s="1876" t="s">
        <v>10636</v>
      </c>
      <c r="I7" s="954"/>
      <c r="J7" s="1230"/>
      <c r="K7" s="1885"/>
      <c r="L7" s="2120"/>
      <c r="M7" s="2121" t="s">
        <v>10637</v>
      </c>
      <c r="N7" s="1018"/>
      <c r="O7" s="1020"/>
      <c r="P7" s="2120"/>
      <c r="Q7" s="2121" t="s">
        <v>10637</v>
      </c>
      <c r="R7" s="2120"/>
      <c r="S7" s="2121" t="s">
        <v>10637</v>
      </c>
      <c r="T7" s="1018"/>
      <c r="U7" s="1020"/>
      <c r="V7" s="1018"/>
      <c r="W7" s="1020"/>
      <c r="X7" s="1018"/>
      <c r="Y7" s="1020"/>
      <c r="AA7" s="237"/>
      <c r="AB7" s="976"/>
      <c r="AD7" s="1092" t="str">
        <f>MONHP(AE4)</f>
        <v>#NAME?</v>
      </c>
      <c r="AE7" s="986" t="str">
        <f>MONATK(AE4)</f>
        <v>#NAME?</v>
      </c>
      <c r="AF7" s="986" t="str">
        <f>MONDEF(AE4)</f>
        <v>#NAME?</v>
      </c>
      <c r="AG7" s="986" t="str">
        <f>MONSPA(AE4)</f>
        <v>#NAME?</v>
      </c>
      <c r="AH7" s="986" t="str">
        <f>MONSPD(AE4)</f>
        <v>#NAME?</v>
      </c>
      <c r="AI7" s="950" t="str">
        <f>MONSPE(AE4)</f>
        <v>#NAME?</v>
      </c>
      <c r="AJ7" s="952" t="str">
        <f>MONBST(AE4)</f>
        <v>#NAME?</v>
      </c>
      <c r="AK7" s="1230"/>
      <c r="AL7" s="1092" t="str">
        <f>MONHP(AM4)</f>
        <v>#NAME?</v>
      </c>
      <c r="AM7" s="986" t="str">
        <f>MONATK(AM4)</f>
        <v>#NAME?</v>
      </c>
      <c r="AN7" s="986" t="str">
        <f>MONDEF(AM4)</f>
        <v>#NAME?</v>
      </c>
      <c r="AO7" s="986" t="str">
        <f>MONSPA(AM4)</f>
        <v>#NAME?</v>
      </c>
      <c r="AP7" s="986" t="str">
        <f>MONSPD(AM4)</f>
        <v>#NAME?</v>
      </c>
      <c r="AQ7" s="950" t="str">
        <f>MONSPE(AM4)</f>
        <v>#NAME?</v>
      </c>
      <c r="AR7" s="952" t="str">
        <f>MONBST(AM4)</f>
        <v>#NAME?</v>
      </c>
      <c r="AS7" s="290"/>
      <c r="AU7" s="237" t="s">
        <v>10638</v>
      </c>
      <c r="AV7" s="976"/>
      <c r="AX7" s="1092" t="str">
        <f>MONHP(AY4)</f>
        <v>#NAME?</v>
      </c>
      <c r="AY7" s="986" t="str">
        <f>MONATK(AY4)</f>
        <v>#NAME?</v>
      </c>
      <c r="AZ7" s="986" t="str">
        <f>MONDEF(AY4)</f>
        <v>#NAME?</v>
      </c>
      <c r="BA7" s="986" t="str">
        <f>MONSPA(AY4)</f>
        <v>#NAME?</v>
      </c>
      <c r="BB7" s="986" t="str">
        <f>MONSPD(AY4)</f>
        <v>#NAME?</v>
      </c>
      <c r="BC7" s="950" t="str">
        <f>MONSPE(AY4)</f>
        <v>#NAME?</v>
      </c>
      <c r="BD7" s="952" t="str">
        <f>MONBST(AY4)</f>
        <v>#NAME?</v>
      </c>
      <c r="BE7" s="1230"/>
      <c r="BF7" s="1092" t="str">
        <f>MONHP(BG4)</f>
        <v>#NAME?</v>
      </c>
      <c r="BG7" s="986" t="str">
        <f>MONATK(BG4)</f>
        <v>#NAME?</v>
      </c>
      <c r="BH7" s="986" t="str">
        <f>MONDEF(BG4)</f>
        <v>#NAME?</v>
      </c>
      <c r="BI7" s="986" t="str">
        <f>MONSPA(BG4)</f>
        <v>#NAME?</v>
      </c>
      <c r="BJ7" s="986" t="str">
        <f>MONSPD(BG4)</f>
        <v>#NAME?</v>
      </c>
      <c r="BK7" s="950" t="str">
        <f>MONSPE(BG4)</f>
        <v>#NAME?</v>
      </c>
      <c r="BL7" s="952" t="str">
        <f>MONBST(BG4)</f>
        <v>#NAME?</v>
      </c>
      <c r="BM7" s="290"/>
      <c r="BO7" s="237"/>
      <c r="BP7" s="976"/>
      <c r="BR7" s="1092" t="str">
        <f>MONHP(BS4)</f>
        <v>#NAME?</v>
      </c>
      <c r="BS7" s="986" t="str">
        <f>MONATK(BS4)</f>
        <v>#NAME?</v>
      </c>
      <c r="BT7" s="986" t="str">
        <f>MONDEF(BS4)</f>
        <v>#NAME?</v>
      </c>
      <c r="BU7" s="986" t="str">
        <f>MONSPA(BS4)</f>
        <v>#NAME?</v>
      </c>
      <c r="BV7" s="986" t="str">
        <f>MONSPD(BS4)</f>
        <v>#NAME?</v>
      </c>
      <c r="BW7" s="950" t="str">
        <f>MONSPE(BS4)</f>
        <v>#NAME?</v>
      </c>
      <c r="BX7" s="952" t="str">
        <f>MONBST(BS4)</f>
        <v>#NAME?</v>
      </c>
      <c r="BY7" s="1230"/>
      <c r="BZ7" s="1092" t="str">
        <f>MONHP(CA4)</f>
        <v>#NAME?</v>
      </c>
      <c r="CA7" s="986" t="str">
        <f>MONATK(CA4)</f>
        <v>#NAME?</v>
      </c>
      <c r="CB7" s="986" t="str">
        <f>MONDEF(CA4)</f>
        <v>#NAME?</v>
      </c>
      <c r="CC7" s="986" t="str">
        <f>MONSPA(CA4)</f>
        <v>#NAME?</v>
      </c>
      <c r="CD7" s="986" t="str">
        <f>MONSPD(CA4)</f>
        <v>#NAME?</v>
      </c>
      <c r="CE7" s="950" t="str">
        <f>MONSPE(CA4)</f>
        <v>#NAME?</v>
      </c>
      <c r="CF7" s="952" t="str">
        <f>MONBST(CA4)</f>
        <v>#NAME?</v>
      </c>
      <c r="CG7" s="290"/>
      <c r="CI7" s="237" t="s">
        <v>10638</v>
      </c>
      <c r="CJ7" s="976"/>
      <c r="CL7" s="1092" t="str">
        <f>MONHP(CM4)</f>
        <v>#NAME?</v>
      </c>
      <c r="CM7" s="986" t="str">
        <f>MONATK(CM4)</f>
        <v>#NAME?</v>
      </c>
      <c r="CN7" s="986" t="str">
        <f>MONDEF(CM4)</f>
        <v>#NAME?</v>
      </c>
      <c r="CO7" s="986" t="str">
        <f>MONSPA(CM4)</f>
        <v>#NAME?</v>
      </c>
      <c r="CP7" s="986" t="str">
        <f>MONSPD(CM4)</f>
        <v>#NAME?</v>
      </c>
      <c r="CQ7" s="950" t="str">
        <f>MONSPE(CM4)</f>
        <v>#NAME?</v>
      </c>
      <c r="CR7" s="952" t="str">
        <f>MONBST(CM4)</f>
        <v>#NAME?</v>
      </c>
      <c r="CS7" s="1230"/>
      <c r="CT7" s="1092" t="str">
        <f>MONHP(CU4)</f>
        <v>#NAME?</v>
      </c>
      <c r="CU7" s="986" t="str">
        <f>MONATK(CU4)</f>
        <v>#NAME?</v>
      </c>
      <c r="CV7" s="986" t="str">
        <f>MONDEF(CU4)</f>
        <v>#NAME?</v>
      </c>
      <c r="CW7" s="986" t="str">
        <f>MONSPA(CU4)</f>
        <v>#NAME?</v>
      </c>
      <c r="CX7" s="986" t="str">
        <f>MONSPD(CU4)</f>
        <v>#NAME?</v>
      </c>
      <c r="CY7" s="950" t="str">
        <f>MONSPE(CU4)</f>
        <v>#NAME?</v>
      </c>
      <c r="CZ7" s="952" t="str">
        <f>MONBST(CU4)</f>
        <v>#NAME?</v>
      </c>
      <c r="DA7" s="290"/>
      <c r="DC7" s="2117" t="s">
        <v>10639</v>
      </c>
      <c r="DD7" s="1204"/>
      <c r="DE7" s="1445"/>
      <c r="DF7" s="1092" t="str">
        <f>MONHP(DG4)</f>
        <v>#NAME?</v>
      </c>
      <c r="DG7" s="986" t="str">
        <f>MONATK(DG4)</f>
        <v>#NAME?</v>
      </c>
      <c r="DH7" s="986" t="str">
        <f>MONDEF(DG4)</f>
        <v>#NAME?</v>
      </c>
      <c r="DI7" s="986" t="str">
        <f>MONSPA(DG4)</f>
        <v>#NAME?</v>
      </c>
      <c r="DJ7" s="986" t="str">
        <f>MONSPD(DG4)</f>
        <v>#NAME?</v>
      </c>
      <c r="DK7" s="950" t="str">
        <f>MONSPE(DG4)</f>
        <v>#NAME?</v>
      </c>
      <c r="DL7" s="952" t="str">
        <f>MONBST(DG4)</f>
        <v>#NAME?</v>
      </c>
      <c r="DM7" s="1230"/>
      <c r="DN7" s="1092" t="str">
        <f>MONHP(DO4)</f>
        <v>#NAME?</v>
      </c>
      <c r="DO7" s="986" t="str">
        <f>MONATK(DO4)</f>
        <v>#NAME?</v>
      </c>
      <c r="DP7" s="986" t="str">
        <f>MONDEF(DO4)</f>
        <v>#NAME?</v>
      </c>
      <c r="DQ7" s="986" t="str">
        <f>MONSPA(DO4)</f>
        <v>#NAME?</v>
      </c>
      <c r="DR7" s="986" t="str">
        <f>MONSPD(DO4)</f>
        <v>#NAME?</v>
      </c>
      <c r="DS7" s="950" t="str">
        <f>MONSPE(DO4)</f>
        <v>#NAME?</v>
      </c>
      <c r="DT7" s="952" t="str">
        <f>MONBST(DO4)</f>
        <v>#NAME?</v>
      </c>
      <c r="DU7" s="290"/>
      <c r="DW7" s="2117" t="s">
        <v>10640</v>
      </c>
      <c r="DX7" s="1204"/>
      <c r="DY7" s="1445"/>
      <c r="DZ7" s="1092" t="str">
        <f>MONHP(EA4)</f>
        <v>#NAME?</v>
      </c>
      <c r="EA7" s="986" t="str">
        <f>MONATK(EA4)</f>
        <v>#NAME?</v>
      </c>
      <c r="EB7" s="986" t="str">
        <f>MONDEF(EA4)</f>
        <v>#NAME?</v>
      </c>
      <c r="EC7" s="986" t="str">
        <f>MONSPA(EA4)</f>
        <v>#NAME?</v>
      </c>
      <c r="ED7" s="986" t="str">
        <f>MONSPD(EA4)</f>
        <v>#NAME?</v>
      </c>
      <c r="EE7" s="950" t="str">
        <f>MONSPE(EA4)</f>
        <v>#NAME?</v>
      </c>
      <c r="EF7" s="952" t="str">
        <f>MONBST(EA4)</f>
        <v>#NAME?</v>
      </c>
      <c r="EG7" s="1230"/>
      <c r="EH7" s="1092" t="str">
        <f>MONHP(EI4)</f>
        <v>#NAME?</v>
      </c>
      <c r="EI7" s="986" t="str">
        <f>MONATK(EI4)</f>
        <v>#NAME?</v>
      </c>
      <c r="EJ7" s="986" t="str">
        <f>MONDEF(EI4)</f>
        <v>#NAME?</v>
      </c>
      <c r="EK7" s="986" t="str">
        <f>MONSPA(EI4)</f>
        <v>#NAME?</v>
      </c>
      <c r="EL7" s="986" t="str">
        <f>MONSPD(EI4)</f>
        <v>#NAME?</v>
      </c>
      <c r="EM7" s="950" t="str">
        <f>MONSPE(EI4)</f>
        <v>#NAME?</v>
      </c>
      <c r="EN7" s="952" t="str">
        <f>MONBST(EI4)</f>
        <v>#NAME?</v>
      </c>
      <c r="EO7" s="290"/>
      <c r="EQ7" s="237"/>
      <c r="ER7" s="976"/>
      <c r="ET7" s="1092" t="str">
        <f>MONHP(EU4)</f>
        <v>#NAME?</v>
      </c>
      <c r="EU7" s="986" t="str">
        <f>MONATK(EU4)</f>
        <v>#NAME?</v>
      </c>
      <c r="EV7" s="986" t="str">
        <f>MONDEF(EU4)</f>
        <v>#NAME?</v>
      </c>
      <c r="EW7" s="986" t="str">
        <f>MONSPA(EU4)</f>
        <v>#NAME?</v>
      </c>
      <c r="EX7" s="986" t="str">
        <f>MONSPD(EU4)</f>
        <v>#NAME?</v>
      </c>
      <c r="EY7" s="950" t="str">
        <f>MONSPE(EU4)</f>
        <v>#NAME?</v>
      </c>
      <c r="EZ7" s="952" t="str">
        <f>MONBST(EU4)</f>
        <v>#NAME?</v>
      </c>
      <c r="FA7" s="1230"/>
      <c r="FB7" s="1092" t="str">
        <f>MONHP(FC4)</f>
        <v>#NAME?</v>
      </c>
      <c r="FC7" s="986" t="str">
        <f>MONATK(FC4)</f>
        <v>#NAME?</v>
      </c>
      <c r="FD7" s="986" t="str">
        <f>MONDEF(FC4)</f>
        <v>#NAME?</v>
      </c>
      <c r="FE7" s="986" t="str">
        <f>MONSPA(FC4)</f>
        <v>#NAME?</v>
      </c>
      <c r="FF7" s="986" t="str">
        <f>MONSPD(FC4)</f>
        <v>#NAME?</v>
      </c>
      <c r="FG7" s="950" t="str">
        <f>MONSPE(FC4)</f>
        <v>#NAME?</v>
      </c>
      <c r="FH7" s="952" t="str">
        <f>MONBST(FC4)</f>
        <v>#NAME?</v>
      </c>
      <c r="FI7" s="290"/>
      <c r="FK7" s="237" t="s">
        <v>10638</v>
      </c>
      <c r="FL7" s="976"/>
      <c r="FN7" s="1092" t="str">
        <f>MONHP(FO4)</f>
        <v>#NAME?</v>
      </c>
      <c r="FO7" s="986" t="str">
        <f>MONATK(FO4)</f>
        <v>#NAME?</v>
      </c>
      <c r="FP7" s="986" t="str">
        <f>MONDEF(FO4)</f>
        <v>#NAME?</v>
      </c>
      <c r="FQ7" s="986" t="str">
        <f>MONSPA(FO4)</f>
        <v>#NAME?</v>
      </c>
      <c r="FR7" s="986" t="str">
        <f>MONSPD(FO4)</f>
        <v>#NAME?</v>
      </c>
      <c r="FS7" s="950" t="str">
        <f>MONSPE(FO4)</f>
        <v>#NAME?</v>
      </c>
      <c r="FT7" s="952" t="str">
        <f>MONBST(FO4)</f>
        <v>#NAME?</v>
      </c>
      <c r="FU7" s="1230"/>
      <c r="FV7" s="1092" t="str">
        <f>MONHP(FW4)</f>
        <v>#NAME?</v>
      </c>
      <c r="FW7" s="986" t="str">
        <f>MONATK(FW4)</f>
        <v>#NAME?</v>
      </c>
      <c r="FX7" s="986" t="str">
        <f>MONDEF(FW4)</f>
        <v>#NAME?</v>
      </c>
      <c r="FY7" s="986" t="str">
        <f>MONSPA(FW4)</f>
        <v>#NAME?</v>
      </c>
      <c r="FZ7" s="986" t="str">
        <f>MONSPD(FW4)</f>
        <v>#NAME?</v>
      </c>
      <c r="GA7" s="950" t="str">
        <f>MONSPE(FW4)</f>
        <v>#NAME?</v>
      </c>
      <c r="GB7" s="952" t="str">
        <f>MONBST(FW4)</f>
        <v>#NAME?</v>
      </c>
      <c r="GC7" s="290"/>
      <c r="GE7" s="237"/>
      <c r="GF7" s="976"/>
      <c r="GH7" s="1092" t="str">
        <f>MONHP(GI4)</f>
        <v>#NAME?</v>
      </c>
      <c r="GI7" s="986" t="str">
        <f>MONATK(GI4)</f>
        <v>#NAME?</v>
      </c>
      <c r="GJ7" s="986" t="str">
        <f>MONDEF(GI4)</f>
        <v>#NAME?</v>
      </c>
      <c r="GK7" s="986" t="str">
        <f>MONSPA(GI4)</f>
        <v>#NAME?</v>
      </c>
      <c r="GL7" s="986" t="str">
        <f>MONSPD(GI4)</f>
        <v>#NAME?</v>
      </c>
      <c r="GM7" s="950" t="str">
        <f>MONSPE(GI4)</f>
        <v>#NAME?</v>
      </c>
      <c r="GN7" s="952" t="str">
        <f>MONBST(GI4)</f>
        <v>#NAME?</v>
      </c>
      <c r="GO7" s="1230"/>
      <c r="GP7" s="1092" t="str">
        <f>MONHP(GQ4)</f>
        <v>#NAME?</v>
      </c>
      <c r="GQ7" s="986" t="str">
        <f>MONATK(GQ4)</f>
        <v>#NAME?</v>
      </c>
      <c r="GR7" s="986" t="str">
        <f>MONDEF(GQ4)</f>
        <v>#NAME?</v>
      </c>
      <c r="GS7" s="986" t="str">
        <f>MONSPA(GQ4)</f>
        <v>#NAME?</v>
      </c>
      <c r="GT7" s="986" t="str">
        <f>MONSPD(GQ4)</f>
        <v>#NAME?</v>
      </c>
      <c r="GU7" s="950" t="str">
        <f>MONSPE(GQ4)</f>
        <v>#NAME?</v>
      </c>
      <c r="GV7" s="952" t="str">
        <f>MONBST(GQ4)</f>
        <v>#NAME?</v>
      </c>
      <c r="GW7" s="290"/>
      <c r="GY7" s="237" t="s">
        <v>10638</v>
      </c>
      <c r="GZ7" s="976"/>
      <c r="HB7" s="1092" t="str">
        <f>MONHP(HC4)</f>
        <v>#NAME?</v>
      </c>
      <c r="HC7" s="986" t="str">
        <f>MONATK(HC4)</f>
        <v>#NAME?</v>
      </c>
      <c r="HD7" s="986" t="str">
        <f>MONDEF(HC4)</f>
        <v>#NAME?</v>
      </c>
      <c r="HE7" s="986" t="str">
        <f>MONSPA(HC4)</f>
        <v>#NAME?</v>
      </c>
      <c r="HF7" s="986" t="str">
        <f>MONSPD(HC4)</f>
        <v>#NAME?</v>
      </c>
      <c r="HG7" s="950" t="str">
        <f>MONSPE(HC4)</f>
        <v>#NAME?</v>
      </c>
      <c r="HH7" s="952" t="str">
        <f>MONBST(HC4)</f>
        <v>#NAME?</v>
      </c>
      <c r="HI7" s="1230"/>
      <c r="HJ7" s="1092" t="str">
        <f>MONHP(HK4)</f>
        <v>#NAME?</v>
      </c>
      <c r="HK7" s="986" t="str">
        <f>MONATK(HK4)</f>
        <v>#NAME?</v>
      </c>
      <c r="HL7" s="986" t="str">
        <f>MONDEF(HK4)</f>
        <v>#NAME?</v>
      </c>
      <c r="HM7" s="986" t="str">
        <f>MONSPA(HK4)</f>
        <v>#NAME?</v>
      </c>
      <c r="HN7" s="986" t="str">
        <f>MONSPD(HK4)</f>
        <v>#NAME?</v>
      </c>
      <c r="HO7" s="950" t="str">
        <f>MONSPE(HK4)</f>
        <v>#NAME?</v>
      </c>
      <c r="HP7" s="952" t="str">
        <f>MONBST(HK4)</f>
        <v>#NAME?</v>
      </c>
      <c r="HQ7" s="290"/>
      <c r="HS7" s="237"/>
      <c r="HT7" s="976"/>
      <c r="HV7" s="1092" t="str">
        <f>MONHP(HW4)</f>
        <v>#NAME?</v>
      </c>
      <c r="HW7" s="986" t="str">
        <f>MONATK(HW4)</f>
        <v>#NAME?</v>
      </c>
      <c r="HX7" s="986" t="str">
        <f>MONDEF(HW4)</f>
        <v>#NAME?</v>
      </c>
      <c r="HY7" s="986" t="str">
        <f>MONSPA(HW4)</f>
        <v>#NAME?</v>
      </c>
      <c r="HZ7" s="986" t="str">
        <f>MONSPD(HW4)</f>
        <v>#NAME?</v>
      </c>
      <c r="IA7" s="950" t="str">
        <f>MONSPE(HW4)</f>
        <v>#NAME?</v>
      </c>
      <c r="IB7" s="952" t="str">
        <f>MONBST(HW4)</f>
        <v>#NAME?</v>
      </c>
      <c r="IC7" s="1230"/>
      <c r="ID7" s="1092" t="str">
        <f>MONHP(IE4)</f>
        <v>#NAME?</v>
      </c>
      <c r="IE7" s="986" t="str">
        <f>MONATK(IE4)</f>
        <v>#NAME?</v>
      </c>
      <c r="IF7" s="986" t="str">
        <f>MONDEF(IE4)</f>
        <v>#NAME?</v>
      </c>
      <c r="IG7" s="986" t="str">
        <f>MONSPA(IE4)</f>
        <v>#NAME?</v>
      </c>
      <c r="IH7" s="986" t="str">
        <f>MONSPD(IE4)</f>
        <v>#NAME?</v>
      </c>
      <c r="II7" s="950" t="str">
        <f>MONSPE(IE4)</f>
        <v>#NAME?</v>
      </c>
      <c r="IJ7" s="952" t="str">
        <f>MONBST(IE4)</f>
        <v>#NAME?</v>
      </c>
      <c r="IK7" s="1230"/>
      <c r="IL7" s="1092" t="str">
        <f>MONHP(IM4)</f>
        <v>#NAME?</v>
      </c>
      <c r="IM7" s="986" t="str">
        <f>MONATK(IM4)</f>
        <v>#NAME?</v>
      </c>
      <c r="IN7" s="986" t="str">
        <f>MONDEF(IM4)</f>
        <v>#NAME?</v>
      </c>
      <c r="IO7" s="986" t="str">
        <f>MONSPA(IM4)</f>
        <v>#NAME?</v>
      </c>
      <c r="IP7" s="986" t="str">
        <f>MONSPD(IM4)</f>
        <v>#NAME?</v>
      </c>
      <c r="IQ7" s="950" t="str">
        <f>MONSPE(IM4)</f>
        <v>#NAME?</v>
      </c>
      <c r="IR7" s="952" t="str">
        <f>MONBST(IM4)</f>
        <v>#NAME?</v>
      </c>
      <c r="IS7" s="290"/>
      <c r="IU7" s="237" t="s">
        <v>10638</v>
      </c>
      <c r="IV7" s="976"/>
      <c r="IX7" s="1092" t="str">
        <f>MONHP(IY4)</f>
        <v>#NAME?</v>
      </c>
      <c r="IY7" s="986" t="str">
        <f>MONATK(IY4)</f>
        <v>#NAME?</v>
      </c>
      <c r="IZ7" s="986" t="str">
        <f>MONDEF(IY4)</f>
        <v>#NAME?</v>
      </c>
      <c r="JA7" s="986" t="str">
        <f>MONSPA(IY4)</f>
        <v>#NAME?</v>
      </c>
      <c r="JB7" s="986" t="str">
        <f>MONSPD(IY4)</f>
        <v>#NAME?</v>
      </c>
      <c r="JC7" s="950" t="str">
        <f>MONSPE(IY4)</f>
        <v>#NAME?</v>
      </c>
      <c r="JD7" s="952" t="str">
        <f>MONBST(IY4)</f>
        <v>#NAME?</v>
      </c>
      <c r="JE7" s="1230"/>
      <c r="JF7" s="1092" t="str">
        <f>MONHP(JG4)</f>
        <v>#NAME?</v>
      </c>
      <c r="JG7" s="986" t="str">
        <f>MONATK(JG4)</f>
        <v>#NAME?</v>
      </c>
      <c r="JH7" s="986" t="str">
        <f>MONDEF(JG4)</f>
        <v>#NAME?</v>
      </c>
      <c r="JI7" s="986" t="str">
        <f>MONSPA(JG4)</f>
        <v>#NAME?</v>
      </c>
      <c r="JJ7" s="986" t="str">
        <f>MONSPD(JG4)</f>
        <v>#NAME?</v>
      </c>
      <c r="JK7" s="950" t="str">
        <f>MONSPE(JG4)</f>
        <v>#NAME?</v>
      </c>
      <c r="JL7" s="952" t="str">
        <f>MONBST(JG4)</f>
        <v>#NAME?</v>
      </c>
      <c r="JM7" s="1230"/>
      <c r="JN7" s="1092" t="str">
        <f>MONHP(JO4)</f>
        <v>#NAME?</v>
      </c>
      <c r="JO7" s="986" t="str">
        <f>MONATK(JO4)</f>
        <v>#NAME?</v>
      </c>
      <c r="JP7" s="986" t="str">
        <f>MONDEF(JO4)</f>
        <v>#NAME?</v>
      </c>
      <c r="JQ7" s="986" t="str">
        <f>MONSPA(JO4)</f>
        <v>#NAME?</v>
      </c>
      <c r="JR7" s="986" t="str">
        <f>MONSPD(JO4)</f>
        <v>#NAME?</v>
      </c>
      <c r="JS7" s="950" t="str">
        <f>MONSPE(JO4)</f>
        <v>#NAME?</v>
      </c>
      <c r="JT7" s="952" t="str">
        <f>MONBST(JO4)</f>
        <v>#NAME?</v>
      </c>
      <c r="JU7" s="290"/>
      <c r="JW7" s="237"/>
      <c r="JX7" s="976"/>
      <c r="JZ7" s="1092" t="str">
        <f>MONHP(KA4)</f>
        <v>#NAME?</v>
      </c>
      <c r="KA7" s="986" t="str">
        <f>MONATK(KA4)</f>
        <v>#NAME?</v>
      </c>
      <c r="KB7" s="986" t="str">
        <f>MONDEF(KA4)</f>
        <v>#NAME?</v>
      </c>
      <c r="KC7" s="986" t="str">
        <f>MONSPA(KA4)</f>
        <v>#NAME?</v>
      </c>
      <c r="KD7" s="986" t="str">
        <f>MONSPD(KA4)</f>
        <v>#NAME?</v>
      </c>
      <c r="KE7" s="950" t="str">
        <f>MONSPE(KA4)</f>
        <v>#NAME?</v>
      </c>
      <c r="KF7" s="952" t="str">
        <f>MONBST(KA4)</f>
        <v>#NAME?</v>
      </c>
      <c r="KG7" s="1230"/>
      <c r="KH7" s="1092" t="str">
        <f>MONHP(KI4)</f>
        <v>#NAME?</v>
      </c>
      <c r="KI7" s="986" t="str">
        <f>MONATK(KI4)</f>
        <v>#NAME?</v>
      </c>
      <c r="KJ7" s="986" t="str">
        <f>MONDEF(KI4)</f>
        <v>#NAME?</v>
      </c>
      <c r="KK7" s="986" t="str">
        <f>MONSPA(KI4)</f>
        <v>#NAME?</v>
      </c>
      <c r="KL7" s="986" t="str">
        <f>MONSPD(KI4)</f>
        <v>#NAME?</v>
      </c>
      <c r="KM7" s="950" t="str">
        <f>MONSPE(KI4)</f>
        <v>#NAME?</v>
      </c>
      <c r="KN7" s="952" t="str">
        <f>MONBST(KI4)</f>
        <v>#NAME?</v>
      </c>
      <c r="KO7" s="290"/>
      <c r="KQ7" s="237" t="s">
        <v>10638</v>
      </c>
      <c r="KR7" s="976"/>
      <c r="KT7" s="1092" t="str">
        <f>MONHP(KU4)</f>
        <v>#NAME?</v>
      </c>
      <c r="KU7" s="986" t="str">
        <f>MONATK(KU4)</f>
        <v>#NAME?</v>
      </c>
      <c r="KV7" s="986" t="str">
        <f>MONDEF(KU4)</f>
        <v>#NAME?</v>
      </c>
      <c r="KW7" s="986" t="str">
        <f>MONSPA(KU4)</f>
        <v>#NAME?</v>
      </c>
      <c r="KX7" s="986" t="str">
        <f>MONSPD(KU4)</f>
        <v>#NAME?</v>
      </c>
      <c r="KY7" s="950" t="str">
        <f>MONSPE(KU4)</f>
        <v>#NAME?</v>
      </c>
      <c r="KZ7" s="952" t="str">
        <f>MONBST(KU4)</f>
        <v>#NAME?</v>
      </c>
      <c r="LA7" s="1230"/>
      <c r="LB7" s="1092" t="str">
        <f>MONHP(LC4)</f>
        <v>#NAME?</v>
      </c>
      <c r="LC7" s="986" t="str">
        <f>MONATK(LC4)</f>
        <v>#NAME?</v>
      </c>
      <c r="LD7" s="986" t="str">
        <f>MONDEF(LC4)</f>
        <v>#NAME?</v>
      </c>
      <c r="LE7" s="986" t="str">
        <f>MONSPA(LC4)</f>
        <v>#NAME?</v>
      </c>
      <c r="LF7" s="986" t="str">
        <f>MONSPD(LC4)</f>
        <v>#NAME?</v>
      </c>
      <c r="LG7" s="950" t="str">
        <f>MONSPE(LC4)</f>
        <v>#NAME?</v>
      </c>
      <c r="LH7" s="952" t="str">
        <f>MONBST(LC4)</f>
        <v>#NAME?</v>
      </c>
      <c r="LI7" s="290"/>
    </row>
    <row r="8" ht="15.75" customHeight="1">
      <c r="A8" s="1238"/>
      <c r="B8" s="2107" t="s">
        <v>10641</v>
      </c>
      <c r="C8" s="1230"/>
      <c r="D8" s="428"/>
      <c r="E8" s="1230"/>
      <c r="F8" s="2112"/>
      <c r="G8" s="1230"/>
      <c r="H8" s="997"/>
      <c r="I8" s="998"/>
      <c r="J8" s="1230"/>
      <c r="K8" s="2122" t="s">
        <v>4518</v>
      </c>
      <c r="L8" s="2123"/>
      <c r="M8" s="1154"/>
      <c r="N8" s="1863"/>
      <c r="O8" s="2124" t="s">
        <v>10642</v>
      </c>
      <c r="P8" s="2123"/>
      <c r="Q8" s="1154"/>
      <c r="R8" s="1863"/>
      <c r="S8" s="2124" t="s">
        <v>10642</v>
      </c>
      <c r="T8" s="2123"/>
      <c r="U8" s="1154"/>
      <c r="V8" s="2123"/>
      <c r="W8" s="1154"/>
      <c r="X8" s="2123"/>
      <c r="Y8" s="1154"/>
      <c r="AA8" s="157"/>
      <c r="AD8" s="2009" t="str">
        <f>ITEMICON(AE8)</f>
        <v>#NAME?</v>
      </c>
      <c r="AE8" s="2010" t="s">
        <v>3466</v>
      </c>
      <c r="AF8" s="967"/>
      <c r="AG8" s="1249"/>
      <c r="AH8" s="1092" t="str">
        <f>MONABILITY(AE4)</f>
        <v>#NAME?</v>
      </c>
      <c r="AI8" s="12"/>
      <c r="AJ8" s="48"/>
      <c r="AK8" s="1230"/>
      <c r="AL8" s="2009" t="str">
        <f>ITEMICON(AM8)</f>
        <v>#NAME?</v>
      </c>
      <c r="AM8" s="2010" t="s">
        <v>3466</v>
      </c>
      <c r="AN8" s="967"/>
      <c r="AO8" s="1249"/>
      <c r="AP8" s="1092" t="str">
        <f>MONABILITY(AM4)</f>
        <v>#NAME?</v>
      </c>
      <c r="AQ8" s="12"/>
      <c r="AR8" s="48"/>
      <c r="AS8" s="290"/>
      <c r="AU8" s="157"/>
      <c r="AX8" s="2009" t="str">
        <f>ITEMICON(AY8)</f>
        <v>#NAME?</v>
      </c>
      <c r="AY8" s="2010" t="s">
        <v>3466</v>
      </c>
      <c r="AZ8" s="967"/>
      <c r="BA8" s="1249"/>
      <c r="BB8" s="1092" t="str">
        <f>MONABILITY(AY4)</f>
        <v>#NAME?</v>
      </c>
      <c r="BC8" s="12"/>
      <c r="BD8" s="48"/>
      <c r="BE8" s="1230"/>
      <c r="BF8" s="2009" t="str">
        <f>ITEMICON(BG8)</f>
        <v>#NAME?</v>
      </c>
      <c r="BG8" s="2010" t="s">
        <v>3466</v>
      </c>
      <c r="BH8" s="967"/>
      <c r="BI8" s="1249"/>
      <c r="BJ8" s="1092" t="str">
        <f>MONABILITY(BG4)</f>
        <v>#NAME?</v>
      </c>
      <c r="BK8" s="12"/>
      <c r="BL8" s="48"/>
      <c r="BM8" s="290"/>
      <c r="BO8" s="157"/>
      <c r="BR8" s="2009" t="str">
        <f>ITEMICON(BS8)</f>
        <v>#NAME?</v>
      </c>
      <c r="BS8" s="2010" t="s">
        <v>3466</v>
      </c>
      <c r="BT8" s="967"/>
      <c r="BU8" s="1249"/>
      <c r="BV8" s="1092" t="str">
        <f>MONABILITY(BS4)</f>
        <v>#NAME?</v>
      </c>
      <c r="BW8" s="12"/>
      <c r="BX8" s="48"/>
      <c r="BY8" s="1230"/>
      <c r="BZ8" s="2009" t="str">
        <f>ITEMICON(CA8)</f>
        <v>#NAME?</v>
      </c>
      <c r="CA8" s="2010" t="s">
        <v>3466</v>
      </c>
      <c r="CB8" s="967"/>
      <c r="CC8" s="1249"/>
      <c r="CD8" s="1092" t="str">
        <f>MONABILITY(CA4)</f>
        <v>#NAME?</v>
      </c>
      <c r="CE8" s="12"/>
      <c r="CF8" s="48"/>
      <c r="CG8" s="290"/>
      <c r="CI8" s="157"/>
      <c r="CL8" s="2009" t="str">
        <f>ITEMICON(CM8)</f>
        <v>#NAME?</v>
      </c>
      <c r="CM8" s="2010" t="s">
        <v>3466</v>
      </c>
      <c r="CN8" s="967"/>
      <c r="CO8" s="1249"/>
      <c r="CP8" s="1092" t="str">
        <f>MONABILITY(CM4)</f>
        <v>#NAME?</v>
      </c>
      <c r="CQ8" s="12"/>
      <c r="CR8" s="48"/>
      <c r="CS8" s="1230"/>
      <c r="CT8" s="2009" t="str">
        <f>ITEMICON(CU8)</f>
        <v>#NAME?</v>
      </c>
      <c r="CU8" s="2010" t="s">
        <v>3466</v>
      </c>
      <c r="CV8" s="967"/>
      <c r="CW8" s="1249"/>
      <c r="CX8" s="1092" t="str">
        <f>MONABILITY(CU4)</f>
        <v>#NAME?</v>
      </c>
      <c r="CY8" s="12"/>
      <c r="CZ8" s="48"/>
      <c r="DA8" s="290"/>
      <c r="DC8" s="157" t="s">
        <v>10643</v>
      </c>
      <c r="DF8" s="2009" t="str">
        <f>ITEMICON(DG8)</f>
        <v>#NAME?</v>
      </c>
      <c r="DG8" s="2010" t="s">
        <v>3466</v>
      </c>
      <c r="DH8" s="967"/>
      <c r="DI8" s="1249"/>
      <c r="DJ8" s="1092" t="str">
        <f>MONABILITY(DG4)</f>
        <v>#NAME?</v>
      </c>
      <c r="DK8" s="12"/>
      <c r="DL8" s="48"/>
      <c r="DM8" s="1230"/>
      <c r="DN8" s="2009" t="str">
        <f>ITEMICON(DO8)</f>
        <v>#NAME?</v>
      </c>
      <c r="DO8" s="2010" t="s">
        <v>3466</v>
      </c>
      <c r="DP8" s="967"/>
      <c r="DQ8" s="1249"/>
      <c r="DR8" s="1092" t="str">
        <f>MONABILITY(DO4)</f>
        <v>#NAME?</v>
      </c>
      <c r="DS8" s="12"/>
      <c r="DT8" s="48"/>
      <c r="DU8" s="290"/>
      <c r="DW8" s="237" t="s">
        <v>10638</v>
      </c>
      <c r="DX8" s="976"/>
      <c r="DZ8" s="2009" t="str">
        <f>ITEMICON(EA8)</f>
        <v>#NAME?</v>
      </c>
      <c r="EA8" s="2010" t="s">
        <v>3466</v>
      </c>
      <c r="EB8" s="967"/>
      <c r="EC8" s="1249"/>
      <c r="ED8" s="1092" t="str">
        <f>MONABILITY(EA4)</f>
        <v>#NAME?</v>
      </c>
      <c r="EE8" s="12"/>
      <c r="EF8" s="48"/>
      <c r="EG8" s="1230"/>
      <c r="EH8" s="2009" t="str">
        <f>ITEMICON(EI8)</f>
        <v>#NAME?</v>
      </c>
      <c r="EI8" s="2010" t="s">
        <v>3466</v>
      </c>
      <c r="EJ8" s="967"/>
      <c r="EK8" s="1249"/>
      <c r="EL8" s="1092" t="str">
        <f>MONABILITY(EI4)</f>
        <v>#NAME?</v>
      </c>
      <c r="EM8" s="12"/>
      <c r="EN8" s="48"/>
      <c r="EO8" s="290"/>
      <c r="EQ8" s="157"/>
      <c r="ET8" s="2009" t="str">
        <f>ITEMICON(EU8)</f>
        <v>#NAME?</v>
      </c>
      <c r="EU8" s="2010" t="s">
        <v>3466</v>
      </c>
      <c r="EV8" s="967"/>
      <c r="EW8" s="1249"/>
      <c r="EX8" s="1092" t="str">
        <f>MONABILITY(EU4)</f>
        <v>#NAME?</v>
      </c>
      <c r="EY8" s="12"/>
      <c r="EZ8" s="48"/>
      <c r="FA8" s="1230"/>
      <c r="FB8" s="2009" t="str">
        <f>ITEMICON(FC8)</f>
        <v>#NAME?</v>
      </c>
      <c r="FC8" s="2010" t="s">
        <v>3466</v>
      </c>
      <c r="FD8" s="967"/>
      <c r="FE8" s="1249"/>
      <c r="FF8" s="1092" t="str">
        <f>MONABILITY(FC4)</f>
        <v>#NAME?</v>
      </c>
      <c r="FG8" s="12"/>
      <c r="FH8" s="48"/>
      <c r="FI8" s="290"/>
      <c r="FK8" s="157"/>
      <c r="FN8" s="2009" t="str">
        <f>ITEMICON(FO8)</f>
        <v>#NAME?</v>
      </c>
      <c r="FO8" s="2010" t="s">
        <v>3466</v>
      </c>
      <c r="FP8" s="967"/>
      <c r="FQ8" s="1249"/>
      <c r="FR8" s="1092" t="str">
        <f>MONABILITY(FO4)</f>
        <v>#NAME?</v>
      </c>
      <c r="FS8" s="12"/>
      <c r="FT8" s="48"/>
      <c r="FU8" s="1230"/>
      <c r="FV8" s="2009" t="str">
        <f>ITEMICON(FW8)</f>
        <v>#NAME?</v>
      </c>
      <c r="FW8" s="2010" t="s">
        <v>3466</v>
      </c>
      <c r="FX8" s="967"/>
      <c r="FY8" s="1249"/>
      <c r="FZ8" s="1092" t="str">
        <f>MONABILITY(FW4)</f>
        <v>#NAME?</v>
      </c>
      <c r="GA8" s="12"/>
      <c r="GB8" s="48"/>
      <c r="GC8" s="290"/>
      <c r="GE8" s="157"/>
      <c r="GH8" s="2009" t="str">
        <f>ITEMICON(GI8)</f>
        <v>#NAME?</v>
      </c>
      <c r="GI8" s="2010" t="s">
        <v>3466</v>
      </c>
      <c r="GJ8" s="967"/>
      <c r="GK8" s="1249"/>
      <c r="GL8" s="1092" t="str">
        <f>MONABILITY(GI4)</f>
        <v>#NAME?</v>
      </c>
      <c r="GM8" s="12"/>
      <c r="GN8" s="48"/>
      <c r="GO8" s="1230"/>
      <c r="GP8" s="2009" t="str">
        <f>ITEMICON(GQ8)</f>
        <v>#NAME?</v>
      </c>
      <c r="GQ8" s="2010" t="s">
        <v>3466</v>
      </c>
      <c r="GR8" s="967"/>
      <c r="GS8" s="1249"/>
      <c r="GT8" s="1092" t="str">
        <f>MONABILITY(GQ4)</f>
        <v>#NAME?</v>
      </c>
      <c r="GU8" s="12"/>
      <c r="GV8" s="48"/>
      <c r="GW8" s="290"/>
      <c r="GY8" s="157"/>
      <c r="HB8" s="2009" t="str">
        <f>ITEMICON(HC8)</f>
        <v>#NAME?</v>
      </c>
      <c r="HC8" s="2010" t="s">
        <v>3466</v>
      </c>
      <c r="HD8" s="967"/>
      <c r="HE8" s="1249"/>
      <c r="HF8" s="1092" t="str">
        <f>MONABILITY(HC4)</f>
        <v>#NAME?</v>
      </c>
      <c r="HG8" s="12"/>
      <c r="HH8" s="48"/>
      <c r="HI8" s="1230"/>
      <c r="HJ8" s="2009" t="str">
        <f>ITEMICON(HK8)</f>
        <v>#NAME?</v>
      </c>
      <c r="HK8" s="2010" t="s">
        <v>3466</v>
      </c>
      <c r="HL8" s="967"/>
      <c r="HM8" s="1249"/>
      <c r="HN8" s="1092" t="str">
        <f>MONABILITY(HK4)</f>
        <v>#NAME?</v>
      </c>
      <c r="HO8" s="12"/>
      <c r="HP8" s="48"/>
      <c r="HQ8" s="290"/>
      <c r="HS8" s="157"/>
      <c r="HV8" s="2009" t="str">
        <f>ITEMICON(HW8)</f>
        <v>#NAME?</v>
      </c>
      <c r="HW8" s="2010" t="s">
        <v>3466</v>
      </c>
      <c r="HX8" s="967"/>
      <c r="HY8" s="1249"/>
      <c r="HZ8" s="1092" t="str">
        <f>MONABILITY(HW4)</f>
        <v>#NAME?</v>
      </c>
      <c r="IA8" s="12"/>
      <c r="IB8" s="48"/>
      <c r="IC8" s="1230"/>
      <c r="ID8" s="2009" t="str">
        <f>ITEMICON(IE8)</f>
        <v>#NAME?</v>
      </c>
      <c r="IE8" s="2010" t="s">
        <v>3466</v>
      </c>
      <c r="IF8" s="967"/>
      <c r="IG8" s="1249"/>
      <c r="IH8" s="1092" t="str">
        <f>MONABILITY(IE4)</f>
        <v>#NAME?</v>
      </c>
      <c r="II8" s="12"/>
      <c r="IJ8" s="48"/>
      <c r="IK8" s="1230"/>
      <c r="IL8" s="2009" t="str">
        <f>ITEMICON(IM8)</f>
        <v>#NAME?</v>
      </c>
      <c r="IM8" s="2010" t="s">
        <v>3466</v>
      </c>
      <c r="IN8" s="967"/>
      <c r="IO8" s="1249"/>
      <c r="IP8" s="1092" t="str">
        <f>MONABILITY(IM4)</f>
        <v>#NAME?</v>
      </c>
      <c r="IQ8" s="12"/>
      <c r="IR8" s="48"/>
      <c r="IS8" s="290"/>
      <c r="IU8" s="157"/>
      <c r="IX8" s="2009" t="str">
        <f>ITEMICON(IY8)</f>
        <v>#NAME?</v>
      </c>
      <c r="IY8" s="2010" t="s">
        <v>3466</v>
      </c>
      <c r="IZ8" s="967"/>
      <c r="JA8" s="1249"/>
      <c r="JB8" s="1092" t="str">
        <f>MONABILITY(IY4)</f>
        <v>#NAME?</v>
      </c>
      <c r="JC8" s="12"/>
      <c r="JD8" s="48"/>
      <c r="JE8" s="1230"/>
      <c r="JF8" s="2009" t="str">
        <f>ITEMICON(JG8)</f>
        <v>#NAME?</v>
      </c>
      <c r="JG8" s="2010" t="s">
        <v>3466</v>
      </c>
      <c r="JH8" s="967"/>
      <c r="JI8" s="1249"/>
      <c r="JJ8" s="1092" t="str">
        <f>MONABILITY(JG4)</f>
        <v>#NAME?</v>
      </c>
      <c r="JK8" s="12"/>
      <c r="JL8" s="48"/>
      <c r="JM8" s="1230"/>
      <c r="JN8" s="2009" t="str">
        <f>ITEMICON(JO8)</f>
        <v>#NAME?</v>
      </c>
      <c r="JO8" s="2010" t="s">
        <v>3466</v>
      </c>
      <c r="JP8" s="967"/>
      <c r="JQ8" s="1249"/>
      <c r="JR8" s="1092" t="str">
        <f>MONABILITY(JO4)</f>
        <v>#NAME?</v>
      </c>
      <c r="JS8" s="12"/>
      <c r="JT8" s="48"/>
      <c r="JU8" s="290"/>
      <c r="JW8" s="157"/>
      <c r="JZ8" s="2009" t="str">
        <f>ITEMICON(KA8)</f>
        <v>#NAME?</v>
      </c>
      <c r="KA8" s="2010" t="s">
        <v>3466</v>
      </c>
      <c r="KB8" s="967"/>
      <c r="KC8" s="1249"/>
      <c r="KD8" s="1092" t="str">
        <f>MONABILITY(KA4)</f>
        <v>#NAME?</v>
      </c>
      <c r="KE8" s="12"/>
      <c r="KF8" s="48"/>
      <c r="KG8" s="1230"/>
      <c r="KH8" s="2009" t="str">
        <f>ITEMICON(KI8)</f>
        <v>#NAME?</v>
      </c>
      <c r="KI8" s="2010" t="s">
        <v>3466</v>
      </c>
      <c r="KJ8" s="967"/>
      <c r="KK8" s="1249"/>
      <c r="KL8" s="1092" t="str">
        <f>MONABILITY(KI4)</f>
        <v>#NAME?</v>
      </c>
      <c r="KM8" s="12"/>
      <c r="KN8" s="48"/>
      <c r="KO8" s="290"/>
      <c r="KQ8" s="157"/>
      <c r="KT8" s="2009" t="str">
        <f>ITEMICON(KU8)</f>
        <v>#NAME?</v>
      </c>
      <c r="KU8" s="2010" t="s">
        <v>3466</v>
      </c>
      <c r="KV8" s="967"/>
      <c r="KW8" s="1249"/>
      <c r="KX8" s="1092" t="str">
        <f>MONABILITY(KU4)</f>
        <v>#NAME?</v>
      </c>
      <c r="KY8" s="12"/>
      <c r="KZ8" s="48"/>
      <c r="LA8" s="1230"/>
      <c r="LB8" s="2009" t="str">
        <f>ITEMICON(LC8)</f>
        <v>#NAME?</v>
      </c>
      <c r="LC8" s="2010" t="s">
        <v>3466</v>
      </c>
      <c r="LD8" s="967"/>
      <c r="LE8" s="1249"/>
      <c r="LF8" s="1092" t="str">
        <f>MONABILITY(LC4)</f>
        <v>#NAME?</v>
      </c>
      <c r="LG8" s="12"/>
      <c r="LH8" s="48"/>
      <c r="LI8" s="290"/>
    </row>
    <row r="9" ht="15.75" customHeight="1">
      <c r="A9" s="1238"/>
      <c r="B9" s="2112"/>
      <c r="C9" s="1230"/>
      <c r="D9" s="1218" t="s">
        <v>10644</v>
      </c>
      <c r="E9" s="1230"/>
      <c r="F9" s="2125" t="s">
        <v>10645</v>
      </c>
      <c r="G9" s="1230"/>
      <c r="H9" s="1876" t="s">
        <v>10646</v>
      </c>
      <c r="I9" s="954"/>
      <c r="J9" s="1230"/>
      <c r="K9" s="2112"/>
      <c r="L9" s="1860"/>
      <c r="M9" s="30"/>
      <c r="N9" s="1860"/>
      <c r="O9" s="30"/>
      <c r="P9" s="1860"/>
      <c r="Q9" s="30"/>
      <c r="R9" s="1860"/>
      <c r="S9" s="30"/>
      <c r="T9" s="1860"/>
      <c r="U9" s="30"/>
      <c r="V9" s="1860"/>
      <c r="W9" s="30"/>
      <c r="X9" s="1860"/>
      <c r="Y9" s="30"/>
      <c r="AA9" s="157"/>
      <c r="AD9" s="985" t="s">
        <v>21</v>
      </c>
      <c r="AE9" s="12"/>
      <c r="AF9" s="12"/>
      <c r="AG9" s="12"/>
      <c r="AH9" s="12"/>
      <c r="AI9" s="64"/>
      <c r="AJ9" s="2031" t="s">
        <v>10647</v>
      </c>
      <c r="AK9" s="1230"/>
      <c r="AL9" s="985" t="s">
        <v>343</v>
      </c>
      <c r="AM9" s="12"/>
      <c r="AN9" s="12"/>
      <c r="AO9" s="12"/>
      <c r="AP9" s="12"/>
      <c r="AQ9" s="64"/>
      <c r="AR9" s="2031" t="s">
        <v>10647</v>
      </c>
      <c r="AS9" s="290"/>
      <c r="AU9" s="157"/>
      <c r="AX9" s="985" t="s">
        <v>50</v>
      </c>
      <c r="AY9" s="12"/>
      <c r="AZ9" s="12"/>
      <c r="BA9" s="12"/>
      <c r="BB9" s="12"/>
      <c r="BC9" s="64"/>
      <c r="BD9" s="2031" t="s">
        <v>10647</v>
      </c>
      <c r="BE9" s="1230"/>
      <c r="BF9" s="985" t="s">
        <v>240</v>
      </c>
      <c r="BG9" s="12"/>
      <c r="BH9" s="12"/>
      <c r="BI9" s="12"/>
      <c r="BJ9" s="12"/>
      <c r="BK9" s="64"/>
      <c r="BL9" s="2031" t="s">
        <v>10647</v>
      </c>
      <c r="BM9" s="290"/>
      <c r="BO9" s="157"/>
      <c r="BR9" s="985" t="s">
        <v>343</v>
      </c>
      <c r="BS9" s="12"/>
      <c r="BT9" s="12"/>
      <c r="BU9" s="12"/>
      <c r="BV9" s="12"/>
      <c r="BW9" s="64"/>
      <c r="BX9" s="2031" t="s">
        <v>10647</v>
      </c>
      <c r="BY9" s="1230"/>
      <c r="BZ9" s="985" t="s">
        <v>50</v>
      </c>
      <c r="CA9" s="12"/>
      <c r="CB9" s="12"/>
      <c r="CC9" s="12"/>
      <c r="CD9" s="12"/>
      <c r="CE9" s="64"/>
      <c r="CF9" s="2031" t="s">
        <v>10647</v>
      </c>
      <c r="CG9" s="290"/>
      <c r="CI9" s="157"/>
      <c r="CL9" s="985" t="s">
        <v>65</v>
      </c>
      <c r="CM9" s="12"/>
      <c r="CN9" s="12"/>
      <c r="CO9" s="12"/>
      <c r="CP9" s="12"/>
      <c r="CQ9" s="64"/>
      <c r="CR9" s="2031" t="s">
        <v>10647</v>
      </c>
      <c r="CS9" s="1230"/>
      <c r="CT9" s="985" t="s">
        <v>343</v>
      </c>
      <c r="CU9" s="12"/>
      <c r="CV9" s="12"/>
      <c r="CW9" s="12"/>
      <c r="CX9" s="12"/>
      <c r="CY9" s="64"/>
      <c r="CZ9" s="2031" t="s">
        <v>10647</v>
      </c>
      <c r="DA9" s="290"/>
      <c r="DC9" s="157"/>
      <c r="DF9" s="985" t="s">
        <v>78</v>
      </c>
      <c r="DG9" s="12"/>
      <c r="DH9" s="12"/>
      <c r="DI9" s="12"/>
      <c r="DJ9" s="12"/>
      <c r="DK9" s="64"/>
      <c r="DL9" s="2031" t="s">
        <v>10647</v>
      </c>
      <c r="DM9" s="1230"/>
      <c r="DN9" s="985" t="s">
        <v>294</v>
      </c>
      <c r="DO9" s="12"/>
      <c r="DP9" s="12"/>
      <c r="DQ9" s="12"/>
      <c r="DR9" s="12"/>
      <c r="DS9" s="64"/>
      <c r="DT9" s="2031" t="s">
        <v>10647</v>
      </c>
      <c r="DU9" s="290"/>
      <c r="DW9" s="157" t="s">
        <v>10643</v>
      </c>
      <c r="DZ9" s="985" t="s">
        <v>21</v>
      </c>
      <c r="EA9" s="12"/>
      <c r="EB9" s="12"/>
      <c r="EC9" s="12"/>
      <c r="ED9" s="12"/>
      <c r="EE9" s="64"/>
      <c r="EF9" s="2031" t="s">
        <v>10647</v>
      </c>
      <c r="EG9" s="1230"/>
      <c r="EH9" s="985" t="s">
        <v>155</v>
      </c>
      <c r="EI9" s="12"/>
      <c r="EJ9" s="12"/>
      <c r="EK9" s="12"/>
      <c r="EL9" s="12"/>
      <c r="EM9" s="64"/>
      <c r="EN9" s="2031" t="s">
        <v>10647</v>
      </c>
      <c r="EO9" s="290"/>
      <c r="EQ9" s="157"/>
      <c r="ET9" s="985" t="s">
        <v>281</v>
      </c>
      <c r="EU9" s="12"/>
      <c r="EV9" s="12"/>
      <c r="EW9" s="12"/>
      <c r="EX9" s="12"/>
      <c r="EY9" s="64"/>
      <c r="EZ9" s="2031" t="s">
        <v>10647</v>
      </c>
      <c r="FA9" s="1230"/>
      <c r="FB9" s="985" t="s">
        <v>343</v>
      </c>
      <c r="FC9" s="12"/>
      <c r="FD9" s="12"/>
      <c r="FE9" s="12"/>
      <c r="FF9" s="12"/>
      <c r="FG9" s="64"/>
      <c r="FH9" s="2031" t="s">
        <v>10647</v>
      </c>
      <c r="FI9" s="290"/>
      <c r="FK9" s="157"/>
      <c r="FN9" s="985" t="s">
        <v>307</v>
      </c>
      <c r="FO9" s="12"/>
      <c r="FP9" s="12"/>
      <c r="FQ9" s="12"/>
      <c r="FR9" s="12"/>
      <c r="FS9" s="64"/>
      <c r="FT9" s="2031" t="s">
        <v>10647</v>
      </c>
      <c r="FU9" s="1230"/>
      <c r="FV9" s="985" t="s">
        <v>307</v>
      </c>
      <c r="FW9" s="12"/>
      <c r="FX9" s="12"/>
      <c r="FY9" s="12"/>
      <c r="FZ9" s="12"/>
      <c r="GA9" s="64"/>
      <c r="GB9" s="2031" t="s">
        <v>10647</v>
      </c>
      <c r="GC9" s="290"/>
      <c r="GE9" s="157"/>
      <c r="GH9" s="985" t="s">
        <v>343</v>
      </c>
      <c r="GI9" s="12"/>
      <c r="GJ9" s="12"/>
      <c r="GK9" s="12"/>
      <c r="GL9" s="12"/>
      <c r="GM9" s="64"/>
      <c r="GN9" s="2031" t="s">
        <v>10647</v>
      </c>
      <c r="GO9" s="1230"/>
      <c r="GP9" s="985" t="s">
        <v>207</v>
      </c>
      <c r="GQ9" s="12"/>
      <c r="GR9" s="12"/>
      <c r="GS9" s="12"/>
      <c r="GT9" s="12"/>
      <c r="GU9" s="64"/>
      <c r="GV9" s="2031" t="s">
        <v>10647</v>
      </c>
      <c r="GW9" s="290"/>
      <c r="GY9" s="157"/>
      <c r="HB9" s="985" t="s">
        <v>33</v>
      </c>
      <c r="HC9" s="12"/>
      <c r="HD9" s="12"/>
      <c r="HE9" s="12"/>
      <c r="HF9" s="12"/>
      <c r="HG9" s="64"/>
      <c r="HH9" s="2031" t="s">
        <v>10647</v>
      </c>
      <c r="HI9" s="1230"/>
      <c r="HJ9" s="985" t="s">
        <v>252</v>
      </c>
      <c r="HK9" s="12"/>
      <c r="HL9" s="12"/>
      <c r="HM9" s="12"/>
      <c r="HN9" s="12"/>
      <c r="HO9" s="64"/>
      <c r="HP9" s="2031" t="s">
        <v>10647</v>
      </c>
      <c r="HQ9" s="290"/>
      <c r="HS9" s="157"/>
      <c r="HV9" s="985" t="s">
        <v>138</v>
      </c>
      <c r="HW9" s="12"/>
      <c r="HX9" s="12"/>
      <c r="HY9" s="12"/>
      <c r="HZ9" s="12"/>
      <c r="IA9" s="64"/>
      <c r="IB9" s="2031" t="s">
        <v>10647</v>
      </c>
      <c r="IC9" s="1230"/>
      <c r="ID9" s="985" t="s">
        <v>138</v>
      </c>
      <c r="IE9" s="12"/>
      <c r="IF9" s="12"/>
      <c r="IG9" s="12"/>
      <c r="IH9" s="12"/>
      <c r="II9" s="64"/>
      <c r="IJ9" s="2031" t="s">
        <v>10647</v>
      </c>
      <c r="IK9" s="1230"/>
      <c r="IL9" s="985" t="s">
        <v>138</v>
      </c>
      <c r="IM9" s="12"/>
      <c r="IN9" s="12"/>
      <c r="IO9" s="12"/>
      <c r="IP9" s="12"/>
      <c r="IQ9" s="64"/>
      <c r="IR9" s="2031" t="s">
        <v>10647</v>
      </c>
      <c r="IS9" s="290"/>
      <c r="IU9" s="157"/>
      <c r="IX9" s="985" t="s">
        <v>318</v>
      </c>
      <c r="IY9" s="12"/>
      <c r="IZ9" s="12"/>
      <c r="JA9" s="12"/>
      <c r="JB9" s="12"/>
      <c r="JC9" s="64"/>
      <c r="JD9" s="2031" t="s">
        <v>10647</v>
      </c>
      <c r="JE9" s="1230"/>
      <c r="JF9" s="985" t="s">
        <v>267</v>
      </c>
      <c r="JG9" s="12"/>
      <c r="JH9" s="12"/>
      <c r="JI9" s="12"/>
      <c r="JJ9" s="12"/>
      <c r="JK9" s="64"/>
      <c r="JL9" s="2031" t="s">
        <v>10647</v>
      </c>
      <c r="JM9" s="1230"/>
      <c r="JN9" s="985" t="s">
        <v>267</v>
      </c>
      <c r="JO9" s="12"/>
      <c r="JP9" s="12"/>
      <c r="JQ9" s="12"/>
      <c r="JR9" s="12"/>
      <c r="JS9" s="64"/>
      <c r="JT9" s="2031" t="s">
        <v>10647</v>
      </c>
      <c r="JU9" s="290"/>
      <c r="JW9" s="157"/>
      <c r="JZ9" s="985" t="s">
        <v>21</v>
      </c>
      <c r="KA9" s="12"/>
      <c r="KB9" s="12"/>
      <c r="KC9" s="12"/>
      <c r="KD9" s="12"/>
      <c r="KE9" s="64"/>
      <c r="KF9" s="2031" t="s">
        <v>10647</v>
      </c>
      <c r="KG9" s="1230"/>
      <c r="KH9" s="985" t="s">
        <v>121</v>
      </c>
      <c r="KI9" s="12"/>
      <c r="KJ9" s="12"/>
      <c r="KK9" s="12"/>
      <c r="KL9" s="12"/>
      <c r="KM9" s="64"/>
      <c r="KN9" s="2031" t="s">
        <v>10647</v>
      </c>
      <c r="KO9" s="290"/>
      <c r="KQ9" s="157"/>
      <c r="KT9" s="985" t="s">
        <v>343</v>
      </c>
      <c r="KU9" s="12"/>
      <c r="KV9" s="12"/>
      <c r="KW9" s="12"/>
      <c r="KX9" s="12"/>
      <c r="KY9" s="64"/>
      <c r="KZ9" s="2031" t="s">
        <v>10647</v>
      </c>
      <c r="LA9" s="1230"/>
      <c r="LB9" s="985" t="s">
        <v>185</v>
      </c>
      <c r="LC9" s="12"/>
      <c r="LD9" s="12"/>
      <c r="LE9" s="12"/>
      <c r="LF9" s="12"/>
      <c r="LG9" s="64"/>
      <c r="LH9" s="2031" t="s">
        <v>10647</v>
      </c>
      <c r="LI9" s="290"/>
    </row>
    <row r="10" ht="15.75" customHeight="1">
      <c r="A10" s="1238"/>
      <c r="B10" s="2119" t="s">
        <v>10648</v>
      </c>
      <c r="C10" s="1230"/>
      <c r="D10" s="2126" t="s">
        <v>10649</v>
      </c>
      <c r="E10" s="1230"/>
      <c r="F10" s="1254"/>
      <c r="G10" s="1230"/>
      <c r="H10" s="1155"/>
      <c r="I10" s="1154"/>
      <c r="J10" s="1230"/>
      <c r="K10" s="2113" t="s">
        <v>10650</v>
      </c>
      <c r="L10" s="1880"/>
      <c r="M10" s="2127" t="s">
        <v>10651</v>
      </c>
      <c r="N10" s="2116"/>
      <c r="O10" s="982"/>
      <c r="P10" s="2116"/>
      <c r="Q10" s="982"/>
      <c r="R10" s="1880"/>
      <c r="S10" s="2127" t="s">
        <v>10651</v>
      </c>
      <c r="T10" s="2116"/>
      <c r="U10" s="982"/>
      <c r="V10" s="2116"/>
      <c r="W10" s="982"/>
      <c r="X10" s="2116"/>
      <c r="Y10" s="982"/>
      <c r="AA10" s="157"/>
      <c r="AD10" s="2048" t="s">
        <v>91</v>
      </c>
      <c r="AE10" s="1032"/>
      <c r="AF10" s="1032"/>
      <c r="AG10" s="2042" t="str">
        <f t="shared" ref="AG10:AG13" si="1">MOVEICON(AD10)</f>
        <v>#NAME?</v>
      </c>
      <c r="AH10" s="1034" t="str">
        <f t="shared" ref="AH10:AH13" si="2">MOVEBP(AD10)</f>
        <v>#NAME?</v>
      </c>
      <c r="AI10" s="2043" t="str">
        <f t="shared" ref="AI10:AI13" si="3">MOVEACC(AD10)</f>
        <v>#NAME?</v>
      </c>
      <c r="AJ10" s="1015" t="str">
        <f t="shared" ref="AJ10:AJ13" si="4">MOVEPP(AD10)</f>
        <v>#NAME?</v>
      </c>
      <c r="AK10" s="1230"/>
      <c r="AL10" s="2048" t="s">
        <v>3490</v>
      </c>
      <c r="AM10" s="1032"/>
      <c r="AN10" s="1032"/>
      <c r="AO10" s="2042" t="str">
        <f t="shared" ref="AO10:AO13" si="5">MOVEICON(AL10)</f>
        <v>#NAME?</v>
      </c>
      <c r="AP10" s="1034" t="str">
        <f t="shared" ref="AP10:AP13" si="6">MOVEBP(AL10)</f>
        <v>#NAME?</v>
      </c>
      <c r="AQ10" s="2043" t="str">
        <f t="shared" ref="AQ10:AQ13" si="7">MOVEACC(AL10)</f>
        <v>#NAME?</v>
      </c>
      <c r="AR10" s="1015" t="str">
        <f t="shared" ref="AR10:AR13" si="8">MOVEPP(AL10)</f>
        <v>#NAME?</v>
      </c>
      <c r="AS10" s="290"/>
      <c r="AU10" s="157"/>
      <c r="AX10" s="2048" t="s">
        <v>4047</v>
      </c>
      <c r="AY10" s="1032"/>
      <c r="AZ10" s="1032"/>
      <c r="BA10" s="2042" t="str">
        <f t="shared" ref="BA10:BA13" si="9">MOVEICON(AX10)</f>
        <v>#NAME?</v>
      </c>
      <c r="BB10" s="1034" t="str">
        <f t="shared" ref="BB10:BB13" si="10">MOVEBP(AX10)</f>
        <v>#NAME?</v>
      </c>
      <c r="BC10" s="2043" t="str">
        <f t="shared" ref="BC10:BC13" si="11">MOVEACC(AX10)</f>
        <v>#NAME?</v>
      </c>
      <c r="BD10" s="1015" t="str">
        <f t="shared" ref="BD10:BD13" si="12">MOVEPP(AX10)</f>
        <v>#NAME?</v>
      </c>
      <c r="BE10" s="1230"/>
      <c r="BF10" s="2048" t="s">
        <v>1785</v>
      </c>
      <c r="BG10" s="1032"/>
      <c r="BH10" s="1032"/>
      <c r="BI10" s="2042" t="str">
        <f t="shared" ref="BI10:BI13" si="13">MOVEICON(BF10)</f>
        <v>#NAME?</v>
      </c>
      <c r="BJ10" s="1034" t="str">
        <f t="shared" ref="BJ10:BJ13" si="14">MOVEBP(BF10)</f>
        <v>#NAME?</v>
      </c>
      <c r="BK10" s="2043" t="str">
        <f t="shared" ref="BK10:BK13" si="15">MOVEACC(BF10)</f>
        <v>#NAME?</v>
      </c>
      <c r="BL10" s="1015" t="str">
        <f t="shared" ref="BL10:BL13" si="16">MOVEPP(BF10)</f>
        <v>#NAME?</v>
      </c>
      <c r="BM10" s="290"/>
      <c r="BO10" s="157"/>
      <c r="BR10" s="2048" t="s">
        <v>1309</v>
      </c>
      <c r="BS10" s="1032"/>
      <c r="BT10" s="1032"/>
      <c r="BU10" s="2042" t="str">
        <f t="shared" ref="BU10:BU13" si="17">MOVEICON(BR10)</f>
        <v>#NAME?</v>
      </c>
      <c r="BV10" s="1034" t="str">
        <f t="shared" ref="BV10:BV13" si="18">MOVEBP(BR10)</f>
        <v>#NAME?</v>
      </c>
      <c r="BW10" s="2043" t="str">
        <f t="shared" ref="BW10:BW13" si="19">MOVEACC(BR10)</f>
        <v>#NAME?</v>
      </c>
      <c r="BX10" s="1015" t="str">
        <f t="shared" ref="BX10:BX13" si="20">MOVEPP(BR10)</f>
        <v>#NAME?</v>
      </c>
      <c r="BY10" s="1230"/>
      <c r="BZ10" s="2048" t="s">
        <v>3490</v>
      </c>
      <c r="CA10" s="1032"/>
      <c r="CB10" s="1032"/>
      <c r="CC10" s="2042" t="str">
        <f t="shared" ref="CC10:CC13" si="21">MOVEICON(BZ10)</f>
        <v>#NAME?</v>
      </c>
      <c r="CD10" s="1034" t="str">
        <f t="shared" ref="CD10:CD13" si="22">MOVEBP(BZ10)</f>
        <v>#NAME?</v>
      </c>
      <c r="CE10" s="2043" t="str">
        <f t="shared" ref="CE10:CE13" si="23">MOVEACC(BZ10)</f>
        <v>#NAME?</v>
      </c>
      <c r="CF10" s="1015" t="str">
        <f t="shared" ref="CF10:CF13" si="24">MOVEPP(BZ10)</f>
        <v>#NAME?</v>
      </c>
      <c r="CG10" s="290"/>
      <c r="CI10" s="157"/>
      <c r="CL10" s="2048" t="s">
        <v>3497</v>
      </c>
      <c r="CM10" s="1032"/>
      <c r="CN10" s="1032"/>
      <c r="CO10" s="2042" t="str">
        <f t="shared" ref="CO10:CO13" si="25">MOVEICON(CL10)</f>
        <v>#NAME?</v>
      </c>
      <c r="CP10" s="1034" t="str">
        <f t="shared" ref="CP10:CP13" si="26">MOVEBP(CL10)</f>
        <v>#NAME?</v>
      </c>
      <c r="CQ10" s="2043" t="str">
        <f t="shared" ref="CQ10:CQ13" si="27">MOVEACC(CL10)</f>
        <v>#NAME?</v>
      </c>
      <c r="CR10" s="1015" t="str">
        <f t="shared" ref="CR10:CR13" si="28">MOVEPP(CL10)</f>
        <v>#NAME?</v>
      </c>
      <c r="CS10" s="1230"/>
      <c r="CT10" s="2048" t="s">
        <v>1044</v>
      </c>
      <c r="CU10" s="1032"/>
      <c r="CV10" s="1032"/>
      <c r="CW10" s="2042" t="str">
        <f t="shared" ref="CW10:CW13" si="29">MOVEICON(CT10)</f>
        <v>#NAME?</v>
      </c>
      <c r="CX10" s="1034" t="str">
        <f t="shared" ref="CX10:CX13" si="30">MOVEBP(CT10)</f>
        <v>#NAME?</v>
      </c>
      <c r="CY10" s="2043" t="str">
        <f t="shared" ref="CY10:CY13" si="31">MOVEACC(CT10)</f>
        <v>#NAME?</v>
      </c>
      <c r="CZ10" s="1015" t="str">
        <f t="shared" ref="CZ10:CZ13" si="32">MOVEPP(CT10)</f>
        <v>#NAME?</v>
      </c>
      <c r="DA10" s="290"/>
      <c r="DC10" s="157"/>
      <c r="DF10" s="2048" t="s">
        <v>2732</v>
      </c>
      <c r="DG10" s="1032"/>
      <c r="DH10" s="1032"/>
      <c r="DI10" s="2042" t="str">
        <f t="shared" ref="DI10:DI13" si="33">MOVEICON(DF10)</f>
        <v>#NAME?</v>
      </c>
      <c r="DJ10" s="1034" t="str">
        <f t="shared" ref="DJ10:DJ13" si="34">MOVEBP(DF10)</f>
        <v>#NAME?</v>
      </c>
      <c r="DK10" s="2043" t="str">
        <f t="shared" ref="DK10:DK13" si="35">MOVEACC(DF10)</f>
        <v>#NAME?</v>
      </c>
      <c r="DL10" s="1015" t="str">
        <f t="shared" ref="DL10:DL13" si="36">MOVEPP(DF10)</f>
        <v>#NAME?</v>
      </c>
      <c r="DM10" s="1230"/>
      <c r="DN10" s="2048" t="s">
        <v>2080</v>
      </c>
      <c r="DO10" s="1032"/>
      <c r="DP10" s="1032"/>
      <c r="DQ10" s="2042" t="str">
        <f t="shared" ref="DQ10:DQ13" si="37">MOVEICON(DN10)</f>
        <v>#NAME?</v>
      </c>
      <c r="DR10" s="1034" t="str">
        <f t="shared" ref="DR10:DR13" si="38">MOVEBP(DN10)</f>
        <v>#NAME?</v>
      </c>
      <c r="DS10" s="2043" t="str">
        <f t="shared" ref="DS10:DS13" si="39">MOVEACC(DN10)</f>
        <v>#NAME?</v>
      </c>
      <c r="DT10" s="1015" t="str">
        <f t="shared" ref="DT10:DT13" si="40">MOVEPP(DN10)</f>
        <v>#NAME?</v>
      </c>
      <c r="DU10" s="290"/>
      <c r="DW10" s="157"/>
      <c r="DZ10" s="2048" t="s">
        <v>2415</v>
      </c>
      <c r="EA10" s="1032"/>
      <c r="EB10" s="1032"/>
      <c r="EC10" s="2042" t="str">
        <f t="shared" ref="EC10:EC13" si="41">MOVEICON(DZ10)</f>
        <v>#NAME?</v>
      </c>
      <c r="ED10" s="1034" t="str">
        <f t="shared" ref="ED10:ED13" si="42">MOVEBP(DZ10)</f>
        <v>#NAME?</v>
      </c>
      <c r="EE10" s="2043" t="str">
        <f t="shared" ref="EE10:EE13" si="43">MOVEACC(DZ10)</f>
        <v>#NAME?</v>
      </c>
      <c r="EF10" s="1015" t="str">
        <f t="shared" ref="EF10:EF13" si="44">MOVEPP(DZ10)</f>
        <v>#NAME?</v>
      </c>
      <c r="EG10" s="1230"/>
      <c r="EH10" s="2048" t="s">
        <v>152</v>
      </c>
      <c r="EI10" s="1032"/>
      <c r="EJ10" s="1032"/>
      <c r="EK10" s="2042" t="str">
        <f t="shared" ref="EK10:EK13" si="45">MOVEICON(EH10)</f>
        <v>#NAME?</v>
      </c>
      <c r="EL10" s="1034" t="str">
        <f t="shared" ref="EL10:EL13" si="46">MOVEBP(EH10)</f>
        <v>#NAME?</v>
      </c>
      <c r="EM10" s="2043" t="str">
        <f t="shared" ref="EM10:EM13" si="47">MOVEACC(EH10)</f>
        <v>#NAME?</v>
      </c>
      <c r="EN10" s="1015" t="str">
        <f t="shared" ref="EN10:EN13" si="48">MOVEPP(EH10)</f>
        <v>#NAME?</v>
      </c>
      <c r="EO10" s="290"/>
      <c r="EQ10" s="157"/>
      <c r="ET10" s="2048" t="s">
        <v>2432</v>
      </c>
      <c r="EU10" s="1032"/>
      <c r="EV10" s="1032"/>
      <c r="EW10" s="2042" t="str">
        <f t="shared" ref="EW10:EW13" si="49">MOVEICON(ET10)</f>
        <v>#NAME?</v>
      </c>
      <c r="EX10" s="1034" t="str">
        <f t="shared" ref="EX10:EX13" si="50">MOVEBP(ET10)</f>
        <v>#NAME?</v>
      </c>
      <c r="EY10" s="2043" t="str">
        <f t="shared" ref="EY10:EY13" si="51">MOVEACC(ET10)</f>
        <v>#NAME?</v>
      </c>
      <c r="EZ10" s="1015" t="str">
        <f t="shared" ref="EZ10:EZ13" si="52">MOVEPP(ET10)</f>
        <v>#NAME?</v>
      </c>
      <c r="FA10" s="1230"/>
      <c r="FB10" s="2048" t="s">
        <v>2432</v>
      </c>
      <c r="FC10" s="1032"/>
      <c r="FD10" s="1032"/>
      <c r="FE10" s="2042" t="str">
        <f t="shared" ref="FE10:FE13" si="53">MOVEICON(FB10)</f>
        <v>#NAME?</v>
      </c>
      <c r="FF10" s="1034" t="str">
        <f t="shared" ref="FF10:FF13" si="54">MOVEBP(FB10)</f>
        <v>#NAME?</v>
      </c>
      <c r="FG10" s="2043" t="str">
        <f t="shared" ref="FG10:FG13" si="55">MOVEACC(FB10)</f>
        <v>#NAME?</v>
      </c>
      <c r="FH10" s="1015" t="str">
        <f t="shared" ref="FH10:FH13" si="56">MOVEPP(FB10)</f>
        <v>#NAME?</v>
      </c>
      <c r="FI10" s="290"/>
      <c r="FK10" s="157"/>
      <c r="FN10" s="2048" t="s">
        <v>1869</v>
      </c>
      <c r="FO10" s="1032"/>
      <c r="FP10" s="1032"/>
      <c r="FQ10" s="2042" t="str">
        <f t="shared" ref="FQ10:FQ13" si="57">MOVEICON(FN10)</f>
        <v>#NAME?</v>
      </c>
      <c r="FR10" s="1034" t="str">
        <f t="shared" ref="FR10:FR13" si="58">MOVEBP(FN10)</f>
        <v>#NAME?</v>
      </c>
      <c r="FS10" s="2043" t="str">
        <f t="shared" ref="FS10:FS13" si="59">MOVEACC(FN10)</f>
        <v>#NAME?</v>
      </c>
      <c r="FT10" s="1015" t="str">
        <f t="shared" ref="FT10:FT13" si="60">MOVEPP(FN10)</f>
        <v>#NAME?</v>
      </c>
      <c r="FU10" s="1230"/>
      <c r="FV10" s="2048" t="s">
        <v>3593</v>
      </c>
      <c r="FW10" s="1032"/>
      <c r="FX10" s="1032"/>
      <c r="FY10" s="2042" t="str">
        <f t="shared" ref="FY10:FY13" si="61">MOVEICON(FV10)</f>
        <v>#NAME?</v>
      </c>
      <c r="FZ10" s="1034" t="str">
        <f t="shared" ref="FZ10:FZ13" si="62">MOVEBP(FV10)</f>
        <v>#NAME?</v>
      </c>
      <c r="GA10" s="2043" t="str">
        <f t="shared" ref="GA10:GA13" si="63">MOVEACC(FV10)</f>
        <v>#NAME?</v>
      </c>
      <c r="GB10" s="1015" t="str">
        <f t="shared" ref="GB10:GB13" si="64">MOVEPP(FV10)</f>
        <v>#NAME?</v>
      </c>
      <c r="GC10" s="290"/>
      <c r="GE10" s="157"/>
      <c r="GH10" s="2048" t="s">
        <v>3313</v>
      </c>
      <c r="GI10" s="1032"/>
      <c r="GJ10" s="1032"/>
      <c r="GK10" s="2042" t="str">
        <f t="shared" ref="GK10:GK13" si="65">MOVEICON(GH10)</f>
        <v>#NAME?</v>
      </c>
      <c r="GL10" s="1034" t="str">
        <f t="shared" ref="GL10:GL13" si="66">MOVEBP(GH10)</f>
        <v>#NAME?</v>
      </c>
      <c r="GM10" s="2043" t="str">
        <f t="shared" ref="GM10:GM13" si="67">MOVEACC(GH10)</f>
        <v>#NAME?</v>
      </c>
      <c r="GN10" s="1015" t="str">
        <f t="shared" ref="GN10:GN13" si="68">MOVEPP(GH10)</f>
        <v>#NAME?</v>
      </c>
      <c r="GO10" s="1230"/>
      <c r="GP10" s="2048" t="s">
        <v>1753</v>
      </c>
      <c r="GQ10" s="1032"/>
      <c r="GR10" s="1032"/>
      <c r="GS10" s="2042" t="str">
        <f t="shared" ref="GS10:GS13" si="69">MOVEICON(GP10)</f>
        <v>#NAME?</v>
      </c>
      <c r="GT10" s="1034" t="str">
        <f t="shared" ref="GT10:GT13" si="70">MOVEBP(GP10)</f>
        <v>#NAME?</v>
      </c>
      <c r="GU10" s="2043" t="str">
        <f t="shared" ref="GU10:GU13" si="71">MOVEACC(GP10)</f>
        <v>#NAME?</v>
      </c>
      <c r="GV10" s="1015" t="str">
        <f t="shared" ref="GV10:GV13" si="72">MOVEPP(GP10)</f>
        <v>#NAME?</v>
      </c>
      <c r="GW10" s="290"/>
      <c r="GY10" s="157"/>
      <c r="HB10" s="2048" t="s">
        <v>3251</v>
      </c>
      <c r="HC10" s="1032"/>
      <c r="HD10" s="1032"/>
      <c r="HE10" s="2042" t="str">
        <f t="shared" ref="HE10:HE13" si="73">MOVEICON(HB10)</f>
        <v>#NAME?</v>
      </c>
      <c r="HF10" s="1034" t="str">
        <f t="shared" ref="HF10:HF13" si="74">MOVEBP(HB10)</f>
        <v>#NAME?</v>
      </c>
      <c r="HG10" s="2043" t="str">
        <f t="shared" ref="HG10:HG13" si="75">MOVEACC(HB10)</f>
        <v>#NAME?</v>
      </c>
      <c r="HH10" s="1015" t="str">
        <f t="shared" ref="HH10:HH13" si="76">MOVEPP(HB10)</f>
        <v>#NAME?</v>
      </c>
      <c r="HI10" s="1230"/>
      <c r="HJ10" s="2048" t="s">
        <v>2062</v>
      </c>
      <c r="HK10" s="1032"/>
      <c r="HL10" s="1032"/>
      <c r="HM10" s="2042" t="str">
        <f t="shared" ref="HM10:HM13" si="77">MOVEICON(HJ10)</f>
        <v>#NAME?</v>
      </c>
      <c r="HN10" s="1034" t="str">
        <f t="shared" ref="HN10:HN13" si="78">MOVEBP(HJ10)</f>
        <v>#NAME?</v>
      </c>
      <c r="HO10" s="2043" t="str">
        <f t="shared" ref="HO10:HO13" si="79">MOVEACC(HJ10)</f>
        <v>#NAME?</v>
      </c>
      <c r="HP10" s="1015" t="str">
        <f t="shared" ref="HP10:HP13" si="80">MOVEPP(HJ10)</f>
        <v>#NAME?</v>
      </c>
      <c r="HQ10" s="290"/>
      <c r="HS10" s="157"/>
      <c r="HV10" s="2048" t="s">
        <v>4096</v>
      </c>
      <c r="HW10" s="1032"/>
      <c r="HX10" s="1032"/>
      <c r="HY10" s="2042" t="str">
        <f t="shared" ref="HY10:HY13" si="81">MOVEICON(HV10)</f>
        <v>#NAME?</v>
      </c>
      <c r="HZ10" s="1034" t="str">
        <f t="shared" ref="HZ10:HZ13" si="82">MOVEBP(HV10)</f>
        <v>#NAME?</v>
      </c>
      <c r="IA10" s="2043" t="str">
        <f t="shared" ref="IA10:IA13" si="83">MOVEACC(HV10)</f>
        <v>#NAME?</v>
      </c>
      <c r="IB10" s="1015" t="str">
        <f t="shared" ref="IB10:IB13" si="84">MOVEPP(HV10)</f>
        <v>#NAME?</v>
      </c>
      <c r="IC10" s="1230"/>
      <c r="ID10" s="2048" t="s">
        <v>4096</v>
      </c>
      <c r="IE10" s="1032"/>
      <c r="IF10" s="1032"/>
      <c r="IG10" s="2042" t="str">
        <f t="shared" ref="IG10:IG13" si="85">MOVEICON(ID10)</f>
        <v>#NAME?</v>
      </c>
      <c r="IH10" s="1034" t="str">
        <f t="shared" ref="IH10:IH13" si="86">MOVEBP(ID10)</f>
        <v>#NAME?</v>
      </c>
      <c r="II10" s="2043" t="str">
        <f t="shared" ref="II10:II13" si="87">MOVEACC(ID10)</f>
        <v>#NAME?</v>
      </c>
      <c r="IJ10" s="1015" t="str">
        <f t="shared" ref="IJ10:IJ13" si="88">MOVEPP(ID10)</f>
        <v>#NAME?</v>
      </c>
      <c r="IK10" s="1230"/>
      <c r="IL10" s="2048" t="s">
        <v>4096</v>
      </c>
      <c r="IM10" s="1032"/>
      <c r="IN10" s="1032"/>
      <c r="IO10" s="2042" t="str">
        <f t="shared" ref="IO10:IO13" si="89">MOVEICON(IL10)</f>
        <v>#NAME?</v>
      </c>
      <c r="IP10" s="1034" t="str">
        <f t="shared" ref="IP10:IP13" si="90">MOVEBP(IL10)</f>
        <v>#NAME?</v>
      </c>
      <c r="IQ10" s="2043" t="str">
        <f t="shared" ref="IQ10:IQ13" si="91">MOVEACC(IL10)</f>
        <v>#NAME?</v>
      </c>
      <c r="IR10" s="1015" t="str">
        <f t="shared" ref="IR10:IR13" si="92">MOVEPP(IL10)</f>
        <v>#NAME?</v>
      </c>
      <c r="IS10" s="290"/>
      <c r="IU10" s="157"/>
      <c r="IX10" s="2048" t="s">
        <v>4054</v>
      </c>
      <c r="IY10" s="1032"/>
      <c r="IZ10" s="1032"/>
      <c r="JA10" s="2042" t="str">
        <f t="shared" ref="JA10:JA13" si="93">MOVEICON(IX10)</f>
        <v>#NAME?</v>
      </c>
      <c r="JB10" s="1034" t="str">
        <f t="shared" ref="JB10:JB13" si="94">MOVEBP(IX10)</f>
        <v>#NAME?</v>
      </c>
      <c r="JC10" s="2043" t="str">
        <f t="shared" ref="JC10:JC13" si="95">MOVEACC(IX10)</f>
        <v>#NAME?</v>
      </c>
      <c r="JD10" s="1015" t="str">
        <f t="shared" ref="JD10:JD13" si="96">MOVEPP(IX10)</f>
        <v>#NAME?</v>
      </c>
      <c r="JE10" s="1230"/>
      <c r="JF10" s="2048" t="s">
        <v>3163</v>
      </c>
      <c r="JG10" s="1032"/>
      <c r="JH10" s="1032"/>
      <c r="JI10" s="2042" t="str">
        <f t="shared" ref="JI10:JI13" si="97">MOVEICON(JF10)</f>
        <v>#NAME?</v>
      </c>
      <c r="JJ10" s="1034" t="str">
        <f t="shared" ref="JJ10:JJ13" si="98">MOVEBP(JF10)</f>
        <v>#NAME?</v>
      </c>
      <c r="JK10" s="2043" t="str">
        <f t="shared" ref="JK10:JK13" si="99">MOVEACC(JF10)</f>
        <v>#NAME?</v>
      </c>
      <c r="JL10" s="1015" t="str">
        <f t="shared" ref="JL10:JL13" si="100">MOVEPP(JF10)</f>
        <v>#NAME?</v>
      </c>
      <c r="JM10" s="1230"/>
      <c r="JN10" s="2048" t="s">
        <v>3163</v>
      </c>
      <c r="JO10" s="1032"/>
      <c r="JP10" s="1032"/>
      <c r="JQ10" s="2042" t="str">
        <f t="shared" ref="JQ10:JQ13" si="101">MOVEICON(JN10)</f>
        <v>#NAME?</v>
      </c>
      <c r="JR10" s="1034" t="str">
        <f t="shared" ref="JR10:JR13" si="102">MOVEBP(JN10)</f>
        <v>#NAME?</v>
      </c>
      <c r="JS10" s="2043" t="str">
        <f t="shared" ref="JS10:JS13" si="103">MOVEACC(JN10)</f>
        <v>#NAME?</v>
      </c>
      <c r="JT10" s="1015" t="str">
        <f t="shared" ref="JT10:JT13" si="104">MOVEPP(JN10)</f>
        <v>#NAME?</v>
      </c>
      <c r="JU10" s="290"/>
      <c r="JW10" s="157"/>
      <c r="JZ10" s="2048" t="s">
        <v>4096</v>
      </c>
      <c r="KA10" s="1032"/>
      <c r="KB10" s="1032"/>
      <c r="KC10" s="2042" t="str">
        <f t="shared" ref="KC10:KC13" si="105">MOVEICON(JZ10)</f>
        <v>#NAME?</v>
      </c>
      <c r="KD10" s="1034" t="str">
        <f t="shared" ref="KD10:KD13" si="106">MOVEBP(JZ10)</f>
        <v>#NAME?</v>
      </c>
      <c r="KE10" s="2043" t="str">
        <f t="shared" ref="KE10:KE13" si="107">MOVEACC(JZ10)</f>
        <v>#NAME?</v>
      </c>
      <c r="KF10" s="1015" t="str">
        <f t="shared" ref="KF10:KF13" si="108">MOVEPP(JZ10)</f>
        <v>#NAME?</v>
      </c>
      <c r="KG10" s="1230"/>
      <c r="KH10" s="2048" t="s">
        <v>4121</v>
      </c>
      <c r="KI10" s="1032"/>
      <c r="KJ10" s="1032"/>
      <c r="KK10" s="2042" t="str">
        <f t="shared" ref="KK10:KK13" si="109">MOVEICON(KH10)</f>
        <v>#NAME?</v>
      </c>
      <c r="KL10" s="1034" t="str">
        <f t="shared" ref="KL10:KL13" si="110">MOVEBP(KH10)</f>
        <v>#NAME?</v>
      </c>
      <c r="KM10" s="2043" t="str">
        <f t="shared" ref="KM10:KM13" si="111">MOVEACC(KH10)</f>
        <v>#NAME?</v>
      </c>
      <c r="KN10" s="1015" t="str">
        <f t="shared" ref="KN10:KN13" si="112">MOVEPP(KH10)</f>
        <v>#NAME?</v>
      </c>
      <c r="KO10" s="290"/>
      <c r="KQ10" s="157"/>
      <c r="KT10" s="2048" t="s">
        <v>433</v>
      </c>
      <c r="KU10" s="1032"/>
      <c r="KV10" s="1032"/>
      <c r="KW10" s="2042" t="str">
        <f t="shared" ref="KW10:KW13" si="113">MOVEICON(KT10)</f>
        <v>#NAME?</v>
      </c>
      <c r="KX10" s="1034" t="str">
        <f t="shared" ref="KX10:KX13" si="114">MOVEBP(KT10)</f>
        <v>#NAME?</v>
      </c>
      <c r="KY10" s="2043" t="str">
        <f t="shared" ref="KY10:KY13" si="115">MOVEACC(KT10)</f>
        <v>#NAME?</v>
      </c>
      <c r="KZ10" s="1015" t="str">
        <f t="shared" ref="KZ10:KZ13" si="116">MOVEPP(KT10)</f>
        <v>#NAME?</v>
      </c>
      <c r="LA10" s="1230"/>
      <c r="LB10" s="2048" t="s">
        <v>2474</v>
      </c>
      <c r="LC10" s="1032"/>
      <c r="LD10" s="1032"/>
      <c r="LE10" s="2042" t="str">
        <f t="shared" ref="LE10:LE13" si="117">MOVEICON(LB10)</f>
        <v>#NAME?</v>
      </c>
      <c r="LF10" s="1034" t="str">
        <f t="shared" ref="LF10:LF13" si="118">MOVEBP(LB10)</f>
        <v>#NAME?</v>
      </c>
      <c r="LG10" s="2043" t="str">
        <f t="shared" ref="LG10:LG13" si="119">MOVEACC(LB10)</f>
        <v>#NAME?</v>
      </c>
      <c r="LH10" s="1015" t="str">
        <f t="shared" ref="LH10:LH13" si="120">MOVEPP(LB10)</f>
        <v>#NAME?</v>
      </c>
      <c r="LI10" s="290"/>
    </row>
    <row r="11" ht="15.75" customHeight="1">
      <c r="A11" s="1238"/>
      <c r="B11" s="2112"/>
      <c r="C11" s="1230"/>
      <c r="D11" s="428"/>
      <c r="E11" s="1230"/>
      <c r="F11" s="1230"/>
      <c r="G11" s="1230"/>
      <c r="H11" s="997"/>
      <c r="I11" s="998"/>
      <c r="J11" s="1230"/>
      <c r="K11" s="1885"/>
      <c r="L11" s="1885"/>
      <c r="M11" s="1886"/>
      <c r="N11" s="2128"/>
      <c r="O11" s="30"/>
      <c r="P11" s="2128"/>
      <c r="Q11" s="30"/>
      <c r="R11" s="1885"/>
      <c r="S11" s="1886"/>
      <c r="T11" s="2128"/>
      <c r="U11" s="30"/>
      <c r="V11" s="2128"/>
      <c r="W11" s="30"/>
      <c r="X11" s="2128"/>
      <c r="Y11" s="30"/>
      <c r="AA11" s="157"/>
      <c r="AD11" s="1831" t="s">
        <v>3625</v>
      </c>
      <c r="AE11" s="138"/>
      <c r="AF11" s="138"/>
      <c r="AG11" s="2042" t="str">
        <f t="shared" si="1"/>
        <v>#NAME?</v>
      </c>
      <c r="AH11" s="1034" t="str">
        <f t="shared" si="2"/>
        <v>#NAME?</v>
      </c>
      <c r="AI11" s="2029" t="str">
        <f t="shared" si="3"/>
        <v>#NAME?</v>
      </c>
      <c r="AJ11" s="1015" t="str">
        <f t="shared" si="4"/>
        <v>#NAME?</v>
      </c>
      <c r="AK11" s="1230"/>
      <c r="AL11" s="1831" t="s">
        <v>3429</v>
      </c>
      <c r="AM11" s="138"/>
      <c r="AN11" s="138"/>
      <c r="AO11" s="2042" t="str">
        <f t="shared" si="5"/>
        <v>#NAME?</v>
      </c>
      <c r="AP11" s="1034" t="str">
        <f t="shared" si="6"/>
        <v>#NAME?</v>
      </c>
      <c r="AQ11" s="2029" t="str">
        <f t="shared" si="7"/>
        <v>#NAME?</v>
      </c>
      <c r="AR11" s="1015" t="str">
        <f t="shared" si="8"/>
        <v>#NAME?</v>
      </c>
      <c r="AS11" s="290"/>
      <c r="AU11" s="157"/>
      <c r="AX11" s="1831" t="s">
        <v>2691</v>
      </c>
      <c r="AY11" s="138"/>
      <c r="AZ11" s="138"/>
      <c r="BA11" s="2042" t="str">
        <f t="shared" si="9"/>
        <v>#NAME?</v>
      </c>
      <c r="BB11" s="1034" t="str">
        <f t="shared" si="10"/>
        <v>#NAME?</v>
      </c>
      <c r="BC11" s="2029" t="str">
        <f t="shared" si="11"/>
        <v>#NAME?</v>
      </c>
      <c r="BD11" s="1015" t="str">
        <f t="shared" si="12"/>
        <v>#NAME?</v>
      </c>
      <c r="BE11" s="1230"/>
      <c r="BF11" s="1831" t="s">
        <v>975</v>
      </c>
      <c r="BG11" s="138"/>
      <c r="BH11" s="138"/>
      <c r="BI11" s="2042" t="str">
        <f t="shared" si="13"/>
        <v>#NAME?</v>
      </c>
      <c r="BJ11" s="1034" t="str">
        <f t="shared" si="14"/>
        <v>#NAME?</v>
      </c>
      <c r="BK11" s="2029" t="str">
        <f t="shared" si="15"/>
        <v>#NAME?</v>
      </c>
      <c r="BL11" s="1015" t="str">
        <f t="shared" si="16"/>
        <v>#NAME?</v>
      </c>
      <c r="BM11" s="290"/>
      <c r="BO11" s="157"/>
      <c r="BR11" s="1831" t="s">
        <v>2080</v>
      </c>
      <c r="BS11" s="138"/>
      <c r="BT11" s="138"/>
      <c r="BU11" s="2042" t="str">
        <f t="shared" si="17"/>
        <v>#NAME?</v>
      </c>
      <c r="BV11" s="1034" t="str">
        <f t="shared" si="18"/>
        <v>#NAME?</v>
      </c>
      <c r="BW11" s="2029" t="str">
        <f t="shared" si="19"/>
        <v>#NAME?</v>
      </c>
      <c r="BX11" s="1015" t="str">
        <f t="shared" si="20"/>
        <v>#NAME?</v>
      </c>
      <c r="BY11" s="1230"/>
      <c r="BZ11" s="1831" t="s">
        <v>3251</v>
      </c>
      <c r="CA11" s="138"/>
      <c r="CB11" s="138"/>
      <c r="CC11" s="2042" t="str">
        <f t="shared" si="21"/>
        <v>#NAME?</v>
      </c>
      <c r="CD11" s="1034" t="str">
        <f t="shared" si="22"/>
        <v>#NAME?</v>
      </c>
      <c r="CE11" s="2029" t="str">
        <f t="shared" si="23"/>
        <v>#NAME?</v>
      </c>
      <c r="CF11" s="1015" t="str">
        <f t="shared" si="24"/>
        <v>#NAME?</v>
      </c>
      <c r="CG11" s="290"/>
      <c r="CI11" s="157"/>
      <c r="CL11" s="1831" t="s">
        <v>3799</v>
      </c>
      <c r="CM11" s="138"/>
      <c r="CN11" s="138"/>
      <c r="CO11" s="2042" t="str">
        <f t="shared" si="25"/>
        <v>#NAME?</v>
      </c>
      <c r="CP11" s="1034" t="str">
        <f t="shared" si="26"/>
        <v>#NAME?</v>
      </c>
      <c r="CQ11" s="2029" t="str">
        <f t="shared" si="27"/>
        <v>#NAME?</v>
      </c>
      <c r="CR11" s="1015" t="str">
        <f t="shared" si="28"/>
        <v>#NAME?</v>
      </c>
      <c r="CS11" s="1230"/>
      <c r="CT11" s="1831" t="s">
        <v>1847</v>
      </c>
      <c r="CU11" s="138"/>
      <c r="CV11" s="138"/>
      <c r="CW11" s="2042" t="str">
        <f t="shared" si="29"/>
        <v>#NAME?</v>
      </c>
      <c r="CX11" s="1034" t="str">
        <f t="shared" si="30"/>
        <v>#NAME?</v>
      </c>
      <c r="CY11" s="2029" t="str">
        <f t="shared" si="31"/>
        <v>#NAME?</v>
      </c>
      <c r="CZ11" s="1015" t="str">
        <f t="shared" si="32"/>
        <v>#NAME?</v>
      </c>
      <c r="DA11" s="290"/>
      <c r="DC11" s="157"/>
      <c r="DF11" s="1831" t="s">
        <v>4130</v>
      </c>
      <c r="DG11" s="138"/>
      <c r="DH11" s="138"/>
      <c r="DI11" s="2042" t="str">
        <f t="shared" si="33"/>
        <v>#NAME?</v>
      </c>
      <c r="DJ11" s="1034" t="str">
        <f t="shared" si="34"/>
        <v>#NAME?</v>
      </c>
      <c r="DK11" s="2029" t="str">
        <f t="shared" si="35"/>
        <v>#NAME?</v>
      </c>
      <c r="DL11" s="1015" t="str">
        <f t="shared" si="36"/>
        <v>#NAME?</v>
      </c>
      <c r="DM11" s="1230"/>
      <c r="DN11" s="1831" t="s">
        <v>3163</v>
      </c>
      <c r="DO11" s="138"/>
      <c r="DP11" s="138"/>
      <c r="DQ11" s="2042" t="str">
        <f t="shared" si="37"/>
        <v>#NAME?</v>
      </c>
      <c r="DR11" s="1034" t="str">
        <f t="shared" si="38"/>
        <v>#NAME?</v>
      </c>
      <c r="DS11" s="2029" t="str">
        <f t="shared" si="39"/>
        <v>#NAME?</v>
      </c>
      <c r="DT11" s="1015" t="str">
        <f t="shared" si="40"/>
        <v>#NAME?</v>
      </c>
      <c r="DU11" s="290"/>
      <c r="DW11" s="157"/>
      <c r="DZ11" s="1831" t="s">
        <v>3584</v>
      </c>
      <c r="EA11" s="138"/>
      <c r="EB11" s="138"/>
      <c r="EC11" s="2042" t="str">
        <f t="shared" si="41"/>
        <v>#NAME?</v>
      </c>
      <c r="ED11" s="1034" t="str">
        <f t="shared" si="42"/>
        <v>#NAME?</v>
      </c>
      <c r="EE11" s="2029" t="str">
        <f t="shared" si="43"/>
        <v>#NAME?</v>
      </c>
      <c r="EF11" s="1015" t="str">
        <f t="shared" si="44"/>
        <v>#NAME?</v>
      </c>
      <c r="EG11" s="1230"/>
      <c r="EH11" s="1831" t="s">
        <v>2380</v>
      </c>
      <c r="EI11" s="138"/>
      <c r="EJ11" s="138"/>
      <c r="EK11" s="2042" t="str">
        <f t="shared" si="45"/>
        <v>#NAME?</v>
      </c>
      <c r="EL11" s="1034" t="str">
        <f t="shared" si="46"/>
        <v>#NAME?</v>
      </c>
      <c r="EM11" s="2029" t="str">
        <f t="shared" si="47"/>
        <v>#NAME?</v>
      </c>
      <c r="EN11" s="1015" t="str">
        <f t="shared" si="48"/>
        <v>#NAME?</v>
      </c>
      <c r="EO11" s="290"/>
      <c r="EQ11" s="157"/>
      <c r="ET11" s="1831" t="s">
        <v>3117</v>
      </c>
      <c r="EU11" s="138"/>
      <c r="EV11" s="138"/>
      <c r="EW11" s="2042" t="str">
        <f t="shared" si="49"/>
        <v>#NAME?</v>
      </c>
      <c r="EX11" s="1034" t="str">
        <f t="shared" si="50"/>
        <v>#NAME?</v>
      </c>
      <c r="EY11" s="2029" t="str">
        <f t="shared" si="51"/>
        <v>#NAME?</v>
      </c>
      <c r="EZ11" s="1015" t="str">
        <f t="shared" si="52"/>
        <v>#NAME?</v>
      </c>
      <c r="FA11" s="1230"/>
      <c r="FB11" s="1831" t="s">
        <v>4054</v>
      </c>
      <c r="FC11" s="138"/>
      <c r="FD11" s="138"/>
      <c r="FE11" s="2042" t="str">
        <f t="shared" si="53"/>
        <v>#NAME?</v>
      </c>
      <c r="FF11" s="1034" t="str">
        <f t="shared" si="54"/>
        <v>#NAME?</v>
      </c>
      <c r="FG11" s="2029" t="str">
        <f t="shared" si="55"/>
        <v>#NAME?</v>
      </c>
      <c r="FH11" s="1015" t="str">
        <f t="shared" si="56"/>
        <v>#NAME?</v>
      </c>
      <c r="FI11" s="290"/>
      <c r="FK11" s="157"/>
      <c r="FN11" s="1831" t="s">
        <v>2316</v>
      </c>
      <c r="FO11" s="138"/>
      <c r="FP11" s="138"/>
      <c r="FQ11" s="2042" t="str">
        <f t="shared" si="57"/>
        <v>#NAME?</v>
      </c>
      <c r="FR11" s="1034" t="str">
        <f t="shared" si="58"/>
        <v>#NAME?</v>
      </c>
      <c r="FS11" s="2029" t="str">
        <f t="shared" si="59"/>
        <v>#NAME?</v>
      </c>
      <c r="FT11" s="1015" t="str">
        <f t="shared" si="60"/>
        <v>#NAME?</v>
      </c>
      <c r="FU11" s="1230"/>
      <c r="FV11" s="1831" t="s">
        <v>3068</v>
      </c>
      <c r="FW11" s="138"/>
      <c r="FX11" s="138"/>
      <c r="FY11" s="2042" t="str">
        <f t="shared" si="61"/>
        <v>#NAME?</v>
      </c>
      <c r="FZ11" s="1034" t="str">
        <f t="shared" si="62"/>
        <v>#NAME?</v>
      </c>
      <c r="GA11" s="2029" t="str">
        <f t="shared" si="63"/>
        <v>#NAME?</v>
      </c>
      <c r="GB11" s="1015" t="str">
        <f t="shared" si="64"/>
        <v>#NAME?</v>
      </c>
      <c r="GC11" s="290"/>
      <c r="GE11" s="157"/>
      <c r="GH11" s="1831" t="s">
        <v>184</v>
      </c>
      <c r="GI11" s="138"/>
      <c r="GJ11" s="138"/>
      <c r="GK11" s="2042" t="str">
        <f t="shared" si="65"/>
        <v>#NAME?</v>
      </c>
      <c r="GL11" s="1034" t="str">
        <f t="shared" si="66"/>
        <v>#NAME?</v>
      </c>
      <c r="GM11" s="2029" t="str">
        <f t="shared" si="67"/>
        <v>#NAME?</v>
      </c>
      <c r="GN11" s="1015" t="str">
        <f t="shared" si="68"/>
        <v>#NAME?</v>
      </c>
      <c r="GO11" s="1230"/>
      <c r="GP11" s="1831" t="s">
        <v>3877</v>
      </c>
      <c r="GQ11" s="138"/>
      <c r="GR11" s="138"/>
      <c r="GS11" s="2042" t="str">
        <f t="shared" si="69"/>
        <v>#NAME?</v>
      </c>
      <c r="GT11" s="1034" t="str">
        <f t="shared" si="70"/>
        <v>#NAME?</v>
      </c>
      <c r="GU11" s="2029" t="str">
        <f t="shared" si="71"/>
        <v>#NAME?</v>
      </c>
      <c r="GV11" s="1015" t="str">
        <f t="shared" si="72"/>
        <v>#NAME?</v>
      </c>
      <c r="GW11" s="290"/>
      <c r="GY11" s="157"/>
      <c r="HB11" s="1831" t="s">
        <v>1634</v>
      </c>
      <c r="HC11" s="138"/>
      <c r="HD11" s="138"/>
      <c r="HE11" s="2042" t="str">
        <f t="shared" si="73"/>
        <v>#NAME?</v>
      </c>
      <c r="HF11" s="1034" t="str">
        <f t="shared" si="74"/>
        <v>#NAME?</v>
      </c>
      <c r="HG11" s="2029" t="str">
        <f t="shared" si="75"/>
        <v>#NAME?</v>
      </c>
      <c r="HH11" s="1015" t="str">
        <f t="shared" si="76"/>
        <v>#NAME?</v>
      </c>
      <c r="HI11" s="1230"/>
      <c r="HJ11" s="1831" t="s">
        <v>2707</v>
      </c>
      <c r="HK11" s="138"/>
      <c r="HL11" s="138"/>
      <c r="HM11" s="2042" t="str">
        <f t="shared" si="77"/>
        <v>#NAME?</v>
      </c>
      <c r="HN11" s="1034" t="str">
        <f t="shared" si="78"/>
        <v>#NAME?</v>
      </c>
      <c r="HO11" s="2029" t="str">
        <f t="shared" si="79"/>
        <v>#NAME?</v>
      </c>
      <c r="HP11" s="1015" t="str">
        <f t="shared" si="80"/>
        <v>#NAME?</v>
      </c>
      <c r="HQ11" s="290"/>
      <c r="HS11" s="157"/>
      <c r="HV11" s="1831" t="s">
        <v>2432</v>
      </c>
      <c r="HW11" s="138"/>
      <c r="HX11" s="138"/>
      <c r="HY11" s="2042" t="str">
        <f t="shared" si="81"/>
        <v>#NAME?</v>
      </c>
      <c r="HZ11" s="1034" t="str">
        <f t="shared" si="82"/>
        <v>#NAME?</v>
      </c>
      <c r="IA11" s="2029" t="str">
        <f t="shared" si="83"/>
        <v>#NAME?</v>
      </c>
      <c r="IB11" s="1015" t="str">
        <f t="shared" si="84"/>
        <v>#NAME?</v>
      </c>
      <c r="IC11" s="1230"/>
      <c r="ID11" s="1831" t="s">
        <v>2432</v>
      </c>
      <c r="IE11" s="138"/>
      <c r="IF11" s="138"/>
      <c r="IG11" s="2042" t="str">
        <f t="shared" si="85"/>
        <v>#NAME?</v>
      </c>
      <c r="IH11" s="1034" t="str">
        <f t="shared" si="86"/>
        <v>#NAME?</v>
      </c>
      <c r="II11" s="2029" t="str">
        <f t="shared" si="87"/>
        <v>#NAME?</v>
      </c>
      <c r="IJ11" s="1015" t="str">
        <f t="shared" si="88"/>
        <v>#NAME?</v>
      </c>
      <c r="IK11" s="1230"/>
      <c r="IL11" s="1831" t="s">
        <v>2432</v>
      </c>
      <c r="IM11" s="138"/>
      <c r="IN11" s="138"/>
      <c r="IO11" s="2042" t="str">
        <f t="shared" si="89"/>
        <v>#NAME?</v>
      </c>
      <c r="IP11" s="1034" t="str">
        <f t="shared" si="90"/>
        <v>#NAME?</v>
      </c>
      <c r="IQ11" s="2029" t="str">
        <f t="shared" si="91"/>
        <v>#NAME?</v>
      </c>
      <c r="IR11" s="1015" t="str">
        <f t="shared" si="92"/>
        <v>#NAME?</v>
      </c>
      <c r="IS11" s="290"/>
      <c r="IU11" s="157"/>
      <c r="IX11" s="1831" t="s">
        <v>4130</v>
      </c>
      <c r="IY11" s="138"/>
      <c r="IZ11" s="138"/>
      <c r="JA11" s="2042" t="str">
        <f t="shared" si="93"/>
        <v>#NAME?</v>
      </c>
      <c r="JB11" s="1034" t="str">
        <f t="shared" si="94"/>
        <v>#NAME?</v>
      </c>
      <c r="JC11" s="2029" t="str">
        <f t="shared" si="95"/>
        <v>#NAME?</v>
      </c>
      <c r="JD11" s="1015" t="str">
        <f t="shared" si="96"/>
        <v>#NAME?</v>
      </c>
      <c r="JE11" s="1230"/>
      <c r="JF11" s="1831" t="s">
        <v>1626</v>
      </c>
      <c r="JG11" s="138"/>
      <c r="JH11" s="138"/>
      <c r="JI11" s="2042" t="str">
        <f t="shared" si="97"/>
        <v>#NAME?</v>
      </c>
      <c r="JJ11" s="1034" t="str">
        <f t="shared" si="98"/>
        <v>#NAME?</v>
      </c>
      <c r="JK11" s="2029" t="str">
        <f t="shared" si="99"/>
        <v>#NAME?</v>
      </c>
      <c r="JL11" s="1015" t="str">
        <f t="shared" si="100"/>
        <v>#NAME?</v>
      </c>
      <c r="JM11" s="1230"/>
      <c r="JN11" s="1831" t="s">
        <v>1626</v>
      </c>
      <c r="JO11" s="138"/>
      <c r="JP11" s="138"/>
      <c r="JQ11" s="2042" t="str">
        <f t="shared" si="101"/>
        <v>#NAME?</v>
      </c>
      <c r="JR11" s="1034" t="str">
        <f t="shared" si="102"/>
        <v>#NAME?</v>
      </c>
      <c r="JS11" s="2029" t="str">
        <f t="shared" si="103"/>
        <v>#NAME?</v>
      </c>
      <c r="JT11" s="1015" t="str">
        <f t="shared" si="104"/>
        <v>#NAME?</v>
      </c>
      <c r="JU11" s="290"/>
      <c r="JW11" s="157"/>
      <c r="JZ11" s="1831" t="s">
        <v>3854</v>
      </c>
      <c r="KA11" s="138"/>
      <c r="KB11" s="138"/>
      <c r="KC11" s="2042" t="str">
        <f t="shared" si="105"/>
        <v>#NAME?</v>
      </c>
      <c r="KD11" s="1034" t="str">
        <f t="shared" si="106"/>
        <v>#NAME?</v>
      </c>
      <c r="KE11" s="2029" t="str">
        <f t="shared" si="107"/>
        <v>#NAME?</v>
      </c>
      <c r="KF11" s="1015" t="str">
        <f t="shared" si="108"/>
        <v>#NAME?</v>
      </c>
      <c r="KG11" s="1230"/>
      <c r="KH11" s="1831"/>
      <c r="KI11" s="138"/>
      <c r="KJ11" s="138"/>
      <c r="KK11" s="2042" t="str">
        <f t="shared" si="109"/>
        <v>#NAME?</v>
      </c>
      <c r="KL11" s="1034" t="str">
        <f t="shared" si="110"/>
        <v>#NAME?</v>
      </c>
      <c r="KM11" s="2029" t="str">
        <f t="shared" si="111"/>
        <v>#NAME?</v>
      </c>
      <c r="KN11" s="1015" t="str">
        <f t="shared" si="112"/>
        <v>#NAME?</v>
      </c>
      <c r="KO11" s="290"/>
      <c r="KQ11" s="157"/>
      <c r="KT11" s="1831" t="s">
        <v>2707</v>
      </c>
      <c r="KU11" s="138"/>
      <c r="KV11" s="138"/>
      <c r="KW11" s="2042" t="str">
        <f t="shared" si="113"/>
        <v>#NAME?</v>
      </c>
      <c r="KX11" s="1034" t="str">
        <f t="shared" si="114"/>
        <v>#NAME?</v>
      </c>
      <c r="KY11" s="2029" t="str">
        <f t="shared" si="115"/>
        <v>#NAME?</v>
      </c>
      <c r="KZ11" s="1015" t="str">
        <f t="shared" si="116"/>
        <v>#NAME?</v>
      </c>
      <c r="LA11" s="1230"/>
      <c r="LB11" s="1831" t="s">
        <v>3632</v>
      </c>
      <c r="LC11" s="138"/>
      <c r="LD11" s="138"/>
      <c r="LE11" s="2042" t="str">
        <f t="shared" si="117"/>
        <v>#NAME?</v>
      </c>
      <c r="LF11" s="1034" t="str">
        <f t="shared" si="118"/>
        <v>#NAME?</v>
      </c>
      <c r="LG11" s="2029" t="str">
        <f t="shared" si="119"/>
        <v>#NAME?</v>
      </c>
      <c r="LH11" s="1015" t="str">
        <f t="shared" si="120"/>
        <v>#NAME?</v>
      </c>
      <c r="LI11" s="290"/>
    </row>
    <row r="12" ht="15.75" customHeight="1">
      <c r="A12" s="1238"/>
      <c r="B12" s="1935" t="s">
        <v>10652</v>
      </c>
      <c r="C12" s="1230"/>
      <c r="D12" s="1938" t="s">
        <v>10653</v>
      </c>
      <c r="E12" s="1230"/>
      <c r="F12" s="2129" t="s">
        <v>10654</v>
      </c>
      <c r="G12" s="1230"/>
      <c r="H12" s="1230"/>
      <c r="I12" s="449"/>
      <c r="J12" s="1230"/>
      <c r="K12" s="2123" t="s">
        <v>4524</v>
      </c>
      <c r="L12" s="1863"/>
      <c r="M12" s="2124" t="s">
        <v>10655</v>
      </c>
      <c r="N12" s="1863"/>
      <c r="O12" s="2124" t="s">
        <v>10655</v>
      </c>
      <c r="P12" s="2123"/>
      <c r="Q12" s="1154"/>
      <c r="R12" s="2123"/>
      <c r="S12" s="1154"/>
      <c r="T12" s="2123"/>
      <c r="U12" s="1154"/>
      <c r="V12" s="1863"/>
      <c r="W12" s="2124" t="s">
        <v>10655</v>
      </c>
      <c r="X12" s="1863"/>
      <c r="Y12" s="2124" t="s">
        <v>10655</v>
      </c>
      <c r="AA12" s="157"/>
      <c r="AD12" s="1831" t="s">
        <v>2265</v>
      </c>
      <c r="AE12" s="138"/>
      <c r="AF12" s="138"/>
      <c r="AG12" s="2042" t="str">
        <f t="shared" si="1"/>
        <v>#NAME?</v>
      </c>
      <c r="AH12" s="1034" t="str">
        <f t="shared" si="2"/>
        <v>#NAME?</v>
      </c>
      <c r="AI12" s="2029" t="str">
        <f t="shared" si="3"/>
        <v>#NAME?</v>
      </c>
      <c r="AJ12" s="1015" t="str">
        <f t="shared" si="4"/>
        <v>#NAME?</v>
      </c>
      <c r="AK12" s="1230"/>
      <c r="AL12" s="1831" t="s">
        <v>1357</v>
      </c>
      <c r="AM12" s="138"/>
      <c r="AN12" s="138"/>
      <c r="AO12" s="2042" t="str">
        <f t="shared" si="5"/>
        <v>#NAME?</v>
      </c>
      <c r="AP12" s="1034" t="str">
        <f t="shared" si="6"/>
        <v>#NAME?</v>
      </c>
      <c r="AQ12" s="2029" t="str">
        <f t="shared" si="7"/>
        <v>#NAME?</v>
      </c>
      <c r="AR12" s="1015" t="str">
        <f t="shared" si="8"/>
        <v>#NAME?</v>
      </c>
      <c r="AS12" s="290"/>
      <c r="AU12" s="157"/>
      <c r="AX12" s="1831" t="s">
        <v>2588</v>
      </c>
      <c r="AY12" s="138"/>
      <c r="AZ12" s="138"/>
      <c r="BA12" s="2042" t="str">
        <f t="shared" si="9"/>
        <v>#NAME?</v>
      </c>
      <c r="BB12" s="1034" t="str">
        <f t="shared" si="10"/>
        <v>#NAME?</v>
      </c>
      <c r="BC12" s="2029" t="str">
        <f t="shared" si="11"/>
        <v>#NAME?</v>
      </c>
      <c r="BD12" s="1015" t="str">
        <f t="shared" si="12"/>
        <v>#NAME?</v>
      </c>
      <c r="BE12" s="1230"/>
      <c r="BF12" s="1831" t="s">
        <v>721</v>
      </c>
      <c r="BG12" s="138"/>
      <c r="BH12" s="138"/>
      <c r="BI12" s="2042" t="str">
        <f t="shared" si="13"/>
        <v>#NAME?</v>
      </c>
      <c r="BJ12" s="1034" t="str">
        <f t="shared" si="14"/>
        <v>#NAME?</v>
      </c>
      <c r="BK12" s="2029" t="str">
        <f t="shared" si="15"/>
        <v>#NAME?</v>
      </c>
      <c r="BL12" s="1015" t="str">
        <f t="shared" si="16"/>
        <v>#NAME?</v>
      </c>
      <c r="BM12" s="290"/>
      <c r="BO12" s="157"/>
      <c r="BR12" s="1831" t="s">
        <v>3055</v>
      </c>
      <c r="BS12" s="138"/>
      <c r="BT12" s="138"/>
      <c r="BU12" s="2042" t="str">
        <f t="shared" si="17"/>
        <v>#NAME?</v>
      </c>
      <c r="BV12" s="1034" t="str">
        <f t="shared" si="18"/>
        <v>#NAME?</v>
      </c>
      <c r="BW12" s="2029" t="str">
        <f t="shared" si="19"/>
        <v>#NAME?</v>
      </c>
      <c r="BX12" s="1015" t="str">
        <f t="shared" si="20"/>
        <v>#NAME?</v>
      </c>
      <c r="BY12" s="1230"/>
      <c r="BZ12" s="1831" t="s">
        <v>1036</v>
      </c>
      <c r="CA12" s="138"/>
      <c r="CB12" s="138"/>
      <c r="CC12" s="2042" t="str">
        <f t="shared" si="21"/>
        <v>#NAME?</v>
      </c>
      <c r="CD12" s="1034" t="str">
        <f t="shared" si="22"/>
        <v>#NAME?</v>
      </c>
      <c r="CE12" s="2029" t="str">
        <f t="shared" si="23"/>
        <v>#NAME?</v>
      </c>
      <c r="CF12" s="1015" t="str">
        <f t="shared" si="24"/>
        <v>#NAME?</v>
      </c>
      <c r="CG12" s="290"/>
      <c r="CI12" s="157"/>
      <c r="CL12" s="1831" t="s">
        <v>2371</v>
      </c>
      <c r="CM12" s="138"/>
      <c r="CN12" s="138"/>
      <c r="CO12" s="2042" t="str">
        <f t="shared" si="25"/>
        <v>#NAME?</v>
      </c>
      <c r="CP12" s="1034" t="str">
        <f t="shared" si="26"/>
        <v>#NAME?</v>
      </c>
      <c r="CQ12" s="2029" t="str">
        <f t="shared" si="27"/>
        <v>#NAME?</v>
      </c>
      <c r="CR12" s="1015" t="str">
        <f t="shared" si="28"/>
        <v>#NAME?</v>
      </c>
      <c r="CS12" s="1230"/>
      <c r="CT12" s="1831" t="s">
        <v>1869</v>
      </c>
      <c r="CU12" s="138"/>
      <c r="CV12" s="138"/>
      <c r="CW12" s="2042" t="str">
        <f t="shared" si="29"/>
        <v>#NAME?</v>
      </c>
      <c r="CX12" s="1034" t="str">
        <f t="shared" si="30"/>
        <v>#NAME?</v>
      </c>
      <c r="CY12" s="2029" t="str">
        <f t="shared" si="31"/>
        <v>#NAME?</v>
      </c>
      <c r="CZ12" s="1015" t="str">
        <f t="shared" si="32"/>
        <v>#NAME?</v>
      </c>
      <c r="DA12" s="290"/>
      <c r="DC12" s="157"/>
      <c r="DF12" s="1831" t="s">
        <v>2675</v>
      </c>
      <c r="DG12" s="138"/>
      <c r="DH12" s="138"/>
      <c r="DI12" s="2042" t="str">
        <f t="shared" si="33"/>
        <v>#NAME?</v>
      </c>
      <c r="DJ12" s="1034" t="str">
        <f t="shared" si="34"/>
        <v>#NAME?</v>
      </c>
      <c r="DK12" s="2029" t="str">
        <f t="shared" si="35"/>
        <v>#NAME?</v>
      </c>
      <c r="DL12" s="1015" t="str">
        <f t="shared" si="36"/>
        <v>#NAME?</v>
      </c>
      <c r="DM12" s="1230"/>
      <c r="DN12" s="1831" t="s">
        <v>2432</v>
      </c>
      <c r="DO12" s="138"/>
      <c r="DP12" s="138"/>
      <c r="DQ12" s="2042" t="str">
        <f t="shared" si="37"/>
        <v>#NAME?</v>
      </c>
      <c r="DR12" s="1034" t="str">
        <f t="shared" si="38"/>
        <v>#NAME?</v>
      </c>
      <c r="DS12" s="2029" t="str">
        <f t="shared" si="39"/>
        <v>#NAME?</v>
      </c>
      <c r="DT12" s="1015" t="str">
        <f t="shared" si="40"/>
        <v>#NAME?</v>
      </c>
      <c r="DU12" s="290"/>
      <c r="DW12" s="157"/>
      <c r="DZ12" s="1831" t="s">
        <v>2095</v>
      </c>
      <c r="EA12" s="138"/>
      <c r="EB12" s="138"/>
      <c r="EC12" s="2042" t="str">
        <f t="shared" si="41"/>
        <v>#NAME?</v>
      </c>
      <c r="ED12" s="1034" t="str">
        <f t="shared" si="42"/>
        <v>#NAME?</v>
      </c>
      <c r="EE12" s="2029" t="str">
        <f t="shared" si="43"/>
        <v>#NAME?</v>
      </c>
      <c r="EF12" s="1015" t="str">
        <f t="shared" si="44"/>
        <v>#NAME?</v>
      </c>
      <c r="EG12" s="1230"/>
      <c r="EH12" s="1831" t="s">
        <v>3438</v>
      </c>
      <c r="EI12" s="138"/>
      <c r="EJ12" s="138"/>
      <c r="EK12" s="2042" t="str">
        <f t="shared" si="45"/>
        <v>#NAME?</v>
      </c>
      <c r="EL12" s="1034" t="str">
        <f t="shared" si="46"/>
        <v>#NAME?</v>
      </c>
      <c r="EM12" s="2029" t="str">
        <f t="shared" si="47"/>
        <v>#NAME?</v>
      </c>
      <c r="EN12" s="1015" t="str">
        <f t="shared" si="48"/>
        <v>#NAME?</v>
      </c>
      <c r="EO12" s="290"/>
      <c r="EQ12" s="157"/>
      <c r="ET12" s="1831" t="s">
        <v>1309</v>
      </c>
      <c r="EU12" s="138"/>
      <c r="EV12" s="138"/>
      <c r="EW12" s="2042" t="str">
        <f t="shared" si="49"/>
        <v>#NAME?</v>
      </c>
      <c r="EX12" s="1034" t="str">
        <f t="shared" si="50"/>
        <v>#NAME?</v>
      </c>
      <c r="EY12" s="2029" t="str">
        <f t="shared" si="51"/>
        <v>#NAME?</v>
      </c>
      <c r="EZ12" s="1015" t="str">
        <f t="shared" si="52"/>
        <v>#NAME?</v>
      </c>
      <c r="FA12" s="1230"/>
      <c r="FB12" s="1831" t="s">
        <v>3192</v>
      </c>
      <c r="FC12" s="138"/>
      <c r="FD12" s="138"/>
      <c r="FE12" s="2042" t="str">
        <f t="shared" si="53"/>
        <v>#NAME?</v>
      </c>
      <c r="FF12" s="1034" t="str">
        <f t="shared" si="54"/>
        <v>#NAME?</v>
      </c>
      <c r="FG12" s="2029" t="str">
        <f t="shared" si="55"/>
        <v>#NAME?</v>
      </c>
      <c r="FH12" s="1015" t="str">
        <f t="shared" si="56"/>
        <v>#NAME?</v>
      </c>
      <c r="FI12" s="290"/>
      <c r="FK12" s="157"/>
      <c r="FN12" s="1831" t="s">
        <v>3815</v>
      </c>
      <c r="FO12" s="138"/>
      <c r="FP12" s="138"/>
      <c r="FQ12" s="2042" t="str">
        <f t="shared" si="57"/>
        <v>#NAME?</v>
      </c>
      <c r="FR12" s="1034" t="str">
        <f t="shared" si="58"/>
        <v>#NAME?</v>
      </c>
      <c r="FS12" s="2029" t="str">
        <f t="shared" si="59"/>
        <v>#NAME?</v>
      </c>
      <c r="FT12" s="1015" t="str">
        <f t="shared" si="60"/>
        <v>#NAME?</v>
      </c>
      <c r="FU12" s="1230"/>
      <c r="FV12" s="1831" t="s">
        <v>3517</v>
      </c>
      <c r="FW12" s="138"/>
      <c r="FX12" s="138"/>
      <c r="FY12" s="2042" t="str">
        <f t="shared" si="61"/>
        <v>#NAME?</v>
      </c>
      <c r="FZ12" s="1034" t="str">
        <f t="shared" si="62"/>
        <v>#NAME?</v>
      </c>
      <c r="GA12" s="2029" t="str">
        <f t="shared" si="63"/>
        <v>#NAME?</v>
      </c>
      <c r="GB12" s="1015" t="str">
        <f t="shared" si="64"/>
        <v>#NAME?</v>
      </c>
      <c r="GC12" s="290"/>
      <c r="GE12" s="157"/>
      <c r="GH12" s="1831" t="s">
        <v>328</v>
      </c>
      <c r="GI12" s="138"/>
      <c r="GJ12" s="138"/>
      <c r="GK12" s="2042" t="str">
        <f t="shared" si="65"/>
        <v>#NAME?</v>
      </c>
      <c r="GL12" s="1034" t="str">
        <f t="shared" si="66"/>
        <v>#NAME?</v>
      </c>
      <c r="GM12" s="2029" t="str">
        <f t="shared" si="67"/>
        <v>#NAME?</v>
      </c>
      <c r="GN12" s="1015" t="str">
        <f t="shared" si="68"/>
        <v>#NAME?</v>
      </c>
      <c r="GO12" s="1230"/>
      <c r="GP12" s="1831" t="s">
        <v>2675</v>
      </c>
      <c r="GQ12" s="138"/>
      <c r="GR12" s="138"/>
      <c r="GS12" s="2042" t="str">
        <f t="shared" si="69"/>
        <v>#NAME?</v>
      </c>
      <c r="GT12" s="1034" t="str">
        <f t="shared" si="70"/>
        <v>#NAME?</v>
      </c>
      <c r="GU12" s="2029" t="str">
        <f t="shared" si="71"/>
        <v>#NAME?</v>
      </c>
      <c r="GV12" s="1015" t="str">
        <f t="shared" si="72"/>
        <v>#NAME?</v>
      </c>
      <c r="GW12" s="290"/>
      <c r="GY12" s="157"/>
      <c r="HB12" s="1831" t="s">
        <v>1197</v>
      </c>
      <c r="HC12" s="138"/>
      <c r="HD12" s="138"/>
      <c r="HE12" s="2042" t="str">
        <f t="shared" si="73"/>
        <v>#NAME?</v>
      </c>
      <c r="HF12" s="1034" t="str">
        <f t="shared" si="74"/>
        <v>#NAME?</v>
      </c>
      <c r="HG12" s="2029" t="str">
        <f t="shared" si="75"/>
        <v>#NAME?</v>
      </c>
      <c r="HH12" s="1015" t="str">
        <f t="shared" si="76"/>
        <v>#NAME?</v>
      </c>
      <c r="HI12" s="1230"/>
      <c r="HJ12" s="1831" t="s">
        <v>1554</v>
      </c>
      <c r="HK12" s="138"/>
      <c r="HL12" s="138"/>
      <c r="HM12" s="2042" t="str">
        <f t="shared" si="77"/>
        <v>#NAME?</v>
      </c>
      <c r="HN12" s="1034" t="str">
        <f t="shared" si="78"/>
        <v>#NAME?</v>
      </c>
      <c r="HO12" s="2029" t="str">
        <f t="shared" si="79"/>
        <v>#NAME?</v>
      </c>
      <c r="HP12" s="1015" t="str">
        <f t="shared" si="80"/>
        <v>#NAME?</v>
      </c>
      <c r="HQ12" s="290"/>
      <c r="HS12" s="157"/>
      <c r="HV12" s="1831" t="s">
        <v>3016</v>
      </c>
      <c r="HW12" s="138"/>
      <c r="HX12" s="138"/>
      <c r="HY12" s="2130" t="str">
        <f t="shared" si="81"/>
        <v>#NAME?</v>
      </c>
      <c r="HZ12" s="1034" t="str">
        <f t="shared" si="82"/>
        <v>#NAME?</v>
      </c>
      <c r="IA12" s="2029" t="str">
        <f t="shared" si="83"/>
        <v>#NAME?</v>
      </c>
      <c r="IB12" s="1015" t="str">
        <f t="shared" si="84"/>
        <v>#NAME?</v>
      </c>
      <c r="IC12" s="1230"/>
      <c r="ID12" s="1831" t="s">
        <v>3016</v>
      </c>
      <c r="IE12" s="138"/>
      <c r="IF12" s="138"/>
      <c r="IG12" s="2130" t="str">
        <f t="shared" si="85"/>
        <v>#NAME?</v>
      </c>
      <c r="IH12" s="1034" t="str">
        <f t="shared" si="86"/>
        <v>#NAME?</v>
      </c>
      <c r="II12" s="2029" t="str">
        <f t="shared" si="87"/>
        <v>#NAME?</v>
      </c>
      <c r="IJ12" s="1015" t="str">
        <f t="shared" si="88"/>
        <v>#NAME?</v>
      </c>
      <c r="IK12" s="1230"/>
      <c r="IL12" s="1831" t="s">
        <v>3016</v>
      </c>
      <c r="IM12" s="138"/>
      <c r="IN12" s="138"/>
      <c r="IO12" s="2130" t="str">
        <f t="shared" si="89"/>
        <v>#NAME?</v>
      </c>
      <c r="IP12" s="1034" t="str">
        <f t="shared" si="90"/>
        <v>#NAME?</v>
      </c>
      <c r="IQ12" s="2029" t="str">
        <f t="shared" si="91"/>
        <v>#NAME?</v>
      </c>
      <c r="IR12" s="1015" t="str">
        <f t="shared" si="92"/>
        <v>#NAME?</v>
      </c>
      <c r="IS12" s="290"/>
      <c r="IU12" s="157"/>
      <c r="IX12" s="1831" t="s">
        <v>3675</v>
      </c>
      <c r="IY12" s="138"/>
      <c r="IZ12" s="138"/>
      <c r="JA12" s="2042" t="str">
        <f t="shared" si="93"/>
        <v>#NAME?</v>
      </c>
      <c r="JB12" s="1034" t="str">
        <f t="shared" si="94"/>
        <v>#NAME?</v>
      </c>
      <c r="JC12" s="2029" t="str">
        <f t="shared" si="95"/>
        <v>#NAME?</v>
      </c>
      <c r="JD12" s="1015" t="str">
        <f t="shared" si="96"/>
        <v>#NAME?</v>
      </c>
      <c r="JE12" s="1230"/>
      <c r="JF12" s="1831" t="s">
        <v>2725</v>
      </c>
      <c r="JG12" s="138"/>
      <c r="JH12" s="138"/>
      <c r="JI12" s="2042" t="str">
        <f t="shared" si="97"/>
        <v>#NAME?</v>
      </c>
      <c r="JJ12" s="1034" t="str">
        <f t="shared" si="98"/>
        <v>#NAME?</v>
      </c>
      <c r="JK12" s="2029" t="str">
        <f t="shared" si="99"/>
        <v>#NAME?</v>
      </c>
      <c r="JL12" s="1015" t="str">
        <f t="shared" si="100"/>
        <v>#NAME?</v>
      </c>
      <c r="JM12" s="1230"/>
      <c r="JN12" s="1831" t="s">
        <v>2725</v>
      </c>
      <c r="JO12" s="138"/>
      <c r="JP12" s="138"/>
      <c r="JQ12" s="2042" t="str">
        <f t="shared" si="101"/>
        <v>#NAME?</v>
      </c>
      <c r="JR12" s="1034" t="str">
        <f t="shared" si="102"/>
        <v>#NAME?</v>
      </c>
      <c r="JS12" s="2029" t="str">
        <f t="shared" si="103"/>
        <v>#NAME?</v>
      </c>
      <c r="JT12" s="1015" t="str">
        <f t="shared" si="104"/>
        <v>#NAME?</v>
      </c>
      <c r="JU12" s="290"/>
      <c r="JW12" s="157"/>
      <c r="JZ12" s="1831" t="s">
        <v>91</v>
      </c>
      <c r="KA12" s="138"/>
      <c r="KB12" s="138"/>
      <c r="KC12" s="2042" t="str">
        <f t="shared" si="105"/>
        <v>#NAME?</v>
      </c>
      <c r="KD12" s="1034" t="str">
        <f t="shared" si="106"/>
        <v>#NAME?</v>
      </c>
      <c r="KE12" s="2029" t="str">
        <f t="shared" si="107"/>
        <v>#NAME?</v>
      </c>
      <c r="KF12" s="1015" t="str">
        <f t="shared" si="108"/>
        <v>#NAME?</v>
      </c>
      <c r="KG12" s="1230"/>
      <c r="KH12" s="1831"/>
      <c r="KI12" s="138"/>
      <c r="KJ12" s="138"/>
      <c r="KK12" s="2042" t="str">
        <f t="shared" si="109"/>
        <v>#NAME?</v>
      </c>
      <c r="KL12" s="1034" t="str">
        <f t="shared" si="110"/>
        <v>#NAME?</v>
      </c>
      <c r="KM12" s="2029" t="str">
        <f t="shared" si="111"/>
        <v>#NAME?</v>
      </c>
      <c r="KN12" s="1015" t="str">
        <f t="shared" si="112"/>
        <v>#NAME?</v>
      </c>
      <c r="KO12" s="290"/>
      <c r="KQ12" s="157"/>
      <c r="KT12" s="1831" t="s">
        <v>3877</v>
      </c>
      <c r="KU12" s="138"/>
      <c r="KV12" s="138"/>
      <c r="KW12" s="2042" t="str">
        <f t="shared" si="113"/>
        <v>#NAME?</v>
      </c>
      <c r="KX12" s="1034" t="str">
        <f t="shared" si="114"/>
        <v>#NAME?</v>
      </c>
      <c r="KY12" s="2029" t="str">
        <f t="shared" si="115"/>
        <v>#NAME?</v>
      </c>
      <c r="KZ12" s="1015" t="str">
        <f t="shared" si="116"/>
        <v>#NAME?</v>
      </c>
      <c r="LA12" s="1230"/>
      <c r="LB12" s="1831" t="s">
        <v>3799</v>
      </c>
      <c r="LC12" s="138"/>
      <c r="LD12" s="138"/>
      <c r="LE12" s="2042" t="str">
        <f t="shared" si="117"/>
        <v>#NAME?</v>
      </c>
      <c r="LF12" s="1034" t="str">
        <f t="shared" si="118"/>
        <v>#NAME?</v>
      </c>
      <c r="LG12" s="2029" t="str">
        <f t="shared" si="119"/>
        <v>#NAME?</v>
      </c>
      <c r="LH12" s="1015" t="str">
        <f t="shared" si="120"/>
        <v>#NAME?</v>
      </c>
      <c r="LI12" s="290"/>
    </row>
    <row r="13" ht="15.75" customHeight="1">
      <c r="A13" s="1238"/>
      <c r="B13" s="1230"/>
      <c r="C13" s="1230"/>
      <c r="D13" s="2119" t="s">
        <v>10656</v>
      </c>
      <c r="E13" s="1230"/>
      <c r="F13" s="2131" t="s">
        <v>10657</v>
      </c>
      <c r="G13" s="1230"/>
      <c r="H13" s="2132" t="s">
        <v>4518</v>
      </c>
      <c r="I13" s="960"/>
      <c r="J13" s="1230"/>
      <c r="K13" s="1860"/>
      <c r="L13" s="1860"/>
      <c r="M13" s="30"/>
      <c r="N13" s="1860"/>
      <c r="O13" s="30"/>
      <c r="P13" s="1860"/>
      <c r="Q13" s="30"/>
      <c r="R13" s="1860"/>
      <c r="S13" s="30"/>
      <c r="T13" s="1860"/>
      <c r="U13" s="30"/>
      <c r="V13" s="1860"/>
      <c r="W13" s="30"/>
      <c r="X13" s="1860"/>
      <c r="Y13" s="30"/>
      <c r="AA13" s="157"/>
      <c r="AD13" s="1094" t="s">
        <v>3251</v>
      </c>
      <c r="AE13" s="413"/>
      <c r="AF13" s="413"/>
      <c r="AG13" s="2063" t="str">
        <f t="shared" si="1"/>
        <v>#NAME?</v>
      </c>
      <c r="AH13" s="1054" t="str">
        <f t="shared" si="2"/>
        <v>#NAME?</v>
      </c>
      <c r="AI13" s="2033" t="str">
        <f t="shared" si="3"/>
        <v>#NAME?</v>
      </c>
      <c r="AJ13" s="1131" t="str">
        <f t="shared" si="4"/>
        <v>#NAME?</v>
      </c>
      <c r="AK13" s="1230"/>
      <c r="AL13" s="1094" t="s">
        <v>1655</v>
      </c>
      <c r="AM13" s="413"/>
      <c r="AN13" s="413"/>
      <c r="AO13" s="2063" t="str">
        <f t="shared" si="5"/>
        <v>#NAME?</v>
      </c>
      <c r="AP13" s="1054" t="str">
        <f t="shared" si="6"/>
        <v>#NAME?</v>
      </c>
      <c r="AQ13" s="2033" t="str">
        <f t="shared" si="7"/>
        <v>#NAME?</v>
      </c>
      <c r="AR13" s="1131" t="str">
        <f t="shared" si="8"/>
        <v>#NAME?</v>
      </c>
      <c r="AS13" s="290"/>
      <c r="AU13" s="157"/>
      <c r="AX13" s="1094" t="s">
        <v>2880</v>
      </c>
      <c r="AY13" s="413"/>
      <c r="AZ13" s="413"/>
      <c r="BA13" s="2063" t="str">
        <f t="shared" si="9"/>
        <v>#NAME?</v>
      </c>
      <c r="BB13" s="1054" t="str">
        <f t="shared" si="10"/>
        <v>#NAME?</v>
      </c>
      <c r="BC13" s="2033" t="str">
        <f t="shared" si="11"/>
        <v>#NAME?</v>
      </c>
      <c r="BD13" s="1131" t="str">
        <f t="shared" si="12"/>
        <v>#NAME?</v>
      </c>
      <c r="BE13" s="1230"/>
      <c r="BF13" s="1094" t="s">
        <v>3823</v>
      </c>
      <c r="BG13" s="413"/>
      <c r="BH13" s="413"/>
      <c r="BI13" s="2063" t="str">
        <f t="shared" si="13"/>
        <v>#NAME?</v>
      </c>
      <c r="BJ13" s="1054" t="str">
        <f t="shared" si="14"/>
        <v>#NAME?</v>
      </c>
      <c r="BK13" s="2033" t="str">
        <f t="shared" si="15"/>
        <v>#NAME?</v>
      </c>
      <c r="BL13" s="1131" t="str">
        <f t="shared" si="16"/>
        <v>#NAME?</v>
      </c>
      <c r="BM13" s="290"/>
      <c r="BO13" s="157"/>
      <c r="BR13" s="1094" t="s">
        <v>3568</v>
      </c>
      <c r="BS13" s="413"/>
      <c r="BT13" s="413"/>
      <c r="BU13" s="2063" t="str">
        <f t="shared" si="17"/>
        <v>#NAME?</v>
      </c>
      <c r="BV13" s="1054" t="str">
        <f t="shared" si="18"/>
        <v>#NAME?</v>
      </c>
      <c r="BW13" s="2033" t="str">
        <f t="shared" si="19"/>
        <v>#NAME?</v>
      </c>
      <c r="BX13" s="1131" t="str">
        <f t="shared" si="20"/>
        <v>#NAME?</v>
      </c>
      <c r="BY13" s="1230"/>
      <c r="BZ13" s="1094" t="s">
        <v>3269</v>
      </c>
      <c r="CA13" s="413"/>
      <c r="CB13" s="413"/>
      <c r="CC13" s="2063" t="str">
        <f t="shared" si="21"/>
        <v>#NAME?</v>
      </c>
      <c r="CD13" s="1054" t="str">
        <f t="shared" si="22"/>
        <v>#NAME?</v>
      </c>
      <c r="CE13" s="2033" t="str">
        <f t="shared" si="23"/>
        <v>#NAME?</v>
      </c>
      <c r="CF13" s="1131" t="str">
        <f t="shared" si="24"/>
        <v>#NAME?</v>
      </c>
      <c r="CG13" s="290"/>
      <c r="CI13" s="157"/>
      <c r="CL13" s="1094" t="s">
        <v>4023</v>
      </c>
      <c r="CM13" s="413"/>
      <c r="CN13" s="413"/>
      <c r="CO13" s="2063" t="str">
        <f t="shared" si="25"/>
        <v>#NAME?</v>
      </c>
      <c r="CP13" s="1054" t="str">
        <f t="shared" si="26"/>
        <v>#NAME?</v>
      </c>
      <c r="CQ13" s="2033" t="str">
        <f t="shared" si="27"/>
        <v>#NAME?</v>
      </c>
      <c r="CR13" s="1131" t="str">
        <f t="shared" si="28"/>
        <v>#NAME?</v>
      </c>
      <c r="CS13" s="1230"/>
      <c r="CT13" s="1094" t="s">
        <v>1225</v>
      </c>
      <c r="CU13" s="413"/>
      <c r="CV13" s="413"/>
      <c r="CW13" s="2063" t="str">
        <f t="shared" si="29"/>
        <v>#NAME?</v>
      </c>
      <c r="CX13" s="1054" t="str">
        <f t="shared" si="30"/>
        <v>#NAME?</v>
      </c>
      <c r="CY13" s="2033" t="str">
        <f t="shared" si="31"/>
        <v>#NAME?</v>
      </c>
      <c r="CZ13" s="1131" t="str">
        <f t="shared" si="32"/>
        <v>#NAME?</v>
      </c>
      <c r="DA13" s="290"/>
      <c r="DC13" s="157"/>
      <c r="DF13" s="1094" t="s">
        <v>1655</v>
      </c>
      <c r="DG13" s="413"/>
      <c r="DH13" s="413"/>
      <c r="DI13" s="2063" t="str">
        <f t="shared" si="33"/>
        <v>#NAME?</v>
      </c>
      <c r="DJ13" s="1054" t="str">
        <f t="shared" si="34"/>
        <v>#NAME?</v>
      </c>
      <c r="DK13" s="2033" t="str">
        <f t="shared" si="35"/>
        <v>#NAME?</v>
      </c>
      <c r="DL13" s="1131" t="str">
        <f t="shared" si="36"/>
        <v>#NAME?</v>
      </c>
      <c r="DM13" s="1230"/>
      <c r="DN13" s="1094" t="s">
        <v>3517</v>
      </c>
      <c r="DO13" s="413"/>
      <c r="DP13" s="413"/>
      <c r="DQ13" s="2063" t="str">
        <f t="shared" si="37"/>
        <v>#NAME?</v>
      </c>
      <c r="DR13" s="1054" t="str">
        <f t="shared" si="38"/>
        <v>#NAME?</v>
      </c>
      <c r="DS13" s="2033" t="str">
        <f t="shared" si="39"/>
        <v>#NAME?</v>
      </c>
      <c r="DT13" s="1131" t="str">
        <f t="shared" si="40"/>
        <v>#NAME?</v>
      </c>
      <c r="DU13" s="290"/>
      <c r="DW13" s="157"/>
      <c r="DZ13" s="1094" t="s">
        <v>2740</v>
      </c>
      <c r="EA13" s="413"/>
      <c r="EB13" s="413"/>
      <c r="EC13" s="2063" t="str">
        <f t="shared" si="41"/>
        <v>#NAME?</v>
      </c>
      <c r="ED13" s="1054" t="str">
        <f t="shared" si="42"/>
        <v>#NAME?</v>
      </c>
      <c r="EE13" s="2033" t="str">
        <f t="shared" si="43"/>
        <v>#NAME?</v>
      </c>
      <c r="EF13" s="1131" t="str">
        <f t="shared" si="44"/>
        <v>#NAME?</v>
      </c>
      <c r="EG13" s="1230"/>
      <c r="EH13" s="1094" t="s">
        <v>2541</v>
      </c>
      <c r="EI13" s="413"/>
      <c r="EJ13" s="413"/>
      <c r="EK13" s="2063" t="str">
        <f t="shared" si="45"/>
        <v>#NAME?</v>
      </c>
      <c r="EL13" s="1054" t="str">
        <f t="shared" si="46"/>
        <v>#NAME?</v>
      </c>
      <c r="EM13" s="2033" t="str">
        <f t="shared" si="47"/>
        <v>#NAME?</v>
      </c>
      <c r="EN13" s="1131" t="str">
        <f t="shared" si="48"/>
        <v>#NAME?</v>
      </c>
      <c r="EO13" s="290"/>
      <c r="EQ13" s="157"/>
      <c r="ET13" s="1094" t="s">
        <v>4054</v>
      </c>
      <c r="EU13" s="413"/>
      <c r="EV13" s="413"/>
      <c r="EW13" s="2063" t="str">
        <f t="shared" si="49"/>
        <v>#NAME?</v>
      </c>
      <c r="EX13" s="1054" t="str">
        <f t="shared" si="50"/>
        <v>#NAME?</v>
      </c>
      <c r="EY13" s="2033" t="str">
        <f t="shared" si="51"/>
        <v>#NAME?</v>
      </c>
      <c r="EZ13" s="1131" t="str">
        <f t="shared" si="52"/>
        <v>#NAME?</v>
      </c>
      <c r="FA13" s="1230"/>
      <c r="FB13" s="1094" t="s">
        <v>3894</v>
      </c>
      <c r="FC13" s="413"/>
      <c r="FD13" s="413"/>
      <c r="FE13" s="2063" t="str">
        <f t="shared" si="53"/>
        <v>#NAME?</v>
      </c>
      <c r="FF13" s="1054" t="str">
        <f t="shared" si="54"/>
        <v>#NAME?</v>
      </c>
      <c r="FG13" s="2033" t="str">
        <f t="shared" si="55"/>
        <v>#NAME?</v>
      </c>
      <c r="FH13" s="1131" t="str">
        <f t="shared" si="56"/>
        <v>#NAME?</v>
      </c>
      <c r="FI13" s="290"/>
      <c r="FK13" s="157"/>
      <c r="FN13" s="1094" t="s">
        <v>3530</v>
      </c>
      <c r="FO13" s="413"/>
      <c r="FP13" s="413"/>
      <c r="FQ13" s="2063" t="str">
        <f t="shared" si="57"/>
        <v>#NAME?</v>
      </c>
      <c r="FR13" s="1054" t="str">
        <f t="shared" si="58"/>
        <v>#NAME?</v>
      </c>
      <c r="FS13" s="2033" t="str">
        <f t="shared" si="59"/>
        <v>#NAME?</v>
      </c>
      <c r="FT13" s="1131" t="str">
        <f t="shared" si="60"/>
        <v>#NAME?</v>
      </c>
      <c r="FU13" s="1230"/>
      <c r="FV13" s="1094" t="s">
        <v>3530</v>
      </c>
      <c r="FW13" s="413"/>
      <c r="FX13" s="413"/>
      <c r="FY13" s="2063" t="str">
        <f t="shared" si="61"/>
        <v>#NAME?</v>
      </c>
      <c r="FZ13" s="1054" t="str">
        <f t="shared" si="62"/>
        <v>#NAME?</v>
      </c>
      <c r="GA13" s="2033" t="str">
        <f t="shared" si="63"/>
        <v>#NAME?</v>
      </c>
      <c r="GB13" s="1131" t="str">
        <f t="shared" si="64"/>
        <v>#NAME?</v>
      </c>
      <c r="GC13" s="290"/>
      <c r="GE13" s="157"/>
      <c r="GH13" s="1094" t="s">
        <v>4008</v>
      </c>
      <c r="GI13" s="413"/>
      <c r="GJ13" s="413"/>
      <c r="GK13" s="2063" t="str">
        <f t="shared" si="65"/>
        <v>#NAME?</v>
      </c>
      <c r="GL13" s="1054" t="str">
        <f t="shared" si="66"/>
        <v>#NAME?</v>
      </c>
      <c r="GM13" s="2033" t="str">
        <f t="shared" si="67"/>
        <v>#NAME?</v>
      </c>
      <c r="GN13" s="1131" t="str">
        <f t="shared" si="68"/>
        <v>#NAME?</v>
      </c>
      <c r="GO13" s="1230"/>
      <c r="GP13" s="1094" t="s">
        <v>2732</v>
      </c>
      <c r="GQ13" s="413"/>
      <c r="GR13" s="413"/>
      <c r="GS13" s="2063" t="str">
        <f t="shared" si="69"/>
        <v>#NAME?</v>
      </c>
      <c r="GT13" s="1054" t="str">
        <f t="shared" si="70"/>
        <v>#NAME?</v>
      </c>
      <c r="GU13" s="2033" t="str">
        <f t="shared" si="71"/>
        <v>#NAME?</v>
      </c>
      <c r="GV13" s="1131" t="str">
        <f t="shared" si="72"/>
        <v>#NAME?</v>
      </c>
      <c r="GW13" s="290"/>
      <c r="GY13" s="157"/>
      <c r="HB13" s="1094" t="s">
        <v>1913</v>
      </c>
      <c r="HC13" s="413"/>
      <c r="HD13" s="413"/>
      <c r="HE13" s="2063" t="str">
        <f t="shared" si="73"/>
        <v>#NAME?</v>
      </c>
      <c r="HF13" s="1054" t="str">
        <f t="shared" si="74"/>
        <v>#NAME?</v>
      </c>
      <c r="HG13" s="2033" t="str">
        <f t="shared" si="75"/>
        <v>#NAME?</v>
      </c>
      <c r="HH13" s="1131" t="str">
        <f t="shared" si="76"/>
        <v>#NAME?</v>
      </c>
      <c r="HI13" s="1230"/>
      <c r="HJ13" s="1094" t="s">
        <v>2095</v>
      </c>
      <c r="HK13" s="413"/>
      <c r="HL13" s="413"/>
      <c r="HM13" s="2063" t="str">
        <f t="shared" si="77"/>
        <v>#NAME?</v>
      </c>
      <c r="HN13" s="1054" t="str">
        <f t="shared" si="78"/>
        <v>#NAME?</v>
      </c>
      <c r="HO13" s="2033" t="str">
        <f t="shared" si="79"/>
        <v>#NAME?</v>
      </c>
      <c r="HP13" s="1131" t="str">
        <f t="shared" si="80"/>
        <v>#NAME?</v>
      </c>
      <c r="HQ13" s="290"/>
      <c r="HS13" s="157"/>
      <c r="HV13" s="1094" t="s">
        <v>4054</v>
      </c>
      <c r="HW13" s="413"/>
      <c r="HX13" s="413"/>
      <c r="HY13" s="2063" t="str">
        <f t="shared" si="81"/>
        <v>#NAME?</v>
      </c>
      <c r="HZ13" s="1054" t="str">
        <f t="shared" si="82"/>
        <v>#NAME?</v>
      </c>
      <c r="IA13" s="2033" t="str">
        <f t="shared" si="83"/>
        <v>#NAME?</v>
      </c>
      <c r="IB13" s="1131" t="str">
        <f t="shared" si="84"/>
        <v>#NAME?</v>
      </c>
      <c r="IC13" s="1230"/>
      <c r="ID13" s="1094" t="s">
        <v>4054</v>
      </c>
      <c r="IE13" s="413"/>
      <c r="IF13" s="413"/>
      <c r="IG13" s="2063" t="str">
        <f t="shared" si="85"/>
        <v>#NAME?</v>
      </c>
      <c r="IH13" s="1054" t="str">
        <f t="shared" si="86"/>
        <v>#NAME?</v>
      </c>
      <c r="II13" s="2033" t="str">
        <f t="shared" si="87"/>
        <v>#NAME?</v>
      </c>
      <c r="IJ13" s="1131" t="str">
        <f t="shared" si="88"/>
        <v>#NAME?</v>
      </c>
      <c r="IK13" s="1230"/>
      <c r="IL13" s="1094" t="s">
        <v>4054</v>
      </c>
      <c r="IM13" s="413"/>
      <c r="IN13" s="413"/>
      <c r="IO13" s="2063" t="str">
        <f t="shared" si="89"/>
        <v>#NAME?</v>
      </c>
      <c r="IP13" s="1054" t="str">
        <f t="shared" si="90"/>
        <v>#NAME?</v>
      </c>
      <c r="IQ13" s="2033" t="str">
        <f t="shared" si="91"/>
        <v>#NAME?</v>
      </c>
      <c r="IR13" s="1131" t="str">
        <f t="shared" si="92"/>
        <v>#NAME?</v>
      </c>
      <c r="IS13" s="290"/>
      <c r="IU13" s="157"/>
      <c r="IX13" s="1094" t="s">
        <v>2432</v>
      </c>
      <c r="IY13" s="413"/>
      <c r="IZ13" s="413"/>
      <c r="JA13" s="2063" t="str">
        <f t="shared" si="93"/>
        <v>#NAME?</v>
      </c>
      <c r="JB13" s="1054" t="str">
        <f t="shared" si="94"/>
        <v>#NAME?</v>
      </c>
      <c r="JC13" s="2033" t="str">
        <f t="shared" si="95"/>
        <v>#NAME?</v>
      </c>
      <c r="JD13" s="1131" t="str">
        <f t="shared" si="96"/>
        <v>#NAME?</v>
      </c>
      <c r="JE13" s="1230"/>
      <c r="JF13" s="1094" t="s">
        <v>2872</v>
      </c>
      <c r="JG13" s="413"/>
      <c r="JH13" s="413"/>
      <c r="JI13" s="2063" t="str">
        <f t="shared" si="97"/>
        <v>#NAME?</v>
      </c>
      <c r="JJ13" s="1054" t="str">
        <f t="shared" si="98"/>
        <v>#NAME?</v>
      </c>
      <c r="JK13" s="2033" t="str">
        <f t="shared" si="99"/>
        <v>#NAME?</v>
      </c>
      <c r="JL13" s="1131" t="str">
        <f t="shared" si="100"/>
        <v>#NAME?</v>
      </c>
      <c r="JM13" s="1230"/>
      <c r="JN13" s="1094" t="s">
        <v>2872</v>
      </c>
      <c r="JO13" s="413"/>
      <c r="JP13" s="413"/>
      <c r="JQ13" s="2063" t="str">
        <f t="shared" si="101"/>
        <v>#NAME?</v>
      </c>
      <c r="JR13" s="1054" t="str">
        <f t="shared" si="102"/>
        <v>#NAME?</v>
      </c>
      <c r="JS13" s="2033" t="str">
        <f t="shared" si="103"/>
        <v>#NAME?</v>
      </c>
      <c r="JT13" s="1131" t="str">
        <f t="shared" si="104"/>
        <v>#NAME?</v>
      </c>
      <c r="JU13" s="290"/>
      <c r="JW13" s="157"/>
      <c r="JZ13" s="1094" t="s">
        <v>4137</v>
      </c>
      <c r="KA13" s="413"/>
      <c r="KB13" s="413"/>
      <c r="KC13" s="2063" t="str">
        <f t="shared" si="105"/>
        <v>#NAME?</v>
      </c>
      <c r="KD13" s="1054" t="str">
        <f t="shared" si="106"/>
        <v>#NAME?</v>
      </c>
      <c r="KE13" s="2033" t="str">
        <f t="shared" si="107"/>
        <v>#NAME?</v>
      </c>
      <c r="KF13" s="1131" t="str">
        <f t="shared" si="108"/>
        <v>#NAME?</v>
      </c>
      <c r="KG13" s="1230"/>
      <c r="KH13" s="1094"/>
      <c r="KI13" s="413"/>
      <c r="KJ13" s="413"/>
      <c r="KK13" s="2063" t="str">
        <f t="shared" si="109"/>
        <v>#NAME?</v>
      </c>
      <c r="KL13" s="1054" t="str">
        <f t="shared" si="110"/>
        <v>#NAME?</v>
      </c>
      <c r="KM13" s="2033" t="str">
        <f t="shared" si="111"/>
        <v>#NAME?</v>
      </c>
      <c r="KN13" s="1131" t="str">
        <f t="shared" si="112"/>
        <v>#NAME?</v>
      </c>
      <c r="KO13" s="290"/>
      <c r="KQ13" s="157"/>
      <c r="KT13" s="1094" t="s">
        <v>2872</v>
      </c>
      <c r="KU13" s="413"/>
      <c r="KV13" s="413"/>
      <c r="KW13" s="2063" t="str">
        <f t="shared" si="113"/>
        <v>#NAME?</v>
      </c>
      <c r="KX13" s="1054" t="str">
        <f t="shared" si="114"/>
        <v>#NAME?</v>
      </c>
      <c r="KY13" s="2033" t="str">
        <f t="shared" si="115"/>
        <v>#NAME?</v>
      </c>
      <c r="KZ13" s="1131" t="str">
        <f t="shared" si="116"/>
        <v>#NAME?</v>
      </c>
      <c r="LA13" s="1230"/>
      <c r="LB13" s="1094" t="s">
        <v>3497</v>
      </c>
      <c r="LC13" s="413"/>
      <c r="LD13" s="413"/>
      <c r="LE13" s="2063" t="str">
        <f t="shared" si="117"/>
        <v>#NAME?</v>
      </c>
      <c r="LF13" s="1054" t="str">
        <f t="shared" si="118"/>
        <v>#NAME?</v>
      </c>
      <c r="LG13" s="2033" t="str">
        <f t="shared" si="119"/>
        <v>#NAME?</v>
      </c>
      <c r="LH13" s="1131" t="str">
        <f t="shared" si="120"/>
        <v>#NAME?</v>
      </c>
      <c r="LI13" s="290"/>
    </row>
    <row r="14" ht="15.75" customHeight="1">
      <c r="A14" s="1238"/>
      <c r="B14" s="2096" t="s">
        <v>10658</v>
      </c>
      <c r="C14" s="1230"/>
      <c r="D14" s="1254"/>
      <c r="E14" s="1230"/>
      <c r="F14" s="2112"/>
      <c r="G14" s="1230"/>
      <c r="H14" s="1834" t="s">
        <v>10659</v>
      </c>
      <c r="I14" s="2133"/>
      <c r="J14" s="1230"/>
      <c r="K14" s="2134" t="s">
        <v>4907</v>
      </c>
      <c r="L14" s="2135"/>
      <c r="M14" s="982"/>
      <c r="N14" s="2136"/>
      <c r="O14" s="2137" t="s">
        <v>10621</v>
      </c>
      <c r="P14" s="2135"/>
      <c r="Q14" s="982"/>
      <c r="R14" s="2135"/>
      <c r="S14" s="982"/>
      <c r="T14" s="2136"/>
      <c r="U14" s="2137" t="s">
        <v>10621</v>
      </c>
      <c r="V14" s="1880"/>
      <c r="W14" s="2127" t="s">
        <v>10660</v>
      </c>
      <c r="X14" s="1880"/>
      <c r="Y14" s="2127" t="s">
        <v>10660</v>
      </c>
      <c r="AA14" s="2138"/>
      <c r="AB14" s="1228"/>
      <c r="AC14" s="1228"/>
      <c r="AD14" s="1228"/>
      <c r="AE14" s="1228"/>
      <c r="AF14" s="1228"/>
      <c r="AG14" s="1228"/>
      <c r="AH14" s="1228"/>
      <c r="AI14" s="1228"/>
      <c r="AJ14" s="1228"/>
      <c r="AK14" s="1634"/>
      <c r="AL14" s="1228"/>
      <c r="AM14" s="1228"/>
      <c r="AN14" s="1228"/>
      <c r="AO14" s="1228"/>
      <c r="AP14" s="1228"/>
      <c r="AQ14" s="1228"/>
      <c r="AR14" s="1228"/>
      <c r="AS14" s="2139"/>
      <c r="AU14" s="2138"/>
      <c r="AV14" s="1228"/>
      <c r="AW14" s="1228"/>
      <c r="AX14" s="1228"/>
      <c r="AY14" s="1228"/>
      <c r="AZ14" s="1228"/>
      <c r="BA14" s="1228"/>
      <c r="BB14" s="1228"/>
      <c r="BC14" s="1228"/>
      <c r="BD14" s="1228"/>
      <c r="BE14" s="1634"/>
      <c r="BF14" s="1228"/>
      <c r="BG14" s="1228"/>
      <c r="BH14" s="1228"/>
      <c r="BI14" s="1228"/>
      <c r="BJ14" s="1228"/>
      <c r="BK14" s="1228"/>
      <c r="BL14" s="1228"/>
      <c r="BM14" s="2139"/>
      <c r="BO14" s="2138"/>
      <c r="BP14" s="1228"/>
      <c r="BQ14" s="1228"/>
      <c r="BR14" s="1228"/>
      <c r="BS14" s="1228"/>
      <c r="BT14" s="1228"/>
      <c r="BU14" s="1228"/>
      <c r="BV14" s="1228"/>
      <c r="BW14" s="1228"/>
      <c r="BX14" s="1228"/>
      <c r="BY14" s="1634"/>
      <c r="BZ14" s="1228"/>
      <c r="CA14" s="1228"/>
      <c r="CB14" s="1228"/>
      <c r="CC14" s="1228"/>
      <c r="CD14" s="1228"/>
      <c r="CE14" s="1228"/>
      <c r="CF14" s="1228"/>
      <c r="CG14" s="2139"/>
      <c r="CI14" s="2138"/>
      <c r="CJ14" s="1228"/>
      <c r="CK14" s="1228"/>
      <c r="CL14" s="1228"/>
      <c r="CM14" s="1228"/>
      <c r="CN14" s="1228"/>
      <c r="CO14" s="1228"/>
      <c r="CP14" s="1228"/>
      <c r="CQ14" s="1228"/>
      <c r="CR14" s="1228"/>
      <c r="CS14" s="1634"/>
      <c r="CT14" s="1228"/>
      <c r="CU14" s="1228"/>
      <c r="CV14" s="1228"/>
      <c r="CW14" s="1228"/>
      <c r="CX14" s="1228"/>
      <c r="CY14" s="1228"/>
      <c r="CZ14" s="1228"/>
      <c r="DA14" s="2139"/>
      <c r="DC14" s="2138"/>
      <c r="DD14" s="1228"/>
      <c r="DE14" s="1228"/>
      <c r="DF14" s="1228"/>
      <c r="DG14" s="1228"/>
      <c r="DH14" s="1228"/>
      <c r="DI14" s="1228"/>
      <c r="DJ14" s="1228"/>
      <c r="DK14" s="1228"/>
      <c r="DL14" s="1228"/>
      <c r="DM14" s="1634"/>
      <c r="DN14" s="1228"/>
      <c r="DO14" s="1228"/>
      <c r="DP14" s="1228"/>
      <c r="DQ14" s="1228"/>
      <c r="DR14" s="1228"/>
      <c r="DS14" s="1228"/>
      <c r="DT14" s="1228"/>
      <c r="DU14" s="2139"/>
      <c r="DW14" s="2138"/>
      <c r="DX14" s="1228"/>
      <c r="DY14" s="1228"/>
      <c r="DZ14" s="1228"/>
      <c r="EA14" s="1228"/>
      <c r="EB14" s="1228"/>
      <c r="EC14" s="1228"/>
      <c r="ED14" s="1228"/>
      <c r="EE14" s="1228"/>
      <c r="EF14" s="1228"/>
      <c r="EG14" s="1634"/>
      <c r="EH14" s="1228"/>
      <c r="EI14" s="1228"/>
      <c r="EJ14" s="1228"/>
      <c r="EK14" s="1228"/>
      <c r="EL14" s="1228"/>
      <c r="EM14" s="1228"/>
      <c r="EN14" s="1228"/>
      <c r="EO14" s="2139"/>
      <c r="EQ14" s="2138"/>
      <c r="ER14" s="1228"/>
      <c r="ES14" s="1228"/>
      <c r="ET14" s="1228"/>
      <c r="EU14" s="1228"/>
      <c r="EV14" s="1228"/>
      <c r="EW14" s="1228"/>
      <c r="EX14" s="1228"/>
      <c r="EY14" s="1228"/>
      <c r="EZ14" s="1228"/>
      <c r="FA14" s="1634"/>
      <c r="FB14" s="1228"/>
      <c r="FC14" s="1228"/>
      <c r="FD14" s="1228"/>
      <c r="FE14" s="1228"/>
      <c r="FF14" s="1228"/>
      <c r="FG14" s="1228"/>
      <c r="FH14" s="1228"/>
      <c r="FI14" s="2139"/>
      <c r="FK14" s="2138"/>
      <c r="FL14" s="1228"/>
      <c r="FM14" s="1228"/>
      <c r="FN14" s="1228"/>
      <c r="FO14" s="1228"/>
      <c r="FP14" s="1228"/>
      <c r="FQ14" s="1228"/>
      <c r="FR14" s="1228"/>
      <c r="FS14" s="1228"/>
      <c r="FT14" s="1228"/>
      <c r="FU14" s="1634"/>
      <c r="FV14" s="1228"/>
      <c r="FW14" s="1228"/>
      <c r="FX14" s="1228"/>
      <c r="FY14" s="1228"/>
      <c r="FZ14" s="1228"/>
      <c r="GA14" s="1228"/>
      <c r="GB14" s="1228"/>
      <c r="GC14" s="2139"/>
      <c r="GE14" s="2138"/>
      <c r="GF14" s="1228"/>
      <c r="GG14" s="1228"/>
      <c r="GH14" s="1228"/>
      <c r="GI14" s="1228"/>
      <c r="GJ14" s="1228"/>
      <c r="GK14" s="1228"/>
      <c r="GL14" s="1228"/>
      <c r="GM14" s="1228"/>
      <c r="GN14" s="1228"/>
      <c r="GO14" s="1634"/>
      <c r="GP14" s="1228"/>
      <c r="GQ14" s="1228"/>
      <c r="GR14" s="1228"/>
      <c r="GS14" s="1228"/>
      <c r="GT14" s="1228"/>
      <c r="GU14" s="1228"/>
      <c r="GV14" s="1228"/>
      <c r="GW14" s="2139"/>
      <c r="GY14" s="2138"/>
      <c r="GZ14" s="1228"/>
      <c r="HA14" s="1228"/>
      <c r="HB14" s="1228"/>
      <c r="HC14" s="1228"/>
      <c r="HD14" s="1228"/>
      <c r="HE14" s="1228"/>
      <c r="HF14" s="1228"/>
      <c r="HG14" s="1228"/>
      <c r="HH14" s="1228"/>
      <c r="HI14" s="1634"/>
      <c r="HJ14" s="1228"/>
      <c r="HK14" s="1228"/>
      <c r="HL14" s="1228"/>
      <c r="HM14" s="1228"/>
      <c r="HN14" s="1228"/>
      <c r="HO14" s="1228"/>
      <c r="HP14" s="1228"/>
      <c r="HQ14" s="2139"/>
      <c r="HS14" s="2138"/>
      <c r="HT14" s="1228"/>
      <c r="HU14" s="1228"/>
      <c r="HV14" s="1228"/>
      <c r="HW14" s="1228"/>
      <c r="HX14" s="1228"/>
      <c r="HY14" s="1228"/>
      <c r="HZ14" s="1228"/>
      <c r="IA14" s="1228"/>
      <c r="IB14" s="1228"/>
      <c r="IC14" s="1634"/>
      <c r="ID14" s="1634"/>
      <c r="IE14" s="1634"/>
      <c r="IF14" s="1634"/>
      <c r="IG14" s="1634"/>
      <c r="IH14" s="1634"/>
      <c r="II14" s="1634"/>
      <c r="IJ14" s="1634"/>
      <c r="IK14" s="1634"/>
      <c r="IL14" s="1228"/>
      <c r="IM14" s="1228"/>
      <c r="IN14" s="1228"/>
      <c r="IO14" s="1228"/>
      <c r="IP14" s="1228"/>
      <c r="IQ14" s="1228"/>
      <c r="IR14" s="1228"/>
      <c r="IS14" s="2139"/>
      <c r="IU14" s="2138"/>
      <c r="IV14" s="1228"/>
      <c r="IW14" s="1228"/>
      <c r="IX14" s="1228"/>
      <c r="IY14" s="1228"/>
      <c r="IZ14" s="1228"/>
      <c r="JA14" s="1228"/>
      <c r="JB14" s="1228"/>
      <c r="JC14" s="1228"/>
      <c r="JD14" s="1228"/>
      <c r="JE14" s="1634"/>
      <c r="JF14" s="1634"/>
      <c r="JG14" s="1634"/>
      <c r="JH14" s="1634"/>
      <c r="JI14" s="1634"/>
      <c r="JJ14" s="1634"/>
      <c r="JK14" s="1634"/>
      <c r="JL14" s="1634"/>
      <c r="JM14" s="1634"/>
      <c r="JN14" s="1228"/>
      <c r="JO14" s="1228"/>
      <c r="JP14" s="1228"/>
      <c r="JQ14" s="1228"/>
      <c r="JR14" s="1228"/>
      <c r="JS14" s="1228"/>
      <c r="JT14" s="1228"/>
      <c r="JU14" s="2139"/>
      <c r="JW14" s="2138"/>
      <c r="JX14" s="1228"/>
      <c r="JY14" s="1228"/>
      <c r="JZ14" s="1228"/>
      <c r="KA14" s="1228"/>
      <c r="KB14" s="1228"/>
      <c r="KC14" s="1228"/>
      <c r="KD14" s="1228"/>
      <c r="KE14" s="1228"/>
      <c r="KF14" s="1228"/>
      <c r="KG14" s="1634"/>
      <c r="KH14" s="1228"/>
      <c r="KI14" s="1228"/>
      <c r="KJ14" s="1228"/>
      <c r="KK14" s="1228"/>
      <c r="KL14" s="1228"/>
      <c r="KM14" s="1228"/>
      <c r="KN14" s="1228"/>
      <c r="KO14" s="2139"/>
      <c r="KQ14" s="2138"/>
      <c r="KR14" s="1228"/>
      <c r="KS14" s="1228"/>
      <c r="KT14" s="1228"/>
      <c r="KU14" s="1228"/>
      <c r="KV14" s="1228"/>
      <c r="KW14" s="1228"/>
      <c r="KX14" s="1228"/>
      <c r="KY14" s="1228"/>
      <c r="KZ14" s="1228"/>
      <c r="LA14" s="1634"/>
      <c r="LB14" s="1228"/>
      <c r="LC14" s="1228"/>
      <c r="LD14" s="1228"/>
      <c r="LE14" s="1228"/>
      <c r="LF14" s="1228"/>
      <c r="LG14" s="1228"/>
      <c r="LH14" s="1228"/>
      <c r="LI14" s="2139"/>
    </row>
    <row r="15" ht="15.75" customHeight="1">
      <c r="A15" s="1238"/>
      <c r="B15" s="2097" t="s">
        <v>10661</v>
      </c>
      <c r="C15" s="1230"/>
      <c r="D15" s="1230"/>
      <c r="E15" s="428"/>
      <c r="F15" s="2119" t="s">
        <v>10662</v>
      </c>
      <c r="G15" s="1230"/>
      <c r="H15" s="2140" t="s">
        <v>10663</v>
      </c>
      <c r="I15" s="2141"/>
      <c r="J15" s="1230"/>
      <c r="K15" s="2112"/>
      <c r="L15" s="1860"/>
      <c r="M15" s="30"/>
      <c r="N15" s="2120"/>
      <c r="O15" s="2121" t="s">
        <v>10637</v>
      </c>
      <c r="P15" s="1860"/>
      <c r="Q15" s="30"/>
      <c r="R15" s="1860"/>
      <c r="S15" s="30"/>
      <c r="T15" s="2120"/>
      <c r="U15" s="2121" t="s">
        <v>10637</v>
      </c>
      <c r="V15" s="1885"/>
      <c r="W15" s="1886"/>
      <c r="X15" s="1885"/>
      <c r="Y15" s="1886"/>
    </row>
    <row r="16" ht="15.75" customHeight="1">
      <c r="A16" s="1238"/>
      <c r="B16" s="1230"/>
      <c r="C16" s="1230"/>
      <c r="D16" s="1218" t="s">
        <v>10664</v>
      </c>
      <c r="E16" s="428"/>
      <c r="F16" s="2112"/>
      <c r="G16" s="1230"/>
      <c r="H16" s="1909" t="s">
        <v>10665</v>
      </c>
      <c r="I16" s="30"/>
      <c r="J16" s="1230"/>
      <c r="K16" s="2122" t="s">
        <v>5398</v>
      </c>
      <c r="L16" s="2123"/>
      <c r="M16" s="1154"/>
      <c r="N16" s="1863"/>
      <c r="O16" s="2124" t="s">
        <v>10651</v>
      </c>
      <c r="P16" s="2123"/>
      <c r="Q16" s="1154"/>
      <c r="R16" s="2123"/>
      <c r="S16" s="1154"/>
      <c r="T16" s="1863"/>
      <c r="U16" s="2124" t="s">
        <v>10651</v>
      </c>
      <c r="V16" s="2123"/>
      <c r="W16" s="1154"/>
      <c r="X16" s="2123"/>
      <c r="Y16" s="1154"/>
      <c r="AA16" s="2098" t="str">
        <f>image("https://archives.bulbagarden.net/media/upload/c/c2/Spr_DP_Reporter.png",3)</f>
        <v/>
      </c>
      <c r="AB16" s="2099" t="str">
        <f>image("https://archives.bulbagarden.net/media/upload/3/36/Reporter_OD.png", 1)</f>
        <v/>
      </c>
      <c r="AC16" s="2099"/>
      <c r="AD16" s="2100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48"/>
      <c r="AU16" s="2098" t="str">
        <f>image("https://archives.bulbagarden.net/media/upload/c/c2/Spr_DP_Reporter.png",3)</f>
        <v/>
      </c>
      <c r="AV16" s="2099" t="str">
        <f>image("https://archives.bulbagarden.net/media/upload/3/36/Reporter_OD.png", 1)</f>
        <v/>
      </c>
      <c r="AW16" s="2099"/>
      <c r="AX16" s="2100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48"/>
      <c r="BO16" s="2098" t="str">
        <f>image("https://archives.bulbagarden.net/media/upload/6/65/Spr_DP_Cameraman.png",3)</f>
        <v/>
      </c>
      <c r="BP16" s="2099" t="str">
        <f>image("https://archives.bulbagarden.net/media/upload/8/80/Cameraman_OD.png", 1)</f>
        <v/>
      </c>
      <c r="BQ16" s="2099"/>
      <c r="BR16" s="2100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48"/>
      <c r="CI16" s="2098" t="str">
        <f>image("https://archives.bulbagarden.net/media/upload/6/65/Spr_DP_Cameraman.png",3)</f>
        <v/>
      </c>
      <c r="CJ16" s="2101" t="str">
        <f>image("https://archives.bulbagarden.net/media/upload/8/80/Cameraman_OD.png", 1)</f>
        <v/>
      </c>
      <c r="CK16" s="2099"/>
      <c r="CL16" s="2100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48"/>
      <c r="DC16" s="2098" t="str">
        <f>image("https://archives.bulbagarden.net/media/upload/1/12/Spr_DP_Interviewers.png",3)</f>
        <v/>
      </c>
      <c r="DD16" s="2101" t="str">
        <f>image("https://archives.bulbagarden.net/media/upload/3/36/Reporter_OD.png", 1)</f>
        <v/>
      </c>
      <c r="DE16" s="2099"/>
      <c r="DF16" s="2100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48"/>
      <c r="DW16" s="2098" t="str">
        <f>image("https://archives.bulbagarden.net/media/upload/1/12/Spr_DP_Interviewers.png",3)</f>
        <v/>
      </c>
      <c r="DX16" s="2101" t="str">
        <f>image("https://archives.bulbagarden.net/media/upload/3/36/Reporter_OD.png", 1)</f>
        <v/>
      </c>
      <c r="DY16" s="2099"/>
      <c r="DZ16" s="2100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48"/>
      <c r="EQ16" s="2102" t="str">
        <f>image("https://archives.bulbagarden.net/media/upload/c/cc/Spr_DP_Idol.png",3)</f>
        <v/>
      </c>
      <c r="ER16" s="2101" t="str">
        <f>image("https://archives.bulbagarden.net/media/upload/1/1a/Idol_OD.png", 1)</f>
        <v/>
      </c>
      <c r="ES16" s="2099"/>
      <c r="ET16" s="2100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48"/>
      <c r="FK16" s="2102" t="str">
        <f>image("https://archives.bulbagarden.net/media/upload/c/cc/Spr_DP_Idol.png",3)</f>
        <v/>
      </c>
      <c r="FL16" s="2101" t="str">
        <f>image("https://archives.bulbagarden.net/media/upload/1/1a/Idol_OD.png", 1)</f>
        <v/>
      </c>
      <c r="FM16" s="2099"/>
      <c r="FN16" s="2100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48"/>
      <c r="GE16" s="2098" t="str">
        <f>image("https://archives.bulbagarden.net/media/upload/8/8c/Spr_DP_Guitarist.png",3)</f>
        <v/>
      </c>
      <c r="GF16" s="2101" t="str">
        <f>image("https://archives.bulbagarden.net/media/upload/6/65/Guitarist_IV_OD.png", 1)</f>
        <v/>
      </c>
      <c r="GG16" s="2099"/>
      <c r="GH16" s="2100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48"/>
      <c r="GY16" s="2098" t="str">
        <f>image("https://archives.bulbagarden.net/media/upload/8/8c/Spr_DP_Guitarist.png",3)</f>
        <v/>
      </c>
      <c r="GZ16" s="2101" t="str">
        <f>image("https://archives.bulbagarden.net/media/upload/6/65/Guitarist_IV_OD.png", 1)</f>
        <v/>
      </c>
      <c r="HA16" s="2099"/>
      <c r="HB16" s="2100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48"/>
      <c r="HS16" s="2103" t="str">
        <f>image("https://archives.bulbagarden.net/media/upload/1/1c/Spr_DP_Pok%C3%A9_Kid.png",3)</f>
        <v/>
      </c>
      <c r="HT16" s="2101" t="str">
        <f>image("https://archives.bulbagarden.net/media/upload/8/8c/025OD_DP.png", 1)</f>
        <v/>
      </c>
      <c r="HU16" s="2099"/>
      <c r="HV16" s="2100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48"/>
      <c r="IU16" s="2103" t="str">
        <f>image("https://archives.bulbagarden.net/media/upload/1/1c/Spr_DP_Pok%C3%A9_Kid.png",3)</f>
        <v/>
      </c>
      <c r="IV16" s="2101" t="str">
        <f>image("https://archives.bulbagarden.net/media/upload/8/8c/025OD_DP.png", 1)</f>
        <v/>
      </c>
      <c r="IW16" s="2099"/>
      <c r="IX16" s="2100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48"/>
      <c r="JW16" s="2098" t="str">
        <f>image("https://archives.bulbagarden.net/media/upload/2/2a/Spr_DP_Clown.png",3)</f>
        <v/>
      </c>
      <c r="JX16" s="2101" t="str">
        <f>image("https://archives.bulbagarden.net/media/upload/e/e0/Clown_OD.png", 1)</f>
        <v/>
      </c>
      <c r="JY16" s="2099"/>
      <c r="JZ16" s="2100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48"/>
      <c r="KQ16" s="2098" t="str">
        <f>image("https://archives.bulbagarden.net/media/upload/2/2a/Spr_DP_Clown.png",3)</f>
        <v/>
      </c>
      <c r="KR16" s="2101" t="str">
        <f>image("https://archives.bulbagarden.net/media/upload/e/e0/Clown_OD.png", 1)</f>
        <v/>
      </c>
      <c r="KS16" s="2099"/>
      <c r="KT16" s="2100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48"/>
    </row>
    <row r="17" ht="15.75" customHeight="1">
      <c r="A17" s="1238"/>
      <c r="B17" s="2107" t="s">
        <v>10666</v>
      </c>
      <c r="C17" s="1230"/>
      <c r="D17" s="1619" t="s">
        <v>10667</v>
      </c>
      <c r="E17" s="428"/>
      <c r="F17" s="2142" t="s">
        <v>10668</v>
      </c>
      <c r="G17" s="1230"/>
      <c r="H17" s="1947" t="s">
        <v>10669</v>
      </c>
      <c r="I17" s="128"/>
      <c r="J17" s="1230"/>
      <c r="K17" s="2112"/>
      <c r="L17" s="1860"/>
      <c r="M17" s="30"/>
      <c r="N17" s="1860"/>
      <c r="O17" s="30"/>
      <c r="P17" s="1860"/>
      <c r="Q17" s="30"/>
      <c r="R17" s="1860"/>
      <c r="S17" s="30"/>
      <c r="T17" s="1860"/>
      <c r="U17" s="30"/>
      <c r="V17" s="1860"/>
      <c r="W17" s="30"/>
      <c r="X17" s="1860"/>
      <c r="Y17" s="30"/>
      <c r="AA17" s="1894"/>
      <c r="AB17" s="2104"/>
      <c r="AC17" s="2104"/>
      <c r="AD17" s="1966" t="str">
        <f>MONSPRITE(AE17)</f>
        <v>#NAME?</v>
      </c>
      <c r="AE17" s="1259" t="s">
        <v>3896</v>
      </c>
      <c r="AF17" s="12"/>
      <c r="AG17" s="12"/>
      <c r="AH17" s="962"/>
      <c r="AI17" s="1003"/>
      <c r="AJ17" s="2000" t="s">
        <v>5390</v>
      </c>
      <c r="AK17" s="1230"/>
      <c r="AL17" s="1966" t="str">
        <f>MONSPRITE(AM17)</f>
        <v>#NAME?</v>
      </c>
      <c r="AM17" s="1259" t="s">
        <v>3722</v>
      </c>
      <c r="AN17" s="12"/>
      <c r="AO17" s="12"/>
      <c r="AP17" s="962"/>
      <c r="AQ17" s="1003"/>
      <c r="AR17" s="2000" t="s">
        <v>5390</v>
      </c>
      <c r="AS17" s="290"/>
      <c r="AU17" s="1894"/>
      <c r="AV17" s="2104"/>
      <c r="AW17" s="2104"/>
      <c r="AX17" s="1966" t="str">
        <f>MONSPRITE(AY17)</f>
        <v>#NAME?</v>
      </c>
      <c r="AY17" s="1259" t="s">
        <v>3896</v>
      </c>
      <c r="AZ17" s="12"/>
      <c r="BA17" s="12"/>
      <c r="BB17" s="962"/>
      <c r="BC17" s="1003"/>
      <c r="BD17" s="2000" t="s">
        <v>5018</v>
      </c>
      <c r="BE17" s="1230"/>
      <c r="BF17" s="1966" t="str">
        <f>MONSPRITE(BG17)</f>
        <v>#NAME?</v>
      </c>
      <c r="BG17" s="1259" t="s">
        <v>3722</v>
      </c>
      <c r="BH17" s="12"/>
      <c r="BI17" s="12"/>
      <c r="BJ17" s="962"/>
      <c r="BK17" s="1003"/>
      <c r="BL17" s="2000" t="s">
        <v>5018</v>
      </c>
      <c r="BM17" s="290"/>
      <c r="BO17" s="1894"/>
      <c r="BP17" s="2104"/>
      <c r="BQ17" s="2104"/>
      <c r="BR17" s="1966" t="str">
        <f>MONSPRITE(BS17)</f>
        <v>#NAME?</v>
      </c>
      <c r="BS17" s="1259" t="s">
        <v>1272</v>
      </c>
      <c r="BT17" s="12"/>
      <c r="BU17" s="12"/>
      <c r="BV17" s="962"/>
      <c r="BW17" s="1003"/>
      <c r="BX17" s="2000" t="s">
        <v>5390</v>
      </c>
      <c r="BY17" s="1230"/>
      <c r="BZ17" s="1966" t="str">
        <f>MONSPRITE(CA17)</f>
        <v>#NAME?</v>
      </c>
      <c r="CA17" s="1259" t="s">
        <v>767</v>
      </c>
      <c r="CB17" s="12"/>
      <c r="CC17" s="12"/>
      <c r="CD17" s="962"/>
      <c r="CE17" s="1003"/>
      <c r="CF17" s="2000" t="s">
        <v>5390</v>
      </c>
      <c r="CG17" s="290"/>
      <c r="CI17" s="1894"/>
      <c r="CJ17" s="2104"/>
      <c r="CK17" s="2104"/>
      <c r="CL17" s="1966" t="str">
        <f>MONSPRITE(CM17)</f>
        <v>#NAME?</v>
      </c>
      <c r="CM17" s="1259" t="s">
        <v>1272</v>
      </c>
      <c r="CN17" s="12"/>
      <c r="CO17" s="12"/>
      <c r="CP17" s="962"/>
      <c r="CQ17" s="1003"/>
      <c r="CR17" s="2000" t="s">
        <v>5018</v>
      </c>
      <c r="CS17" s="1230"/>
      <c r="CT17" s="1966" t="str">
        <f>MONSPRITE(CU17)</f>
        <v>#NAME?</v>
      </c>
      <c r="CU17" s="1259" t="s">
        <v>767</v>
      </c>
      <c r="CV17" s="12"/>
      <c r="CW17" s="12"/>
      <c r="CX17" s="962"/>
      <c r="CY17" s="1003"/>
      <c r="CZ17" s="2000" t="s">
        <v>5018</v>
      </c>
      <c r="DA17" s="290"/>
      <c r="DC17" s="1894"/>
      <c r="DD17" s="2105"/>
      <c r="DE17" s="2104"/>
      <c r="DF17" s="1966" t="str">
        <f>MONSPRITE(DG17)</f>
        <v>#NAME?</v>
      </c>
      <c r="DG17" s="1259" t="s">
        <v>4146</v>
      </c>
      <c r="DH17" s="12"/>
      <c r="DI17" s="12"/>
      <c r="DJ17" s="962"/>
      <c r="DK17" s="1003"/>
      <c r="DL17" s="2000" t="s">
        <v>5390</v>
      </c>
      <c r="DM17" s="1230"/>
      <c r="DN17" s="1966" t="str">
        <f>MONSPRITE(DO17)</f>
        <v>#NAME?</v>
      </c>
      <c r="DO17" s="1259" t="s">
        <v>2625</v>
      </c>
      <c r="DP17" s="12"/>
      <c r="DQ17" s="12"/>
      <c r="DR17" s="962"/>
      <c r="DS17" s="1003"/>
      <c r="DT17" s="2000" t="s">
        <v>5390</v>
      </c>
      <c r="DU17" s="290"/>
      <c r="DW17" s="1894"/>
      <c r="DX17" s="2105"/>
      <c r="DY17" s="2104"/>
      <c r="DZ17" s="1966" t="str">
        <f>MONSPRITE(EA17)</f>
        <v>#NAME?</v>
      </c>
      <c r="EA17" s="1259" t="s">
        <v>4146</v>
      </c>
      <c r="EB17" s="12"/>
      <c r="EC17" s="12"/>
      <c r="ED17" s="962"/>
      <c r="EE17" s="1003"/>
      <c r="EF17" s="2000" t="s">
        <v>5018</v>
      </c>
      <c r="EG17" s="1230"/>
      <c r="EH17" s="1966" t="str">
        <f>MONSPRITE(EI17)</f>
        <v>#NAME?</v>
      </c>
      <c r="EI17" s="1259" t="s">
        <v>2625</v>
      </c>
      <c r="EJ17" s="12"/>
      <c r="EK17" s="12"/>
      <c r="EL17" s="962"/>
      <c r="EM17" s="1003"/>
      <c r="EN17" s="2000" t="s">
        <v>5018</v>
      </c>
      <c r="EO17" s="290"/>
      <c r="EQ17" s="1894"/>
      <c r="ER17" s="2104"/>
      <c r="ES17" s="2104"/>
      <c r="ET17" s="1966" t="str">
        <f>MONSPRITE(EU17)</f>
        <v>#NAME?</v>
      </c>
      <c r="EU17" s="1259" t="s">
        <v>518</v>
      </c>
      <c r="EV17" s="12"/>
      <c r="EW17" s="12"/>
      <c r="EX17" s="962"/>
      <c r="EY17" s="1003"/>
      <c r="EZ17" s="2000" t="s">
        <v>5390</v>
      </c>
      <c r="FA17" s="1230"/>
      <c r="FB17" s="1966" t="str">
        <f>MONSPRITE(FC17)</f>
        <v>#NAME?</v>
      </c>
      <c r="FC17" s="1259" t="s">
        <v>474</v>
      </c>
      <c r="FD17" s="12"/>
      <c r="FE17" s="12"/>
      <c r="FF17" s="962"/>
      <c r="FG17" s="1003"/>
      <c r="FH17" s="2000" t="s">
        <v>5390</v>
      </c>
      <c r="FI17" s="290"/>
      <c r="FK17" s="1894"/>
      <c r="FL17" s="2104"/>
      <c r="FM17" s="2104"/>
      <c r="FN17" s="1966" t="str">
        <f>MONSPRITE(FO17)</f>
        <v>#NAME?</v>
      </c>
      <c r="FO17" s="1259" t="s">
        <v>518</v>
      </c>
      <c r="FP17" s="12"/>
      <c r="FQ17" s="12"/>
      <c r="FR17" s="962"/>
      <c r="FS17" s="1003"/>
      <c r="FT17" s="2000" t="s">
        <v>5018</v>
      </c>
      <c r="FU17" s="1230"/>
      <c r="FV17" s="1966" t="str">
        <f>MONSPRITE(FW17)</f>
        <v>#NAME?</v>
      </c>
      <c r="FW17" s="1259" t="s">
        <v>474</v>
      </c>
      <c r="FX17" s="12"/>
      <c r="FY17" s="12"/>
      <c r="FZ17" s="962"/>
      <c r="GA17" s="1003"/>
      <c r="GB17" s="2000" t="s">
        <v>5018</v>
      </c>
      <c r="GC17" s="290"/>
      <c r="GE17" s="1894"/>
      <c r="GF17" s="2104"/>
      <c r="GG17" s="2104"/>
      <c r="GH17" s="1966" t="str">
        <f>MONSPRITE(GI17)</f>
        <v>#NAME?</v>
      </c>
      <c r="GI17" s="1259" t="s">
        <v>3700</v>
      </c>
      <c r="GJ17" s="12"/>
      <c r="GK17" s="12"/>
      <c r="GL17" s="962"/>
      <c r="GM17" s="1003"/>
      <c r="GN17" s="2000" t="s">
        <v>5390</v>
      </c>
      <c r="GO17" s="1230"/>
      <c r="GP17" s="1966" t="str">
        <f>MONSPRITE(GQ17)</f>
        <v>#NAME?</v>
      </c>
      <c r="GQ17" s="1259" t="s">
        <v>1073</v>
      </c>
      <c r="GR17" s="12"/>
      <c r="GS17" s="12"/>
      <c r="GT17" s="962"/>
      <c r="GU17" s="1003"/>
      <c r="GV17" s="2000" t="s">
        <v>5390</v>
      </c>
      <c r="GW17" s="290"/>
      <c r="GY17" s="1894"/>
      <c r="GZ17" s="2104"/>
      <c r="HA17" s="2104"/>
      <c r="HB17" s="1966" t="str">
        <f>MONSPRITE(HC17)</f>
        <v>#NAME?</v>
      </c>
      <c r="HC17" s="1259" t="s">
        <v>3700</v>
      </c>
      <c r="HD17" s="12"/>
      <c r="HE17" s="12"/>
      <c r="HF17" s="962"/>
      <c r="HG17" s="1003"/>
      <c r="HH17" s="2000" t="s">
        <v>5018</v>
      </c>
      <c r="HI17" s="1230"/>
      <c r="HJ17" s="1966" t="str">
        <f>MONSPRITE(HK17)</f>
        <v>#NAME?</v>
      </c>
      <c r="HK17" s="1259" t="s">
        <v>1073</v>
      </c>
      <c r="HL17" s="12"/>
      <c r="HM17" s="12"/>
      <c r="HN17" s="962"/>
      <c r="HO17" s="1003"/>
      <c r="HP17" s="2000" t="s">
        <v>5018</v>
      </c>
      <c r="HQ17" s="290"/>
      <c r="HS17" s="1894"/>
      <c r="HT17" s="2104"/>
      <c r="HU17" s="2104"/>
      <c r="HV17" s="1966" t="str">
        <f>MONSPRITE(HW17)</f>
        <v>#NAME?</v>
      </c>
      <c r="HW17" s="1259" t="s">
        <v>1705</v>
      </c>
      <c r="HX17" s="12"/>
      <c r="HY17" s="12"/>
      <c r="HZ17" s="962"/>
      <c r="IA17" s="1003"/>
      <c r="IB17" s="2000" t="s">
        <v>5390</v>
      </c>
      <c r="IC17" s="1230"/>
      <c r="ID17" s="1966" t="str">
        <f>MONSPRITE(IE17)</f>
        <v>#NAME?</v>
      </c>
      <c r="IE17" s="1259" t="s">
        <v>347</v>
      </c>
      <c r="IF17" s="12"/>
      <c r="IG17" s="12"/>
      <c r="IH17" s="962"/>
      <c r="II17" s="1003"/>
      <c r="IJ17" s="2000" t="s">
        <v>5390</v>
      </c>
      <c r="IK17" s="1230"/>
      <c r="IL17" s="1966" t="str">
        <f>MONSPRITE(IM17)</f>
        <v>#NAME?</v>
      </c>
      <c r="IM17" s="1259" t="s">
        <v>364</v>
      </c>
      <c r="IN17" s="12"/>
      <c r="IO17" s="12"/>
      <c r="IP17" s="962"/>
      <c r="IQ17" s="1003"/>
      <c r="IR17" s="2000" t="s">
        <v>5390</v>
      </c>
      <c r="IS17" s="290"/>
      <c r="IU17" s="1894"/>
      <c r="IV17" s="2104"/>
      <c r="IW17" s="2104"/>
      <c r="IX17" s="1966" t="str">
        <f>MONSPRITE(IY17)</f>
        <v>#NAME?</v>
      </c>
      <c r="IY17" s="1259" t="s">
        <v>1705</v>
      </c>
      <c r="IZ17" s="12"/>
      <c r="JA17" s="12"/>
      <c r="JB17" s="962"/>
      <c r="JC17" s="1003"/>
      <c r="JD17" s="2000" t="s">
        <v>5018</v>
      </c>
      <c r="JE17" s="1230"/>
      <c r="JF17" s="1966" t="str">
        <f>MONSPRITE(JG17)</f>
        <v>#NAME?</v>
      </c>
      <c r="JG17" s="1259" t="s">
        <v>347</v>
      </c>
      <c r="JH17" s="12"/>
      <c r="JI17" s="12"/>
      <c r="JJ17" s="962"/>
      <c r="JK17" s="1003"/>
      <c r="JL17" s="2000" t="s">
        <v>5018</v>
      </c>
      <c r="JM17" s="1230"/>
      <c r="JN17" s="1966" t="str">
        <f>MONSPRITE(JO17)</f>
        <v>#NAME?</v>
      </c>
      <c r="JO17" s="1259" t="s">
        <v>364</v>
      </c>
      <c r="JP17" s="12"/>
      <c r="JQ17" s="12"/>
      <c r="JR17" s="962"/>
      <c r="JS17" s="1003"/>
      <c r="JT17" s="2000" t="s">
        <v>5018</v>
      </c>
      <c r="JU17" s="290"/>
      <c r="JW17" s="1894"/>
      <c r="JX17" s="2104"/>
      <c r="JY17" s="2104"/>
      <c r="JZ17" s="1966" t="str">
        <f>MONSPRITE(KA17)</f>
        <v>#NAME?</v>
      </c>
      <c r="KA17" s="1259" t="s">
        <v>3879</v>
      </c>
      <c r="KB17" s="12"/>
      <c r="KC17" s="12"/>
      <c r="KD17" s="962"/>
      <c r="KE17" s="1003"/>
      <c r="KF17" s="2000" t="s">
        <v>5390</v>
      </c>
      <c r="KG17" s="1230"/>
      <c r="KH17" s="1966" t="str">
        <f>MONSPRITE(KI17)</f>
        <v>#NAME?</v>
      </c>
      <c r="KI17" s="1259" t="s">
        <v>742</v>
      </c>
      <c r="KJ17" s="12"/>
      <c r="KK17" s="12"/>
      <c r="KL17" s="962"/>
      <c r="KM17" s="1003"/>
      <c r="KN17" s="2000" t="s">
        <v>5390</v>
      </c>
      <c r="KO17" s="290"/>
      <c r="KQ17" s="1894"/>
      <c r="KR17" s="2104"/>
      <c r="KS17" s="2104"/>
      <c r="KT17" s="1966" t="str">
        <f>MONSPRITE(KU17)</f>
        <v>#NAME?</v>
      </c>
      <c r="KU17" s="1259" t="s">
        <v>3879</v>
      </c>
      <c r="KV17" s="12"/>
      <c r="KW17" s="12"/>
      <c r="KX17" s="962"/>
      <c r="KY17" s="1003"/>
      <c r="KZ17" s="2000" t="s">
        <v>5018</v>
      </c>
      <c r="LA17" s="1230"/>
      <c r="LB17" s="1966" t="str">
        <f>MONSPRITE(LC17)</f>
        <v>#NAME?</v>
      </c>
      <c r="LC17" s="1259" t="s">
        <v>742</v>
      </c>
      <c r="LD17" s="12"/>
      <c r="LE17" s="12"/>
      <c r="LF17" s="962"/>
      <c r="LG17" s="1003"/>
      <c r="LH17" s="2000" t="s">
        <v>5018</v>
      </c>
      <c r="LI17" s="290"/>
    </row>
    <row r="18" ht="15.75" customHeight="1">
      <c r="A18" s="1238"/>
      <c r="B18" s="2112"/>
      <c r="C18" s="1230"/>
      <c r="D18" s="442"/>
      <c r="E18" s="428"/>
      <c r="F18" s="2112"/>
      <c r="G18" s="1230"/>
      <c r="H18" s="1914" t="s">
        <v>10670</v>
      </c>
      <c r="I18" s="414"/>
      <c r="J18" s="1230"/>
      <c r="K18" s="2134" t="s">
        <v>4762</v>
      </c>
      <c r="L18" s="2135"/>
      <c r="M18" s="982"/>
      <c r="N18" s="2135"/>
      <c r="O18" s="982"/>
      <c r="P18" s="1880"/>
      <c r="Q18" s="2127" t="s">
        <v>10655</v>
      </c>
      <c r="R18" s="2135"/>
      <c r="S18" s="982"/>
      <c r="T18" s="1880"/>
      <c r="U18" s="2127" t="s">
        <v>10655</v>
      </c>
      <c r="V18" s="2135"/>
      <c r="W18" s="982"/>
      <c r="X18" s="2135"/>
      <c r="Y18" s="982"/>
      <c r="AA18" s="2110"/>
      <c r="AB18" s="2105"/>
      <c r="AC18" s="2104"/>
      <c r="AD18" s="1444"/>
      <c r="AE18" s="1092" t="str">
        <f>TYPEICON(AF18)</f>
        <v>#NAME?</v>
      </c>
      <c r="AF18" s="398" t="str">
        <f>MONTYPE(AE17)</f>
        <v>#NAME?</v>
      </c>
      <c r="AG18" s="48"/>
      <c r="AH18" s="1092" t="str">
        <f>TYPEICON(AI18)</f>
        <v>#NAME?</v>
      </c>
      <c r="AI18" s="398" t="str">
        <f>MONTYPE2(AE17)</f>
        <v>#NAME?</v>
      </c>
      <c r="AJ18" s="48"/>
      <c r="AK18" s="1230"/>
      <c r="AL18" s="1444"/>
      <c r="AM18" s="1092" t="str">
        <f>TYPEICON(AN18)</f>
        <v>#NAME?</v>
      </c>
      <c r="AN18" s="398" t="str">
        <f>MONTYPE(AM17)</f>
        <v>#NAME?</v>
      </c>
      <c r="AO18" s="48"/>
      <c r="AP18" s="2012" t="str">
        <f>TYPEICON(AQ18)</f>
        <v>#NAME?</v>
      </c>
      <c r="AQ18" s="398" t="str">
        <f>MONTYPE2(AM17)</f>
        <v>#NAME?</v>
      </c>
      <c r="AR18" s="48"/>
      <c r="AS18" s="290"/>
      <c r="AU18" s="2110"/>
      <c r="AV18" s="2105"/>
      <c r="AW18" s="2104"/>
      <c r="AX18" s="1444"/>
      <c r="AY18" s="1092" t="str">
        <f>TYPEICON(AZ18)</f>
        <v>#NAME?</v>
      </c>
      <c r="AZ18" s="398" t="str">
        <f>MONTYPE(AY17)</f>
        <v>#NAME?</v>
      </c>
      <c r="BA18" s="48"/>
      <c r="BB18" s="1092" t="str">
        <f>TYPEICON(BC18)</f>
        <v>#NAME?</v>
      </c>
      <c r="BC18" s="398" t="str">
        <f>MONTYPE2(AY17)</f>
        <v>#NAME?</v>
      </c>
      <c r="BD18" s="48"/>
      <c r="BE18" s="1230"/>
      <c r="BF18" s="1444"/>
      <c r="BG18" s="1092" t="str">
        <f>TYPEICON(BH18)</f>
        <v>#NAME?</v>
      </c>
      <c r="BH18" s="398" t="str">
        <f>MONTYPE(BG17)</f>
        <v>#NAME?</v>
      </c>
      <c r="BI18" s="48"/>
      <c r="BJ18" s="2012" t="str">
        <f>TYPEICON(BK18)</f>
        <v>#NAME?</v>
      </c>
      <c r="BK18" s="398" t="str">
        <f>MONTYPE2(BG17)</f>
        <v>#NAME?</v>
      </c>
      <c r="BL18" s="48"/>
      <c r="BM18" s="290"/>
      <c r="BO18" s="2110"/>
      <c r="BP18" s="2105"/>
      <c r="BQ18" s="2104"/>
      <c r="BR18" s="1444"/>
      <c r="BS18" s="1092" t="str">
        <f>TYPEICON(BT18)</f>
        <v>#NAME?</v>
      </c>
      <c r="BT18" s="398" t="str">
        <f>MONTYPE(BS17)</f>
        <v>#NAME?</v>
      </c>
      <c r="BU18" s="48"/>
      <c r="BV18" s="2012" t="str">
        <f>TYPEICON(BW18)</f>
        <v>#NAME?</v>
      </c>
      <c r="BW18" s="398" t="str">
        <f>MONTYPE2(BS17)</f>
        <v>#NAME?</v>
      </c>
      <c r="BX18" s="48"/>
      <c r="BY18" s="1230"/>
      <c r="BZ18" s="1444"/>
      <c r="CA18" s="1092" t="str">
        <f>TYPEICON(CB18)</f>
        <v>#NAME?</v>
      </c>
      <c r="CB18" s="398" t="str">
        <f>MONTYPE(CA17)</f>
        <v>#NAME?</v>
      </c>
      <c r="CC18" s="48"/>
      <c r="CD18" s="1092" t="str">
        <f>TYPEICON(CE18)</f>
        <v>#NAME?</v>
      </c>
      <c r="CE18" s="398" t="str">
        <f>MONTYPE2(CA17)</f>
        <v>#NAME?</v>
      </c>
      <c r="CF18" s="48"/>
      <c r="CG18" s="290"/>
      <c r="CI18" s="2110"/>
      <c r="CJ18" s="2105"/>
      <c r="CK18" s="2104"/>
      <c r="CL18" s="1444"/>
      <c r="CM18" s="1092" t="str">
        <f>TYPEICON(CN18)</f>
        <v>#NAME?</v>
      </c>
      <c r="CN18" s="398" t="str">
        <f>MONTYPE(CM17)</f>
        <v>#NAME?</v>
      </c>
      <c r="CO18" s="48"/>
      <c r="CP18" s="2012" t="str">
        <f>TYPEICON(CQ18)</f>
        <v>#NAME?</v>
      </c>
      <c r="CQ18" s="398" t="str">
        <f>MONTYPE2(CM17)</f>
        <v>#NAME?</v>
      </c>
      <c r="CR18" s="48"/>
      <c r="CS18" s="1230"/>
      <c r="CT18" s="1444"/>
      <c r="CU18" s="1092" t="str">
        <f>TYPEICON(CV18)</f>
        <v>#NAME?</v>
      </c>
      <c r="CV18" s="398" t="str">
        <f>MONTYPE(CU17)</f>
        <v>#NAME?</v>
      </c>
      <c r="CW18" s="48"/>
      <c r="CX18" s="1092" t="str">
        <f>TYPEICON(CY18)</f>
        <v>#NAME?</v>
      </c>
      <c r="CY18" s="398" t="str">
        <f>MONTYPE2(CU17)</f>
        <v>#NAME?</v>
      </c>
      <c r="CZ18" s="48"/>
      <c r="DA18" s="290"/>
      <c r="DC18" s="1894"/>
      <c r="DD18" s="2111" t="str">
        <f>image("https://archives.bulbagarden.net/media/upload/8/80/Cameraman_OD.png", 1)</f>
        <v/>
      </c>
      <c r="DE18" s="2104"/>
      <c r="DF18" s="1444"/>
      <c r="DG18" s="1092" t="str">
        <f>TYPEICON(DH18)</f>
        <v>#NAME?</v>
      </c>
      <c r="DH18" s="398" t="str">
        <f>MONTYPE(DG17)</f>
        <v>#NAME?</v>
      </c>
      <c r="DI18" s="48"/>
      <c r="DJ18" s="1092" t="str">
        <f>TYPEICON(DK18)</f>
        <v>#NAME?</v>
      </c>
      <c r="DK18" s="398" t="str">
        <f>MONTYPE2(DG17)</f>
        <v>#NAME?</v>
      </c>
      <c r="DL18" s="48"/>
      <c r="DM18" s="1230"/>
      <c r="DN18" s="1444"/>
      <c r="DO18" s="1092" t="str">
        <f>TYPEICON(DP18)</f>
        <v>#NAME?</v>
      </c>
      <c r="DP18" s="398" t="str">
        <f>MONTYPE(DO17)</f>
        <v>#NAME?</v>
      </c>
      <c r="DQ18" s="48"/>
      <c r="DR18" s="2012" t="str">
        <f>TYPEICON(DS18)</f>
        <v>#NAME?</v>
      </c>
      <c r="DS18" s="398" t="str">
        <f>MONTYPE2(DO17)</f>
        <v>#NAME?</v>
      </c>
      <c r="DT18" s="48"/>
      <c r="DU18" s="290"/>
      <c r="DW18" s="1894"/>
      <c r="DX18" s="2111" t="str">
        <f>image("https://archives.bulbagarden.net/media/upload/8/80/Cameraman_OD.png", 1)</f>
        <v/>
      </c>
      <c r="DY18" s="2104"/>
      <c r="DZ18" s="1444"/>
      <c r="EA18" s="1092" t="str">
        <f>TYPEICON(EB18)</f>
        <v>#NAME?</v>
      </c>
      <c r="EB18" s="398" t="str">
        <f>MONTYPE(EA17)</f>
        <v>#NAME?</v>
      </c>
      <c r="EC18" s="48"/>
      <c r="ED18" s="1092" t="str">
        <f>TYPEICON(EE18)</f>
        <v>#NAME?</v>
      </c>
      <c r="EE18" s="398" t="str">
        <f>MONTYPE2(EA17)</f>
        <v>#NAME?</v>
      </c>
      <c r="EF18" s="48"/>
      <c r="EG18" s="1230"/>
      <c r="EH18" s="1444"/>
      <c r="EI18" s="1092" t="str">
        <f>TYPEICON(EJ18)</f>
        <v>#NAME?</v>
      </c>
      <c r="EJ18" s="398" t="str">
        <f>MONTYPE(EI17)</f>
        <v>#NAME?</v>
      </c>
      <c r="EK18" s="48"/>
      <c r="EL18" s="2012" t="str">
        <f>TYPEICON(EM18)</f>
        <v>#NAME?</v>
      </c>
      <c r="EM18" s="398" t="str">
        <f>MONTYPE2(EI17)</f>
        <v>#NAME?</v>
      </c>
      <c r="EN18" s="48"/>
      <c r="EO18" s="290"/>
      <c r="EQ18" s="2110"/>
      <c r="ER18" s="2105"/>
      <c r="ES18" s="2104"/>
      <c r="ET18" s="1444"/>
      <c r="EU18" s="1092" t="str">
        <f>TYPEICON(EV18)</f>
        <v>#NAME?</v>
      </c>
      <c r="EV18" s="398" t="str">
        <f>MONTYPE(EU17)</f>
        <v>#NAME?</v>
      </c>
      <c r="EW18" s="48"/>
      <c r="EX18" s="2012" t="str">
        <f>TYPEICON(EY18)</f>
        <v>#NAME?</v>
      </c>
      <c r="EY18" s="398" t="str">
        <f>MONTYPE2(EU17)</f>
        <v>#NAME?</v>
      </c>
      <c r="EZ18" s="48"/>
      <c r="FA18" s="1230"/>
      <c r="FB18" s="1444"/>
      <c r="FC18" s="2012" t="str">
        <f>TYPEICON(FD18)</f>
        <v>#NAME?</v>
      </c>
      <c r="FD18" s="398" t="str">
        <f>MONTYPE(FC17)</f>
        <v>#NAME?</v>
      </c>
      <c r="FE18" s="48"/>
      <c r="FF18" s="1092" t="str">
        <f>TYPEICON(FG18)</f>
        <v>#NAME?</v>
      </c>
      <c r="FG18" s="398" t="str">
        <f>MONTYPE2(FC17)</f>
        <v>#NAME?</v>
      </c>
      <c r="FH18" s="48"/>
      <c r="FI18" s="290"/>
      <c r="FK18" s="2110"/>
      <c r="FL18" s="2105"/>
      <c r="FM18" s="2104"/>
      <c r="FN18" s="1444"/>
      <c r="FO18" s="1092" t="str">
        <f>TYPEICON(FP18)</f>
        <v>#NAME?</v>
      </c>
      <c r="FP18" s="398" t="str">
        <f>MONTYPE(FO17)</f>
        <v>#NAME?</v>
      </c>
      <c r="FQ18" s="48"/>
      <c r="FR18" s="2012" t="str">
        <f>TYPEICON(FS18)</f>
        <v>#NAME?</v>
      </c>
      <c r="FS18" s="398" t="str">
        <f>MONTYPE2(FO17)</f>
        <v>#NAME?</v>
      </c>
      <c r="FT18" s="48"/>
      <c r="FU18" s="1230"/>
      <c r="FV18" s="1444"/>
      <c r="FW18" s="2012" t="str">
        <f>TYPEICON(FX18)</f>
        <v>#NAME?</v>
      </c>
      <c r="FX18" s="398" t="str">
        <f>MONTYPE(FW17)</f>
        <v>#NAME?</v>
      </c>
      <c r="FY18" s="48"/>
      <c r="FZ18" s="1092" t="str">
        <f>TYPEICON(GA18)</f>
        <v>#NAME?</v>
      </c>
      <c r="GA18" s="398" t="str">
        <f>MONTYPE2(FW17)</f>
        <v>#NAME?</v>
      </c>
      <c r="GB18" s="48"/>
      <c r="GC18" s="290"/>
      <c r="GE18" s="2110"/>
      <c r="GF18" s="2105"/>
      <c r="GG18" s="2104"/>
      <c r="GH18" s="1444"/>
      <c r="GI18" s="1092" t="str">
        <f>TYPEICON(GJ18)</f>
        <v>#NAME?</v>
      </c>
      <c r="GJ18" s="398" t="str">
        <f>MONTYPE(GI17)</f>
        <v>#NAME?</v>
      </c>
      <c r="GK18" s="48"/>
      <c r="GL18" s="1092" t="str">
        <f>TYPEICON(GM18)</f>
        <v>#NAME?</v>
      </c>
      <c r="GM18" s="398" t="str">
        <f>MONTYPE2(GI17)</f>
        <v>#NAME?</v>
      </c>
      <c r="GN18" s="48"/>
      <c r="GO18" s="1230"/>
      <c r="GP18" s="1444"/>
      <c r="GQ18" s="1092" t="str">
        <f>TYPEICON(GR18)</f>
        <v>#NAME?</v>
      </c>
      <c r="GR18" s="398" t="str">
        <f>MONTYPE(GQ17)</f>
        <v>#NAME?</v>
      </c>
      <c r="GS18" s="48"/>
      <c r="GT18" s="1092" t="str">
        <f>TYPEICON(GU18)</f>
        <v>#NAME?</v>
      </c>
      <c r="GU18" s="398" t="str">
        <f>MONTYPE2(GQ17)</f>
        <v>#NAME?</v>
      </c>
      <c r="GV18" s="48"/>
      <c r="GW18" s="290"/>
      <c r="GY18" s="2110"/>
      <c r="GZ18" s="2105"/>
      <c r="HA18" s="2104"/>
      <c r="HB18" s="1444"/>
      <c r="HC18" s="1092" t="str">
        <f>TYPEICON(HD18)</f>
        <v>#NAME?</v>
      </c>
      <c r="HD18" s="398" t="str">
        <f>MONTYPE(HC17)</f>
        <v>#NAME?</v>
      </c>
      <c r="HE18" s="48"/>
      <c r="HF18" s="1092" t="str">
        <f>TYPEICON(HG18)</f>
        <v>#NAME?</v>
      </c>
      <c r="HG18" s="398" t="str">
        <f>MONTYPE2(HC17)</f>
        <v>#NAME?</v>
      </c>
      <c r="HH18" s="48"/>
      <c r="HI18" s="1230"/>
      <c r="HJ18" s="1444"/>
      <c r="HK18" s="1092" t="str">
        <f>TYPEICON(HL18)</f>
        <v>#NAME?</v>
      </c>
      <c r="HL18" s="398" t="str">
        <f>MONTYPE(HK17)</f>
        <v>#NAME?</v>
      </c>
      <c r="HM18" s="48"/>
      <c r="HN18" s="1092" t="str">
        <f>TYPEICON(HO18)</f>
        <v>#NAME?</v>
      </c>
      <c r="HO18" s="398" t="str">
        <f>MONTYPE2(HK17)</f>
        <v>#NAME?</v>
      </c>
      <c r="HP18" s="48"/>
      <c r="HQ18" s="290"/>
      <c r="HS18" s="2110"/>
      <c r="HT18" s="2105"/>
      <c r="HU18" s="2104"/>
      <c r="HV18" s="1444"/>
      <c r="HW18" s="1092" t="str">
        <f>TYPEICON(HX18)</f>
        <v>#NAME?</v>
      </c>
      <c r="HX18" s="398" t="str">
        <f>MONTYPE(HW17)</f>
        <v>#NAME?</v>
      </c>
      <c r="HY18" s="48"/>
      <c r="HZ18" s="1092" t="str">
        <f>TYPEICON(IA18)</f>
        <v>#NAME?</v>
      </c>
      <c r="IA18" s="398" t="str">
        <f>MONTYPE2(HW17)</f>
        <v>#NAME?</v>
      </c>
      <c r="IB18" s="48"/>
      <c r="IC18" s="1230"/>
      <c r="ID18" s="1444"/>
      <c r="IE18" s="1092" t="str">
        <f>TYPEICON(IF18)</f>
        <v>#NAME?</v>
      </c>
      <c r="IF18" s="398" t="str">
        <f>MONTYPE(IE17)</f>
        <v>#NAME?</v>
      </c>
      <c r="IG18" s="48"/>
      <c r="IH18" s="1092" t="str">
        <f>TYPEICON(II18)</f>
        <v>#NAME?</v>
      </c>
      <c r="II18" s="398" t="str">
        <f>MONTYPE2(IE17)</f>
        <v>#NAME?</v>
      </c>
      <c r="IJ18" s="48"/>
      <c r="IK18" s="1230"/>
      <c r="IL18" s="1444"/>
      <c r="IM18" s="1092" t="str">
        <f>TYPEICON(IN18)</f>
        <v>#NAME?</v>
      </c>
      <c r="IN18" s="398" t="str">
        <f>MONTYPE(IM17)</f>
        <v>#NAME?</v>
      </c>
      <c r="IO18" s="48"/>
      <c r="IP18" s="1092" t="str">
        <f>TYPEICON(IQ18)</f>
        <v>#NAME?</v>
      </c>
      <c r="IQ18" s="398" t="str">
        <f>MONTYPE2(IM17)</f>
        <v>#NAME?</v>
      </c>
      <c r="IR18" s="48"/>
      <c r="IS18" s="290"/>
      <c r="IU18" s="2110"/>
      <c r="IV18" s="2105"/>
      <c r="IW18" s="2104"/>
      <c r="IX18" s="1444"/>
      <c r="IY18" s="1092" t="str">
        <f>TYPEICON(IZ18)</f>
        <v>#NAME?</v>
      </c>
      <c r="IZ18" s="398" t="str">
        <f>MONTYPE(IY17)</f>
        <v>#NAME?</v>
      </c>
      <c r="JA18" s="48"/>
      <c r="JB18" s="1092" t="str">
        <f>TYPEICON(JC18)</f>
        <v>#NAME?</v>
      </c>
      <c r="JC18" s="398" t="str">
        <f>MONTYPE2(IY17)</f>
        <v>#NAME?</v>
      </c>
      <c r="JD18" s="48"/>
      <c r="JE18" s="1230"/>
      <c r="JF18" s="1444"/>
      <c r="JG18" s="1092" t="str">
        <f>TYPEICON(JH18)</f>
        <v>#NAME?</v>
      </c>
      <c r="JH18" s="398" t="str">
        <f>MONTYPE(JG17)</f>
        <v>#NAME?</v>
      </c>
      <c r="JI18" s="48"/>
      <c r="JJ18" s="1092" t="str">
        <f>TYPEICON(JK18)</f>
        <v>#NAME?</v>
      </c>
      <c r="JK18" s="398" t="str">
        <f>MONTYPE2(JG17)</f>
        <v>#NAME?</v>
      </c>
      <c r="JL18" s="48"/>
      <c r="JM18" s="1230"/>
      <c r="JN18" s="1444"/>
      <c r="JO18" s="1092" t="str">
        <f>TYPEICON(JP18)</f>
        <v>#NAME?</v>
      </c>
      <c r="JP18" s="398" t="str">
        <f>MONTYPE(JO17)</f>
        <v>#NAME?</v>
      </c>
      <c r="JQ18" s="48"/>
      <c r="JR18" s="1092" t="str">
        <f>TYPEICON(JS18)</f>
        <v>#NAME?</v>
      </c>
      <c r="JS18" s="398" t="str">
        <f>MONTYPE2(JO17)</f>
        <v>#NAME?</v>
      </c>
      <c r="JT18" s="48"/>
      <c r="JU18" s="290"/>
      <c r="JW18" s="2110"/>
      <c r="JX18" s="2105"/>
      <c r="JY18" s="2104"/>
      <c r="JZ18" s="1444"/>
      <c r="KA18" s="1092" t="str">
        <f>TYPEICON(KB18)</f>
        <v>#NAME?</v>
      </c>
      <c r="KB18" s="398" t="str">
        <f>MONTYPE(KA17)</f>
        <v>#NAME?</v>
      </c>
      <c r="KC18" s="48"/>
      <c r="KD18" s="1092" t="str">
        <f>TYPEICON(KE18)</f>
        <v>#NAME?</v>
      </c>
      <c r="KE18" s="398" t="str">
        <f>MONTYPE2(KA17)</f>
        <v>#NAME?</v>
      </c>
      <c r="KF18" s="48"/>
      <c r="KG18" s="1230"/>
      <c r="KH18" s="1444"/>
      <c r="KI18" s="1092" t="str">
        <f>TYPEICON(KJ18)</f>
        <v>#NAME?</v>
      </c>
      <c r="KJ18" s="398" t="str">
        <f>MONTYPE(KI17)</f>
        <v>#NAME?</v>
      </c>
      <c r="KK18" s="48"/>
      <c r="KL18" s="1092" t="str">
        <f>TYPEICON(KM18)</f>
        <v>#NAME?</v>
      </c>
      <c r="KM18" s="398" t="str">
        <f>MONTYPE2(KI17)</f>
        <v>#NAME?</v>
      </c>
      <c r="KN18" s="48"/>
      <c r="KO18" s="290"/>
      <c r="KQ18" s="2110"/>
      <c r="KR18" s="2105"/>
      <c r="KS18" s="2104"/>
      <c r="KT18" s="1444"/>
      <c r="KU18" s="1092" t="str">
        <f>TYPEICON(KV18)</f>
        <v>#NAME?</v>
      </c>
      <c r="KV18" s="398" t="str">
        <f>MONTYPE(KU17)</f>
        <v>#NAME?</v>
      </c>
      <c r="KW18" s="48"/>
      <c r="KX18" s="1092" t="str">
        <f>TYPEICON(KY18)</f>
        <v>#NAME?</v>
      </c>
      <c r="KY18" s="398" t="str">
        <f>MONTYPE2(KU17)</f>
        <v>#NAME?</v>
      </c>
      <c r="KZ18" s="48"/>
      <c r="LA18" s="1230"/>
      <c r="LB18" s="1444"/>
      <c r="LC18" s="1092" t="str">
        <f>TYPEICON(LD18)</f>
        <v>#NAME?</v>
      </c>
      <c r="LD18" s="398" t="str">
        <f>MONTYPE(LC17)</f>
        <v>#NAME?</v>
      </c>
      <c r="LE18" s="48"/>
      <c r="LF18" s="1092" t="str">
        <f>TYPEICON(LG18)</f>
        <v>#NAME?</v>
      </c>
      <c r="LG18" s="398" t="str">
        <f>MONTYPE2(LC17)</f>
        <v>#NAME?</v>
      </c>
      <c r="LH18" s="48"/>
      <c r="LI18" s="290"/>
    </row>
    <row r="19" ht="15.75" customHeight="1">
      <c r="A19" s="1238"/>
      <c r="B19" s="2119" t="s">
        <v>10671</v>
      </c>
      <c r="C19" s="1230"/>
      <c r="D19" s="2106" t="s">
        <v>10672</v>
      </c>
      <c r="E19" s="428"/>
      <c r="F19" s="1436" t="s">
        <v>10673</v>
      </c>
      <c r="G19" s="1230"/>
      <c r="I19" s="108"/>
      <c r="J19" s="1230"/>
      <c r="K19" s="2112"/>
      <c r="L19" s="1860"/>
      <c r="M19" s="30"/>
      <c r="N19" s="1860"/>
      <c r="O19" s="30"/>
      <c r="P19" s="1885"/>
      <c r="Q19" s="1886"/>
      <c r="R19" s="1860"/>
      <c r="S19" s="30"/>
      <c r="T19" s="1885"/>
      <c r="U19" s="1886"/>
      <c r="V19" s="1860"/>
      <c r="W19" s="30"/>
      <c r="X19" s="1860"/>
      <c r="Y19" s="30"/>
      <c r="AA19" s="2117" t="s">
        <v>10674</v>
      </c>
      <c r="AB19" s="1204"/>
      <c r="AC19" s="1445"/>
      <c r="AD19" s="2006" t="s">
        <v>4416</v>
      </c>
      <c r="AE19" s="2007" t="s">
        <v>4417</v>
      </c>
      <c r="AF19" s="2007" t="s">
        <v>3748</v>
      </c>
      <c r="AG19" s="2007" t="s">
        <v>4418</v>
      </c>
      <c r="AH19" s="1120" t="s">
        <v>4419</v>
      </c>
      <c r="AI19" s="1120" t="s">
        <v>4420</v>
      </c>
      <c r="AJ19" s="1118" t="s">
        <v>4421</v>
      </c>
      <c r="AK19" s="1230"/>
      <c r="AL19" s="2006" t="s">
        <v>4416</v>
      </c>
      <c r="AM19" s="2007" t="s">
        <v>4417</v>
      </c>
      <c r="AN19" s="2007" t="s">
        <v>3748</v>
      </c>
      <c r="AO19" s="2007" t="s">
        <v>4418</v>
      </c>
      <c r="AP19" s="1120" t="s">
        <v>4419</v>
      </c>
      <c r="AQ19" s="1120" t="s">
        <v>4420</v>
      </c>
      <c r="AR19" s="1118" t="s">
        <v>4421</v>
      </c>
      <c r="AS19" s="290"/>
      <c r="AU19" s="2117" t="s">
        <v>10675</v>
      </c>
      <c r="AV19" s="1204"/>
      <c r="AW19" s="1445"/>
      <c r="AX19" s="2006" t="s">
        <v>4416</v>
      </c>
      <c r="AY19" s="2007" t="s">
        <v>4417</v>
      </c>
      <c r="AZ19" s="2007" t="s">
        <v>3748</v>
      </c>
      <c r="BA19" s="2007" t="s">
        <v>4418</v>
      </c>
      <c r="BB19" s="1120" t="s">
        <v>4419</v>
      </c>
      <c r="BC19" s="1120" t="s">
        <v>4420</v>
      </c>
      <c r="BD19" s="1118" t="s">
        <v>4421</v>
      </c>
      <c r="BE19" s="1230"/>
      <c r="BF19" s="2006" t="s">
        <v>4416</v>
      </c>
      <c r="BG19" s="2007" t="s">
        <v>4417</v>
      </c>
      <c r="BH19" s="2007" t="s">
        <v>3748</v>
      </c>
      <c r="BI19" s="2007" t="s">
        <v>4418</v>
      </c>
      <c r="BJ19" s="1120" t="s">
        <v>4419</v>
      </c>
      <c r="BK19" s="1120" t="s">
        <v>4420</v>
      </c>
      <c r="BL19" s="1118" t="s">
        <v>4421</v>
      </c>
      <c r="BM19" s="290"/>
      <c r="BO19" s="2117" t="s">
        <v>10676</v>
      </c>
      <c r="BP19" s="1204"/>
      <c r="BQ19" s="1445"/>
      <c r="BR19" s="2006" t="s">
        <v>4416</v>
      </c>
      <c r="BS19" s="2007" t="s">
        <v>4417</v>
      </c>
      <c r="BT19" s="2007" t="s">
        <v>3748</v>
      </c>
      <c r="BU19" s="2007" t="s">
        <v>4418</v>
      </c>
      <c r="BV19" s="1120" t="s">
        <v>4419</v>
      </c>
      <c r="BW19" s="1120" t="s">
        <v>4420</v>
      </c>
      <c r="BX19" s="1118" t="s">
        <v>4421</v>
      </c>
      <c r="BY19" s="1230"/>
      <c r="BZ19" s="2006" t="s">
        <v>4416</v>
      </c>
      <c r="CA19" s="2007" t="s">
        <v>4417</v>
      </c>
      <c r="CB19" s="2007" t="s">
        <v>3748</v>
      </c>
      <c r="CC19" s="2007" t="s">
        <v>4418</v>
      </c>
      <c r="CD19" s="1120" t="s">
        <v>4419</v>
      </c>
      <c r="CE19" s="1120" t="s">
        <v>4420</v>
      </c>
      <c r="CF19" s="1118" t="s">
        <v>4421</v>
      </c>
      <c r="CG19" s="290"/>
      <c r="CI19" s="2117" t="s">
        <v>10677</v>
      </c>
      <c r="CJ19" s="1204"/>
      <c r="CK19" s="1445"/>
      <c r="CL19" s="2006" t="s">
        <v>4416</v>
      </c>
      <c r="CM19" s="2007" t="s">
        <v>4417</v>
      </c>
      <c r="CN19" s="2007" t="s">
        <v>3748</v>
      </c>
      <c r="CO19" s="2007" t="s">
        <v>4418</v>
      </c>
      <c r="CP19" s="1120" t="s">
        <v>4419</v>
      </c>
      <c r="CQ19" s="1120" t="s">
        <v>4420</v>
      </c>
      <c r="CR19" s="1118" t="s">
        <v>4421</v>
      </c>
      <c r="CS19" s="1230"/>
      <c r="CT19" s="2006" t="s">
        <v>4416</v>
      </c>
      <c r="CU19" s="2007" t="s">
        <v>4417</v>
      </c>
      <c r="CV19" s="2007" t="s">
        <v>3748</v>
      </c>
      <c r="CW19" s="2007" t="s">
        <v>4418</v>
      </c>
      <c r="CX19" s="1120" t="s">
        <v>4419</v>
      </c>
      <c r="CY19" s="1120" t="s">
        <v>4420</v>
      </c>
      <c r="CZ19" s="1118" t="s">
        <v>4421</v>
      </c>
      <c r="DA19" s="290"/>
      <c r="DC19" s="2110"/>
      <c r="DD19" s="2105"/>
      <c r="DE19" s="2104"/>
      <c r="DF19" s="2006" t="s">
        <v>4416</v>
      </c>
      <c r="DG19" s="2007" t="s">
        <v>4417</v>
      </c>
      <c r="DH19" s="2007" t="s">
        <v>3748</v>
      </c>
      <c r="DI19" s="2007" t="s">
        <v>4418</v>
      </c>
      <c r="DJ19" s="1120" t="s">
        <v>4419</v>
      </c>
      <c r="DK19" s="1120" t="s">
        <v>4420</v>
      </c>
      <c r="DL19" s="1118" t="s">
        <v>4421</v>
      </c>
      <c r="DM19" s="1230"/>
      <c r="DN19" s="2006" t="s">
        <v>4416</v>
      </c>
      <c r="DO19" s="2007" t="s">
        <v>4417</v>
      </c>
      <c r="DP19" s="2007" t="s">
        <v>3748</v>
      </c>
      <c r="DQ19" s="2007" t="s">
        <v>4418</v>
      </c>
      <c r="DR19" s="1120" t="s">
        <v>4419</v>
      </c>
      <c r="DS19" s="1120" t="s">
        <v>4420</v>
      </c>
      <c r="DT19" s="1118" t="s">
        <v>4421</v>
      </c>
      <c r="DU19" s="290"/>
      <c r="DW19" s="2110"/>
      <c r="DX19" s="2105"/>
      <c r="DY19" s="2104"/>
      <c r="DZ19" s="2006" t="s">
        <v>4416</v>
      </c>
      <c r="EA19" s="2007" t="s">
        <v>4417</v>
      </c>
      <c r="EB19" s="2007" t="s">
        <v>3748</v>
      </c>
      <c r="EC19" s="2007" t="s">
        <v>4418</v>
      </c>
      <c r="ED19" s="1120" t="s">
        <v>4419</v>
      </c>
      <c r="EE19" s="1120" t="s">
        <v>4420</v>
      </c>
      <c r="EF19" s="1118" t="s">
        <v>4421</v>
      </c>
      <c r="EG19" s="1230"/>
      <c r="EH19" s="2006" t="s">
        <v>4416</v>
      </c>
      <c r="EI19" s="2007" t="s">
        <v>4417</v>
      </c>
      <c r="EJ19" s="2007" t="s">
        <v>3748</v>
      </c>
      <c r="EK19" s="2007" t="s">
        <v>4418</v>
      </c>
      <c r="EL19" s="1120" t="s">
        <v>4419</v>
      </c>
      <c r="EM19" s="1120" t="s">
        <v>4420</v>
      </c>
      <c r="EN19" s="1118" t="s">
        <v>4421</v>
      </c>
      <c r="EO19" s="290"/>
      <c r="EQ19" s="2117" t="s">
        <v>10678</v>
      </c>
      <c r="ER19" s="1204"/>
      <c r="ES19" s="1445"/>
      <c r="ET19" s="2006" t="s">
        <v>4416</v>
      </c>
      <c r="EU19" s="2007" t="s">
        <v>4417</v>
      </c>
      <c r="EV19" s="2007" t="s">
        <v>3748</v>
      </c>
      <c r="EW19" s="2007" t="s">
        <v>4418</v>
      </c>
      <c r="EX19" s="1120" t="s">
        <v>4419</v>
      </c>
      <c r="EY19" s="1120" t="s">
        <v>4420</v>
      </c>
      <c r="EZ19" s="1118" t="s">
        <v>4421</v>
      </c>
      <c r="FA19" s="1230"/>
      <c r="FB19" s="2006" t="s">
        <v>4416</v>
      </c>
      <c r="FC19" s="2007" t="s">
        <v>4417</v>
      </c>
      <c r="FD19" s="2007" t="s">
        <v>3748</v>
      </c>
      <c r="FE19" s="2007" t="s">
        <v>4418</v>
      </c>
      <c r="FF19" s="1120" t="s">
        <v>4419</v>
      </c>
      <c r="FG19" s="1120" t="s">
        <v>4420</v>
      </c>
      <c r="FH19" s="1118" t="s">
        <v>4421</v>
      </c>
      <c r="FI19" s="290"/>
      <c r="FK19" s="2117" t="s">
        <v>10679</v>
      </c>
      <c r="FL19" s="1204"/>
      <c r="FM19" s="1445"/>
      <c r="FN19" s="2006" t="s">
        <v>4416</v>
      </c>
      <c r="FO19" s="2007" t="s">
        <v>4417</v>
      </c>
      <c r="FP19" s="2007" t="s">
        <v>3748</v>
      </c>
      <c r="FQ19" s="2007" t="s">
        <v>4418</v>
      </c>
      <c r="FR19" s="1120" t="s">
        <v>4419</v>
      </c>
      <c r="FS19" s="1120" t="s">
        <v>4420</v>
      </c>
      <c r="FT19" s="1118" t="s">
        <v>4421</v>
      </c>
      <c r="FU19" s="1230"/>
      <c r="FV19" s="2006" t="s">
        <v>4416</v>
      </c>
      <c r="FW19" s="2007" t="s">
        <v>4417</v>
      </c>
      <c r="FX19" s="2007" t="s">
        <v>3748</v>
      </c>
      <c r="FY19" s="2007" t="s">
        <v>4418</v>
      </c>
      <c r="FZ19" s="1120" t="s">
        <v>4419</v>
      </c>
      <c r="GA19" s="1120" t="s">
        <v>4420</v>
      </c>
      <c r="GB19" s="1118" t="s">
        <v>4421</v>
      </c>
      <c r="GC19" s="290"/>
      <c r="GE19" s="2117" t="s">
        <v>10680</v>
      </c>
      <c r="GF19" s="1204"/>
      <c r="GG19" s="1445"/>
      <c r="GH19" s="2006" t="s">
        <v>4416</v>
      </c>
      <c r="GI19" s="2007" t="s">
        <v>4417</v>
      </c>
      <c r="GJ19" s="2007" t="s">
        <v>3748</v>
      </c>
      <c r="GK19" s="2007" t="s">
        <v>4418</v>
      </c>
      <c r="GL19" s="1120" t="s">
        <v>4419</v>
      </c>
      <c r="GM19" s="1120" t="s">
        <v>4420</v>
      </c>
      <c r="GN19" s="1118" t="s">
        <v>4421</v>
      </c>
      <c r="GO19" s="1230"/>
      <c r="GP19" s="2006" t="s">
        <v>4416</v>
      </c>
      <c r="GQ19" s="2007" t="s">
        <v>4417</v>
      </c>
      <c r="GR19" s="2007" t="s">
        <v>3748</v>
      </c>
      <c r="GS19" s="2007" t="s">
        <v>4418</v>
      </c>
      <c r="GT19" s="1120" t="s">
        <v>4419</v>
      </c>
      <c r="GU19" s="1120" t="s">
        <v>4420</v>
      </c>
      <c r="GV19" s="1118" t="s">
        <v>4421</v>
      </c>
      <c r="GW19" s="290"/>
      <c r="GY19" s="2117" t="s">
        <v>10681</v>
      </c>
      <c r="GZ19" s="1204"/>
      <c r="HA19" s="1445"/>
      <c r="HB19" s="2006" t="s">
        <v>4416</v>
      </c>
      <c r="HC19" s="2007" t="s">
        <v>4417</v>
      </c>
      <c r="HD19" s="2007" t="s">
        <v>3748</v>
      </c>
      <c r="HE19" s="2007" t="s">
        <v>4418</v>
      </c>
      <c r="HF19" s="1120" t="s">
        <v>4419</v>
      </c>
      <c r="HG19" s="1120" t="s">
        <v>4420</v>
      </c>
      <c r="HH19" s="1118" t="s">
        <v>4421</v>
      </c>
      <c r="HI19" s="1230"/>
      <c r="HJ19" s="2006" t="s">
        <v>4416</v>
      </c>
      <c r="HK19" s="2007" t="s">
        <v>4417</v>
      </c>
      <c r="HL19" s="2007" t="s">
        <v>3748</v>
      </c>
      <c r="HM19" s="2007" t="s">
        <v>4418</v>
      </c>
      <c r="HN19" s="1120" t="s">
        <v>4419</v>
      </c>
      <c r="HO19" s="1120" t="s">
        <v>4420</v>
      </c>
      <c r="HP19" s="1118" t="s">
        <v>4421</v>
      </c>
      <c r="HQ19" s="290"/>
      <c r="HS19" s="2117" t="s">
        <v>10682</v>
      </c>
      <c r="HT19" s="1204"/>
      <c r="HU19" s="1445"/>
      <c r="HV19" s="2006" t="s">
        <v>4416</v>
      </c>
      <c r="HW19" s="2007" t="s">
        <v>4417</v>
      </c>
      <c r="HX19" s="2007" t="s">
        <v>3748</v>
      </c>
      <c r="HY19" s="2007" t="s">
        <v>4418</v>
      </c>
      <c r="HZ19" s="1120" t="s">
        <v>4419</v>
      </c>
      <c r="IA19" s="1120" t="s">
        <v>4420</v>
      </c>
      <c r="IB19" s="1118" t="s">
        <v>4421</v>
      </c>
      <c r="IC19" s="1230"/>
      <c r="ID19" s="2006" t="s">
        <v>4416</v>
      </c>
      <c r="IE19" s="2007" t="s">
        <v>4417</v>
      </c>
      <c r="IF19" s="2007" t="s">
        <v>3748</v>
      </c>
      <c r="IG19" s="2007" t="s">
        <v>4418</v>
      </c>
      <c r="IH19" s="1120" t="s">
        <v>4419</v>
      </c>
      <c r="II19" s="1120" t="s">
        <v>4420</v>
      </c>
      <c r="IJ19" s="1118" t="s">
        <v>4421</v>
      </c>
      <c r="IK19" s="1230"/>
      <c r="IL19" s="2006" t="s">
        <v>4416</v>
      </c>
      <c r="IM19" s="2007" t="s">
        <v>4417</v>
      </c>
      <c r="IN19" s="2007" t="s">
        <v>3748</v>
      </c>
      <c r="IO19" s="2007" t="s">
        <v>4418</v>
      </c>
      <c r="IP19" s="1120" t="s">
        <v>4419</v>
      </c>
      <c r="IQ19" s="1120" t="s">
        <v>4420</v>
      </c>
      <c r="IR19" s="1118" t="s">
        <v>4421</v>
      </c>
      <c r="IS19" s="290"/>
      <c r="IU19" s="2117" t="s">
        <v>10683</v>
      </c>
      <c r="IV19" s="1204"/>
      <c r="IW19" s="1445"/>
      <c r="IX19" s="2006" t="s">
        <v>4416</v>
      </c>
      <c r="IY19" s="2007" t="s">
        <v>4417</v>
      </c>
      <c r="IZ19" s="2007" t="s">
        <v>3748</v>
      </c>
      <c r="JA19" s="2007" t="s">
        <v>4418</v>
      </c>
      <c r="JB19" s="1120" t="s">
        <v>4419</v>
      </c>
      <c r="JC19" s="1120" t="s">
        <v>4420</v>
      </c>
      <c r="JD19" s="1118" t="s">
        <v>4421</v>
      </c>
      <c r="JE19" s="1230"/>
      <c r="JF19" s="2006" t="s">
        <v>4416</v>
      </c>
      <c r="JG19" s="2007" t="s">
        <v>4417</v>
      </c>
      <c r="JH19" s="2007" t="s">
        <v>3748</v>
      </c>
      <c r="JI19" s="2007" t="s">
        <v>4418</v>
      </c>
      <c r="JJ19" s="1120" t="s">
        <v>4419</v>
      </c>
      <c r="JK19" s="1120" t="s">
        <v>4420</v>
      </c>
      <c r="JL19" s="1118" t="s">
        <v>4421</v>
      </c>
      <c r="JM19" s="1230"/>
      <c r="JN19" s="2006" t="s">
        <v>4416</v>
      </c>
      <c r="JO19" s="2007" t="s">
        <v>4417</v>
      </c>
      <c r="JP19" s="2007" t="s">
        <v>3748</v>
      </c>
      <c r="JQ19" s="2007" t="s">
        <v>4418</v>
      </c>
      <c r="JR19" s="1120" t="s">
        <v>4419</v>
      </c>
      <c r="JS19" s="1120" t="s">
        <v>4420</v>
      </c>
      <c r="JT19" s="1118" t="s">
        <v>4421</v>
      </c>
      <c r="JU19" s="290"/>
      <c r="JW19" s="2117" t="s">
        <v>10684</v>
      </c>
      <c r="JX19" s="1204"/>
      <c r="JY19" s="1445"/>
      <c r="JZ19" s="2006" t="s">
        <v>4416</v>
      </c>
      <c r="KA19" s="2007" t="s">
        <v>4417</v>
      </c>
      <c r="KB19" s="2007" t="s">
        <v>3748</v>
      </c>
      <c r="KC19" s="2007" t="s">
        <v>4418</v>
      </c>
      <c r="KD19" s="1120" t="s">
        <v>4419</v>
      </c>
      <c r="KE19" s="1120" t="s">
        <v>4420</v>
      </c>
      <c r="KF19" s="1118" t="s">
        <v>4421</v>
      </c>
      <c r="KG19" s="1230"/>
      <c r="KH19" s="2006" t="s">
        <v>4416</v>
      </c>
      <c r="KI19" s="2007" t="s">
        <v>4417</v>
      </c>
      <c r="KJ19" s="2007" t="s">
        <v>3748</v>
      </c>
      <c r="KK19" s="2007" t="s">
        <v>4418</v>
      </c>
      <c r="KL19" s="1120" t="s">
        <v>4419</v>
      </c>
      <c r="KM19" s="1120" t="s">
        <v>4420</v>
      </c>
      <c r="KN19" s="1118" t="s">
        <v>4421</v>
      </c>
      <c r="KO19" s="290"/>
      <c r="KQ19" s="2117" t="s">
        <v>10685</v>
      </c>
      <c r="KR19" s="1204"/>
      <c r="KS19" s="1445"/>
      <c r="KT19" s="2006" t="s">
        <v>4416</v>
      </c>
      <c r="KU19" s="2007" t="s">
        <v>4417</v>
      </c>
      <c r="KV19" s="2007" t="s">
        <v>3748</v>
      </c>
      <c r="KW19" s="2007" t="s">
        <v>4418</v>
      </c>
      <c r="KX19" s="1120" t="s">
        <v>4419</v>
      </c>
      <c r="KY19" s="1120" t="s">
        <v>4420</v>
      </c>
      <c r="KZ19" s="1118" t="s">
        <v>4421</v>
      </c>
      <c r="LA19" s="1230"/>
      <c r="LB19" s="2006" t="s">
        <v>4416</v>
      </c>
      <c r="LC19" s="2007" t="s">
        <v>4417</v>
      </c>
      <c r="LD19" s="2007" t="s">
        <v>3748</v>
      </c>
      <c r="LE19" s="2007" t="s">
        <v>4418</v>
      </c>
      <c r="LF19" s="1120" t="s">
        <v>4419</v>
      </c>
      <c r="LG19" s="1120" t="s">
        <v>4420</v>
      </c>
      <c r="LH19" s="1118" t="s">
        <v>4421</v>
      </c>
      <c r="LI19" s="290"/>
    </row>
    <row r="20" ht="15.75" customHeight="1">
      <c r="A20" s="1238"/>
      <c r="B20" s="2112"/>
      <c r="C20" s="1230"/>
      <c r="D20" s="2112"/>
      <c r="E20" s="428"/>
      <c r="F20" s="1898" t="s">
        <v>10686</v>
      </c>
      <c r="G20" s="1230"/>
      <c r="H20" s="2132" t="s">
        <v>4746</v>
      </c>
      <c r="I20" s="960"/>
      <c r="J20" s="1230"/>
      <c r="K20" s="2123" t="s">
        <v>4534</v>
      </c>
      <c r="L20" s="1863"/>
      <c r="M20" s="2124" t="s">
        <v>10642</v>
      </c>
      <c r="N20" s="1863"/>
      <c r="O20" s="2124" t="s">
        <v>10660</v>
      </c>
      <c r="P20" s="1863"/>
      <c r="Q20" s="2124" t="s">
        <v>10687</v>
      </c>
      <c r="R20" s="1863"/>
      <c r="S20" s="2124" t="s">
        <v>10660</v>
      </c>
      <c r="T20" s="1863"/>
      <c r="U20" s="2124" t="s">
        <v>10642</v>
      </c>
      <c r="V20" s="1863"/>
      <c r="W20" s="2124" t="s">
        <v>10687</v>
      </c>
      <c r="X20" s="1863"/>
      <c r="Y20" s="2124" t="s">
        <v>10687</v>
      </c>
      <c r="AA20" s="237" t="s">
        <v>10688</v>
      </c>
      <c r="AB20" s="976"/>
      <c r="AD20" s="1092" t="str">
        <f>MONHP(AE17)</f>
        <v>#NAME?</v>
      </c>
      <c r="AE20" s="986" t="str">
        <f>MONATK(AE17)</f>
        <v>#NAME?</v>
      </c>
      <c r="AF20" s="986" t="str">
        <f>MONDEF(AE17)</f>
        <v>#NAME?</v>
      </c>
      <c r="AG20" s="986" t="str">
        <f>MONSPA(AE17)</f>
        <v>#NAME?</v>
      </c>
      <c r="AH20" s="986" t="str">
        <f>MONSPD(AE17)</f>
        <v>#NAME?</v>
      </c>
      <c r="AI20" s="950" t="str">
        <f>MONSPE(AE17)</f>
        <v>#NAME?</v>
      </c>
      <c r="AJ20" s="952" t="str">
        <f>MONBST(AE17)</f>
        <v>#NAME?</v>
      </c>
      <c r="AK20" s="1230"/>
      <c r="AL20" s="1092" t="str">
        <f>MONHP(AM17)</f>
        <v>#NAME?</v>
      </c>
      <c r="AM20" s="986" t="str">
        <f>MONATK(AM17)</f>
        <v>#NAME?</v>
      </c>
      <c r="AN20" s="986" t="str">
        <f>MONDEF(AM17)</f>
        <v>#NAME?</v>
      </c>
      <c r="AO20" s="986" t="str">
        <f>MONSPA(AM17)</f>
        <v>#NAME?</v>
      </c>
      <c r="AP20" s="986" t="str">
        <f>MONSPD(AM17)</f>
        <v>#NAME?</v>
      </c>
      <c r="AQ20" s="950" t="str">
        <f>MONSPE(AM17)</f>
        <v>#NAME?</v>
      </c>
      <c r="AR20" s="952" t="str">
        <f>MONBST(AM17)</f>
        <v>#NAME?</v>
      </c>
      <c r="AS20" s="290"/>
      <c r="AU20" s="237" t="s">
        <v>10689</v>
      </c>
      <c r="AV20" s="976"/>
      <c r="AX20" s="1092" t="str">
        <f>MONHP(AY17)</f>
        <v>#NAME?</v>
      </c>
      <c r="AY20" s="986" t="str">
        <f>MONATK(AY17)</f>
        <v>#NAME?</v>
      </c>
      <c r="AZ20" s="986" t="str">
        <f>MONDEF(AY17)</f>
        <v>#NAME?</v>
      </c>
      <c r="BA20" s="986" t="str">
        <f>MONSPA(AY17)</f>
        <v>#NAME?</v>
      </c>
      <c r="BB20" s="986" t="str">
        <f>MONSPD(AY17)</f>
        <v>#NAME?</v>
      </c>
      <c r="BC20" s="950" t="str">
        <f>MONSPE(AY17)</f>
        <v>#NAME?</v>
      </c>
      <c r="BD20" s="952" t="str">
        <f>MONBST(AY17)</f>
        <v>#NAME?</v>
      </c>
      <c r="BE20" s="1230"/>
      <c r="BF20" s="1092" t="str">
        <f>MONHP(BG17)</f>
        <v>#NAME?</v>
      </c>
      <c r="BG20" s="986" t="str">
        <f>MONATK(BG17)</f>
        <v>#NAME?</v>
      </c>
      <c r="BH20" s="986" t="str">
        <f>MONDEF(BG17)</f>
        <v>#NAME?</v>
      </c>
      <c r="BI20" s="986" t="str">
        <f>MONSPA(BG17)</f>
        <v>#NAME?</v>
      </c>
      <c r="BJ20" s="986" t="str">
        <f>MONSPD(BG17)</f>
        <v>#NAME?</v>
      </c>
      <c r="BK20" s="950" t="str">
        <f>MONSPE(BG17)</f>
        <v>#NAME?</v>
      </c>
      <c r="BL20" s="952" t="str">
        <f>MONBST(BG17)</f>
        <v>#NAME?</v>
      </c>
      <c r="BM20" s="290"/>
      <c r="BO20" s="237" t="s">
        <v>10688</v>
      </c>
      <c r="BP20" s="976"/>
      <c r="BR20" s="1092" t="str">
        <f>MONHP(BS17)</f>
        <v>#NAME?</v>
      </c>
      <c r="BS20" s="986" t="str">
        <f>MONATK(BS17)</f>
        <v>#NAME?</v>
      </c>
      <c r="BT20" s="986" t="str">
        <f>MONDEF(BS17)</f>
        <v>#NAME?</v>
      </c>
      <c r="BU20" s="986" t="str">
        <f>MONSPA(BS17)</f>
        <v>#NAME?</v>
      </c>
      <c r="BV20" s="986" t="str">
        <f>MONSPD(BS17)</f>
        <v>#NAME?</v>
      </c>
      <c r="BW20" s="950" t="str">
        <f>MONSPE(BS17)</f>
        <v>#NAME?</v>
      </c>
      <c r="BX20" s="952" t="str">
        <f>MONBST(BS17)</f>
        <v>#NAME?</v>
      </c>
      <c r="BY20" s="1230"/>
      <c r="BZ20" s="1092" t="str">
        <f>MONHP(CA17)</f>
        <v>#NAME?</v>
      </c>
      <c r="CA20" s="986" t="str">
        <f>MONATK(CA17)</f>
        <v>#NAME?</v>
      </c>
      <c r="CB20" s="986" t="str">
        <f>MONDEF(CA17)</f>
        <v>#NAME?</v>
      </c>
      <c r="CC20" s="986" t="str">
        <f>MONSPA(CA17)</f>
        <v>#NAME?</v>
      </c>
      <c r="CD20" s="986" t="str">
        <f>MONSPD(CA17)</f>
        <v>#NAME?</v>
      </c>
      <c r="CE20" s="950" t="str">
        <f>MONSPE(CA17)</f>
        <v>#NAME?</v>
      </c>
      <c r="CF20" s="952" t="str">
        <f>MONBST(CA17)</f>
        <v>#NAME?</v>
      </c>
      <c r="CG20" s="290"/>
      <c r="CI20" s="237" t="s">
        <v>10689</v>
      </c>
      <c r="CJ20" s="976"/>
      <c r="CL20" s="1092" t="str">
        <f>MONHP(CM17)</f>
        <v>#NAME?</v>
      </c>
      <c r="CM20" s="986" t="str">
        <f>MONATK(CM17)</f>
        <v>#NAME?</v>
      </c>
      <c r="CN20" s="986" t="str">
        <f>MONDEF(CM17)</f>
        <v>#NAME?</v>
      </c>
      <c r="CO20" s="986" t="str">
        <f>MONSPA(CM17)</f>
        <v>#NAME?</v>
      </c>
      <c r="CP20" s="986" t="str">
        <f>MONSPD(CM17)</f>
        <v>#NAME?</v>
      </c>
      <c r="CQ20" s="950" t="str">
        <f>MONSPE(CM17)</f>
        <v>#NAME?</v>
      </c>
      <c r="CR20" s="952" t="str">
        <f>MONBST(CM17)</f>
        <v>#NAME?</v>
      </c>
      <c r="CS20" s="1230"/>
      <c r="CT20" s="1092" t="str">
        <f>MONHP(CU17)</f>
        <v>#NAME?</v>
      </c>
      <c r="CU20" s="986" t="str">
        <f>MONATK(CU17)</f>
        <v>#NAME?</v>
      </c>
      <c r="CV20" s="986" t="str">
        <f>MONDEF(CU17)</f>
        <v>#NAME?</v>
      </c>
      <c r="CW20" s="986" t="str">
        <f>MONSPA(CU17)</f>
        <v>#NAME?</v>
      </c>
      <c r="CX20" s="986" t="str">
        <f>MONSPD(CU17)</f>
        <v>#NAME?</v>
      </c>
      <c r="CY20" s="950" t="str">
        <f>MONSPE(CU17)</f>
        <v>#NAME?</v>
      </c>
      <c r="CZ20" s="952" t="str">
        <f>MONBST(CU17)</f>
        <v>#NAME?</v>
      </c>
      <c r="DA20" s="290"/>
      <c r="DC20" s="2117" t="s">
        <v>10690</v>
      </c>
      <c r="DD20" s="1204"/>
      <c r="DE20" s="1445"/>
      <c r="DF20" s="1092" t="str">
        <f>MONHP(DG17)</f>
        <v>#NAME?</v>
      </c>
      <c r="DG20" s="986" t="str">
        <f>MONATK(DG17)</f>
        <v>#NAME?</v>
      </c>
      <c r="DH20" s="986" t="str">
        <f>MONDEF(DG17)</f>
        <v>#NAME?</v>
      </c>
      <c r="DI20" s="986" t="str">
        <f>MONSPA(DG17)</f>
        <v>#NAME?</v>
      </c>
      <c r="DJ20" s="986" t="str">
        <f>MONSPD(DG17)</f>
        <v>#NAME?</v>
      </c>
      <c r="DK20" s="950" t="str">
        <f>MONSPE(DG17)</f>
        <v>#NAME?</v>
      </c>
      <c r="DL20" s="952" t="str">
        <f>MONBST(DG17)</f>
        <v>#NAME?</v>
      </c>
      <c r="DM20" s="1230"/>
      <c r="DN20" s="1092" t="str">
        <f>MONHP(DO17)</f>
        <v>#NAME?</v>
      </c>
      <c r="DO20" s="986" t="str">
        <f>MONATK(DO17)</f>
        <v>#NAME?</v>
      </c>
      <c r="DP20" s="986" t="str">
        <f>MONDEF(DO17)</f>
        <v>#NAME?</v>
      </c>
      <c r="DQ20" s="986" t="str">
        <f>MONSPA(DO17)</f>
        <v>#NAME?</v>
      </c>
      <c r="DR20" s="986" t="str">
        <f>MONSPD(DO17)</f>
        <v>#NAME?</v>
      </c>
      <c r="DS20" s="950" t="str">
        <f>MONSPE(DO17)</f>
        <v>#NAME?</v>
      </c>
      <c r="DT20" s="952" t="str">
        <f>MONBST(DO17)</f>
        <v>#NAME?</v>
      </c>
      <c r="DU20" s="290"/>
      <c r="DW20" s="2117" t="s">
        <v>10691</v>
      </c>
      <c r="DX20" s="1204"/>
      <c r="DY20" s="1445"/>
      <c r="DZ20" s="1092" t="str">
        <f>MONHP(EA17)</f>
        <v>#NAME?</v>
      </c>
      <c r="EA20" s="986" t="str">
        <f>MONATK(EA17)</f>
        <v>#NAME?</v>
      </c>
      <c r="EB20" s="986" t="str">
        <f>MONDEF(EA17)</f>
        <v>#NAME?</v>
      </c>
      <c r="EC20" s="986" t="str">
        <f>MONSPA(EA17)</f>
        <v>#NAME?</v>
      </c>
      <c r="ED20" s="986" t="str">
        <f>MONSPD(EA17)</f>
        <v>#NAME?</v>
      </c>
      <c r="EE20" s="950" t="str">
        <f>MONSPE(EA17)</f>
        <v>#NAME?</v>
      </c>
      <c r="EF20" s="952" t="str">
        <f>MONBST(EA17)</f>
        <v>#NAME?</v>
      </c>
      <c r="EG20" s="1230"/>
      <c r="EH20" s="1092" t="str">
        <f>MONHP(EI17)</f>
        <v>#NAME?</v>
      </c>
      <c r="EI20" s="986" t="str">
        <f>MONATK(EI17)</f>
        <v>#NAME?</v>
      </c>
      <c r="EJ20" s="986" t="str">
        <f>MONDEF(EI17)</f>
        <v>#NAME?</v>
      </c>
      <c r="EK20" s="986" t="str">
        <f>MONSPA(EI17)</f>
        <v>#NAME?</v>
      </c>
      <c r="EL20" s="986" t="str">
        <f>MONSPD(EI17)</f>
        <v>#NAME?</v>
      </c>
      <c r="EM20" s="950" t="str">
        <f>MONSPE(EI17)</f>
        <v>#NAME?</v>
      </c>
      <c r="EN20" s="952" t="str">
        <f>MONBST(EI17)</f>
        <v>#NAME?</v>
      </c>
      <c r="EO20" s="290"/>
      <c r="EQ20" s="237" t="s">
        <v>10688</v>
      </c>
      <c r="ER20" s="976"/>
      <c r="ET20" s="1092" t="str">
        <f>MONHP(EU17)</f>
        <v>#NAME?</v>
      </c>
      <c r="EU20" s="986" t="str">
        <f>MONATK(EU17)</f>
        <v>#NAME?</v>
      </c>
      <c r="EV20" s="986" t="str">
        <f>MONDEF(EU17)</f>
        <v>#NAME?</v>
      </c>
      <c r="EW20" s="986" t="str">
        <f>MONSPA(EU17)</f>
        <v>#NAME?</v>
      </c>
      <c r="EX20" s="986" t="str">
        <f>MONSPD(EU17)</f>
        <v>#NAME?</v>
      </c>
      <c r="EY20" s="950" t="str">
        <f>MONSPE(EU17)</f>
        <v>#NAME?</v>
      </c>
      <c r="EZ20" s="952" t="str">
        <f>MONBST(EU17)</f>
        <v>#NAME?</v>
      </c>
      <c r="FA20" s="1230"/>
      <c r="FB20" s="1092" t="str">
        <f>MONHP(FC17)</f>
        <v>#NAME?</v>
      </c>
      <c r="FC20" s="986" t="str">
        <f>MONATK(FC17)</f>
        <v>#NAME?</v>
      </c>
      <c r="FD20" s="986" t="str">
        <f>MONDEF(FC17)</f>
        <v>#NAME?</v>
      </c>
      <c r="FE20" s="986" t="str">
        <f>MONSPA(FC17)</f>
        <v>#NAME?</v>
      </c>
      <c r="FF20" s="986" t="str">
        <f>MONSPD(FC17)</f>
        <v>#NAME?</v>
      </c>
      <c r="FG20" s="950" t="str">
        <f>MONSPE(FC17)</f>
        <v>#NAME?</v>
      </c>
      <c r="FH20" s="952" t="str">
        <f>MONBST(FC17)</f>
        <v>#NAME?</v>
      </c>
      <c r="FI20" s="290"/>
      <c r="FK20" s="237" t="s">
        <v>10689</v>
      </c>
      <c r="FL20" s="976"/>
      <c r="FN20" s="1092" t="str">
        <f>MONHP(FO17)</f>
        <v>#NAME?</v>
      </c>
      <c r="FO20" s="986" t="str">
        <f>MONATK(FO17)</f>
        <v>#NAME?</v>
      </c>
      <c r="FP20" s="986" t="str">
        <f>MONDEF(FO17)</f>
        <v>#NAME?</v>
      </c>
      <c r="FQ20" s="986" t="str">
        <f>MONSPA(FO17)</f>
        <v>#NAME?</v>
      </c>
      <c r="FR20" s="986" t="str">
        <f>MONSPD(FO17)</f>
        <v>#NAME?</v>
      </c>
      <c r="FS20" s="950" t="str">
        <f>MONSPE(FO17)</f>
        <v>#NAME?</v>
      </c>
      <c r="FT20" s="952" t="str">
        <f>MONBST(FO17)</f>
        <v>#NAME?</v>
      </c>
      <c r="FU20" s="1230"/>
      <c r="FV20" s="1092" t="str">
        <f>MONHP(FW17)</f>
        <v>#NAME?</v>
      </c>
      <c r="FW20" s="986" t="str">
        <f>MONATK(FW17)</f>
        <v>#NAME?</v>
      </c>
      <c r="FX20" s="986" t="str">
        <f>MONDEF(FW17)</f>
        <v>#NAME?</v>
      </c>
      <c r="FY20" s="986" t="str">
        <f>MONSPA(FW17)</f>
        <v>#NAME?</v>
      </c>
      <c r="FZ20" s="986" t="str">
        <f>MONSPD(FW17)</f>
        <v>#NAME?</v>
      </c>
      <c r="GA20" s="950" t="str">
        <f>MONSPE(FW17)</f>
        <v>#NAME?</v>
      </c>
      <c r="GB20" s="952" t="str">
        <f>MONBST(FW17)</f>
        <v>#NAME?</v>
      </c>
      <c r="GC20" s="290"/>
      <c r="GE20" s="237" t="s">
        <v>10688</v>
      </c>
      <c r="GF20" s="976"/>
      <c r="GH20" s="1092" t="str">
        <f>MONHP(GI17)</f>
        <v>#NAME?</v>
      </c>
      <c r="GI20" s="986" t="str">
        <f>MONATK(GI17)</f>
        <v>#NAME?</v>
      </c>
      <c r="GJ20" s="986" t="str">
        <f>MONDEF(GI17)</f>
        <v>#NAME?</v>
      </c>
      <c r="GK20" s="986" t="str">
        <f>MONSPA(GI17)</f>
        <v>#NAME?</v>
      </c>
      <c r="GL20" s="986" t="str">
        <f>MONSPD(GI17)</f>
        <v>#NAME?</v>
      </c>
      <c r="GM20" s="950" t="str">
        <f>MONSPE(GI17)</f>
        <v>#NAME?</v>
      </c>
      <c r="GN20" s="952" t="str">
        <f>MONBST(GI17)</f>
        <v>#NAME?</v>
      </c>
      <c r="GO20" s="1230"/>
      <c r="GP20" s="1092" t="str">
        <f>MONHP(GQ17)</f>
        <v>#NAME?</v>
      </c>
      <c r="GQ20" s="986" t="str">
        <f>MONATK(GQ17)</f>
        <v>#NAME?</v>
      </c>
      <c r="GR20" s="986" t="str">
        <f>MONDEF(GQ17)</f>
        <v>#NAME?</v>
      </c>
      <c r="GS20" s="986" t="str">
        <f>MONSPA(GQ17)</f>
        <v>#NAME?</v>
      </c>
      <c r="GT20" s="986" t="str">
        <f>MONSPD(GQ17)</f>
        <v>#NAME?</v>
      </c>
      <c r="GU20" s="950" t="str">
        <f>MONSPE(GQ17)</f>
        <v>#NAME?</v>
      </c>
      <c r="GV20" s="952" t="str">
        <f>MONBST(GQ17)</f>
        <v>#NAME?</v>
      </c>
      <c r="GW20" s="290"/>
      <c r="GY20" s="237" t="s">
        <v>10689</v>
      </c>
      <c r="GZ20" s="976"/>
      <c r="HB20" s="1092" t="str">
        <f>MONHP(HC17)</f>
        <v>#NAME?</v>
      </c>
      <c r="HC20" s="986" t="str">
        <f>MONATK(HC17)</f>
        <v>#NAME?</v>
      </c>
      <c r="HD20" s="986" t="str">
        <f>MONDEF(HC17)</f>
        <v>#NAME?</v>
      </c>
      <c r="HE20" s="986" t="str">
        <f>MONSPA(HC17)</f>
        <v>#NAME?</v>
      </c>
      <c r="HF20" s="986" t="str">
        <f>MONSPD(HC17)</f>
        <v>#NAME?</v>
      </c>
      <c r="HG20" s="950" t="str">
        <f>MONSPE(HC17)</f>
        <v>#NAME?</v>
      </c>
      <c r="HH20" s="952" t="str">
        <f>MONBST(HC17)</f>
        <v>#NAME?</v>
      </c>
      <c r="HI20" s="1230"/>
      <c r="HJ20" s="1092" t="str">
        <f>MONHP(HK17)</f>
        <v>#NAME?</v>
      </c>
      <c r="HK20" s="986" t="str">
        <f>MONATK(HK17)</f>
        <v>#NAME?</v>
      </c>
      <c r="HL20" s="986" t="str">
        <f>MONDEF(HK17)</f>
        <v>#NAME?</v>
      </c>
      <c r="HM20" s="986" t="str">
        <f>MONSPA(HK17)</f>
        <v>#NAME?</v>
      </c>
      <c r="HN20" s="986" t="str">
        <f>MONSPD(HK17)</f>
        <v>#NAME?</v>
      </c>
      <c r="HO20" s="950" t="str">
        <f>MONSPE(HK17)</f>
        <v>#NAME?</v>
      </c>
      <c r="HP20" s="952" t="str">
        <f>MONBST(HK17)</f>
        <v>#NAME?</v>
      </c>
      <c r="HQ20" s="290"/>
      <c r="HS20" s="237" t="s">
        <v>10688</v>
      </c>
      <c r="HT20" s="976"/>
      <c r="HV20" s="1092" t="str">
        <f>MONHP(HW17)</f>
        <v>#NAME?</v>
      </c>
      <c r="HW20" s="986" t="str">
        <f>MONATK(HW17)</f>
        <v>#NAME?</v>
      </c>
      <c r="HX20" s="986" t="str">
        <f>MONDEF(HW17)</f>
        <v>#NAME?</v>
      </c>
      <c r="HY20" s="986" t="str">
        <f>MONSPA(HW17)</f>
        <v>#NAME?</v>
      </c>
      <c r="HZ20" s="986" t="str">
        <f>MONSPD(HW17)</f>
        <v>#NAME?</v>
      </c>
      <c r="IA20" s="950" t="str">
        <f>MONSPE(HW17)</f>
        <v>#NAME?</v>
      </c>
      <c r="IB20" s="952" t="str">
        <f>MONBST(HW17)</f>
        <v>#NAME?</v>
      </c>
      <c r="IC20" s="1230"/>
      <c r="ID20" s="1092" t="str">
        <f>MONHP(IE17)</f>
        <v>#NAME?</v>
      </c>
      <c r="IE20" s="986" t="str">
        <f>MONATK(IE17)</f>
        <v>#NAME?</v>
      </c>
      <c r="IF20" s="986" t="str">
        <f>MONDEF(IE17)</f>
        <v>#NAME?</v>
      </c>
      <c r="IG20" s="986" t="str">
        <f>MONSPA(IE17)</f>
        <v>#NAME?</v>
      </c>
      <c r="IH20" s="986" t="str">
        <f>MONSPD(IE17)</f>
        <v>#NAME?</v>
      </c>
      <c r="II20" s="950" t="str">
        <f>MONSPE(IE17)</f>
        <v>#NAME?</v>
      </c>
      <c r="IJ20" s="952" t="str">
        <f>MONBST(IE17)</f>
        <v>#NAME?</v>
      </c>
      <c r="IK20" s="1230"/>
      <c r="IL20" s="1092" t="str">
        <f>MONHP(IM17)</f>
        <v>#NAME?</v>
      </c>
      <c r="IM20" s="986" t="str">
        <f>MONATK(IM17)</f>
        <v>#NAME?</v>
      </c>
      <c r="IN20" s="986" t="str">
        <f>MONDEF(IM17)</f>
        <v>#NAME?</v>
      </c>
      <c r="IO20" s="986" t="str">
        <f>MONSPA(IM17)</f>
        <v>#NAME?</v>
      </c>
      <c r="IP20" s="986" t="str">
        <f>MONSPD(IM17)</f>
        <v>#NAME?</v>
      </c>
      <c r="IQ20" s="950" t="str">
        <f>MONSPE(IM17)</f>
        <v>#NAME?</v>
      </c>
      <c r="IR20" s="952" t="str">
        <f>MONBST(IM17)</f>
        <v>#NAME?</v>
      </c>
      <c r="IS20" s="290"/>
      <c r="IU20" s="237" t="s">
        <v>10689</v>
      </c>
      <c r="IV20" s="976"/>
      <c r="IX20" s="1092" t="str">
        <f>MONHP(IY17)</f>
        <v>#NAME?</v>
      </c>
      <c r="IY20" s="986" t="str">
        <f>MONATK(IY17)</f>
        <v>#NAME?</v>
      </c>
      <c r="IZ20" s="986" t="str">
        <f>MONDEF(IY17)</f>
        <v>#NAME?</v>
      </c>
      <c r="JA20" s="986" t="str">
        <f>MONSPA(IY17)</f>
        <v>#NAME?</v>
      </c>
      <c r="JB20" s="986" t="str">
        <f>MONSPD(IY17)</f>
        <v>#NAME?</v>
      </c>
      <c r="JC20" s="950" t="str">
        <f>MONSPE(IY17)</f>
        <v>#NAME?</v>
      </c>
      <c r="JD20" s="952" t="str">
        <f>MONBST(IY17)</f>
        <v>#NAME?</v>
      </c>
      <c r="JE20" s="1230"/>
      <c r="JF20" s="1092" t="str">
        <f>MONHP(JG17)</f>
        <v>#NAME?</v>
      </c>
      <c r="JG20" s="986" t="str">
        <f>MONATK(JG17)</f>
        <v>#NAME?</v>
      </c>
      <c r="JH20" s="986" t="str">
        <f>MONDEF(JG17)</f>
        <v>#NAME?</v>
      </c>
      <c r="JI20" s="986" t="str">
        <f>MONSPA(JG17)</f>
        <v>#NAME?</v>
      </c>
      <c r="JJ20" s="986" t="str">
        <f>MONSPD(JG17)</f>
        <v>#NAME?</v>
      </c>
      <c r="JK20" s="950" t="str">
        <f>MONSPE(JG17)</f>
        <v>#NAME?</v>
      </c>
      <c r="JL20" s="952" t="str">
        <f>MONBST(JG17)</f>
        <v>#NAME?</v>
      </c>
      <c r="JM20" s="1230"/>
      <c r="JN20" s="1092" t="str">
        <f>MONHP(JO17)</f>
        <v>#NAME?</v>
      </c>
      <c r="JO20" s="986" t="str">
        <f>MONATK(JO17)</f>
        <v>#NAME?</v>
      </c>
      <c r="JP20" s="986" t="str">
        <f>MONDEF(JO17)</f>
        <v>#NAME?</v>
      </c>
      <c r="JQ20" s="986" t="str">
        <f>MONSPA(JO17)</f>
        <v>#NAME?</v>
      </c>
      <c r="JR20" s="986" t="str">
        <f>MONSPD(JO17)</f>
        <v>#NAME?</v>
      </c>
      <c r="JS20" s="950" t="str">
        <f>MONSPE(JO17)</f>
        <v>#NAME?</v>
      </c>
      <c r="JT20" s="952" t="str">
        <f>MONBST(JO17)</f>
        <v>#NAME?</v>
      </c>
      <c r="JU20" s="290"/>
      <c r="JW20" s="237" t="s">
        <v>10688</v>
      </c>
      <c r="JX20" s="976"/>
      <c r="JZ20" s="1092" t="str">
        <f>MONHP(KA17)</f>
        <v>#NAME?</v>
      </c>
      <c r="KA20" s="986" t="str">
        <f>MONATK(KA17)</f>
        <v>#NAME?</v>
      </c>
      <c r="KB20" s="986" t="str">
        <f>MONDEF(KA17)</f>
        <v>#NAME?</v>
      </c>
      <c r="KC20" s="986" t="str">
        <f>MONSPA(KA17)</f>
        <v>#NAME?</v>
      </c>
      <c r="KD20" s="986" t="str">
        <f>MONSPD(KA17)</f>
        <v>#NAME?</v>
      </c>
      <c r="KE20" s="950" t="str">
        <f>MONSPE(KA17)</f>
        <v>#NAME?</v>
      </c>
      <c r="KF20" s="952" t="str">
        <f>MONBST(KA17)</f>
        <v>#NAME?</v>
      </c>
      <c r="KG20" s="1230"/>
      <c r="KH20" s="1092" t="str">
        <f>MONHP(KI17)</f>
        <v>#NAME?</v>
      </c>
      <c r="KI20" s="986" t="str">
        <f>MONATK(KI17)</f>
        <v>#NAME?</v>
      </c>
      <c r="KJ20" s="986" t="str">
        <f>MONDEF(KI17)</f>
        <v>#NAME?</v>
      </c>
      <c r="KK20" s="986" t="str">
        <f>MONSPA(KI17)</f>
        <v>#NAME?</v>
      </c>
      <c r="KL20" s="986" t="str">
        <f>MONSPD(KI17)</f>
        <v>#NAME?</v>
      </c>
      <c r="KM20" s="950" t="str">
        <f>MONSPE(KI17)</f>
        <v>#NAME?</v>
      </c>
      <c r="KN20" s="952" t="str">
        <f>MONBST(KI17)</f>
        <v>#NAME?</v>
      </c>
      <c r="KO20" s="290"/>
      <c r="KQ20" s="237" t="s">
        <v>10689</v>
      </c>
      <c r="KR20" s="976"/>
      <c r="KT20" s="1092" t="str">
        <f>MONHP(KU17)</f>
        <v>#NAME?</v>
      </c>
      <c r="KU20" s="986" t="str">
        <f>MONATK(KU17)</f>
        <v>#NAME?</v>
      </c>
      <c r="KV20" s="986" t="str">
        <f>MONDEF(KU17)</f>
        <v>#NAME?</v>
      </c>
      <c r="KW20" s="986" t="str">
        <f>MONSPA(KU17)</f>
        <v>#NAME?</v>
      </c>
      <c r="KX20" s="986" t="str">
        <f>MONSPD(KU17)</f>
        <v>#NAME?</v>
      </c>
      <c r="KY20" s="950" t="str">
        <f>MONSPE(KU17)</f>
        <v>#NAME?</v>
      </c>
      <c r="KZ20" s="952" t="str">
        <f>MONBST(KU17)</f>
        <v>#NAME?</v>
      </c>
      <c r="LA20" s="1230"/>
      <c r="LB20" s="1092" t="str">
        <f>MONHP(LC17)</f>
        <v>#NAME?</v>
      </c>
      <c r="LC20" s="986" t="str">
        <f>MONATK(LC17)</f>
        <v>#NAME?</v>
      </c>
      <c r="LD20" s="986" t="str">
        <f>MONDEF(LC17)</f>
        <v>#NAME?</v>
      </c>
      <c r="LE20" s="986" t="str">
        <f>MONSPA(LC17)</f>
        <v>#NAME?</v>
      </c>
      <c r="LF20" s="986" t="str">
        <f>MONSPD(LC17)</f>
        <v>#NAME?</v>
      </c>
      <c r="LG20" s="950" t="str">
        <f>MONSPE(LC17)</f>
        <v>#NAME?</v>
      </c>
      <c r="LH20" s="952" t="str">
        <f>MONBST(LC17)</f>
        <v>#NAME?</v>
      </c>
      <c r="LI20" s="290"/>
    </row>
    <row r="21" ht="15.75" customHeight="1">
      <c r="A21" s="1238"/>
      <c r="B21" s="1935" t="s">
        <v>10692</v>
      </c>
      <c r="C21" s="1230"/>
      <c r="D21" s="2143" t="s">
        <v>10693</v>
      </c>
      <c r="E21" s="428"/>
      <c r="F21" s="1436" t="s">
        <v>10694</v>
      </c>
      <c r="G21" s="1230"/>
      <c r="H21" s="1834" t="s">
        <v>10695</v>
      </c>
      <c r="I21" s="2133"/>
      <c r="J21" s="1230"/>
      <c r="K21" s="1860"/>
      <c r="L21" s="1860"/>
      <c r="M21" s="30"/>
      <c r="N21" s="1860"/>
      <c r="O21" s="30"/>
      <c r="P21" s="1860"/>
      <c r="Q21" s="30"/>
      <c r="R21" s="1860"/>
      <c r="S21" s="30"/>
      <c r="T21" s="1860"/>
      <c r="U21" s="30"/>
      <c r="V21" s="1860"/>
      <c r="W21" s="30"/>
      <c r="X21" s="1860"/>
      <c r="Y21" s="30"/>
      <c r="AA21" s="157"/>
      <c r="AD21" s="2009" t="str">
        <f>ITEMICON(AE21)</f>
        <v>#NAME?</v>
      </c>
      <c r="AE21" s="2010" t="s">
        <v>3466</v>
      </c>
      <c r="AF21" s="967"/>
      <c r="AG21" s="1249"/>
      <c r="AH21" s="1092" t="str">
        <f>MONABILITY(AE17)</f>
        <v>#NAME?</v>
      </c>
      <c r="AI21" s="12"/>
      <c r="AJ21" s="48"/>
      <c r="AK21" s="1230"/>
      <c r="AL21" s="2009" t="str">
        <f>ITEMICON(AM21)</f>
        <v>#NAME?</v>
      </c>
      <c r="AM21" s="2010" t="s">
        <v>3466</v>
      </c>
      <c r="AN21" s="967"/>
      <c r="AO21" s="1249"/>
      <c r="AP21" s="1092" t="str">
        <f>MONABILITY(AM17)</f>
        <v>#NAME?</v>
      </c>
      <c r="AQ21" s="12"/>
      <c r="AR21" s="48"/>
      <c r="AS21" s="290"/>
      <c r="AU21" s="157"/>
      <c r="AX21" s="2009" t="str">
        <f>ITEMICON(AY21)</f>
        <v>#NAME?</v>
      </c>
      <c r="AY21" s="2010" t="s">
        <v>3466</v>
      </c>
      <c r="AZ21" s="967"/>
      <c r="BA21" s="1249"/>
      <c r="BB21" s="1092" t="str">
        <f>MONABILITY(AY17)</f>
        <v>#NAME?</v>
      </c>
      <c r="BC21" s="12"/>
      <c r="BD21" s="48"/>
      <c r="BE21" s="1230"/>
      <c r="BF21" s="2009" t="str">
        <f>ITEMICON(BG21)</f>
        <v>#NAME?</v>
      </c>
      <c r="BG21" s="2010" t="s">
        <v>3466</v>
      </c>
      <c r="BH21" s="967"/>
      <c r="BI21" s="1249"/>
      <c r="BJ21" s="1092" t="str">
        <f>MONABILITY(BG17)</f>
        <v>#NAME?</v>
      </c>
      <c r="BK21" s="12"/>
      <c r="BL21" s="48"/>
      <c r="BM21" s="290"/>
      <c r="BO21" s="157"/>
      <c r="BR21" s="2009" t="str">
        <f>ITEMICON(BS21)</f>
        <v>#NAME?</v>
      </c>
      <c r="BS21" s="2010" t="s">
        <v>3466</v>
      </c>
      <c r="BT21" s="967"/>
      <c r="BU21" s="1249"/>
      <c r="BV21" s="1092" t="str">
        <f>MONABILITY(BS17)</f>
        <v>#NAME?</v>
      </c>
      <c r="BW21" s="12"/>
      <c r="BX21" s="48"/>
      <c r="BY21" s="1230"/>
      <c r="BZ21" s="2009" t="str">
        <f>ITEMICON(CA21)</f>
        <v>#NAME?</v>
      </c>
      <c r="CA21" s="2010" t="s">
        <v>3466</v>
      </c>
      <c r="CB21" s="967"/>
      <c r="CC21" s="1249"/>
      <c r="CD21" s="1092" t="str">
        <f>MONABILITY(CA17)</f>
        <v>#NAME?</v>
      </c>
      <c r="CE21" s="12"/>
      <c r="CF21" s="48"/>
      <c r="CG21" s="290"/>
      <c r="CI21" s="157"/>
      <c r="CL21" s="2009" t="str">
        <f>ITEMICON(CM21)</f>
        <v>#NAME?</v>
      </c>
      <c r="CM21" s="2010" t="s">
        <v>3466</v>
      </c>
      <c r="CN21" s="967"/>
      <c r="CO21" s="1249"/>
      <c r="CP21" s="1092" t="str">
        <f>MONABILITY(CM17)</f>
        <v>#NAME?</v>
      </c>
      <c r="CQ21" s="12"/>
      <c r="CR21" s="48"/>
      <c r="CS21" s="1230"/>
      <c r="CT21" s="2009" t="str">
        <f>ITEMICON(CU21)</f>
        <v>#NAME?</v>
      </c>
      <c r="CU21" s="2010" t="s">
        <v>3466</v>
      </c>
      <c r="CV21" s="967"/>
      <c r="CW21" s="1249"/>
      <c r="CX21" s="1092" t="str">
        <f>MONABILITY(CU17)</f>
        <v>#NAME?</v>
      </c>
      <c r="CY21" s="12"/>
      <c r="CZ21" s="48"/>
      <c r="DA21" s="290"/>
      <c r="DC21" s="237" t="s">
        <v>10688</v>
      </c>
      <c r="DD21" s="976"/>
      <c r="DF21" s="2009" t="str">
        <f>ITEMICON(DG21)</f>
        <v>#NAME?</v>
      </c>
      <c r="DG21" s="2010" t="s">
        <v>3466</v>
      </c>
      <c r="DH21" s="967"/>
      <c r="DI21" s="1249"/>
      <c r="DJ21" s="1092" t="str">
        <f>MONABILITY(DG17)</f>
        <v>#NAME?</v>
      </c>
      <c r="DK21" s="12"/>
      <c r="DL21" s="48"/>
      <c r="DM21" s="1230"/>
      <c r="DN21" s="2009" t="str">
        <f>ITEMICON(DO21)</f>
        <v>#NAME?</v>
      </c>
      <c r="DO21" s="2010" t="s">
        <v>3466</v>
      </c>
      <c r="DP21" s="967"/>
      <c r="DQ21" s="1249"/>
      <c r="DR21" s="1092" t="str">
        <f>MONABILITY(DO17)</f>
        <v>#NAME?</v>
      </c>
      <c r="DS21" s="12"/>
      <c r="DT21" s="48"/>
      <c r="DU21" s="290"/>
      <c r="DW21" s="237" t="s">
        <v>10689</v>
      </c>
      <c r="DX21" s="976"/>
      <c r="DZ21" s="2009" t="str">
        <f>ITEMICON(EA21)</f>
        <v>#NAME?</v>
      </c>
      <c r="EA21" s="2010" t="s">
        <v>3466</v>
      </c>
      <c r="EB21" s="967"/>
      <c r="EC21" s="1249"/>
      <c r="ED21" s="1092" t="str">
        <f>MONABILITY(EA17)</f>
        <v>#NAME?</v>
      </c>
      <c r="EE21" s="12"/>
      <c r="EF21" s="48"/>
      <c r="EG21" s="1230"/>
      <c r="EH21" s="2009" t="str">
        <f>ITEMICON(EI21)</f>
        <v>#NAME?</v>
      </c>
      <c r="EI21" s="2010" t="s">
        <v>3466</v>
      </c>
      <c r="EJ21" s="967"/>
      <c r="EK21" s="1249"/>
      <c r="EL21" s="1092" t="str">
        <f>MONABILITY(EI17)</f>
        <v>#NAME?</v>
      </c>
      <c r="EM21" s="12"/>
      <c r="EN21" s="48"/>
      <c r="EO21" s="290"/>
      <c r="EQ21" s="157"/>
      <c r="ET21" s="2009" t="str">
        <f>ITEMICON(EU21)</f>
        <v>#NAME?</v>
      </c>
      <c r="EU21" s="2010" t="s">
        <v>3466</v>
      </c>
      <c r="EV21" s="967"/>
      <c r="EW21" s="1249"/>
      <c r="EX21" s="1092" t="str">
        <f>MONABILITY(EU17)</f>
        <v>#NAME?</v>
      </c>
      <c r="EY21" s="12"/>
      <c r="EZ21" s="48"/>
      <c r="FA21" s="1230"/>
      <c r="FB21" s="2009" t="str">
        <f>ITEMICON(FC21)</f>
        <v>#NAME?</v>
      </c>
      <c r="FC21" s="2010" t="s">
        <v>3466</v>
      </c>
      <c r="FD21" s="967"/>
      <c r="FE21" s="1249"/>
      <c r="FF21" s="1092" t="str">
        <f>MONABILITY(FC17)</f>
        <v>#NAME?</v>
      </c>
      <c r="FG21" s="12"/>
      <c r="FH21" s="48"/>
      <c r="FI21" s="290"/>
      <c r="FK21" s="157"/>
      <c r="FN21" s="2009" t="str">
        <f>ITEMICON(FO21)</f>
        <v>#NAME?</v>
      </c>
      <c r="FO21" s="2010" t="s">
        <v>3466</v>
      </c>
      <c r="FP21" s="967"/>
      <c r="FQ21" s="1249"/>
      <c r="FR21" s="1092" t="str">
        <f>MONABILITY(FO17)</f>
        <v>#NAME?</v>
      </c>
      <c r="FS21" s="12"/>
      <c r="FT21" s="48"/>
      <c r="FU21" s="1230"/>
      <c r="FV21" s="2009" t="str">
        <f>ITEMICON(FW21)</f>
        <v>#NAME?</v>
      </c>
      <c r="FW21" s="2010" t="s">
        <v>3466</v>
      </c>
      <c r="FX21" s="967"/>
      <c r="FY21" s="1249"/>
      <c r="FZ21" s="1092" t="str">
        <f>MONABILITY(FW17)</f>
        <v>#NAME?</v>
      </c>
      <c r="GA21" s="12"/>
      <c r="GB21" s="48"/>
      <c r="GC21" s="290"/>
      <c r="GE21" s="157"/>
      <c r="GH21" s="2009" t="str">
        <f>ITEMICON(GI21)</f>
        <v>#NAME?</v>
      </c>
      <c r="GI21" s="2010" t="s">
        <v>3466</v>
      </c>
      <c r="GJ21" s="967"/>
      <c r="GK21" s="1249"/>
      <c r="GL21" s="1092" t="str">
        <f>MONABILITY(GI17)</f>
        <v>#NAME?</v>
      </c>
      <c r="GM21" s="12"/>
      <c r="GN21" s="48"/>
      <c r="GO21" s="1230"/>
      <c r="GP21" s="2009" t="str">
        <f>ITEMICON(GQ21)</f>
        <v>#NAME?</v>
      </c>
      <c r="GQ21" s="2010" t="s">
        <v>3466</v>
      </c>
      <c r="GR21" s="967"/>
      <c r="GS21" s="1249"/>
      <c r="GT21" s="1092" t="str">
        <f>MONABILITY(GQ17)</f>
        <v>#NAME?</v>
      </c>
      <c r="GU21" s="12"/>
      <c r="GV21" s="48"/>
      <c r="GW21" s="290"/>
      <c r="GY21" s="157"/>
      <c r="HB21" s="2009" t="str">
        <f>ITEMICON(HC21)</f>
        <v>#NAME?</v>
      </c>
      <c r="HC21" s="2010" t="s">
        <v>3466</v>
      </c>
      <c r="HD21" s="967"/>
      <c r="HE21" s="1249"/>
      <c r="HF21" s="1092" t="str">
        <f>MONABILITY(HC17)</f>
        <v>#NAME?</v>
      </c>
      <c r="HG21" s="12"/>
      <c r="HH21" s="48"/>
      <c r="HI21" s="1230"/>
      <c r="HJ21" s="2009" t="str">
        <f>ITEMICON(HK21)</f>
        <v>#NAME?</v>
      </c>
      <c r="HK21" s="2010" t="s">
        <v>3466</v>
      </c>
      <c r="HL21" s="967"/>
      <c r="HM21" s="1249"/>
      <c r="HN21" s="1092" t="str">
        <f>MONABILITY(HK17)</f>
        <v>#NAME?</v>
      </c>
      <c r="HO21" s="12"/>
      <c r="HP21" s="48"/>
      <c r="HQ21" s="290"/>
      <c r="HS21" s="157"/>
      <c r="HV21" s="2009" t="str">
        <f>ITEMICON(HW21)</f>
        <v>#NAME?</v>
      </c>
      <c r="HW21" s="2010" t="s">
        <v>3466</v>
      </c>
      <c r="HX21" s="967"/>
      <c r="HY21" s="1249"/>
      <c r="HZ21" s="1092" t="str">
        <f>MONABILITY(HW17)</f>
        <v>#NAME?</v>
      </c>
      <c r="IA21" s="12"/>
      <c r="IB21" s="48"/>
      <c r="IC21" s="1230"/>
      <c r="ID21" s="2009" t="str">
        <f>ITEMICON(IE21)</f>
        <v>#NAME?</v>
      </c>
      <c r="IE21" s="2010" t="s">
        <v>3466</v>
      </c>
      <c r="IF21" s="967"/>
      <c r="IG21" s="1249"/>
      <c r="IH21" s="1092" t="str">
        <f>MONABILITY(IE17)</f>
        <v>#NAME?</v>
      </c>
      <c r="II21" s="12"/>
      <c r="IJ21" s="48"/>
      <c r="IK21" s="1230"/>
      <c r="IL21" s="2009" t="str">
        <f>ITEMICON(IM21)</f>
        <v>#NAME?</v>
      </c>
      <c r="IM21" s="2010" t="s">
        <v>3466</v>
      </c>
      <c r="IN21" s="967"/>
      <c r="IO21" s="1249"/>
      <c r="IP21" s="1092" t="str">
        <f>MONABILITY(IM17)</f>
        <v>#NAME?</v>
      </c>
      <c r="IQ21" s="12"/>
      <c r="IR21" s="48"/>
      <c r="IS21" s="290"/>
      <c r="IU21" s="157"/>
      <c r="IX21" s="2009" t="str">
        <f>ITEMICON(IY21)</f>
        <v>#NAME?</v>
      </c>
      <c r="IY21" s="2010" t="s">
        <v>3466</v>
      </c>
      <c r="IZ21" s="967"/>
      <c r="JA21" s="1249"/>
      <c r="JB21" s="1092" t="str">
        <f>MONABILITY(IY17)</f>
        <v>#NAME?</v>
      </c>
      <c r="JC21" s="12"/>
      <c r="JD21" s="48"/>
      <c r="JE21" s="1230"/>
      <c r="JF21" s="2009" t="str">
        <f>ITEMICON(JG21)</f>
        <v>#NAME?</v>
      </c>
      <c r="JG21" s="2010" t="s">
        <v>3466</v>
      </c>
      <c r="JH21" s="967"/>
      <c r="JI21" s="1249"/>
      <c r="JJ21" s="1092" t="str">
        <f>MONABILITY(JG17)</f>
        <v>#NAME?</v>
      </c>
      <c r="JK21" s="12"/>
      <c r="JL21" s="48"/>
      <c r="JM21" s="1230"/>
      <c r="JN21" s="2009" t="str">
        <f>ITEMICON(JO21)</f>
        <v>#NAME?</v>
      </c>
      <c r="JO21" s="2010" t="s">
        <v>3466</v>
      </c>
      <c r="JP21" s="967"/>
      <c r="JQ21" s="1249"/>
      <c r="JR21" s="1092" t="str">
        <f>MONABILITY(JO17)</f>
        <v>#NAME?</v>
      </c>
      <c r="JS21" s="12"/>
      <c r="JT21" s="48"/>
      <c r="JU21" s="290"/>
      <c r="JW21" s="157"/>
      <c r="JZ21" s="2009" t="str">
        <f>ITEMICON(KA21)</f>
        <v>#NAME?</v>
      </c>
      <c r="KA21" s="2010" t="s">
        <v>3466</v>
      </c>
      <c r="KB21" s="967"/>
      <c r="KC21" s="1249"/>
      <c r="KD21" s="1092" t="str">
        <f>MONABILITY(KA17)</f>
        <v>#NAME?</v>
      </c>
      <c r="KE21" s="12"/>
      <c r="KF21" s="48"/>
      <c r="KG21" s="1230"/>
      <c r="KH21" s="2009" t="str">
        <f>ITEMICON(KI21)</f>
        <v>#NAME?</v>
      </c>
      <c r="KI21" s="2010" t="s">
        <v>3466</v>
      </c>
      <c r="KJ21" s="967"/>
      <c r="KK21" s="1249"/>
      <c r="KL21" s="1092" t="str">
        <f>MONABILITY(KI17)</f>
        <v>#NAME?</v>
      </c>
      <c r="KM21" s="12"/>
      <c r="KN21" s="48"/>
      <c r="KO21" s="290"/>
      <c r="KQ21" s="157"/>
      <c r="KT21" s="2009" t="str">
        <f>ITEMICON(KU21)</f>
        <v>#NAME?</v>
      </c>
      <c r="KU21" s="2010" t="s">
        <v>3466</v>
      </c>
      <c r="KV21" s="967"/>
      <c r="KW21" s="1249"/>
      <c r="KX21" s="1092" t="str">
        <f>MONABILITY(KU17)</f>
        <v>#NAME?</v>
      </c>
      <c r="KY21" s="12"/>
      <c r="KZ21" s="48"/>
      <c r="LA21" s="1230"/>
      <c r="LB21" s="2009" t="str">
        <f>ITEMICON(LC21)</f>
        <v>#NAME?</v>
      </c>
      <c r="LC21" s="2010" t="s">
        <v>3466</v>
      </c>
      <c r="LD21" s="967"/>
      <c r="LE21" s="1249"/>
      <c r="LF21" s="1092" t="str">
        <f>MONABILITY(LC17)</f>
        <v>#NAME?</v>
      </c>
      <c r="LG21" s="12"/>
      <c r="LH21" s="48"/>
      <c r="LI21" s="290"/>
    </row>
    <row r="22" ht="15.75" customHeight="1">
      <c r="A22" s="1238"/>
      <c r="B22" s="1230"/>
      <c r="C22" s="1230"/>
      <c r="D22" s="2112"/>
      <c r="E22" s="428"/>
      <c r="F22" s="1898" t="s">
        <v>10696</v>
      </c>
      <c r="G22" s="1230"/>
      <c r="H22" s="2144" t="s">
        <v>10697</v>
      </c>
      <c r="I22" s="2145"/>
      <c r="J22" s="1230"/>
      <c r="K22" s="2113" t="s">
        <v>4841</v>
      </c>
      <c r="L22" s="2113"/>
      <c r="M22" s="2146" t="s">
        <v>10660</v>
      </c>
      <c r="N22" s="2135"/>
      <c r="O22" s="982"/>
      <c r="P22" s="1880"/>
      <c r="Q22" s="2127" t="s">
        <v>10660</v>
      </c>
      <c r="R22" s="2135"/>
      <c r="S22" s="982"/>
      <c r="T22" s="1880"/>
      <c r="U22" s="2127" t="s">
        <v>10660</v>
      </c>
      <c r="V22" s="2135"/>
      <c r="W22" s="982"/>
      <c r="X22" s="2135"/>
      <c r="Y22" s="982"/>
      <c r="AA22" s="157"/>
      <c r="AD22" s="985" t="s">
        <v>360</v>
      </c>
      <c r="AE22" s="12"/>
      <c r="AF22" s="12"/>
      <c r="AG22" s="12"/>
      <c r="AH22" s="12"/>
      <c r="AI22" s="64"/>
      <c r="AJ22" s="2031" t="s">
        <v>10647</v>
      </c>
      <c r="AK22" s="1230"/>
      <c r="AL22" s="985" t="s">
        <v>110</v>
      </c>
      <c r="AM22" s="12"/>
      <c r="AN22" s="12"/>
      <c r="AO22" s="12"/>
      <c r="AP22" s="12"/>
      <c r="AQ22" s="64"/>
      <c r="AR22" s="2031" t="s">
        <v>10647</v>
      </c>
      <c r="AS22" s="290"/>
      <c r="AU22" s="157"/>
      <c r="AX22" s="985" t="s">
        <v>185</v>
      </c>
      <c r="AY22" s="12"/>
      <c r="AZ22" s="12"/>
      <c r="BA22" s="12"/>
      <c r="BB22" s="12"/>
      <c r="BC22" s="64"/>
      <c r="BD22" s="2031" t="s">
        <v>10647</v>
      </c>
      <c r="BE22" s="1230"/>
      <c r="BF22" s="985" t="s">
        <v>360</v>
      </c>
      <c r="BG22" s="12"/>
      <c r="BH22" s="12"/>
      <c r="BI22" s="12"/>
      <c r="BJ22" s="12"/>
      <c r="BK22" s="64"/>
      <c r="BL22" s="2031" t="s">
        <v>10647</v>
      </c>
      <c r="BM22" s="290"/>
      <c r="BO22" s="157"/>
      <c r="BR22" s="985" t="s">
        <v>329</v>
      </c>
      <c r="BS22" s="12"/>
      <c r="BT22" s="12"/>
      <c r="BU22" s="12"/>
      <c r="BV22" s="12"/>
      <c r="BW22" s="64"/>
      <c r="BX22" s="2031" t="s">
        <v>10647</v>
      </c>
      <c r="BY22" s="1230"/>
      <c r="BZ22" s="985" t="s">
        <v>318</v>
      </c>
      <c r="CA22" s="12"/>
      <c r="CB22" s="12"/>
      <c r="CC22" s="12"/>
      <c r="CD22" s="12"/>
      <c r="CE22" s="64"/>
      <c r="CF22" s="2031" t="s">
        <v>10647</v>
      </c>
      <c r="CG22" s="290"/>
      <c r="CI22" s="157"/>
      <c r="CL22" s="985" t="s">
        <v>226</v>
      </c>
      <c r="CM22" s="12"/>
      <c r="CN22" s="12"/>
      <c r="CO22" s="12"/>
      <c r="CP22" s="12"/>
      <c r="CQ22" s="64"/>
      <c r="CR22" s="2031" t="s">
        <v>10647</v>
      </c>
      <c r="CS22" s="1230"/>
      <c r="CT22" s="985" t="s">
        <v>207</v>
      </c>
      <c r="CU22" s="12"/>
      <c r="CV22" s="12"/>
      <c r="CW22" s="12"/>
      <c r="CX22" s="12"/>
      <c r="CY22" s="64"/>
      <c r="CZ22" s="2031" t="s">
        <v>10647</v>
      </c>
      <c r="DA22" s="290"/>
      <c r="DC22" s="157" t="s">
        <v>10643</v>
      </c>
      <c r="DF22" s="985" t="s">
        <v>50</v>
      </c>
      <c r="DG22" s="12"/>
      <c r="DH22" s="12"/>
      <c r="DI22" s="12"/>
      <c r="DJ22" s="12"/>
      <c r="DK22" s="64"/>
      <c r="DL22" s="2031" t="s">
        <v>10647</v>
      </c>
      <c r="DM22" s="1230"/>
      <c r="DN22" s="985" t="s">
        <v>21</v>
      </c>
      <c r="DO22" s="12"/>
      <c r="DP22" s="12"/>
      <c r="DQ22" s="12"/>
      <c r="DR22" s="12"/>
      <c r="DS22" s="64"/>
      <c r="DT22" s="2031" t="s">
        <v>10647</v>
      </c>
      <c r="DU22" s="290"/>
      <c r="DW22" s="157" t="s">
        <v>10643</v>
      </c>
      <c r="DZ22" s="985" t="s">
        <v>78</v>
      </c>
      <c r="EA22" s="12"/>
      <c r="EB22" s="12"/>
      <c r="EC22" s="12"/>
      <c r="ED22" s="12"/>
      <c r="EE22" s="64"/>
      <c r="EF22" s="2031" t="s">
        <v>10647</v>
      </c>
      <c r="EG22" s="1230"/>
      <c r="EH22" s="985" t="s">
        <v>50</v>
      </c>
      <c r="EI22" s="12"/>
      <c r="EJ22" s="12"/>
      <c r="EK22" s="12"/>
      <c r="EL22" s="12"/>
      <c r="EM22" s="64"/>
      <c r="EN22" s="2031" t="s">
        <v>10647</v>
      </c>
      <c r="EO22" s="290"/>
      <c r="EQ22" s="157"/>
      <c r="ET22" s="985" t="s">
        <v>168</v>
      </c>
      <c r="EU22" s="12"/>
      <c r="EV22" s="12"/>
      <c r="EW22" s="12"/>
      <c r="EX22" s="12"/>
      <c r="EY22" s="64"/>
      <c r="EZ22" s="2031" t="s">
        <v>10647</v>
      </c>
      <c r="FA22" s="1230"/>
      <c r="FB22" s="985" t="s">
        <v>168</v>
      </c>
      <c r="FC22" s="12"/>
      <c r="FD22" s="12"/>
      <c r="FE22" s="12"/>
      <c r="FF22" s="12"/>
      <c r="FG22" s="64"/>
      <c r="FH22" s="2031" t="s">
        <v>10647</v>
      </c>
      <c r="FI22" s="290"/>
      <c r="FK22" s="157"/>
      <c r="FN22" s="985" t="s">
        <v>33</v>
      </c>
      <c r="FO22" s="12"/>
      <c r="FP22" s="12"/>
      <c r="FQ22" s="12"/>
      <c r="FR22" s="12"/>
      <c r="FS22" s="64"/>
      <c r="FT22" s="2031" t="s">
        <v>10647</v>
      </c>
      <c r="FU22" s="1230"/>
      <c r="FV22" s="985" t="s">
        <v>185</v>
      </c>
      <c r="FW22" s="12"/>
      <c r="FX22" s="12"/>
      <c r="FY22" s="12"/>
      <c r="FZ22" s="12"/>
      <c r="GA22" s="64"/>
      <c r="GB22" s="2031" t="s">
        <v>10647</v>
      </c>
      <c r="GC22" s="290"/>
      <c r="GE22" s="157"/>
      <c r="GH22" s="985" t="s">
        <v>138</v>
      </c>
      <c r="GI22" s="12"/>
      <c r="GJ22" s="12"/>
      <c r="GK22" s="12"/>
      <c r="GL22" s="12"/>
      <c r="GM22" s="64"/>
      <c r="GN22" s="2031" t="s">
        <v>10647</v>
      </c>
      <c r="GO22" s="1230"/>
      <c r="GP22" s="985" t="s">
        <v>343</v>
      </c>
      <c r="GQ22" s="12"/>
      <c r="GR22" s="12"/>
      <c r="GS22" s="12"/>
      <c r="GT22" s="12"/>
      <c r="GU22" s="64"/>
      <c r="GV22" s="2031" t="s">
        <v>10647</v>
      </c>
      <c r="GW22" s="290"/>
      <c r="GY22" s="157"/>
      <c r="HB22" s="985" t="s">
        <v>33</v>
      </c>
      <c r="HC22" s="12"/>
      <c r="HD22" s="12"/>
      <c r="HE22" s="12"/>
      <c r="HF22" s="12"/>
      <c r="HG22" s="64"/>
      <c r="HH22" s="2031" t="s">
        <v>10647</v>
      </c>
      <c r="HI22" s="1230"/>
      <c r="HJ22" s="985" t="s">
        <v>168</v>
      </c>
      <c r="HK22" s="12"/>
      <c r="HL22" s="12"/>
      <c r="HM22" s="12"/>
      <c r="HN22" s="12"/>
      <c r="HO22" s="64"/>
      <c r="HP22" s="2031" t="s">
        <v>10647</v>
      </c>
      <c r="HQ22" s="290"/>
      <c r="HS22" s="157"/>
      <c r="HV22" s="985" t="s">
        <v>267</v>
      </c>
      <c r="HW22" s="12"/>
      <c r="HX22" s="12"/>
      <c r="HY22" s="12"/>
      <c r="HZ22" s="12"/>
      <c r="IA22" s="64"/>
      <c r="IB22" s="2031" t="s">
        <v>10647</v>
      </c>
      <c r="IC22" s="1230"/>
      <c r="ID22" s="985" t="s">
        <v>329</v>
      </c>
      <c r="IE22" s="12"/>
      <c r="IF22" s="12"/>
      <c r="IG22" s="12"/>
      <c r="IH22" s="12"/>
      <c r="II22" s="64"/>
      <c r="IJ22" s="2031" t="s">
        <v>10647</v>
      </c>
      <c r="IK22" s="1230"/>
      <c r="IL22" s="985" t="s">
        <v>294</v>
      </c>
      <c r="IM22" s="12"/>
      <c r="IN22" s="12"/>
      <c r="IO22" s="12"/>
      <c r="IP22" s="12"/>
      <c r="IQ22" s="64"/>
      <c r="IR22" s="2031" t="s">
        <v>10647</v>
      </c>
      <c r="IS22" s="290"/>
      <c r="IU22" s="157"/>
      <c r="IX22" s="985" t="s">
        <v>240</v>
      </c>
      <c r="IY22" s="12"/>
      <c r="IZ22" s="12"/>
      <c r="JA22" s="12"/>
      <c r="JB22" s="12"/>
      <c r="JC22" s="64"/>
      <c r="JD22" s="2031" t="s">
        <v>10647</v>
      </c>
      <c r="JE22" s="1230"/>
      <c r="JF22" s="985" t="s">
        <v>307</v>
      </c>
      <c r="JG22" s="12"/>
      <c r="JH22" s="12"/>
      <c r="JI22" s="12"/>
      <c r="JJ22" s="12"/>
      <c r="JK22" s="64"/>
      <c r="JL22" s="2031" t="s">
        <v>10647</v>
      </c>
      <c r="JM22" s="1230"/>
      <c r="JN22" s="985" t="s">
        <v>267</v>
      </c>
      <c r="JO22" s="12"/>
      <c r="JP22" s="12"/>
      <c r="JQ22" s="12"/>
      <c r="JR22" s="12"/>
      <c r="JS22" s="64"/>
      <c r="JT22" s="2031" t="s">
        <v>10647</v>
      </c>
      <c r="JU22" s="290"/>
      <c r="JW22" s="157"/>
      <c r="JZ22" s="985" t="s">
        <v>252</v>
      </c>
      <c r="KA22" s="12"/>
      <c r="KB22" s="12"/>
      <c r="KC22" s="12"/>
      <c r="KD22" s="12"/>
      <c r="KE22" s="64"/>
      <c r="KF22" s="2031" t="s">
        <v>10647</v>
      </c>
      <c r="KG22" s="1230"/>
      <c r="KH22" s="985" t="s">
        <v>121</v>
      </c>
      <c r="KI22" s="12"/>
      <c r="KJ22" s="12"/>
      <c r="KK22" s="12"/>
      <c r="KL22" s="12"/>
      <c r="KM22" s="64"/>
      <c r="KN22" s="2031" t="s">
        <v>10647</v>
      </c>
      <c r="KO22" s="290"/>
      <c r="KQ22" s="157"/>
      <c r="KT22" s="985" t="s">
        <v>318</v>
      </c>
      <c r="KU22" s="12"/>
      <c r="KV22" s="12"/>
      <c r="KW22" s="12"/>
      <c r="KX22" s="12"/>
      <c r="KY22" s="64"/>
      <c r="KZ22" s="2031" t="s">
        <v>10647</v>
      </c>
      <c r="LA22" s="1230"/>
      <c r="LB22" s="985" t="s">
        <v>65</v>
      </c>
      <c r="LC22" s="12"/>
      <c r="LD22" s="12"/>
      <c r="LE22" s="12"/>
      <c r="LF22" s="12"/>
      <c r="LG22" s="64"/>
      <c r="LH22" s="2031" t="s">
        <v>10647</v>
      </c>
      <c r="LI22" s="290"/>
    </row>
    <row r="23" ht="15.75" customHeight="1">
      <c r="A23" s="1238"/>
      <c r="B23" s="2096" t="s">
        <v>10698</v>
      </c>
      <c r="C23" s="1230"/>
      <c r="D23" s="1898" t="s">
        <v>10699</v>
      </c>
      <c r="E23" s="428"/>
      <c r="F23" s="1436" t="s">
        <v>10700</v>
      </c>
      <c r="G23" s="1230"/>
      <c r="H23" s="1909" t="s">
        <v>10701</v>
      </c>
      <c r="I23" s="30"/>
      <c r="J23" s="1230"/>
      <c r="K23" s="1885"/>
      <c r="L23" s="1885"/>
      <c r="M23" s="1886"/>
      <c r="N23" s="1860"/>
      <c r="O23" s="30"/>
      <c r="P23" s="1885"/>
      <c r="Q23" s="1886"/>
      <c r="R23" s="1860"/>
      <c r="S23" s="30"/>
      <c r="T23" s="1885"/>
      <c r="U23" s="1886"/>
      <c r="V23" s="1860"/>
      <c r="W23" s="30"/>
      <c r="X23" s="1860"/>
      <c r="Y23" s="30"/>
      <c r="AA23" s="157"/>
      <c r="AD23" s="2048" t="s">
        <v>2588</v>
      </c>
      <c r="AE23" s="1032"/>
      <c r="AF23" s="1032"/>
      <c r="AG23" s="2042" t="str">
        <f t="shared" ref="AG23:AG26" si="121">MOVEICON(AD23)</f>
        <v>#NAME?</v>
      </c>
      <c r="AH23" s="1034" t="str">
        <f t="shared" ref="AH23:AH26" si="122">MOVEBP(AD23)</f>
        <v>#NAME?</v>
      </c>
      <c r="AI23" s="2043" t="str">
        <f t="shared" ref="AI23:AI26" si="123">MOVEACC(AD23)</f>
        <v>#NAME?</v>
      </c>
      <c r="AJ23" s="1015" t="str">
        <f t="shared" ref="AJ23:AJ26" si="124">MOVEPP(AD23)</f>
        <v>#NAME?</v>
      </c>
      <c r="AK23" s="1230"/>
      <c r="AL23" s="2048" t="s">
        <v>721</v>
      </c>
      <c r="AM23" s="1032"/>
      <c r="AN23" s="1032"/>
      <c r="AO23" s="2042" t="str">
        <f t="shared" ref="AO23:AO26" si="125">MOVEICON(AL23)</f>
        <v>#NAME?</v>
      </c>
      <c r="AP23" s="1034" t="str">
        <f t="shared" ref="AP23:AP26" si="126">MOVEBP(AL23)</f>
        <v>#NAME?</v>
      </c>
      <c r="AQ23" s="2043" t="str">
        <f t="shared" ref="AQ23:AQ26" si="127">MOVEACC(AL23)</f>
        <v>#NAME?</v>
      </c>
      <c r="AR23" s="1015" t="str">
        <f t="shared" ref="AR23:AR26" si="128">MOVEPP(AL23)</f>
        <v>#NAME?</v>
      </c>
      <c r="AS23" s="290"/>
      <c r="AU23" s="157"/>
      <c r="AX23" s="2048" t="s">
        <v>2938</v>
      </c>
      <c r="AY23" s="1032"/>
      <c r="AZ23" s="1032"/>
      <c r="BA23" s="2042" t="str">
        <f t="shared" ref="BA23:BA26" si="129">MOVEICON(AX23)</f>
        <v>#NAME?</v>
      </c>
      <c r="BB23" s="1034" t="str">
        <f t="shared" ref="BB23:BB26" si="130">MOVEBP(AX23)</f>
        <v>#NAME?</v>
      </c>
      <c r="BC23" s="2043" t="str">
        <f t="shared" ref="BC23:BC26" si="131">MOVEACC(AX23)</f>
        <v>#NAME?</v>
      </c>
      <c r="BD23" s="1015" t="str">
        <f t="shared" ref="BD23:BD26" si="132">MOVEPP(AX23)</f>
        <v>#NAME?</v>
      </c>
      <c r="BE23" s="1230"/>
      <c r="BF23" s="2048" t="s">
        <v>1862</v>
      </c>
      <c r="BG23" s="1032"/>
      <c r="BH23" s="1032"/>
      <c r="BI23" s="2042" t="str">
        <f t="shared" ref="BI23:BI26" si="133">MOVEICON(BF23)</f>
        <v>#NAME?</v>
      </c>
      <c r="BJ23" s="1034" t="str">
        <f t="shared" ref="BJ23:BJ26" si="134">MOVEBP(BF23)</f>
        <v>#NAME?</v>
      </c>
      <c r="BK23" s="2043" t="str">
        <f t="shared" ref="BK23:BK26" si="135">MOVEACC(BF23)</f>
        <v>#NAME?</v>
      </c>
      <c r="BL23" s="1015" t="str">
        <f t="shared" ref="BL23:BL26" si="136">MOVEPP(BF23)</f>
        <v>#NAME?</v>
      </c>
      <c r="BM23" s="290"/>
      <c r="BO23" s="157"/>
      <c r="BR23" s="2048" t="s">
        <v>4023</v>
      </c>
      <c r="BS23" s="1032"/>
      <c r="BT23" s="1032"/>
      <c r="BU23" s="2042" t="str">
        <f t="shared" ref="BU23:BU26" si="137">MOVEICON(BR23)</f>
        <v>#NAME?</v>
      </c>
      <c r="BV23" s="1034" t="str">
        <f t="shared" ref="BV23:BV26" si="138">MOVEBP(BR23)</f>
        <v>#NAME?</v>
      </c>
      <c r="BW23" s="2043" t="str">
        <f t="shared" ref="BW23:BW26" si="139">MOVEACC(BR23)</f>
        <v>#NAME?</v>
      </c>
      <c r="BX23" s="1015" t="str">
        <f t="shared" ref="BX23:BX26" si="140">MOVEPP(BR23)</f>
        <v>#NAME?</v>
      </c>
      <c r="BY23" s="1230"/>
      <c r="BZ23" s="2048" t="s">
        <v>1869</v>
      </c>
      <c r="CA23" s="1032"/>
      <c r="CB23" s="1032"/>
      <c r="CC23" s="2042" t="str">
        <f t="shared" ref="CC23:CC26" si="141">MOVEICON(BZ23)</f>
        <v>#NAME?</v>
      </c>
      <c r="CD23" s="1034" t="str">
        <f t="shared" ref="CD23:CD26" si="142">MOVEBP(BZ23)</f>
        <v>#NAME?</v>
      </c>
      <c r="CE23" s="2043" t="str">
        <f t="shared" ref="CE23:CE26" si="143">MOVEACC(BZ23)</f>
        <v>#NAME?</v>
      </c>
      <c r="CF23" s="1015" t="str">
        <f t="shared" ref="CF23:CF26" si="144">MOVEPP(BZ23)</f>
        <v>#NAME?</v>
      </c>
      <c r="CG23" s="290"/>
      <c r="CI23" s="157"/>
      <c r="CL23" s="2048" t="s">
        <v>3675</v>
      </c>
      <c r="CM23" s="1032"/>
      <c r="CN23" s="1032"/>
      <c r="CO23" s="2042" t="str">
        <f t="shared" ref="CO23:CO26" si="145">MOVEICON(CL23)</f>
        <v>#NAME?</v>
      </c>
      <c r="CP23" s="1034" t="str">
        <f t="shared" ref="CP23:CP26" si="146">MOVEBP(CL23)</f>
        <v>#NAME?</v>
      </c>
      <c r="CQ23" s="2043" t="str">
        <f t="shared" ref="CQ23:CQ26" si="147">MOVEACC(CL23)</f>
        <v>#NAME?</v>
      </c>
      <c r="CR23" s="1015" t="str">
        <f t="shared" ref="CR23:CR26" si="148">MOVEPP(CL23)</f>
        <v>#NAME?</v>
      </c>
      <c r="CS23" s="1230"/>
      <c r="CT23" s="2048" t="s">
        <v>3870</v>
      </c>
      <c r="CU23" s="1032"/>
      <c r="CV23" s="1032"/>
      <c r="CW23" s="2042" t="str">
        <f t="shared" ref="CW23:CW26" si="149">MOVEICON(CT23)</f>
        <v>#NAME?</v>
      </c>
      <c r="CX23" s="1034" t="str">
        <f t="shared" ref="CX23:CX26" si="150">MOVEBP(CT23)</f>
        <v>#NAME?</v>
      </c>
      <c r="CY23" s="2043" t="str">
        <f t="shared" ref="CY23:CY26" si="151">MOVEACC(CT23)</f>
        <v>#NAME?</v>
      </c>
      <c r="CZ23" s="1015" t="str">
        <f t="shared" ref="CZ23:CZ26" si="152">MOVEPP(CT23)</f>
        <v>#NAME?</v>
      </c>
      <c r="DA23" s="290"/>
      <c r="DC23" s="157"/>
      <c r="DF23" s="2048" t="s">
        <v>3584</v>
      </c>
      <c r="DG23" s="1032"/>
      <c r="DH23" s="1032"/>
      <c r="DI23" s="2042" t="str">
        <f t="shared" ref="DI23:DI26" si="153">MOVEICON(DF23)</f>
        <v>#NAME?</v>
      </c>
      <c r="DJ23" s="1034" t="str">
        <f t="shared" ref="DJ23:DJ26" si="154">MOVEBP(DF23)</f>
        <v>#NAME?</v>
      </c>
      <c r="DK23" s="2043" t="str">
        <f t="shared" ref="DK23:DK26" si="155">MOVEACC(DF23)</f>
        <v>#NAME?</v>
      </c>
      <c r="DL23" s="1015" t="str">
        <f t="shared" ref="DL23:DL26" si="156">MOVEPP(DF23)</f>
        <v>#NAME?</v>
      </c>
      <c r="DM23" s="1230"/>
      <c r="DN23" s="2048" t="s">
        <v>3438</v>
      </c>
      <c r="DO23" s="1032"/>
      <c r="DP23" s="1032"/>
      <c r="DQ23" s="2042" t="str">
        <f t="shared" ref="DQ23:DQ26" si="157">MOVEICON(DN23)</f>
        <v>#NAME?</v>
      </c>
      <c r="DR23" s="1034" t="str">
        <f t="shared" ref="DR23:DR26" si="158">MOVEBP(DN23)</f>
        <v>#NAME?</v>
      </c>
      <c r="DS23" s="2043" t="str">
        <f t="shared" ref="DS23:DS26" si="159">MOVEACC(DN23)</f>
        <v>#NAME?</v>
      </c>
      <c r="DT23" s="1015" t="str">
        <f t="shared" ref="DT23:DT26" si="160">MOVEPP(DN23)</f>
        <v>#NAME?</v>
      </c>
      <c r="DU23" s="290"/>
      <c r="DW23" s="157"/>
      <c r="DZ23" s="2048" t="s">
        <v>3503</v>
      </c>
      <c r="EA23" s="1032"/>
      <c r="EB23" s="1032"/>
      <c r="EC23" s="2042" t="str">
        <f t="shared" ref="EC23:EC26" si="161">MOVEICON(DZ23)</f>
        <v>#NAME?</v>
      </c>
      <c r="ED23" s="1034" t="str">
        <f t="shared" ref="ED23:ED26" si="162">MOVEBP(DZ23)</f>
        <v>#NAME?</v>
      </c>
      <c r="EE23" s="2043" t="str">
        <f t="shared" ref="EE23:EE26" si="163">MOVEACC(DZ23)</f>
        <v>#NAME?</v>
      </c>
      <c r="EF23" s="1015" t="str">
        <f t="shared" ref="EF23:EF26" si="164">MOVEPP(DZ23)</f>
        <v>#NAME?</v>
      </c>
      <c r="EG23" s="1230"/>
      <c r="EH23" s="2048" t="s">
        <v>3449</v>
      </c>
      <c r="EI23" s="1032"/>
      <c r="EJ23" s="1032"/>
      <c r="EK23" s="2042" t="str">
        <f t="shared" ref="EK23:EK26" si="165">MOVEICON(EH23)</f>
        <v>#NAME?</v>
      </c>
      <c r="EL23" s="1034" t="str">
        <f t="shared" ref="EL23:EL26" si="166">MOVEBP(EH23)</f>
        <v>#NAME?</v>
      </c>
      <c r="EM23" s="2043" t="str">
        <f t="shared" ref="EM23:EM26" si="167">MOVEACC(EH23)</f>
        <v>#NAME?</v>
      </c>
      <c r="EN23" s="1015" t="str">
        <f t="shared" ref="EN23:EN26" si="168">MOVEPP(EH23)</f>
        <v>#NAME?</v>
      </c>
      <c r="EO23" s="290"/>
      <c r="EQ23" s="157"/>
      <c r="ET23" s="2048" t="s">
        <v>3154</v>
      </c>
      <c r="EU23" s="1032"/>
      <c r="EV23" s="1032"/>
      <c r="EW23" s="2042" t="str">
        <f t="shared" ref="EW23:EW26" si="169">MOVEICON(ET23)</f>
        <v>#NAME?</v>
      </c>
      <c r="EX23" s="1034" t="str">
        <f t="shared" ref="EX23:EX26" si="170">MOVEBP(ET23)</f>
        <v>#NAME?</v>
      </c>
      <c r="EY23" s="2043" t="str">
        <f t="shared" ref="EY23:EY26" si="171">MOVEACC(ET23)</f>
        <v>#NAME?</v>
      </c>
      <c r="EZ23" s="1015" t="str">
        <f t="shared" ref="EZ23:EZ26" si="172">MOVEPP(ET23)</f>
        <v>#NAME?</v>
      </c>
      <c r="FA23" s="1230"/>
      <c r="FB23" s="2048" t="s">
        <v>578</v>
      </c>
      <c r="FC23" s="1032"/>
      <c r="FD23" s="1032"/>
      <c r="FE23" s="2042" t="str">
        <f t="shared" ref="FE23:FE26" si="173">MOVEICON(FB23)</f>
        <v>#NAME?</v>
      </c>
      <c r="FF23" s="1034" t="str">
        <f t="shared" ref="FF23:FF26" si="174">MOVEBP(FB23)</f>
        <v>#NAME?</v>
      </c>
      <c r="FG23" s="2043" t="str">
        <f t="shared" ref="FG23:FG26" si="175">MOVEACC(FB23)</f>
        <v>#NAME?</v>
      </c>
      <c r="FH23" s="1015" t="str">
        <f t="shared" ref="FH23:FH26" si="176">MOVEPP(FB23)</f>
        <v>#NAME?</v>
      </c>
      <c r="FI23" s="290"/>
      <c r="FK23" s="157"/>
      <c r="FN23" s="2048" t="s">
        <v>3117</v>
      </c>
      <c r="FO23" s="1032"/>
      <c r="FP23" s="1032"/>
      <c r="FQ23" s="2042" t="str">
        <f t="shared" ref="FQ23:FQ26" si="177">MOVEICON(FN23)</f>
        <v>#NAME?</v>
      </c>
      <c r="FR23" s="1034" t="str">
        <f t="shared" ref="FR23:FR26" si="178">MOVEBP(FN23)</f>
        <v>#NAME?</v>
      </c>
      <c r="FS23" s="2043" t="str">
        <f t="shared" ref="FS23:FS26" si="179">MOVEACC(FN23)</f>
        <v>#NAME?</v>
      </c>
      <c r="FT23" s="1015" t="str">
        <f t="shared" ref="FT23:FT26" si="180">MOVEPP(FN23)</f>
        <v>#NAME?</v>
      </c>
      <c r="FU23" s="1230"/>
      <c r="FV23" s="2048" t="s">
        <v>578</v>
      </c>
      <c r="FW23" s="1032"/>
      <c r="FX23" s="1032"/>
      <c r="FY23" s="2042" t="str">
        <f t="shared" ref="FY23:FY26" si="181">MOVEICON(FV23)</f>
        <v>#NAME?</v>
      </c>
      <c r="FZ23" s="1034" t="str">
        <f t="shared" ref="FZ23:FZ26" si="182">MOVEBP(FV23)</f>
        <v>#NAME?</v>
      </c>
      <c r="GA23" s="2043" t="str">
        <f t="shared" ref="GA23:GA26" si="183">MOVEACC(FV23)</f>
        <v>#NAME?</v>
      </c>
      <c r="GB23" s="1015" t="str">
        <f t="shared" ref="GB23:GB26" si="184">MOVEPP(FV23)</f>
        <v>#NAME?</v>
      </c>
      <c r="GC23" s="290"/>
      <c r="GE23" s="157"/>
      <c r="GH23" s="2048" t="s">
        <v>3877</v>
      </c>
      <c r="GI23" s="1032"/>
      <c r="GJ23" s="1032"/>
      <c r="GK23" s="2042" t="str">
        <f t="shared" ref="GK23:GK26" si="185">MOVEICON(GH23)</f>
        <v>#NAME?</v>
      </c>
      <c r="GL23" s="1034" t="str">
        <f t="shared" ref="GL23:GL26" si="186">MOVEBP(GH23)</f>
        <v>#NAME?</v>
      </c>
      <c r="GM23" s="2043" t="str">
        <f t="shared" ref="GM23:GM26" si="187">MOVEACC(GH23)</f>
        <v>#NAME?</v>
      </c>
      <c r="GN23" s="1015" t="str">
        <f t="shared" ref="GN23:GN26" si="188">MOVEPP(GH23)</f>
        <v>#NAME?</v>
      </c>
      <c r="GO23" s="1230"/>
      <c r="GP23" s="2048" t="s">
        <v>2095</v>
      </c>
      <c r="GQ23" s="1032"/>
      <c r="GR23" s="1032"/>
      <c r="GS23" s="2042" t="str">
        <f t="shared" ref="GS23:GS26" si="189">MOVEICON(GP23)</f>
        <v>#NAME?</v>
      </c>
      <c r="GT23" s="1034" t="str">
        <f t="shared" ref="GT23:GT26" si="190">MOVEBP(GP23)</f>
        <v>#NAME?</v>
      </c>
      <c r="GU23" s="2043" t="str">
        <f t="shared" ref="GU23:GU26" si="191">MOVEACC(GP23)</f>
        <v>#NAME?</v>
      </c>
      <c r="GV23" s="1015" t="str">
        <f t="shared" ref="GV23:GV26" si="192">MOVEPP(GP23)</f>
        <v>#NAME?</v>
      </c>
      <c r="GW23" s="290"/>
      <c r="GY23" s="157"/>
      <c r="HB23" s="2048" t="s">
        <v>3375</v>
      </c>
      <c r="HC23" s="1032"/>
      <c r="HD23" s="1032"/>
      <c r="HE23" s="2042" t="str">
        <f t="shared" ref="HE23:HE26" si="193">MOVEICON(HB23)</f>
        <v>#NAME?</v>
      </c>
      <c r="HF23" s="1034" t="str">
        <f t="shared" ref="HF23:HF26" si="194">MOVEBP(HB23)</f>
        <v>#NAME?</v>
      </c>
      <c r="HG23" s="2043" t="str">
        <f t="shared" ref="HG23:HG26" si="195">MOVEACC(HB23)</f>
        <v>#NAME?</v>
      </c>
      <c r="HH23" s="1015" t="str">
        <f t="shared" ref="HH23:HH26" si="196">MOVEPP(HB23)</f>
        <v>#NAME?</v>
      </c>
      <c r="HI23" s="1230"/>
      <c r="HJ23" s="2048" t="s">
        <v>660</v>
      </c>
      <c r="HK23" s="1032"/>
      <c r="HL23" s="1032"/>
      <c r="HM23" s="2042" t="str">
        <f t="shared" ref="HM23:HM26" si="197">MOVEICON(HJ23)</f>
        <v>#NAME?</v>
      </c>
      <c r="HN23" s="1034" t="str">
        <f t="shared" ref="HN23:HN26" si="198">MOVEBP(HJ23)</f>
        <v>#NAME?</v>
      </c>
      <c r="HO23" s="2043" t="str">
        <f t="shared" ref="HO23:HO26" si="199">MOVEACC(HJ23)</f>
        <v>#NAME?</v>
      </c>
      <c r="HP23" s="1015" t="str">
        <f t="shared" ref="HP23:HP26" si="200">MOVEPP(HJ23)</f>
        <v>#NAME?</v>
      </c>
      <c r="HQ23" s="290"/>
      <c r="HS23" s="157"/>
      <c r="HV23" s="2048" t="s">
        <v>4054</v>
      </c>
      <c r="HW23" s="1032"/>
      <c r="HX23" s="1032"/>
      <c r="HY23" s="2042" t="str">
        <f t="shared" ref="HY23:HY26" si="201">MOVEICON(HV23)</f>
        <v>#NAME?</v>
      </c>
      <c r="HZ23" s="1034" t="str">
        <f t="shared" ref="HZ23:HZ26" si="202">MOVEBP(HV23)</f>
        <v>#NAME?</v>
      </c>
      <c r="IA23" s="2043" t="str">
        <f t="shared" ref="IA23:IA26" si="203">MOVEACC(HV23)</f>
        <v>#NAME?</v>
      </c>
      <c r="IB23" s="1015" t="str">
        <f t="shared" ref="IB23:IB26" si="204">MOVEPP(HV23)</f>
        <v>#NAME?</v>
      </c>
      <c r="IC23" s="1230"/>
      <c r="ID23" s="2048" t="s">
        <v>2095</v>
      </c>
      <c r="IE23" s="1032"/>
      <c r="IF23" s="1032"/>
      <c r="IG23" s="2042" t="str">
        <f t="shared" ref="IG23:IG26" si="205">MOVEICON(ID23)</f>
        <v>#NAME?</v>
      </c>
      <c r="IH23" s="1034" t="str">
        <f t="shared" ref="IH23:IH26" si="206">MOVEBP(ID23)</f>
        <v>#NAME?</v>
      </c>
      <c r="II23" s="2043" t="str">
        <f t="shared" ref="II23:II26" si="207">MOVEACC(ID23)</f>
        <v>#NAME?</v>
      </c>
      <c r="IJ23" s="1015" t="str">
        <f t="shared" ref="IJ23:IJ26" si="208">MOVEPP(ID23)</f>
        <v>#NAME?</v>
      </c>
      <c r="IK23" s="1230"/>
      <c r="IL23" s="2048" t="s">
        <v>2732</v>
      </c>
      <c r="IM23" s="1032"/>
      <c r="IN23" s="1032"/>
      <c r="IO23" s="2042" t="str">
        <f t="shared" ref="IO23:IO26" si="209">MOVEICON(IL23)</f>
        <v>#NAME?</v>
      </c>
      <c r="IP23" s="1034" t="str">
        <f t="shared" ref="IP23:IP26" si="210">MOVEBP(IL23)</f>
        <v>#NAME?</v>
      </c>
      <c r="IQ23" s="2043" t="str">
        <f t="shared" ref="IQ23:IQ26" si="211">MOVEACC(IL23)</f>
        <v>#NAME?</v>
      </c>
      <c r="IR23" s="1015" t="str">
        <f t="shared" ref="IR23:IR26" si="212">MOVEPP(IL23)</f>
        <v>#NAME?</v>
      </c>
      <c r="IS23" s="290"/>
      <c r="IU23" s="157"/>
      <c r="IX23" s="2048" t="s">
        <v>4054</v>
      </c>
      <c r="IY23" s="1032"/>
      <c r="IZ23" s="1032"/>
      <c r="JA23" s="2042" t="str">
        <f t="shared" ref="JA23:JA26" si="213">MOVEICON(IX23)</f>
        <v>#NAME?</v>
      </c>
      <c r="JB23" s="1034" t="str">
        <f t="shared" ref="JB23:JB26" si="214">MOVEBP(IX23)</f>
        <v>#NAME?</v>
      </c>
      <c r="JC23" s="2043" t="str">
        <f t="shared" ref="JC23:JC26" si="215">MOVEACC(IX23)</f>
        <v>#NAME?</v>
      </c>
      <c r="JD23" s="1015" t="str">
        <f t="shared" ref="JD23:JD26" si="216">MOVEPP(IX23)</f>
        <v>#NAME?</v>
      </c>
      <c r="JE23" s="1230"/>
      <c r="JF23" s="2048" t="s">
        <v>2095</v>
      </c>
      <c r="JG23" s="1032"/>
      <c r="JH23" s="1032"/>
      <c r="JI23" s="2042" t="str">
        <f t="shared" ref="JI23:JI26" si="217">MOVEICON(JF23)</f>
        <v>#NAME?</v>
      </c>
      <c r="JJ23" s="1034" t="str">
        <f t="shared" ref="JJ23:JJ26" si="218">MOVEBP(JF23)</f>
        <v>#NAME?</v>
      </c>
      <c r="JK23" s="2043" t="str">
        <f t="shared" ref="JK23:JK26" si="219">MOVEACC(JF23)</f>
        <v>#NAME?</v>
      </c>
      <c r="JL23" s="1015" t="str">
        <f t="shared" ref="JL23:JL26" si="220">MOVEPP(JF23)</f>
        <v>#NAME?</v>
      </c>
      <c r="JM23" s="1230"/>
      <c r="JN23" s="2048" t="s">
        <v>2732</v>
      </c>
      <c r="JO23" s="1032"/>
      <c r="JP23" s="1032"/>
      <c r="JQ23" s="2042" t="str">
        <f t="shared" ref="JQ23:JQ26" si="221">MOVEICON(JN23)</f>
        <v>#NAME?</v>
      </c>
      <c r="JR23" s="1034" t="str">
        <f t="shared" ref="JR23:JR26" si="222">MOVEBP(JN23)</f>
        <v>#NAME?</v>
      </c>
      <c r="JS23" s="2043" t="str">
        <f t="shared" ref="JS23:JS26" si="223">MOVEACC(JN23)</f>
        <v>#NAME?</v>
      </c>
      <c r="JT23" s="1015" t="str">
        <f t="shared" ref="JT23:JT26" si="224">MOVEPP(JN23)</f>
        <v>#NAME?</v>
      </c>
      <c r="JU23" s="290"/>
      <c r="JW23" s="157"/>
      <c r="JZ23" s="2048" t="s">
        <v>2872</v>
      </c>
      <c r="KA23" s="1032"/>
      <c r="KB23" s="1032"/>
      <c r="KC23" s="2042" t="str">
        <f t="shared" ref="KC23:KC26" si="225">MOVEICON(JZ23)</f>
        <v>#NAME?</v>
      </c>
      <c r="KD23" s="1034" t="str">
        <f t="shared" ref="KD23:KD26" si="226">MOVEBP(JZ23)</f>
        <v>#NAME?</v>
      </c>
      <c r="KE23" s="2043" t="str">
        <f t="shared" ref="KE23:KE26" si="227">MOVEACC(JZ23)</f>
        <v>#NAME?</v>
      </c>
      <c r="KF23" s="1015" t="str">
        <f t="shared" ref="KF23:KF26" si="228">MOVEPP(JZ23)</f>
        <v>#NAME?</v>
      </c>
      <c r="KG23" s="1230"/>
      <c r="KH23" s="2048" t="s">
        <v>1333</v>
      </c>
      <c r="KI23" s="1032"/>
      <c r="KJ23" s="1032"/>
      <c r="KK23" s="2042" t="str">
        <f t="shared" ref="KK23:KK26" si="229">MOVEICON(KH23)</f>
        <v>#NAME?</v>
      </c>
      <c r="KL23" s="1034" t="str">
        <f t="shared" ref="KL23:KL26" si="230">MOVEBP(KH23)</f>
        <v>#NAME?</v>
      </c>
      <c r="KM23" s="2043" t="str">
        <f t="shared" ref="KM23:KM26" si="231">MOVEACC(KH23)</f>
        <v>#NAME?</v>
      </c>
      <c r="KN23" s="1015" t="str">
        <f t="shared" ref="KN23:KN26" si="232">MOVEPP(KH23)</f>
        <v>#NAME?</v>
      </c>
      <c r="KO23" s="290"/>
      <c r="KQ23" s="157"/>
      <c r="KT23" s="2048" t="s">
        <v>292</v>
      </c>
      <c r="KU23" s="1032"/>
      <c r="KV23" s="1032"/>
      <c r="KW23" s="2042" t="str">
        <f t="shared" ref="KW23:KW26" si="233">MOVEICON(KT23)</f>
        <v>#NAME?</v>
      </c>
      <c r="KX23" s="1034" t="str">
        <f t="shared" ref="KX23:KX26" si="234">MOVEBP(KT23)</f>
        <v>#NAME?</v>
      </c>
      <c r="KY23" s="2043" t="str">
        <f t="shared" ref="KY23:KY26" si="235">MOVEACC(KT23)</f>
        <v>#NAME?</v>
      </c>
      <c r="KZ23" s="1015" t="str">
        <f t="shared" ref="KZ23:KZ26" si="236">MOVEPP(KT23)</f>
        <v>#NAME?</v>
      </c>
      <c r="LA23" s="1230"/>
      <c r="LB23" s="2048" t="s">
        <v>2236</v>
      </c>
      <c r="LC23" s="1032"/>
      <c r="LD23" s="1032"/>
      <c r="LE23" s="2042" t="str">
        <f t="shared" ref="LE23:LE26" si="237">MOVEICON(LB23)</f>
        <v>#NAME?</v>
      </c>
      <c r="LF23" s="1034" t="str">
        <f t="shared" ref="LF23:LF26" si="238">MOVEBP(LB23)</f>
        <v>#NAME?</v>
      </c>
      <c r="LG23" s="2043" t="str">
        <f t="shared" ref="LG23:LG26" si="239">MOVEACC(LB23)</f>
        <v>#NAME?</v>
      </c>
      <c r="LH23" s="1015" t="str">
        <f t="shared" ref="LH23:LH26" si="240">MOVEPP(LB23)</f>
        <v>#NAME?</v>
      </c>
      <c r="LI23" s="290"/>
    </row>
    <row r="24" ht="15.75" customHeight="1">
      <c r="A24" s="1238"/>
      <c r="B24" s="2097" t="s">
        <v>10702</v>
      </c>
      <c r="C24" s="1230"/>
      <c r="D24" s="1436" t="s">
        <v>10703</v>
      </c>
      <c r="E24" s="428"/>
      <c r="F24" s="2147" t="s">
        <v>10704</v>
      </c>
      <c r="G24" s="1230"/>
      <c r="H24" s="1947" t="s">
        <v>10705</v>
      </c>
      <c r="I24" s="128"/>
      <c r="J24" s="1230"/>
      <c r="K24" s="2123" t="s">
        <v>4541</v>
      </c>
      <c r="L24" s="1863"/>
      <c r="M24" s="2124" t="s">
        <v>10687</v>
      </c>
      <c r="N24" s="1863"/>
      <c r="O24" s="2124" t="s">
        <v>10687</v>
      </c>
      <c r="P24" s="2123"/>
      <c r="Q24" s="1154"/>
      <c r="R24" s="2123"/>
      <c r="S24" s="1154"/>
      <c r="T24" s="2123"/>
      <c r="U24" s="1154"/>
      <c r="V24" s="2123"/>
      <c r="W24" s="1154"/>
      <c r="X24" s="2123"/>
      <c r="Y24" s="1154"/>
      <c r="AA24" s="157"/>
      <c r="AD24" s="1831" t="s">
        <v>2880</v>
      </c>
      <c r="AE24" s="138"/>
      <c r="AF24" s="138"/>
      <c r="AG24" s="2042" t="str">
        <f t="shared" si="121"/>
        <v>#NAME?</v>
      </c>
      <c r="AH24" s="1034" t="str">
        <f t="shared" si="122"/>
        <v>#NAME?</v>
      </c>
      <c r="AI24" s="2029" t="str">
        <f t="shared" si="123"/>
        <v>#NAME?</v>
      </c>
      <c r="AJ24" s="1015" t="str">
        <f t="shared" si="124"/>
        <v>#NAME?</v>
      </c>
      <c r="AK24" s="1230"/>
      <c r="AL24" s="1831" t="s">
        <v>3823</v>
      </c>
      <c r="AM24" s="138"/>
      <c r="AN24" s="138"/>
      <c r="AO24" s="2042" t="str">
        <f t="shared" si="125"/>
        <v>#NAME?</v>
      </c>
      <c r="AP24" s="1034" t="str">
        <f t="shared" si="126"/>
        <v>#NAME?</v>
      </c>
      <c r="AQ24" s="2029" t="str">
        <f t="shared" si="127"/>
        <v>#NAME?</v>
      </c>
      <c r="AR24" s="1015" t="str">
        <f t="shared" si="128"/>
        <v>#NAME?</v>
      </c>
      <c r="AS24" s="290"/>
      <c r="AU24" s="157"/>
      <c r="AX24" s="1831" t="s">
        <v>2821</v>
      </c>
      <c r="AY24" s="138"/>
      <c r="AZ24" s="138"/>
      <c r="BA24" s="2042" t="str">
        <f t="shared" si="129"/>
        <v>#NAME?</v>
      </c>
      <c r="BB24" s="1034" t="str">
        <f t="shared" si="130"/>
        <v>#NAME?</v>
      </c>
      <c r="BC24" s="2029" t="str">
        <f t="shared" si="131"/>
        <v>#NAME?</v>
      </c>
      <c r="BD24" s="1015" t="str">
        <f t="shared" si="132"/>
        <v>#NAME?</v>
      </c>
      <c r="BE24" s="1230"/>
      <c r="BF24" s="1831" t="s">
        <v>3870</v>
      </c>
      <c r="BG24" s="138"/>
      <c r="BH24" s="138"/>
      <c r="BI24" s="2042" t="str">
        <f t="shared" si="133"/>
        <v>#NAME?</v>
      </c>
      <c r="BJ24" s="1034" t="str">
        <f t="shared" si="134"/>
        <v>#NAME?</v>
      </c>
      <c r="BK24" s="2029" t="str">
        <f t="shared" si="135"/>
        <v>#NAME?</v>
      </c>
      <c r="BL24" s="1015" t="str">
        <f t="shared" si="136"/>
        <v>#NAME?</v>
      </c>
      <c r="BM24" s="290"/>
      <c r="BO24" s="157"/>
      <c r="BR24" s="1831" t="s">
        <v>2541</v>
      </c>
      <c r="BS24" s="138"/>
      <c r="BT24" s="138"/>
      <c r="BU24" s="2042" t="str">
        <f t="shared" si="137"/>
        <v>#NAME?</v>
      </c>
      <c r="BV24" s="1034" t="str">
        <f t="shared" si="138"/>
        <v>#NAME?</v>
      </c>
      <c r="BW24" s="2029" t="str">
        <f t="shared" si="139"/>
        <v>#NAME?</v>
      </c>
      <c r="BX24" s="1015" t="str">
        <f t="shared" si="140"/>
        <v>#NAME?</v>
      </c>
      <c r="BY24" s="1230"/>
      <c r="BZ24" s="1831" t="s">
        <v>1225</v>
      </c>
      <c r="CA24" s="138"/>
      <c r="CB24" s="138"/>
      <c r="CC24" s="2042" t="str">
        <f t="shared" si="141"/>
        <v>#NAME?</v>
      </c>
      <c r="CD24" s="1034" t="str">
        <f t="shared" si="142"/>
        <v>#NAME?</v>
      </c>
      <c r="CE24" s="2029" t="str">
        <f t="shared" si="143"/>
        <v>#NAME?</v>
      </c>
      <c r="CF24" s="1015" t="str">
        <f t="shared" si="144"/>
        <v>#NAME?</v>
      </c>
      <c r="CG24" s="290"/>
      <c r="CI24" s="157"/>
      <c r="CL24" s="1831" t="s">
        <v>3835</v>
      </c>
      <c r="CM24" s="138"/>
      <c r="CN24" s="138"/>
      <c r="CO24" s="2042" t="str">
        <f t="shared" si="145"/>
        <v>#NAME?</v>
      </c>
      <c r="CP24" s="1034" t="str">
        <f t="shared" si="146"/>
        <v>#NAME?</v>
      </c>
      <c r="CQ24" s="2029" t="str">
        <f t="shared" si="147"/>
        <v>#NAME?</v>
      </c>
      <c r="CR24" s="1015" t="str">
        <f t="shared" si="148"/>
        <v>#NAME?</v>
      </c>
      <c r="CS24" s="1230"/>
      <c r="CT24" s="1831" t="s">
        <v>621</v>
      </c>
      <c r="CU24" s="138"/>
      <c r="CV24" s="138"/>
      <c r="CW24" s="2042" t="str">
        <f t="shared" si="149"/>
        <v>#NAME?</v>
      </c>
      <c r="CX24" s="1034" t="str">
        <f t="shared" si="150"/>
        <v>#NAME?</v>
      </c>
      <c r="CY24" s="2029" t="str">
        <f t="shared" si="151"/>
        <v>#NAME?</v>
      </c>
      <c r="CZ24" s="1015" t="str">
        <f t="shared" si="152"/>
        <v>#NAME?</v>
      </c>
      <c r="DA24" s="290"/>
      <c r="DC24" s="157"/>
      <c r="DF24" s="1831" t="s">
        <v>2095</v>
      </c>
      <c r="DG24" s="138"/>
      <c r="DH24" s="138"/>
      <c r="DI24" s="2042" t="str">
        <f t="shared" si="153"/>
        <v>#NAME?</v>
      </c>
      <c r="DJ24" s="1034" t="str">
        <f t="shared" si="154"/>
        <v>#NAME?</v>
      </c>
      <c r="DK24" s="2029" t="str">
        <f t="shared" si="155"/>
        <v>#NAME?</v>
      </c>
      <c r="DL24" s="1015" t="str">
        <f t="shared" si="156"/>
        <v>#NAME?</v>
      </c>
      <c r="DM24" s="1230"/>
      <c r="DN24" s="1831" t="s">
        <v>2541</v>
      </c>
      <c r="DO24" s="138"/>
      <c r="DP24" s="138"/>
      <c r="DQ24" s="2042" t="str">
        <f t="shared" si="157"/>
        <v>#NAME?</v>
      </c>
      <c r="DR24" s="1034" t="str">
        <f t="shared" si="158"/>
        <v>#NAME?</v>
      </c>
      <c r="DS24" s="2029" t="str">
        <f t="shared" si="159"/>
        <v>#NAME?</v>
      </c>
      <c r="DT24" s="1015" t="str">
        <f t="shared" si="160"/>
        <v>#NAME?</v>
      </c>
      <c r="DU24" s="290"/>
      <c r="DW24" s="157"/>
      <c r="DZ24" s="1831" t="s">
        <v>3545</v>
      </c>
      <c r="EA24" s="138"/>
      <c r="EB24" s="138"/>
      <c r="EC24" s="2042" t="str">
        <f t="shared" si="161"/>
        <v>#NAME?</v>
      </c>
      <c r="ED24" s="1034" t="str">
        <f t="shared" si="162"/>
        <v>#NAME?</v>
      </c>
      <c r="EE24" s="2029" t="str">
        <f t="shared" si="163"/>
        <v>#NAME?</v>
      </c>
      <c r="EF24" s="1015" t="str">
        <f t="shared" si="164"/>
        <v>#NAME?</v>
      </c>
      <c r="EG24" s="1230"/>
      <c r="EH24" s="1831" t="s">
        <v>2996</v>
      </c>
      <c r="EI24" s="138"/>
      <c r="EJ24" s="138"/>
      <c r="EK24" s="2042" t="str">
        <f t="shared" si="165"/>
        <v>#NAME?</v>
      </c>
      <c r="EL24" s="1034" t="str">
        <f t="shared" si="166"/>
        <v>#NAME?</v>
      </c>
      <c r="EM24" s="2029" t="str">
        <f t="shared" si="167"/>
        <v>#NAME?</v>
      </c>
      <c r="EN24" s="1015" t="str">
        <f t="shared" si="168"/>
        <v>#NAME?</v>
      </c>
      <c r="EO24" s="290"/>
      <c r="EQ24" s="157"/>
      <c r="ET24" s="1831" t="s">
        <v>3117</v>
      </c>
      <c r="EU24" s="138"/>
      <c r="EV24" s="138"/>
      <c r="EW24" s="2042" t="str">
        <f t="shared" si="169"/>
        <v>#NAME?</v>
      </c>
      <c r="EX24" s="1034" t="str">
        <f t="shared" si="170"/>
        <v>#NAME?</v>
      </c>
      <c r="EY24" s="2029" t="str">
        <f t="shared" si="171"/>
        <v>#NAME?</v>
      </c>
      <c r="EZ24" s="1015" t="str">
        <f t="shared" si="172"/>
        <v>#NAME?</v>
      </c>
      <c r="FA24" s="1230"/>
      <c r="FB24" s="1831" t="s">
        <v>3625</v>
      </c>
      <c r="FC24" s="138"/>
      <c r="FD24" s="138"/>
      <c r="FE24" s="2042" t="str">
        <f t="shared" si="173"/>
        <v>#NAME?</v>
      </c>
      <c r="FF24" s="1034" t="str">
        <f t="shared" si="174"/>
        <v>#NAME?</v>
      </c>
      <c r="FG24" s="2029" t="str">
        <f t="shared" si="175"/>
        <v>#NAME?</v>
      </c>
      <c r="FH24" s="1015" t="str">
        <f t="shared" si="176"/>
        <v>#NAME?</v>
      </c>
      <c r="FI24" s="290"/>
      <c r="FK24" s="157"/>
      <c r="FN24" s="1831" t="s">
        <v>578</v>
      </c>
      <c r="FO24" s="138"/>
      <c r="FP24" s="138"/>
      <c r="FQ24" s="2042" t="str">
        <f t="shared" si="177"/>
        <v>#NAME?</v>
      </c>
      <c r="FR24" s="1034" t="str">
        <f t="shared" si="178"/>
        <v>#NAME?</v>
      </c>
      <c r="FS24" s="2029" t="str">
        <f t="shared" si="179"/>
        <v>#NAME?</v>
      </c>
      <c r="FT24" s="1015" t="str">
        <f t="shared" si="180"/>
        <v>#NAME?</v>
      </c>
      <c r="FU24" s="1230"/>
      <c r="FV24" s="1831" t="s">
        <v>3625</v>
      </c>
      <c r="FW24" s="138"/>
      <c r="FX24" s="138"/>
      <c r="FY24" s="2042" t="str">
        <f t="shared" si="181"/>
        <v>#NAME?</v>
      </c>
      <c r="FZ24" s="1034" t="str">
        <f t="shared" si="182"/>
        <v>#NAME?</v>
      </c>
      <c r="GA24" s="2029" t="str">
        <f t="shared" si="183"/>
        <v>#NAME?</v>
      </c>
      <c r="GB24" s="1015" t="str">
        <f t="shared" si="184"/>
        <v>#NAME?</v>
      </c>
      <c r="GC24" s="290"/>
      <c r="GE24" s="157"/>
      <c r="GH24" s="1831" t="s">
        <v>1044</v>
      </c>
      <c r="GI24" s="138"/>
      <c r="GJ24" s="138"/>
      <c r="GK24" s="2042" t="str">
        <f t="shared" si="185"/>
        <v>#NAME?</v>
      </c>
      <c r="GL24" s="1034" t="str">
        <f t="shared" si="186"/>
        <v>#NAME?</v>
      </c>
      <c r="GM24" s="2029" t="str">
        <f t="shared" si="187"/>
        <v>#NAME?</v>
      </c>
      <c r="GN24" s="1015" t="str">
        <f t="shared" si="188"/>
        <v>#NAME?</v>
      </c>
      <c r="GO24" s="1230"/>
      <c r="GP24" s="1831" t="s">
        <v>3497</v>
      </c>
      <c r="GQ24" s="138"/>
      <c r="GR24" s="138"/>
      <c r="GS24" s="2042" t="str">
        <f t="shared" si="189"/>
        <v>#NAME?</v>
      </c>
      <c r="GT24" s="1034" t="str">
        <f t="shared" si="190"/>
        <v>#NAME?</v>
      </c>
      <c r="GU24" s="2029" t="str">
        <f t="shared" si="191"/>
        <v>#NAME?</v>
      </c>
      <c r="GV24" s="1015" t="str">
        <f t="shared" si="192"/>
        <v>#NAME?</v>
      </c>
      <c r="GW24" s="290"/>
      <c r="GY24" s="157"/>
      <c r="HB24" s="1831" t="s">
        <v>2053</v>
      </c>
      <c r="HC24" s="138"/>
      <c r="HD24" s="138"/>
      <c r="HE24" s="2042" t="str">
        <f t="shared" si="193"/>
        <v>#NAME?</v>
      </c>
      <c r="HF24" s="1034" t="str">
        <f t="shared" si="194"/>
        <v>#NAME?</v>
      </c>
      <c r="HG24" s="2029" t="str">
        <f t="shared" si="195"/>
        <v>#NAME?</v>
      </c>
      <c r="HH24" s="1015" t="str">
        <f t="shared" si="196"/>
        <v>#NAME?</v>
      </c>
      <c r="HI24" s="1230"/>
      <c r="HJ24" s="1831" t="s">
        <v>875</v>
      </c>
      <c r="HK24" s="138"/>
      <c r="HL24" s="138"/>
      <c r="HM24" s="2042" t="str">
        <f t="shared" si="197"/>
        <v>#NAME?</v>
      </c>
      <c r="HN24" s="1034" t="str">
        <f t="shared" si="198"/>
        <v>#NAME?</v>
      </c>
      <c r="HO24" s="2029" t="str">
        <f t="shared" si="199"/>
        <v>#NAME?</v>
      </c>
      <c r="HP24" s="1015" t="str">
        <f t="shared" si="200"/>
        <v>#NAME?</v>
      </c>
      <c r="HQ24" s="290"/>
      <c r="HS24" s="157"/>
      <c r="HV24" s="1831" t="s">
        <v>4130</v>
      </c>
      <c r="HW24" s="138"/>
      <c r="HX24" s="138"/>
      <c r="HY24" s="2042" t="str">
        <f t="shared" si="201"/>
        <v>#NAME?</v>
      </c>
      <c r="HZ24" s="1034" t="str">
        <f t="shared" si="202"/>
        <v>#NAME?</v>
      </c>
      <c r="IA24" s="2029" t="str">
        <f t="shared" si="203"/>
        <v>#NAME?</v>
      </c>
      <c r="IB24" s="1015" t="str">
        <f t="shared" si="204"/>
        <v>#NAME?</v>
      </c>
      <c r="IC24" s="1230"/>
      <c r="ID24" s="1831" t="s">
        <v>1862</v>
      </c>
      <c r="IE24" s="138"/>
      <c r="IF24" s="138"/>
      <c r="IG24" s="2042" t="str">
        <f t="shared" si="205"/>
        <v>#NAME?</v>
      </c>
      <c r="IH24" s="1034" t="str">
        <f t="shared" si="206"/>
        <v>#NAME?</v>
      </c>
      <c r="II24" s="2029" t="str">
        <f t="shared" si="207"/>
        <v>#NAME?</v>
      </c>
      <c r="IJ24" s="1015" t="str">
        <f t="shared" si="208"/>
        <v>#NAME?</v>
      </c>
      <c r="IK24" s="1230"/>
      <c r="IL24" s="1831" t="s">
        <v>4096</v>
      </c>
      <c r="IM24" s="138"/>
      <c r="IN24" s="138"/>
      <c r="IO24" s="2042" t="str">
        <f t="shared" si="209"/>
        <v>#NAME?</v>
      </c>
      <c r="IP24" s="1034" t="str">
        <f t="shared" si="210"/>
        <v>#NAME?</v>
      </c>
      <c r="IQ24" s="2029" t="str">
        <f t="shared" si="211"/>
        <v>#NAME?</v>
      </c>
      <c r="IR24" s="1015" t="str">
        <f t="shared" si="212"/>
        <v>#NAME?</v>
      </c>
      <c r="IS24" s="290"/>
      <c r="IU24" s="157"/>
      <c r="IX24" s="1831" t="s">
        <v>4130</v>
      </c>
      <c r="IY24" s="138"/>
      <c r="IZ24" s="138"/>
      <c r="JA24" s="2042" t="str">
        <f t="shared" si="213"/>
        <v>#NAME?</v>
      </c>
      <c r="JB24" s="1034" t="str">
        <f t="shared" si="214"/>
        <v>#NAME?</v>
      </c>
      <c r="JC24" s="2029" t="str">
        <f t="shared" si="215"/>
        <v>#NAME?</v>
      </c>
      <c r="JD24" s="1015" t="str">
        <f t="shared" si="216"/>
        <v>#NAME?</v>
      </c>
      <c r="JE24" s="1230"/>
      <c r="JF24" s="1831" t="s">
        <v>1862</v>
      </c>
      <c r="JG24" s="138"/>
      <c r="JH24" s="138"/>
      <c r="JI24" s="2042" t="str">
        <f t="shared" si="217"/>
        <v>#NAME?</v>
      </c>
      <c r="JJ24" s="1034" t="str">
        <f t="shared" si="218"/>
        <v>#NAME?</v>
      </c>
      <c r="JK24" s="2029" t="str">
        <f t="shared" si="219"/>
        <v>#NAME?</v>
      </c>
      <c r="JL24" s="1015" t="str">
        <f t="shared" si="220"/>
        <v>#NAME?</v>
      </c>
      <c r="JM24" s="1230"/>
      <c r="JN24" s="1831" t="s">
        <v>4096</v>
      </c>
      <c r="JO24" s="138"/>
      <c r="JP24" s="138"/>
      <c r="JQ24" s="2042" t="str">
        <f t="shared" si="221"/>
        <v>#NAME?</v>
      </c>
      <c r="JR24" s="1034" t="str">
        <f t="shared" si="222"/>
        <v>#NAME?</v>
      </c>
      <c r="JS24" s="2029" t="str">
        <f t="shared" si="223"/>
        <v>#NAME?</v>
      </c>
      <c r="JT24" s="1015" t="str">
        <f t="shared" si="224"/>
        <v>#NAME?</v>
      </c>
      <c r="JU24" s="290"/>
      <c r="JW24" s="157"/>
      <c r="JZ24" s="1831" t="s">
        <v>548</v>
      </c>
      <c r="KA24" s="138"/>
      <c r="KB24" s="138"/>
      <c r="KC24" s="2042" t="str">
        <f t="shared" si="225"/>
        <v>#NAME?</v>
      </c>
      <c r="KD24" s="1034" t="str">
        <f t="shared" si="226"/>
        <v>#NAME?</v>
      </c>
      <c r="KE24" s="2029" t="str">
        <f t="shared" si="227"/>
        <v>#NAME?</v>
      </c>
      <c r="KF24" s="1015" t="str">
        <f t="shared" si="228"/>
        <v>#NAME?</v>
      </c>
      <c r="KG24" s="1230"/>
      <c r="KH24" s="1831" t="s">
        <v>3784</v>
      </c>
      <c r="KI24" s="138"/>
      <c r="KJ24" s="138"/>
      <c r="KK24" s="2042" t="str">
        <f t="shared" si="229"/>
        <v>#NAME?</v>
      </c>
      <c r="KL24" s="1034" t="str">
        <f t="shared" si="230"/>
        <v>#NAME?</v>
      </c>
      <c r="KM24" s="2029" t="str">
        <f t="shared" si="231"/>
        <v>#NAME?</v>
      </c>
      <c r="KN24" s="1015" t="str">
        <f t="shared" si="232"/>
        <v>#NAME?</v>
      </c>
      <c r="KO24" s="290"/>
      <c r="KQ24" s="157"/>
      <c r="KT24" s="1831" t="s">
        <v>3675</v>
      </c>
      <c r="KU24" s="138"/>
      <c r="KV24" s="138"/>
      <c r="KW24" s="2042" t="str">
        <f t="shared" si="233"/>
        <v>#NAME?</v>
      </c>
      <c r="KX24" s="1034" t="str">
        <f t="shared" si="234"/>
        <v>#NAME?</v>
      </c>
      <c r="KY24" s="2029" t="str">
        <f t="shared" si="235"/>
        <v>#NAME?</v>
      </c>
      <c r="KZ24" s="1015" t="str">
        <f t="shared" si="236"/>
        <v>#NAME?</v>
      </c>
      <c r="LA24" s="1230"/>
      <c r="LB24" s="1831" t="s">
        <v>4023</v>
      </c>
      <c r="LC24" s="138"/>
      <c r="LD24" s="138"/>
      <c r="LE24" s="2042" t="str">
        <f t="shared" si="237"/>
        <v>#NAME?</v>
      </c>
      <c r="LF24" s="1034" t="str">
        <f t="shared" si="238"/>
        <v>#NAME?</v>
      </c>
      <c r="LG24" s="2029" t="str">
        <f t="shared" si="239"/>
        <v>#NAME?</v>
      </c>
      <c r="LH24" s="1015" t="str">
        <f t="shared" si="240"/>
        <v>#NAME?</v>
      </c>
      <c r="LI24" s="290"/>
    </row>
    <row r="25" ht="15.75" customHeight="1">
      <c r="A25" s="1238"/>
      <c r="B25" s="1230"/>
      <c r="C25" s="1230"/>
      <c r="D25" s="2142" t="s">
        <v>10706</v>
      </c>
      <c r="E25" s="428"/>
      <c r="F25" s="428"/>
      <c r="G25" s="1230"/>
      <c r="H25" s="1914" t="s">
        <v>10707</v>
      </c>
      <c r="I25" s="414"/>
      <c r="J25" s="1230"/>
      <c r="K25" s="1860"/>
      <c r="L25" s="1860"/>
      <c r="M25" s="30"/>
      <c r="N25" s="1860"/>
      <c r="O25" s="30"/>
      <c r="P25" s="1860"/>
      <c r="Q25" s="30"/>
      <c r="R25" s="1860"/>
      <c r="S25" s="30"/>
      <c r="T25" s="1860"/>
      <c r="U25" s="30"/>
      <c r="V25" s="1860"/>
      <c r="W25" s="30"/>
      <c r="X25" s="1860"/>
      <c r="Y25" s="30"/>
      <c r="AA25" s="157"/>
      <c r="AD25" s="1831" t="s">
        <v>1965</v>
      </c>
      <c r="AE25" s="138"/>
      <c r="AF25" s="138"/>
      <c r="AG25" s="2042" t="str">
        <f t="shared" si="121"/>
        <v>#NAME?</v>
      </c>
      <c r="AH25" s="1034" t="str">
        <f t="shared" si="122"/>
        <v>#NAME?</v>
      </c>
      <c r="AI25" s="2029" t="str">
        <f t="shared" si="123"/>
        <v>#NAME?</v>
      </c>
      <c r="AJ25" s="1015" t="str">
        <f t="shared" si="124"/>
        <v>#NAME?</v>
      </c>
      <c r="AK25" s="1230"/>
      <c r="AL25" s="1831" t="s">
        <v>480</v>
      </c>
      <c r="AM25" s="138"/>
      <c r="AN25" s="138"/>
      <c r="AO25" s="2042" t="str">
        <f t="shared" si="125"/>
        <v>#NAME?</v>
      </c>
      <c r="AP25" s="1034" t="str">
        <f t="shared" si="126"/>
        <v>#NAME?</v>
      </c>
      <c r="AQ25" s="2029" t="str">
        <f t="shared" si="127"/>
        <v>#NAME?</v>
      </c>
      <c r="AR25" s="1015" t="str">
        <f t="shared" si="128"/>
        <v>#NAME?</v>
      </c>
      <c r="AS25" s="290"/>
      <c r="AU25" s="157"/>
      <c r="AX25" s="1831" t="s">
        <v>2767</v>
      </c>
      <c r="AY25" s="138"/>
      <c r="AZ25" s="138"/>
      <c r="BA25" s="2042" t="str">
        <f t="shared" si="129"/>
        <v>#NAME?</v>
      </c>
      <c r="BB25" s="1034" t="str">
        <f t="shared" si="130"/>
        <v>#NAME?</v>
      </c>
      <c r="BC25" s="2029" t="str">
        <f t="shared" si="131"/>
        <v>#NAME?</v>
      </c>
      <c r="BD25" s="1015" t="str">
        <f t="shared" si="132"/>
        <v>#NAME?</v>
      </c>
      <c r="BE25" s="1230"/>
      <c r="BF25" s="1831" t="s">
        <v>2095</v>
      </c>
      <c r="BG25" s="138"/>
      <c r="BH25" s="138"/>
      <c r="BI25" s="2042" t="str">
        <f t="shared" si="133"/>
        <v>#NAME?</v>
      </c>
      <c r="BJ25" s="1034" t="str">
        <f t="shared" si="134"/>
        <v>#NAME?</v>
      </c>
      <c r="BK25" s="2029" t="str">
        <f t="shared" si="135"/>
        <v>#NAME?</v>
      </c>
      <c r="BL25" s="1015" t="str">
        <f t="shared" si="136"/>
        <v>#NAME?</v>
      </c>
      <c r="BM25" s="290"/>
      <c r="BO25" s="157"/>
      <c r="BR25" s="1831" t="s">
        <v>4172</v>
      </c>
      <c r="BS25" s="138"/>
      <c r="BT25" s="138"/>
      <c r="BU25" s="2042" t="str">
        <f t="shared" si="137"/>
        <v>#NAME?</v>
      </c>
      <c r="BV25" s="1034" t="str">
        <f t="shared" si="138"/>
        <v>#NAME?</v>
      </c>
      <c r="BW25" s="2029" t="str">
        <f t="shared" si="139"/>
        <v>#NAME?</v>
      </c>
      <c r="BX25" s="1015" t="str">
        <f t="shared" si="140"/>
        <v>#NAME?</v>
      </c>
      <c r="BY25" s="1230"/>
      <c r="BZ25" s="1831" t="s">
        <v>426</v>
      </c>
      <c r="CA25" s="138"/>
      <c r="CB25" s="138"/>
      <c r="CC25" s="2042" t="str">
        <f t="shared" si="141"/>
        <v>#NAME?</v>
      </c>
      <c r="CD25" s="1034" t="str">
        <f t="shared" si="142"/>
        <v>#NAME?</v>
      </c>
      <c r="CE25" s="2029" t="str">
        <f t="shared" si="143"/>
        <v>#NAME?</v>
      </c>
      <c r="CF25" s="1015" t="str">
        <f t="shared" si="144"/>
        <v>#NAME?</v>
      </c>
      <c r="CG25" s="290"/>
      <c r="CI25" s="157"/>
      <c r="CL25" s="1831" t="s">
        <v>2938</v>
      </c>
      <c r="CM25" s="138"/>
      <c r="CN25" s="138"/>
      <c r="CO25" s="2042" t="str">
        <f t="shared" si="145"/>
        <v>#NAME?</v>
      </c>
      <c r="CP25" s="1034" t="str">
        <f t="shared" si="146"/>
        <v>#NAME?</v>
      </c>
      <c r="CQ25" s="2029" t="str">
        <f t="shared" si="147"/>
        <v>#NAME?</v>
      </c>
      <c r="CR25" s="1015" t="str">
        <f t="shared" si="148"/>
        <v>#NAME?</v>
      </c>
      <c r="CS25" s="1230"/>
      <c r="CT25" s="1831" t="s">
        <v>379</v>
      </c>
      <c r="CU25" s="138"/>
      <c r="CV25" s="138"/>
      <c r="CW25" s="2042" t="str">
        <f t="shared" si="149"/>
        <v>#NAME?</v>
      </c>
      <c r="CX25" s="1034" t="str">
        <f t="shared" si="150"/>
        <v>#NAME?</v>
      </c>
      <c r="CY25" s="2029" t="str">
        <f t="shared" si="151"/>
        <v>#NAME?</v>
      </c>
      <c r="CZ25" s="1015" t="str">
        <f t="shared" si="152"/>
        <v>#NAME?</v>
      </c>
      <c r="DA25" s="290"/>
      <c r="DC25" s="157"/>
      <c r="DF25" s="1831" t="s">
        <v>2214</v>
      </c>
      <c r="DG25" s="138"/>
      <c r="DH25" s="138"/>
      <c r="DI25" s="2042" t="str">
        <f t="shared" si="153"/>
        <v>#NAME?</v>
      </c>
      <c r="DJ25" s="1034" t="str">
        <f t="shared" si="154"/>
        <v>#NAME?</v>
      </c>
      <c r="DK25" s="2029" t="str">
        <f t="shared" si="155"/>
        <v>#NAME?</v>
      </c>
      <c r="DL25" s="1015" t="str">
        <f t="shared" si="156"/>
        <v>#NAME?</v>
      </c>
      <c r="DM25" s="1230"/>
      <c r="DN25" s="1831" t="s">
        <v>2975</v>
      </c>
      <c r="DO25" s="138"/>
      <c r="DP25" s="138"/>
      <c r="DQ25" s="2042" t="str">
        <f t="shared" si="157"/>
        <v>#NAME?</v>
      </c>
      <c r="DR25" s="1034" t="str">
        <f t="shared" si="158"/>
        <v>#NAME?</v>
      </c>
      <c r="DS25" s="2029" t="str">
        <f t="shared" si="159"/>
        <v>#NAME?</v>
      </c>
      <c r="DT25" s="1015" t="str">
        <f t="shared" si="160"/>
        <v>#NAME?</v>
      </c>
      <c r="DU25" s="290"/>
      <c r="DW25" s="157"/>
      <c r="DZ25" s="1831" t="s">
        <v>875</v>
      </c>
      <c r="EA25" s="138"/>
      <c r="EB25" s="138"/>
      <c r="EC25" s="2042" t="str">
        <f t="shared" si="161"/>
        <v>#NAME?</v>
      </c>
      <c r="ED25" s="1034" t="str">
        <f t="shared" si="162"/>
        <v>#NAME?</v>
      </c>
      <c r="EE25" s="2029" t="str">
        <f t="shared" si="163"/>
        <v>#NAME?</v>
      </c>
      <c r="EF25" s="1015" t="str">
        <f t="shared" si="164"/>
        <v>#NAME?</v>
      </c>
      <c r="EG25" s="1230"/>
      <c r="EH25" s="1831" t="s">
        <v>2145</v>
      </c>
      <c r="EI25" s="138"/>
      <c r="EJ25" s="138"/>
      <c r="EK25" s="2042" t="str">
        <f t="shared" si="165"/>
        <v>#NAME?</v>
      </c>
      <c r="EL25" s="1034" t="str">
        <f t="shared" si="166"/>
        <v>#NAME?</v>
      </c>
      <c r="EM25" s="2029" t="str">
        <f t="shared" si="167"/>
        <v>#NAME?</v>
      </c>
      <c r="EN25" s="1015" t="str">
        <f t="shared" si="168"/>
        <v>#NAME?</v>
      </c>
      <c r="EO25" s="290"/>
      <c r="EQ25" s="157"/>
      <c r="ET25" s="1831" t="s">
        <v>578</v>
      </c>
      <c r="EU25" s="138"/>
      <c r="EV25" s="138"/>
      <c r="EW25" s="2042" t="str">
        <f t="shared" si="169"/>
        <v>#NAME?</v>
      </c>
      <c r="EX25" s="1034" t="str">
        <f t="shared" si="170"/>
        <v>#NAME?</v>
      </c>
      <c r="EY25" s="2029" t="str">
        <f t="shared" si="171"/>
        <v>#NAME?</v>
      </c>
      <c r="EZ25" s="1015" t="str">
        <f t="shared" si="172"/>
        <v>#NAME?</v>
      </c>
      <c r="FA25" s="1230"/>
      <c r="FB25" s="1831" t="s">
        <v>3593</v>
      </c>
      <c r="FC25" s="138"/>
      <c r="FD25" s="138"/>
      <c r="FE25" s="2042" t="str">
        <f t="shared" si="173"/>
        <v>#NAME?</v>
      </c>
      <c r="FF25" s="1034" t="str">
        <f t="shared" si="174"/>
        <v>#NAME?</v>
      </c>
      <c r="FG25" s="2029" t="str">
        <f t="shared" si="175"/>
        <v>#NAME?</v>
      </c>
      <c r="FH25" s="1015" t="str">
        <f t="shared" si="176"/>
        <v>#NAME?</v>
      </c>
      <c r="FI25" s="290"/>
      <c r="FK25" s="157"/>
      <c r="FN25" s="1831" t="s">
        <v>2316</v>
      </c>
      <c r="FO25" s="138"/>
      <c r="FP25" s="138"/>
      <c r="FQ25" s="2042" t="str">
        <f t="shared" si="177"/>
        <v>#NAME?</v>
      </c>
      <c r="FR25" s="1034" t="str">
        <f t="shared" si="178"/>
        <v>#NAME?</v>
      </c>
      <c r="FS25" s="2029" t="str">
        <f t="shared" si="179"/>
        <v>#NAME?</v>
      </c>
      <c r="FT25" s="1015" t="str">
        <f t="shared" si="180"/>
        <v>#NAME?</v>
      </c>
      <c r="FU25" s="1230"/>
      <c r="FV25" s="1831" t="s">
        <v>3593</v>
      </c>
      <c r="FW25" s="138"/>
      <c r="FX25" s="138"/>
      <c r="FY25" s="2042" t="str">
        <f t="shared" si="181"/>
        <v>#NAME?</v>
      </c>
      <c r="FZ25" s="1034" t="str">
        <f t="shared" si="182"/>
        <v>#NAME?</v>
      </c>
      <c r="GA25" s="2029" t="str">
        <f t="shared" si="183"/>
        <v>#NAME?</v>
      </c>
      <c r="GB25" s="1015" t="str">
        <f t="shared" si="184"/>
        <v>#NAME?</v>
      </c>
      <c r="GC25" s="290"/>
      <c r="GE25" s="157"/>
      <c r="GH25" s="1831" t="s">
        <v>4109</v>
      </c>
      <c r="GI25" s="138"/>
      <c r="GJ25" s="138"/>
      <c r="GK25" s="2042" t="str">
        <f t="shared" si="185"/>
        <v>#NAME?</v>
      </c>
      <c r="GL25" s="1034" t="str">
        <f t="shared" si="186"/>
        <v>#NAME?</v>
      </c>
      <c r="GM25" s="2029" t="str">
        <f t="shared" si="187"/>
        <v>#NAME?</v>
      </c>
      <c r="GN25" s="1015" t="str">
        <f t="shared" si="188"/>
        <v>#NAME?</v>
      </c>
      <c r="GO25" s="1230"/>
      <c r="GP25" s="1831" t="s">
        <v>3545</v>
      </c>
      <c r="GQ25" s="138"/>
      <c r="GR25" s="138"/>
      <c r="GS25" s="2042" t="str">
        <f t="shared" si="189"/>
        <v>#NAME?</v>
      </c>
      <c r="GT25" s="1034" t="str">
        <f t="shared" si="190"/>
        <v>#NAME?</v>
      </c>
      <c r="GU25" s="2029" t="str">
        <f t="shared" si="191"/>
        <v>#NAME?</v>
      </c>
      <c r="GV25" s="1015" t="str">
        <f t="shared" si="192"/>
        <v>#NAME?</v>
      </c>
      <c r="GW25" s="290"/>
      <c r="GY25" s="157"/>
      <c r="HB25" s="1831" t="s">
        <v>2316</v>
      </c>
      <c r="HC25" s="138"/>
      <c r="HD25" s="138"/>
      <c r="HE25" s="2042" t="str">
        <f t="shared" si="193"/>
        <v>#NAME?</v>
      </c>
      <c r="HF25" s="1034" t="str">
        <f t="shared" si="194"/>
        <v>#NAME?</v>
      </c>
      <c r="HG25" s="2029" t="str">
        <f t="shared" si="195"/>
        <v>#NAME?</v>
      </c>
      <c r="HH25" s="1015" t="str">
        <f t="shared" si="196"/>
        <v>#NAME?</v>
      </c>
      <c r="HI25" s="1230"/>
      <c r="HJ25" s="1831" t="s">
        <v>2407</v>
      </c>
      <c r="HK25" s="138"/>
      <c r="HL25" s="138"/>
      <c r="HM25" s="2042" t="str">
        <f t="shared" si="197"/>
        <v>#NAME?</v>
      </c>
      <c r="HN25" s="1034" t="str">
        <f t="shared" si="198"/>
        <v>#NAME?</v>
      </c>
      <c r="HO25" s="2029" t="str">
        <f t="shared" si="199"/>
        <v>#NAME?</v>
      </c>
      <c r="HP25" s="1015" t="str">
        <f t="shared" si="200"/>
        <v>#NAME?</v>
      </c>
      <c r="HQ25" s="290"/>
      <c r="HS25" s="157"/>
      <c r="HV25" s="1831" t="s">
        <v>3675</v>
      </c>
      <c r="HW25" s="138"/>
      <c r="HX25" s="138"/>
      <c r="HY25" s="2042" t="str">
        <f t="shared" si="201"/>
        <v>#NAME?</v>
      </c>
      <c r="HZ25" s="1034" t="str">
        <f t="shared" si="202"/>
        <v>#NAME?</v>
      </c>
      <c r="IA25" s="2029" t="str">
        <f t="shared" si="203"/>
        <v>#NAME?</v>
      </c>
      <c r="IB25" s="1015" t="str">
        <f t="shared" si="204"/>
        <v>#NAME?</v>
      </c>
      <c r="IC25" s="1230"/>
      <c r="ID25" s="1831" t="s">
        <v>3497</v>
      </c>
      <c r="IE25" s="138"/>
      <c r="IF25" s="138"/>
      <c r="IG25" s="2042" t="str">
        <f t="shared" si="205"/>
        <v>#NAME?</v>
      </c>
      <c r="IH25" s="1034" t="str">
        <f t="shared" si="206"/>
        <v>#NAME?</v>
      </c>
      <c r="II25" s="2029" t="str">
        <f t="shared" si="207"/>
        <v>#NAME?</v>
      </c>
      <c r="IJ25" s="1015" t="str">
        <f t="shared" si="208"/>
        <v>#NAME?</v>
      </c>
      <c r="IK25" s="1230"/>
      <c r="IL25" s="1831" t="s">
        <v>1357</v>
      </c>
      <c r="IM25" s="138"/>
      <c r="IN25" s="138"/>
      <c r="IO25" s="2042" t="str">
        <f t="shared" si="209"/>
        <v>#NAME?</v>
      </c>
      <c r="IP25" s="1034" t="str">
        <f t="shared" si="210"/>
        <v>#NAME?</v>
      </c>
      <c r="IQ25" s="2029" t="str">
        <f t="shared" si="211"/>
        <v>#NAME?</v>
      </c>
      <c r="IR25" s="1015" t="str">
        <f t="shared" si="212"/>
        <v>#NAME?</v>
      </c>
      <c r="IS25" s="290"/>
      <c r="IU25" s="157"/>
      <c r="IX25" s="1831" t="s">
        <v>3675</v>
      </c>
      <c r="IY25" s="138"/>
      <c r="IZ25" s="138"/>
      <c r="JA25" s="2042" t="str">
        <f t="shared" si="213"/>
        <v>#NAME?</v>
      </c>
      <c r="JB25" s="1034" t="str">
        <f t="shared" si="214"/>
        <v>#NAME?</v>
      </c>
      <c r="JC25" s="2029" t="str">
        <f t="shared" si="215"/>
        <v>#NAME?</v>
      </c>
      <c r="JD25" s="1015" t="str">
        <f t="shared" si="216"/>
        <v>#NAME?</v>
      </c>
      <c r="JE25" s="1230"/>
      <c r="JF25" s="1831" t="s">
        <v>3497</v>
      </c>
      <c r="JG25" s="138"/>
      <c r="JH25" s="138"/>
      <c r="JI25" s="2042" t="str">
        <f t="shared" si="217"/>
        <v>#NAME?</v>
      </c>
      <c r="JJ25" s="1034" t="str">
        <f t="shared" si="218"/>
        <v>#NAME?</v>
      </c>
      <c r="JK25" s="2029" t="str">
        <f t="shared" si="219"/>
        <v>#NAME?</v>
      </c>
      <c r="JL25" s="1015" t="str">
        <f t="shared" si="220"/>
        <v>#NAME?</v>
      </c>
      <c r="JM25" s="1230"/>
      <c r="JN25" s="1831" t="s">
        <v>1357</v>
      </c>
      <c r="JO25" s="138"/>
      <c r="JP25" s="138"/>
      <c r="JQ25" s="2042" t="str">
        <f t="shared" si="221"/>
        <v>#NAME?</v>
      </c>
      <c r="JR25" s="1034" t="str">
        <f t="shared" si="222"/>
        <v>#NAME?</v>
      </c>
      <c r="JS25" s="2029" t="str">
        <f t="shared" si="223"/>
        <v>#NAME?</v>
      </c>
      <c r="JT25" s="1015" t="str">
        <f t="shared" si="224"/>
        <v>#NAME?</v>
      </c>
      <c r="JU25" s="290"/>
      <c r="JW25" s="157"/>
      <c r="JZ25" s="1831" t="s">
        <v>692</v>
      </c>
      <c r="KA25" s="138"/>
      <c r="KB25" s="138"/>
      <c r="KC25" s="2042" t="str">
        <f t="shared" si="225"/>
        <v>#NAME?</v>
      </c>
      <c r="KD25" s="1034" t="str">
        <f t="shared" si="226"/>
        <v>#NAME?</v>
      </c>
      <c r="KE25" s="2029" t="str">
        <f t="shared" si="227"/>
        <v>#NAME?</v>
      </c>
      <c r="KF25" s="1015" t="str">
        <f t="shared" si="228"/>
        <v>#NAME?</v>
      </c>
      <c r="KG25" s="1230"/>
      <c r="KH25" s="1831" t="s">
        <v>2541</v>
      </c>
      <c r="KI25" s="138"/>
      <c r="KJ25" s="138"/>
      <c r="KK25" s="2042" t="str">
        <f t="shared" si="229"/>
        <v>#NAME?</v>
      </c>
      <c r="KL25" s="1034" t="str">
        <f t="shared" si="230"/>
        <v>#NAME?</v>
      </c>
      <c r="KM25" s="2029" t="str">
        <f t="shared" si="231"/>
        <v>#NAME?</v>
      </c>
      <c r="KN25" s="1015" t="str">
        <f t="shared" si="232"/>
        <v>#NAME?</v>
      </c>
      <c r="KO25" s="290"/>
      <c r="KQ25" s="157"/>
      <c r="KT25" s="1831" t="s">
        <v>4067</v>
      </c>
      <c r="KU25" s="138"/>
      <c r="KV25" s="138"/>
      <c r="KW25" s="2042" t="str">
        <f t="shared" si="233"/>
        <v>#NAME?</v>
      </c>
      <c r="KX25" s="1034" t="str">
        <f t="shared" si="234"/>
        <v>#NAME?</v>
      </c>
      <c r="KY25" s="2029" t="str">
        <f t="shared" si="235"/>
        <v>#NAME?</v>
      </c>
      <c r="KZ25" s="1015" t="str">
        <f t="shared" si="236"/>
        <v>#NAME?</v>
      </c>
      <c r="LA25" s="1230"/>
      <c r="LB25" s="1831" t="s">
        <v>4172</v>
      </c>
      <c r="LC25" s="138"/>
      <c r="LD25" s="138"/>
      <c r="LE25" s="2042" t="str">
        <f t="shared" si="237"/>
        <v>#NAME?</v>
      </c>
      <c r="LF25" s="1034" t="str">
        <f t="shared" si="238"/>
        <v>#NAME?</v>
      </c>
      <c r="LG25" s="2029" t="str">
        <f t="shared" si="239"/>
        <v>#NAME?</v>
      </c>
      <c r="LH25" s="1015" t="str">
        <f t="shared" si="240"/>
        <v>#NAME?</v>
      </c>
      <c r="LI25" s="290"/>
    </row>
    <row r="26" ht="15.75" customHeight="1">
      <c r="A26" s="1238"/>
      <c r="B26" s="2107" t="s">
        <v>10708</v>
      </c>
      <c r="C26" s="1230"/>
      <c r="D26" s="2112"/>
      <c r="E26" s="428"/>
      <c r="F26" s="2148" t="s">
        <v>10709</v>
      </c>
      <c r="G26" s="1230"/>
      <c r="I26" s="108"/>
      <c r="J26" s="1230"/>
      <c r="K26" s="2134" t="s">
        <v>5057</v>
      </c>
      <c r="L26" s="2135"/>
      <c r="M26" s="982"/>
      <c r="N26" s="2135"/>
      <c r="O26" s="982"/>
      <c r="P26" s="2135"/>
      <c r="Q26" s="982"/>
      <c r="R26" s="2135"/>
      <c r="S26" s="982"/>
      <c r="T26" s="2135"/>
      <c r="U26" s="982"/>
      <c r="V26" s="1880"/>
      <c r="W26" s="2127" t="s">
        <v>10642</v>
      </c>
      <c r="X26" s="1880"/>
      <c r="Y26" s="2127" t="s">
        <v>10642</v>
      </c>
      <c r="AA26" s="157"/>
      <c r="AD26" s="1094" t="s">
        <v>3438</v>
      </c>
      <c r="AE26" s="413"/>
      <c r="AF26" s="413"/>
      <c r="AG26" s="2063" t="str">
        <f t="shared" si="121"/>
        <v>#NAME?</v>
      </c>
      <c r="AH26" s="1054" t="str">
        <f t="shared" si="122"/>
        <v>#NAME?</v>
      </c>
      <c r="AI26" s="2033" t="str">
        <f t="shared" si="123"/>
        <v>#NAME?</v>
      </c>
      <c r="AJ26" s="1131" t="str">
        <f t="shared" si="124"/>
        <v>#NAME?</v>
      </c>
      <c r="AK26" s="1230"/>
      <c r="AL26" s="1094" t="s">
        <v>4041</v>
      </c>
      <c r="AM26" s="413"/>
      <c r="AN26" s="413"/>
      <c r="AO26" s="2063" t="str">
        <f t="shared" si="125"/>
        <v>#NAME?</v>
      </c>
      <c r="AP26" s="1054" t="str">
        <f t="shared" si="126"/>
        <v>#NAME?</v>
      </c>
      <c r="AQ26" s="2033" t="str">
        <f t="shared" si="127"/>
        <v>#NAME?</v>
      </c>
      <c r="AR26" s="1131" t="str">
        <f t="shared" si="128"/>
        <v>#NAME?</v>
      </c>
      <c r="AS26" s="290"/>
      <c r="AU26" s="157"/>
      <c r="AX26" s="1094" t="s">
        <v>660</v>
      </c>
      <c r="AY26" s="413"/>
      <c r="AZ26" s="413"/>
      <c r="BA26" s="2063" t="str">
        <f t="shared" si="129"/>
        <v>#NAME?</v>
      </c>
      <c r="BB26" s="1054" t="str">
        <f t="shared" si="130"/>
        <v>#NAME?</v>
      </c>
      <c r="BC26" s="2033" t="str">
        <f t="shared" si="131"/>
        <v>#NAME?</v>
      </c>
      <c r="BD26" s="1131" t="str">
        <f t="shared" si="132"/>
        <v>#NAME?</v>
      </c>
      <c r="BE26" s="1230"/>
      <c r="BF26" s="1094" t="s">
        <v>1727</v>
      </c>
      <c r="BG26" s="413"/>
      <c r="BH26" s="413"/>
      <c r="BI26" s="2063" t="str">
        <f t="shared" si="133"/>
        <v>#NAME?</v>
      </c>
      <c r="BJ26" s="1054" t="str">
        <f t="shared" si="134"/>
        <v>#NAME?</v>
      </c>
      <c r="BK26" s="2033" t="str">
        <f t="shared" si="135"/>
        <v>#NAME?</v>
      </c>
      <c r="BL26" s="1131" t="str">
        <f t="shared" si="136"/>
        <v>#NAME?</v>
      </c>
      <c r="BM26" s="290"/>
      <c r="BO26" s="157"/>
      <c r="BR26" s="1094" t="s">
        <v>3675</v>
      </c>
      <c r="BS26" s="413"/>
      <c r="BT26" s="413"/>
      <c r="BU26" s="2063" t="str">
        <f t="shared" si="137"/>
        <v>#NAME?</v>
      </c>
      <c r="BV26" s="1054" t="str">
        <f t="shared" si="138"/>
        <v>#NAME?</v>
      </c>
      <c r="BW26" s="2033" t="str">
        <f t="shared" si="139"/>
        <v>#NAME?</v>
      </c>
      <c r="BX26" s="1131" t="str">
        <f t="shared" si="140"/>
        <v>#NAME?</v>
      </c>
      <c r="BY26" s="1230"/>
      <c r="BZ26" s="1094" t="s">
        <v>2966</v>
      </c>
      <c r="CA26" s="413"/>
      <c r="CB26" s="413"/>
      <c r="CC26" s="2063" t="str">
        <f t="shared" si="141"/>
        <v>#NAME?</v>
      </c>
      <c r="CD26" s="1054" t="str">
        <f t="shared" si="142"/>
        <v>#NAME?</v>
      </c>
      <c r="CE26" s="2033" t="str">
        <f t="shared" si="143"/>
        <v>#NAME?</v>
      </c>
      <c r="CF26" s="1131" t="str">
        <f t="shared" si="144"/>
        <v>#NAME?</v>
      </c>
      <c r="CG26" s="290"/>
      <c r="CI26" s="157"/>
      <c r="CL26" s="1094" t="s">
        <v>3847</v>
      </c>
      <c r="CM26" s="413"/>
      <c r="CN26" s="413"/>
      <c r="CO26" s="2063" t="str">
        <f t="shared" si="145"/>
        <v>#NAME?</v>
      </c>
      <c r="CP26" s="1054" t="str">
        <f t="shared" si="146"/>
        <v>#NAME?</v>
      </c>
      <c r="CQ26" s="2033" t="str">
        <f t="shared" si="147"/>
        <v>#NAME?</v>
      </c>
      <c r="CR26" s="1131" t="str">
        <f t="shared" si="148"/>
        <v>#NAME?</v>
      </c>
      <c r="CS26" s="1230"/>
      <c r="CT26" s="1094" t="s">
        <v>1745</v>
      </c>
      <c r="CU26" s="413"/>
      <c r="CV26" s="413"/>
      <c r="CW26" s="2063" t="str">
        <f t="shared" si="149"/>
        <v>#NAME?</v>
      </c>
      <c r="CX26" s="1054" t="str">
        <f t="shared" si="150"/>
        <v>#NAME?</v>
      </c>
      <c r="CY26" s="2033" t="str">
        <f t="shared" si="151"/>
        <v>#NAME?</v>
      </c>
      <c r="CZ26" s="1131" t="str">
        <f t="shared" si="152"/>
        <v>#NAME?</v>
      </c>
      <c r="DA26" s="290"/>
      <c r="DC26" s="157"/>
      <c r="DF26" s="1094" t="s">
        <v>3877</v>
      </c>
      <c r="DG26" s="413"/>
      <c r="DH26" s="413"/>
      <c r="DI26" s="2063" t="str">
        <f t="shared" si="153"/>
        <v>#NAME?</v>
      </c>
      <c r="DJ26" s="1054" t="str">
        <f t="shared" si="154"/>
        <v>#NAME?</v>
      </c>
      <c r="DK26" s="2033" t="str">
        <f t="shared" si="155"/>
        <v>#NAME?</v>
      </c>
      <c r="DL26" s="1131" t="str">
        <f t="shared" si="156"/>
        <v>#NAME?</v>
      </c>
      <c r="DM26" s="1230"/>
      <c r="DN26" s="1094" t="s">
        <v>3530</v>
      </c>
      <c r="DO26" s="413"/>
      <c r="DP26" s="413"/>
      <c r="DQ26" s="2063" t="str">
        <f t="shared" si="157"/>
        <v>#NAME?</v>
      </c>
      <c r="DR26" s="1054" t="str">
        <f t="shared" si="158"/>
        <v>#NAME?</v>
      </c>
      <c r="DS26" s="2033" t="str">
        <f t="shared" si="159"/>
        <v>#NAME?</v>
      </c>
      <c r="DT26" s="1131" t="str">
        <f t="shared" si="160"/>
        <v>#NAME?</v>
      </c>
      <c r="DU26" s="290"/>
      <c r="DW26" s="157"/>
      <c r="DZ26" s="1094" t="s">
        <v>2847</v>
      </c>
      <c r="EA26" s="413"/>
      <c r="EB26" s="413"/>
      <c r="EC26" s="2063" t="str">
        <f t="shared" si="161"/>
        <v>#NAME?</v>
      </c>
      <c r="ED26" s="1054" t="str">
        <f t="shared" si="162"/>
        <v>#NAME?</v>
      </c>
      <c r="EE26" s="2033" t="str">
        <f t="shared" si="163"/>
        <v>#NAME?</v>
      </c>
      <c r="EF26" s="1131" t="str">
        <f t="shared" si="164"/>
        <v>#NAME?</v>
      </c>
      <c r="EG26" s="1230"/>
      <c r="EH26" s="1094" t="s">
        <v>2236</v>
      </c>
      <c r="EI26" s="413"/>
      <c r="EJ26" s="413"/>
      <c r="EK26" s="2063" t="str">
        <f t="shared" si="165"/>
        <v>#NAME?</v>
      </c>
      <c r="EL26" s="1054" t="str">
        <f t="shared" si="166"/>
        <v>#NAME?</v>
      </c>
      <c r="EM26" s="2033" t="str">
        <f t="shared" si="167"/>
        <v>#NAME?</v>
      </c>
      <c r="EN26" s="1131" t="str">
        <f t="shared" si="168"/>
        <v>#NAME?</v>
      </c>
      <c r="EO26" s="290"/>
      <c r="EQ26" s="157"/>
      <c r="ET26" s="1094" t="s">
        <v>2316</v>
      </c>
      <c r="EU26" s="413"/>
      <c r="EV26" s="413"/>
      <c r="EW26" s="2063" t="str">
        <f t="shared" si="169"/>
        <v>#NAME?</v>
      </c>
      <c r="EX26" s="1054" t="str">
        <f t="shared" si="170"/>
        <v>#NAME?</v>
      </c>
      <c r="EY26" s="2033" t="str">
        <f t="shared" si="171"/>
        <v>#NAME?</v>
      </c>
      <c r="EZ26" s="1131" t="str">
        <f t="shared" si="172"/>
        <v>#NAME?</v>
      </c>
      <c r="FA26" s="1230"/>
      <c r="FB26" s="1094" t="s">
        <v>3530</v>
      </c>
      <c r="FC26" s="413"/>
      <c r="FD26" s="413"/>
      <c r="FE26" s="2063" t="str">
        <f t="shared" si="173"/>
        <v>#NAME?</v>
      </c>
      <c r="FF26" s="1054" t="str">
        <f t="shared" si="174"/>
        <v>#NAME?</v>
      </c>
      <c r="FG26" s="2033" t="str">
        <f t="shared" si="175"/>
        <v>#NAME?</v>
      </c>
      <c r="FH26" s="1131" t="str">
        <f t="shared" si="176"/>
        <v>#NAME?</v>
      </c>
      <c r="FI26" s="290"/>
      <c r="FK26" s="157"/>
      <c r="FN26" s="1094" t="s">
        <v>3530</v>
      </c>
      <c r="FO26" s="413"/>
      <c r="FP26" s="413"/>
      <c r="FQ26" s="2063" t="str">
        <f t="shared" si="177"/>
        <v>#NAME?</v>
      </c>
      <c r="FR26" s="1054" t="str">
        <f t="shared" si="178"/>
        <v>#NAME?</v>
      </c>
      <c r="FS26" s="2033" t="str">
        <f t="shared" si="179"/>
        <v>#NAME?</v>
      </c>
      <c r="FT26" s="1131" t="str">
        <f t="shared" si="180"/>
        <v>#NAME?</v>
      </c>
      <c r="FU26" s="1230"/>
      <c r="FV26" s="1094" t="s">
        <v>3530</v>
      </c>
      <c r="FW26" s="413"/>
      <c r="FX26" s="413"/>
      <c r="FY26" s="2063" t="str">
        <f t="shared" si="181"/>
        <v>#NAME?</v>
      </c>
      <c r="FZ26" s="1054" t="str">
        <f t="shared" si="182"/>
        <v>#NAME?</v>
      </c>
      <c r="GA26" s="2033" t="str">
        <f t="shared" si="183"/>
        <v>#NAME?</v>
      </c>
      <c r="GB26" s="1131" t="str">
        <f t="shared" si="184"/>
        <v>#NAME?</v>
      </c>
      <c r="GC26" s="290"/>
      <c r="GE26" s="157"/>
      <c r="GH26" s="1094" t="s">
        <v>3375</v>
      </c>
      <c r="GI26" s="413"/>
      <c r="GJ26" s="413"/>
      <c r="GK26" s="2063" t="str">
        <f t="shared" si="185"/>
        <v>#NAME?</v>
      </c>
      <c r="GL26" s="1054" t="str">
        <f t="shared" si="186"/>
        <v>#NAME?</v>
      </c>
      <c r="GM26" s="2033" t="str">
        <f t="shared" si="187"/>
        <v>#NAME?</v>
      </c>
      <c r="GN26" s="1131" t="str">
        <f t="shared" si="188"/>
        <v>#NAME?</v>
      </c>
      <c r="GO26" s="1230"/>
      <c r="GP26" s="1094" t="s">
        <v>2725</v>
      </c>
      <c r="GQ26" s="413"/>
      <c r="GR26" s="413"/>
      <c r="GS26" s="2063" t="str">
        <f t="shared" si="189"/>
        <v>#NAME?</v>
      </c>
      <c r="GT26" s="1054" t="str">
        <f t="shared" si="190"/>
        <v>#NAME?</v>
      </c>
      <c r="GU26" s="2033" t="str">
        <f t="shared" si="191"/>
        <v>#NAME?</v>
      </c>
      <c r="GV26" s="1131" t="str">
        <f t="shared" si="192"/>
        <v>#NAME?</v>
      </c>
      <c r="GW26" s="290"/>
      <c r="GY26" s="157"/>
      <c r="HB26" s="1094" t="s">
        <v>3713</v>
      </c>
      <c r="HC26" s="413"/>
      <c r="HD26" s="413"/>
      <c r="HE26" s="2063" t="str">
        <f t="shared" si="193"/>
        <v>#NAME?</v>
      </c>
      <c r="HF26" s="1054" t="str">
        <f t="shared" si="194"/>
        <v>#NAME?</v>
      </c>
      <c r="HG26" s="2033" t="str">
        <f t="shared" si="195"/>
        <v>#NAME?</v>
      </c>
      <c r="HH26" s="1131" t="str">
        <f t="shared" si="196"/>
        <v>#NAME?</v>
      </c>
      <c r="HI26" s="1230"/>
      <c r="HJ26" s="1094" t="s">
        <v>2717</v>
      </c>
      <c r="HK26" s="413"/>
      <c r="HL26" s="413"/>
      <c r="HM26" s="2063" t="str">
        <f t="shared" si="197"/>
        <v>#NAME?</v>
      </c>
      <c r="HN26" s="1054" t="str">
        <f t="shared" si="198"/>
        <v>#NAME?</v>
      </c>
      <c r="HO26" s="2033" t="str">
        <f t="shared" si="199"/>
        <v>#NAME?</v>
      </c>
      <c r="HP26" s="1131" t="str">
        <f t="shared" si="200"/>
        <v>#NAME?</v>
      </c>
      <c r="HQ26" s="290"/>
      <c r="HS26" s="157"/>
      <c r="HV26" s="1094" t="s">
        <v>2432</v>
      </c>
      <c r="HW26" s="413"/>
      <c r="HX26" s="413"/>
      <c r="HY26" s="2063" t="str">
        <f t="shared" si="201"/>
        <v>#NAME?</v>
      </c>
      <c r="HZ26" s="1054" t="str">
        <f t="shared" si="202"/>
        <v>#NAME?</v>
      </c>
      <c r="IA26" s="2033" t="str">
        <f t="shared" si="203"/>
        <v>#NAME?</v>
      </c>
      <c r="IB26" s="1131" t="str">
        <f t="shared" si="204"/>
        <v>#NAME?</v>
      </c>
      <c r="IC26" s="1230"/>
      <c r="ID26" s="1094" t="s">
        <v>2717</v>
      </c>
      <c r="IE26" s="413"/>
      <c r="IF26" s="413"/>
      <c r="IG26" s="2063" t="str">
        <f t="shared" si="205"/>
        <v>#NAME?</v>
      </c>
      <c r="IH26" s="1054" t="str">
        <f t="shared" si="206"/>
        <v>#NAME?</v>
      </c>
      <c r="II26" s="2033" t="str">
        <f t="shared" si="207"/>
        <v>#NAME?</v>
      </c>
      <c r="IJ26" s="1131" t="str">
        <f t="shared" si="208"/>
        <v>#NAME?</v>
      </c>
      <c r="IK26" s="1230"/>
      <c r="IL26" s="1094" t="s">
        <v>2725</v>
      </c>
      <c r="IM26" s="413"/>
      <c r="IN26" s="413"/>
      <c r="IO26" s="2063" t="str">
        <f t="shared" si="209"/>
        <v>#NAME?</v>
      </c>
      <c r="IP26" s="1054" t="str">
        <f t="shared" si="210"/>
        <v>#NAME?</v>
      </c>
      <c r="IQ26" s="2033" t="str">
        <f t="shared" si="211"/>
        <v>#NAME?</v>
      </c>
      <c r="IR26" s="1131" t="str">
        <f t="shared" si="212"/>
        <v>#NAME?</v>
      </c>
      <c r="IS26" s="290"/>
      <c r="IU26" s="157"/>
      <c r="IX26" s="1094" t="s">
        <v>2432</v>
      </c>
      <c r="IY26" s="413"/>
      <c r="IZ26" s="413"/>
      <c r="JA26" s="2063" t="str">
        <f t="shared" si="213"/>
        <v>#NAME?</v>
      </c>
      <c r="JB26" s="1054" t="str">
        <f t="shared" si="214"/>
        <v>#NAME?</v>
      </c>
      <c r="JC26" s="2033" t="str">
        <f t="shared" si="215"/>
        <v>#NAME?</v>
      </c>
      <c r="JD26" s="1131" t="str">
        <f t="shared" si="216"/>
        <v>#NAME?</v>
      </c>
      <c r="JE26" s="1230"/>
      <c r="JF26" s="1094" t="s">
        <v>2717</v>
      </c>
      <c r="JG26" s="413"/>
      <c r="JH26" s="413"/>
      <c r="JI26" s="2063" t="str">
        <f t="shared" si="217"/>
        <v>#NAME?</v>
      </c>
      <c r="JJ26" s="1054" t="str">
        <f t="shared" si="218"/>
        <v>#NAME?</v>
      </c>
      <c r="JK26" s="2033" t="str">
        <f t="shared" si="219"/>
        <v>#NAME?</v>
      </c>
      <c r="JL26" s="1131" t="str">
        <f t="shared" si="220"/>
        <v>#NAME?</v>
      </c>
      <c r="JM26" s="1230"/>
      <c r="JN26" s="1094" t="s">
        <v>2725</v>
      </c>
      <c r="JO26" s="413"/>
      <c r="JP26" s="413"/>
      <c r="JQ26" s="2063" t="str">
        <f t="shared" si="221"/>
        <v>#NAME?</v>
      </c>
      <c r="JR26" s="1054" t="str">
        <f t="shared" si="222"/>
        <v>#NAME?</v>
      </c>
      <c r="JS26" s="2033" t="str">
        <f t="shared" si="223"/>
        <v>#NAME?</v>
      </c>
      <c r="JT26" s="1131" t="str">
        <f t="shared" si="224"/>
        <v>#NAME?</v>
      </c>
      <c r="JU26" s="290"/>
      <c r="JW26" s="157"/>
      <c r="JZ26" s="1094" t="s">
        <v>772</v>
      </c>
      <c r="KA26" s="413"/>
      <c r="KB26" s="413"/>
      <c r="KC26" s="2063" t="str">
        <f t="shared" si="225"/>
        <v>#NAME?</v>
      </c>
      <c r="KD26" s="1054" t="str">
        <f t="shared" si="226"/>
        <v>#NAME?</v>
      </c>
      <c r="KE26" s="2033" t="str">
        <f t="shared" si="227"/>
        <v>#NAME?</v>
      </c>
      <c r="KF26" s="1131" t="str">
        <f t="shared" si="228"/>
        <v>#NAME?</v>
      </c>
      <c r="KG26" s="1230"/>
      <c r="KH26" s="1094" t="s">
        <v>2975</v>
      </c>
      <c r="KI26" s="413"/>
      <c r="KJ26" s="413"/>
      <c r="KK26" s="2063" t="str">
        <f t="shared" si="229"/>
        <v>#NAME?</v>
      </c>
      <c r="KL26" s="1054" t="str">
        <f t="shared" si="230"/>
        <v>#NAME?</v>
      </c>
      <c r="KM26" s="2033" t="str">
        <f t="shared" si="231"/>
        <v>#NAME?</v>
      </c>
      <c r="KN26" s="1131" t="str">
        <f t="shared" si="232"/>
        <v>#NAME?</v>
      </c>
      <c r="KO26" s="290"/>
      <c r="KQ26" s="157"/>
      <c r="KT26" s="1094" t="s">
        <v>1053</v>
      </c>
      <c r="KU26" s="413"/>
      <c r="KV26" s="413"/>
      <c r="KW26" s="2063" t="str">
        <f t="shared" si="233"/>
        <v>#NAME?</v>
      </c>
      <c r="KX26" s="1054" t="str">
        <f t="shared" si="234"/>
        <v>#NAME?</v>
      </c>
      <c r="KY26" s="2033" t="str">
        <f t="shared" si="235"/>
        <v>#NAME?</v>
      </c>
      <c r="KZ26" s="1131" t="str">
        <f t="shared" si="236"/>
        <v>#NAME?</v>
      </c>
      <c r="LA26" s="1230"/>
      <c r="LB26" s="1094" t="s">
        <v>1981</v>
      </c>
      <c r="LC26" s="413"/>
      <c r="LD26" s="413"/>
      <c r="LE26" s="2063" t="str">
        <f t="shared" si="237"/>
        <v>#NAME?</v>
      </c>
      <c r="LF26" s="1054" t="str">
        <f t="shared" si="238"/>
        <v>#NAME?</v>
      </c>
      <c r="LG26" s="2033" t="str">
        <f t="shared" si="239"/>
        <v>#NAME?</v>
      </c>
      <c r="LH26" s="1131" t="str">
        <f t="shared" si="240"/>
        <v>#NAME?</v>
      </c>
      <c r="LI26" s="290"/>
    </row>
    <row r="27" ht="15.75" customHeight="1">
      <c r="A27" s="1238"/>
      <c r="B27" s="2112"/>
      <c r="C27" s="1230"/>
      <c r="D27" s="1436" t="s">
        <v>10710</v>
      </c>
      <c r="E27" s="1230"/>
      <c r="F27" s="2149" t="s">
        <v>10711</v>
      </c>
      <c r="G27" s="1230"/>
      <c r="H27" s="2132" t="s">
        <v>4524</v>
      </c>
      <c r="I27" s="960"/>
      <c r="J27" s="1230"/>
      <c r="K27" s="2112"/>
      <c r="L27" s="1860"/>
      <c r="M27" s="30"/>
      <c r="N27" s="1860"/>
      <c r="O27" s="30"/>
      <c r="P27" s="1860"/>
      <c r="Q27" s="30"/>
      <c r="R27" s="1860"/>
      <c r="S27" s="30"/>
      <c r="T27" s="1860"/>
      <c r="U27" s="30"/>
      <c r="V27" s="1885"/>
      <c r="W27" s="1886"/>
      <c r="X27" s="1885"/>
      <c r="Y27" s="1886"/>
      <c r="AA27" s="2138"/>
      <c r="AB27" s="1228"/>
      <c r="AC27" s="1228"/>
      <c r="AD27" s="1228"/>
      <c r="AE27" s="1228"/>
      <c r="AF27" s="1228"/>
      <c r="AG27" s="1228"/>
      <c r="AH27" s="1228"/>
      <c r="AI27" s="1228"/>
      <c r="AJ27" s="1228"/>
      <c r="AK27" s="1634"/>
      <c r="AL27" s="1228"/>
      <c r="AM27" s="1228"/>
      <c r="AN27" s="1228"/>
      <c r="AO27" s="1228"/>
      <c r="AP27" s="1228"/>
      <c r="AQ27" s="1228"/>
      <c r="AR27" s="1228"/>
      <c r="AS27" s="2139"/>
      <c r="AU27" s="2138"/>
      <c r="AV27" s="1228"/>
      <c r="AW27" s="1228"/>
      <c r="AX27" s="1228"/>
      <c r="AY27" s="1228"/>
      <c r="AZ27" s="1228"/>
      <c r="BA27" s="1228"/>
      <c r="BB27" s="1228"/>
      <c r="BC27" s="1228"/>
      <c r="BD27" s="1228"/>
      <c r="BE27" s="1634"/>
      <c r="BF27" s="1228"/>
      <c r="BG27" s="1228"/>
      <c r="BH27" s="1228"/>
      <c r="BI27" s="1228"/>
      <c r="BJ27" s="1228"/>
      <c r="BK27" s="1228"/>
      <c r="BL27" s="1228"/>
      <c r="BM27" s="2139"/>
      <c r="BO27" s="2138"/>
      <c r="BP27" s="1228"/>
      <c r="BQ27" s="1228"/>
      <c r="BR27" s="1228"/>
      <c r="BS27" s="1228"/>
      <c r="BT27" s="1228"/>
      <c r="BU27" s="1228"/>
      <c r="BV27" s="1228"/>
      <c r="BW27" s="1228"/>
      <c r="BX27" s="1228"/>
      <c r="BY27" s="1634"/>
      <c r="BZ27" s="1228"/>
      <c r="CA27" s="1228"/>
      <c r="CB27" s="1228"/>
      <c r="CC27" s="1228"/>
      <c r="CD27" s="1228"/>
      <c r="CE27" s="1228"/>
      <c r="CF27" s="1228"/>
      <c r="CG27" s="2139"/>
      <c r="CI27" s="2138"/>
      <c r="CJ27" s="1228"/>
      <c r="CK27" s="1228"/>
      <c r="CL27" s="1228"/>
      <c r="CM27" s="1228"/>
      <c r="CN27" s="1228"/>
      <c r="CO27" s="1228"/>
      <c r="CP27" s="1228"/>
      <c r="CQ27" s="1228"/>
      <c r="CR27" s="1228"/>
      <c r="CS27" s="1634"/>
      <c r="CT27" s="1228"/>
      <c r="CU27" s="1228"/>
      <c r="CV27" s="1228"/>
      <c r="CW27" s="1228"/>
      <c r="CX27" s="1228"/>
      <c r="CY27" s="1228"/>
      <c r="CZ27" s="1228"/>
      <c r="DA27" s="2139"/>
      <c r="DC27" s="2138"/>
      <c r="DD27" s="1228"/>
      <c r="DE27" s="1228"/>
      <c r="DF27" s="1228"/>
      <c r="DG27" s="1228"/>
      <c r="DH27" s="1228"/>
      <c r="DI27" s="1228"/>
      <c r="DJ27" s="1228"/>
      <c r="DK27" s="1228"/>
      <c r="DL27" s="1228"/>
      <c r="DM27" s="1634"/>
      <c r="DN27" s="1228"/>
      <c r="DO27" s="1228"/>
      <c r="DP27" s="1228"/>
      <c r="DQ27" s="1228"/>
      <c r="DR27" s="1228"/>
      <c r="DS27" s="1228"/>
      <c r="DT27" s="1228"/>
      <c r="DU27" s="2139"/>
      <c r="DW27" s="2138"/>
      <c r="DX27" s="1228"/>
      <c r="DY27" s="1228"/>
      <c r="DZ27" s="1228"/>
      <c r="EA27" s="1228"/>
      <c r="EB27" s="1228"/>
      <c r="EC27" s="1228"/>
      <c r="ED27" s="1228"/>
      <c r="EE27" s="1228"/>
      <c r="EF27" s="1228"/>
      <c r="EG27" s="1634"/>
      <c r="EH27" s="1228"/>
      <c r="EI27" s="1228"/>
      <c r="EJ27" s="1228"/>
      <c r="EK27" s="1228"/>
      <c r="EL27" s="1228"/>
      <c r="EM27" s="1228"/>
      <c r="EN27" s="1228"/>
      <c r="EO27" s="2139"/>
      <c r="EQ27" s="2138"/>
      <c r="ER27" s="1228"/>
      <c r="ES27" s="1228"/>
      <c r="ET27" s="1228"/>
      <c r="EU27" s="1228"/>
      <c r="EV27" s="1228"/>
      <c r="EW27" s="1228"/>
      <c r="EX27" s="1228"/>
      <c r="EY27" s="1228"/>
      <c r="EZ27" s="1228"/>
      <c r="FA27" s="1634"/>
      <c r="FB27" s="1228"/>
      <c r="FC27" s="1228"/>
      <c r="FD27" s="1228"/>
      <c r="FE27" s="1228"/>
      <c r="FF27" s="1228"/>
      <c r="FG27" s="1228"/>
      <c r="FH27" s="1228"/>
      <c r="FI27" s="2139"/>
      <c r="FK27" s="2138"/>
      <c r="FL27" s="1228"/>
      <c r="FM27" s="1228"/>
      <c r="FN27" s="1228"/>
      <c r="FO27" s="1228"/>
      <c r="FP27" s="1228"/>
      <c r="FQ27" s="1228"/>
      <c r="FR27" s="1228"/>
      <c r="FS27" s="1228"/>
      <c r="FT27" s="1228"/>
      <c r="FU27" s="1634"/>
      <c r="FV27" s="1228"/>
      <c r="FW27" s="1228"/>
      <c r="FX27" s="1228"/>
      <c r="FY27" s="1228"/>
      <c r="FZ27" s="1228"/>
      <c r="GA27" s="1228"/>
      <c r="GB27" s="1228"/>
      <c r="GC27" s="2139"/>
      <c r="GE27" s="2138"/>
      <c r="GF27" s="1228"/>
      <c r="GG27" s="1228"/>
      <c r="GH27" s="1228"/>
      <c r="GI27" s="1228"/>
      <c r="GJ27" s="1228"/>
      <c r="GK27" s="1228"/>
      <c r="GL27" s="1228"/>
      <c r="GM27" s="1228"/>
      <c r="GN27" s="1228"/>
      <c r="GO27" s="1634"/>
      <c r="GP27" s="1228"/>
      <c r="GQ27" s="1228"/>
      <c r="GR27" s="1228"/>
      <c r="GS27" s="1228"/>
      <c r="GT27" s="1228"/>
      <c r="GU27" s="1228"/>
      <c r="GV27" s="1228"/>
      <c r="GW27" s="2139"/>
      <c r="GY27" s="2138"/>
      <c r="GZ27" s="1228"/>
      <c r="HA27" s="1228"/>
      <c r="HB27" s="1228"/>
      <c r="HC27" s="1228"/>
      <c r="HD27" s="1228"/>
      <c r="HE27" s="1228"/>
      <c r="HF27" s="1228"/>
      <c r="HG27" s="1228"/>
      <c r="HH27" s="1228"/>
      <c r="HI27" s="1634"/>
      <c r="HJ27" s="1228"/>
      <c r="HK27" s="1228"/>
      <c r="HL27" s="1228"/>
      <c r="HM27" s="1228"/>
      <c r="HN27" s="1228"/>
      <c r="HO27" s="1228"/>
      <c r="HP27" s="1228"/>
      <c r="HQ27" s="2139"/>
      <c r="HS27" s="2138"/>
      <c r="HT27" s="1228"/>
      <c r="HU27" s="1228"/>
      <c r="HV27" s="1228"/>
      <c r="HW27" s="1228"/>
      <c r="HX27" s="1228"/>
      <c r="HY27" s="1228"/>
      <c r="HZ27" s="1228"/>
      <c r="IA27" s="1228"/>
      <c r="IB27" s="1228"/>
      <c r="IC27" s="1634"/>
      <c r="ID27" s="1634"/>
      <c r="IE27" s="1634"/>
      <c r="IF27" s="1634"/>
      <c r="IG27" s="1634"/>
      <c r="IH27" s="1634"/>
      <c r="II27" s="1634"/>
      <c r="IJ27" s="1634"/>
      <c r="IK27" s="1634"/>
      <c r="IL27" s="1228"/>
      <c r="IM27" s="1228"/>
      <c r="IN27" s="1228"/>
      <c r="IO27" s="1228"/>
      <c r="IP27" s="1228"/>
      <c r="IQ27" s="1228"/>
      <c r="IR27" s="1228"/>
      <c r="IS27" s="2139"/>
      <c r="IU27" s="2138"/>
      <c r="IV27" s="1228"/>
      <c r="IW27" s="1228"/>
      <c r="IX27" s="1228"/>
      <c r="IY27" s="1228"/>
      <c r="IZ27" s="1228"/>
      <c r="JA27" s="1228"/>
      <c r="JB27" s="1228"/>
      <c r="JC27" s="1228"/>
      <c r="JD27" s="1228"/>
      <c r="JE27" s="1634"/>
      <c r="JF27" s="1634"/>
      <c r="JG27" s="1634"/>
      <c r="JH27" s="1634"/>
      <c r="JI27" s="1634"/>
      <c r="JJ27" s="1634"/>
      <c r="JK27" s="1634"/>
      <c r="JL27" s="1634"/>
      <c r="JM27" s="1634"/>
      <c r="JN27" s="1228"/>
      <c r="JO27" s="1228"/>
      <c r="JP27" s="1228"/>
      <c r="JQ27" s="1228"/>
      <c r="JR27" s="1228"/>
      <c r="JS27" s="1228"/>
      <c r="JT27" s="1228"/>
      <c r="JU27" s="2139"/>
      <c r="JW27" s="2138"/>
      <c r="JX27" s="1228"/>
      <c r="JY27" s="1228"/>
      <c r="JZ27" s="1228"/>
      <c r="KA27" s="1228"/>
      <c r="KB27" s="1228"/>
      <c r="KC27" s="1228"/>
      <c r="KD27" s="1228"/>
      <c r="KE27" s="1228"/>
      <c r="KF27" s="1228"/>
      <c r="KG27" s="1634"/>
      <c r="KH27" s="1228"/>
      <c r="KI27" s="1228"/>
      <c r="KJ27" s="1228"/>
      <c r="KK27" s="1228"/>
      <c r="KL27" s="1228"/>
      <c r="KM27" s="1228"/>
      <c r="KN27" s="1228"/>
      <c r="KO27" s="2139"/>
      <c r="KQ27" s="2138"/>
      <c r="KR27" s="1228"/>
      <c r="KS27" s="1228"/>
      <c r="KT27" s="1228"/>
      <c r="KU27" s="1228"/>
      <c r="KV27" s="1228"/>
      <c r="KW27" s="1228"/>
      <c r="KX27" s="1228"/>
      <c r="KY27" s="1228"/>
      <c r="KZ27" s="1228"/>
      <c r="LA27" s="1634"/>
      <c r="LB27" s="1228"/>
      <c r="LC27" s="1228"/>
      <c r="LD27" s="1228"/>
      <c r="LE27" s="1228"/>
      <c r="LF27" s="1228"/>
      <c r="LG27" s="1228"/>
      <c r="LH27" s="1228"/>
      <c r="LI27" s="2139"/>
    </row>
    <row r="28" ht="15.75" customHeight="1">
      <c r="A28" s="1238"/>
      <c r="B28" s="2119" t="s">
        <v>10712</v>
      </c>
      <c r="C28" s="1230"/>
      <c r="D28" s="2142" t="s">
        <v>10713</v>
      </c>
      <c r="E28" s="1230"/>
      <c r="F28" s="2119" t="s">
        <v>10714</v>
      </c>
      <c r="G28" s="1230"/>
      <c r="H28" s="2150" t="s">
        <v>10715</v>
      </c>
      <c r="I28" s="987"/>
      <c r="J28" s="1230"/>
      <c r="K28" s="2122" t="s">
        <v>10716</v>
      </c>
      <c r="L28" s="2123"/>
      <c r="M28" s="1154"/>
      <c r="N28" s="2123"/>
      <c r="O28" s="1154"/>
      <c r="P28" s="2123"/>
      <c r="Q28" s="1154"/>
      <c r="R28" s="1863"/>
      <c r="S28" s="2124" t="s">
        <v>10687</v>
      </c>
      <c r="T28" s="1863"/>
      <c r="U28" s="2124" t="s">
        <v>10687</v>
      </c>
      <c r="V28" s="2123"/>
      <c r="W28" s="1154"/>
      <c r="X28" s="2123"/>
      <c r="Y28" s="1154"/>
      <c r="AA28" s="1230"/>
      <c r="AB28" s="1230"/>
      <c r="AC28" s="1230"/>
      <c r="AD28" s="1230"/>
      <c r="AE28" s="1230"/>
      <c r="AF28" s="1230"/>
      <c r="AG28" s="1230"/>
      <c r="AH28" s="1230"/>
      <c r="AI28" s="1230"/>
      <c r="AJ28" s="1230"/>
      <c r="AK28" s="1230"/>
      <c r="AU28" s="1230"/>
      <c r="AV28" s="1230"/>
      <c r="AW28" s="1230"/>
      <c r="AX28" s="1230"/>
      <c r="AY28" s="1230"/>
      <c r="AZ28" s="1230"/>
      <c r="BA28" s="1230"/>
      <c r="BB28" s="1230"/>
      <c r="BC28" s="1230"/>
      <c r="BD28" s="1230"/>
      <c r="BE28" s="1230"/>
      <c r="BO28" s="1230"/>
      <c r="BP28" s="1230"/>
      <c r="BQ28" s="1230"/>
      <c r="BR28" s="1230"/>
      <c r="BS28" s="1230"/>
      <c r="BT28" s="1230"/>
      <c r="BU28" s="1230"/>
      <c r="BV28" s="1230"/>
      <c r="BW28" s="1230"/>
      <c r="BX28" s="1230"/>
      <c r="BY28" s="1230"/>
      <c r="CI28" s="1230"/>
      <c r="CJ28" s="1230"/>
      <c r="CK28" s="1230"/>
      <c r="CL28" s="1230"/>
      <c r="CM28" s="1230"/>
      <c r="CN28" s="1230"/>
      <c r="CO28" s="1230"/>
      <c r="CP28" s="1230"/>
      <c r="CQ28" s="1230"/>
      <c r="CR28" s="1230"/>
      <c r="CS28" s="1230"/>
      <c r="DC28" s="1230"/>
      <c r="DD28" s="1230"/>
      <c r="DE28" s="1230"/>
      <c r="DF28" s="1230"/>
      <c r="DG28" s="1230"/>
      <c r="DH28" s="1230"/>
      <c r="DI28" s="1230"/>
      <c r="DJ28" s="1230"/>
      <c r="DK28" s="1230"/>
      <c r="DL28" s="1230"/>
      <c r="DM28" s="1230"/>
      <c r="DW28" s="1230"/>
      <c r="DX28" s="1230"/>
      <c r="DY28" s="1230"/>
      <c r="DZ28" s="1230"/>
      <c r="EA28" s="1230"/>
      <c r="EB28" s="1230"/>
      <c r="EC28" s="1230"/>
      <c r="ED28" s="1230"/>
      <c r="EE28" s="1230"/>
      <c r="EF28" s="1230"/>
      <c r="EG28" s="1230"/>
      <c r="EQ28" s="1230"/>
      <c r="ER28" s="1230"/>
      <c r="ES28" s="1230"/>
      <c r="ET28" s="1230"/>
      <c r="EU28" s="1230"/>
      <c r="EV28" s="1230"/>
      <c r="EW28" s="1230"/>
      <c r="EX28" s="1230"/>
      <c r="EY28" s="1230"/>
      <c r="EZ28" s="1230"/>
      <c r="FA28" s="1230"/>
      <c r="FK28" s="1230"/>
      <c r="FL28" s="1230"/>
      <c r="FM28" s="1230"/>
      <c r="FN28" s="1230"/>
      <c r="FO28" s="1230"/>
      <c r="FP28" s="1230"/>
      <c r="FQ28" s="1230"/>
      <c r="FR28" s="1230"/>
      <c r="FS28" s="1230"/>
      <c r="FT28" s="1230"/>
      <c r="FU28" s="1230"/>
      <c r="GE28" s="1230"/>
      <c r="GF28" s="1230"/>
      <c r="GG28" s="1230"/>
      <c r="GH28" s="1230"/>
      <c r="GI28" s="1230"/>
      <c r="GJ28" s="1230"/>
      <c r="GK28" s="1230"/>
      <c r="GL28" s="1230"/>
      <c r="GM28" s="1230"/>
      <c r="GN28" s="1230"/>
      <c r="GO28" s="1230"/>
      <c r="GY28" s="1230"/>
      <c r="GZ28" s="1230"/>
      <c r="HA28" s="1230"/>
      <c r="HB28" s="1230"/>
      <c r="HC28" s="1230"/>
      <c r="HD28" s="1230"/>
      <c r="HE28" s="1230"/>
      <c r="HF28" s="1230"/>
      <c r="HG28" s="1230"/>
      <c r="HH28" s="1230"/>
      <c r="HI28" s="1230"/>
      <c r="HS28" s="1230"/>
      <c r="HT28" s="1230"/>
      <c r="HU28" s="1230"/>
      <c r="HV28" s="1230"/>
      <c r="HW28" s="1230"/>
      <c r="HX28" s="1230"/>
      <c r="HY28" s="1230"/>
      <c r="HZ28" s="1230"/>
      <c r="IA28" s="1230"/>
      <c r="IB28" s="1230"/>
      <c r="IC28" s="1230"/>
      <c r="ID28" s="1230"/>
      <c r="IE28" s="1230"/>
      <c r="IF28" s="1230"/>
      <c r="IG28" s="1230"/>
      <c r="IH28" s="1230"/>
      <c r="II28" s="1230"/>
      <c r="IJ28" s="1230"/>
      <c r="IK28" s="1230"/>
      <c r="IU28" s="1230"/>
      <c r="IV28" s="1230"/>
      <c r="IW28" s="1230"/>
      <c r="IX28" s="1230"/>
      <c r="IY28" s="1230"/>
      <c r="IZ28" s="1230"/>
      <c r="JA28" s="1230"/>
      <c r="JB28" s="1230"/>
      <c r="JC28" s="1230"/>
      <c r="JD28" s="1230"/>
      <c r="JE28" s="1230"/>
      <c r="JF28" s="1230"/>
      <c r="JG28" s="1230"/>
      <c r="JH28" s="1230"/>
      <c r="JI28" s="1230"/>
      <c r="JJ28" s="1230"/>
      <c r="JK28" s="1230"/>
      <c r="JL28" s="1230"/>
      <c r="JM28" s="1230"/>
      <c r="JW28" s="1230"/>
      <c r="JX28" s="1230"/>
      <c r="JY28" s="1230"/>
      <c r="JZ28" s="1230"/>
      <c r="KA28" s="1230"/>
      <c r="KB28" s="1230"/>
      <c r="KC28" s="1230"/>
      <c r="KD28" s="1230"/>
      <c r="KE28" s="1230"/>
      <c r="KF28" s="1230"/>
      <c r="KG28" s="1230"/>
      <c r="KQ28" s="1230"/>
      <c r="KR28" s="1230"/>
      <c r="KS28" s="1230"/>
      <c r="KT28" s="1230"/>
      <c r="KU28" s="1230"/>
      <c r="KV28" s="1230"/>
      <c r="KW28" s="1230"/>
      <c r="KX28" s="1230"/>
      <c r="KY28" s="1230"/>
      <c r="KZ28" s="1230"/>
      <c r="LA28" s="1230"/>
    </row>
    <row r="29" ht="15.75" customHeight="1">
      <c r="A29" s="1238"/>
      <c r="B29" s="1254"/>
      <c r="C29" s="1230"/>
      <c r="D29" s="2112"/>
      <c r="E29" s="1230"/>
      <c r="F29" s="2112"/>
      <c r="G29" s="1230"/>
      <c r="H29" s="2140" t="s">
        <v>10717</v>
      </c>
      <c r="I29" s="2141"/>
      <c r="J29" s="1230"/>
      <c r="K29" s="2112"/>
      <c r="L29" s="1860"/>
      <c r="M29" s="30"/>
      <c r="N29" s="1860"/>
      <c r="O29" s="30"/>
      <c r="P29" s="1860"/>
      <c r="Q29" s="30"/>
      <c r="R29" s="1860"/>
      <c r="S29" s="30"/>
      <c r="T29" s="1860"/>
      <c r="U29" s="30"/>
      <c r="V29" s="1860"/>
      <c r="W29" s="30"/>
      <c r="X29" s="1860"/>
      <c r="Y29" s="30"/>
      <c r="AA29" s="2098" t="str">
        <f>image("https://archives.bulbagarden.net/media/upload/c/c2/Spr_DP_Reporter.png",3)</f>
        <v/>
      </c>
      <c r="AB29" s="2099" t="str">
        <f>image("https://archives.bulbagarden.net/media/upload/3/36/Reporter_OD.png", 1)</f>
        <v/>
      </c>
      <c r="AC29" s="2099"/>
      <c r="AD29" s="2100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48"/>
      <c r="AU29" s="2098" t="str">
        <f>image("https://archives.bulbagarden.net/media/upload/c/c2/Spr_DP_Reporter.png",3)</f>
        <v/>
      </c>
      <c r="AV29" s="2099" t="str">
        <f>image("https://archives.bulbagarden.net/media/upload/3/36/Reporter_OD.png", 1)</f>
        <v/>
      </c>
      <c r="AW29" s="2099"/>
      <c r="AX29" s="2100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48"/>
      <c r="BO29" s="2098" t="str">
        <f>image("https://archives.bulbagarden.net/media/upload/6/65/Spr_DP_Cameraman.png",3)</f>
        <v/>
      </c>
      <c r="BP29" s="2099" t="str">
        <f>image("https://archives.bulbagarden.net/media/upload/8/80/Cameraman_OD.png", 1)</f>
        <v/>
      </c>
      <c r="BQ29" s="2099"/>
      <c r="BR29" s="2100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48"/>
      <c r="CI29" s="2098" t="str">
        <f>image("https://archives.bulbagarden.net/media/upload/6/65/Spr_DP_Cameraman.png",3)</f>
        <v/>
      </c>
      <c r="CJ29" s="2101" t="str">
        <f>image("https://archives.bulbagarden.net/media/upload/8/80/Cameraman_OD.png", 1)</f>
        <v/>
      </c>
      <c r="CK29" s="2099"/>
      <c r="CL29" s="2100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48"/>
      <c r="DC29" s="2098" t="str">
        <f>image("https://archives.bulbagarden.net/media/upload/1/12/Spr_DP_Interviewers.png",3)</f>
        <v/>
      </c>
      <c r="DD29" s="2101" t="str">
        <f>image("https://archives.bulbagarden.net/media/upload/3/36/Reporter_OD.png", 1)</f>
        <v/>
      </c>
      <c r="DE29" s="2099"/>
      <c r="DF29" s="2100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48"/>
      <c r="DW29" s="2098" t="str">
        <f>image("https://archives.bulbagarden.net/media/upload/1/12/Spr_DP_Interviewers.png",3)</f>
        <v/>
      </c>
      <c r="DX29" s="2101" t="str">
        <f>image("https://archives.bulbagarden.net/media/upload/3/36/Reporter_OD.png", 1)</f>
        <v/>
      </c>
      <c r="DY29" s="2099"/>
      <c r="DZ29" s="2100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48"/>
      <c r="EQ29" s="2102" t="str">
        <f>image("https://archives.bulbagarden.net/media/upload/c/cc/Spr_DP_Idol.png",3)</f>
        <v/>
      </c>
      <c r="ER29" s="2101" t="str">
        <f>image("https://archives.bulbagarden.net/media/upload/1/1a/Idol_OD.png", 1)</f>
        <v/>
      </c>
      <c r="ES29" s="2099"/>
      <c r="ET29" s="2100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48"/>
      <c r="FK29" s="2102" t="str">
        <f>image("https://archives.bulbagarden.net/media/upload/c/cc/Spr_DP_Idol.png",3)</f>
        <v/>
      </c>
      <c r="FL29" s="2101" t="str">
        <f>image("https://archives.bulbagarden.net/media/upload/1/1a/Idol_OD.png", 1)</f>
        <v/>
      </c>
      <c r="FM29" s="2099"/>
      <c r="FN29" s="2100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48"/>
      <c r="GE29" s="2098" t="str">
        <f>image("https://archives.bulbagarden.net/media/upload/8/8c/Spr_DP_Guitarist.png",3)</f>
        <v/>
      </c>
      <c r="GF29" s="2101" t="str">
        <f>image("https://archives.bulbagarden.net/media/upload/6/65/Guitarist_IV_OD.png", 1)</f>
        <v/>
      </c>
      <c r="GG29" s="2099"/>
      <c r="GH29" s="2100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48"/>
      <c r="GY29" s="2098" t="str">
        <f>image("https://archives.bulbagarden.net/media/upload/8/8c/Spr_DP_Guitarist.png",3)</f>
        <v/>
      </c>
      <c r="GZ29" s="2101" t="str">
        <f>image("https://archives.bulbagarden.net/media/upload/6/65/Guitarist_IV_OD.png", 1)</f>
        <v/>
      </c>
      <c r="HA29" s="2099"/>
      <c r="HB29" s="2100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48"/>
      <c r="HS29" s="2103" t="str">
        <f>image("https://archives.bulbagarden.net/media/upload/1/1c/Spr_DP_Pok%C3%A9_Kid.png",3)</f>
        <v/>
      </c>
      <c r="HT29" s="2101" t="str">
        <f>image("https://archives.bulbagarden.net/media/upload/8/8c/025OD_DP.png", 1)</f>
        <v/>
      </c>
      <c r="HU29" s="2099"/>
      <c r="HV29" s="2100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48"/>
      <c r="IU29" s="2103" t="str">
        <f>image("https://archives.bulbagarden.net/media/upload/1/1c/Spr_DP_Pok%C3%A9_Kid.png",3)</f>
        <v/>
      </c>
      <c r="IV29" s="2101" t="str">
        <f>image("https://archives.bulbagarden.net/media/upload/8/8c/025OD_DP.png", 1)</f>
        <v/>
      </c>
      <c r="IW29" s="2099"/>
      <c r="IX29" s="2100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48"/>
      <c r="JW29" s="2098" t="str">
        <f>image("https://archives.bulbagarden.net/media/upload/2/2a/Spr_DP_Clown.png",3)</f>
        <v/>
      </c>
      <c r="JX29" s="2101" t="str">
        <f>image("https://archives.bulbagarden.net/media/upload/e/e0/Clown_OD.png", 1)</f>
        <v/>
      </c>
      <c r="JY29" s="2099"/>
      <c r="JZ29" s="2100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48"/>
      <c r="KQ29" s="2098" t="str">
        <f>image("https://archives.bulbagarden.net/media/upload/2/2a/Spr_DP_Clown.png",3)</f>
        <v/>
      </c>
      <c r="KR29" s="2101" t="str">
        <f>image("https://archives.bulbagarden.net/media/upload/e/e0/Clown_OD.png", 1)</f>
        <v/>
      </c>
      <c r="KS29" s="2099"/>
      <c r="KT29" s="2100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48"/>
    </row>
    <row r="30" ht="15.75" customHeight="1">
      <c r="A30" s="1238"/>
      <c r="B30" s="1230"/>
      <c r="C30" s="1230"/>
      <c r="D30" s="2143" t="s">
        <v>10718</v>
      </c>
      <c r="E30" s="1230"/>
      <c r="F30" s="2125" t="s">
        <v>10719</v>
      </c>
      <c r="G30" s="1230"/>
      <c r="H30" s="1909" t="s">
        <v>10720</v>
      </c>
      <c r="I30" s="30"/>
      <c r="J30" s="1230"/>
      <c r="K30" s="2134" t="s">
        <v>5114</v>
      </c>
      <c r="L30" s="2135"/>
      <c r="M30" s="982"/>
      <c r="N30" s="2135"/>
      <c r="O30" s="982"/>
      <c r="P30" s="2135"/>
      <c r="Q30" s="982"/>
      <c r="R30" s="2135"/>
      <c r="S30" s="982"/>
      <c r="T30" s="2135"/>
      <c r="U30" s="982"/>
      <c r="V30" s="2136"/>
      <c r="W30" s="2137" t="s">
        <v>10621</v>
      </c>
      <c r="X30" s="2136"/>
      <c r="Y30" s="2137" t="s">
        <v>10621</v>
      </c>
      <c r="AA30" s="1894"/>
      <c r="AB30" s="2104"/>
      <c r="AC30" s="2104"/>
      <c r="AD30" s="1966" t="str">
        <f>MONSPRITE(AE30)</f>
        <v>#NAME?</v>
      </c>
      <c r="AE30" s="1259" t="s">
        <v>3896</v>
      </c>
      <c r="AF30" s="12"/>
      <c r="AG30" s="12"/>
      <c r="AH30" s="962"/>
      <c r="AI30" s="1003"/>
      <c r="AJ30" s="2000"/>
      <c r="AK30" s="1230"/>
      <c r="AL30" s="1966" t="str">
        <f>MONSPRITE(AM30)</f>
        <v>#NAME?</v>
      </c>
      <c r="AM30" s="1259" t="s">
        <v>3722</v>
      </c>
      <c r="AN30" s="12"/>
      <c r="AO30" s="12"/>
      <c r="AP30" s="962"/>
      <c r="AQ30" s="1003"/>
      <c r="AR30" s="2000"/>
      <c r="AS30" s="290"/>
      <c r="AU30" s="1894"/>
      <c r="AV30" s="2104"/>
      <c r="AW30" s="2104"/>
      <c r="AX30" s="1966" t="str">
        <f>MONSPRITE(AY30)</f>
        <v>#NAME?</v>
      </c>
      <c r="AY30" s="1259" t="s">
        <v>3896</v>
      </c>
      <c r="AZ30" s="12"/>
      <c r="BA30" s="12"/>
      <c r="BB30" s="962"/>
      <c r="BC30" s="1003"/>
      <c r="BD30" s="2000" t="s">
        <v>5648</v>
      </c>
      <c r="BE30" s="1230"/>
      <c r="BF30" s="1966" t="str">
        <f>MONSPRITE(BG30)</f>
        <v>#NAME?</v>
      </c>
      <c r="BG30" s="1259" t="s">
        <v>3722</v>
      </c>
      <c r="BH30" s="12"/>
      <c r="BI30" s="12"/>
      <c r="BJ30" s="962"/>
      <c r="BK30" s="1003"/>
      <c r="BL30" s="2000" t="s">
        <v>5648</v>
      </c>
      <c r="BM30" s="290"/>
      <c r="BO30" s="1894"/>
      <c r="BP30" s="2104"/>
      <c r="BQ30" s="2104"/>
      <c r="BR30" s="1966" t="str">
        <f>MONSPRITE(BS30)</f>
        <v>#NAME?</v>
      </c>
      <c r="BS30" s="1259" t="s">
        <v>1272</v>
      </c>
      <c r="BT30" s="12"/>
      <c r="BU30" s="12"/>
      <c r="BV30" s="962"/>
      <c r="BW30" s="1003"/>
      <c r="BX30" s="2000" t="s">
        <v>5032</v>
      </c>
      <c r="BY30" s="1230"/>
      <c r="BZ30" s="1966" t="str">
        <f>MONSPRITE(CA30)</f>
        <v>#NAME?</v>
      </c>
      <c r="CA30" s="1259" t="s">
        <v>767</v>
      </c>
      <c r="CB30" s="12"/>
      <c r="CC30" s="12"/>
      <c r="CD30" s="962"/>
      <c r="CE30" s="1003"/>
      <c r="CF30" s="2000" t="s">
        <v>5032</v>
      </c>
      <c r="CG30" s="290"/>
      <c r="CI30" s="1894"/>
      <c r="CJ30" s="2104"/>
      <c r="CK30" s="2104"/>
      <c r="CL30" s="1966" t="str">
        <f>MONSPRITE(CM30)</f>
        <v>#NAME?</v>
      </c>
      <c r="CM30" s="1259" t="s">
        <v>1272</v>
      </c>
      <c r="CN30" s="12"/>
      <c r="CO30" s="12"/>
      <c r="CP30" s="962"/>
      <c r="CQ30" s="1003"/>
      <c r="CR30" s="2000" t="s">
        <v>5648</v>
      </c>
      <c r="CS30" s="1230"/>
      <c r="CT30" s="1966" t="str">
        <f>MONSPRITE(CU30)</f>
        <v>#NAME?</v>
      </c>
      <c r="CU30" s="1259" t="s">
        <v>767</v>
      </c>
      <c r="CV30" s="12"/>
      <c r="CW30" s="12"/>
      <c r="CX30" s="962"/>
      <c r="CY30" s="1003"/>
      <c r="CZ30" s="2000" t="s">
        <v>5648</v>
      </c>
      <c r="DA30" s="290"/>
      <c r="DC30" s="1894"/>
      <c r="DD30" s="2105"/>
      <c r="DE30" s="2104"/>
      <c r="DF30" s="1966" t="str">
        <f>MONSPRITE(DG30)</f>
        <v>#NAME?</v>
      </c>
      <c r="DG30" s="1259" t="s">
        <v>4146</v>
      </c>
      <c r="DH30" s="12"/>
      <c r="DI30" s="12"/>
      <c r="DJ30" s="962"/>
      <c r="DK30" s="1003"/>
      <c r="DL30" s="2000" t="s">
        <v>5032</v>
      </c>
      <c r="DM30" s="1230"/>
      <c r="DN30" s="1966" t="str">
        <f>MONSPRITE(DO30)</f>
        <v>#NAME?</v>
      </c>
      <c r="DO30" s="1259" t="s">
        <v>2625</v>
      </c>
      <c r="DP30" s="12"/>
      <c r="DQ30" s="12"/>
      <c r="DR30" s="962"/>
      <c r="DS30" s="1003"/>
      <c r="DT30" s="2000" t="s">
        <v>5032</v>
      </c>
      <c r="DU30" s="290"/>
      <c r="DW30" s="1894"/>
      <c r="DX30" s="2105"/>
      <c r="DY30" s="2104"/>
      <c r="DZ30" s="1966" t="str">
        <f>MONSPRITE(EA30)</f>
        <v>#NAME?</v>
      </c>
      <c r="EA30" s="1259" t="s">
        <v>4146</v>
      </c>
      <c r="EB30" s="12"/>
      <c r="EC30" s="12"/>
      <c r="ED30" s="962"/>
      <c r="EE30" s="1003"/>
      <c r="EF30" s="2000" t="s">
        <v>5648</v>
      </c>
      <c r="EG30" s="1230"/>
      <c r="EH30" s="1966" t="str">
        <f>MONSPRITE(EI30)</f>
        <v>#NAME?</v>
      </c>
      <c r="EI30" s="1259" t="s">
        <v>2625</v>
      </c>
      <c r="EJ30" s="12"/>
      <c r="EK30" s="12"/>
      <c r="EL30" s="962"/>
      <c r="EM30" s="1003"/>
      <c r="EN30" s="2000" t="s">
        <v>5648</v>
      </c>
      <c r="EO30" s="290"/>
      <c r="EQ30" s="1894"/>
      <c r="ER30" s="2104"/>
      <c r="ES30" s="2104"/>
      <c r="ET30" s="1966" t="str">
        <f>MONSPRITE(EU30)</f>
        <v>#NAME?</v>
      </c>
      <c r="EU30" s="1259" t="s">
        <v>518</v>
      </c>
      <c r="EV30" s="12"/>
      <c r="EW30" s="12"/>
      <c r="EX30" s="962"/>
      <c r="EY30" s="1003"/>
      <c r="EZ30" s="2000" t="s">
        <v>5032</v>
      </c>
      <c r="FA30" s="1230"/>
      <c r="FB30" s="1966" t="str">
        <f>MONSPRITE(FC30)</f>
        <v>#NAME?</v>
      </c>
      <c r="FC30" s="1259" t="s">
        <v>474</v>
      </c>
      <c r="FD30" s="12"/>
      <c r="FE30" s="12"/>
      <c r="FF30" s="962"/>
      <c r="FG30" s="1003"/>
      <c r="FH30" s="2000" t="s">
        <v>5032</v>
      </c>
      <c r="FI30" s="290"/>
      <c r="FK30" s="1894"/>
      <c r="FL30" s="2104"/>
      <c r="FM30" s="2104"/>
      <c r="FN30" s="1966" t="str">
        <f>MONSPRITE(FO30)</f>
        <v>#NAME?</v>
      </c>
      <c r="FO30" s="1259" t="s">
        <v>518</v>
      </c>
      <c r="FP30" s="12"/>
      <c r="FQ30" s="12"/>
      <c r="FR30" s="962"/>
      <c r="FS30" s="1003"/>
      <c r="FT30" s="2000" t="s">
        <v>5648</v>
      </c>
      <c r="FU30" s="1230"/>
      <c r="FV30" s="1966" t="str">
        <f>MONSPRITE(FW30)</f>
        <v>#NAME?</v>
      </c>
      <c r="FW30" s="1259" t="s">
        <v>474</v>
      </c>
      <c r="FX30" s="12"/>
      <c r="FY30" s="12"/>
      <c r="FZ30" s="962"/>
      <c r="GA30" s="1003"/>
      <c r="GB30" s="2000" t="s">
        <v>5648</v>
      </c>
      <c r="GC30" s="290"/>
      <c r="GE30" s="1894"/>
      <c r="GF30" s="2104"/>
      <c r="GG30" s="2104"/>
      <c r="GH30" s="1966" t="str">
        <f>MONSPRITE(GI30)</f>
        <v>#NAME?</v>
      </c>
      <c r="GI30" s="1259" t="s">
        <v>3700</v>
      </c>
      <c r="GJ30" s="12"/>
      <c r="GK30" s="12"/>
      <c r="GL30" s="962"/>
      <c r="GM30" s="1003"/>
      <c r="GN30" s="2000" t="s">
        <v>5032</v>
      </c>
      <c r="GO30" s="1230"/>
      <c r="GP30" s="1966" t="str">
        <f>MONSPRITE(GQ30)</f>
        <v>#NAME?</v>
      </c>
      <c r="GQ30" s="1259" t="s">
        <v>1073</v>
      </c>
      <c r="GR30" s="12"/>
      <c r="GS30" s="12"/>
      <c r="GT30" s="962"/>
      <c r="GU30" s="1003"/>
      <c r="GV30" s="2000" t="s">
        <v>5032</v>
      </c>
      <c r="GW30" s="290"/>
      <c r="GY30" s="1894"/>
      <c r="GZ30" s="2104"/>
      <c r="HA30" s="2104"/>
      <c r="HB30" s="1966" t="str">
        <f>MONSPRITE(HC30)</f>
        <v>#NAME?</v>
      </c>
      <c r="HC30" s="1259" t="s">
        <v>3700</v>
      </c>
      <c r="HD30" s="12"/>
      <c r="HE30" s="12"/>
      <c r="HF30" s="962"/>
      <c r="HG30" s="1003"/>
      <c r="HH30" s="2000" t="s">
        <v>5648</v>
      </c>
      <c r="HI30" s="1230"/>
      <c r="HJ30" s="1966" t="str">
        <f>MONSPRITE(HK30)</f>
        <v>#NAME?</v>
      </c>
      <c r="HK30" s="1259" t="s">
        <v>1073</v>
      </c>
      <c r="HL30" s="12"/>
      <c r="HM30" s="12"/>
      <c r="HN30" s="962"/>
      <c r="HO30" s="1003"/>
      <c r="HP30" s="2000" t="s">
        <v>5648</v>
      </c>
      <c r="HQ30" s="290"/>
      <c r="HS30" s="1894"/>
      <c r="HT30" s="2104"/>
      <c r="HU30" s="2104"/>
      <c r="HV30" s="1966" t="str">
        <f>MONSPRITE(HW30)</f>
        <v>#NAME?</v>
      </c>
      <c r="HW30" s="1259" t="s">
        <v>1705</v>
      </c>
      <c r="HX30" s="12"/>
      <c r="HY30" s="12"/>
      <c r="HZ30" s="962"/>
      <c r="IA30" s="1003"/>
      <c r="IB30" s="2000" t="s">
        <v>5032</v>
      </c>
      <c r="IC30" s="1230"/>
      <c r="ID30" s="1966" t="str">
        <f>MONSPRITE(IE30)</f>
        <v>#NAME?</v>
      </c>
      <c r="IE30" s="1259" t="s">
        <v>347</v>
      </c>
      <c r="IF30" s="12"/>
      <c r="IG30" s="12"/>
      <c r="IH30" s="962"/>
      <c r="II30" s="1003"/>
      <c r="IJ30" s="2000" t="s">
        <v>5032</v>
      </c>
      <c r="IK30" s="1230"/>
      <c r="IL30" s="1966" t="str">
        <f>MONSPRITE(IM30)</f>
        <v>#NAME?</v>
      </c>
      <c r="IM30" s="1259" t="s">
        <v>364</v>
      </c>
      <c r="IN30" s="12"/>
      <c r="IO30" s="12"/>
      <c r="IP30" s="962"/>
      <c r="IQ30" s="1003"/>
      <c r="IR30" s="2000" t="s">
        <v>5032</v>
      </c>
      <c r="IS30" s="290"/>
      <c r="IU30" s="1894"/>
      <c r="IV30" s="2104"/>
      <c r="IW30" s="2104"/>
      <c r="IX30" s="1966" t="str">
        <f>MONSPRITE(IY30)</f>
        <v>#NAME?</v>
      </c>
      <c r="IY30" s="1259" t="s">
        <v>1705</v>
      </c>
      <c r="IZ30" s="12"/>
      <c r="JA30" s="12"/>
      <c r="JB30" s="962"/>
      <c r="JC30" s="1003"/>
      <c r="JD30" s="2000" t="s">
        <v>5648</v>
      </c>
      <c r="JE30" s="1230"/>
      <c r="JF30" s="1966" t="str">
        <f>MONSPRITE(JG30)</f>
        <v>#NAME?</v>
      </c>
      <c r="JG30" s="1259" t="s">
        <v>347</v>
      </c>
      <c r="JH30" s="12"/>
      <c r="JI30" s="12"/>
      <c r="JJ30" s="962"/>
      <c r="JK30" s="1003"/>
      <c r="JL30" s="2000" t="s">
        <v>5648</v>
      </c>
      <c r="JM30" s="1230"/>
      <c r="JN30" s="1966" t="str">
        <f>MONSPRITE(JO30)</f>
        <v>#NAME?</v>
      </c>
      <c r="JO30" s="1259" t="s">
        <v>364</v>
      </c>
      <c r="JP30" s="12"/>
      <c r="JQ30" s="12"/>
      <c r="JR30" s="962"/>
      <c r="JS30" s="1003"/>
      <c r="JT30" s="2000" t="s">
        <v>5648</v>
      </c>
      <c r="JU30" s="290"/>
      <c r="JW30" s="1894"/>
      <c r="JX30" s="2104"/>
      <c r="JY30" s="2104"/>
      <c r="JZ30" s="1966" t="str">
        <f>MONSPRITE(KA30)</f>
        <v>#NAME?</v>
      </c>
      <c r="KA30" s="1259" t="s">
        <v>3879</v>
      </c>
      <c r="KB30" s="12"/>
      <c r="KC30" s="12"/>
      <c r="KD30" s="962"/>
      <c r="KE30" s="1003"/>
      <c r="KF30" s="2000" t="s">
        <v>5032</v>
      </c>
      <c r="KG30" s="1230"/>
      <c r="KH30" s="1966" t="str">
        <f>MONSPRITE(KI30)</f>
        <v>#NAME?</v>
      </c>
      <c r="KI30" s="1259" t="s">
        <v>742</v>
      </c>
      <c r="KJ30" s="12"/>
      <c r="KK30" s="12"/>
      <c r="KL30" s="962"/>
      <c r="KM30" s="1003"/>
      <c r="KN30" s="2000" t="s">
        <v>5032</v>
      </c>
      <c r="KO30" s="290"/>
      <c r="KQ30" s="1894"/>
      <c r="KR30" s="2104"/>
      <c r="KS30" s="2104"/>
      <c r="KT30" s="1966" t="str">
        <f>MONSPRITE(KU30)</f>
        <v>#NAME?</v>
      </c>
      <c r="KU30" s="1259" t="s">
        <v>3879</v>
      </c>
      <c r="KV30" s="12"/>
      <c r="KW30" s="12"/>
      <c r="KX30" s="962"/>
      <c r="KY30" s="1003"/>
      <c r="KZ30" s="2000" t="s">
        <v>5648</v>
      </c>
      <c r="LA30" s="1230"/>
      <c r="LB30" s="1966" t="str">
        <f>MONSPRITE(LC30)</f>
        <v>#NAME?</v>
      </c>
      <c r="LC30" s="1259" t="s">
        <v>742</v>
      </c>
      <c r="LD30" s="12"/>
      <c r="LE30" s="12"/>
      <c r="LF30" s="962"/>
      <c r="LG30" s="1003"/>
      <c r="LH30" s="2000" t="s">
        <v>5648</v>
      </c>
      <c r="LI30" s="290"/>
    </row>
    <row r="31" ht="15.75" customHeight="1">
      <c r="A31" s="1238"/>
      <c r="B31" s="2096" t="s">
        <v>10721</v>
      </c>
      <c r="C31" s="1230"/>
      <c r="D31" s="1254"/>
      <c r="E31" s="1230"/>
      <c r="F31" s="2112"/>
      <c r="G31" s="1230"/>
      <c r="H31" s="1947" t="s">
        <v>10722</v>
      </c>
      <c r="I31" s="128"/>
      <c r="J31" s="1230"/>
      <c r="K31" s="2112"/>
      <c r="L31" s="1860"/>
      <c r="M31" s="30"/>
      <c r="N31" s="1860"/>
      <c r="O31" s="30"/>
      <c r="P31" s="1860"/>
      <c r="Q31" s="30"/>
      <c r="R31" s="1860"/>
      <c r="S31" s="30"/>
      <c r="T31" s="1860"/>
      <c r="U31" s="30"/>
      <c r="V31" s="2120"/>
      <c r="W31" s="2121" t="s">
        <v>10637</v>
      </c>
      <c r="X31" s="2120"/>
      <c r="Y31" s="2121" t="s">
        <v>10637</v>
      </c>
      <c r="AA31" s="2110"/>
      <c r="AB31" s="2105"/>
      <c r="AC31" s="2104"/>
      <c r="AD31" s="1444"/>
      <c r="AE31" s="1092" t="str">
        <f>TYPEICON(AF31)</f>
        <v>#NAME?</v>
      </c>
      <c r="AF31" s="398" t="str">
        <f>MONTYPE(AE30)</f>
        <v>#NAME?</v>
      </c>
      <c r="AG31" s="48"/>
      <c r="AH31" s="1092" t="str">
        <f>TYPEICON(AI31)</f>
        <v>#NAME?</v>
      </c>
      <c r="AI31" s="398" t="str">
        <f>MONTYPE2(AE30)</f>
        <v>#NAME?</v>
      </c>
      <c r="AJ31" s="48"/>
      <c r="AK31" s="1230"/>
      <c r="AL31" s="1444"/>
      <c r="AM31" s="1092" t="str">
        <f>TYPEICON(AN31)</f>
        <v>#NAME?</v>
      </c>
      <c r="AN31" s="398" t="str">
        <f>MONTYPE(AM30)</f>
        <v>#NAME?</v>
      </c>
      <c r="AO31" s="48"/>
      <c r="AP31" s="2012" t="str">
        <f>TYPEICON(AQ31)</f>
        <v>#NAME?</v>
      </c>
      <c r="AQ31" s="398" t="str">
        <f>MONTYPE2(AM30)</f>
        <v>#NAME?</v>
      </c>
      <c r="AR31" s="48"/>
      <c r="AS31" s="290"/>
      <c r="AU31" s="2110"/>
      <c r="AV31" s="2105"/>
      <c r="AW31" s="2104"/>
      <c r="AX31" s="1444"/>
      <c r="AY31" s="1092" t="str">
        <f>TYPEICON(AZ31)</f>
        <v>#NAME?</v>
      </c>
      <c r="AZ31" s="398" t="str">
        <f>MONTYPE(AY30)</f>
        <v>#NAME?</v>
      </c>
      <c r="BA31" s="48"/>
      <c r="BB31" s="1092" t="str">
        <f>TYPEICON(BC31)</f>
        <v>#NAME?</v>
      </c>
      <c r="BC31" s="398" t="str">
        <f>MONTYPE2(AY30)</f>
        <v>#NAME?</v>
      </c>
      <c r="BD31" s="48"/>
      <c r="BE31" s="1230"/>
      <c r="BF31" s="1444"/>
      <c r="BG31" s="1092" t="str">
        <f>TYPEICON(BH31)</f>
        <v>#NAME?</v>
      </c>
      <c r="BH31" s="398" t="str">
        <f>MONTYPE(BG30)</f>
        <v>#NAME?</v>
      </c>
      <c r="BI31" s="48"/>
      <c r="BJ31" s="2012" t="str">
        <f>TYPEICON(BK31)</f>
        <v>#NAME?</v>
      </c>
      <c r="BK31" s="398" t="str">
        <f>MONTYPE2(BG30)</f>
        <v>#NAME?</v>
      </c>
      <c r="BL31" s="48"/>
      <c r="BM31" s="290"/>
      <c r="BO31" s="2110"/>
      <c r="BP31" s="2105"/>
      <c r="BQ31" s="2104"/>
      <c r="BR31" s="1444"/>
      <c r="BS31" s="1092" t="str">
        <f>TYPEICON(BT31)</f>
        <v>#NAME?</v>
      </c>
      <c r="BT31" s="398" t="str">
        <f>MONTYPE(BS30)</f>
        <v>#NAME?</v>
      </c>
      <c r="BU31" s="48"/>
      <c r="BV31" s="2012" t="str">
        <f>TYPEICON(BW31)</f>
        <v>#NAME?</v>
      </c>
      <c r="BW31" s="398" t="str">
        <f>MONTYPE2(BS30)</f>
        <v>#NAME?</v>
      </c>
      <c r="BX31" s="48"/>
      <c r="BY31" s="1230"/>
      <c r="BZ31" s="1444"/>
      <c r="CA31" s="1092" t="str">
        <f>TYPEICON(CB31)</f>
        <v>#NAME?</v>
      </c>
      <c r="CB31" s="398" t="str">
        <f>MONTYPE(CA30)</f>
        <v>#NAME?</v>
      </c>
      <c r="CC31" s="48"/>
      <c r="CD31" s="1092" t="str">
        <f>TYPEICON(CE31)</f>
        <v>#NAME?</v>
      </c>
      <c r="CE31" s="398" t="str">
        <f>MONTYPE2(CA30)</f>
        <v>#NAME?</v>
      </c>
      <c r="CF31" s="48"/>
      <c r="CG31" s="290"/>
      <c r="CI31" s="2110"/>
      <c r="CJ31" s="2105"/>
      <c r="CK31" s="2104"/>
      <c r="CL31" s="1444"/>
      <c r="CM31" s="1092" t="str">
        <f>TYPEICON(CN31)</f>
        <v>#NAME?</v>
      </c>
      <c r="CN31" s="398" t="str">
        <f>MONTYPE(CM30)</f>
        <v>#NAME?</v>
      </c>
      <c r="CO31" s="48"/>
      <c r="CP31" s="2012" t="str">
        <f>TYPEICON(CQ31)</f>
        <v>#NAME?</v>
      </c>
      <c r="CQ31" s="398" t="str">
        <f>MONTYPE2(CM30)</f>
        <v>#NAME?</v>
      </c>
      <c r="CR31" s="48"/>
      <c r="CS31" s="1230"/>
      <c r="CT31" s="1444"/>
      <c r="CU31" s="1092" t="str">
        <f>TYPEICON(CV31)</f>
        <v>#NAME?</v>
      </c>
      <c r="CV31" s="398" t="str">
        <f>MONTYPE(CU30)</f>
        <v>#NAME?</v>
      </c>
      <c r="CW31" s="48"/>
      <c r="CX31" s="1092" t="str">
        <f>TYPEICON(CY31)</f>
        <v>#NAME?</v>
      </c>
      <c r="CY31" s="398" t="str">
        <f>MONTYPE2(CU30)</f>
        <v>#NAME?</v>
      </c>
      <c r="CZ31" s="48"/>
      <c r="DA31" s="290"/>
      <c r="DC31" s="1894"/>
      <c r="DD31" s="2111" t="str">
        <f>image("https://archives.bulbagarden.net/media/upload/8/80/Cameraman_OD.png", 1)</f>
        <v/>
      </c>
      <c r="DE31" s="2104"/>
      <c r="DF31" s="1444"/>
      <c r="DG31" s="1092" t="str">
        <f>TYPEICON(DH31)</f>
        <v>#NAME?</v>
      </c>
      <c r="DH31" s="398" t="str">
        <f>MONTYPE(DG30)</f>
        <v>#NAME?</v>
      </c>
      <c r="DI31" s="48"/>
      <c r="DJ31" s="1092" t="str">
        <f>TYPEICON(DK31)</f>
        <v>#NAME?</v>
      </c>
      <c r="DK31" s="398" t="str">
        <f>MONTYPE2(DG30)</f>
        <v>#NAME?</v>
      </c>
      <c r="DL31" s="48"/>
      <c r="DM31" s="1230"/>
      <c r="DN31" s="1444"/>
      <c r="DO31" s="1092" t="str">
        <f>TYPEICON(DP31)</f>
        <v>#NAME?</v>
      </c>
      <c r="DP31" s="398" t="str">
        <f>MONTYPE(DO30)</f>
        <v>#NAME?</v>
      </c>
      <c r="DQ31" s="48"/>
      <c r="DR31" s="2012" t="str">
        <f>TYPEICON(DS31)</f>
        <v>#NAME?</v>
      </c>
      <c r="DS31" s="398" t="str">
        <f>MONTYPE2(DO30)</f>
        <v>#NAME?</v>
      </c>
      <c r="DT31" s="48"/>
      <c r="DU31" s="290"/>
      <c r="DW31" s="1894"/>
      <c r="DX31" s="2111" t="str">
        <f>image("https://archives.bulbagarden.net/media/upload/8/80/Cameraman_OD.png", 1)</f>
        <v/>
      </c>
      <c r="DY31" s="2104"/>
      <c r="DZ31" s="1444"/>
      <c r="EA31" s="1092" t="str">
        <f>TYPEICON(EB31)</f>
        <v>#NAME?</v>
      </c>
      <c r="EB31" s="398" t="str">
        <f>MONTYPE(EA30)</f>
        <v>#NAME?</v>
      </c>
      <c r="EC31" s="48"/>
      <c r="ED31" s="1092" t="str">
        <f>TYPEICON(EE31)</f>
        <v>#NAME?</v>
      </c>
      <c r="EE31" s="398" t="str">
        <f>MONTYPE2(EA30)</f>
        <v>#NAME?</v>
      </c>
      <c r="EF31" s="48"/>
      <c r="EG31" s="1230"/>
      <c r="EH31" s="1444"/>
      <c r="EI31" s="1092" t="str">
        <f>TYPEICON(EJ31)</f>
        <v>#NAME?</v>
      </c>
      <c r="EJ31" s="398" t="str">
        <f>MONTYPE(EI30)</f>
        <v>#NAME?</v>
      </c>
      <c r="EK31" s="48"/>
      <c r="EL31" s="2012" t="str">
        <f>TYPEICON(EM31)</f>
        <v>#NAME?</v>
      </c>
      <c r="EM31" s="398" t="str">
        <f>MONTYPE2(EI30)</f>
        <v>#NAME?</v>
      </c>
      <c r="EN31" s="48"/>
      <c r="EO31" s="290"/>
      <c r="EQ31" s="2110"/>
      <c r="ER31" s="2105"/>
      <c r="ES31" s="2104"/>
      <c r="ET31" s="1444"/>
      <c r="EU31" s="1092" t="str">
        <f>TYPEICON(EV31)</f>
        <v>#NAME?</v>
      </c>
      <c r="EV31" s="398" t="str">
        <f>MONTYPE(EU30)</f>
        <v>#NAME?</v>
      </c>
      <c r="EW31" s="48"/>
      <c r="EX31" s="2012" t="str">
        <f>TYPEICON(EY31)</f>
        <v>#NAME?</v>
      </c>
      <c r="EY31" s="398" t="str">
        <f>MONTYPE2(EU30)</f>
        <v>#NAME?</v>
      </c>
      <c r="EZ31" s="48"/>
      <c r="FA31" s="1230"/>
      <c r="FB31" s="1444"/>
      <c r="FC31" s="2012" t="str">
        <f>TYPEICON(FD31)</f>
        <v>#NAME?</v>
      </c>
      <c r="FD31" s="398" t="str">
        <f>MONTYPE(FC30)</f>
        <v>#NAME?</v>
      </c>
      <c r="FE31" s="48"/>
      <c r="FF31" s="1092" t="str">
        <f>TYPEICON(FG31)</f>
        <v>#NAME?</v>
      </c>
      <c r="FG31" s="398" t="str">
        <f>MONTYPE2(FC30)</f>
        <v>#NAME?</v>
      </c>
      <c r="FH31" s="48"/>
      <c r="FI31" s="290"/>
      <c r="FK31" s="2110"/>
      <c r="FL31" s="2105"/>
      <c r="FM31" s="2104"/>
      <c r="FN31" s="1444"/>
      <c r="FO31" s="1092" t="str">
        <f>TYPEICON(FP31)</f>
        <v>#NAME?</v>
      </c>
      <c r="FP31" s="398" t="str">
        <f>MONTYPE(FO30)</f>
        <v>#NAME?</v>
      </c>
      <c r="FQ31" s="48"/>
      <c r="FR31" s="2012" t="str">
        <f>TYPEICON(FS31)</f>
        <v>#NAME?</v>
      </c>
      <c r="FS31" s="398" t="str">
        <f>MONTYPE2(FO30)</f>
        <v>#NAME?</v>
      </c>
      <c r="FT31" s="48"/>
      <c r="FU31" s="1230"/>
      <c r="FV31" s="1444"/>
      <c r="FW31" s="2012" t="str">
        <f>TYPEICON(FX31)</f>
        <v>#NAME?</v>
      </c>
      <c r="FX31" s="398" t="str">
        <f>MONTYPE(FW30)</f>
        <v>#NAME?</v>
      </c>
      <c r="FY31" s="48"/>
      <c r="FZ31" s="1092" t="str">
        <f>TYPEICON(GA31)</f>
        <v>#NAME?</v>
      </c>
      <c r="GA31" s="398" t="str">
        <f>MONTYPE2(FW30)</f>
        <v>#NAME?</v>
      </c>
      <c r="GB31" s="48"/>
      <c r="GC31" s="290"/>
      <c r="GE31" s="2110"/>
      <c r="GF31" s="2105"/>
      <c r="GG31" s="2104"/>
      <c r="GH31" s="1444"/>
      <c r="GI31" s="1092" t="str">
        <f>TYPEICON(GJ31)</f>
        <v>#NAME?</v>
      </c>
      <c r="GJ31" s="398" t="str">
        <f>MONTYPE(GI30)</f>
        <v>#NAME?</v>
      </c>
      <c r="GK31" s="48"/>
      <c r="GL31" s="1092" t="str">
        <f>TYPEICON(GM31)</f>
        <v>#NAME?</v>
      </c>
      <c r="GM31" s="398" t="str">
        <f>MONTYPE2(GI30)</f>
        <v>#NAME?</v>
      </c>
      <c r="GN31" s="48"/>
      <c r="GO31" s="1230"/>
      <c r="GP31" s="1444"/>
      <c r="GQ31" s="1092" t="str">
        <f>TYPEICON(GR31)</f>
        <v>#NAME?</v>
      </c>
      <c r="GR31" s="398" t="str">
        <f>MONTYPE(GQ30)</f>
        <v>#NAME?</v>
      </c>
      <c r="GS31" s="48"/>
      <c r="GT31" s="1092" t="str">
        <f>TYPEICON(GU31)</f>
        <v>#NAME?</v>
      </c>
      <c r="GU31" s="398" t="str">
        <f>MONTYPE2(GQ30)</f>
        <v>#NAME?</v>
      </c>
      <c r="GV31" s="48"/>
      <c r="GW31" s="290"/>
      <c r="GY31" s="2110"/>
      <c r="GZ31" s="2105"/>
      <c r="HA31" s="2104"/>
      <c r="HB31" s="1444"/>
      <c r="HC31" s="1092" t="str">
        <f>TYPEICON(HD31)</f>
        <v>#NAME?</v>
      </c>
      <c r="HD31" s="398" t="str">
        <f>MONTYPE(HC30)</f>
        <v>#NAME?</v>
      </c>
      <c r="HE31" s="48"/>
      <c r="HF31" s="1092" t="str">
        <f>TYPEICON(HG31)</f>
        <v>#NAME?</v>
      </c>
      <c r="HG31" s="398" t="str">
        <f>MONTYPE2(HC30)</f>
        <v>#NAME?</v>
      </c>
      <c r="HH31" s="48"/>
      <c r="HI31" s="1230"/>
      <c r="HJ31" s="1444"/>
      <c r="HK31" s="1092" t="str">
        <f>TYPEICON(HL31)</f>
        <v>#NAME?</v>
      </c>
      <c r="HL31" s="398" t="str">
        <f>MONTYPE(HK30)</f>
        <v>#NAME?</v>
      </c>
      <c r="HM31" s="48"/>
      <c r="HN31" s="1092" t="str">
        <f>TYPEICON(HO31)</f>
        <v>#NAME?</v>
      </c>
      <c r="HO31" s="398" t="str">
        <f>MONTYPE2(HK30)</f>
        <v>#NAME?</v>
      </c>
      <c r="HP31" s="48"/>
      <c r="HQ31" s="290"/>
      <c r="HS31" s="2110"/>
      <c r="HT31" s="2105"/>
      <c r="HU31" s="2104"/>
      <c r="HV31" s="1444"/>
      <c r="HW31" s="1092" t="str">
        <f>TYPEICON(HX31)</f>
        <v>#NAME?</v>
      </c>
      <c r="HX31" s="398" t="str">
        <f>MONTYPE(HW30)</f>
        <v>#NAME?</v>
      </c>
      <c r="HY31" s="48"/>
      <c r="HZ31" s="1092" t="str">
        <f>TYPEICON(IA31)</f>
        <v>#NAME?</v>
      </c>
      <c r="IA31" s="398" t="str">
        <f>MONTYPE2(HW30)</f>
        <v>#NAME?</v>
      </c>
      <c r="IB31" s="48"/>
      <c r="IC31" s="1230"/>
      <c r="ID31" s="1444"/>
      <c r="IE31" s="1092" t="str">
        <f>TYPEICON(IF31)</f>
        <v>#NAME?</v>
      </c>
      <c r="IF31" s="398" t="str">
        <f>MONTYPE(IE30)</f>
        <v>#NAME?</v>
      </c>
      <c r="IG31" s="48"/>
      <c r="IH31" s="1092" t="str">
        <f>TYPEICON(II31)</f>
        <v>#NAME?</v>
      </c>
      <c r="II31" s="398" t="str">
        <f>MONTYPE2(IE30)</f>
        <v>#NAME?</v>
      </c>
      <c r="IJ31" s="48"/>
      <c r="IK31" s="1230"/>
      <c r="IL31" s="1444"/>
      <c r="IM31" s="1092" t="str">
        <f>TYPEICON(IN31)</f>
        <v>#NAME?</v>
      </c>
      <c r="IN31" s="398" t="str">
        <f>MONTYPE(IM30)</f>
        <v>#NAME?</v>
      </c>
      <c r="IO31" s="48"/>
      <c r="IP31" s="1092" t="str">
        <f>TYPEICON(IQ31)</f>
        <v>#NAME?</v>
      </c>
      <c r="IQ31" s="398" t="str">
        <f>MONTYPE2(IM30)</f>
        <v>#NAME?</v>
      </c>
      <c r="IR31" s="48"/>
      <c r="IS31" s="290"/>
      <c r="IU31" s="2110"/>
      <c r="IV31" s="2105"/>
      <c r="IW31" s="2104"/>
      <c r="IX31" s="1444"/>
      <c r="IY31" s="1092" t="str">
        <f>TYPEICON(IZ31)</f>
        <v>#NAME?</v>
      </c>
      <c r="IZ31" s="398" t="str">
        <f>MONTYPE(IY30)</f>
        <v>#NAME?</v>
      </c>
      <c r="JA31" s="48"/>
      <c r="JB31" s="1092" t="str">
        <f>TYPEICON(JC31)</f>
        <v>#NAME?</v>
      </c>
      <c r="JC31" s="398" t="str">
        <f>MONTYPE2(IY30)</f>
        <v>#NAME?</v>
      </c>
      <c r="JD31" s="48"/>
      <c r="JE31" s="1230"/>
      <c r="JF31" s="1444"/>
      <c r="JG31" s="1092" t="str">
        <f>TYPEICON(JH31)</f>
        <v>#NAME?</v>
      </c>
      <c r="JH31" s="398" t="str">
        <f>MONTYPE(JG30)</f>
        <v>#NAME?</v>
      </c>
      <c r="JI31" s="48"/>
      <c r="JJ31" s="1092" t="str">
        <f>TYPEICON(JK31)</f>
        <v>#NAME?</v>
      </c>
      <c r="JK31" s="398" t="str">
        <f>MONTYPE2(JG30)</f>
        <v>#NAME?</v>
      </c>
      <c r="JL31" s="48"/>
      <c r="JM31" s="1230"/>
      <c r="JN31" s="1444"/>
      <c r="JO31" s="1092" t="str">
        <f>TYPEICON(JP31)</f>
        <v>#NAME?</v>
      </c>
      <c r="JP31" s="398" t="str">
        <f>MONTYPE(JO30)</f>
        <v>#NAME?</v>
      </c>
      <c r="JQ31" s="48"/>
      <c r="JR31" s="1092" t="str">
        <f>TYPEICON(JS31)</f>
        <v>#NAME?</v>
      </c>
      <c r="JS31" s="398" t="str">
        <f>MONTYPE2(JO30)</f>
        <v>#NAME?</v>
      </c>
      <c r="JT31" s="48"/>
      <c r="JU31" s="290"/>
      <c r="JW31" s="2110"/>
      <c r="JX31" s="2105"/>
      <c r="JY31" s="2104"/>
      <c r="JZ31" s="1444"/>
      <c r="KA31" s="1092" t="str">
        <f>TYPEICON(KB31)</f>
        <v>#NAME?</v>
      </c>
      <c r="KB31" s="398" t="str">
        <f>MONTYPE(KA30)</f>
        <v>#NAME?</v>
      </c>
      <c r="KC31" s="48"/>
      <c r="KD31" s="1092" t="str">
        <f>TYPEICON(KE31)</f>
        <v>#NAME?</v>
      </c>
      <c r="KE31" s="398" t="str">
        <f>MONTYPE2(KA30)</f>
        <v>#NAME?</v>
      </c>
      <c r="KF31" s="48"/>
      <c r="KG31" s="1230"/>
      <c r="KH31" s="1444"/>
      <c r="KI31" s="1092" t="str">
        <f>TYPEICON(KJ31)</f>
        <v>#NAME?</v>
      </c>
      <c r="KJ31" s="398" t="str">
        <f>MONTYPE(KI30)</f>
        <v>#NAME?</v>
      </c>
      <c r="KK31" s="48"/>
      <c r="KL31" s="1092" t="str">
        <f>TYPEICON(KM31)</f>
        <v>#NAME?</v>
      </c>
      <c r="KM31" s="398" t="str">
        <f>MONTYPE2(KI30)</f>
        <v>#NAME?</v>
      </c>
      <c r="KN31" s="48"/>
      <c r="KO31" s="290"/>
      <c r="KQ31" s="2110"/>
      <c r="KR31" s="2105"/>
      <c r="KS31" s="2104"/>
      <c r="KT31" s="1444"/>
      <c r="KU31" s="1092" t="str">
        <f>TYPEICON(KV31)</f>
        <v>#NAME?</v>
      </c>
      <c r="KV31" s="398" t="str">
        <f>MONTYPE(KU30)</f>
        <v>#NAME?</v>
      </c>
      <c r="KW31" s="48"/>
      <c r="KX31" s="1092" t="str">
        <f>TYPEICON(KY31)</f>
        <v>#NAME?</v>
      </c>
      <c r="KY31" s="398" t="str">
        <f>MONTYPE2(KU30)</f>
        <v>#NAME?</v>
      </c>
      <c r="KZ31" s="48"/>
      <c r="LA31" s="1230"/>
      <c r="LB31" s="1444"/>
      <c r="LC31" s="1092" t="str">
        <f>TYPEICON(LD31)</f>
        <v>#NAME?</v>
      </c>
      <c r="LD31" s="398" t="str">
        <f>MONTYPE(LC30)</f>
        <v>#NAME?</v>
      </c>
      <c r="LE31" s="48"/>
      <c r="LF31" s="1092" t="str">
        <f>TYPEICON(LG31)</f>
        <v>#NAME?</v>
      </c>
      <c r="LG31" s="398" t="str">
        <f>MONTYPE2(LC30)</f>
        <v>#NAME?</v>
      </c>
      <c r="LH31" s="48"/>
      <c r="LI31" s="290"/>
    </row>
    <row r="32" ht="15.75" customHeight="1">
      <c r="A32" s="1238"/>
      <c r="B32" s="2097" t="s">
        <v>10723</v>
      </c>
      <c r="C32" s="1230"/>
      <c r="D32" s="442"/>
      <c r="E32" s="1230"/>
      <c r="F32" s="2119" t="s">
        <v>10724</v>
      </c>
      <c r="G32" s="1230"/>
      <c r="H32" s="1914" t="s">
        <v>10725</v>
      </c>
      <c r="I32" s="414"/>
      <c r="J32" s="1230"/>
      <c r="K32" s="2122" t="s">
        <v>4953</v>
      </c>
      <c r="L32" s="2123"/>
      <c r="M32" s="1154"/>
      <c r="N32" s="2123"/>
      <c r="O32" s="1154"/>
      <c r="P32" s="2123"/>
      <c r="Q32" s="1154"/>
      <c r="R32" s="2123"/>
      <c r="S32" s="1154"/>
      <c r="T32" s="2123"/>
      <c r="U32" s="1154"/>
      <c r="V32" s="2123"/>
      <c r="W32" s="1154"/>
      <c r="X32" s="2123"/>
      <c r="Y32" s="1154"/>
      <c r="AA32" s="2117" t="s">
        <v>10726</v>
      </c>
      <c r="AB32" s="1204"/>
      <c r="AC32" s="1445"/>
      <c r="AD32" s="2006" t="s">
        <v>4416</v>
      </c>
      <c r="AE32" s="2007" t="s">
        <v>4417</v>
      </c>
      <c r="AF32" s="2007" t="s">
        <v>3748</v>
      </c>
      <c r="AG32" s="2007" t="s">
        <v>4418</v>
      </c>
      <c r="AH32" s="1120" t="s">
        <v>4419</v>
      </c>
      <c r="AI32" s="1120" t="s">
        <v>4420</v>
      </c>
      <c r="AJ32" s="1118" t="s">
        <v>4421</v>
      </c>
      <c r="AK32" s="1230"/>
      <c r="AL32" s="2006" t="s">
        <v>4416</v>
      </c>
      <c r="AM32" s="2007" t="s">
        <v>4417</v>
      </c>
      <c r="AN32" s="2007" t="s">
        <v>3748</v>
      </c>
      <c r="AO32" s="2007" t="s">
        <v>4418</v>
      </c>
      <c r="AP32" s="1120" t="s">
        <v>4419</v>
      </c>
      <c r="AQ32" s="1120" t="s">
        <v>4420</v>
      </c>
      <c r="AR32" s="1118" t="s">
        <v>4421</v>
      </c>
      <c r="AS32" s="290"/>
      <c r="AU32" s="2117" t="s">
        <v>10727</v>
      </c>
      <c r="AV32" s="1204"/>
      <c r="AW32" s="1445"/>
      <c r="AX32" s="2006" t="s">
        <v>4416</v>
      </c>
      <c r="AY32" s="2007" t="s">
        <v>4417</v>
      </c>
      <c r="AZ32" s="2007" t="s">
        <v>3748</v>
      </c>
      <c r="BA32" s="2007" t="s">
        <v>4418</v>
      </c>
      <c r="BB32" s="1120" t="s">
        <v>4419</v>
      </c>
      <c r="BC32" s="1120" t="s">
        <v>4420</v>
      </c>
      <c r="BD32" s="1118" t="s">
        <v>4421</v>
      </c>
      <c r="BE32" s="1230"/>
      <c r="BF32" s="2006" t="s">
        <v>4416</v>
      </c>
      <c r="BG32" s="2007" t="s">
        <v>4417</v>
      </c>
      <c r="BH32" s="2007" t="s">
        <v>3748</v>
      </c>
      <c r="BI32" s="2007" t="s">
        <v>4418</v>
      </c>
      <c r="BJ32" s="1120" t="s">
        <v>4419</v>
      </c>
      <c r="BK32" s="1120" t="s">
        <v>4420</v>
      </c>
      <c r="BL32" s="1118" t="s">
        <v>4421</v>
      </c>
      <c r="BM32" s="290"/>
      <c r="BO32" s="2117" t="s">
        <v>10728</v>
      </c>
      <c r="BP32" s="1204"/>
      <c r="BQ32" s="1445"/>
      <c r="BR32" s="2006" t="s">
        <v>4416</v>
      </c>
      <c r="BS32" s="2007" t="s">
        <v>4417</v>
      </c>
      <c r="BT32" s="2007" t="s">
        <v>3748</v>
      </c>
      <c r="BU32" s="2007" t="s">
        <v>4418</v>
      </c>
      <c r="BV32" s="1120" t="s">
        <v>4419</v>
      </c>
      <c r="BW32" s="1120" t="s">
        <v>4420</v>
      </c>
      <c r="BX32" s="1118" t="s">
        <v>4421</v>
      </c>
      <c r="BY32" s="1230"/>
      <c r="BZ32" s="2006" t="s">
        <v>4416</v>
      </c>
      <c r="CA32" s="2007" t="s">
        <v>4417</v>
      </c>
      <c r="CB32" s="2007" t="s">
        <v>3748</v>
      </c>
      <c r="CC32" s="2007" t="s">
        <v>4418</v>
      </c>
      <c r="CD32" s="1120" t="s">
        <v>4419</v>
      </c>
      <c r="CE32" s="1120" t="s">
        <v>4420</v>
      </c>
      <c r="CF32" s="1118" t="s">
        <v>4421</v>
      </c>
      <c r="CG32" s="290"/>
      <c r="CI32" s="2117" t="s">
        <v>10729</v>
      </c>
      <c r="CJ32" s="1204"/>
      <c r="CK32" s="1445"/>
      <c r="CL32" s="2006" t="s">
        <v>4416</v>
      </c>
      <c r="CM32" s="2007" t="s">
        <v>4417</v>
      </c>
      <c r="CN32" s="2007" t="s">
        <v>3748</v>
      </c>
      <c r="CO32" s="2007" t="s">
        <v>4418</v>
      </c>
      <c r="CP32" s="1120" t="s">
        <v>4419</v>
      </c>
      <c r="CQ32" s="1120" t="s">
        <v>4420</v>
      </c>
      <c r="CR32" s="1118" t="s">
        <v>4421</v>
      </c>
      <c r="CS32" s="1230"/>
      <c r="CT32" s="2006" t="s">
        <v>4416</v>
      </c>
      <c r="CU32" s="2007" t="s">
        <v>4417</v>
      </c>
      <c r="CV32" s="2007" t="s">
        <v>3748</v>
      </c>
      <c r="CW32" s="2007" t="s">
        <v>4418</v>
      </c>
      <c r="CX32" s="1120" t="s">
        <v>4419</v>
      </c>
      <c r="CY32" s="1120" t="s">
        <v>4420</v>
      </c>
      <c r="CZ32" s="1118" t="s">
        <v>4421</v>
      </c>
      <c r="DA32" s="290"/>
      <c r="DC32" s="2110"/>
      <c r="DD32" s="2105"/>
      <c r="DE32" s="2104"/>
      <c r="DF32" s="2006" t="s">
        <v>4416</v>
      </c>
      <c r="DG32" s="2007" t="s">
        <v>4417</v>
      </c>
      <c r="DH32" s="2007" t="s">
        <v>3748</v>
      </c>
      <c r="DI32" s="2007" t="s">
        <v>4418</v>
      </c>
      <c r="DJ32" s="1120" t="s">
        <v>4419</v>
      </c>
      <c r="DK32" s="1120" t="s">
        <v>4420</v>
      </c>
      <c r="DL32" s="1118" t="s">
        <v>4421</v>
      </c>
      <c r="DM32" s="1230"/>
      <c r="DN32" s="2006" t="s">
        <v>4416</v>
      </c>
      <c r="DO32" s="2007" t="s">
        <v>4417</v>
      </c>
      <c r="DP32" s="2007" t="s">
        <v>3748</v>
      </c>
      <c r="DQ32" s="2007" t="s">
        <v>4418</v>
      </c>
      <c r="DR32" s="1120" t="s">
        <v>4419</v>
      </c>
      <c r="DS32" s="1120" t="s">
        <v>4420</v>
      </c>
      <c r="DT32" s="1118" t="s">
        <v>4421</v>
      </c>
      <c r="DU32" s="290"/>
      <c r="DW32" s="2110"/>
      <c r="DX32" s="2105"/>
      <c r="DY32" s="2104"/>
      <c r="DZ32" s="2006" t="s">
        <v>4416</v>
      </c>
      <c r="EA32" s="2007" t="s">
        <v>4417</v>
      </c>
      <c r="EB32" s="2007" t="s">
        <v>3748</v>
      </c>
      <c r="EC32" s="2007" t="s">
        <v>4418</v>
      </c>
      <c r="ED32" s="1120" t="s">
        <v>4419</v>
      </c>
      <c r="EE32" s="1120" t="s">
        <v>4420</v>
      </c>
      <c r="EF32" s="1118" t="s">
        <v>4421</v>
      </c>
      <c r="EG32" s="1230"/>
      <c r="EH32" s="2006" t="s">
        <v>4416</v>
      </c>
      <c r="EI32" s="2007" t="s">
        <v>4417</v>
      </c>
      <c r="EJ32" s="2007" t="s">
        <v>3748</v>
      </c>
      <c r="EK32" s="2007" t="s">
        <v>4418</v>
      </c>
      <c r="EL32" s="1120" t="s">
        <v>4419</v>
      </c>
      <c r="EM32" s="1120" t="s">
        <v>4420</v>
      </c>
      <c r="EN32" s="1118" t="s">
        <v>4421</v>
      </c>
      <c r="EO32" s="290"/>
      <c r="EQ32" s="2117" t="s">
        <v>10730</v>
      </c>
      <c r="ER32" s="1204"/>
      <c r="ES32" s="1445"/>
      <c r="ET32" s="2006" t="s">
        <v>4416</v>
      </c>
      <c r="EU32" s="2007" t="s">
        <v>4417</v>
      </c>
      <c r="EV32" s="2007" t="s">
        <v>3748</v>
      </c>
      <c r="EW32" s="2007" t="s">
        <v>4418</v>
      </c>
      <c r="EX32" s="1120" t="s">
        <v>4419</v>
      </c>
      <c r="EY32" s="1120" t="s">
        <v>4420</v>
      </c>
      <c r="EZ32" s="1118" t="s">
        <v>4421</v>
      </c>
      <c r="FA32" s="1230"/>
      <c r="FB32" s="2006" t="s">
        <v>4416</v>
      </c>
      <c r="FC32" s="2007" t="s">
        <v>4417</v>
      </c>
      <c r="FD32" s="2007" t="s">
        <v>3748</v>
      </c>
      <c r="FE32" s="2007" t="s">
        <v>4418</v>
      </c>
      <c r="FF32" s="1120" t="s">
        <v>4419</v>
      </c>
      <c r="FG32" s="1120" t="s">
        <v>4420</v>
      </c>
      <c r="FH32" s="1118" t="s">
        <v>4421</v>
      </c>
      <c r="FI32" s="290"/>
      <c r="FK32" s="2117" t="s">
        <v>10731</v>
      </c>
      <c r="FL32" s="1204"/>
      <c r="FM32" s="1445"/>
      <c r="FN32" s="2006" t="s">
        <v>4416</v>
      </c>
      <c r="FO32" s="2007" t="s">
        <v>4417</v>
      </c>
      <c r="FP32" s="2007" t="s">
        <v>3748</v>
      </c>
      <c r="FQ32" s="2007" t="s">
        <v>4418</v>
      </c>
      <c r="FR32" s="1120" t="s">
        <v>4419</v>
      </c>
      <c r="FS32" s="1120" t="s">
        <v>4420</v>
      </c>
      <c r="FT32" s="1118" t="s">
        <v>4421</v>
      </c>
      <c r="FU32" s="1230"/>
      <c r="FV32" s="2006" t="s">
        <v>4416</v>
      </c>
      <c r="FW32" s="2007" t="s">
        <v>4417</v>
      </c>
      <c r="FX32" s="2007" t="s">
        <v>3748</v>
      </c>
      <c r="FY32" s="2007" t="s">
        <v>4418</v>
      </c>
      <c r="FZ32" s="1120" t="s">
        <v>4419</v>
      </c>
      <c r="GA32" s="1120" t="s">
        <v>4420</v>
      </c>
      <c r="GB32" s="1118" t="s">
        <v>4421</v>
      </c>
      <c r="GC32" s="290"/>
      <c r="GE32" s="2117" t="s">
        <v>10732</v>
      </c>
      <c r="GF32" s="1204"/>
      <c r="GG32" s="1445"/>
      <c r="GH32" s="2006" t="s">
        <v>4416</v>
      </c>
      <c r="GI32" s="2007" t="s">
        <v>4417</v>
      </c>
      <c r="GJ32" s="2007" t="s">
        <v>3748</v>
      </c>
      <c r="GK32" s="2007" t="s">
        <v>4418</v>
      </c>
      <c r="GL32" s="1120" t="s">
        <v>4419</v>
      </c>
      <c r="GM32" s="1120" t="s">
        <v>4420</v>
      </c>
      <c r="GN32" s="1118" t="s">
        <v>4421</v>
      </c>
      <c r="GO32" s="1230"/>
      <c r="GP32" s="2006" t="s">
        <v>4416</v>
      </c>
      <c r="GQ32" s="2007" t="s">
        <v>4417</v>
      </c>
      <c r="GR32" s="2007" t="s">
        <v>3748</v>
      </c>
      <c r="GS32" s="2007" t="s">
        <v>4418</v>
      </c>
      <c r="GT32" s="1120" t="s">
        <v>4419</v>
      </c>
      <c r="GU32" s="1120" t="s">
        <v>4420</v>
      </c>
      <c r="GV32" s="1118" t="s">
        <v>4421</v>
      </c>
      <c r="GW32" s="290"/>
      <c r="GY32" s="2117" t="s">
        <v>10733</v>
      </c>
      <c r="GZ32" s="1204"/>
      <c r="HA32" s="1445"/>
      <c r="HB32" s="2006" t="s">
        <v>4416</v>
      </c>
      <c r="HC32" s="2007" t="s">
        <v>4417</v>
      </c>
      <c r="HD32" s="2007" t="s">
        <v>3748</v>
      </c>
      <c r="HE32" s="2007" t="s">
        <v>4418</v>
      </c>
      <c r="HF32" s="1120" t="s">
        <v>4419</v>
      </c>
      <c r="HG32" s="1120" t="s">
        <v>4420</v>
      </c>
      <c r="HH32" s="1118" t="s">
        <v>4421</v>
      </c>
      <c r="HI32" s="1230"/>
      <c r="HJ32" s="2006" t="s">
        <v>4416</v>
      </c>
      <c r="HK32" s="2007" t="s">
        <v>4417</v>
      </c>
      <c r="HL32" s="2007" t="s">
        <v>3748</v>
      </c>
      <c r="HM32" s="2007" t="s">
        <v>4418</v>
      </c>
      <c r="HN32" s="1120" t="s">
        <v>4419</v>
      </c>
      <c r="HO32" s="1120" t="s">
        <v>4420</v>
      </c>
      <c r="HP32" s="1118" t="s">
        <v>4421</v>
      </c>
      <c r="HQ32" s="290"/>
      <c r="HS32" s="2117" t="s">
        <v>10734</v>
      </c>
      <c r="HT32" s="1204"/>
      <c r="HU32" s="1445"/>
      <c r="HV32" s="2006" t="s">
        <v>4416</v>
      </c>
      <c r="HW32" s="2007" t="s">
        <v>4417</v>
      </c>
      <c r="HX32" s="2007" t="s">
        <v>3748</v>
      </c>
      <c r="HY32" s="2007" t="s">
        <v>4418</v>
      </c>
      <c r="HZ32" s="1120" t="s">
        <v>4419</v>
      </c>
      <c r="IA32" s="1120" t="s">
        <v>4420</v>
      </c>
      <c r="IB32" s="1118" t="s">
        <v>4421</v>
      </c>
      <c r="IC32" s="1230"/>
      <c r="ID32" s="2006" t="s">
        <v>4416</v>
      </c>
      <c r="IE32" s="2007" t="s">
        <v>4417</v>
      </c>
      <c r="IF32" s="2007" t="s">
        <v>3748</v>
      </c>
      <c r="IG32" s="2007" t="s">
        <v>4418</v>
      </c>
      <c r="IH32" s="1120" t="s">
        <v>4419</v>
      </c>
      <c r="II32" s="1120" t="s">
        <v>4420</v>
      </c>
      <c r="IJ32" s="1118" t="s">
        <v>4421</v>
      </c>
      <c r="IK32" s="1230"/>
      <c r="IL32" s="2006" t="s">
        <v>4416</v>
      </c>
      <c r="IM32" s="2007" t="s">
        <v>4417</v>
      </c>
      <c r="IN32" s="2007" t="s">
        <v>3748</v>
      </c>
      <c r="IO32" s="2007" t="s">
        <v>4418</v>
      </c>
      <c r="IP32" s="1120" t="s">
        <v>4419</v>
      </c>
      <c r="IQ32" s="1120" t="s">
        <v>4420</v>
      </c>
      <c r="IR32" s="1118" t="s">
        <v>4421</v>
      </c>
      <c r="IS32" s="290"/>
      <c r="IU32" s="2117" t="s">
        <v>10735</v>
      </c>
      <c r="IV32" s="1204"/>
      <c r="IW32" s="1445"/>
      <c r="IX32" s="2006" t="s">
        <v>4416</v>
      </c>
      <c r="IY32" s="2007" t="s">
        <v>4417</v>
      </c>
      <c r="IZ32" s="2007" t="s">
        <v>3748</v>
      </c>
      <c r="JA32" s="2007" t="s">
        <v>4418</v>
      </c>
      <c r="JB32" s="1120" t="s">
        <v>4419</v>
      </c>
      <c r="JC32" s="1120" t="s">
        <v>4420</v>
      </c>
      <c r="JD32" s="1118" t="s">
        <v>4421</v>
      </c>
      <c r="JE32" s="1230"/>
      <c r="JF32" s="2006" t="s">
        <v>4416</v>
      </c>
      <c r="JG32" s="2007" t="s">
        <v>4417</v>
      </c>
      <c r="JH32" s="2007" t="s">
        <v>3748</v>
      </c>
      <c r="JI32" s="2007" t="s">
        <v>4418</v>
      </c>
      <c r="JJ32" s="1120" t="s">
        <v>4419</v>
      </c>
      <c r="JK32" s="1120" t="s">
        <v>4420</v>
      </c>
      <c r="JL32" s="1118" t="s">
        <v>4421</v>
      </c>
      <c r="JM32" s="1230"/>
      <c r="JN32" s="2006" t="s">
        <v>4416</v>
      </c>
      <c r="JO32" s="2007" t="s">
        <v>4417</v>
      </c>
      <c r="JP32" s="2007" t="s">
        <v>3748</v>
      </c>
      <c r="JQ32" s="2007" t="s">
        <v>4418</v>
      </c>
      <c r="JR32" s="1120" t="s">
        <v>4419</v>
      </c>
      <c r="JS32" s="1120" t="s">
        <v>4420</v>
      </c>
      <c r="JT32" s="1118" t="s">
        <v>4421</v>
      </c>
      <c r="JU32" s="290"/>
      <c r="JW32" s="2117" t="s">
        <v>10736</v>
      </c>
      <c r="JX32" s="1204"/>
      <c r="JY32" s="1445"/>
      <c r="JZ32" s="2006" t="s">
        <v>4416</v>
      </c>
      <c r="KA32" s="2007" t="s">
        <v>4417</v>
      </c>
      <c r="KB32" s="2007" t="s">
        <v>3748</v>
      </c>
      <c r="KC32" s="2007" t="s">
        <v>4418</v>
      </c>
      <c r="KD32" s="1120" t="s">
        <v>4419</v>
      </c>
      <c r="KE32" s="1120" t="s">
        <v>4420</v>
      </c>
      <c r="KF32" s="1118" t="s">
        <v>4421</v>
      </c>
      <c r="KG32" s="1230"/>
      <c r="KH32" s="2006" t="s">
        <v>4416</v>
      </c>
      <c r="KI32" s="2007" t="s">
        <v>4417</v>
      </c>
      <c r="KJ32" s="2007" t="s">
        <v>3748</v>
      </c>
      <c r="KK32" s="2007" t="s">
        <v>4418</v>
      </c>
      <c r="KL32" s="1120" t="s">
        <v>4419</v>
      </c>
      <c r="KM32" s="1120" t="s">
        <v>4420</v>
      </c>
      <c r="KN32" s="1118" t="s">
        <v>4421</v>
      </c>
      <c r="KO32" s="290"/>
      <c r="KQ32" s="2117" t="s">
        <v>10737</v>
      </c>
      <c r="KR32" s="1204"/>
      <c r="KS32" s="1445"/>
      <c r="KT32" s="2006" t="s">
        <v>4416</v>
      </c>
      <c r="KU32" s="2007" t="s">
        <v>4417</v>
      </c>
      <c r="KV32" s="2007" t="s">
        <v>3748</v>
      </c>
      <c r="KW32" s="2007" t="s">
        <v>4418</v>
      </c>
      <c r="KX32" s="1120" t="s">
        <v>4419</v>
      </c>
      <c r="KY32" s="1120" t="s">
        <v>4420</v>
      </c>
      <c r="KZ32" s="1118" t="s">
        <v>4421</v>
      </c>
      <c r="LA32" s="1230"/>
      <c r="LB32" s="2006" t="s">
        <v>4416</v>
      </c>
      <c r="LC32" s="2007" t="s">
        <v>4417</v>
      </c>
      <c r="LD32" s="2007" t="s">
        <v>3748</v>
      </c>
      <c r="LE32" s="2007" t="s">
        <v>4418</v>
      </c>
      <c r="LF32" s="1120" t="s">
        <v>4419</v>
      </c>
      <c r="LG32" s="1120" t="s">
        <v>4420</v>
      </c>
      <c r="LH32" s="1118" t="s">
        <v>4421</v>
      </c>
      <c r="LI32" s="290"/>
    </row>
    <row r="33" ht="15.75" customHeight="1">
      <c r="A33" s="1238"/>
      <c r="B33" s="1230"/>
      <c r="C33" s="1230"/>
      <c r="D33" s="442"/>
      <c r="E33" s="1230"/>
      <c r="F33" s="1254"/>
      <c r="G33" s="1230"/>
      <c r="H33" s="1230"/>
      <c r="I33" s="449"/>
      <c r="J33" s="1230"/>
      <c r="K33" s="2112"/>
      <c r="L33" s="1860"/>
      <c r="M33" s="30"/>
      <c r="N33" s="1860"/>
      <c r="O33" s="30"/>
      <c r="P33" s="1860"/>
      <c r="Q33" s="30"/>
      <c r="R33" s="1860"/>
      <c r="S33" s="30"/>
      <c r="T33" s="1860"/>
      <c r="U33" s="30"/>
      <c r="V33" s="1860"/>
      <c r="W33" s="30"/>
      <c r="X33" s="1860"/>
      <c r="Y33" s="30"/>
      <c r="AA33" s="237" t="s">
        <v>10738</v>
      </c>
      <c r="AB33" s="976"/>
      <c r="AD33" s="1092" t="str">
        <f>MONHP(AE30)</f>
        <v>#NAME?</v>
      </c>
      <c r="AE33" s="986" t="str">
        <f>MONATK(AE30)</f>
        <v>#NAME?</v>
      </c>
      <c r="AF33" s="986" t="str">
        <f>MONDEF(AE30)</f>
        <v>#NAME?</v>
      </c>
      <c r="AG33" s="986" t="str">
        <f>MONSPA(AE30)</f>
        <v>#NAME?</v>
      </c>
      <c r="AH33" s="986" t="str">
        <f>MONSPD(AE30)</f>
        <v>#NAME?</v>
      </c>
      <c r="AI33" s="950" t="str">
        <f>MONSPE(AE30)</f>
        <v>#NAME?</v>
      </c>
      <c r="AJ33" s="952" t="str">
        <f>MONBST(AE30)</f>
        <v>#NAME?</v>
      </c>
      <c r="AK33" s="1230"/>
      <c r="AL33" s="1092" t="str">
        <f>MONHP(AM30)</f>
        <v>#NAME?</v>
      </c>
      <c r="AM33" s="986" t="str">
        <f>MONATK(AM30)</f>
        <v>#NAME?</v>
      </c>
      <c r="AN33" s="986" t="str">
        <f>MONDEF(AM30)</f>
        <v>#NAME?</v>
      </c>
      <c r="AO33" s="986" t="str">
        <f>MONSPA(AM30)</f>
        <v>#NAME?</v>
      </c>
      <c r="AP33" s="986" t="str">
        <f>MONSPD(AM30)</f>
        <v>#NAME?</v>
      </c>
      <c r="AQ33" s="950" t="str">
        <f>MONSPE(AM30)</f>
        <v>#NAME?</v>
      </c>
      <c r="AR33" s="952" t="str">
        <f>MONBST(AM30)</f>
        <v>#NAME?</v>
      </c>
      <c r="AS33" s="290"/>
      <c r="AU33" s="237" t="s">
        <v>10739</v>
      </c>
      <c r="AV33" s="976"/>
      <c r="AX33" s="1092" t="str">
        <f>MONHP(AY30)</f>
        <v>#NAME?</v>
      </c>
      <c r="AY33" s="986" t="str">
        <f>MONATK(AY30)</f>
        <v>#NAME?</v>
      </c>
      <c r="AZ33" s="986" t="str">
        <f>MONDEF(AY30)</f>
        <v>#NAME?</v>
      </c>
      <c r="BA33" s="986" t="str">
        <f>MONSPA(AY30)</f>
        <v>#NAME?</v>
      </c>
      <c r="BB33" s="986" t="str">
        <f>MONSPD(AY30)</f>
        <v>#NAME?</v>
      </c>
      <c r="BC33" s="950" t="str">
        <f>MONSPE(AY30)</f>
        <v>#NAME?</v>
      </c>
      <c r="BD33" s="952" t="str">
        <f>MONBST(AY30)</f>
        <v>#NAME?</v>
      </c>
      <c r="BE33" s="1230"/>
      <c r="BF33" s="1092" t="str">
        <f>MONHP(BG30)</f>
        <v>#NAME?</v>
      </c>
      <c r="BG33" s="986" t="str">
        <f>MONATK(BG30)</f>
        <v>#NAME?</v>
      </c>
      <c r="BH33" s="986" t="str">
        <f>MONDEF(BG30)</f>
        <v>#NAME?</v>
      </c>
      <c r="BI33" s="986" t="str">
        <f>MONSPA(BG30)</f>
        <v>#NAME?</v>
      </c>
      <c r="BJ33" s="986" t="str">
        <f>MONSPD(BG30)</f>
        <v>#NAME?</v>
      </c>
      <c r="BK33" s="950" t="str">
        <f>MONSPE(BG30)</f>
        <v>#NAME?</v>
      </c>
      <c r="BL33" s="952" t="str">
        <f>MONBST(BG30)</f>
        <v>#NAME?</v>
      </c>
      <c r="BM33" s="290"/>
      <c r="BO33" s="237" t="s">
        <v>10738</v>
      </c>
      <c r="BP33" s="976"/>
      <c r="BR33" s="1092" t="str">
        <f>MONHP(BS30)</f>
        <v>#NAME?</v>
      </c>
      <c r="BS33" s="986" t="str">
        <f>MONATK(BS30)</f>
        <v>#NAME?</v>
      </c>
      <c r="BT33" s="986" t="str">
        <f>MONDEF(BS30)</f>
        <v>#NAME?</v>
      </c>
      <c r="BU33" s="986" t="str">
        <f>MONSPA(BS30)</f>
        <v>#NAME?</v>
      </c>
      <c r="BV33" s="986" t="str">
        <f>MONSPD(BS30)</f>
        <v>#NAME?</v>
      </c>
      <c r="BW33" s="950" t="str">
        <f>MONSPE(BS30)</f>
        <v>#NAME?</v>
      </c>
      <c r="BX33" s="952" t="str">
        <f>MONBST(BS30)</f>
        <v>#NAME?</v>
      </c>
      <c r="BY33" s="1230"/>
      <c r="BZ33" s="1092" t="str">
        <f>MONHP(CA30)</f>
        <v>#NAME?</v>
      </c>
      <c r="CA33" s="986" t="str">
        <f>MONATK(CA30)</f>
        <v>#NAME?</v>
      </c>
      <c r="CB33" s="986" t="str">
        <f>MONDEF(CA30)</f>
        <v>#NAME?</v>
      </c>
      <c r="CC33" s="986" t="str">
        <f>MONSPA(CA30)</f>
        <v>#NAME?</v>
      </c>
      <c r="CD33" s="986" t="str">
        <f>MONSPD(CA30)</f>
        <v>#NAME?</v>
      </c>
      <c r="CE33" s="950" t="str">
        <f>MONSPE(CA30)</f>
        <v>#NAME?</v>
      </c>
      <c r="CF33" s="952" t="str">
        <f>MONBST(CA30)</f>
        <v>#NAME?</v>
      </c>
      <c r="CG33" s="290"/>
      <c r="CI33" s="237" t="s">
        <v>10739</v>
      </c>
      <c r="CJ33" s="976"/>
      <c r="CL33" s="1092" t="str">
        <f>MONHP(CM30)</f>
        <v>#NAME?</v>
      </c>
      <c r="CM33" s="986" t="str">
        <f>MONATK(CM30)</f>
        <v>#NAME?</v>
      </c>
      <c r="CN33" s="986" t="str">
        <f>MONDEF(CM30)</f>
        <v>#NAME?</v>
      </c>
      <c r="CO33" s="986" t="str">
        <f>MONSPA(CM30)</f>
        <v>#NAME?</v>
      </c>
      <c r="CP33" s="986" t="str">
        <f>MONSPD(CM30)</f>
        <v>#NAME?</v>
      </c>
      <c r="CQ33" s="950" t="str">
        <f>MONSPE(CM30)</f>
        <v>#NAME?</v>
      </c>
      <c r="CR33" s="952" t="str">
        <f>MONBST(CM30)</f>
        <v>#NAME?</v>
      </c>
      <c r="CS33" s="1230"/>
      <c r="CT33" s="1092" t="str">
        <f>MONHP(CU30)</f>
        <v>#NAME?</v>
      </c>
      <c r="CU33" s="986" t="str">
        <f>MONATK(CU30)</f>
        <v>#NAME?</v>
      </c>
      <c r="CV33" s="986" t="str">
        <f>MONDEF(CU30)</f>
        <v>#NAME?</v>
      </c>
      <c r="CW33" s="986" t="str">
        <f>MONSPA(CU30)</f>
        <v>#NAME?</v>
      </c>
      <c r="CX33" s="986" t="str">
        <f>MONSPD(CU30)</f>
        <v>#NAME?</v>
      </c>
      <c r="CY33" s="950" t="str">
        <f>MONSPE(CU30)</f>
        <v>#NAME?</v>
      </c>
      <c r="CZ33" s="952" t="str">
        <f>MONBST(CU30)</f>
        <v>#NAME?</v>
      </c>
      <c r="DA33" s="290"/>
      <c r="DC33" s="2117" t="s">
        <v>10740</v>
      </c>
      <c r="DD33" s="1204"/>
      <c r="DE33" s="1445"/>
      <c r="DF33" s="1092" t="str">
        <f>MONHP(DG30)</f>
        <v>#NAME?</v>
      </c>
      <c r="DG33" s="986" t="str">
        <f>MONATK(DG30)</f>
        <v>#NAME?</v>
      </c>
      <c r="DH33" s="986" t="str">
        <f>MONDEF(DG30)</f>
        <v>#NAME?</v>
      </c>
      <c r="DI33" s="986" t="str">
        <f>MONSPA(DG30)</f>
        <v>#NAME?</v>
      </c>
      <c r="DJ33" s="986" t="str">
        <f>MONSPD(DG30)</f>
        <v>#NAME?</v>
      </c>
      <c r="DK33" s="950" t="str">
        <f>MONSPE(DG30)</f>
        <v>#NAME?</v>
      </c>
      <c r="DL33" s="952" t="str">
        <f>MONBST(DG30)</f>
        <v>#NAME?</v>
      </c>
      <c r="DM33" s="1230"/>
      <c r="DN33" s="1092" t="str">
        <f>MONHP(DO30)</f>
        <v>#NAME?</v>
      </c>
      <c r="DO33" s="986" t="str">
        <f>MONATK(DO30)</f>
        <v>#NAME?</v>
      </c>
      <c r="DP33" s="986" t="str">
        <f>MONDEF(DO30)</f>
        <v>#NAME?</v>
      </c>
      <c r="DQ33" s="986" t="str">
        <f>MONSPA(DO30)</f>
        <v>#NAME?</v>
      </c>
      <c r="DR33" s="986" t="str">
        <f>MONSPD(DO30)</f>
        <v>#NAME?</v>
      </c>
      <c r="DS33" s="950" t="str">
        <f>MONSPE(DO30)</f>
        <v>#NAME?</v>
      </c>
      <c r="DT33" s="952" t="str">
        <f>MONBST(DO30)</f>
        <v>#NAME?</v>
      </c>
      <c r="DU33" s="290"/>
      <c r="DW33" s="2117" t="s">
        <v>10741</v>
      </c>
      <c r="DX33" s="1204"/>
      <c r="DY33" s="1445"/>
      <c r="DZ33" s="1092" t="str">
        <f>MONHP(EA30)</f>
        <v>#NAME?</v>
      </c>
      <c r="EA33" s="986" t="str">
        <f>MONATK(EA30)</f>
        <v>#NAME?</v>
      </c>
      <c r="EB33" s="986" t="str">
        <f>MONDEF(EA30)</f>
        <v>#NAME?</v>
      </c>
      <c r="EC33" s="986" t="str">
        <f>MONSPA(EA30)</f>
        <v>#NAME?</v>
      </c>
      <c r="ED33" s="986" t="str">
        <f>MONSPD(EA30)</f>
        <v>#NAME?</v>
      </c>
      <c r="EE33" s="950" t="str">
        <f>MONSPE(EA30)</f>
        <v>#NAME?</v>
      </c>
      <c r="EF33" s="952" t="str">
        <f>MONBST(EA30)</f>
        <v>#NAME?</v>
      </c>
      <c r="EG33" s="1230"/>
      <c r="EH33" s="1092" t="str">
        <f>MONHP(EI30)</f>
        <v>#NAME?</v>
      </c>
      <c r="EI33" s="986" t="str">
        <f>MONATK(EI30)</f>
        <v>#NAME?</v>
      </c>
      <c r="EJ33" s="986" t="str">
        <f>MONDEF(EI30)</f>
        <v>#NAME?</v>
      </c>
      <c r="EK33" s="986" t="str">
        <f>MONSPA(EI30)</f>
        <v>#NAME?</v>
      </c>
      <c r="EL33" s="986" t="str">
        <f>MONSPD(EI30)</f>
        <v>#NAME?</v>
      </c>
      <c r="EM33" s="950" t="str">
        <f>MONSPE(EI30)</f>
        <v>#NAME?</v>
      </c>
      <c r="EN33" s="952" t="str">
        <f>MONBST(EI30)</f>
        <v>#NAME?</v>
      </c>
      <c r="EO33" s="290"/>
      <c r="EQ33" s="237" t="s">
        <v>10738</v>
      </c>
      <c r="ER33" s="976"/>
      <c r="ET33" s="1092" t="str">
        <f>MONHP(EU30)</f>
        <v>#NAME?</v>
      </c>
      <c r="EU33" s="986" t="str">
        <f>MONATK(EU30)</f>
        <v>#NAME?</v>
      </c>
      <c r="EV33" s="986" t="str">
        <f>MONDEF(EU30)</f>
        <v>#NAME?</v>
      </c>
      <c r="EW33" s="986" t="str">
        <f>MONSPA(EU30)</f>
        <v>#NAME?</v>
      </c>
      <c r="EX33" s="986" t="str">
        <f>MONSPD(EU30)</f>
        <v>#NAME?</v>
      </c>
      <c r="EY33" s="950" t="str">
        <f>MONSPE(EU30)</f>
        <v>#NAME?</v>
      </c>
      <c r="EZ33" s="952" t="str">
        <f>MONBST(EU30)</f>
        <v>#NAME?</v>
      </c>
      <c r="FA33" s="1230"/>
      <c r="FB33" s="1092" t="str">
        <f>MONHP(FC30)</f>
        <v>#NAME?</v>
      </c>
      <c r="FC33" s="986" t="str">
        <f>MONATK(FC30)</f>
        <v>#NAME?</v>
      </c>
      <c r="FD33" s="986" t="str">
        <f>MONDEF(FC30)</f>
        <v>#NAME?</v>
      </c>
      <c r="FE33" s="986" t="str">
        <f>MONSPA(FC30)</f>
        <v>#NAME?</v>
      </c>
      <c r="FF33" s="986" t="str">
        <f>MONSPD(FC30)</f>
        <v>#NAME?</v>
      </c>
      <c r="FG33" s="950" t="str">
        <f>MONSPE(FC30)</f>
        <v>#NAME?</v>
      </c>
      <c r="FH33" s="952" t="str">
        <f>MONBST(FC30)</f>
        <v>#NAME?</v>
      </c>
      <c r="FI33" s="290"/>
      <c r="FK33" s="237" t="s">
        <v>10739</v>
      </c>
      <c r="FL33" s="976"/>
      <c r="FN33" s="1092" t="str">
        <f>MONHP(FO30)</f>
        <v>#NAME?</v>
      </c>
      <c r="FO33" s="986" t="str">
        <f>MONATK(FO30)</f>
        <v>#NAME?</v>
      </c>
      <c r="FP33" s="986" t="str">
        <f>MONDEF(FO30)</f>
        <v>#NAME?</v>
      </c>
      <c r="FQ33" s="986" t="str">
        <f>MONSPA(FO30)</f>
        <v>#NAME?</v>
      </c>
      <c r="FR33" s="986" t="str">
        <f>MONSPD(FO30)</f>
        <v>#NAME?</v>
      </c>
      <c r="FS33" s="950" t="str">
        <f>MONSPE(FO30)</f>
        <v>#NAME?</v>
      </c>
      <c r="FT33" s="952" t="str">
        <f>MONBST(FO30)</f>
        <v>#NAME?</v>
      </c>
      <c r="FU33" s="1230"/>
      <c r="FV33" s="1092" t="str">
        <f>MONHP(FW30)</f>
        <v>#NAME?</v>
      </c>
      <c r="FW33" s="986" t="str">
        <f>MONATK(FW30)</f>
        <v>#NAME?</v>
      </c>
      <c r="FX33" s="986" t="str">
        <f>MONDEF(FW30)</f>
        <v>#NAME?</v>
      </c>
      <c r="FY33" s="986" t="str">
        <f>MONSPA(FW30)</f>
        <v>#NAME?</v>
      </c>
      <c r="FZ33" s="986" t="str">
        <f>MONSPD(FW30)</f>
        <v>#NAME?</v>
      </c>
      <c r="GA33" s="950" t="str">
        <f>MONSPE(FW30)</f>
        <v>#NAME?</v>
      </c>
      <c r="GB33" s="952" t="str">
        <f>MONBST(FW30)</f>
        <v>#NAME?</v>
      </c>
      <c r="GC33" s="290"/>
      <c r="GE33" s="237" t="s">
        <v>10738</v>
      </c>
      <c r="GF33" s="976"/>
      <c r="GH33" s="1092" t="str">
        <f>MONHP(GI30)</f>
        <v>#NAME?</v>
      </c>
      <c r="GI33" s="986" t="str">
        <f>MONATK(GI30)</f>
        <v>#NAME?</v>
      </c>
      <c r="GJ33" s="986" t="str">
        <f>MONDEF(GI30)</f>
        <v>#NAME?</v>
      </c>
      <c r="GK33" s="986" t="str">
        <f>MONSPA(GI30)</f>
        <v>#NAME?</v>
      </c>
      <c r="GL33" s="986" t="str">
        <f>MONSPD(GI30)</f>
        <v>#NAME?</v>
      </c>
      <c r="GM33" s="950" t="str">
        <f>MONSPE(GI30)</f>
        <v>#NAME?</v>
      </c>
      <c r="GN33" s="952" t="str">
        <f>MONBST(GI30)</f>
        <v>#NAME?</v>
      </c>
      <c r="GO33" s="1230"/>
      <c r="GP33" s="1092" t="str">
        <f>MONHP(GQ30)</f>
        <v>#NAME?</v>
      </c>
      <c r="GQ33" s="986" t="str">
        <f>MONATK(GQ30)</f>
        <v>#NAME?</v>
      </c>
      <c r="GR33" s="986" t="str">
        <f>MONDEF(GQ30)</f>
        <v>#NAME?</v>
      </c>
      <c r="GS33" s="986" t="str">
        <f>MONSPA(GQ30)</f>
        <v>#NAME?</v>
      </c>
      <c r="GT33" s="986" t="str">
        <f>MONSPD(GQ30)</f>
        <v>#NAME?</v>
      </c>
      <c r="GU33" s="950" t="str">
        <f>MONSPE(GQ30)</f>
        <v>#NAME?</v>
      </c>
      <c r="GV33" s="952" t="str">
        <f>MONBST(GQ30)</f>
        <v>#NAME?</v>
      </c>
      <c r="GW33" s="290"/>
      <c r="GY33" s="237" t="s">
        <v>10739</v>
      </c>
      <c r="GZ33" s="976"/>
      <c r="HB33" s="1092" t="str">
        <f>MONHP(HC30)</f>
        <v>#NAME?</v>
      </c>
      <c r="HC33" s="986" t="str">
        <f>MONATK(HC30)</f>
        <v>#NAME?</v>
      </c>
      <c r="HD33" s="986" t="str">
        <f>MONDEF(HC30)</f>
        <v>#NAME?</v>
      </c>
      <c r="HE33" s="986" t="str">
        <f>MONSPA(HC30)</f>
        <v>#NAME?</v>
      </c>
      <c r="HF33" s="986" t="str">
        <f>MONSPD(HC30)</f>
        <v>#NAME?</v>
      </c>
      <c r="HG33" s="950" t="str">
        <f>MONSPE(HC30)</f>
        <v>#NAME?</v>
      </c>
      <c r="HH33" s="952" t="str">
        <f>MONBST(HC30)</f>
        <v>#NAME?</v>
      </c>
      <c r="HI33" s="1230"/>
      <c r="HJ33" s="1092" t="str">
        <f>MONHP(HK30)</f>
        <v>#NAME?</v>
      </c>
      <c r="HK33" s="986" t="str">
        <f>MONATK(HK30)</f>
        <v>#NAME?</v>
      </c>
      <c r="HL33" s="986" t="str">
        <f>MONDEF(HK30)</f>
        <v>#NAME?</v>
      </c>
      <c r="HM33" s="986" t="str">
        <f>MONSPA(HK30)</f>
        <v>#NAME?</v>
      </c>
      <c r="HN33" s="986" t="str">
        <f>MONSPD(HK30)</f>
        <v>#NAME?</v>
      </c>
      <c r="HO33" s="950" t="str">
        <f>MONSPE(HK30)</f>
        <v>#NAME?</v>
      </c>
      <c r="HP33" s="952" t="str">
        <f>MONBST(HK30)</f>
        <v>#NAME?</v>
      </c>
      <c r="HQ33" s="290"/>
      <c r="HS33" s="237" t="s">
        <v>10738</v>
      </c>
      <c r="HT33" s="976"/>
      <c r="HV33" s="1092" t="str">
        <f>MONHP(HW30)</f>
        <v>#NAME?</v>
      </c>
      <c r="HW33" s="986" t="str">
        <f>MONATK(HW30)</f>
        <v>#NAME?</v>
      </c>
      <c r="HX33" s="986" t="str">
        <f>MONDEF(HW30)</f>
        <v>#NAME?</v>
      </c>
      <c r="HY33" s="986" t="str">
        <f>MONSPA(HW30)</f>
        <v>#NAME?</v>
      </c>
      <c r="HZ33" s="986" t="str">
        <f>MONSPD(HW30)</f>
        <v>#NAME?</v>
      </c>
      <c r="IA33" s="950" t="str">
        <f>MONSPE(HW30)</f>
        <v>#NAME?</v>
      </c>
      <c r="IB33" s="952" t="str">
        <f>MONBST(HW30)</f>
        <v>#NAME?</v>
      </c>
      <c r="IC33" s="1230"/>
      <c r="ID33" s="1092" t="str">
        <f>MONHP(IE30)</f>
        <v>#NAME?</v>
      </c>
      <c r="IE33" s="986" t="str">
        <f>MONATK(IE30)</f>
        <v>#NAME?</v>
      </c>
      <c r="IF33" s="986" t="str">
        <f>MONDEF(IE30)</f>
        <v>#NAME?</v>
      </c>
      <c r="IG33" s="986" t="str">
        <f>MONSPA(IE30)</f>
        <v>#NAME?</v>
      </c>
      <c r="IH33" s="986" t="str">
        <f>MONSPD(IE30)</f>
        <v>#NAME?</v>
      </c>
      <c r="II33" s="950" t="str">
        <f>MONSPE(IE30)</f>
        <v>#NAME?</v>
      </c>
      <c r="IJ33" s="952" t="str">
        <f>MONBST(IE30)</f>
        <v>#NAME?</v>
      </c>
      <c r="IK33" s="1230"/>
      <c r="IL33" s="1092" t="str">
        <f>MONHP(IM30)</f>
        <v>#NAME?</v>
      </c>
      <c r="IM33" s="986" t="str">
        <f>MONATK(IM30)</f>
        <v>#NAME?</v>
      </c>
      <c r="IN33" s="986" t="str">
        <f>MONDEF(IM30)</f>
        <v>#NAME?</v>
      </c>
      <c r="IO33" s="986" t="str">
        <f>MONSPA(IM30)</f>
        <v>#NAME?</v>
      </c>
      <c r="IP33" s="986" t="str">
        <f>MONSPD(IM30)</f>
        <v>#NAME?</v>
      </c>
      <c r="IQ33" s="950" t="str">
        <f>MONSPE(IM30)</f>
        <v>#NAME?</v>
      </c>
      <c r="IR33" s="952" t="str">
        <f>MONBST(IM30)</f>
        <v>#NAME?</v>
      </c>
      <c r="IS33" s="290"/>
      <c r="IU33" s="237" t="s">
        <v>10739</v>
      </c>
      <c r="IV33" s="976"/>
      <c r="IX33" s="1092" t="str">
        <f>MONHP(IY30)</f>
        <v>#NAME?</v>
      </c>
      <c r="IY33" s="986" t="str">
        <f>MONATK(IY30)</f>
        <v>#NAME?</v>
      </c>
      <c r="IZ33" s="986" t="str">
        <f>MONDEF(IY30)</f>
        <v>#NAME?</v>
      </c>
      <c r="JA33" s="986" t="str">
        <f>MONSPA(IY30)</f>
        <v>#NAME?</v>
      </c>
      <c r="JB33" s="986" t="str">
        <f>MONSPD(IY30)</f>
        <v>#NAME?</v>
      </c>
      <c r="JC33" s="950" t="str">
        <f>MONSPE(IY30)</f>
        <v>#NAME?</v>
      </c>
      <c r="JD33" s="952" t="str">
        <f>MONBST(IY30)</f>
        <v>#NAME?</v>
      </c>
      <c r="JE33" s="1230"/>
      <c r="JF33" s="1092" t="str">
        <f>MONHP(JG30)</f>
        <v>#NAME?</v>
      </c>
      <c r="JG33" s="986" t="str">
        <f>MONATK(JG30)</f>
        <v>#NAME?</v>
      </c>
      <c r="JH33" s="986" t="str">
        <f>MONDEF(JG30)</f>
        <v>#NAME?</v>
      </c>
      <c r="JI33" s="986" t="str">
        <f>MONSPA(JG30)</f>
        <v>#NAME?</v>
      </c>
      <c r="JJ33" s="986" t="str">
        <f>MONSPD(JG30)</f>
        <v>#NAME?</v>
      </c>
      <c r="JK33" s="950" t="str">
        <f>MONSPE(JG30)</f>
        <v>#NAME?</v>
      </c>
      <c r="JL33" s="952" t="str">
        <f>MONBST(JG30)</f>
        <v>#NAME?</v>
      </c>
      <c r="JM33" s="1230"/>
      <c r="JN33" s="1092" t="str">
        <f>MONHP(JO30)</f>
        <v>#NAME?</v>
      </c>
      <c r="JO33" s="986" t="str">
        <f>MONATK(JO30)</f>
        <v>#NAME?</v>
      </c>
      <c r="JP33" s="986" t="str">
        <f>MONDEF(JO30)</f>
        <v>#NAME?</v>
      </c>
      <c r="JQ33" s="986" t="str">
        <f>MONSPA(JO30)</f>
        <v>#NAME?</v>
      </c>
      <c r="JR33" s="986" t="str">
        <f>MONSPD(JO30)</f>
        <v>#NAME?</v>
      </c>
      <c r="JS33" s="950" t="str">
        <f>MONSPE(JO30)</f>
        <v>#NAME?</v>
      </c>
      <c r="JT33" s="952" t="str">
        <f>MONBST(JO30)</f>
        <v>#NAME?</v>
      </c>
      <c r="JU33" s="290"/>
      <c r="JW33" s="237" t="s">
        <v>10738</v>
      </c>
      <c r="JX33" s="976"/>
      <c r="JZ33" s="1092" t="str">
        <f>MONHP(KA30)</f>
        <v>#NAME?</v>
      </c>
      <c r="KA33" s="986" t="str">
        <f>MONATK(KA30)</f>
        <v>#NAME?</v>
      </c>
      <c r="KB33" s="986" t="str">
        <f>MONDEF(KA30)</f>
        <v>#NAME?</v>
      </c>
      <c r="KC33" s="986" t="str">
        <f>MONSPA(KA30)</f>
        <v>#NAME?</v>
      </c>
      <c r="KD33" s="986" t="str">
        <f>MONSPD(KA30)</f>
        <v>#NAME?</v>
      </c>
      <c r="KE33" s="950" t="str">
        <f>MONSPE(KA30)</f>
        <v>#NAME?</v>
      </c>
      <c r="KF33" s="952" t="str">
        <f>MONBST(KA30)</f>
        <v>#NAME?</v>
      </c>
      <c r="KG33" s="1230"/>
      <c r="KH33" s="1092" t="str">
        <f>MONHP(KI30)</f>
        <v>#NAME?</v>
      </c>
      <c r="KI33" s="986" t="str">
        <f>MONATK(KI30)</f>
        <v>#NAME?</v>
      </c>
      <c r="KJ33" s="986" t="str">
        <f>MONDEF(KI30)</f>
        <v>#NAME?</v>
      </c>
      <c r="KK33" s="986" t="str">
        <f>MONSPA(KI30)</f>
        <v>#NAME?</v>
      </c>
      <c r="KL33" s="986" t="str">
        <f>MONSPD(KI30)</f>
        <v>#NAME?</v>
      </c>
      <c r="KM33" s="950" t="str">
        <f>MONSPE(KI30)</f>
        <v>#NAME?</v>
      </c>
      <c r="KN33" s="952" t="str">
        <f>MONBST(KI30)</f>
        <v>#NAME?</v>
      </c>
      <c r="KO33" s="290"/>
      <c r="KQ33" s="237" t="s">
        <v>10739</v>
      </c>
      <c r="KR33" s="976"/>
      <c r="KT33" s="1092" t="str">
        <f>MONHP(KU30)</f>
        <v>#NAME?</v>
      </c>
      <c r="KU33" s="986" t="str">
        <f>MONATK(KU30)</f>
        <v>#NAME?</v>
      </c>
      <c r="KV33" s="986" t="str">
        <f>MONDEF(KU30)</f>
        <v>#NAME?</v>
      </c>
      <c r="KW33" s="986" t="str">
        <f>MONSPA(KU30)</f>
        <v>#NAME?</v>
      </c>
      <c r="KX33" s="986" t="str">
        <f>MONSPD(KU30)</f>
        <v>#NAME?</v>
      </c>
      <c r="KY33" s="950" t="str">
        <f>MONSPE(KU30)</f>
        <v>#NAME?</v>
      </c>
      <c r="KZ33" s="952" t="str">
        <f>MONBST(KU30)</f>
        <v>#NAME?</v>
      </c>
      <c r="LA33" s="1230"/>
      <c r="LB33" s="1092" t="str">
        <f>MONHP(LC30)</f>
        <v>#NAME?</v>
      </c>
      <c r="LC33" s="986" t="str">
        <f>MONATK(LC30)</f>
        <v>#NAME?</v>
      </c>
      <c r="LD33" s="986" t="str">
        <f>MONDEF(LC30)</f>
        <v>#NAME?</v>
      </c>
      <c r="LE33" s="986" t="str">
        <f>MONSPA(LC30)</f>
        <v>#NAME?</v>
      </c>
      <c r="LF33" s="986" t="str">
        <f>MONSPD(LC30)</f>
        <v>#NAME?</v>
      </c>
      <c r="LG33" s="950" t="str">
        <f>MONSPE(LC30)</f>
        <v>#NAME?</v>
      </c>
      <c r="LH33" s="952" t="str">
        <f>MONBST(LC30)</f>
        <v>#NAME?</v>
      </c>
      <c r="LI33" s="290"/>
    </row>
    <row r="34" ht="15.75" customHeight="1">
      <c r="A34" s="1238"/>
      <c r="B34" s="2107" t="s">
        <v>10742</v>
      </c>
      <c r="C34" s="1230"/>
      <c r="D34" s="442"/>
      <c r="E34" s="1230"/>
      <c r="F34" s="1230"/>
      <c r="G34" s="1230"/>
      <c r="H34" s="1848" t="s">
        <v>4648</v>
      </c>
      <c r="I34" s="48"/>
      <c r="J34" s="1230"/>
      <c r="K34" s="2134" t="s">
        <v>4553</v>
      </c>
      <c r="L34" s="2135"/>
      <c r="M34" s="982"/>
      <c r="N34" s="2135"/>
      <c r="O34" s="982"/>
      <c r="P34" s="1880"/>
      <c r="Q34" s="2127" t="s">
        <v>10651</v>
      </c>
      <c r="R34" s="2135"/>
      <c r="S34" s="982"/>
      <c r="T34" s="2135"/>
      <c r="U34" s="982"/>
      <c r="V34" s="1880"/>
      <c r="W34" s="2127" t="s">
        <v>10651</v>
      </c>
      <c r="X34" s="1880"/>
      <c r="Y34" s="2127" t="s">
        <v>10651</v>
      </c>
      <c r="AA34" s="157"/>
      <c r="AD34" s="2009" t="str">
        <f>ITEMICON(AE34)</f>
        <v>#NAME?</v>
      </c>
      <c r="AE34" s="2010" t="s">
        <v>3466</v>
      </c>
      <c r="AF34" s="967"/>
      <c r="AG34" s="1249"/>
      <c r="AH34" s="1092" t="str">
        <f>MONABILITY(AE30)</f>
        <v>#NAME?</v>
      </c>
      <c r="AI34" s="12"/>
      <c r="AJ34" s="48"/>
      <c r="AK34" s="1230"/>
      <c r="AL34" s="2009" t="str">
        <f>ITEMICON(AM34)</f>
        <v>#NAME?</v>
      </c>
      <c r="AM34" s="2010" t="s">
        <v>3466</v>
      </c>
      <c r="AN34" s="967"/>
      <c r="AO34" s="1249"/>
      <c r="AP34" s="1092" t="str">
        <f>MONABILITY(AM30)</f>
        <v>#NAME?</v>
      </c>
      <c r="AQ34" s="12"/>
      <c r="AR34" s="48"/>
      <c r="AS34" s="290"/>
      <c r="AU34" s="157"/>
      <c r="AX34" s="2009" t="str">
        <f>ITEMICON(AY34)</f>
        <v>#NAME?</v>
      </c>
      <c r="AY34" s="2010" t="s">
        <v>3466</v>
      </c>
      <c r="AZ34" s="967"/>
      <c r="BA34" s="1249"/>
      <c r="BB34" s="1092" t="str">
        <f>MONABILITY(AY30)</f>
        <v>#NAME?</v>
      </c>
      <c r="BC34" s="12"/>
      <c r="BD34" s="48"/>
      <c r="BE34" s="1230"/>
      <c r="BF34" s="2009" t="str">
        <f>ITEMICON(BG34)</f>
        <v>#NAME?</v>
      </c>
      <c r="BG34" s="2010" t="s">
        <v>3466</v>
      </c>
      <c r="BH34" s="967"/>
      <c r="BI34" s="1249"/>
      <c r="BJ34" s="1092" t="str">
        <f>MONABILITY(BG30)</f>
        <v>#NAME?</v>
      </c>
      <c r="BK34" s="12"/>
      <c r="BL34" s="48"/>
      <c r="BM34" s="290"/>
      <c r="BO34" s="157"/>
      <c r="BR34" s="2009" t="str">
        <f>ITEMICON(BS34)</f>
        <v>#NAME?</v>
      </c>
      <c r="BS34" s="2010" t="s">
        <v>3466</v>
      </c>
      <c r="BT34" s="967"/>
      <c r="BU34" s="1249"/>
      <c r="BV34" s="1092" t="str">
        <f>MONABILITY(BS30)</f>
        <v>#NAME?</v>
      </c>
      <c r="BW34" s="12"/>
      <c r="BX34" s="48"/>
      <c r="BY34" s="1230"/>
      <c r="BZ34" s="2009" t="str">
        <f>ITEMICON(CA34)</f>
        <v>#NAME?</v>
      </c>
      <c r="CA34" s="2010" t="s">
        <v>3466</v>
      </c>
      <c r="CB34" s="967"/>
      <c r="CC34" s="1249"/>
      <c r="CD34" s="1092" t="str">
        <f>MONABILITY(CA30)</f>
        <v>#NAME?</v>
      </c>
      <c r="CE34" s="12"/>
      <c r="CF34" s="48"/>
      <c r="CG34" s="290"/>
      <c r="CI34" s="157"/>
      <c r="CL34" s="2009" t="str">
        <f>ITEMICON(CM34)</f>
        <v>#NAME?</v>
      </c>
      <c r="CM34" s="2010" t="s">
        <v>3466</v>
      </c>
      <c r="CN34" s="967"/>
      <c r="CO34" s="1249"/>
      <c r="CP34" s="1092" t="str">
        <f>MONABILITY(CM30)</f>
        <v>#NAME?</v>
      </c>
      <c r="CQ34" s="12"/>
      <c r="CR34" s="48"/>
      <c r="CS34" s="1230"/>
      <c r="CT34" s="2009" t="str">
        <f>ITEMICON(CU34)</f>
        <v>#NAME?</v>
      </c>
      <c r="CU34" s="2010" t="s">
        <v>3466</v>
      </c>
      <c r="CV34" s="967"/>
      <c r="CW34" s="1249"/>
      <c r="CX34" s="1092" t="str">
        <f>MONABILITY(CU30)</f>
        <v>#NAME?</v>
      </c>
      <c r="CY34" s="12"/>
      <c r="CZ34" s="48"/>
      <c r="DA34" s="290"/>
      <c r="DC34" s="237" t="s">
        <v>10738</v>
      </c>
      <c r="DD34" s="976"/>
      <c r="DF34" s="2009" t="str">
        <f>ITEMICON(DG34)</f>
        <v>#NAME?</v>
      </c>
      <c r="DG34" s="2010" t="s">
        <v>3466</v>
      </c>
      <c r="DH34" s="967"/>
      <c r="DI34" s="1249"/>
      <c r="DJ34" s="1092" t="str">
        <f>MONABILITY(DG30)</f>
        <v>#NAME?</v>
      </c>
      <c r="DK34" s="12"/>
      <c r="DL34" s="48"/>
      <c r="DM34" s="1230"/>
      <c r="DN34" s="2009" t="str">
        <f>ITEMICON(DO34)</f>
        <v>#NAME?</v>
      </c>
      <c r="DO34" s="2010" t="s">
        <v>3466</v>
      </c>
      <c r="DP34" s="967"/>
      <c r="DQ34" s="1249"/>
      <c r="DR34" s="1092" t="str">
        <f>MONABILITY(DO30)</f>
        <v>#NAME?</v>
      </c>
      <c r="DS34" s="12"/>
      <c r="DT34" s="48"/>
      <c r="DU34" s="290"/>
      <c r="DW34" s="237" t="s">
        <v>10739</v>
      </c>
      <c r="DX34" s="976"/>
      <c r="DZ34" s="2009" t="str">
        <f>ITEMICON(EA34)</f>
        <v>#NAME?</v>
      </c>
      <c r="EA34" s="2010" t="s">
        <v>3466</v>
      </c>
      <c r="EB34" s="967"/>
      <c r="EC34" s="1249"/>
      <c r="ED34" s="1092" t="str">
        <f>MONABILITY(EA30)</f>
        <v>#NAME?</v>
      </c>
      <c r="EE34" s="12"/>
      <c r="EF34" s="48"/>
      <c r="EG34" s="1230"/>
      <c r="EH34" s="2009" t="str">
        <f>ITEMICON(EI34)</f>
        <v>#NAME?</v>
      </c>
      <c r="EI34" s="2010" t="s">
        <v>3466</v>
      </c>
      <c r="EJ34" s="967"/>
      <c r="EK34" s="1249"/>
      <c r="EL34" s="1092" t="str">
        <f>MONABILITY(EI30)</f>
        <v>#NAME?</v>
      </c>
      <c r="EM34" s="12"/>
      <c r="EN34" s="48"/>
      <c r="EO34" s="290"/>
      <c r="EQ34" s="157"/>
      <c r="ET34" s="2009" t="str">
        <f>ITEMICON(EU34)</f>
        <v>#NAME?</v>
      </c>
      <c r="EU34" s="2010" t="s">
        <v>3466</v>
      </c>
      <c r="EV34" s="967"/>
      <c r="EW34" s="1249"/>
      <c r="EX34" s="1092" t="str">
        <f>MONABILITY(EU30)</f>
        <v>#NAME?</v>
      </c>
      <c r="EY34" s="12"/>
      <c r="EZ34" s="48"/>
      <c r="FA34" s="1230"/>
      <c r="FB34" s="2009" t="str">
        <f>ITEMICON(FC34)</f>
        <v>#NAME?</v>
      </c>
      <c r="FC34" s="2010" t="s">
        <v>3466</v>
      </c>
      <c r="FD34" s="967"/>
      <c r="FE34" s="1249"/>
      <c r="FF34" s="1092" t="str">
        <f>MONABILITY(FC30)</f>
        <v>#NAME?</v>
      </c>
      <c r="FG34" s="12"/>
      <c r="FH34" s="48"/>
      <c r="FI34" s="290"/>
      <c r="FK34" s="157"/>
      <c r="FN34" s="2009" t="str">
        <f>ITEMICON(FO34)</f>
        <v>#NAME?</v>
      </c>
      <c r="FO34" s="2010" t="s">
        <v>3466</v>
      </c>
      <c r="FP34" s="967"/>
      <c r="FQ34" s="1249"/>
      <c r="FR34" s="1092" t="str">
        <f>MONABILITY(FO30)</f>
        <v>#NAME?</v>
      </c>
      <c r="FS34" s="12"/>
      <c r="FT34" s="48"/>
      <c r="FU34" s="1230"/>
      <c r="FV34" s="2009" t="str">
        <f>ITEMICON(FW34)</f>
        <v>#NAME?</v>
      </c>
      <c r="FW34" s="2010" t="s">
        <v>3466</v>
      </c>
      <c r="FX34" s="967"/>
      <c r="FY34" s="1249"/>
      <c r="FZ34" s="1092" t="str">
        <f>MONABILITY(FW30)</f>
        <v>#NAME?</v>
      </c>
      <c r="GA34" s="12"/>
      <c r="GB34" s="48"/>
      <c r="GC34" s="290"/>
      <c r="GE34" s="157"/>
      <c r="GH34" s="2009" t="str">
        <f>ITEMICON(GI34)</f>
        <v>#NAME?</v>
      </c>
      <c r="GI34" s="2010" t="s">
        <v>3466</v>
      </c>
      <c r="GJ34" s="967"/>
      <c r="GK34" s="1249"/>
      <c r="GL34" s="1092" t="str">
        <f>MONABILITY(GI30)</f>
        <v>#NAME?</v>
      </c>
      <c r="GM34" s="12"/>
      <c r="GN34" s="48"/>
      <c r="GO34" s="1230"/>
      <c r="GP34" s="2009" t="str">
        <f>ITEMICON(GQ34)</f>
        <v>#NAME?</v>
      </c>
      <c r="GQ34" s="2010" t="s">
        <v>3466</v>
      </c>
      <c r="GR34" s="967"/>
      <c r="GS34" s="1249"/>
      <c r="GT34" s="1092" t="str">
        <f>MONABILITY(GQ30)</f>
        <v>#NAME?</v>
      </c>
      <c r="GU34" s="12"/>
      <c r="GV34" s="48"/>
      <c r="GW34" s="290"/>
      <c r="GY34" s="157"/>
      <c r="HB34" s="2009" t="str">
        <f>ITEMICON(HC34)</f>
        <v>#NAME?</v>
      </c>
      <c r="HC34" s="2010" t="s">
        <v>3466</v>
      </c>
      <c r="HD34" s="967"/>
      <c r="HE34" s="1249"/>
      <c r="HF34" s="1092" t="str">
        <f>MONABILITY(HC30)</f>
        <v>#NAME?</v>
      </c>
      <c r="HG34" s="12"/>
      <c r="HH34" s="48"/>
      <c r="HI34" s="1230"/>
      <c r="HJ34" s="2009" t="str">
        <f>ITEMICON(HK34)</f>
        <v>#NAME?</v>
      </c>
      <c r="HK34" s="2010" t="s">
        <v>3466</v>
      </c>
      <c r="HL34" s="967"/>
      <c r="HM34" s="1249"/>
      <c r="HN34" s="1092" t="str">
        <f>MONABILITY(HK30)</f>
        <v>#NAME?</v>
      </c>
      <c r="HO34" s="12"/>
      <c r="HP34" s="48"/>
      <c r="HQ34" s="290"/>
      <c r="HS34" s="157"/>
      <c r="HV34" s="2009" t="str">
        <f>ITEMICON(HW34)</f>
        <v>#NAME?</v>
      </c>
      <c r="HW34" s="2010" t="s">
        <v>3466</v>
      </c>
      <c r="HX34" s="967"/>
      <c r="HY34" s="1249"/>
      <c r="HZ34" s="1092" t="str">
        <f>MONABILITY(HW30)</f>
        <v>#NAME?</v>
      </c>
      <c r="IA34" s="12"/>
      <c r="IB34" s="48"/>
      <c r="IC34" s="1230"/>
      <c r="ID34" s="2009" t="str">
        <f>ITEMICON(IE34)</f>
        <v>#NAME?</v>
      </c>
      <c r="IE34" s="2010" t="s">
        <v>3466</v>
      </c>
      <c r="IF34" s="967"/>
      <c r="IG34" s="1249"/>
      <c r="IH34" s="1092" t="str">
        <f>MONABILITY(IE30)</f>
        <v>#NAME?</v>
      </c>
      <c r="II34" s="12"/>
      <c r="IJ34" s="48"/>
      <c r="IK34" s="1230"/>
      <c r="IL34" s="2009" t="str">
        <f>ITEMICON(IM34)</f>
        <v>#NAME?</v>
      </c>
      <c r="IM34" s="2010" t="s">
        <v>3466</v>
      </c>
      <c r="IN34" s="967"/>
      <c r="IO34" s="1249"/>
      <c r="IP34" s="1092" t="str">
        <f>MONABILITY(IM30)</f>
        <v>#NAME?</v>
      </c>
      <c r="IQ34" s="12"/>
      <c r="IR34" s="48"/>
      <c r="IS34" s="290"/>
      <c r="IU34" s="157"/>
      <c r="IX34" s="2009" t="str">
        <f>ITEMICON(IY34)</f>
        <v>#NAME?</v>
      </c>
      <c r="IY34" s="2010" t="s">
        <v>3466</v>
      </c>
      <c r="IZ34" s="967"/>
      <c r="JA34" s="1249"/>
      <c r="JB34" s="1092" t="str">
        <f>MONABILITY(IY30)</f>
        <v>#NAME?</v>
      </c>
      <c r="JC34" s="12"/>
      <c r="JD34" s="48"/>
      <c r="JE34" s="1230"/>
      <c r="JF34" s="2009" t="str">
        <f>ITEMICON(JG34)</f>
        <v>#NAME?</v>
      </c>
      <c r="JG34" s="2010" t="s">
        <v>3466</v>
      </c>
      <c r="JH34" s="967"/>
      <c r="JI34" s="1249"/>
      <c r="JJ34" s="1092" t="str">
        <f>MONABILITY(JG30)</f>
        <v>#NAME?</v>
      </c>
      <c r="JK34" s="12"/>
      <c r="JL34" s="48"/>
      <c r="JM34" s="1230"/>
      <c r="JN34" s="2009" t="str">
        <f>ITEMICON(JO34)</f>
        <v>#NAME?</v>
      </c>
      <c r="JO34" s="2010" t="s">
        <v>3466</v>
      </c>
      <c r="JP34" s="967"/>
      <c r="JQ34" s="1249"/>
      <c r="JR34" s="1092" t="str">
        <f>MONABILITY(JO30)</f>
        <v>#NAME?</v>
      </c>
      <c r="JS34" s="12"/>
      <c r="JT34" s="48"/>
      <c r="JU34" s="290"/>
      <c r="JW34" s="157"/>
      <c r="JZ34" s="2009" t="str">
        <f>ITEMICON(KA34)</f>
        <v>#NAME?</v>
      </c>
      <c r="KA34" s="2010" t="s">
        <v>3466</v>
      </c>
      <c r="KB34" s="967"/>
      <c r="KC34" s="1249"/>
      <c r="KD34" s="1092" t="str">
        <f>MONABILITY(KA30)</f>
        <v>#NAME?</v>
      </c>
      <c r="KE34" s="12"/>
      <c r="KF34" s="48"/>
      <c r="KG34" s="1230"/>
      <c r="KH34" s="2009" t="str">
        <f>ITEMICON(KI34)</f>
        <v>#NAME?</v>
      </c>
      <c r="KI34" s="2010" t="s">
        <v>3466</v>
      </c>
      <c r="KJ34" s="967"/>
      <c r="KK34" s="1249"/>
      <c r="KL34" s="1092" t="str">
        <f>MONABILITY(KI30)</f>
        <v>#NAME?</v>
      </c>
      <c r="KM34" s="12"/>
      <c r="KN34" s="48"/>
      <c r="KO34" s="290"/>
      <c r="KQ34" s="157"/>
      <c r="KT34" s="2009" t="str">
        <f>ITEMICON(KU34)</f>
        <v>#NAME?</v>
      </c>
      <c r="KU34" s="2010" t="s">
        <v>3466</v>
      </c>
      <c r="KV34" s="967"/>
      <c r="KW34" s="1249"/>
      <c r="KX34" s="1092" t="str">
        <f>MONABILITY(KU30)</f>
        <v>#NAME?</v>
      </c>
      <c r="KY34" s="12"/>
      <c r="KZ34" s="48"/>
      <c r="LA34" s="1230"/>
      <c r="LB34" s="2009" t="str">
        <f>ITEMICON(LC34)</f>
        <v>#NAME?</v>
      </c>
      <c r="LC34" s="2010" t="s">
        <v>3466</v>
      </c>
      <c r="LD34" s="967"/>
      <c r="LE34" s="1249"/>
      <c r="LF34" s="1092" t="str">
        <f>MONABILITY(LC30)</f>
        <v>#NAME?</v>
      </c>
      <c r="LG34" s="12"/>
      <c r="LH34" s="48"/>
      <c r="LI34" s="290"/>
    </row>
    <row r="35" ht="15.75" customHeight="1">
      <c r="A35" s="1238"/>
      <c r="B35" s="2112"/>
      <c r="C35" s="1230"/>
      <c r="D35" s="442"/>
      <c r="E35" s="1230"/>
      <c r="F35" s="1230"/>
      <c r="G35" s="1230"/>
      <c r="H35" s="157" t="s">
        <v>10743</v>
      </c>
      <c r="I35" s="1154"/>
      <c r="J35" s="1230"/>
      <c r="K35" s="1254"/>
      <c r="L35" s="997"/>
      <c r="M35" s="998"/>
      <c r="N35" s="997"/>
      <c r="O35" s="998"/>
      <c r="P35" s="1444"/>
      <c r="Q35" s="1446"/>
      <c r="R35" s="997"/>
      <c r="S35" s="998"/>
      <c r="T35" s="997"/>
      <c r="U35" s="998"/>
      <c r="V35" s="1444"/>
      <c r="W35" s="1446"/>
      <c r="X35" s="1444"/>
      <c r="Y35" s="1446"/>
      <c r="AA35" s="157"/>
      <c r="AD35" s="985" t="s">
        <v>138</v>
      </c>
      <c r="AE35" s="12"/>
      <c r="AF35" s="12"/>
      <c r="AG35" s="12"/>
      <c r="AH35" s="12"/>
      <c r="AI35" s="64"/>
      <c r="AJ35" s="2031" t="s">
        <v>10647</v>
      </c>
      <c r="AK35" s="1230"/>
      <c r="AL35" s="985" t="s">
        <v>318</v>
      </c>
      <c r="AM35" s="12"/>
      <c r="AN35" s="12"/>
      <c r="AO35" s="12"/>
      <c r="AP35" s="12"/>
      <c r="AQ35" s="64"/>
      <c r="AR35" s="2031" t="s">
        <v>10647</v>
      </c>
      <c r="AS35" s="290"/>
      <c r="AU35" s="157"/>
      <c r="AX35" s="985" t="s">
        <v>281</v>
      </c>
      <c r="AY35" s="12"/>
      <c r="AZ35" s="12"/>
      <c r="BA35" s="12"/>
      <c r="BB35" s="12"/>
      <c r="BC35" s="64"/>
      <c r="BD35" s="2031" t="s">
        <v>10647</v>
      </c>
      <c r="BE35" s="1230"/>
      <c r="BF35" s="985" t="s">
        <v>329</v>
      </c>
      <c r="BG35" s="12"/>
      <c r="BH35" s="12"/>
      <c r="BI35" s="12"/>
      <c r="BJ35" s="12"/>
      <c r="BK35" s="64"/>
      <c r="BL35" s="2031" t="s">
        <v>10647</v>
      </c>
      <c r="BM35" s="290"/>
      <c r="BO35" s="157"/>
      <c r="BR35" s="985" t="s">
        <v>78</v>
      </c>
      <c r="BS35" s="12"/>
      <c r="BT35" s="12"/>
      <c r="BU35" s="12"/>
      <c r="BV35" s="12"/>
      <c r="BW35" s="64"/>
      <c r="BX35" s="2031" t="s">
        <v>10647</v>
      </c>
      <c r="BY35" s="1230"/>
      <c r="BZ35" s="985" t="s">
        <v>65</v>
      </c>
      <c r="CA35" s="12"/>
      <c r="CB35" s="12"/>
      <c r="CC35" s="12"/>
      <c r="CD35" s="12"/>
      <c r="CE35" s="64"/>
      <c r="CF35" s="2031" t="s">
        <v>10647</v>
      </c>
      <c r="CG35" s="290"/>
      <c r="CI35" s="157"/>
      <c r="CL35" s="985" t="s">
        <v>33</v>
      </c>
      <c r="CM35" s="12"/>
      <c r="CN35" s="12"/>
      <c r="CO35" s="12"/>
      <c r="CP35" s="12"/>
      <c r="CQ35" s="64"/>
      <c r="CR35" s="2031" t="s">
        <v>10647</v>
      </c>
      <c r="CS35" s="1230"/>
      <c r="CT35" s="985" t="s">
        <v>21</v>
      </c>
      <c r="CU35" s="12"/>
      <c r="CV35" s="12"/>
      <c r="CW35" s="12"/>
      <c r="CX35" s="12"/>
      <c r="CY35" s="64"/>
      <c r="CZ35" s="2031" t="s">
        <v>10647</v>
      </c>
      <c r="DA35" s="290"/>
      <c r="DC35" s="157" t="s">
        <v>10643</v>
      </c>
      <c r="DF35" s="985" t="s">
        <v>329</v>
      </c>
      <c r="DG35" s="12"/>
      <c r="DH35" s="12"/>
      <c r="DI35" s="12"/>
      <c r="DJ35" s="12"/>
      <c r="DK35" s="64"/>
      <c r="DL35" s="2031" t="s">
        <v>10647</v>
      </c>
      <c r="DM35" s="1230"/>
      <c r="DN35" s="985" t="s">
        <v>168</v>
      </c>
      <c r="DO35" s="12"/>
      <c r="DP35" s="12"/>
      <c r="DQ35" s="12"/>
      <c r="DR35" s="12"/>
      <c r="DS35" s="64"/>
      <c r="DT35" s="2031" t="s">
        <v>10647</v>
      </c>
      <c r="DU35" s="290"/>
      <c r="DW35" s="157" t="s">
        <v>10643</v>
      </c>
      <c r="DZ35" s="985" t="s">
        <v>294</v>
      </c>
      <c r="EA35" s="12"/>
      <c r="EB35" s="12"/>
      <c r="EC35" s="12"/>
      <c r="ED35" s="12"/>
      <c r="EE35" s="64"/>
      <c r="EF35" s="2031" t="s">
        <v>10647</v>
      </c>
      <c r="EG35" s="1230"/>
      <c r="EH35" s="985" t="s">
        <v>267</v>
      </c>
      <c r="EI35" s="12"/>
      <c r="EJ35" s="12"/>
      <c r="EK35" s="12"/>
      <c r="EL35" s="12"/>
      <c r="EM35" s="64"/>
      <c r="EN35" s="2031" t="s">
        <v>10647</v>
      </c>
      <c r="EO35" s="290"/>
      <c r="EQ35" s="157"/>
      <c r="ET35" s="985" t="s">
        <v>196</v>
      </c>
      <c r="EU35" s="12"/>
      <c r="EV35" s="12"/>
      <c r="EW35" s="12"/>
      <c r="EX35" s="12"/>
      <c r="EY35" s="64"/>
      <c r="EZ35" s="2031" t="s">
        <v>10647</v>
      </c>
      <c r="FA35" s="1230"/>
      <c r="FB35" s="985" t="s">
        <v>196</v>
      </c>
      <c r="FC35" s="12"/>
      <c r="FD35" s="12"/>
      <c r="FE35" s="12"/>
      <c r="FF35" s="12"/>
      <c r="FG35" s="64"/>
      <c r="FH35" s="2031" t="s">
        <v>10647</v>
      </c>
      <c r="FI35" s="290"/>
      <c r="FK35" s="157"/>
      <c r="FN35" s="985" t="s">
        <v>138</v>
      </c>
      <c r="FO35" s="12"/>
      <c r="FP35" s="12"/>
      <c r="FQ35" s="12"/>
      <c r="FR35" s="12"/>
      <c r="FS35" s="64"/>
      <c r="FT35" s="2031" t="s">
        <v>10647</v>
      </c>
      <c r="FU35" s="1230"/>
      <c r="FV35" s="985" t="s">
        <v>50</v>
      </c>
      <c r="FW35" s="12"/>
      <c r="FX35" s="12"/>
      <c r="FY35" s="12"/>
      <c r="FZ35" s="12"/>
      <c r="GA35" s="64"/>
      <c r="GB35" s="2031" t="s">
        <v>10647</v>
      </c>
      <c r="GC35" s="290"/>
      <c r="GE35" s="157"/>
      <c r="GH35" s="985" t="s">
        <v>110</v>
      </c>
      <c r="GI35" s="12"/>
      <c r="GJ35" s="12"/>
      <c r="GK35" s="12"/>
      <c r="GL35" s="12"/>
      <c r="GM35" s="64"/>
      <c r="GN35" s="2031" t="s">
        <v>10647</v>
      </c>
      <c r="GO35" s="1230"/>
      <c r="GP35" s="985" t="s">
        <v>318</v>
      </c>
      <c r="GQ35" s="12"/>
      <c r="GR35" s="12"/>
      <c r="GS35" s="12"/>
      <c r="GT35" s="12"/>
      <c r="GU35" s="64"/>
      <c r="GV35" s="2031" t="s">
        <v>10647</v>
      </c>
      <c r="GW35" s="290"/>
      <c r="GY35" s="157"/>
      <c r="HB35" s="985" t="s">
        <v>185</v>
      </c>
      <c r="HC35" s="12"/>
      <c r="HD35" s="12"/>
      <c r="HE35" s="12"/>
      <c r="HF35" s="12"/>
      <c r="HG35" s="64"/>
      <c r="HH35" s="2031" t="s">
        <v>10647</v>
      </c>
      <c r="HI35" s="1230"/>
      <c r="HJ35" s="985" t="s">
        <v>78</v>
      </c>
      <c r="HK35" s="12"/>
      <c r="HL35" s="12"/>
      <c r="HM35" s="12"/>
      <c r="HN35" s="12"/>
      <c r="HO35" s="64"/>
      <c r="HP35" s="2031" t="s">
        <v>10647</v>
      </c>
      <c r="HQ35" s="290"/>
      <c r="HS35" s="157"/>
      <c r="HV35" s="985" t="s">
        <v>94</v>
      </c>
      <c r="HW35" s="12"/>
      <c r="HX35" s="12"/>
      <c r="HY35" s="12"/>
      <c r="HZ35" s="12"/>
      <c r="IA35" s="64"/>
      <c r="IB35" s="2031" t="s">
        <v>10647</v>
      </c>
      <c r="IC35" s="1230"/>
      <c r="ID35" s="985" t="s">
        <v>33</v>
      </c>
      <c r="IE35" s="12"/>
      <c r="IF35" s="12"/>
      <c r="IG35" s="12"/>
      <c r="IH35" s="12"/>
      <c r="II35" s="64"/>
      <c r="IJ35" s="2031" t="s">
        <v>10647</v>
      </c>
      <c r="IK35" s="1230"/>
      <c r="IL35" s="985" t="s">
        <v>267</v>
      </c>
      <c r="IM35" s="12"/>
      <c r="IN35" s="12"/>
      <c r="IO35" s="12"/>
      <c r="IP35" s="12"/>
      <c r="IQ35" s="64"/>
      <c r="IR35" s="2031" t="s">
        <v>10647</v>
      </c>
      <c r="IS35" s="290"/>
      <c r="IU35" s="157"/>
      <c r="IX35" s="985" t="s">
        <v>281</v>
      </c>
      <c r="IY35" s="12"/>
      <c r="IZ35" s="12"/>
      <c r="JA35" s="12"/>
      <c r="JB35" s="12"/>
      <c r="JC35" s="64"/>
      <c r="JD35" s="2031" t="s">
        <v>10647</v>
      </c>
      <c r="JE35" s="1230"/>
      <c r="JF35" s="985" t="s">
        <v>226</v>
      </c>
      <c r="JG35" s="12"/>
      <c r="JH35" s="12"/>
      <c r="JI35" s="12"/>
      <c r="JJ35" s="12"/>
      <c r="JK35" s="64"/>
      <c r="JL35" s="2031" t="s">
        <v>10647</v>
      </c>
      <c r="JM35" s="1230"/>
      <c r="JN35" s="985" t="s">
        <v>185</v>
      </c>
      <c r="JO35" s="12"/>
      <c r="JP35" s="12"/>
      <c r="JQ35" s="12"/>
      <c r="JR35" s="12"/>
      <c r="JS35" s="64"/>
      <c r="JT35" s="2031" t="s">
        <v>10647</v>
      </c>
      <c r="JU35" s="290"/>
      <c r="JW35" s="157"/>
      <c r="JZ35" s="985" t="s">
        <v>121</v>
      </c>
      <c r="KA35" s="12"/>
      <c r="KB35" s="12"/>
      <c r="KC35" s="12"/>
      <c r="KD35" s="12"/>
      <c r="KE35" s="64"/>
      <c r="KF35" s="2031" t="s">
        <v>10647</v>
      </c>
      <c r="KG35" s="1230"/>
      <c r="KH35" s="985" t="s">
        <v>343</v>
      </c>
      <c r="KI35" s="12"/>
      <c r="KJ35" s="12"/>
      <c r="KK35" s="12"/>
      <c r="KL35" s="12"/>
      <c r="KM35" s="64"/>
      <c r="KN35" s="2031" t="s">
        <v>10647</v>
      </c>
      <c r="KO35" s="290"/>
      <c r="KQ35" s="157"/>
      <c r="KT35" s="985" t="s">
        <v>155</v>
      </c>
      <c r="KU35" s="12"/>
      <c r="KV35" s="12"/>
      <c r="KW35" s="12"/>
      <c r="KX35" s="12"/>
      <c r="KY35" s="64"/>
      <c r="KZ35" s="2031" t="s">
        <v>10647</v>
      </c>
      <c r="LA35" s="1230"/>
      <c r="LB35" s="985" t="s">
        <v>252</v>
      </c>
      <c r="LC35" s="12"/>
      <c r="LD35" s="12"/>
      <c r="LE35" s="12"/>
      <c r="LF35" s="12"/>
      <c r="LG35" s="64"/>
      <c r="LH35" s="2031" t="s">
        <v>10647</v>
      </c>
      <c r="LI35" s="290"/>
    </row>
    <row r="36" ht="15.75" customHeight="1">
      <c r="A36" s="1238"/>
      <c r="B36" s="2119" t="s">
        <v>10744</v>
      </c>
      <c r="C36" s="1230"/>
      <c r="D36" s="442"/>
      <c r="E36" s="1230"/>
      <c r="F36" s="1230"/>
      <c r="G36" s="1230"/>
      <c r="H36" s="2151" t="s">
        <v>10745</v>
      </c>
      <c r="I36" s="2152"/>
      <c r="J36" s="1230"/>
      <c r="AA36" s="157"/>
      <c r="AD36" s="2048" t="s">
        <v>2938</v>
      </c>
      <c r="AE36" s="1032"/>
      <c r="AF36" s="1032"/>
      <c r="AG36" s="2042" t="str">
        <f t="shared" ref="AG36:AG39" si="241">MOVEICON(AD36)</f>
        <v>#NAME?</v>
      </c>
      <c r="AH36" s="1034" t="str">
        <f t="shared" ref="AH36:AH39" si="242">MOVEBP(AD36)</f>
        <v>#NAME?</v>
      </c>
      <c r="AI36" s="2043" t="str">
        <f t="shared" ref="AI36:AI39" si="243">MOVEACC(AD36)</f>
        <v>#NAME?</v>
      </c>
      <c r="AJ36" s="1015" t="str">
        <f t="shared" ref="AJ36:AJ39" si="244">MOVEPP(AD36)</f>
        <v>#NAME?</v>
      </c>
      <c r="AK36" s="1230"/>
      <c r="AL36" s="2048" t="s">
        <v>1862</v>
      </c>
      <c r="AM36" s="1032"/>
      <c r="AN36" s="1032"/>
      <c r="AO36" s="2042" t="str">
        <f t="shared" ref="AO36:AO39" si="245">MOVEICON(AL36)</f>
        <v>#NAME?</v>
      </c>
      <c r="AP36" s="1034" t="str">
        <f t="shared" ref="AP36:AP39" si="246">MOVEBP(AL36)</f>
        <v>#NAME?</v>
      </c>
      <c r="AQ36" s="2043" t="str">
        <f t="shared" ref="AQ36:AQ39" si="247">MOVEACC(AL36)</f>
        <v>#NAME?</v>
      </c>
      <c r="AR36" s="1015" t="str">
        <f t="shared" ref="AR36:AR39" si="248">MOVEPP(AL36)</f>
        <v>#NAME?</v>
      </c>
      <c r="AS36" s="290"/>
      <c r="AU36" s="157"/>
      <c r="AX36" s="2048" t="s">
        <v>2938</v>
      </c>
      <c r="AY36" s="1032"/>
      <c r="AZ36" s="1032"/>
      <c r="BA36" s="2042" t="str">
        <f t="shared" ref="BA36:BA39" si="249">MOVEICON(AX36)</f>
        <v>#NAME?</v>
      </c>
      <c r="BB36" s="1034" t="str">
        <f t="shared" ref="BB36:BB39" si="250">MOVEBP(AX36)</f>
        <v>#NAME?</v>
      </c>
      <c r="BC36" s="2043" t="str">
        <f t="shared" ref="BC36:BC39" si="251">MOVEACC(AX36)</f>
        <v>#NAME?</v>
      </c>
      <c r="BD36" s="1015" t="str">
        <f t="shared" ref="BD36:BD39" si="252">MOVEPP(AX36)</f>
        <v>#NAME?</v>
      </c>
      <c r="BE36" s="1230"/>
      <c r="BF36" s="2048" t="s">
        <v>1862</v>
      </c>
      <c r="BG36" s="1032"/>
      <c r="BH36" s="1032"/>
      <c r="BI36" s="2042" t="str">
        <f t="shared" ref="BI36:BI39" si="253">MOVEICON(BF36)</f>
        <v>#NAME?</v>
      </c>
      <c r="BJ36" s="1034" t="str">
        <f t="shared" ref="BJ36:BJ39" si="254">MOVEBP(BF36)</f>
        <v>#NAME?</v>
      </c>
      <c r="BK36" s="2043" t="str">
        <f t="shared" ref="BK36:BK39" si="255">MOVEACC(BF36)</f>
        <v>#NAME?</v>
      </c>
      <c r="BL36" s="1015" t="str">
        <f t="shared" ref="BL36:BL39" si="256">MOVEPP(BF36)</f>
        <v>#NAME?</v>
      </c>
      <c r="BM36" s="290"/>
      <c r="BO36" s="157"/>
      <c r="BR36" s="2048" t="s">
        <v>3675</v>
      </c>
      <c r="BS36" s="1032"/>
      <c r="BT36" s="1032"/>
      <c r="BU36" s="2042" t="str">
        <f t="shared" ref="BU36:BU39" si="257">MOVEICON(BR36)</f>
        <v>#NAME?</v>
      </c>
      <c r="BV36" s="1034" t="str">
        <f t="shared" ref="BV36:BV39" si="258">MOVEBP(BR36)</f>
        <v>#NAME?</v>
      </c>
      <c r="BW36" s="2043" t="str">
        <f t="shared" ref="BW36:BW39" si="259">MOVEACC(BR36)</f>
        <v>#NAME?</v>
      </c>
      <c r="BX36" s="1015" t="str">
        <f t="shared" ref="BX36:BX39" si="260">MOVEPP(BR36)</f>
        <v>#NAME?</v>
      </c>
      <c r="BY36" s="1230"/>
      <c r="BZ36" s="2048" t="s">
        <v>3870</v>
      </c>
      <c r="CA36" s="1032"/>
      <c r="CB36" s="1032"/>
      <c r="CC36" s="2042" t="str">
        <f t="shared" ref="CC36:CC39" si="261">MOVEICON(BZ36)</f>
        <v>#NAME?</v>
      </c>
      <c r="CD36" s="1034" t="str">
        <f t="shared" ref="CD36:CD39" si="262">MOVEBP(BZ36)</f>
        <v>#NAME?</v>
      </c>
      <c r="CE36" s="2043" t="str">
        <f t="shared" ref="CE36:CE39" si="263">MOVEACC(BZ36)</f>
        <v>#NAME?</v>
      </c>
      <c r="CF36" s="1015" t="str">
        <f t="shared" ref="CF36:CF39" si="264">MOVEPP(BZ36)</f>
        <v>#NAME?</v>
      </c>
      <c r="CG36" s="290"/>
      <c r="CI36" s="157"/>
      <c r="CL36" s="2048" t="s">
        <v>3675</v>
      </c>
      <c r="CM36" s="1032"/>
      <c r="CN36" s="1032"/>
      <c r="CO36" s="2042" t="str">
        <f t="shared" ref="CO36:CO39" si="265">MOVEICON(CL36)</f>
        <v>#NAME?</v>
      </c>
      <c r="CP36" s="1034" t="str">
        <f t="shared" ref="CP36:CP39" si="266">MOVEBP(CL36)</f>
        <v>#NAME?</v>
      </c>
      <c r="CQ36" s="2043" t="str">
        <f t="shared" ref="CQ36:CQ39" si="267">MOVEACC(CL36)</f>
        <v>#NAME?</v>
      </c>
      <c r="CR36" s="1015" t="str">
        <f t="shared" ref="CR36:CR39" si="268">MOVEPP(CL36)</f>
        <v>#NAME?</v>
      </c>
      <c r="CS36" s="1230"/>
      <c r="CT36" s="2048" t="s">
        <v>3870</v>
      </c>
      <c r="CU36" s="1032"/>
      <c r="CV36" s="1032"/>
      <c r="CW36" s="2042" t="str">
        <f t="shared" ref="CW36:CW39" si="269">MOVEICON(CT36)</f>
        <v>#NAME?</v>
      </c>
      <c r="CX36" s="1034" t="str">
        <f t="shared" ref="CX36:CX39" si="270">MOVEBP(CT36)</f>
        <v>#NAME?</v>
      </c>
      <c r="CY36" s="2043" t="str">
        <f t="shared" ref="CY36:CY39" si="271">MOVEACC(CT36)</f>
        <v>#NAME?</v>
      </c>
      <c r="CZ36" s="1015" t="str">
        <f t="shared" ref="CZ36:CZ39" si="272">MOVEPP(CT36)</f>
        <v>#NAME?</v>
      </c>
      <c r="DA36" s="290"/>
      <c r="DC36" s="157"/>
      <c r="DF36" s="2048" t="s">
        <v>3503</v>
      </c>
      <c r="DG36" s="1032"/>
      <c r="DH36" s="1032"/>
      <c r="DI36" s="2042" t="str">
        <f t="shared" ref="DI36:DI39" si="273">MOVEICON(DF36)</f>
        <v>#NAME?</v>
      </c>
      <c r="DJ36" s="1034" t="str">
        <f t="shared" ref="DJ36:DJ39" si="274">MOVEBP(DF36)</f>
        <v>#NAME?</v>
      </c>
      <c r="DK36" s="2043" t="str">
        <f t="shared" ref="DK36:DK39" si="275">MOVEACC(DF36)</f>
        <v>#NAME?</v>
      </c>
      <c r="DL36" s="1015" t="str">
        <f t="shared" ref="DL36:DL39" si="276">MOVEPP(DF36)</f>
        <v>#NAME?</v>
      </c>
      <c r="DM36" s="1230"/>
      <c r="DN36" s="2048" t="s">
        <v>3449</v>
      </c>
      <c r="DO36" s="1032"/>
      <c r="DP36" s="1032"/>
      <c r="DQ36" s="2042" t="str">
        <f t="shared" ref="DQ36:DQ39" si="277">MOVEICON(DN36)</f>
        <v>#NAME?</v>
      </c>
      <c r="DR36" s="1034" t="str">
        <f t="shared" ref="DR36:DR39" si="278">MOVEBP(DN36)</f>
        <v>#NAME?</v>
      </c>
      <c r="DS36" s="2043" t="str">
        <f t="shared" ref="DS36:DS39" si="279">MOVEACC(DN36)</f>
        <v>#NAME?</v>
      </c>
      <c r="DT36" s="1015" t="str">
        <f t="shared" ref="DT36:DT39" si="280">MOVEPP(DN36)</f>
        <v>#NAME?</v>
      </c>
      <c r="DU36" s="290"/>
      <c r="DW36" s="157"/>
      <c r="DZ36" s="2048" t="s">
        <v>3503</v>
      </c>
      <c r="EA36" s="1032"/>
      <c r="EB36" s="1032"/>
      <c r="EC36" s="2042" t="str">
        <f t="shared" ref="EC36:EC39" si="281">MOVEICON(DZ36)</f>
        <v>#NAME?</v>
      </c>
      <c r="ED36" s="1034" t="str">
        <f t="shared" ref="ED36:ED39" si="282">MOVEBP(DZ36)</f>
        <v>#NAME?</v>
      </c>
      <c r="EE36" s="2043" t="str">
        <f t="shared" ref="EE36:EE39" si="283">MOVEACC(DZ36)</f>
        <v>#NAME?</v>
      </c>
      <c r="EF36" s="1015" t="str">
        <f t="shared" ref="EF36:EF39" si="284">MOVEPP(DZ36)</f>
        <v>#NAME?</v>
      </c>
      <c r="EG36" s="1230"/>
      <c r="EH36" s="2048" t="s">
        <v>3449</v>
      </c>
      <c r="EI36" s="1032"/>
      <c r="EJ36" s="1032"/>
      <c r="EK36" s="2042" t="str">
        <f t="shared" ref="EK36:EK39" si="285">MOVEICON(EH36)</f>
        <v>#NAME?</v>
      </c>
      <c r="EL36" s="1034" t="str">
        <f t="shared" ref="EL36:EL39" si="286">MOVEBP(EH36)</f>
        <v>#NAME?</v>
      </c>
      <c r="EM36" s="2043" t="str">
        <f t="shared" ref="EM36:EM39" si="287">MOVEACC(EH36)</f>
        <v>#NAME?</v>
      </c>
      <c r="EN36" s="1015" t="str">
        <f t="shared" ref="EN36:EN39" si="288">MOVEPP(EH36)</f>
        <v>#NAME?</v>
      </c>
      <c r="EO36" s="290"/>
      <c r="EQ36" s="157"/>
      <c r="ET36" s="2048" t="s">
        <v>3117</v>
      </c>
      <c r="EU36" s="1032"/>
      <c r="EV36" s="1032"/>
      <c r="EW36" s="2042" t="str">
        <f t="shared" ref="EW36:EW39" si="289">MOVEICON(ET36)</f>
        <v>#NAME?</v>
      </c>
      <c r="EX36" s="1034" t="str">
        <f t="shared" ref="EX36:EX39" si="290">MOVEBP(ET36)</f>
        <v>#NAME?</v>
      </c>
      <c r="EY36" s="2043" t="str">
        <f t="shared" ref="EY36:EY39" si="291">MOVEACC(ET36)</f>
        <v>#NAME?</v>
      </c>
      <c r="EZ36" s="1015" t="str">
        <f t="shared" ref="EZ36:EZ39" si="292">MOVEPP(ET36)</f>
        <v>#NAME?</v>
      </c>
      <c r="FA36" s="1230"/>
      <c r="FB36" s="2048" t="s">
        <v>578</v>
      </c>
      <c r="FC36" s="1032"/>
      <c r="FD36" s="1032"/>
      <c r="FE36" s="2042" t="str">
        <f t="shared" ref="FE36:FE39" si="293">MOVEICON(FB36)</f>
        <v>#NAME?</v>
      </c>
      <c r="FF36" s="1034" t="str">
        <f t="shared" ref="FF36:FF39" si="294">MOVEBP(FB36)</f>
        <v>#NAME?</v>
      </c>
      <c r="FG36" s="2043" t="str">
        <f t="shared" ref="FG36:FG39" si="295">MOVEACC(FB36)</f>
        <v>#NAME?</v>
      </c>
      <c r="FH36" s="1015" t="str">
        <f t="shared" ref="FH36:FH39" si="296">MOVEPP(FB36)</f>
        <v>#NAME?</v>
      </c>
      <c r="FI36" s="290"/>
      <c r="FK36" s="157"/>
      <c r="FN36" s="2048" t="s">
        <v>3117</v>
      </c>
      <c r="FO36" s="1032"/>
      <c r="FP36" s="1032"/>
      <c r="FQ36" s="2042" t="str">
        <f t="shared" ref="FQ36:FQ39" si="297">MOVEICON(FN36)</f>
        <v>#NAME?</v>
      </c>
      <c r="FR36" s="1034" t="str">
        <f t="shared" ref="FR36:FR39" si="298">MOVEBP(FN36)</f>
        <v>#NAME?</v>
      </c>
      <c r="FS36" s="2043" t="str">
        <f t="shared" ref="FS36:FS39" si="299">MOVEACC(FN36)</f>
        <v>#NAME?</v>
      </c>
      <c r="FT36" s="1015" t="str">
        <f t="shared" ref="FT36:FT39" si="300">MOVEPP(FN36)</f>
        <v>#NAME?</v>
      </c>
      <c r="FU36" s="1230"/>
      <c r="FV36" s="2048" t="s">
        <v>578</v>
      </c>
      <c r="FW36" s="1032"/>
      <c r="FX36" s="1032"/>
      <c r="FY36" s="2042" t="str">
        <f t="shared" ref="FY36:FY39" si="301">MOVEICON(FV36)</f>
        <v>#NAME?</v>
      </c>
      <c r="FZ36" s="1034" t="str">
        <f t="shared" ref="FZ36:FZ39" si="302">MOVEBP(FV36)</f>
        <v>#NAME?</v>
      </c>
      <c r="GA36" s="2043" t="str">
        <f t="shared" ref="GA36:GA39" si="303">MOVEACC(FV36)</f>
        <v>#NAME?</v>
      </c>
      <c r="GB36" s="1015" t="str">
        <f t="shared" ref="GB36:GB39" si="304">MOVEPP(FV36)</f>
        <v>#NAME?</v>
      </c>
      <c r="GC36" s="290"/>
      <c r="GE36" s="157"/>
      <c r="GH36" s="2048" t="s">
        <v>3375</v>
      </c>
      <c r="GI36" s="1032"/>
      <c r="GJ36" s="1032"/>
      <c r="GK36" s="2042" t="str">
        <f t="shared" ref="GK36:GK39" si="305">MOVEICON(GH36)</f>
        <v>#NAME?</v>
      </c>
      <c r="GL36" s="1034" t="str">
        <f t="shared" ref="GL36:GL39" si="306">MOVEBP(GH36)</f>
        <v>#NAME?</v>
      </c>
      <c r="GM36" s="2043" t="str">
        <f t="shared" ref="GM36:GM39" si="307">MOVEACC(GH36)</f>
        <v>#NAME?</v>
      </c>
      <c r="GN36" s="1015" t="str">
        <f t="shared" ref="GN36:GN39" si="308">MOVEPP(GH36)</f>
        <v>#NAME?</v>
      </c>
      <c r="GO36" s="1230"/>
      <c r="GP36" s="2048" t="s">
        <v>660</v>
      </c>
      <c r="GQ36" s="1032"/>
      <c r="GR36" s="1032"/>
      <c r="GS36" s="2042" t="str">
        <f t="shared" ref="GS36:GS39" si="309">MOVEICON(GP36)</f>
        <v>#NAME?</v>
      </c>
      <c r="GT36" s="1034" t="str">
        <f t="shared" ref="GT36:GT39" si="310">MOVEBP(GP36)</f>
        <v>#NAME?</v>
      </c>
      <c r="GU36" s="2043" t="str">
        <f t="shared" ref="GU36:GU39" si="311">MOVEACC(GP36)</f>
        <v>#NAME?</v>
      </c>
      <c r="GV36" s="1015" t="str">
        <f t="shared" ref="GV36:GV39" si="312">MOVEPP(GP36)</f>
        <v>#NAME?</v>
      </c>
      <c r="GW36" s="290"/>
      <c r="GY36" s="157"/>
      <c r="HB36" s="2048" t="s">
        <v>3375</v>
      </c>
      <c r="HC36" s="1032"/>
      <c r="HD36" s="1032"/>
      <c r="HE36" s="2042" t="str">
        <f t="shared" ref="HE36:HE39" si="313">MOVEICON(HB36)</f>
        <v>#NAME?</v>
      </c>
      <c r="HF36" s="1034" t="str">
        <f t="shared" ref="HF36:HF39" si="314">MOVEBP(HB36)</f>
        <v>#NAME?</v>
      </c>
      <c r="HG36" s="2043" t="str">
        <f t="shared" ref="HG36:HG39" si="315">MOVEACC(HB36)</f>
        <v>#NAME?</v>
      </c>
      <c r="HH36" s="1015" t="str">
        <f t="shared" ref="HH36:HH39" si="316">MOVEPP(HB36)</f>
        <v>#NAME?</v>
      </c>
      <c r="HI36" s="1230"/>
      <c r="HJ36" s="2048" t="s">
        <v>660</v>
      </c>
      <c r="HK36" s="1032"/>
      <c r="HL36" s="1032"/>
      <c r="HM36" s="2042" t="str">
        <f t="shared" ref="HM36:HM39" si="317">MOVEICON(HJ36)</f>
        <v>#NAME?</v>
      </c>
      <c r="HN36" s="1034" t="str">
        <f t="shared" ref="HN36:HN39" si="318">MOVEBP(HJ36)</f>
        <v>#NAME?</v>
      </c>
      <c r="HO36" s="2043" t="str">
        <f t="shared" ref="HO36:HO39" si="319">MOVEACC(HJ36)</f>
        <v>#NAME?</v>
      </c>
      <c r="HP36" s="1015" t="str">
        <f t="shared" ref="HP36:HP39" si="320">MOVEPP(HJ36)</f>
        <v>#NAME?</v>
      </c>
      <c r="HQ36" s="290"/>
      <c r="HS36" s="157"/>
      <c r="HV36" s="2048" t="s">
        <v>4054</v>
      </c>
      <c r="HW36" s="1032"/>
      <c r="HX36" s="1032"/>
      <c r="HY36" s="2042" t="str">
        <f t="shared" ref="HY36:HY39" si="321">MOVEICON(HV36)</f>
        <v>#NAME?</v>
      </c>
      <c r="HZ36" s="1034" t="str">
        <f t="shared" ref="HZ36:HZ39" si="322">MOVEBP(HV36)</f>
        <v>#NAME?</v>
      </c>
      <c r="IA36" s="2043" t="str">
        <f t="shared" ref="IA36:IA39" si="323">MOVEACC(HV36)</f>
        <v>#NAME?</v>
      </c>
      <c r="IB36" s="1015" t="str">
        <f t="shared" ref="IB36:IB39" si="324">MOVEPP(HV36)</f>
        <v>#NAME?</v>
      </c>
      <c r="IC36" s="1230"/>
      <c r="ID36" s="2048" t="s">
        <v>2095</v>
      </c>
      <c r="IE36" s="1032"/>
      <c r="IF36" s="1032"/>
      <c r="IG36" s="2042" t="str">
        <f t="shared" ref="IG36:IG39" si="325">MOVEICON(ID36)</f>
        <v>#NAME?</v>
      </c>
      <c r="IH36" s="1034" t="str">
        <f t="shared" ref="IH36:IH39" si="326">MOVEBP(ID36)</f>
        <v>#NAME?</v>
      </c>
      <c r="II36" s="2043" t="str">
        <f t="shared" ref="II36:II39" si="327">MOVEACC(ID36)</f>
        <v>#NAME?</v>
      </c>
      <c r="IJ36" s="1015" t="str">
        <f t="shared" ref="IJ36:IJ39" si="328">MOVEPP(ID36)</f>
        <v>#NAME?</v>
      </c>
      <c r="IK36" s="1230"/>
      <c r="IL36" s="2048" t="s">
        <v>2732</v>
      </c>
      <c r="IM36" s="1032"/>
      <c r="IN36" s="1032"/>
      <c r="IO36" s="2042" t="str">
        <f t="shared" ref="IO36:IO39" si="329">MOVEICON(IL36)</f>
        <v>#NAME?</v>
      </c>
      <c r="IP36" s="1034" t="str">
        <f t="shared" ref="IP36:IP39" si="330">MOVEBP(IL36)</f>
        <v>#NAME?</v>
      </c>
      <c r="IQ36" s="2043" t="str">
        <f t="shared" ref="IQ36:IQ39" si="331">MOVEACC(IL36)</f>
        <v>#NAME?</v>
      </c>
      <c r="IR36" s="1015" t="str">
        <f t="shared" ref="IR36:IR39" si="332">MOVEPP(IL36)</f>
        <v>#NAME?</v>
      </c>
      <c r="IS36" s="290"/>
      <c r="IU36" s="157"/>
      <c r="IX36" s="2048" t="s">
        <v>4054</v>
      </c>
      <c r="IY36" s="1032"/>
      <c r="IZ36" s="1032"/>
      <c r="JA36" s="2042" t="str">
        <f t="shared" ref="JA36:JA39" si="333">MOVEICON(IX36)</f>
        <v>#NAME?</v>
      </c>
      <c r="JB36" s="1034" t="str">
        <f t="shared" ref="JB36:JB39" si="334">MOVEBP(IX36)</f>
        <v>#NAME?</v>
      </c>
      <c r="JC36" s="2043" t="str">
        <f t="shared" ref="JC36:JC39" si="335">MOVEACC(IX36)</f>
        <v>#NAME?</v>
      </c>
      <c r="JD36" s="1015" t="str">
        <f t="shared" ref="JD36:JD39" si="336">MOVEPP(IX36)</f>
        <v>#NAME?</v>
      </c>
      <c r="JE36" s="1230"/>
      <c r="JF36" s="2048" t="s">
        <v>2095</v>
      </c>
      <c r="JG36" s="1032"/>
      <c r="JH36" s="1032"/>
      <c r="JI36" s="2042" t="str">
        <f t="shared" ref="JI36:JI39" si="337">MOVEICON(JF36)</f>
        <v>#NAME?</v>
      </c>
      <c r="JJ36" s="1034" t="str">
        <f t="shared" ref="JJ36:JJ39" si="338">MOVEBP(JF36)</f>
        <v>#NAME?</v>
      </c>
      <c r="JK36" s="2043" t="str">
        <f t="shared" ref="JK36:JK39" si="339">MOVEACC(JF36)</f>
        <v>#NAME?</v>
      </c>
      <c r="JL36" s="1015" t="str">
        <f t="shared" ref="JL36:JL39" si="340">MOVEPP(JF36)</f>
        <v>#NAME?</v>
      </c>
      <c r="JM36" s="1230"/>
      <c r="JN36" s="2048" t="s">
        <v>2732</v>
      </c>
      <c r="JO36" s="1032"/>
      <c r="JP36" s="1032"/>
      <c r="JQ36" s="2042" t="str">
        <f t="shared" ref="JQ36:JQ39" si="341">MOVEICON(JN36)</f>
        <v>#NAME?</v>
      </c>
      <c r="JR36" s="1034" t="str">
        <f t="shared" ref="JR36:JR39" si="342">MOVEBP(JN36)</f>
        <v>#NAME?</v>
      </c>
      <c r="JS36" s="2043" t="str">
        <f t="shared" ref="JS36:JS39" si="343">MOVEACC(JN36)</f>
        <v>#NAME?</v>
      </c>
      <c r="JT36" s="1015" t="str">
        <f t="shared" ref="JT36:JT39" si="344">MOVEPP(JN36)</f>
        <v>#NAME?</v>
      </c>
      <c r="JU36" s="290"/>
      <c r="JW36" s="157"/>
      <c r="JZ36" s="2048" t="s">
        <v>292</v>
      </c>
      <c r="KA36" s="1032"/>
      <c r="KB36" s="1032"/>
      <c r="KC36" s="2042" t="str">
        <f t="shared" ref="KC36:KC39" si="345">MOVEICON(JZ36)</f>
        <v>#NAME?</v>
      </c>
      <c r="KD36" s="1034" t="str">
        <f t="shared" ref="KD36:KD39" si="346">MOVEBP(JZ36)</f>
        <v>#NAME?</v>
      </c>
      <c r="KE36" s="2043" t="str">
        <f t="shared" ref="KE36:KE39" si="347">MOVEACC(JZ36)</f>
        <v>#NAME?</v>
      </c>
      <c r="KF36" s="1015" t="str">
        <f t="shared" ref="KF36:KF39" si="348">MOVEPP(JZ36)</f>
        <v>#NAME?</v>
      </c>
      <c r="KG36" s="1230"/>
      <c r="KH36" s="2048" t="s">
        <v>2236</v>
      </c>
      <c r="KI36" s="1032"/>
      <c r="KJ36" s="1032"/>
      <c r="KK36" s="2042" t="str">
        <f t="shared" ref="KK36:KK39" si="349">MOVEICON(KH36)</f>
        <v>#NAME?</v>
      </c>
      <c r="KL36" s="1034" t="str">
        <f t="shared" ref="KL36:KL39" si="350">MOVEBP(KH36)</f>
        <v>#NAME?</v>
      </c>
      <c r="KM36" s="2043" t="str">
        <f t="shared" ref="KM36:KM39" si="351">MOVEACC(KH36)</f>
        <v>#NAME?</v>
      </c>
      <c r="KN36" s="1015" t="str">
        <f t="shared" ref="KN36:KN39" si="352">MOVEPP(KH36)</f>
        <v>#NAME?</v>
      </c>
      <c r="KO36" s="290"/>
      <c r="KQ36" s="157"/>
      <c r="KT36" s="2048" t="s">
        <v>292</v>
      </c>
      <c r="KU36" s="1032"/>
      <c r="KV36" s="1032"/>
      <c r="KW36" s="2042" t="str">
        <f t="shared" ref="KW36:KW39" si="353">MOVEICON(KT36)</f>
        <v>#NAME?</v>
      </c>
      <c r="KX36" s="1034" t="str">
        <f t="shared" ref="KX36:KX39" si="354">MOVEBP(KT36)</f>
        <v>#NAME?</v>
      </c>
      <c r="KY36" s="2043" t="str">
        <f t="shared" ref="KY36:KY39" si="355">MOVEACC(KT36)</f>
        <v>#NAME?</v>
      </c>
      <c r="KZ36" s="1015" t="str">
        <f t="shared" ref="KZ36:KZ39" si="356">MOVEPP(KT36)</f>
        <v>#NAME?</v>
      </c>
      <c r="LA36" s="1230"/>
      <c r="LB36" s="2048" t="s">
        <v>2236</v>
      </c>
      <c r="LC36" s="1032"/>
      <c r="LD36" s="1032"/>
      <c r="LE36" s="2042" t="str">
        <f t="shared" ref="LE36:LE39" si="357">MOVEICON(LB36)</f>
        <v>#NAME?</v>
      </c>
      <c r="LF36" s="1034" t="str">
        <f t="shared" ref="LF36:LF39" si="358">MOVEBP(LB36)</f>
        <v>#NAME?</v>
      </c>
      <c r="LG36" s="2043" t="str">
        <f t="shared" ref="LG36:LG39" si="359">MOVEACC(LB36)</f>
        <v>#NAME?</v>
      </c>
      <c r="LH36" s="1015" t="str">
        <f t="shared" ref="LH36:LH39" si="360">MOVEPP(LB36)</f>
        <v>#NAME?</v>
      </c>
      <c r="LI36" s="290"/>
    </row>
    <row r="37" ht="15.75" customHeight="1">
      <c r="A37" s="1238"/>
      <c r="B37" s="2112"/>
      <c r="C37" s="1230"/>
      <c r="D37" s="442"/>
      <c r="E37" s="1230"/>
      <c r="F37" s="1230"/>
      <c r="G37" s="1230"/>
      <c r="H37" s="1909" t="s">
        <v>10746</v>
      </c>
      <c r="I37" s="30"/>
      <c r="J37" s="1230"/>
      <c r="K37" s="2153" t="s">
        <v>10747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48"/>
      <c r="AA37" s="157"/>
      <c r="AD37" s="1831" t="s">
        <v>2821</v>
      </c>
      <c r="AE37" s="138"/>
      <c r="AF37" s="138"/>
      <c r="AG37" s="2042" t="str">
        <f t="shared" si="241"/>
        <v>#NAME?</v>
      </c>
      <c r="AH37" s="1034" t="str">
        <f t="shared" si="242"/>
        <v>#NAME?</v>
      </c>
      <c r="AI37" s="2029" t="str">
        <f t="shared" si="243"/>
        <v>#NAME?</v>
      </c>
      <c r="AJ37" s="1015" t="str">
        <f t="shared" si="244"/>
        <v>#NAME?</v>
      </c>
      <c r="AK37" s="1230"/>
      <c r="AL37" s="1831" t="s">
        <v>3870</v>
      </c>
      <c r="AM37" s="138"/>
      <c r="AN37" s="138"/>
      <c r="AO37" s="2042" t="str">
        <f t="shared" si="245"/>
        <v>#NAME?</v>
      </c>
      <c r="AP37" s="1034" t="str">
        <f t="shared" si="246"/>
        <v>#NAME?</v>
      </c>
      <c r="AQ37" s="2029" t="str">
        <f t="shared" si="247"/>
        <v>#NAME?</v>
      </c>
      <c r="AR37" s="1015" t="str">
        <f t="shared" si="248"/>
        <v>#NAME?</v>
      </c>
      <c r="AS37" s="290"/>
      <c r="AU37" s="157"/>
      <c r="AX37" s="1831" t="s">
        <v>2821</v>
      </c>
      <c r="AY37" s="138"/>
      <c r="AZ37" s="138"/>
      <c r="BA37" s="2042" t="str">
        <f t="shared" si="249"/>
        <v>#NAME?</v>
      </c>
      <c r="BB37" s="1034" t="str">
        <f t="shared" si="250"/>
        <v>#NAME?</v>
      </c>
      <c r="BC37" s="2029" t="str">
        <f t="shared" si="251"/>
        <v>#NAME?</v>
      </c>
      <c r="BD37" s="1015" t="str">
        <f t="shared" si="252"/>
        <v>#NAME?</v>
      </c>
      <c r="BE37" s="1230"/>
      <c r="BF37" s="1831" t="s">
        <v>3870</v>
      </c>
      <c r="BG37" s="138"/>
      <c r="BH37" s="138"/>
      <c r="BI37" s="2042" t="str">
        <f t="shared" si="253"/>
        <v>#NAME?</v>
      </c>
      <c r="BJ37" s="1034" t="str">
        <f t="shared" si="254"/>
        <v>#NAME?</v>
      </c>
      <c r="BK37" s="2029" t="str">
        <f t="shared" si="255"/>
        <v>#NAME?</v>
      </c>
      <c r="BL37" s="1015" t="str">
        <f t="shared" si="256"/>
        <v>#NAME?</v>
      </c>
      <c r="BM37" s="290"/>
      <c r="BO37" s="157"/>
      <c r="BR37" s="1831" t="s">
        <v>3835</v>
      </c>
      <c r="BS37" s="138"/>
      <c r="BT37" s="138"/>
      <c r="BU37" s="2042" t="str">
        <f t="shared" si="257"/>
        <v>#NAME?</v>
      </c>
      <c r="BV37" s="1034" t="str">
        <f t="shared" si="258"/>
        <v>#NAME?</v>
      </c>
      <c r="BW37" s="2029" t="str">
        <f t="shared" si="259"/>
        <v>#NAME?</v>
      </c>
      <c r="BX37" s="1015" t="str">
        <f t="shared" si="260"/>
        <v>#NAME?</v>
      </c>
      <c r="BY37" s="1230"/>
      <c r="BZ37" s="1831" t="s">
        <v>621</v>
      </c>
      <c r="CA37" s="138"/>
      <c r="CB37" s="138"/>
      <c r="CC37" s="2042" t="str">
        <f t="shared" si="261"/>
        <v>#NAME?</v>
      </c>
      <c r="CD37" s="1034" t="str">
        <f t="shared" si="262"/>
        <v>#NAME?</v>
      </c>
      <c r="CE37" s="2029" t="str">
        <f t="shared" si="263"/>
        <v>#NAME?</v>
      </c>
      <c r="CF37" s="1015" t="str">
        <f t="shared" si="264"/>
        <v>#NAME?</v>
      </c>
      <c r="CG37" s="290"/>
      <c r="CI37" s="157"/>
      <c r="CL37" s="1831" t="s">
        <v>3835</v>
      </c>
      <c r="CM37" s="138"/>
      <c r="CN37" s="138"/>
      <c r="CO37" s="2042" t="str">
        <f t="shared" si="265"/>
        <v>#NAME?</v>
      </c>
      <c r="CP37" s="1034" t="str">
        <f t="shared" si="266"/>
        <v>#NAME?</v>
      </c>
      <c r="CQ37" s="2029" t="str">
        <f t="shared" si="267"/>
        <v>#NAME?</v>
      </c>
      <c r="CR37" s="1015" t="str">
        <f t="shared" si="268"/>
        <v>#NAME?</v>
      </c>
      <c r="CS37" s="1230"/>
      <c r="CT37" s="1831" t="s">
        <v>621</v>
      </c>
      <c r="CU37" s="138"/>
      <c r="CV37" s="138"/>
      <c r="CW37" s="2042" t="str">
        <f t="shared" si="269"/>
        <v>#NAME?</v>
      </c>
      <c r="CX37" s="1034" t="str">
        <f t="shared" si="270"/>
        <v>#NAME?</v>
      </c>
      <c r="CY37" s="2029" t="str">
        <f t="shared" si="271"/>
        <v>#NAME?</v>
      </c>
      <c r="CZ37" s="1015" t="str">
        <f t="shared" si="272"/>
        <v>#NAME?</v>
      </c>
      <c r="DA37" s="290"/>
      <c r="DC37" s="157"/>
      <c r="DF37" s="1831" t="s">
        <v>3545</v>
      </c>
      <c r="DG37" s="138"/>
      <c r="DH37" s="138"/>
      <c r="DI37" s="2042" t="str">
        <f t="shared" si="273"/>
        <v>#NAME?</v>
      </c>
      <c r="DJ37" s="1034" t="str">
        <f t="shared" si="274"/>
        <v>#NAME?</v>
      </c>
      <c r="DK37" s="2029" t="str">
        <f t="shared" si="275"/>
        <v>#NAME?</v>
      </c>
      <c r="DL37" s="1015" t="str">
        <f t="shared" si="276"/>
        <v>#NAME?</v>
      </c>
      <c r="DM37" s="1230"/>
      <c r="DN37" s="1831" t="s">
        <v>2996</v>
      </c>
      <c r="DO37" s="138"/>
      <c r="DP37" s="138"/>
      <c r="DQ37" s="2042" t="str">
        <f t="shared" si="277"/>
        <v>#NAME?</v>
      </c>
      <c r="DR37" s="1034" t="str">
        <f t="shared" si="278"/>
        <v>#NAME?</v>
      </c>
      <c r="DS37" s="2029" t="str">
        <f t="shared" si="279"/>
        <v>#NAME?</v>
      </c>
      <c r="DT37" s="1015" t="str">
        <f t="shared" si="280"/>
        <v>#NAME?</v>
      </c>
      <c r="DU37" s="290"/>
      <c r="DW37" s="157"/>
      <c r="DZ37" s="1831" t="s">
        <v>3545</v>
      </c>
      <c r="EA37" s="138"/>
      <c r="EB37" s="138"/>
      <c r="EC37" s="2042" t="str">
        <f t="shared" si="281"/>
        <v>#NAME?</v>
      </c>
      <c r="ED37" s="1034" t="str">
        <f t="shared" si="282"/>
        <v>#NAME?</v>
      </c>
      <c r="EE37" s="2029" t="str">
        <f t="shared" si="283"/>
        <v>#NAME?</v>
      </c>
      <c r="EF37" s="1015" t="str">
        <f t="shared" si="284"/>
        <v>#NAME?</v>
      </c>
      <c r="EG37" s="1230"/>
      <c r="EH37" s="1831" t="s">
        <v>2996</v>
      </c>
      <c r="EI37" s="138"/>
      <c r="EJ37" s="138"/>
      <c r="EK37" s="2042" t="str">
        <f t="shared" si="285"/>
        <v>#NAME?</v>
      </c>
      <c r="EL37" s="1034" t="str">
        <f t="shared" si="286"/>
        <v>#NAME?</v>
      </c>
      <c r="EM37" s="2029" t="str">
        <f t="shared" si="287"/>
        <v>#NAME?</v>
      </c>
      <c r="EN37" s="1015" t="str">
        <f t="shared" si="288"/>
        <v>#NAME?</v>
      </c>
      <c r="EO37" s="290"/>
      <c r="EQ37" s="157"/>
      <c r="ET37" s="1831" t="s">
        <v>578</v>
      </c>
      <c r="EU37" s="138"/>
      <c r="EV37" s="138"/>
      <c r="EW37" s="2042" t="str">
        <f t="shared" si="289"/>
        <v>#NAME?</v>
      </c>
      <c r="EX37" s="1034" t="str">
        <f t="shared" si="290"/>
        <v>#NAME?</v>
      </c>
      <c r="EY37" s="2029" t="str">
        <f t="shared" si="291"/>
        <v>#NAME?</v>
      </c>
      <c r="EZ37" s="1015" t="str">
        <f t="shared" si="292"/>
        <v>#NAME?</v>
      </c>
      <c r="FA37" s="1230"/>
      <c r="FB37" s="1831" t="s">
        <v>3625</v>
      </c>
      <c r="FC37" s="138"/>
      <c r="FD37" s="138"/>
      <c r="FE37" s="2042" t="str">
        <f t="shared" si="293"/>
        <v>#NAME?</v>
      </c>
      <c r="FF37" s="1034" t="str">
        <f t="shared" si="294"/>
        <v>#NAME?</v>
      </c>
      <c r="FG37" s="2029" t="str">
        <f t="shared" si="295"/>
        <v>#NAME?</v>
      </c>
      <c r="FH37" s="1015" t="str">
        <f t="shared" si="296"/>
        <v>#NAME?</v>
      </c>
      <c r="FI37" s="290"/>
      <c r="FK37" s="157"/>
      <c r="FN37" s="1831" t="s">
        <v>578</v>
      </c>
      <c r="FO37" s="138"/>
      <c r="FP37" s="138"/>
      <c r="FQ37" s="2042" t="str">
        <f t="shared" si="297"/>
        <v>#NAME?</v>
      </c>
      <c r="FR37" s="1034" t="str">
        <f t="shared" si="298"/>
        <v>#NAME?</v>
      </c>
      <c r="FS37" s="2029" t="str">
        <f t="shared" si="299"/>
        <v>#NAME?</v>
      </c>
      <c r="FT37" s="1015" t="str">
        <f t="shared" si="300"/>
        <v>#NAME?</v>
      </c>
      <c r="FU37" s="1230"/>
      <c r="FV37" s="1831" t="s">
        <v>3625</v>
      </c>
      <c r="FW37" s="138"/>
      <c r="FX37" s="138"/>
      <c r="FY37" s="2042" t="str">
        <f t="shared" si="301"/>
        <v>#NAME?</v>
      </c>
      <c r="FZ37" s="1034" t="str">
        <f t="shared" si="302"/>
        <v>#NAME?</v>
      </c>
      <c r="GA37" s="2029" t="str">
        <f t="shared" si="303"/>
        <v>#NAME?</v>
      </c>
      <c r="GB37" s="1015" t="str">
        <f t="shared" si="304"/>
        <v>#NAME?</v>
      </c>
      <c r="GC37" s="290"/>
      <c r="GE37" s="157"/>
      <c r="GH37" s="1831" t="s">
        <v>2053</v>
      </c>
      <c r="GI37" s="138"/>
      <c r="GJ37" s="138"/>
      <c r="GK37" s="2042" t="str">
        <f t="shared" si="305"/>
        <v>#NAME?</v>
      </c>
      <c r="GL37" s="1034" t="str">
        <f t="shared" si="306"/>
        <v>#NAME?</v>
      </c>
      <c r="GM37" s="2029" t="str">
        <f t="shared" si="307"/>
        <v>#NAME?</v>
      </c>
      <c r="GN37" s="1015" t="str">
        <f t="shared" si="308"/>
        <v>#NAME?</v>
      </c>
      <c r="GO37" s="1230"/>
      <c r="GP37" s="1831" t="s">
        <v>875</v>
      </c>
      <c r="GQ37" s="138"/>
      <c r="GR37" s="138"/>
      <c r="GS37" s="2042" t="str">
        <f t="shared" si="309"/>
        <v>#NAME?</v>
      </c>
      <c r="GT37" s="1034" t="str">
        <f t="shared" si="310"/>
        <v>#NAME?</v>
      </c>
      <c r="GU37" s="2029" t="str">
        <f t="shared" si="311"/>
        <v>#NAME?</v>
      </c>
      <c r="GV37" s="1015" t="str">
        <f t="shared" si="312"/>
        <v>#NAME?</v>
      </c>
      <c r="GW37" s="290"/>
      <c r="GY37" s="157"/>
      <c r="HB37" s="1831" t="s">
        <v>2053</v>
      </c>
      <c r="HC37" s="138"/>
      <c r="HD37" s="138"/>
      <c r="HE37" s="2042" t="str">
        <f t="shared" si="313"/>
        <v>#NAME?</v>
      </c>
      <c r="HF37" s="1034" t="str">
        <f t="shared" si="314"/>
        <v>#NAME?</v>
      </c>
      <c r="HG37" s="2029" t="str">
        <f t="shared" si="315"/>
        <v>#NAME?</v>
      </c>
      <c r="HH37" s="1015" t="str">
        <f t="shared" si="316"/>
        <v>#NAME?</v>
      </c>
      <c r="HI37" s="1230"/>
      <c r="HJ37" s="1831" t="s">
        <v>875</v>
      </c>
      <c r="HK37" s="138"/>
      <c r="HL37" s="138"/>
      <c r="HM37" s="2042" t="str">
        <f t="shared" si="317"/>
        <v>#NAME?</v>
      </c>
      <c r="HN37" s="1034" t="str">
        <f t="shared" si="318"/>
        <v>#NAME?</v>
      </c>
      <c r="HO37" s="2029" t="str">
        <f t="shared" si="319"/>
        <v>#NAME?</v>
      </c>
      <c r="HP37" s="1015" t="str">
        <f t="shared" si="320"/>
        <v>#NAME?</v>
      </c>
      <c r="HQ37" s="290"/>
      <c r="HS37" s="157"/>
      <c r="HV37" s="1831" t="s">
        <v>4130</v>
      </c>
      <c r="HW37" s="138"/>
      <c r="HX37" s="138"/>
      <c r="HY37" s="2042" t="str">
        <f t="shared" si="321"/>
        <v>#NAME?</v>
      </c>
      <c r="HZ37" s="1034" t="str">
        <f t="shared" si="322"/>
        <v>#NAME?</v>
      </c>
      <c r="IA37" s="2029" t="str">
        <f t="shared" si="323"/>
        <v>#NAME?</v>
      </c>
      <c r="IB37" s="1015" t="str">
        <f t="shared" si="324"/>
        <v>#NAME?</v>
      </c>
      <c r="IC37" s="1230"/>
      <c r="ID37" s="1831" t="s">
        <v>1862</v>
      </c>
      <c r="IE37" s="138"/>
      <c r="IF37" s="138"/>
      <c r="IG37" s="2042" t="str">
        <f t="shared" si="325"/>
        <v>#NAME?</v>
      </c>
      <c r="IH37" s="1034" t="str">
        <f t="shared" si="326"/>
        <v>#NAME?</v>
      </c>
      <c r="II37" s="2029" t="str">
        <f t="shared" si="327"/>
        <v>#NAME?</v>
      </c>
      <c r="IJ37" s="1015" t="str">
        <f t="shared" si="328"/>
        <v>#NAME?</v>
      </c>
      <c r="IK37" s="1230"/>
      <c r="IL37" s="1831" t="s">
        <v>4096</v>
      </c>
      <c r="IM37" s="138"/>
      <c r="IN37" s="138"/>
      <c r="IO37" s="2042" t="str">
        <f t="shared" si="329"/>
        <v>#NAME?</v>
      </c>
      <c r="IP37" s="1034" t="str">
        <f t="shared" si="330"/>
        <v>#NAME?</v>
      </c>
      <c r="IQ37" s="2029" t="str">
        <f t="shared" si="331"/>
        <v>#NAME?</v>
      </c>
      <c r="IR37" s="1015" t="str">
        <f t="shared" si="332"/>
        <v>#NAME?</v>
      </c>
      <c r="IS37" s="290"/>
      <c r="IU37" s="157"/>
      <c r="IX37" s="1831" t="s">
        <v>4130</v>
      </c>
      <c r="IY37" s="138"/>
      <c r="IZ37" s="138"/>
      <c r="JA37" s="2042" t="str">
        <f t="shared" si="333"/>
        <v>#NAME?</v>
      </c>
      <c r="JB37" s="1034" t="str">
        <f t="shared" si="334"/>
        <v>#NAME?</v>
      </c>
      <c r="JC37" s="2029" t="str">
        <f t="shared" si="335"/>
        <v>#NAME?</v>
      </c>
      <c r="JD37" s="1015" t="str">
        <f t="shared" si="336"/>
        <v>#NAME?</v>
      </c>
      <c r="JE37" s="1230"/>
      <c r="JF37" s="1831" t="s">
        <v>1862</v>
      </c>
      <c r="JG37" s="138"/>
      <c r="JH37" s="138"/>
      <c r="JI37" s="2042" t="str">
        <f t="shared" si="337"/>
        <v>#NAME?</v>
      </c>
      <c r="JJ37" s="1034" t="str">
        <f t="shared" si="338"/>
        <v>#NAME?</v>
      </c>
      <c r="JK37" s="2029" t="str">
        <f t="shared" si="339"/>
        <v>#NAME?</v>
      </c>
      <c r="JL37" s="1015" t="str">
        <f t="shared" si="340"/>
        <v>#NAME?</v>
      </c>
      <c r="JM37" s="1230"/>
      <c r="JN37" s="1831" t="s">
        <v>4096</v>
      </c>
      <c r="JO37" s="138"/>
      <c r="JP37" s="138"/>
      <c r="JQ37" s="2042" t="str">
        <f t="shared" si="341"/>
        <v>#NAME?</v>
      </c>
      <c r="JR37" s="1034" t="str">
        <f t="shared" si="342"/>
        <v>#NAME?</v>
      </c>
      <c r="JS37" s="2029" t="str">
        <f t="shared" si="343"/>
        <v>#NAME?</v>
      </c>
      <c r="JT37" s="1015" t="str">
        <f t="shared" si="344"/>
        <v>#NAME?</v>
      </c>
      <c r="JU37" s="290"/>
      <c r="JW37" s="157"/>
      <c r="JZ37" s="1831" t="s">
        <v>3675</v>
      </c>
      <c r="KA37" s="138"/>
      <c r="KB37" s="138"/>
      <c r="KC37" s="2042" t="str">
        <f t="shared" si="345"/>
        <v>#NAME?</v>
      </c>
      <c r="KD37" s="1034" t="str">
        <f t="shared" si="346"/>
        <v>#NAME?</v>
      </c>
      <c r="KE37" s="2029" t="str">
        <f t="shared" si="347"/>
        <v>#NAME?</v>
      </c>
      <c r="KF37" s="1015" t="str">
        <f t="shared" si="348"/>
        <v>#NAME?</v>
      </c>
      <c r="KG37" s="1230"/>
      <c r="KH37" s="1831" t="s">
        <v>4023</v>
      </c>
      <c r="KI37" s="138"/>
      <c r="KJ37" s="138"/>
      <c r="KK37" s="2042" t="str">
        <f t="shared" si="349"/>
        <v>#NAME?</v>
      </c>
      <c r="KL37" s="1034" t="str">
        <f t="shared" si="350"/>
        <v>#NAME?</v>
      </c>
      <c r="KM37" s="2029" t="str">
        <f t="shared" si="351"/>
        <v>#NAME?</v>
      </c>
      <c r="KN37" s="1015" t="str">
        <f t="shared" si="352"/>
        <v>#NAME?</v>
      </c>
      <c r="KO37" s="290"/>
      <c r="KQ37" s="157"/>
      <c r="KT37" s="1831" t="s">
        <v>3675</v>
      </c>
      <c r="KU37" s="138"/>
      <c r="KV37" s="138"/>
      <c r="KW37" s="2042" t="str">
        <f t="shared" si="353"/>
        <v>#NAME?</v>
      </c>
      <c r="KX37" s="1034" t="str">
        <f t="shared" si="354"/>
        <v>#NAME?</v>
      </c>
      <c r="KY37" s="2029" t="str">
        <f t="shared" si="355"/>
        <v>#NAME?</v>
      </c>
      <c r="KZ37" s="1015" t="str">
        <f t="shared" si="356"/>
        <v>#NAME?</v>
      </c>
      <c r="LA37" s="1230"/>
      <c r="LB37" s="1831" t="s">
        <v>4023</v>
      </c>
      <c r="LC37" s="138"/>
      <c r="LD37" s="138"/>
      <c r="LE37" s="2042" t="str">
        <f t="shared" si="357"/>
        <v>#NAME?</v>
      </c>
      <c r="LF37" s="1034" t="str">
        <f t="shared" si="358"/>
        <v>#NAME?</v>
      </c>
      <c r="LG37" s="2029" t="str">
        <f t="shared" si="359"/>
        <v>#NAME?</v>
      </c>
      <c r="LH37" s="1015" t="str">
        <f t="shared" si="360"/>
        <v>#NAME?</v>
      </c>
      <c r="LI37" s="290"/>
    </row>
    <row r="38" ht="15.75" customHeight="1">
      <c r="A38" s="1238"/>
      <c r="B38" s="2125" t="s">
        <v>10748</v>
      </c>
      <c r="C38" s="1230"/>
      <c r="D38" s="1230"/>
      <c r="E38" s="1230"/>
      <c r="F38" s="1230"/>
      <c r="G38" s="1230"/>
      <c r="H38" s="1947" t="s">
        <v>10749</v>
      </c>
      <c r="I38" s="128"/>
      <c r="J38" s="1230"/>
      <c r="AA38" s="157"/>
      <c r="AD38" s="1831" t="s">
        <v>2767</v>
      </c>
      <c r="AE38" s="138"/>
      <c r="AF38" s="138"/>
      <c r="AG38" s="2042" t="str">
        <f t="shared" si="241"/>
        <v>#NAME?</v>
      </c>
      <c r="AH38" s="1034" t="str">
        <f t="shared" si="242"/>
        <v>#NAME?</v>
      </c>
      <c r="AI38" s="2029" t="str">
        <f t="shared" si="243"/>
        <v>#NAME?</v>
      </c>
      <c r="AJ38" s="1015" t="str">
        <f t="shared" si="244"/>
        <v>#NAME?</v>
      </c>
      <c r="AK38" s="1230"/>
      <c r="AL38" s="1831" t="s">
        <v>2095</v>
      </c>
      <c r="AM38" s="138"/>
      <c r="AN38" s="138"/>
      <c r="AO38" s="2042" t="str">
        <f t="shared" si="245"/>
        <v>#NAME?</v>
      </c>
      <c r="AP38" s="1034" t="str">
        <f t="shared" si="246"/>
        <v>#NAME?</v>
      </c>
      <c r="AQ38" s="2029" t="str">
        <f t="shared" si="247"/>
        <v>#NAME?</v>
      </c>
      <c r="AR38" s="1015" t="str">
        <f t="shared" si="248"/>
        <v>#NAME?</v>
      </c>
      <c r="AS38" s="290"/>
      <c r="AU38" s="157"/>
      <c r="AX38" s="1831" t="s">
        <v>2767</v>
      </c>
      <c r="AY38" s="138"/>
      <c r="AZ38" s="138"/>
      <c r="BA38" s="2042" t="str">
        <f t="shared" si="249"/>
        <v>#NAME?</v>
      </c>
      <c r="BB38" s="1034" t="str">
        <f t="shared" si="250"/>
        <v>#NAME?</v>
      </c>
      <c r="BC38" s="2029" t="str">
        <f t="shared" si="251"/>
        <v>#NAME?</v>
      </c>
      <c r="BD38" s="1015" t="str">
        <f t="shared" si="252"/>
        <v>#NAME?</v>
      </c>
      <c r="BE38" s="1230"/>
      <c r="BF38" s="1831" t="s">
        <v>2095</v>
      </c>
      <c r="BG38" s="138"/>
      <c r="BH38" s="138"/>
      <c r="BI38" s="2042" t="str">
        <f t="shared" si="253"/>
        <v>#NAME?</v>
      </c>
      <c r="BJ38" s="1034" t="str">
        <f t="shared" si="254"/>
        <v>#NAME?</v>
      </c>
      <c r="BK38" s="2029" t="str">
        <f t="shared" si="255"/>
        <v>#NAME?</v>
      </c>
      <c r="BL38" s="1015" t="str">
        <f t="shared" si="256"/>
        <v>#NAME?</v>
      </c>
      <c r="BM38" s="290"/>
      <c r="BO38" s="157"/>
      <c r="BR38" s="1831" t="s">
        <v>2938</v>
      </c>
      <c r="BS38" s="138"/>
      <c r="BT38" s="138"/>
      <c r="BU38" s="2042" t="str">
        <f t="shared" si="257"/>
        <v>#NAME?</v>
      </c>
      <c r="BV38" s="1034" t="str">
        <f t="shared" si="258"/>
        <v>#NAME?</v>
      </c>
      <c r="BW38" s="2029" t="str">
        <f t="shared" si="259"/>
        <v>#NAME?</v>
      </c>
      <c r="BX38" s="1015" t="str">
        <f t="shared" si="260"/>
        <v>#NAME?</v>
      </c>
      <c r="BY38" s="1230"/>
      <c r="BZ38" s="1831" t="s">
        <v>379</v>
      </c>
      <c r="CA38" s="138"/>
      <c r="CB38" s="138"/>
      <c r="CC38" s="2042" t="str">
        <f t="shared" si="261"/>
        <v>#NAME?</v>
      </c>
      <c r="CD38" s="1034" t="str">
        <f t="shared" si="262"/>
        <v>#NAME?</v>
      </c>
      <c r="CE38" s="2029" t="str">
        <f t="shared" si="263"/>
        <v>#NAME?</v>
      </c>
      <c r="CF38" s="1015" t="str">
        <f t="shared" si="264"/>
        <v>#NAME?</v>
      </c>
      <c r="CG38" s="290"/>
      <c r="CI38" s="157"/>
      <c r="CL38" s="1831" t="s">
        <v>2938</v>
      </c>
      <c r="CM38" s="138"/>
      <c r="CN38" s="138"/>
      <c r="CO38" s="2042" t="str">
        <f t="shared" si="265"/>
        <v>#NAME?</v>
      </c>
      <c r="CP38" s="1034" t="str">
        <f t="shared" si="266"/>
        <v>#NAME?</v>
      </c>
      <c r="CQ38" s="2029" t="str">
        <f t="shared" si="267"/>
        <v>#NAME?</v>
      </c>
      <c r="CR38" s="1015" t="str">
        <f t="shared" si="268"/>
        <v>#NAME?</v>
      </c>
      <c r="CS38" s="1230"/>
      <c r="CT38" s="1831" t="s">
        <v>379</v>
      </c>
      <c r="CU38" s="138"/>
      <c r="CV38" s="138"/>
      <c r="CW38" s="2042" t="str">
        <f t="shared" si="269"/>
        <v>#NAME?</v>
      </c>
      <c r="CX38" s="1034" t="str">
        <f t="shared" si="270"/>
        <v>#NAME?</v>
      </c>
      <c r="CY38" s="2029" t="str">
        <f t="shared" si="271"/>
        <v>#NAME?</v>
      </c>
      <c r="CZ38" s="1015" t="str">
        <f t="shared" si="272"/>
        <v>#NAME?</v>
      </c>
      <c r="DA38" s="290"/>
      <c r="DC38" s="157"/>
      <c r="DF38" s="1831" t="s">
        <v>875</v>
      </c>
      <c r="DG38" s="138"/>
      <c r="DH38" s="138"/>
      <c r="DI38" s="2042" t="str">
        <f t="shared" si="273"/>
        <v>#NAME?</v>
      </c>
      <c r="DJ38" s="1034" t="str">
        <f t="shared" si="274"/>
        <v>#NAME?</v>
      </c>
      <c r="DK38" s="2029" t="str">
        <f t="shared" si="275"/>
        <v>#NAME?</v>
      </c>
      <c r="DL38" s="1015" t="str">
        <f t="shared" si="276"/>
        <v>#NAME?</v>
      </c>
      <c r="DM38" s="1230"/>
      <c r="DN38" s="1831" t="s">
        <v>2145</v>
      </c>
      <c r="DO38" s="138"/>
      <c r="DP38" s="138"/>
      <c r="DQ38" s="2042" t="str">
        <f t="shared" si="277"/>
        <v>#NAME?</v>
      </c>
      <c r="DR38" s="1034" t="str">
        <f t="shared" si="278"/>
        <v>#NAME?</v>
      </c>
      <c r="DS38" s="2029" t="str">
        <f t="shared" si="279"/>
        <v>#NAME?</v>
      </c>
      <c r="DT38" s="1015" t="str">
        <f t="shared" si="280"/>
        <v>#NAME?</v>
      </c>
      <c r="DU38" s="290"/>
      <c r="DW38" s="157"/>
      <c r="DZ38" s="1831" t="s">
        <v>875</v>
      </c>
      <c r="EA38" s="138"/>
      <c r="EB38" s="138"/>
      <c r="EC38" s="2042" t="str">
        <f t="shared" si="281"/>
        <v>#NAME?</v>
      </c>
      <c r="ED38" s="1034" t="str">
        <f t="shared" si="282"/>
        <v>#NAME?</v>
      </c>
      <c r="EE38" s="2029" t="str">
        <f t="shared" si="283"/>
        <v>#NAME?</v>
      </c>
      <c r="EF38" s="1015" t="str">
        <f t="shared" si="284"/>
        <v>#NAME?</v>
      </c>
      <c r="EG38" s="1230"/>
      <c r="EH38" s="1831" t="s">
        <v>2145</v>
      </c>
      <c r="EI38" s="138"/>
      <c r="EJ38" s="138"/>
      <c r="EK38" s="2042" t="str">
        <f t="shared" si="285"/>
        <v>#NAME?</v>
      </c>
      <c r="EL38" s="1034" t="str">
        <f t="shared" si="286"/>
        <v>#NAME?</v>
      </c>
      <c r="EM38" s="2029" t="str">
        <f t="shared" si="287"/>
        <v>#NAME?</v>
      </c>
      <c r="EN38" s="1015" t="str">
        <f t="shared" si="288"/>
        <v>#NAME?</v>
      </c>
      <c r="EO38" s="290"/>
      <c r="EQ38" s="157"/>
      <c r="ET38" s="1831" t="s">
        <v>2316</v>
      </c>
      <c r="EU38" s="138"/>
      <c r="EV38" s="138"/>
      <c r="EW38" s="2042" t="str">
        <f t="shared" si="289"/>
        <v>#NAME?</v>
      </c>
      <c r="EX38" s="1034" t="str">
        <f t="shared" si="290"/>
        <v>#NAME?</v>
      </c>
      <c r="EY38" s="2029" t="str">
        <f t="shared" si="291"/>
        <v>#NAME?</v>
      </c>
      <c r="EZ38" s="1015" t="str">
        <f t="shared" si="292"/>
        <v>#NAME?</v>
      </c>
      <c r="FA38" s="1230"/>
      <c r="FB38" s="1831" t="s">
        <v>3593</v>
      </c>
      <c r="FC38" s="138"/>
      <c r="FD38" s="138"/>
      <c r="FE38" s="2042" t="str">
        <f t="shared" si="293"/>
        <v>#NAME?</v>
      </c>
      <c r="FF38" s="1034" t="str">
        <f t="shared" si="294"/>
        <v>#NAME?</v>
      </c>
      <c r="FG38" s="2029" t="str">
        <f t="shared" si="295"/>
        <v>#NAME?</v>
      </c>
      <c r="FH38" s="1015" t="str">
        <f t="shared" si="296"/>
        <v>#NAME?</v>
      </c>
      <c r="FI38" s="290"/>
      <c r="FK38" s="157"/>
      <c r="FN38" s="1831" t="s">
        <v>2316</v>
      </c>
      <c r="FO38" s="138"/>
      <c r="FP38" s="138"/>
      <c r="FQ38" s="2042" t="str">
        <f t="shared" si="297"/>
        <v>#NAME?</v>
      </c>
      <c r="FR38" s="1034" t="str">
        <f t="shared" si="298"/>
        <v>#NAME?</v>
      </c>
      <c r="FS38" s="2029" t="str">
        <f t="shared" si="299"/>
        <v>#NAME?</v>
      </c>
      <c r="FT38" s="1015" t="str">
        <f t="shared" si="300"/>
        <v>#NAME?</v>
      </c>
      <c r="FU38" s="1230"/>
      <c r="FV38" s="1831" t="s">
        <v>3593</v>
      </c>
      <c r="FW38" s="138"/>
      <c r="FX38" s="138"/>
      <c r="FY38" s="2042" t="str">
        <f t="shared" si="301"/>
        <v>#NAME?</v>
      </c>
      <c r="FZ38" s="1034" t="str">
        <f t="shared" si="302"/>
        <v>#NAME?</v>
      </c>
      <c r="GA38" s="2029" t="str">
        <f t="shared" si="303"/>
        <v>#NAME?</v>
      </c>
      <c r="GB38" s="1015" t="str">
        <f t="shared" si="304"/>
        <v>#NAME?</v>
      </c>
      <c r="GC38" s="290"/>
      <c r="GE38" s="157"/>
      <c r="GH38" s="1831" t="s">
        <v>2316</v>
      </c>
      <c r="GI38" s="138"/>
      <c r="GJ38" s="138"/>
      <c r="GK38" s="2042" t="str">
        <f t="shared" si="305"/>
        <v>#NAME?</v>
      </c>
      <c r="GL38" s="1034" t="str">
        <f t="shared" si="306"/>
        <v>#NAME?</v>
      </c>
      <c r="GM38" s="2029" t="str">
        <f t="shared" si="307"/>
        <v>#NAME?</v>
      </c>
      <c r="GN38" s="1015" t="str">
        <f t="shared" si="308"/>
        <v>#NAME?</v>
      </c>
      <c r="GO38" s="1230"/>
      <c r="GP38" s="1831" t="s">
        <v>2407</v>
      </c>
      <c r="GQ38" s="138"/>
      <c r="GR38" s="138"/>
      <c r="GS38" s="2042" t="str">
        <f t="shared" si="309"/>
        <v>#NAME?</v>
      </c>
      <c r="GT38" s="1034" t="str">
        <f t="shared" si="310"/>
        <v>#NAME?</v>
      </c>
      <c r="GU38" s="2029" t="str">
        <f t="shared" si="311"/>
        <v>#NAME?</v>
      </c>
      <c r="GV38" s="1015" t="str">
        <f t="shared" si="312"/>
        <v>#NAME?</v>
      </c>
      <c r="GW38" s="290"/>
      <c r="GY38" s="157"/>
      <c r="HB38" s="1831" t="s">
        <v>2316</v>
      </c>
      <c r="HC38" s="138"/>
      <c r="HD38" s="138"/>
      <c r="HE38" s="2042" t="str">
        <f t="shared" si="313"/>
        <v>#NAME?</v>
      </c>
      <c r="HF38" s="1034" t="str">
        <f t="shared" si="314"/>
        <v>#NAME?</v>
      </c>
      <c r="HG38" s="2029" t="str">
        <f t="shared" si="315"/>
        <v>#NAME?</v>
      </c>
      <c r="HH38" s="1015" t="str">
        <f t="shared" si="316"/>
        <v>#NAME?</v>
      </c>
      <c r="HI38" s="1230"/>
      <c r="HJ38" s="1831" t="s">
        <v>2407</v>
      </c>
      <c r="HK38" s="138"/>
      <c r="HL38" s="138"/>
      <c r="HM38" s="2042" t="str">
        <f t="shared" si="317"/>
        <v>#NAME?</v>
      </c>
      <c r="HN38" s="1034" t="str">
        <f t="shared" si="318"/>
        <v>#NAME?</v>
      </c>
      <c r="HO38" s="2029" t="str">
        <f t="shared" si="319"/>
        <v>#NAME?</v>
      </c>
      <c r="HP38" s="1015" t="str">
        <f t="shared" si="320"/>
        <v>#NAME?</v>
      </c>
      <c r="HQ38" s="290"/>
      <c r="HS38" s="157"/>
      <c r="HV38" s="1831" t="s">
        <v>3675</v>
      </c>
      <c r="HW38" s="138"/>
      <c r="HX38" s="138"/>
      <c r="HY38" s="2042" t="str">
        <f t="shared" si="321"/>
        <v>#NAME?</v>
      </c>
      <c r="HZ38" s="1034" t="str">
        <f t="shared" si="322"/>
        <v>#NAME?</v>
      </c>
      <c r="IA38" s="2029" t="str">
        <f t="shared" si="323"/>
        <v>#NAME?</v>
      </c>
      <c r="IB38" s="1015" t="str">
        <f t="shared" si="324"/>
        <v>#NAME?</v>
      </c>
      <c r="IC38" s="1230"/>
      <c r="ID38" s="1831" t="s">
        <v>3497</v>
      </c>
      <c r="IE38" s="138"/>
      <c r="IF38" s="138"/>
      <c r="IG38" s="2042" t="str">
        <f t="shared" si="325"/>
        <v>#NAME?</v>
      </c>
      <c r="IH38" s="1034" t="str">
        <f t="shared" si="326"/>
        <v>#NAME?</v>
      </c>
      <c r="II38" s="2029" t="str">
        <f t="shared" si="327"/>
        <v>#NAME?</v>
      </c>
      <c r="IJ38" s="1015" t="str">
        <f t="shared" si="328"/>
        <v>#NAME?</v>
      </c>
      <c r="IK38" s="1230"/>
      <c r="IL38" s="1831" t="s">
        <v>1357</v>
      </c>
      <c r="IM38" s="138"/>
      <c r="IN38" s="138"/>
      <c r="IO38" s="2042" t="str">
        <f t="shared" si="329"/>
        <v>#NAME?</v>
      </c>
      <c r="IP38" s="1034" t="str">
        <f t="shared" si="330"/>
        <v>#NAME?</v>
      </c>
      <c r="IQ38" s="2029" t="str">
        <f t="shared" si="331"/>
        <v>#NAME?</v>
      </c>
      <c r="IR38" s="1015" t="str">
        <f t="shared" si="332"/>
        <v>#NAME?</v>
      </c>
      <c r="IS38" s="290"/>
      <c r="IU38" s="157"/>
      <c r="IX38" s="1831" t="s">
        <v>3675</v>
      </c>
      <c r="IY38" s="138"/>
      <c r="IZ38" s="138"/>
      <c r="JA38" s="2042" t="str">
        <f t="shared" si="333"/>
        <v>#NAME?</v>
      </c>
      <c r="JB38" s="1034" t="str">
        <f t="shared" si="334"/>
        <v>#NAME?</v>
      </c>
      <c r="JC38" s="2029" t="str">
        <f t="shared" si="335"/>
        <v>#NAME?</v>
      </c>
      <c r="JD38" s="1015" t="str">
        <f t="shared" si="336"/>
        <v>#NAME?</v>
      </c>
      <c r="JE38" s="1230"/>
      <c r="JF38" s="1831" t="s">
        <v>3497</v>
      </c>
      <c r="JG38" s="138"/>
      <c r="JH38" s="138"/>
      <c r="JI38" s="2042" t="str">
        <f t="shared" si="337"/>
        <v>#NAME?</v>
      </c>
      <c r="JJ38" s="1034" t="str">
        <f t="shared" si="338"/>
        <v>#NAME?</v>
      </c>
      <c r="JK38" s="2029" t="str">
        <f t="shared" si="339"/>
        <v>#NAME?</v>
      </c>
      <c r="JL38" s="1015" t="str">
        <f t="shared" si="340"/>
        <v>#NAME?</v>
      </c>
      <c r="JM38" s="1230"/>
      <c r="JN38" s="1831" t="s">
        <v>1357</v>
      </c>
      <c r="JO38" s="138"/>
      <c r="JP38" s="138"/>
      <c r="JQ38" s="2042" t="str">
        <f t="shared" si="341"/>
        <v>#NAME?</v>
      </c>
      <c r="JR38" s="1034" t="str">
        <f t="shared" si="342"/>
        <v>#NAME?</v>
      </c>
      <c r="JS38" s="2029" t="str">
        <f t="shared" si="343"/>
        <v>#NAME?</v>
      </c>
      <c r="JT38" s="1015" t="str">
        <f t="shared" si="344"/>
        <v>#NAME?</v>
      </c>
      <c r="JU38" s="290"/>
      <c r="JW38" s="157"/>
      <c r="JZ38" s="1831" t="s">
        <v>4067</v>
      </c>
      <c r="KA38" s="138"/>
      <c r="KB38" s="138"/>
      <c r="KC38" s="2042" t="str">
        <f t="shared" si="345"/>
        <v>#NAME?</v>
      </c>
      <c r="KD38" s="1034" t="str">
        <f t="shared" si="346"/>
        <v>#NAME?</v>
      </c>
      <c r="KE38" s="2029" t="str">
        <f t="shared" si="347"/>
        <v>#NAME?</v>
      </c>
      <c r="KF38" s="1015" t="str">
        <f t="shared" si="348"/>
        <v>#NAME?</v>
      </c>
      <c r="KG38" s="1230"/>
      <c r="KH38" s="1831" t="s">
        <v>4172</v>
      </c>
      <c r="KI38" s="138"/>
      <c r="KJ38" s="138"/>
      <c r="KK38" s="2042" t="str">
        <f t="shared" si="349"/>
        <v>#NAME?</v>
      </c>
      <c r="KL38" s="1034" t="str">
        <f t="shared" si="350"/>
        <v>#NAME?</v>
      </c>
      <c r="KM38" s="2029" t="str">
        <f t="shared" si="351"/>
        <v>#NAME?</v>
      </c>
      <c r="KN38" s="1015" t="str">
        <f t="shared" si="352"/>
        <v>#NAME?</v>
      </c>
      <c r="KO38" s="290"/>
      <c r="KQ38" s="157"/>
      <c r="KT38" s="1831" t="s">
        <v>4067</v>
      </c>
      <c r="KU38" s="138"/>
      <c r="KV38" s="138"/>
      <c r="KW38" s="2042" t="str">
        <f t="shared" si="353"/>
        <v>#NAME?</v>
      </c>
      <c r="KX38" s="1034" t="str">
        <f t="shared" si="354"/>
        <v>#NAME?</v>
      </c>
      <c r="KY38" s="2029" t="str">
        <f t="shared" si="355"/>
        <v>#NAME?</v>
      </c>
      <c r="KZ38" s="1015" t="str">
        <f t="shared" si="356"/>
        <v>#NAME?</v>
      </c>
      <c r="LA38" s="1230"/>
      <c r="LB38" s="1831" t="s">
        <v>4172</v>
      </c>
      <c r="LC38" s="138"/>
      <c r="LD38" s="138"/>
      <c r="LE38" s="2042" t="str">
        <f t="shared" si="357"/>
        <v>#NAME?</v>
      </c>
      <c r="LF38" s="1034" t="str">
        <f t="shared" si="358"/>
        <v>#NAME?</v>
      </c>
      <c r="LG38" s="2029" t="str">
        <f t="shared" si="359"/>
        <v>#NAME?</v>
      </c>
      <c r="LH38" s="1015" t="str">
        <f t="shared" si="360"/>
        <v>#NAME?</v>
      </c>
      <c r="LI38" s="290"/>
    </row>
    <row r="39" ht="15.75" customHeight="1">
      <c r="A39" s="1238"/>
      <c r="B39" s="1254"/>
      <c r="C39" s="1230"/>
      <c r="D39" s="1230"/>
      <c r="E39" s="1230"/>
      <c r="F39" s="1230"/>
      <c r="G39" s="1230"/>
      <c r="H39" s="1914" t="s">
        <v>10750</v>
      </c>
      <c r="I39" s="414"/>
      <c r="J39" s="1230"/>
      <c r="K39" s="1109" t="s">
        <v>10751</v>
      </c>
      <c r="L39" s="976"/>
      <c r="M39" s="976"/>
      <c r="N39" s="976"/>
      <c r="O39" s="976"/>
      <c r="P39" s="976"/>
      <c r="Q39" s="976"/>
      <c r="R39" s="976"/>
      <c r="S39" s="976"/>
      <c r="T39" s="976"/>
      <c r="U39" s="976"/>
      <c r="V39" s="976"/>
      <c r="W39" s="976"/>
      <c r="X39" s="976"/>
      <c r="Y39" s="954"/>
      <c r="AA39" s="157"/>
      <c r="AD39" s="1094" t="s">
        <v>660</v>
      </c>
      <c r="AE39" s="413"/>
      <c r="AF39" s="413"/>
      <c r="AG39" s="2063" t="str">
        <f t="shared" si="241"/>
        <v>#NAME?</v>
      </c>
      <c r="AH39" s="1054" t="str">
        <f t="shared" si="242"/>
        <v>#NAME?</v>
      </c>
      <c r="AI39" s="2033" t="str">
        <f t="shared" si="243"/>
        <v>#NAME?</v>
      </c>
      <c r="AJ39" s="1131" t="str">
        <f t="shared" si="244"/>
        <v>#NAME?</v>
      </c>
      <c r="AK39" s="1230"/>
      <c r="AL39" s="1094" t="s">
        <v>1727</v>
      </c>
      <c r="AM39" s="413"/>
      <c r="AN39" s="413"/>
      <c r="AO39" s="2063" t="str">
        <f t="shared" si="245"/>
        <v>#NAME?</v>
      </c>
      <c r="AP39" s="1054" t="str">
        <f t="shared" si="246"/>
        <v>#NAME?</v>
      </c>
      <c r="AQ39" s="2033" t="str">
        <f t="shared" si="247"/>
        <v>#NAME?</v>
      </c>
      <c r="AR39" s="1131" t="str">
        <f t="shared" si="248"/>
        <v>#NAME?</v>
      </c>
      <c r="AS39" s="290"/>
      <c r="AU39" s="157"/>
      <c r="AX39" s="1094" t="s">
        <v>660</v>
      </c>
      <c r="AY39" s="413"/>
      <c r="AZ39" s="413"/>
      <c r="BA39" s="2063" t="str">
        <f t="shared" si="249"/>
        <v>#NAME?</v>
      </c>
      <c r="BB39" s="1054" t="str">
        <f t="shared" si="250"/>
        <v>#NAME?</v>
      </c>
      <c r="BC39" s="2033" t="str">
        <f t="shared" si="251"/>
        <v>#NAME?</v>
      </c>
      <c r="BD39" s="1131" t="str">
        <f t="shared" si="252"/>
        <v>#NAME?</v>
      </c>
      <c r="BE39" s="1230"/>
      <c r="BF39" s="1094" t="s">
        <v>1727</v>
      </c>
      <c r="BG39" s="413"/>
      <c r="BH39" s="413"/>
      <c r="BI39" s="2063" t="str">
        <f t="shared" si="253"/>
        <v>#NAME?</v>
      </c>
      <c r="BJ39" s="1054" t="str">
        <f t="shared" si="254"/>
        <v>#NAME?</v>
      </c>
      <c r="BK39" s="2033" t="str">
        <f t="shared" si="255"/>
        <v>#NAME?</v>
      </c>
      <c r="BL39" s="1131" t="str">
        <f t="shared" si="256"/>
        <v>#NAME?</v>
      </c>
      <c r="BM39" s="290"/>
      <c r="BO39" s="157"/>
      <c r="BR39" s="1094" t="s">
        <v>3847</v>
      </c>
      <c r="BS39" s="413"/>
      <c r="BT39" s="413"/>
      <c r="BU39" s="2063" t="str">
        <f t="shared" si="257"/>
        <v>#NAME?</v>
      </c>
      <c r="BV39" s="1054" t="str">
        <f t="shared" si="258"/>
        <v>#NAME?</v>
      </c>
      <c r="BW39" s="2033" t="str">
        <f t="shared" si="259"/>
        <v>#NAME?</v>
      </c>
      <c r="BX39" s="1131" t="str">
        <f t="shared" si="260"/>
        <v>#NAME?</v>
      </c>
      <c r="BY39" s="1230"/>
      <c r="BZ39" s="1094" t="s">
        <v>1745</v>
      </c>
      <c r="CA39" s="413"/>
      <c r="CB39" s="413"/>
      <c r="CC39" s="2063" t="str">
        <f t="shared" si="261"/>
        <v>#NAME?</v>
      </c>
      <c r="CD39" s="1054" t="str">
        <f t="shared" si="262"/>
        <v>#NAME?</v>
      </c>
      <c r="CE39" s="2033" t="str">
        <f t="shared" si="263"/>
        <v>#NAME?</v>
      </c>
      <c r="CF39" s="1131" t="str">
        <f t="shared" si="264"/>
        <v>#NAME?</v>
      </c>
      <c r="CG39" s="290"/>
      <c r="CI39" s="157"/>
      <c r="CL39" s="1094" t="s">
        <v>3847</v>
      </c>
      <c r="CM39" s="413"/>
      <c r="CN39" s="413"/>
      <c r="CO39" s="2063" t="str">
        <f t="shared" si="265"/>
        <v>#NAME?</v>
      </c>
      <c r="CP39" s="1054" t="str">
        <f t="shared" si="266"/>
        <v>#NAME?</v>
      </c>
      <c r="CQ39" s="2033" t="str">
        <f t="shared" si="267"/>
        <v>#NAME?</v>
      </c>
      <c r="CR39" s="1131" t="str">
        <f t="shared" si="268"/>
        <v>#NAME?</v>
      </c>
      <c r="CS39" s="1230"/>
      <c r="CT39" s="1094" t="s">
        <v>1745</v>
      </c>
      <c r="CU39" s="413"/>
      <c r="CV39" s="413"/>
      <c r="CW39" s="2063" t="str">
        <f t="shared" si="269"/>
        <v>#NAME?</v>
      </c>
      <c r="CX39" s="1054" t="str">
        <f t="shared" si="270"/>
        <v>#NAME?</v>
      </c>
      <c r="CY39" s="2033" t="str">
        <f t="shared" si="271"/>
        <v>#NAME?</v>
      </c>
      <c r="CZ39" s="1131" t="str">
        <f t="shared" si="272"/>
        <v>#NAME?</v>
      </c>
      <c r="DA39" s="290"/>
      <c r="DC39" s="157"/>
      <c r="DF39" s="1094" t="s">
        <v>2847</v>
      </c>
      <c r="DG39" s="413"/>
      <c r="DH39" s="413"/>
      <c r="DI39" s="2063" t="str">
        <f t="shared" si="273"/>
        <v>#NAME?</v>
      </c>
      <c r="DJ39" s="1054" t="str">
        <f t="shared" si="274"/>
        <v>#NAME?</v>
      </c>
      <c r="DK39" s="2033" t="str">
        <f t="shared" si="275"/>
        <v>#NAME?</v>
      </c>
      <c r="DL39" s="1131" t="str">
        <f t="shared" si="276"/>
        <v>#NAME?</v>
      </c>
      <c r="DM39" s="1230"/>
      <c r="DN39" s="1094" t="s">
        <v>2236</v>
      </c>
      <c r="DO39" s="413"/>
      <c r="DP39" s="413"/>
      <c r="DQ39" s="2063" t="str">
        <f t="shared" si="277"/>
        <v>#NAME?</v>
      </c>
      <c r="DR39" s="1054" t="str">
        <f t="shared" si="278"/>
        <v>#NAME?</v>
      </c>
      <c r="DS39" s="2033" t="str">
        <f t="shared" si="279"/>
        <v>#NAME?</v>
      </c>
      <c r="DT39" s="1131" t="str">
        <f t="shared" si="280"/>
        <v>#NAME?</v>
      </c>
      <c r="DU39" s="290"/>
      <c r="DW39" s="157"/>
      <c r="DZ39" s="1094" t="s">
        <v>2847</v>
      </c>
      <c r="EA39" s="413"/>
      <c r="EB39" s="413"/>
      <c r="EC39" s="2063" t="str">
        <f t="shared" si="281"/>
        <v>#NAME?</v>
      </c>
      <c r="ED39" s="1054" t="str">
        <f t="shared" si="282"/>
        <v>#NAME?</v>
      </c>
      <c r="EE39" s="2033" t="str">
        <f t="shared" si="283"/>
        <v>#NAME?</v>
      </c>
      <c r="EF39" s="1131" t="str">
        <f t="shared" si="284"/>
        <v>#NAME?</v>
      </c>
      <c r="EG39" s="1230"/>
      <c r="EH39" s="1094" t="s">
        <v>2236</v>
      </c>
      <c r="EI39" s="413"/>
      <c r="EJ39" s="413"/>
      <c r="EK39" s="2063" t="str">
        <f t="shared" si="285"/>
        <v>#NAME?</v>
      </c>
      <c r="EL39" s="1054" t="str">
        <f t="shared" si="286"/>
        <v>#NAME?</v>
      </c>
      <c r="EM39" s="2033" t="str">
        <f t="shared" si="287"/>
        <v>#NAME?</v>
      </c>
      <c r="EN39" s="1131" t="str">
        <f t="shared" si="288"/>
        <v>#NAME?</v>
      </c>
      <c r="EO39" s="290"/>
      <c r="EQ39" s="157"/>
      <c r="ET39" s="1094" t="s">
        <v>3530</v>
      </c>
      <c r="EU39" s="413"/>
      <c r="EV39" s="413"/>
      <c r="EW39" s="2063" t="str">
        <f t="shared" si="289"/>
        <v>#NAME?</v>
      </c>
      <c r="EX39" s="1054" t="str">
        <f t="shared" si="290"/>
        <v>#NAME?</v>
      </c>
      <c r="EY39" s="2033" t="str">
        <f t="shared" si="291"/>
        <v>#NAME?</v>
      </c>
      <c r="EZ39" s="1131" t="str">
        <f t="shared" si="292"/>
        <v>#NAME?</v>
      </c>
      <c r="FA39" s="1230"/>
      <c r="FB39" s="1094" t="s">
        <v>3530</v>
      </c>
      <c r="FC39" s="413"/>
      <c r="FD39" s="413"/>
      <c r="FE39" s="2063" t="str">
        <f t="shared" si="293"/>
        <v>#NAME?</v>
      </c>
      <c r="FF39" s="1054" t="str">
        <f t="shared" si="294"/>
        <v>#NAME?</v>
      </c>
      <c r="FG39" s="2033" t="str">
        <f t="shared" si="295"/>
        <v>#NAME?</v>
      </c>
      <c r="FH39" s="1131" t="str">
        <f t="shared" si="296"/>
        <v>#NAME?</v>
      </c>
      <c r="FI39" s="290"/>
      <c r="FK39" s="157"/>
      <c r="FN39" s="1094" t="s">
        <v>3530</v>
      </c>
      <c r="FO39" s="413"/>
      <c r="FP39" s="413"/>
      <c r="FQ39" s="2063" t="str">
        <f t="shared" si="297"/>
        <v>#NAME?</v>
      </c>
      <c r="FR39" s="1054" t="str">
        <f t="shared" si="298"/>
        <v>#NAME?</v>
      </c>
      <c r="FS39" s="2033" t="str">
        <f t="shared" si="299"/>
        <v>#NAME?</v>
      </c>
      <c r="FT39" s="1131" t="str">
        <f t="shared" si="300"/>
        <v>#NAME?</v>
      </c>
      <c r="FU39" s="1230"/>
      <c r="FV39" s="1094" t="s">
        <v>3530</v>
      </c>
      <c r="FW39" s="413"/>
      <c r="FX39" s="413"/>
      <c r="FY39" s="2063" t="str">
        <f t="shared" si="301"/>
        <v>#NAME?</v>
      </c>
      <c r="FZ39" s="1054" t="str">
        <f t="shared" si="302"/>
        <v>#NAME?</v>
      </c>
      <c r="GA39" s="2033" t="str">
        <f t="shared" si="303"/>
        <v>#NAME?</v>
      </c>
      <c r="GB39" s="1131" t="str">
        <f t="shared" si="304"/>
        <v>#NAME?</v>
      </c>
      <c r="GC39" s="290"/>
      <c r="GE39" s="157"/>
      <c r="GH39" s="1094" t="s">
        <v>3713</v>
      </c>
      <c r="GI39" s="413"/>
      <c r="GJ39" s="413"/>
      <c r="GK39" s="2063" t="str">
        <f t="shared" si="305"/>
        <v>#NAME?</v>
      </c>
      <c r="GL39" s="1054" t="str">
        <f t="shared" si="306"/>
        <v>#NAME?</v>
      </c>
      <c r="GM39" s="2033" t="str">
        <f t="shared" si="307"/>
        <v>#NAME?</v>
      </c>
      <c r="GN39" s="1131" t="str">
        <f t="shared" si="308"/>
        <v>#NAME?</v>
      </c>
      <c r="GO39" s="1230"/>
      <c r="GP39" s="1094" t="s">
        <v>2717</v>
      </c>
      <c r="GQ39" s="413"/>
      <c r="GR39" s="413"/>
      <c r="GS39" s="2063" t="str">
        <f t="shared" si="309"/>
        <v>#NAME?</v>
      </c>
      <c r="GT39" s="1054" t="str">
        <f t="shared" si="310"/>
        <v>#NAME?</v>
      </c>
      <c r="GU39" s="2033" t="str">
        <f t="shared" si="311"/>
        <v>#NAME?</v>
      </c>
      <c r="GV39" s="1131" t="str">
        <f t="shared" si="312"/>
        <v>#NAME?</v>
      </c>
      <c r="GW39" s="290"/>
      <c r="GY39" s="157"/>
      <c r="HB39" s="1094" t="s">
        <v>3713</v>
      </c>
      <c r="HC39" s="413"/>
      <c r="HD39" s="413"/>
      <c r="HE39" s="2063" t="str">
        <f t="shared" si="313"/>
        <v>#NAME?</v>
      </c>
      <c r="HF39" s="1054" t="str">
        <f t="shared" si="314"/>
        <v>#NAME?</v>
      </c>
      <c r="HG39" s="2033" t="str">
        <f t="shared" si="315"/>
        <v>#NAME?</v>
      </c>
      <c r="HH39" s="1131" t="str">
        <f t="shared" si="316"/>
        <v>#NAME?</v>
      </c>
      <c r="HI39" s="1230"/>
      <c r="HJ39" s="1094" t="s">
        <v>2717</v>
      </c>
      <c r="HK39" s="413"/>
      <c r="HL39" s="413"/>
      <c r="HM39" s="2063" t="str">
        <f t="shared" si="317"/>
        <v>#NAME?</v>
      </c>
      <c r="HN39" s="1054" t="str">
        <f t="shared" si="318"/>
        <v>#NAME?</v>
      </c>
      <c r="HO39" s="2033" t="str">
        <f t="shared" si="319"/>
        <v>#NAME?</v>
      </c>
      <c r="HP39" s="1131" t="str">
        <f t="shared" si="320"/>
        <v>#NAME?</v>
      </c>
      <c r="HQ39" s="290"/>
      <c r="HS39" s="157"/>
      <c r="HV39" s="1094" t="s">
        <v>2432</v>
      </c>
      <c r="HW39" s="413"/>
      <c r="HX39" s="413"/>
      <c r="HY39" s="2063" t="str">
        <f t="shared" si="321"/>
        <v>#NAME?</v>
      </c>
      <c r="HZ39" s="1054" t="str">
        <f t="shared" si="322"/>
        <v>#NAME?</v>
      </c>
      <c r="IA39" s="2033" t="str">
        <f t="shared" si="323"/>
        <v>#NAME?</v>
      </c>
      <c r="IB39" s="1131" t="str">
        <f t="shared" si="324"/>
        <v>#NAME?</v>
      </c>
      <c r="IC39" s="1230"/>
      <c r="ID39" s="1094" t="s">
        <v>2717</v>
      </c>
      <c r="IE39" s="413"/>
      <c r="IF39" s="413"/>
      <c r="IG39" s="2063" t="str">
        <f t="shared" si="325"/>
        <v>#NAME?</v>
      </c>
      <c r="IH39" s="1054" t="str">
        <f t="shared" si="326"/>
        <v>#NAME?</v>
      </c>
      <c r="II39" s="2033" t="str">
        <f t="shared" si="327"/>
        <v>#NAME?</v>
      </c>
      <c r="IJ39" s="1131" t="str">
        <f t="shared" si="328"/>
        <v>#NAME?</v>
      </c>
      <c r="IK39" s="1230"/>
      <c r="IL39" s="1094" t="s">
        <v>2725</v>
      </c>
      <c r="IM39" s="413"/>
      <c r="IN39" s="413"/>
      <c r="IO39" s="2063" t="str">
        <f t="shared" si="329"/>
        <v>#NAME?</v>
      </c>
      <c r="IP39" s="1054" t="str">
        <f t="shared" si="330"/>
        <v>#NAME?</v>
      </c>
      <c r="IQ39" s="2033" t="str">
        <f t="shared" si="331"/>
        <v>#NAME?</v>
      </c>
      <c r="IR39" s="1131" t="str">
        <f t="shared" si="332"/>
        <v>#NAME?</v>
      </c>
      <c r="IS39" s="290"/>
      <c r="IU39" s="157"/>
      <c r="IX39" s="1094" t="s">
        <v>2432</v>
      </c>
      <c r="IY39" s="413"/>
      <c r="IZ39" s="413"/>
      <c r="JA39" s="2063" t="str">
        <f t="shared" si="333"/>
        <v>#NAME?</v>
      </c>
      <c r="JB39" s="1054" t="str">
        <f t="shared" si="334"/>
        <v>#NAME?</v>
      </c>
      <c r="JC39" s="2033" t="str">
        <f t="shared" si="335"/>
        <v>#NAME?</v>
      </c>
      <c r="JD39" s="1131" t="str">
        <f t="shared" si="336"/>
        <v>#NAME?</v>
      </c>
      <c r="JE39" s="1230"/>
      <c r="JF39" s="1094" t="s">
        <v>2717</v>
      </c>
      <c r="JG39" s="413"/>
      <c r="JH39" s="413"/>
      <c r="JI39" s="2063" t="str">
        <f t="shared" si="337"/>
        <v>#NAME?</v>
      </c>
      <c r="JJ39" s="1054" t="str">
        <f t="shared" si="338"/>
        <v>#NAME?</v>
      </c>
      <c r="JK39" s="2033" t="str">
        <f t="shared" si="339"/>
        <v>#NAME?</v>
      </c>
      <c r="JL39" s="1131" t="str">
        <f t="shared" si="340"/>
        <v>#NAME?</v>
      </c>
      <c r="JM39" s="1230"/>
      <c r="JN39" s="1094" t="s">
        <v>2725</v>
      </c>
      <c r="JO39" s="413"/>
      <c r="JP39" s="413"/>
      <c r="JQ39" s="2063" t="str">
        <f t="shared" si="341"/>
        <v>#NAME?</v>
      </c>
      <c r="JR39" s="1054" t="str">
        <f t="shared" si="342"/>
        <v>#NAME?</v>
      </c>
      <c r="JS39" s="2033" t="str">
        <f t="shared" si="343"/>
        <v>#NAME?</v>
      </c>
      <c r="JT39" s="1131" t="str">
        <f t="shared" si="344"/>
        <v>#NAME?</v>
      </c>
      <c r="JU39" s="290"/>
      <c r="JW39" s="157"/>
      <c r="JZ39" s="1094" t="s">
        <v>1053</v>
      </c>
      <c r="KA39" s="413"/>
      <c r="KB39" s="413"/>
      <c r="KC39" s="2063" t="str">
        <f t="shared" si="345"/>
        <v>#NAME?</v>
      </c>
      <c r="KD39" s="1054" t="str">
        <f t="shared" si="346"/>
        <v>#NAME?</v>
      </c>
      <c r="KE39" s="2033" t="str">
        <f t="shared" si="347"/>
        <v>#NAME?</v>
      </c>
      <c r="KF39" s="1131" t="str">
        <f t="shared" si="348"/>
        <v>#NAME?</v>
      </c>
      <c r="KG39" s="1230"/>
      <c r="KH39" s="1094" t="s">
        <v>1981</v>
      </c>
      <c r="KI39" s="413"/>
      <c r="KJ39" s="413"/>
      <c r="KK39" s="2063" t="str">
        <f t="shared" si="349"/>
        <v>#NAME?</v>
      </c>
      <c r="KL39" s="1054" t="str">
        <f t="shared" si="350"/>
        <v>#NAME?</v>
      </c>
      <c r="KM39" s="2033" t="str">
        <f t="shared" si="351"/>
        <v>#NAME?</v>
      </c>
      <c r="KN39" s="1131" t="str">
        <f t="shared" si="352"/>
        <v>#NAME?</v>
      </c>
      <c r="KO39" s="290"/>
      <c r="KQ39" s="157"/>
      <c r="KT39" s="1094" t="s">
        <v>1053</v>
      </c>
      <c r="KU39" s="413"/>
      <c r="KV39" s="413"/>
      <c r="KW39" s="2063" t="str">
        <f t="shared" si="353"/>
        <v>#NAME?</v>
      </c>
      <c r="KX39" s="1054" t="str">
        <f t="shared" si="354"/>
        <v>#NAME?</v>
      </c>
      <c r="KY39" s="2033" t="str">
        <f t="shared" si="355"/>
        <v>#NAME?</v>
      </c>
      <c r="KZ39" s="1131" t="str">
        <f t="shared" si="356"/>
        <v>#NAME?</v>
      </c>
      <c r="LA39" s="1230"/>
      <c r="LB39" s="1094" t="s">
        <v>1981</v>
      </c>
      <c r="LC39" s="413"/>
      <c r="LD39" s="413"/>
      <c r="LE39" s="2063" t="str">
        <f t="shared" si="357"/>
        <v>#NAME?</v>
      </c>
      <c r="LF39" s="1054" t="str">
        <f t="shared" si="358"/>
        <v>#NAME?</v>
      </c>
      <c r="LG39" s="2033" t="str">
        <f t="shared" si="359"/>
        <v>#NAME?</v>
      </c>
      <c r="LH39" s="1131" t="str">
        <f t="shared" si="360"/>
        <v>#NAME?</v>
      </c>
      <c r="LI39" s="290"/>
    </row>
    <row r="40" ht="15.75" customHeight="1">
      <c r="A40" s="1238"/>
      <c r="B40" s="442"/>
      <c r="C40" s="1230"/>
      <c r="D40" s="1230"/>
      <c r="E40" s="1230"/>
      <c r="F40" s="1230"/>
      <c r="G40" s="1230"/>
      <c r="H40" s="1230"/>
      <c r="I40" s="449"/>
      <c r="J40" s="1230"/>
      <c r="K40" s="997"/>
      <c r="L40" s="1026"/>
      <c r="M40" s="1026"/>
      <c r="N40" s="1026"/>
      <c r="O40" s="1026"/>
      <c r="P40" s="1026"/>
      <c r="Q40" s="1026"/>
      <c r="R40" s="1026"/>
      <c r="S40" s="1026"/>
      <c r="T40" s="1026"/>
      <c r="U40" s="1026"/>
      <c r="V40" s="1026"/>
      <c r="W40" s="1026"/>
      <c r="X40" s="1026"/>
      <c r="Y40" s="998"/>
      <c r="Z40" s="1230"/>
      <c r="AA40" s="2138"/>
      <c r="AB40" s="1228"/>
      <c r="AC40" s="1228"/>
      <c r="AD40" s="1228"/>
      <c r="AE40" s="1228"/>
      <c r="AF40" s="1228"/>
      <c r="AG40" s="1228"/>
      <c r="AH40" s="1228"/>
      <c r="AI40" s="1228"/>
      <c r="AJ40" s="1228"/>
      <c r="AK40" s="1634"/>
      <c r="AL40" s="1228"/>
      <c r="AM40" s="1228"/>
      <c r="AN40" s="1228"/>
      <c r="AO40" s="1228"/>
      <c r="AP40" s="1228"/>
      <c r="AQ40" s="1228"/>
      <c r="AR40" s="1228"/>
      <c r="AS40" s="2139"/>
      <c r="AU40" s="2138"/>
      <c r="AV40" s="1228"/>
      <c r="AW40" s="1228"/>
      <c r="AX40" s="1228"/>
      <c r="AY40" s="1228"/>
      <c r="AZ40" s="1228"/>
      <c r="BA40" s="1228"/>
      <c r="BB40" s="1228"/>
      <c r="BC40" s="1228"/>
      <c r="BD40" s="1228"/>
      <c r="BE40" s="1634"/>
      <c r="BF40" s="1228"/>
      <c r="BG40" s="1228"/>
      <c r="BH40" s="1228"/>
      <c r="BI40" s="1228"/>
      <c r="BJ40" s="1228"/>
      <c r="BK40" s="1228"/>
      <c r="BL40" s="1228"/>
      <c r="BM40" s="2139"/>
      <c r="BO40" s="2138"/>
      <c r="BP40" s="1228"/>
      <c r="BQ40" s="1228"/>
      <c r="BR40" s="1228"/>
      <c r="BS40" s="1228"/>
      <c r="BT40" s="1228"/>
      <c r="BU40" s="1228"/>
      <c r="BV40" s="1228"/>
      <c r="BW40" s="1228"/>
      <c r="BX40" s="1228"/>
      <c r="BY40" s="1634"/>
      <c r="BZ40" s="1228"/>
      <c r="CA40" s="1228"/>
      <c r="CB40" s="1228"/>
      <c r="CC40" s="1228"/>
      <c r="CD40" s="1228"/>
      <c r="CE40" s="1228"/>
      <c r="CF40" s="1228"/>
      <c r="CG40" s="2139"/>
      <c r="CI40" s="2138"/>
      <c r="CJ40" s="1228"/>
      <c r="CK40" s="1228"/>
      <c r="CL40" s="1228"/>
      <c r="CM40" s="1228"/>
      <c r="CN40" s="1228"/>
      <c r="CO40" s="1228"/>
      <c r="CP40" s="1228"/>
      <c r="CQ40" s="1228"/>
      <c r="CR40" s="1228"/>
      <c r="CS40" s="1634"/>
      <c r="CT40" s="1228"/>
      <c r="CU40" s="1228"/>
      <c r="CV40" s="1228"/>
      <c r="CW40" s="1228"/>
      <c r="CX40" s="1228"/>
      <c r="CY40" s="1228"/>
      <c r="CZ40" s="1228"/>
      <c r="DA40" s="2139"/>
      <c r="DC40" s="2138"/>
      <c r="DD40" s="1228"/>
      <c r="DE40" s="1228"/>
      <c r="DF40" s="1228"/>
      <c r="DG40" s="1228"/>
      <c r="DH40" s="1228"/>
      <c r="DI40" s="1228"/>
      <c r="DJ40" s="1228"/>
      <c r="DK40" s="1228"/>
      <c r="DL40" s="1228"/>
      <c r="DM40" s="1634"/>
      <c r="DN40" s="1228"/>
      <c r="DO40" s="1228"/>
      <c r="DP40" s="1228"/>
      <c r="DQ40" s="1228"/>
      <c r="DR40" s="1228"/>
      <c r="DS40" s="1228"/>
      <c r="DT40" s="1228"/>
      <c r="DU40" s="2139"/>
      <c r="DW40" s="2138"/>
      <c r="DX40" s="1228"/>
      <c r="DY40" s="1228"/>
      <c r="DZ40" s="1228"/>
      <c r="EA40" s="1228"/>
      <c r="EB40" s="1228"/>
      <c r="EC40" s="1228"/>
      <c r="ED40" s="1228"/>
      <c r="EE40" s="1228"/>
      <c r="EF40" s="1228"/>
      <c r="EG40" s="1634"/>
      <c r="EH40" s="1228"/>
      <c r="EI40" s="1228"/>
      <c r="EJ40" s="1228"/>
      <c r="EK40" s="1228"/>
      <c r="EL40" s="1228"/>
      <c r="EM40" s="1228"/>
      <c r="EN40" s="1228"/>
      <c r="EO40" s="2139"/>
      <c r="EQ40" s="2138"/>
      <c r="ER40" s="1228"/>
      <c r="ES40" s="1228"/>
      <c r="ET40" s="1228"/>
      <c r="EU40" s="1228"/>
      <c r="EV40" s="1228"/>
      <c r="EW40" s="1228"/>
      <c r="EX40" s="1228"/>
      <c r="EY40" s="1228"/>
      <c r="EZ40" s="1228"/>
      <c r="FA40" s="1634"/>
      <c r="FB40" s="1228"/>
      <c r="FC40" s="1228"/>
      <c r="FD40" s="1228"/>
      <c r="FE40" s="1228"/>
      <c r="FF40" s="1228"/>
      <c r="FG40" s="1228"/>
      <c r="FH40" s="1228"/>
      <c r="FI40" s="2139"/>
      <c r="FK40" s="2138"/>
      <c r="FL40" s="1228"/>
      <c r="FM40" s="1228"/>
      <c r="FN40" s="1228"/>
      <c r="FO40" s="1228"/>
      <c r="FP40" s="1228"/>
      <c r="FQ40" s="1228"/>
      <c r="FR40" s="1228"/>
      <c r="FS40" s="1228"/>
      <c r="FT40" s="1228"/>
      <c r="FU40" s="1634"/>
      <c r="FV40" s="1228"/>
      <c r="FW40" s="1228"/>
      <c r="FX40" s="1228"/>
      <c r="FY40" s="1228"/>
      <c r="FZ40" s="1228"/>
      <c r="GA40" s="1228"/>
      <c r="GB40" s="1228"/>
      <c r="GC40" s="2139"/>
      <c r="GE40" s="2138"/>
      <c r="GF40" s="1228"/>
      <c r="GG40" s="1228"/>
      <c r="GH40" s="1228"/>
      <c r="GI40" s="1228"/>
      <c r="GJ40" s="1228"/>
      <c r="GK40" s="1228"/>
      <c r="GL40" s="1228"/>
      <c r="GM40" s="1228"/>
      <c r="GN40" s="1228"/>
      <c r="GO40" s="1634"/>
      <c r="GP40" s="1228"/>
      <c r="GQ40" s="1228"/>
      <c r="GR40" s="1228"/>
      <c r="GS40" s="1228"/>
      <c r="GT40" s="1228"/>
      <c r="GU40" s="1228"/>
      <c r="GV40" s="1228"/>
      <c r="GW40" s="2139"/>
      <c r="GY40" s="2138"/>
      <c r="GZ40" s="1228"/>
      <c r="HA40" s="1228"/>
      <c r="HB40" s="1228"/>
      <c r="HC40" s="1228"/>
      <c r="HD40" s="1228"/>
      <c r="HE40" s="1228"/>
      <c r="HF40" s="1228"/>
      <c r="HG40" s="1228"/>
      <c r="HH40" s="1228"/>
      <c r="HI40" s="1634"/>
      <c r="HJ40" s="1228"/>
      <c r="HK40" s="1228"/>
      <c r="HL40" s="1228"/>
      <c r="HM40" s="1228"/>
      <c r="HN40" s="1228"/>
      <c r="HO40" s="1228"/>
      <c r="HP40" s="1228"/>
      <c r="HQ40" s="2139"/>
      <c r="HS40" s="2138"/>
      <c r="HT40" s="1228"/>
      <c r="HU40" s="1228"/>
      <c r="HV40" s="1228"/>
      <c r="HW40" s="1228"/>
      <c r="HX40" s="1228"/>
      <c r="HY40" s="1228"/>
      <c r="HZ40" s="1228"/>
      <c r="IA40" s="1228"/>
      <c r="IB40" s="1228"/>
      <c r="IC40" s="1634"/>
      <c r="ID40" s="1634"/>
      <c r="IE40" s="1634"/>
      <c r="IF40" s="1634"/>
      <c r="IG40" s="1634"/>
      <c r="IH40" s="1634"/>
      <c r="II40" s="1634"/>
      <c r="IJ40" s="1634"/>
      <c r="IK40" s="1634"/>
      <c r="IL40" s="1228"/>
      <c r="IM40" s="1228"/>
      <c r="IN40" s="1228"/>
      <c r="IO40" s="1228"/>
      <c r="IP40" s="1228"/>
      <c r="IQ40" s="1228"/>
      <c r="IR40" s="1228"/>
      <c r="IS40" s="2139"/>
      <c r="IU40" s="2138"/>
      <c r="IV40" s="1228"/>
      <c r="IW40" s="1228"/>
      <c r="IX40" s="1228"/>
      <c r="IY40" s="1228"/>
      <c r="IZ40" s="1228"/>
      <c r="JA40" s="1228"/>
      <c r="JB40" s="1228"/>
      <c r="JC40" s="1228"/>
      <c r="JD40" s="1228"/>
      <c r="JE40" s="1634"/>
      <c r="JF40" s="1634"/>
      <c r="JG40" s="1634"/>
      <c r="JH40" s="1634"/>
      <c r="JI40" s="1634"/>
      <c r="JJ40" s="1634"/>
      <c r="JK40" s="1634"/>
      <c r="JL40" s="1634"/>
      <c r="JM40" s="1634"/>
      <c r="JN40" s="1228"/>
      <c r="JO40" s="1228"/>
      <c r="JP40" s="1228"/>
      <c r="JQ40" s="1228"/>
      <c r="JR40" s="1228"/>
      <c r="JS40" s="1228"/>
      <c r="JT40" s="1228"/>
      <c r="JU40" s="2139"/>
      <c r="JW40" s="2138"/>
      <c r="JX40" s="1228"/>
      <c r="JY40" s="1228"/>
      <c r="JZ40" s="1228"/>
      <c r="KA40" s="1228"/>
      <c r="KB40" s="1228"/>
      <c r="KC40" s="1228"/>
      <c r="KD40" s="1228"/>
      <c r="KE40" s="1228"/>
      <c r="KF40" s="1228"/>
      <c r="KG40" s="1634"/>
      <c r="KH40" s="1228"/>
      <c r="KI40" s="1228"/>
      <c r="KJ40" s="1228"/>
      <c r="KK40" s="1228"/>
      <c r="KL40" s="1228"/>
      <c r="KM40" s="1228"/>
      <c r="KN40" s="1228"/>
      <c r="KO40" s="2139"/>
      <c r="KQ40" s="2138"/>
      <c r="KR40" s="1228"/>
      <c r="KS40" s="1228"/>
      <c r="KT40" s="1228"/>
      <c r="KU40" s="1228"/>
      <c r="KV40" s="1228"/>
      <c r="KW40" s="1228"/>
      <c r="KX40" s="1228"/>
      <c r="KY40" s="1228"/>
      <c r="KZ40" s="1228"/>
      <c r="LA40" s="1634"/>
      <c r="LB40" s="1228"/>
      <c r="LC40" s="1228"/>
      <c r="LD40" s="1228"/>
      <c r="LE40" s="1228"/>
      <c r="LF40" s="1228"/>
      <c r="LG40" s="1228"/>
      <c r="LH40" s="1228"/>
      <c r="LI40" s="2139"/>
    </row>
    <row r="41" ht="15.75" customHeight="1">
      <c r="A41" s="1923"/>
      <c r="B41" s="1634"/>
      <c r="C41" s="1634"/>
      <c r="D41" s="1634"/>
      <c r="E41" s="1634"/>
      <c r="F41" s="1634"/>
      <c r="G41" s="1634"/>
      <c r="H41" s="1634"/>
      <c r="I41" s="1227"/>
      <c r="J41" s="1634"/>
      <c r="K41" s="1634"/>
      <c r="L41" s="1227"/>
      <c r="M41" s="1227"/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634"/>
      <c r="AA41" s="1634"/>
      <c r="AB41" s="1634"/>
      <c r="AC41" s="1634"/>
      <c r="AD41" s="1634"/>
      <c r="AE41" s="1634"/>
      <c r="AF41" s="1634"/>
      <c r="AG41" s="1634"/>
      <c r="AH41" s="1634"/>
      <c r="AI41" s="1634"/>
      <c r="AJ41" s="1634"/>
      <c r="AK41" s="1634"/>
      <c r="AL41" s="1634"/>
      <c r="AM41" s="1634"/>
      <c r="AN41" s="1634"/>
      <c r="AO41" s="1634"/>
      <c r="AP41" s="1634"/>
      <c r="AQ41" s="1634"/>
      <c r="AR41" s="1634"/>
      <c r="AS41" s="1634"/>
      <c r="AT41" s="1634"/>
      <c r="AU41" s="1634"/>
      <c r="AV41" s="1634"/>
      <c r="AW41" s="1634"/>
      <c r="AX41" s="1634"/>
      <c r="AY41" s="1634"/>
      <c r="AZ41" s="1634"/>
      <c r="BA41" s="1634"/>
      <c r="BB41" s="1634"/>
      <c r="BC41" s="1634"/>
      <c r="BD41" s="1634"/>
      <c r="BE41" s="1634"/>
      <c r="BF41" s="1634"/>
      <c r="BG41" s="1634"/>
      <c r="BH41" s="1634"/>
      <c r="BI41" s="1634"/>
      <c r="BJ41" s="1634"/>
      <c r="BK41" s="1634"/>
      <c r="BL41" s="1634"/>
      <c r="BM41" s="1634"/>
      <c r="BN41" s="1634"/>
      <c r="BO41" s="1634"/>
      <c r="BP41" s="1634"/>
      <c r="BQ41" s="1634"/>
      <c r="BR41" s="1634"/>
      <c r="BS41" s="1634"/>
      <c r="BT41" s="1634"/>
      <c r="BU41" s="1634"/>
      <c r="BV41" s="1634"/>
      <c r="BW41" s="1634"/>
      <c r="BX41" s="1634"/>
      <c r="BY41" s="1634"/>
      <c r="BZ41" s="1634"/>
      <c r="CA41" s="1634"/>
      <c r="CB41" s="1634"/>
      <c r="CC41" s="1634"/>
      <c r="CD41" s="1634"/>
      <c r="CE41" s="1634"/>
      <c r="CF41" s="1634"/>
      <c r="CG41" s="1634"/>
      <c r="CH41" s="1634"/>
      <c r="CI41" s="1634"/>
      <c r="CJ41" s="1634"/>
      <c r="CK41" s="1634"/>
      <c r="CL41" s="1634"/>
      <c r="CM41" s="1634"/>
      <c r="CN41" s="1634"/>
      <c r="CO41" s="1634"/>
      <c r="CP41" s="1634"/>
      <c r="CQ41" s="1634"/>
      <c r="CR41" s="1634"/>
      <c r="CS41" s="1634"/>
      <c r="CT41" s="1634"/>
      <c r="CU41" s="1634"/>
      <c r="CV41" s="1634"/>
      <c r="CW41" s="1634"/>
      <c r="CX41" s="1634"/>
      <c r="CY41" s="1634"/>
      <c r="CZ41" s="1634"/>
      <c r="DA41" s="1634"/>
      <c r="DB41" s="1634"/>
      <c r="DC41" s="1634"/>
      <c r="DD41" s="1634"/>
      <c r="DE41" s="1634"/>
      <c r="DF41" s="1634"/>
      <c r="DG41" s="1634"/>
      <c r="DH41" s="1634"/>
      <c r="DI41" s="1634"/>
      <c r="DJ41" s="1634"/>
      <c r="DK41" s="1634"/>
      <c r="DL41" s="1634"/>
      <c r="DM41" s="1634"/>
      <c r="DN41" s="1634"/>
      <c r="DO41" s="1634"/>
      <c r="DP41" s="1634"/>
      <c r="DQ41" s="1634"/>
      <c r="DR41" s="1634"/>
      <c r="DS41" s="1634"/>
      <c r="DT41" s="1634"/>
      <c r="DU41" s="1634"/>
      <c r="DV41" s="1634"/>
      <c r="DW41" s="1634"/>
      <c r="DX41" s="1634"/>
      <c r="DY41" s="1634"/>
      <c r="DZ41" s="1634"/>
      <c r="EA41" s="1634"/>
      <c r="EB41" s="1634"/>
      <c r="EC41" s="1634"/>
      <c r="ED41" s="1634"/>
      <c r="EE41" s="1634"/>
      <c r="EF41" s="1634"/>
      <c r="EG41" s="1634"/>
      <c r="EH41" s="1634"/>
      <c r="EI41" s="1634"/>
      <c r="EJ41" s="1634"/>
      <c r="EK41" s="1634"/>
      <c r="EL41" s="1634"/>
      <c r="EM41" s="1634"/>
      <c r="EN41" s="1634"/>
      <c r="EO41" s="1634"/>
      <c r="EP41" s="1634"/>
      <c r="EQ41" s="1634"/>
      <c r="ER41" s="1634"/>
      <c r="ES41" s="1634"/>
      <c r="ET41" s="1634"/>
      <c r="EU41" s="1634"/>
      <c r="EV41" s="1634"/>
      <c r="EW41" s="1634"/>
      <c r="EX41" s="1634"/>
      <c r="EY41" s="1634"/>
      <c r="EZ41" s="1634"/>
      <c r="FA41" s="1634"/>
      <c r="FB41" s="1634"/>
      <c r="FC41" s="1634"/>
      <c r="FD41" s="1634"/>
      <c r="FE41" s="1634"/>
      <c r="FF41" s="1634"/>
      <c r="FG41" s="1634"/>
      <c r="FH41" s="1634"/>
      <c r="FI41" s="1634"/>
      <c r="FJ41" s="1634"/>
      <c r="FK41" s="1634"/>
      <c r="FL41" s="1634"/>
      <c r="FM41" s="1634"/>
      <c r="FN41" s="1634"/>
      <c r="FO41" s="1634"/>
      <c r="FP41" s="1634"/>
      <c r="FQ41" s="1634"/>
      <c r="FR41" s="1634"/>
      <c r="FS41" s="1634"/>
      <c r="FT41" s="1634"/>
      <c r="FU41" s="1634"/>
      <c r="FV41" s="1634"/>
      <c r="FW41" s="1634"/>
      <c r="FX41" s="1634"/>
      <c r="FY41" s="1634"/>
      <c r="FZ41" s="1634"/>
      <c r="GA41" s="1634"/>
      <c r="GB41" s="1634"/>
      <c r="GC41" s="1634"/>
      <c r="GD41" s="1634"/>
      <c r="GE41" s="1634"/>
      <c r="GF41" s="1634"/>
      <c r="GG41" s="1634"/>
      <c r="GH41" s="1634"/>
      <c r="GI41" s="1634"/>
      <c r="GJ41" s="1634"/>
      <c r="GK41" s="1634"/>
      <c r="GL41" s="1634"/>
      <c r="GM41" s="1634"/>
      <c r="GN41" s="1634"/>
      <c r="GO41" s="1634"/>
      <c r="GP41" s="1634"/>
      <c r="GQ41" s="1634"/>
      <c r="GR41" s="1634"/>
      <c r="GS41" s="1634"/>
      <c r="GT41" s="1634"/>
      <c r="GU41" s="1634"/>
      <c r="GV41" s="1634"/>
      <c r="GW41" s="1634"/>
      <c r="GX41" s="1634"/>
      <c r="GY41" s="1634"/>
      <c r="GZ41" s="1634"/>
      <c r="HA41" s="1634"/>
      <c r="HB41" s="1634"/>
      <c r="HC41" s="1634"/>
      <c r="HD41" s="1634"/>
      <c r="HE41" s="1634"/>
      <c r="HF41" s="1634"/>
      <c r="HG41" s="1634"/>
      <c r="HH41" s="1634"/>
      <c r="HI41" s="1634"/>
      <c r="HJ41" s="1634"/>
      <c r="HK41" s="1634"/>
      <c r="HL41" s="1634"/>
      <c r="HM41" s="1634"/>
      <c r="HN41" s="1634"/>
      <c r="HO41" s="1634"/>
      <c r="HP41" s="1634"/>
      <c r="HQ41" s="1634"/>
      <c r="HR41" s="1634"/>
      <c r="HS41" s="1634"/>
      <c r="HT41" s="1634"/>
      <c r="HU41" s="1634"/>
      <c r="HV41" s="1634"/>
      <c r="HW41" s="1634"/>
      <c r="HX41" s="1634"/>
      <c r="HY41" s="1634"/>
      <c r="HZ41" s="1634"/>
      <c r="IA41" s="1634"/>
      <c r="IB41" s="1634"/>
      <c r="IC41" s="1634"/>
      <c r="ID41" s="1634"/>
      <c r="IE41" s="1634"/>
      <c r="IF41" s="1634"/>
      <c r="IG41" s="1634"/>
      <c r="IH41" s="1634"/>
      <c r="II41" s="1634"/>
      <c r="IJ41" s="1634"/>
      <c r="IK41" s="1634"/>
      <c r="IL41" s="1634"/>
      <c r="IM41" s="1634"/>
      <c r="IN41" s="1634"/>
      <c r="IO41" s="1634"/>
      <c r="IP41" s="1634"/>
      <c r="IQ41" s="1634"/>
      <c r="IR41" s="1634"/>
      <c r="IS41" s="1634"/>
      <c r="IT41" s="1634"/>
      <c r="IU41" s="1634"/>
      <c r="IV41" s="1634"/>
      <c r="IW41" s="1634"/>
      <c r="IX41" s="1634"/>
      <c r="IY41" s="1634"/>
      <c r="IZ41" s="1634"/>
      <c r="JA41" s="1634"/>
      <c r="JB41" s="1634"/>
      <c r="JC41" s="1634"/>
      <c r="JD41" s="1634"/>
      <c r="JE41" s="1634"/>
      <c r="JF41" s="1634"/>
      <c r="JG41" s="1634"/>
      <c r="JH41" s="1634"/>
      <c r="JI41" s="1634"/>
      <c r="JJ41" s="1634"/>
      <c r="JK41" s="1634"/>
      <c r="JL41" s="1634"/>
      <c r="JM41" s="1634"/>
      <c r="JN41" s="1634"/>
      <c r="JO41" s="1634"/>
      <c r="JP41" s="1634"/>
      <c r="JQ41" s="1634"/>
      <c r="JR41" s="1634"/>
      <c r="JS41" s="1634"/>
      <c r="JT41" s="1634"/>
      <c r="JU41" s="1634"/>
      <c r="JV41" s="1634"/>
      <c r="JW41" s="1634"/>
      <c r="JX41" s="1634"/>
      <c r="JY41" s="1634"/>
      <c r="JZ41" s="1634"/>
      <c r="KA41" s="1634"/>
      <c r="KB41" s="1634"/>
      <c r="KC41" s="1634"/>
      <c r="KD41" s="1634"/>
      <c r="KE41" s="1634"/>
      <c r="KF41" s="1634"/>
      <c r="KG41" s="1634"/>
      <c r="KH41" s="1634"/>
      <c r="KI41" s="1634"/>
      <c r="KJ41" s="1634"/>
      <c r="KK41" s="1634"/>
      <c r="KL41" s="1634"/>
      <c r="KM41" s="1634"/>
      <c r="KN41" s="1634"/>
      <c r="KO41" s="1634"/>
      <c r="KP41" s="1634"/>
      <c r="KQ41" s="1634"/>
      <c r="KR41" s="1634"/>
      <c r="KS41" s="1634"/>
      <c r="KT41" s="1634"/>
      <c r="KU41" s="1634"/>
      <c r="KV41" s="1634"/>
      <c r="KW41" s="1634"/>
      <c r="KX41" s="1634"/>
      <c r="KY41" s="1634"/>
      <c r="KZ41" s="1634"/>
      <c r="LA41" s="1634"/>
      <c r="LB41" s="1634"/>
      <c r="LC41" s="1634"/>
      <c r="LD41" s="1634"/>
      <c r="LE41" s="1634"/>
      <c r="LF41" s="1634"/>
      <c r="LG41" s="1634"/>
      <c r="LH41" s="1634"/>
      <c r="LI41" s="1634"/>
      <c r="LJ41" s="163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98">
    <mergeCell ref="FN4:FN5"/>
    <mergeCell ref="FO4:FR4"/>
    <mergeCell ref="FP5:FQ5"/>
    <mergeCell ref="FV4:FV5"/>
    <mergeCell ref="FW4:FZ4"/>
    <mergeCell ref="FX5:FY5"/>
    <mergeCell ref="GH4:GH5"/>
    <mergeCell ref="GI4:GL4"/>
    <mergeCell ref="GJ5:GK5"/>
    <mergeCell ref="GP4:GP5"/>
    <mergeCell ref="GQ4:GT4"/>
    <mergeCell ref="GR5:GS5"/>
    <mergeCell ref="HB4:HB5"/>
    <mergeCell ref="HC4:HF4"/>
    <mergeCell ref="HJ4:HJ5"/>
    <mergeCell ref="HK4:HN4"/>
    <mergeCell ref="FS5:FT5"/>
    <mergeCell ref="GA5:GB5"/>
    <mergeCell ref="JS5:JT5"/>
    <mergeCell ref="KB5:KC5"/>
    <mergeCell ref="IL4:IL5"/>
    <mergeCell ref="KT4:KT5"/>
    <mergeCell ref="KU4:KX4"/>
    <mergeCell ref="LB4:LB5"/>
    <mergeCell ref="LC4:LF4"/>
    <mergeCell ref="HD5:HE5"/>
    <mergeCell ref="IA5:IB5"/>
    <mergeCell ref="HG5:HH5"/>
    <mergeCell ref="HL5:HM5"/>
    <mergeCell ref="HO5:HP5"/>
    <mergeCell ref="HX5:HY5"/>
    <mergeCell ref="IE4:IH4"/>
    <mergeCell ref="IF5:IG5"/>
    <mergeCell ref="II5:IJ5"/>
    <mergeCell ref="IN5:IO5"/>
    <mergeCell ref="IQ5:IR5"/>
    <mergeCell ref="IZ5:JA5"/>
    <mergeCell ref="JC5:JD5"/>
    <mergeCell ref="JH5:JI5"/>
    <mergeCell ref="JK5:JL5"/>
    <mergeCell ref="JP5:JQ5"/>
    <mergeCell ref="LD5:LE5"/>
    <mergeCell ref="LG5:LH5"/>
    <mergeCell ref="HV3:IS3"/>
    <mergeCell ref="IX3:JU3"/>
    <mergeCell ref="JZ3:KO3"/>
    <mergeCell ref="KT3:LI3"/>
    <mergeCell ref="KE5:KF5"/>
    <mergeCell ref="KJ5:KK5"/>
    <mergeCell ref="KM5:KN5"/>
    <mergeCell ref="CL3:DA3"/>
    <mergeCell ref="DF3:DU3"/>
    <mergeCell ref="DZ3:EO3"/>
    <mergeCell ref="ET3:FI3"/>
    <mergeCell ref="FN3:GC3"/>
    <mergeCell ref="GH3:GW3"/>
    <mergeCell ref="HB3:HQ3"/>
    <mergeCell ref="AD4:AD5"/>
    <mergeCell ref="AE4:AH4"/>
    <mergeCell ref="AX4:AX5"/>
    <mergeCell ref="AY4:BB4"/>
    <mergeCell ref="DZ4:DZ5"/>
    <mergeCell ref="EA4:ED4"/>
    <mergeCell ref="DO4:DR4"/>
    <mergeCell ref="DP5:DQ5"/>
    <mergeCell ref="DS5:DT5"/>
    <mergeCell ref="BR4:BR5"/>
    <mergeCell ref="BS4:BV4"/>
    <mergeCell ref="DF4:DF5"/>
    <mergeCell ref="DG4:DJ4"/>
    <mergeCell ref="DN4:DN5"/>
    <mergeCell ref="DH5:DI5"/>
    <mergeCell ref="DK5:DL5"/>
    <mergeCell ref="KV5:KW5"/>
    <mergeCell ref="KY5:KZ5"/>
    <mergeCell ref="DX5:DX6"/>
    <mergeCell ref="EB5:EC5"/>
    <mergeCell ref="DX3:DX4"/>
    <mergeCell ref="DY3:DY7"/>
    <mergeCell ref="EQ3:EQ5"/>
    <mergeCell ref="ER3:ER5"/>
    <mergeCell ref="ES3:ES6"/>
    <mergeCell ref="EQ6:ER6"/>
    <mergeCell ref="EQ7:ER7"/>
    <mergeCell ref="EH4:EH5"/>
    <mergeCell ref="EI4:EL4"/>
    <mergeCell ref="EJ5:EK5"/>
    <mergeCell ref="ET4:ET5"/>
    <mergeCell ref="EU4:EX4"/>
    <mergeCell ref="EV5:EW5"/>
    <mergeCell ref="FB4:FB5"/>
    <mergeCell ref="FC4:FF4"/>
    <mergeCell ref="FD5:FE5"/>
    <mergeCell ref="EE5:EF5"/>
    <mergeCell ref="EM5:EN5"/>
    <mergeCell ref="EY5:EZ5"/>
    <mergeCell ref="FG5:FH5"/>
    <mergeCell ref="DW3:DW6"/>
    <mergeCell ref="DW7:DX7"/>
    <mergeCell ref="FK3:FK5"/>
    <mergeCell ref="FK7:FL7"/>
    <mergeCell ref="BZ4:BZ5"/>
    <mergeCell ref="CA4:CD4"/>
    <mergeCell ref="CB5:CC5"/>
    <mergeCell ref="CL4:CL5"/>
    <mergeCell ref="CM4:CP4"/>
    <mergeCell ref="CN5:CO5"/>
    <mergeCell ref="CT4:CT5"/>
    <mergeCell ref="CU4:CX4"/>
    <mergeCell ref="CV5:CW5"/>
    <mergeCell ref="BT5:BU5"/>
    <mergeCell ref="BW5:BX5"/>
    <mergeCell ref="CE5:CF5"/>
    <mergeCell ref="CQ5:CR5"/>
    <mergeCell ref="DD3:DD4"/>
    <mergeCell ref="DD5:DD6"/>
    <mergeCell ref="CI6:CJ6"/>
    <mergeCell ref="CI7:CJ7"/>
    <mergeCell ref="BR3:CG3"/>
    <mergeCell ref="CI3:CI5"/>
    <mergeCell ref="CJ3:CJ5"/>
    <mergeCell ref="CK3:CK6"/>
    <mergeCell ref="DC3:DC6"/>
    <mergeCell ref="DE3:DE7"/>
    <mergeCell ref="CY5:CZ5"/>
    <mergeCell ref="DC7:DD7"/>
    <mergeCell ref="BF4:BF5"/>
    <mergeCell ref="BG4:BJ4"/>
    <mergeCell ref="BH5:BI5"/>
    <mergeCell ref="BG8:BI8"/>
    <mergeCell ref="BJ8:BL8"/>
    <mergeCell ref="AZ5:BA5"/>
    <mergeCell ref="BC5:BD5"/>
    <mergeCell ref="AY8:BA8"/>
    <mergeCell ref="BB8:BD8"/>
    <mergeCell ref="AV3:AV5"/>
    <mergeCell ref="AU6:AV6"/>
    <mergeCell ref="AU7:AV7"/>
    <mergeCell ref="AU8:AV8"/>
    <mergeCell ref="AU3:AU5"/>
    <mergeCell ref="AW3:AW6"/>
    <mergeCell ref="AX3:BM3"/>
    <mergeCell ref="BO3:BO5"/>
    <mergeCell ref="BP3:BP5"/>
    <mergeCell ref="BQ3:BQ6"/>
    <mergeCell ref="BK5:BL5"/>
    <mergeCell ref="BO6:BP6"/>
    <mergeCell ref="BO7:BP7"/>
    <mergeCell ref="BO8:BP8"/>
    <mergeCell ref="BS8:BU8"/>
    <mergeCell ref="BV8:BX8"/>
    <mergeCell ref="CA8:CC8"/>
    <mergeCell ref="CD8:CF8"/>
    <mergeCell ref="CI8:CJ8"/>
    <mergeCell ref="CM8:CO8"/>
    <mergeCell ref="CP8:CR8"/>
    <mergeCell ref="CU8:CW8"/>
    <mergeCell ref="CX8:CZ8"/>
    <mergeCell ref="DC8:DD8"/>
    <mergeCell ref="DG8:DI8"/>
    <mergeCell ref="FO8:FQ8"/>
    <mergeCell ref="FR8:FT8"/>
    <mergeCell ref="HV4:HV5"/>
    <mergeCell ref="HW4:HZ4"/>
    <mergeCell ref="HS7:HT7"/>
    <mergeCell ref="IV3:IV5"/>
    <mergeCell ref="IU6:IV6"/>
    <mergeCell ref="IU7:IV7"/>
    <mergeCell ref="GZ3:GZ5"/>
    <mergeCell ref="HS3:HS5"/>
    <mergeCell ref="HT3:HT5"/>
    <mergeCell ref="HU3:HU6"/>
    <mergeCell ref="IU3:IU5"/>
    <mergeCell ref="IW3:IW6"/>
    <mergeCell ref="HS6:HT6"/>
    <mergeCell ref="IM4:IP4"/>
    <mergeCell ref="IX4:IX5"/>
    <mergeCell ref="IY4:JB4"/>
    <mergeCell ref="JF4:JF5"/>
    <mergeCell ref="JG4:JJ4"/>
    <mergeCell ref="JN4:JN5"/>
    <mergeCell ref="JY3:JY6"/>
    <mergeCell ref="JZ4:JZ5"/>
    <mergeCell ref="KA4:KD4"/>
    <mergeCell ref="KH4:KH5"/>
    <mergeCell ref="KQ7:KR7"/>
    <mergeCell ref="JX3:JX5"/>
    <mergeCell ref="JW6:JX6"/>
    <mergeCell ref="JW7:JX7"/>
    <mergeCell ref="JW3:JW5"/>
    <mergeCell ref="KQ3:KQ5"/>
    <mergeCell ref="KR3:KR5"/>
    <mergeCell ref="KS3:KS6"/>
    <mergeCell ref="ID4:ID5"/>
    <mergeCell ref="JO4:JR4"/>
    <mergeCell ref="KI4:KL4"/>
    <mergeCell ref="KQ6:KR6"/>
    <mergeCell ref="GM5:GN5"/>
    <mergeCell ref="GU5:GV5"/>
    <mergeCell ref="GY7:GZ7"/>
    <mergeCell ref="GF3:GF5"/>
    <mergeCell ref="GE6:GF6"/>
    <mergeCell ref="GE7:GF7"/>
    <mergeCell ref="FL3:FL5"/>
    <mergeCell ref="FM3:FM6"/>
    <mergeCell ref="GE3:GE5"/>
    <mergeCell ref="GG3:GG6"/>
    <mergeCell ref="GY3:GY5"/>
    <mergeCell ref="HA3:HA6"/>
    <mergeCell ref="FK6:FL6"/>
    <mergeCell ref="GY6:GZ6"/>
    <mergeCell ref="H2:I3"/>
    <mergeCell ref="H6:I6"/>
    <mergeCell ref="B2:B3"/>
    <mergeCell ref="K2:O3"/>
    <mergeCell ref="AA3:AA5"/>
    <mergeCell ref="AB3:AB5"/>
    <mergeCell ref="AC3:AC6"/>
    <mergeCell ref="AD3:AS3"/>
    <mergeCell ref="AQ5:AR5"/>
    <mergeCell ref="AA6:AB6"/>
    <mergeCell ref="DJ8:DL8"/>
    <mergeCell ref="DO8:DQ8"/>
    <mergeCell ref="DR8:DT8"/>
    <mergeCell ref="DW8:DX8"/>
    <mergeCell ref="EA8:EC8"/>
    <mergeCell ref="ED8:EF8"/>
    <mergeCell ref="EI8:EK8"/>
    <mergeCell ref="EL8:EN8"/>
    <mergeCell ref="EQ8:ER8"/>
    <mergeCell ref="EU8:EW8"/>
    <mergeCell ref="EX8:EZ8"/>
    <mergeCell ref="FC8:FE8"/>
    <mergeCell ref="FF8:FH8"/>
    <mergeCell ref="FK8:FL8"/>
    <mergeCell ref="FW8:FY8"/>
    <mergeCell ref="FZ8:GB8"/>
    <mergeCell ref="GE8:GF8"/>
    <mergeCell ref="GI8:GK8"/>
    <mergeCell ref="GL8:GN8"/>
    <mergeCell ref="GQ8:GS8"/>
    <mergeCell ref="GT8:GV8"/>
    <mergeCell ref="GY8:GZ8"/>
    <mergeCell ref="HC8:HE8"/>
    <mergeCell ref="HF8:HH8"/>
    <mergeCell ref="HK8:HM8"/>
    <mergeCell ref="HN8:HP8"/>
    <mergeCell ref="HS8:HT8"/>
    <mergeCell ref="HW8:HY8"/>
    <mergeCell ref="HZ8:IB8"/>
    <mergeCell ref="IE8:IG8"/>
    <mergeCell ref="IH8:IJ8"/>
    <mergeCell ref="IM8:IO8"/>
    <mergeCell ref="IP8:IR8"/>
    <mergeCell ref="IU8:IV8"/>
    <mergeCell ref="IY8:JA8"/>
    <mergeCell ref="KD8:KF8"/>
    <mergeCell ref="KI8:KK8"/>
    <mergeCell ref="KL8:KN8"/>
    <mergeCell ref="KQ8:KR8"/>
    <mergeCell ref="KU8:KW8"/>
    <mergeCell ref="KX8:KZ8"/>
    <mergeCell ref="LC8:LE8"/>
    <mergeCell ref="LF8:LH8"/>
    <mergeCell ref="JB8:JD8"/>
    <mergeCell ref="JG8:JI8"/>
    <mergeCell ref="JJ8:JL8"/>
    <mergeCell ref="JO8:JQ8"/>
    <mergeCell ref="JR8:JT8"/>
    <mergeCell ref="JW8:JX8"/>
    <mergeCell ref="KA8:KC8"/>
    <mergeCell ref="AX9:BC9"/>
    <mergeCell ref="BF9:BK9"/>
    <mergeCell ref="BO9:BP9"/>
    <mergeCell ref="BR9:BW9"/>
    <mergeCell ref="BZ9:CE9"/>
    <mergeCell ref="CI9:CJ9"/>
    <mergeCell ref="CL9:CQ9"/>
    <mergeCell ref="CT9:CY9"/>
    <mergeCell ref="DC9:DD9"/>
    <mergeCell ref="DF9:DK9"/>
    <mergeCell ref="DN9:DS9"/>
    <mergeCell ref="DW9:DX9"/>
    <mergeCell ref="DZ9:EE9"/>
    <mergeCell ref="EH9:EM9"/>
    <mergeCell ref="EQ9:ER9"/>
    <mergeCell ref="ET9:EY9"/>
    <mergeCell ref="FB9:FG9"/>
    <mergeCell ref="FK9:FL9"/>
    <mergeCell ref="FN9:FS9"/>
    <mergeCell ref="FV9:GA9"/>
    <mergeCell ref="GE9:GF9"/>
    <mergeCell ref="GH9:GM9"/>
    <mergeCell ref="GP9:GU9"/>
    <mergeCell ref="GY9:GZ9"/>
    <mergeCell ref="HB9:HG9"/>
    <mergeCell ref="HJ9:HO9"/>
    <mergeCell ref="HS9:HT9"/>
    <mergeCell ref="HV9:IA9"/>
    <mergeCell ref="JZ9:KE9"/>
    <mergeCell ref="KH9:KM9"/>
    <mergeCell ref="KQ9:KR9"/>
    <mergeCell ref="KT9:KY9"/>
    <mergeCell ref="LB9:LG9"/>
    <mergeCell ref="ID9:II9"/>
    <mergeCell ref="IL9:IQ9"/>
    <mergeCell ref="IU9:IV9"/>
    <mergeCell ref="IX9:JC9"/>
    <mergeCell ref="JF9:JK9"/>
    <mergeCell ref="JN9:JS9"/>
    <mergeCell ref="JW9:JX9"/>
    <mergeCell ref="D5:D6"/>
    <mergeCell ref="F5:F6"/>
    <mergeCell ref="F7:F8"/>
    <mergeCell ref="B8:B9"/>
    <mergeCell ref="N5:O5"/>
    <mergeCell ref="P5:Q5"/>
    <mergeCell ref="R5:S5"/>
    <mergeCell ref="T5:U5"/>
    <mergeCell ref="T6:U7"/>
    <mergeCell ref="V6:W7"/>
    <mergeCell ref="X6:Y7"/>
    <mergeCell ref="AA7:AB7"/>
    <mergeCell ref="V5:W5"/>
    <mergeCell ref="X5:Y5"/>
    <mergeCell ref="AF5:AG5"/>
    <mergeCell ref="AI5:AJ5"/>
    <mergeCell ref="AE8:AG8"/>
    <mergeCell ref="AH8:AJ8"/>
    <mergeCell ref="AD9:AI9"/>
    <mergeCell ref="H5:I5"/>
    <mergeCell ref="L5:M5"/>
    <mergeCell ref="K6:K7"/>
    <mergeCell ref="N6:O7"/>
    <mergeCell ref="H7:I8"/>
    <mergeCell ref="K8:K9"/>
    <mergeCell ref="L8:M9"/>
    <mergeCell ref="AL4:AL5"/>
    <mergeCell ref="AM4:AP4"/>
    <mergeCell ref="AN5:AO5"/>
    <mergeCell ref="AM8:AO8"/>
    <mergeCell ref="AP8:AR8"/>
    <mergeCell ref="AL9:AQ9"/>
    <mergeCell ref="AU9:AV9"/>
    <mergeCell ref="EQ10:ER10"/>
    <mergeCell ref="ET10:EV10"/>
    <mergeCell ref="FB10:FD10"/>
    <mergeCell ref="FK10:FL10"/>
    <mergeCell ref="FN10:FP10"/>
    <mergeCell ref="FV10:FX10"/>
    <mergeCell ref="GE10:GF10"/>
    <mergeCell ref="GH10:GJ10"/>
    <mergeCell ref="GP10:GR10"/>
    <mergeCell ref="GY10:GZ10"/>
    <mergeCell ref="HB10:HD10"/>
    <mergeCell ref="HJ10:HL10"/>
    <mergeCell ref="HS10:HT10"/>
    <mergeCell ref="HV10:HX10"/>
    <mergeCell ref="KQ10:KR10"/>
    <mergeCell ref="KT10:KV10"/>
    <mergeCell ref="LB10:LD10"/>
    <mergeCell ref="IU10:IV10"/>
    <mergeCell ref="IX10:IZ10"/>
    <mergeCell ref="JF10:JH10"/>
    <mergeCell ref="JN10:JP10"/>
    <mergeCell ref="JW10:JX10"/>
    <mergeCell ref="JZ10:KB10"/>
    <mergeCell ref="KH10:KJ10"/>
    <mergeCell ref="EH11:EJ11"/>
    <mergeCell ref="EQ11:ER11"/>
    <mergeCell ref="CL11:CN11"/>
    <mergeCell ref="CT11:CV11"/>
    <mergeCell ref="DC11:DD11"/>
    <mergeCell ref="DF11:DH11"/>
    <mergeCell ref="DN11:DP11"/>
    <mergeCell ref="DW11:DX11"/>
    <mergeCell ref="DZ11:EB11"/>
    <mergeCell ref="GP11:GR11"/>
    <mergeCell ref="GY11:GZ11"/>
    <mergeCell ref="ET11:EV11"/>
    <mergeCell ref="FB11:FD11"/>
    <mergeCell ref="FK11:FL11"/>
    <mergeCell ref="FN11:FP11"/>
    <mergeCell ref="FV11:FX11"/>
    <mergeCell ref="GE11:GF11"/>
    <mergeCell ref="GH11:GJ11"/>
    <mergeCell ref="KH11:KJ11"/>
    <mergeCell ref="KQ11:KR11"/>
    <mergeCell ref="KT11:KV11"/>
    <mergeCell ref="LB11:LD11"/>
    <mergeCell ref="IL11:IN11"/>
    <mergeCell ref="IU11:IV11"/>
    <mergeCell ref="IX11:IZ11"/>
    <mergeCell ref="JF11:JH11"/>
    <mergeCell ref="JN11:JP11"/>
    <mergeCell ref="JW11:JX11"/>
    <mergeCell ref="JZ11:KB11"/>
    <mergeCell ref="DZ12:EB12"/>
    <mergeCell ref="EH12:EJ12"/>
    <mergeCell ref="EQ12:ER12"/>
    <mergeCell ref="ET12:EV12"/>
    <mergeCell ref="FB12:FD12"/>
    <mergeCell ref="FK12:FL12"/>
    <mergeCell ref="FN12:FP12"/>
    <mergeCell ref="FV12:FX12"/>
    <mergeCell ref="GE12:GF12"/>
    <mergeCell ref="GH12:GJ12"/>
    <mergeCell ref="GP12:GR12"/>
    <mergeCell ref="GY12:GZ12"/>
    <mergeCell ref="HB12:HD12"/>
    <mergeCell ref="HJ12:HL12"/>
    <mergeCell ref="JZ12:KB12"/>
    <mergeCell ref="KH12:KJ12"/>
    <mergeCell ref="KQ12:KR12"/>
    <mergeCell ref="KT12:KV12"/>
    <mergeCell ref="LB12:LD12"/>
    <mergeCell ref="ID12:IF12"/>
    <mergeCell ref="IL12:IN12"/>
    <mergeCell ref="IU12:IV12"/>
    <mergeCell ref="IX12:IZ12"/>
    <mergeCell ref="JF12:JH12"/>
    <mergeCell ref="JN12:JP12"/>
    <mergeCell ref="JW12:JX12"/>
    <mergeCell ref="K12:K13"/>
    <mergeCell ref="L12:L13"/>
    <mergeCell ref="M12:M13"/>
    <mergeCell ref="N12:N13"/>
    <mergeCell ref="O12:O13"/>
    <mergeCell ref="P12:Q13"/>
    <mergeCell ref="R12:S13"/>
    <mergeCell ref="H13:I13"/>
    <mergeCell ref="T12:U13"/>
    <mergeCell ref="V12:V13"/>
    <mergeCell ref="W12:W13"/>
    <mergeCell ref="X12:X13"/>
    <mergeCell ref="Y12:Y13"/>
    <mergeCell ref="AA12:AB12"/>
    <mergeCell ref="AA13:AB13"/>
    <mergeCell ref="BR13:BT13"/>
    <mergeCell ref="BZ13:CB13"/>
    <mergeCell ref="CI13:CJ13"/>
    <mergeCell ref="CL13:CN13"/>
    <mergeCell ref="CT13:CV13"/>
    <mergeCell ref="DC13:DD13"/>
    <mergeCell ref="DF13:DH13"/>
    <mergeCell ref="JZ13:KB13"/>
    <mergeCell ref="KH13:KJ13"/>
    <mergeCell ref="KQ13:KR13"/>
    <mergeCell ref="KT13:KV13"/>
    <mergeCell ref="LB13:LD13"/>
    <mergeCell ref="DN13:DP13"/>
    <mergeCell ref="DW13:DX13"/>
    <mergeCell ref="IU13:IV13"/>
    <mergeCell ref="IX13:IZ13"/>
    <mergeCell ref="JF13:JH13"/>
    <mergeCell ref="JN13:JP13"/>
    <mergeCell ref="JW13:JX13"/>
    <mergeCell ref="GP17:GP18"/>
    <mergeCell ref="GQ17:GT17"/>
    <mergeCell ref="HB17:HB18"/>
    <mergeCell ref="HC17:HF17"/>
    <mergeCell ref="HJ17:HJ18"/>
    <mergeCell ref="HK17:HN17"/>
    <mergeCell ref="HV17:HV18"/>
    <mergeCell ref="HW17:HZ17"/>
    <mergeCell ref="ID17:ID18"/>
    <mergeCell ref="IE17:IH17"/>
    <mergeCell ref="IL17:IL18"/>
    <mergeCell ref="IM17:IP17"/>
    <mergeCell ref="IX17:IX18"/>
    <mergeCell ref="IY17:JB17"/>
    <mergeCell ref="IZ18:JA18"/>
    <mergeCell ref="JZ17:JZ18"/>
    <mergeCell ref="KA17:KD17"/>
    <mergeCell ref="KB18:KC18"/>
    <mergeCell ref="JW20:JX20"/>
    <mergeCell ref="KH17:KH18"/>
    <mergeCell ref="KI17:KL17"/>
    <mergeCell ref="KJ18:KK18"/>
    <mergeCell ref="KT17:KT18"/>
    <mergeCell ref="KU17:KX17"/>
    <mergeCell ref="KV18:KW18"/>
    <mergeCell ref="KQ20:KR20"/>
    <mergeCell ref="LB17:LB18"/>
    <mergeCell ref="LC17:LF17"/>
    <mergeCell ref="LD18:LE18"/>
    <mergeCell ref="KE18:KF18"/>
    <mergeCell ref="KM18:KN18"/>
    <mergeCell ref="KY18:KZ18"/>
    <mergeCell ref="LG18:LH18"/>
    <mergeCell ref="JX16:JX18"/>
    <mergeCell ref="JY16:JY19"/>
    <mergeCell ref="JZ16:KO16"/>
    <mergeCell ref="KQ16:KQ18"/>
    <mergeCell ref="KR16:KR18"/>
    <mergeCell ref="KS16:KS19"/>
    <mergeCell ref="KT16:LI16"/>
    <mergeCell ref="KQ19:KR19"/>
    <mergeCell ref="FS18:FT18"/>
    <mergeCell ref="GA18:GB18"/>
    <mergeCell ref="GE16:GE18"/>
    <mergeCell ref="GE19:GF19"/>
    <mergeCell ref="ER16:ER18"/>
    <mergeCell ref="ES16:ES19"/>
    <mergeCell ref="FK16:FK18"/>
    <mergeCell ref="FL16:FL18"/>
    <mergeCell ref="FM16:FM19"/>
    <mergeCell ref="GG16:GG19"/>
    <mergeCell ref="FK19:FL19"/>
    <mergeCell ref="ET17:ET18"/>
    <mergeCell ref="EU17:EX17"/>
    <mergeCell ref="EV18:EW18"/>
    <mergeCell ref="FB17:FB18"/>
    <mergeCell ref="FC17:FF17"/>
    <mergeCell ref="FD18:FE18"/>
    <mergeCell ref="FN17:FN18"/>
    <mergeCell ref="FO17:FR17"/>
    <mergeCell ref="FP18:FQ18"/>
    <mergeCell ref="FV17:FV18"/>
    <mergeCell ref="FW17:FZ17"/>
    <mergeCell ref="FX18:FY18"/>
    <mergeCell ref="GH17:GH18"/>
    <mergeCell ref="GI17:GL17"/>
    <mergeCell ref="JF17:JF18"/>
    <mergeCell ref="JG17:JJ17"/>
    <mergeCell ref="JN17:JN18"/>
    <mergeCell ref="JO17:JR17"/>
    <mergeCell ref="JC18:JD18"/>
    <mergeCell ref="JH18:JI18"/>
    <mergeCell ref="JK18:JL18"/>
    <mergeCell ref="JP18:JQ18"/>
    <mergeCell ref="EY18:EZ18"/>
    <mergeCell ref="FG18:FH18"/>
    <mergeCell ref="HT16:HT18"/>
    <mergeCell ref="HS19:HT19"/>
    <mergeCell ref="GF16:GF18"/>
    <mergeCell ref="GY16:GY18"/>
    <mergeCell ref="GZ16:GZ18"/>
    <mergeCell ref="HA16:HA19"/>
    <mergeCell ref="HS16:HS18"/>
    <mergeCell ref="HU16:HU19"/>
    <mergeCell ref="GY19:GZ19"/>
    <mergeCell ref="IV16:IV18"/>
    <mergeCell ref="IU19:IV19"/>
    <mergeCell ref="HB16:HQ16"/>
    <mergeCell ref="HV16:IS16"/>
    <mergeCell ref="IU16:IU18"/>
    <mergeCell ref="IW16:IW19"/>
    <mergeCell ref="IX16:JU16"/>
    <mergeCell ref="JW16:JW18"/>
    <mergeCell ref="JS18:JT18"/>
    <mergeCell ref="JW19:JX19"/>
    <mergeCell ref="GJ18:GK18"/>
    <mergeCell ref="GM18:GN18"/>
    <mergeCell ref="GR18:GS18"/>
    <mergeCell ref="GU18:GV18"/>
    <mergeCell ref="HD18:HE18"/>
    <mergeCell ref="HG18:HH18"/>
    <mergeCell ref="HL18:HM18"/>
    <mergeCell ref="HO18:HP18"/>
    <mergeCell ref="HX18:HY18"/>
    <mergeCell ref="IA18:IB18"/>
    <mergeCell ref="IF18:IG18"/>
    <mergeCell ref="II18:IJ18"/>
    <mergeCell ref="IN18:IO18"/>
    <mergeCell ref="IQ18:IR18"/>
    <mergeCell ref="BB21:BD21"/>
    <mergeCell ref="BG21:BI21"/>
    <mergeCell ref="BJ21:BL21"/>
    <mergeCell ref="BO21:BP21"/>
    <mergeCell ref="BS21:BU21"/>
    <mergeCell ref="BV21:BX21"/>
    <mergeCell ref="CA21:CC21"/>
    <mergeCell ref="CD21:CF21"/>
    <mergeCell ref="CI21:CJ21"/>
    <mergeCell ref="CM21:CO21"/>
    <mergeCell ref="CP21:CR21"/>
    <mergeCell ref="CU21:CW21"/>
    <mergeCell ref="CX21:CZ21"/>
    <mergeCell ref="DC21:DD21"/>
    <mergeCell ref="DG21:DI21"/>
    <mergeCell ref="DJ21:DL21"/>
    <mergeCell ref="DO21:DQ21"/>
    <mergeCell ref="DR21:DT21"/>
    <mergeCell ref="DW21:DX21"/>
    <mergeCell ref="EA21:EC21"/>
    <mergeCell ref="ED21:EF21"/>
    <mergeCell ref="EI21:EK21"/>
    <mergeCell ref="EL21:EN21"/>
    <mergeCell ref="EQ21:ER21"/>
    <mergeCell ref="EU21:EW21"/>
    <mergeCell ref="EX21:EZ21"/>
    <mergeCell ref="FC21:FE21"/>
    <mergeCell ref="FF21:FH21"/>
    <mergeCell ref="FK21:FL21"/>
    <mergeCell ref="FO21:FQ21"/>
    <mergeCell ref="FR21:FT21"/>
    <mergeCell ref="FW21:FY21"/>
    <mergeCell ref="FZ21:GB21"/>
    <mergeCell ref="GE21:GF21"/>
    <mergeCell ref="GI21:GK21"/>
    <mergeCell ref="GL21:GN21"/>
    <mergeCell ref="GQ21:GS21"/>
    <mergeCell ref="GT21:GV21"/>
    <mergeCell ref="GY21:GZ21"/>
    <mergeCell ref="HC21:HE21"/>
    <mergeCell ref="HF21:HH21"/>
    <mergeCell ref="HK21:HM21"/>
    <mergeCell ref="HN21:HP21"/>
    <mergeCell ref="HS21:HT21"/>
    <mergeCell ref="HW21:HY21"/>
    <mergeCell ref="HZ21:IB21"/>
    <mergeCell ref="IE21:IG21"/>
    <mergeCell ref="IH21:IJ21"/>
    <mergeCell ref="IM21:IO21"/>
    <mergeCell ref="V20:V21"/>
    <mergeCell ref="W20:W21"/>
    <mergeCell ref="P20:P21"/>
    <mergeCell ref="Q20:Q21"/>
    <mergeCell ref="R20:R21"/>
    <mergeCell ref="S20:S21"/>
    <mergeCell ref="T20:T21"/>
    <mergeCell ref="U20:U21"/>
    <mergeCell ref="D21:D22"/>
    <mergeCell ref="O20:O21"/>
    <mergeCell ref="K22:K23"/>
    <mergeCell ref="L22:L23"/>
    <mergeCell ref="M22:M23"/>
    <mergeCell ref="N22:O23"/>
    <mergeCell ref="P22:P23"/>
    <mergeCell ref="Q22:Q23"/>
    <mergeCell ref="H23:I23"/>
    <mergeCell ref="AL22:AQ22"/>
    <mergeCell ref="AU22:AV22"/>
    <mergeCell ref="AX22:BC22"/>
    <mergeCell ref="BF22:BK22"/>
    <mergeCell ref="BO22:BP22"/>
    <mergeCell ref="BR22:BW22"/>
    <mergeCell ref="BZ22:CE22"/>
    <mergeCell ref="HS22:HT22"/>
    <mergeCell ref="HV22:IA22"/>
    <mergeCell ref="R22:S23"/>
    <mergeCell ref="T22:T23"/>
    <mergeCell ref="U22:U23"/>
    <mergeCell ref="V22:W23"/>
    <mergeCell ref="X22:Y23"/>
    <mergeCell ref="AA22:AB22"/>
    <mergeCell ref="AD22:AI22"/>
    <mergeCell ref="HS23:HT23"/>
    <mergeCell ref="HV23:HX23"/>
    <mergeCell ref="GE37:GF37"/>
    <mergeCell ref="GH37:GJ37"/>
    <mergeCell ref="HB36:HD36"/>
    <mergeCell ref="ET37:EV37"/>
    <mergeCell ref="FB37:FD37"/>
    <mergeCell ref="FK37:FL37"/>
    <mergeCell ref="FN37:FP37"/>
    <mergeCell ref="FV37:FX37"/>
    <mergeCell ref="GP37:GR37"/>
    <mergeCell ref="HB37:HD37"/>
    <mergeCell ref="AA35:AB35"/>
    <mergeCell ref="AA36:AB36"/>
    <mergeCell ref="AL35:AQ35"/>
    <mergeCell ref="AL36:AN36"/>
    <mergeCell ref="AL38:AN38"/>
    <mergeCell ref="AL39:AN39"/>
    <mergeCell ref="BR35:BW35"/>
    <mergeCell ref="BZ35:CE35"/>
    <mergeCell ref="BZ36:CB36"/>
    <mergeCell ref="CI36:CJ36"/>
    <mergeCell ref="CL36:CN36"/>
    <mergeCell ref="CT36:CV36"/>
    <mergeCell ref="DC36:DD36"/>
    <mergeCell ref="AA38:AB38"/>
    <mergeCell ref="AA39:AB39"/>
    <mergeCell ref="AD36:AF36"/>
    <mergeCell ref="AD37:AF37"/>
    <mergeCell ref="B38:B39"/>
    <mergeCell ref="H38:I38"/>
    <mergeCell ref="AD38:AF38"/>
    <mergeCell ref="H39:I39"/>
    <mergeCell ref="K39:Y40"/>
    <mergeCell ref="AD39:AF39"/>
    <mergeCell ref="CI37:CJ37"/>
    <mergeCell ref="CI38:CJ38"/>
    <mergeCell ref="CL38:CN38"/>
    <mergeCell ref="CT38:CV38"/>
    <mergeCell ref="DC38:DD38"/>
    <mergeCell ref="DF38:DH38"/>
    <mergeCell ref="DN38:DP38"/>
    <mergeCell ref="HB38:HD38"/>
    <mergeCell ref="HB39:HD39"/>
    <mergeCell ref="BR37:BT37"/>
    <mergeCell ref="BR38:BT38"/>
    <mergeCell ref="BO35:BP35"/>
    <mergeCell ref="BO36:BP36"/>
    <mergeCell ref="BR36:BT36"/>
    <mergeCell ref="BO37:BP37"/>
    <mergeCell ref="BZ37:CB37"/>
    <mergeCell ref="BO38:BP38"/>
    <mergeCell ref="BZ38:CB38"/>
    <mergeCell ref="FN38:FP38"/>
    <mergeCell ref="FV38:FX38"/>
    <mergeCell ref="DW38:DX38"/>
    <mergeCell ref="DZ38:EB38"/>
    <mergeCell ref="EH38:EJ38"/>
    <mergeCell ref="EQ38:ER38"/>
    <mergeCell ref="ET38:EV38"/>
    <mergeCell ref="FB38:FD38"/>
    <mergeCell ref="FK38:FL38"/>
    <mergeCell ref="JF38:JH38"/>
    <mergeCell ref="JN38:JP38"/>
    <mergeCell ref="JW38:JX38"/>
    <mergeCell ref="JZ38:KB38"/>
    <mergeCell ref="KH38:KJ38"/>
    <mergeCell ref="KQ38:KR38"/>
    <mergeCell ref="KT38:KV38"/>
    <mergeCell ref="LB38:LD38"/>
    <mergeCell ref="HJ38:HL38"/>
    <mergeCell ref="HS38:HT38"/>
    <mergeCell ref="HV38:HX38"/>
    <mergeCell ref="ID38:IF38"/>
    <mergeCell ref="IL38:IN38"/>
    <mergeCell ref="IU38:IV38"/>
    <mergeCell ref="IX38:IZ38"/>
    <mergeCell ref="BF39:BH39"/>
    <mergeCell ref="BO39:BP39"/>
    <mergeCell ref="AU36:AV36"/>
    <mergeCell ref="AX36:AZ36"/>
    <mergeCell ref="AU38:AV38"/>
    <mergeCell ref="AX38:AZ38"/>
    <mergeCell ref="BF38:BH38"/>
    <mergeCell ref="AU39:AV39"/>
    <mergeCell ref="AX39:AZ39"/>
    <mergeCell ref="DN39:DP39"/>
    <mergeCell ref="DW39:DX39"/>
    <mergeCell ref="BR39:BT39"/>
    <mergeCell ref="BZ39:CB39"/>
    <mergeCell ref="CI39:CJ39"/>
    <mergeCell ref="CL39:CN39"/>
    <mergeCell ref="CT39:CV39"/>
    <mergeCell ref="DC39:DD39"/>
    <mergeCell ref="DF39:DH39"/>
    <mergeCell ref="DZ39:EB39"/>
    <mergeCell ref="EH39:EJ39"/>
    <mergeCell ref="EQ39:ER39"/>
    <mergeCell ref="ET39:EV39"/>
    <mergeCell ref="FB39:FD39"/>
    <mergeCell ref="FK39:FL39"/>
    <mergeCell ref="FN39:FP39"/>
    <mergeCell ref="FV39:FX39"/>
    <mergeCell ref="GE39:GF39"/>
    <mergeCell ref="HJ39:HL39"/>
    <mergeCell ref="HS39:HT39"/>
    <mergeCell ref="HV39:HX39"/>
    <mergeCell ref="ID39:IF39"/>
    <mergeCell ref="IL39:IN39"/>
    <mergeCell ref="KQ39:KR39"/>
    <mergeCell ref="KT39:KV39"/>
    <mergeCell ref="LB39:LD39"/>
    <mergeCell ref="IU39:IV39"/>
    <mergeCell ref="IX39:IZ39"/>
    <mergeCell ref="JF39:JH39"/>
    <mergeCell ref="JN39:JP39"/>
    <mergeCell ref="JW39:JX39"/>
    <mergeCell ref="JZ39:KB39"/>
    <mergeCell ref="KH39:KJ39"/>
    <mergeCell ref="GP38:GR38"/>
    <mergeCell ref="GP39:GR39"/>
    <mergeCell ref="GY36:GZ36"/>
    <mergeCell ref="GY37:GZ37"/>
    <mergeCell ref="GE38:GF38"/>
    <mergeCell ref="GH38:GJ38"/>
    <mergeCell ref="GY38:GZ38"/>
    <mergeCell ref="GH39:GJ39"/>
    <mergeCell ref="GY39:GZ39"/>
    <mergeCell ref="N8:N9"/>
    <mergeCell ref="O8:O9"/>
    <mergeCell ref="P8:Q9"/>
    <mergeCell ref="R8:R9"/>
    <mergeCell ref="S8:S9"/>
    <mergeCell ref="T8:U9"/>
    <mergeCell ref="V8:W9"/>
    <mergeCell ref="F9:F10"/>
    <mergeCell ref="H9:I11"/>
    <mergeCell ref="B10:B11"/>
    <mergeCell ref="K10:K11"/>
    <mergeCell ref="L10:L11"/>
    <mergeCell ref="M10:M11"/>
    <mergeCell ref="N10:O11"/>
    <mergeCell ref="X8:Y9"/>
    <mergeCell ref="AA8:AB8"/>
    <mergeCell ref="AA9:AB9"/>
    <mergeCell ref="AA10:AB10"/>
    <mergeCell ref="AD10:AF10"/>
    <mergeCell ref="AL10:AN10"/>
    <mergeCell ref="AU10:AV10"/>
    <mergeCell ref="P10:Q11"/>
    <mergeCell ref="R10:R11"/>
    <mergeCell ref="S10:S11"/>
    <mergeCell ref="T10:U11"/>
    <mergeCell ref="V10:W11"/>
    <mergeCell ref="X10:Y11"/>
    <mergeCell ref="AA11:AB11"/>
    <mergeCell ref="AX10:AZ10"/>
    <mergeCell ref="BF10:BH10"/>
    <mergeCell ref="BO10:BP10"/>
    <mergeCell ref="BR10:BT10"/>
    <mergeCell ref="BZ10:CB10"/>
    <mergeCell ref="CI10:CJ10"/>
    <mergeCell ref="CL10:CN10"/>
    <mergeCell ref="CT10:CV10"/>
    <mergeCell ref="DC10:DD10"/>
    <mergeCell ref="DF10:DH10"/>
    <mergeCell ref="DN10:DP10"/>
    <mergeCell ref="DW10:DX10"/>
    <mergeCell ref="DZ10:EB10"/>
    <mergeCell ref="EH10:EJ10"/>
    <mergeCell ref="ID10:IF10"/>
    <mergeCell ref="IL10:IN10"/>
    <mergeCell ref="HB11:HD11"/>
    <mergeCell ref="HJ11:HL11"/>
    <mergeCell ref="HS11:HT11"/>
    <mergeCell ref="HV11:HX11"/>
    <mergeCell ref="ID11:IF11"/>
    <mergeCell ref="FV13:FX13"/>
    <mergeCell ref="GE13:GF13"/>
    <mergeCell ref="DZ13:EB13"/>
    <mergeCell ref="EH13:EJ13"/>
    <mergeCell ref="EQ13:ER13"/>
    <mergeCell ref="ET13:EV13"/>
    <mergeCell ref="FB13:FD13"/>
    <mergeCell ref="FK13:FL13"/>
    <mergeCell ref="FN13:FP13"/>
    <mergeCell ref="BZ11:CB11"/>
    <mergeCell ref="CI11:CJ11"/>
    <mergeCell ref="AD11:AF11"/>
    <mergeCell ref="AL11:AN11"/>
    <mergeCell ref="AU11:AV11"/>
    <mergeCell ref="AX11:AZ11"/>
    <mergeCell ref="BF11:BH11"/>
    <mergeCell ref="BO11:BP11"/>
    <mergeCell ref="BR11:BT11"/>
    <mergeCell ref="AL12:AN12"/>
    <mergeCell ref="AU12:AV12"/>
    <mergeCell ref="AX12:AZ12"/>
    <mergeCell ref="BF12:BH12"/>
    <mergeCell ref="BO12:BP12"/>
    <mergeCell ref="BR12:BT12"/>
    <mergeCell ref="BZ12:CB12"/>
    <mergeCell ref="AD12:AF12"/>
    <mergeCell ref="AD13:AF13"/>
    <mergeCell ref="AL13:AN13"/>
    <mergeCell ref="AU13:AV13"/>
    <mergeCell ref="AX13:AZ13"/>
    <mergeCell ref="BF13:BH13"/>
    <mergeCell ref="BO13:BP13"/>
    <mergeCell ref="CI12:CJ12"/>
    <mergeCell ref="CL12:CN12"/>
    <mergeCell ref="CT12:CV12"/>
    <mergeCell ref="DC12:DD12"/>
    <mergeCell ref="DF12:DH12"/>
    <mergeCell ref="DN12:DP12"/>
    <mergeCell ref="DW12:DX12"/>
    <mergeCell ref="HV12:HX12"/>
    <mergeCell ref="HV13:HX13"/>
    <mergeCell ref="ID13:IF13"/>
    <mergeCell ref="IL13:IN13"/>
    <mergeCell ref="HS12:HT12"/>
    <mergeCell ref="GH13:GJ13"/>
    <mergeCell ref="GP13:GR13"/>
    <mergeCell ref="GY13:GZ13"/>
    <mergeCell ref="HB13:HD13"/>
    <mergeCell ref="HJ13:HL13"/>
    <mergeCell ref="HS13:HT13"/>
    <mergeCell ref="BF17:BF18"/>
    <mergeCell ref="BG17:BJ17"/>
    <mergeCell ref="BH18:BI18"/>
    <mergeCell ref="BR17:BR18"/>
    <mergeCell ref="BS17:BV17"/>
    <mergeCell ref="BT18:BU18"/>
    <mergeCell ref="BZ17:BZ18"/>
    <mergeCell ref="CA17:CD17"/>
    <mergeCell ref="CB18:CC18"/>
    <mergeCell ref="CI20:CJ20"/>
    <mergeCell ref="AZ18:BA18"/>
    <mergeCell ref="BC18:BD18"/>
    <mergeCell ref="BK18:BL18"/>
    <mergeCell ref="BW18:BX18"/>
    <mergeCell ref="BP16:BP18"/>
    <mergeCell ref="BO19:BP19"/>
    <mergeCell ref="BO20:BP20"/>
    <mergeCell ref="AX16:BM16"/>
    <mergeCell ref="BO16:BO18"/>
    <mergeCell ref="BQ16:BQ19"/>
    <mergeCell ref="CI16:CI18"/>
    <mergeCell ref="CJ16:CJ18"/>
    <mergeCell ref="CK16:CK19"/>
    <mergeCell ref="CE18:CF18"/>
    <mergeCell ref="CI19:CJ19"/>
    <mergeCell ref="CU17:CX17"/>
    <mergeCell ref="CV18:CW18"/>
    <mergeCell ref="AX17:AX18"/>
    <mergeCell ref="AY17:BB17"/>
    <mergeCell ref="CL17:CL18"/>
    <mergeCell ref="CM17:CP17"/>
    <mergeCell ref="CT17:CT18"/>
    <mergeCell ref="CN18:CO18"/>
    <mergeCell ref="CQ18:CR18"/>
    <mergeCell ref="D13:D14"/>
    <mergeCell ref="F13:F14"/>
    <mergeCell ref="K14:K15"/>
    <mergeCell ref="L14:M15"/>
    <mergeCell ref="P14:Q15"/>
    <mergeCell ref="R14:S15"/>
    <mergeCell ref="V14:V15"/>
    <mergeCell ref="BR16:CG16"/>
    <mergeCell ref="CL16:DA16"/>
    <mergeCell ref="DF16:DU16"/>
    <mergeCell ref="DZ16:EO16"/>
    <mergeCell ref="ET16:FI16"/>
    <mergeCell ref="FN16:GC16"/>
    <mergeCell ref="GH16:GW16"/>
    <mergeCell ref="F15:F16"/>
    <mergeCell ref="F17:F18"/>
    <mergeCell ref="AD17:AD18"/>
    <mergeCell ref="AE17:AH17"/>
    <mergeCell ref="DF17:DF18"/>
    <mergeCell ref="DG17:DJ17"/>
    <mergeCell ref="CY18:CZ18"/>
    <mergeCell ref="H17:I17"/>
    <mergeCell ref="H18:I18"/>
    <mergeCell ref="H16:I16"/>
    <mergeCell ref="K16:K17"/>
    <mergeCell ref="L16:M17"/>
    <mergeCell ref="N16:N17"/>
    <mergeCell ref="O16:O17"/>
    <mergeCell ref="P16:Q17"/>
    <mergeCell ref="B17:B18"/>
    <mergeCell ref="DX18:DX19"/>
    <mergeCell ref="EE18:EF18"/>
    <mergeCell ref="DC16:DC19"/>
    <mergeCell ref="DD16:DD17"/>
    <mergeCell ref="DE16:DE20"/>
    <mergeCell ref="DX16:DX17"/>
    <mergeCell ref="DY16:DY20"/>
    <mergeCell ref="EM18:EN18"/>
    <mergeCell ref="DC20:DD20"/>
    <mergeCell ref="DN17:DN18"/>
    <mergeCell ref="DO17:DR17"/>
    <mergeCell ref="DP18:DQ18"/>
    <mergeCell ref="DZ17:DZ18"/>
    <mergeCell ref="EA17:ED17"/>
    <mergeCell ref="EB18:EC18"/>
    <mergeCell ref="EH17:EH18"/>
    <mergeCell ref="EI17:EL17"/>
    <mergeCell ref="EJ18:EK18"/>
    <mergeCell ref="DD18:DD19"/>
    <mergeCell ref="DH18:DI18"/>
    <mergeCell ref="DK18:DL18"/>
    <mergeCell ref="DS18:DT18"/>
    <mergeCell ref="EQ16:EQ18"/>
    <mergeCell ref="EQ19:ER19"/>
    <mergeCell ref="EQ20:ER20"/>
    <mergeCell ref="FK20:FL20"/>
    <mergeCell ref="GE20:GF20"/>
    <mergeCell ref="GY20:GZ20"/>
    <mergeCell ref="HS20:HT20"/>
    <mergeCell ref="IU20:IV20"/>
    <mergeCell ref="DW16:DW19"/>
    <mergeCell ref="DW20:DX20"/>
    <mergeCell ref="W14:W15"/>
    <mergeCell ref="X14:X15"/>
    <mergeCell ref="Y14:Y15"/>
    <mergeCell ref="AD16:AS16"/>
    <mergeCell ref="AU16:AU18"/>
    <mergeCell ref="AV16:AV18"/>
    <mergeCell ref="AW16:AW19"/>
    <mergeCell ref="AU19:AV19"/>
    <mergeCell ref="T16:T17"/>
    <mergeCell ref="U16:U17"/>
    <mergeCell ref="V16:W17"/>
    <mergeCell ref="X16:Y17"/>
    <mergeCell ref="AA16:AA18"/>
    <mergeCell ref="AC16:AC19"/>
    <mergeCell ref="V18:W19"/>
    <mergeCell ref="AL17:AL18"/>
    <mergeCell ref="AM17:AP17"/>
    <mergeCell ref="AN18:AO18"/>
    <mergeCell ref="T18:T19"/>
    <mergeCell ref="U18:U19"/>
    <mergeCell ref="X20:X21"/>
    <mergeCell ref="Y20:Y21"/>
    <mergeCell ref="X18:Y19"/>
    <mergeCell ref="AF18:AG18"/>
    <mergeCell ref="AE21:AG21"/>
    <mergeCell ref="AH21:AJ21"/>
    <mergeCell ref="R16:S17"/>
    <mergeCell ref="K18:K19"/>
    <mergeCell ref="L18:M19"/>
    <mergeCell ref="N18:O19"/>
    <mergeCell ref="P18:P19"/>
    <mergeCell ref="Q18:Q19"/>
    <mergeCell ref="R18:S19"/>
    <mergeCell ref="AB16:AB18"/>
    <mergeCell ref="AA19:AB19"/>
    <mergeCell ref="AA20:AB20"/>
    <mergeCell ref="AA21:AB21"/>
    <mergeCell ref="B19:B20"/>
    <mergeCell ref="D19:D20"/>
    <mergeCell ref="H20:I20"/>
    <mergeCell ref="K20:K21"/>
    <mergeCell ref="L20:L21"/>
    <mergeCell ref="M20:M21"/>
    <mergeCell ref="N20:N21"/>
    <mergeCell ref="AI18:AJ18"/>
    <mergeCell ref="AQ18:AR18"/>
    <mergeCell ref="AU20:AV20"/>
    <mergeCell ref="AM21:AO21"/>
    <mergeCell ref="AP21:AR21"/>
    <mergeCell ref="AU21:AV21"/>
    <mergeCell ref="AY21:BA21"/>
    <mergeCell ref="IP21:IR21"/>
    <mergeCell ref="IU21:IV21"/>
    <mergeCell ref="IY21:JA21"/>
    <mergeCell ref="JB21:JD21"/>
    <mergeCell ref="JG21:JI21"/>
    <mergeCell ref="JJ21:JL21"/>
    <mergeCell ref="JO21:JQ21"/>
    <mergeCell ref="KU21:KW21"/>
    <mergeCell ref="KX21:KZ21"/>
    <mergeCell ref="LC21:LE21"/>
    <mergeCell ref="LF21:LH21"/>
    <mergeCell ref="JR21:JT21"/>
    <mergeCell ref="JW21:JX21"/>
    <mergeCell ref="KA21:KC21"/>
    <mergeCell ref="KD21:KF21"/>
    <mergeCell ref="KI21:KK21"/>
    <mergeCell ref="KL21:KN21"/>
    <mergeCell ref="KQ21:KR21"/>
    <mergeCell ref="DZ22:EE22"/>
    <mergeCell ref="EH22:EM22"/>
    <mergeCell ref="EQ22:ER22"/>
    <mergeCell ref="ET22:EY22"/>
    <mergeCell ref="FB22:FG22"/>
    <mergeCell ref="FK22:FL22"/>
    <mergeCell ref="FN22:FS22"/>
    <mergeCell ref="FV22:GA22"/>
    <mergeCell ref="GE22:GF22"/>
    <mergeCell ref="GH22:GM22"/>
    <mergeCell ref="GP22:GU22"/>
    <mergeCell ref="GY22:GZ22"/>
    <mergeCell ref="HB22:HG22"/>
    <mergeCell ref="HJ22:HO22"/>
    <mergeCell ref="JZ22:KE22"/>
    <mergeCell ref="KH22:KM22"/>
    <mergeCell ref="KQ22:KR22"/>
    <mergeCell ref="KT22:KY22"/>
    <mergeCell ref="LB22:LG22"/>
    <mergeCell ref="ID22:II22"/>
    <mergeCell ref="IL22:IQ22"/>
    <mergeCell ref="IU22:IV22"/>
    <mergeCell ref="IX22:JC22"/>
    <mergeCell ref="JF22:JK22"/>
    <mergeCell ref="JN22:JS22"/>
    <mergeCell ref="JW22:JX22"/>
    <mergeCell ref="CI22:CJ22"/>
    <mergeCell ref="CL22:CQ22"/>
    <mergeCell ref="CT22:CY22"/>
    <mergeCell ref="DC22:DD22"/>
    <mergeCell ref="DF22:DK22"/>
    <mergeCell ref="DN22:DS22"/>
    <mergeCell ref="DW22:DX22"/>
    <mergeCell ref="CI23:CJ23"/>
    <mergeCell ref="CL23:CN23"/>
    <mergeCell ref="CT23:CV23"/>
    <mergeCell ref="DC23:DD23"/>
    <mergeCell ref="DF23:DH23"/>
    <mergeCell ref="DN23:DP23"/>
    <mergeCell ref="DW23:DX23"/>
    <mergeCell ref="DZ23:EB23"/>
    <mergeCell ref="EH23:EJ23"/>
    <mergeCell ref="EQ23:ER23"/>
    <mergeCell ref="ET23:EV23"/>
    <mergeCell ref="FB23:FD23"/>
    <mergeCell ref="FK23:FL23"/>
    <mergeCell ref="FN23:FP23"/>
    <mergeCell ref="FV23:FX23"/>
    <mergeCell ref="GE23:GF23"/>
    <mergeCell ref="GH23:GJ23"/>
    <mergeCell ref="GP23:GR23"/>
    <mergeCell ref="GY23:GZ23"/>
    <mergeCell ref="HB23:HD23"/>
    <mergeCell ref="HJ23:HL23"/>
    <mergeCell ref="JZ23:KB23"/>
    <mergeCell ref="KH23:KJ23"/>
    <mergeCell ref="KQ23:KR23"/>
    <mergeCell ref="KT23:KV23"/>
    <mergeCell ref="LB23:LD23"/>
    <mergeCell ref="ID23:IF23"/>
    <mergeCell ref="IL23:IN23"/>
    <mergeCell ref="IU23:IV23"/>
    <mergeCell ref="IX23:IZ23"/>
    <mergeCell ref="JF23:JH23"/>
    <mergeCell ref="JN23:JP23"/>
    <mergeCell ref="JW23:JX23"/>
    <mergeCell ref="GE24:GF24"/>
    <mergeCell ref="GH24:GJ24"/>
    <mergeCell ref="GP24:GR24"/>
    <mergeCell ref="GY24:GZ24"/>
    <mergeCell ref="HB24:HD24"/>
    <mergeCell ref="HJ24:HL24"/>
    <mergeCell ref="HS24:HT24"/>
    <mergeCell ref="JW24:JX24"/>
    <mergeCell ref="JZ24:KB24"/>
    <mergeCell ref="KH24:KJ24"/>
    <mergeCell ref="KQ24:KR24"/>
    <mergeCell ref="KT24:KV24"/>
    <mergeCell ref="LB24:LD24"/>
    <mergeCell ref="HV24:HX24"/>
    <mergeCell ref="ID24:IF24"/>
    <mergeCell ref="IL24:IN24"/>
    <mergeCell ref="IU24:IV24"/>
    <mergeCell ref="IX24:IZ24"/>
    <mergeCell ref="JF24:JH24"/>
    <mergeCell ref="JN24:JP24"/>
    <mergeCell ref="DZ30:DZ31"/>
    <mergeCell ref="EA30:ED30"/>
    <mergeCell ref="EH30:EH31"/>
    <mergeCell ref="EI30:EL30"/>
    <mergeCell ref="ET30:ET31"/>
    <mergeCell ref="EU30:EX30"/>
    <mergeCell ref="FB30:FB31"/>
    <mergeCell ref="FC30:FF30"/>
    <mergeCell ref="FN30:FN31"/>
    <mergeCell ref="FO30:FR30"/>
    <mergeCell ref="FV30:FV31"/>
    <mergeCell ref="FW30:FZ30"/>
    <mergeCell ref="DH31:DI31"/>
    <mergeCell ref="DK31:DL31"/>
    <mergeCell ref="L30:M31"/>
    <mergeCell ref="N30:O31"/>
    <mergeCell ref="T30:U31"/>
    <mergeCell ref="CL30:CL31"/>
    <mergeCell ref="CM30:CP30"/>
    <mergeCell ref="GH30:GH31"/>
    <mergeCell ref="GI30:GL30"/>
    <mergeCell ref="CA30:CD30"/>
    <mergeCell ref="CB31:CC31"/>
    <mergeCell ref="CE31:CF31"/>
    <mergeCell ref="AD30:AD31"/>
    <mergeCell ref="AE30:AH30"/>
    <mergeCell ref="BR30:BR31"/>
    <mergeCell ref="BS30:BV30"/>
    <mergeCell ref="BZ30:BZ31"/>
    <mergeCell ref="BT31:BU31"/>
    <mergeCell ref="BW31:BX31"/>
    <mergeCell ref="EM31:EN31"/>
    <mergeCell ref="EV31:EW31"/>
    <mergeCell ref="LC30:LF30"/>
    <mergeCell ref="LD31:LE31"/>
    <mergeCell ref="JZ29:KO29"/>
    <mergeCell ref="KT29:LI29"/>
    <mergeCell ref="KH30:KH31"/>
    <mergeCell ref="KI30:KL30"/>
    <mergeCell ref="KT30:KT31"/>
    <mergeCell ref="KU30:KX30"/>
    <mergeCell ref="LB30:LB31"/>
    <mergeCell ref="LG31:LH31"/>
    <mergeCell ref="GU31:GV31"/>
    <mergeCell ref="GY32:GZ32"/>
    <mergeCell ref="FX31:FY31"/>
    <mergeCell ref="GA31:GB31"/>
    <mergeCell ref="GJ31:GK31"/>
    <mergeCell ref="GM31:GN31"/>
    <mergeCell ref="GR31:GS31"/>
    <mergeCell ref="HD31:HE31"/>
    <mergeCell ref="GE32:GF32"/>
    <mergeCell ref="DF24:DH24"/>
    <mergeCell ref="DF25:DH25"/>
    <mergeCell ref="CL24:CN24"/>
    <mergeCell ref="DC24:DD24"/>
    <mergeCell ref="DN24:DP24"/>
    <mergeCell ref="DZ24:EB24"/>
    <mergeCell ref="CL25:CN25"/>
    <mergeCell ref="DC25:DD25"/>
    <mergeCell ref="DN25:DP25"/>
    <mergeCell ref="DZ25:EB25"/>
    <mergeCell ref="IN31:IO31"/>
    <mergeCell ref="IQ31:IR31"/>
    <mergeCell ref="IZ31:JA31"/>
    <mergeCell ref="JC31:JD31"/>
    <mergeCell ref="JH31:JI31"/>
    <mergeCell ref="JK31:JL31"/>
    <mergeCell ref="JP31:JQ31"/>
    <mergeCell ref="FG31:FH31"/>
    <mergeCell ref="FK32:FL32"/>
    <mergeCell ref="DW24:DX24"/>
    <mergeCell ref="DW25:DX25"/>
    <mergeCell ref="EY31:EZ31"/>
    <mergeCell ref="FD31:FE31"/>
    <mergeCell ref="FP31:FQ31"/>
    <mergeCell ref="FS31:FT31"/>
    <mergeCell ref="EQ32:ER32"/>
    <mergeCell ref="II31:IJ31"/>
    <mergeCell ref="IU32:IV32"/>
    <mergeCell ref="HG31:HH31"/>
    <mergeCell ref="HL31:HM31"/>
    <mergeCell ref="HO31:HP31"/>
    <mergeCell ref="HX31:HY31"/>
    <mergeCell ref="IA31:IB31"/>
    <mergeCell ref="IF31:IG31"/>
    <mergeCell ref="HS32:HT32"/>
    <mergeCell ref="AX24:AZ24"/>
    <mergeCell ref="AX25:AZ25"/>
    <mergeCell ref="BZ24:CB24"/>
    <mergeCell ref="BZ25:CB25"/>
    <mergeCell ref="AU24:AV24"/>
    <mergeCell ref="BF24:BH24"/>
    <mergeCell ref="BR24:BT24"/>
    <mergeCell ref="CI24:CJ24"/>
    <mergeCell ref="AU25:AV25"/>
    <mergeCell ref="BF25:BH25"/>
    <mergeCell ref="BR25:BT25"/>
    <mergeCell ref="CI25:CJ25"/>
    <mergeCell ref="FB24:FD24"/>
    <mergeCell ref="FB25:FD25"/>
    <mergeCell ref="FN24:FP24"/>
    <mergeCell ref="FN25:FP25"/>
    <mergeCell ref="EH24:EJ24"/>
    <mergeCell ref="ET24:EV24"/>
    <mergeCell ref="FK24:FL24"/>
    <mergeCell ref="FV24:FX24"/>
    <mergeCell ref="EH25:EJ25"/>
    <mergeCell ref="ET25:EV25"/>
    <mergeCell ref="FK25:FL25"/>
    <mergeCell ref="FV25:FX25"/>
    <mergeCell ref="GE25:GF25"/>
    <mergeCell ref="GH25:GJ25"/>
    <mergeCell ref="GP25:GR25"/>
    <mergeCell ref="GY25:GZ25"/>
    <mergeCell ref="HB25:HD25"/>
    <mergeCell ref="HJ25:HL25"/>
    <mergeCell ref="JN25:JP25"/>
    <mergeCell ref="JW25:JX25"/>
    <mergeCell ref="JZ25:KB25"/>
    <mergeCell ref="KH25:KJ25"/>
    <mergeCell ref="KQ25:KR25"/>
    <mergeCell ref="KT25:KV25"/>
    <mergeCell ref="LB25:LD25"/>
    <mergeCell ref="HS25:HT25"/>
    <mergeCell ref="HV25:HX25"/>
    <mergeCell ref="ID25:IF25"/>
    <mergeCell ref="IL25:IN25"/>
    <mergeCell ref="IU25:IV25"/>
    <mergeCell ref="IX25:IZ25"/>
    <mergeCell ref="JF25:JH25"/>
    <mergeCell ref="BZ26:CB26"/>
    <mergeCell ref="CI26:CJ26"/>
    <mergeCell ref="CL26:CN26"/>
    <mergeCell ref="DC26:DD26"/>
    <mergeCell ref="DF26:DH26"/>
    <mergeCell ref="DN26:DP26"/>
    <mergeCell ref="DW26:DX26"/>
    <mergeCell ref="DZ26:EB26"/>
    <mergeCell ref="EH26:EJ26"/>
    <mergeCell ref="ET26:EV26"/>
    <mergeCell ref="FB26:FD26"/>
    <mergeCell ref="FK26:FL26"/>
    <mergeCell ref="FN26:FP26"/>
    <mergeCell ref="FV26:FX26"/>
    <mergeCell ref="GE26:GF26"/>
    <mergeCell ref="GH26:GJ26"/>
    <mergeCell ref="GP26:GR26"/>
    <mergeCell ref="GY26:GZ26"/>
    <mergeCell ref="HB26:HD26"/>
    <mergeCell ref="HJ26:HL26"/>
    <mergeCell ref="HS26:HT26"/>
    <mergeCell ref="JW26:JX26"/>
    <mergeCell ref="JZ26:KB26"/>
    <mergeCell ref="KH26:KJ26"/>
    <mergeCell ref="KQ26:KR26"/>
    <mergeCell ref="KT26:KV26"/>
    <mergeCell ref="LB26:LD26"/>
    <mergeCell ref="HV26:HX26"/>
    <mergeCell ref="ID26:IF26"/>
    <mergeCell ref="IL26:IN26"/>
    <mergeCell ref="IU26:IV26"/>
    <mergeCell ref="IX26:IZ26"/>
    <mergeCell ref="JF26:JH26"/>
    <mergeCell ref="JN26:JP26"/>
    <mergeCell ref="BR23:BT23"/>
    <mergeCell ref="BZ23:CB23"/>
    <mergeCell ref="AA23:AB23"/>
    <mergeCell ref="AD23:AF23"/>
    <mergeCell ref="AL23:AN23"/>
    <mergeCell ref="AU23:AV23"/>
    <mergeCell ref="AX23:AZ23"/>
    <mergeCell ref="BF23:BH23"/>
    <mergeCell ref="BO23:BP23"/>
    <mergeCell ref="H24:I24"/>
    <mergeCell ref="H25:I25"/>
    <mergeCell ref="K24:K25"/>
    <mergeCell ref="L24:L25"/>
    <mergeCell ref="M24:M25"/>
    <mergeCell ref="N24:N25"/>
    <mergeCell ref="O24:O25"/>
    <mergeCell ref="P24:Q25"/>
    <mergeCell ref="D25:D26"/>
    <mergeCell ref="CT24:CV24"/>
    <mergeCell ref="CT25:CV25"/>
    <mergeCell ref="CT26:CV26"/>
    <mergeCell ref="EQ24:ER24"/>
    <mergeCell ref="EQ25:ER25"/>
    <mergeCell ref="EQ26:ER26"/>
    <mergeCell ref="BO24:BP24"/>
    <mergeCell ref="BO25:BP25"/>
    <mergeCell ref="AU26:AV26"/>
    <mergeCell ref="AX26:AZ26"/>
    <mergeCell ref="BF26:BH26"/>
    <mergeCell ref="BO26:BP26"/>
    <mergeCell ref="BR26:BT26"/>
    <mergeCell ref="AD24:AF24"/>
    <mergeCell ref="AD25:AF25"/>
    <mergeCell ref="AD26:AF26"/>
    <mergeCell ref="T24:U25"/>
    <mergeCell ref="V24:W25"/>
    <mergeCell ref="X24:Y25"/>
    <mergeCell ref="AA24:AB24"/>
    <mergeCell ref="AL24:AN24"/>
    <mergeCell ref="AA25:AB25"/>
    <mergeCell ref="AL25:AN25"/>
    <mergeCell ref="AL26:AN26"/>
    <mergeCell ref="T26:U27"/>
    <mergeCell ref="V26:V27"/>
    <mergeCell ref="W26:W27"/>
    <mergeCell ref="X26:X27"/>
    <mergeCell ref="Y26:Y27"/>
    <mergeCell ref="AA26:AB26"/>
    <mergeCell ref="R24:S25"/>
    <mergeCell ref="K26:K27"/>
    <mergeCell ref="L26:M27"/>
    <mergeCell ref="N26:O27"/>
    <mergeCell ref="P26:Q27"/>
    <mergeCell ref="R26:S27"/>
    <mergeCell ref="H27:I27"/>
    <mergeCell ref="B26:B27"/>
    <mergeCell ref="B28:B29"/>
    <mergeCell ref="D28:D29"/>
    <mergeCell ref="F28:F29"/>
    <mergeCell ref="K28:K29"/>
    <mergeCell ref="L28:M29"/>
    <mergeCell ref="N28:O29"/>
    <mergeCell ref="P28:Q29"/>
    <mergeCell ref="R28:R29"/>
    <mergeCell ref="S28:S29"/>
    <mergeCell ref="T28:T29"/>
    <mergeCell ref="U28:U29"/>
    <mergeCell ref="V28:W29"/>
    <mergeCell ref="X28:Y29"/>
    <mergeCell ref="AX29:BM29"/>
    <mergeCell ref="BR29:CG29"/>
    <mergeCell ref="P30:Q31"/>
    <mergeCell ref="R30:S31"/>
    <mergeCell ref="H31:I31"/>
    <mergeCell ref="H32:I32"/>
    <mergeCell ref="AA32:AB32"/>
    <mergeCell ref="AU32:AV32"/>
    <mergeCell ref="BO32:BP32"/>
    <mergeCell ref="CI32:CJ32"/>
    <mergeCell ref="AA29:AA31"/>
    <mergeCell ref="AB29:AB31"/>
    <mergeCell ref="AC29:AC32"/>
    <mergeCell ref="D30:D31"/>
    <mergeCell ref="F30:F31"/>
    <mergeCell ref="H30:I30"/>
    <mergeCell ref="K30:K31"/>
    <mergeCell ref="KM31:KN31"/>
    <mergeCell ref="KQ32:KR32"/>
    <mergeCell ref="JS31:JT31"/>
    <mergeCell ref="KB31:KC31"/>
    <mergeCell ref="KE31:KF31"/>
    <mergeCell ref="KJ31:KK31"/>
    <mergeCell ref="KV31:KW31"/>
    <mergeCell ref="KY31:KZ31"/>
    <mergeCell ref="JW32:JX32"/>
    <mergeCell ref="CT30:CT31"/>
    <mergeCell ref="CU30:CX30"/>
    <mergeCell ref="CV31:CW31"/>
    <mergeCell ref="CN31:CO31"/>
    <mergeCell ref="CQ31:CR31"/>
    <mergeCell ref="DD29:DD30"/>
    <mergeCell ref="DD31:DD32"/>
    <mergeCell ref="DC29:DC32"/>
    <mergeCell ref="DC33:DD33"/>
    <mergeCell ref="CI29:CI31"/>
    <mergeCell ref="CJ29:CJ31"/>
    <mergeCell ref="CK29:CK32"/>
    <mergeCell ref="CL29:DA29"/>
    <mergeCell ref="DE29:DE33"/>
    <mergeCell ref="CY31:CZ31"/>
    <mergeCell ref="CI33:CJ33"/>
    <mergeCell ref="GP30:GP31"/>
    <mergeCell ref="GQ30:GT30"/>
    <mergeCell ref="HB30:HB31"/>
    <mergeCell ref="HC30:HF30"/>
    <mergeCell ref="GY33:GZ33"/>
    <mergeCell ref="HJ30:HJ31"/>
    <mergeCell ref="HK30:HN30"/>
    <mergeCell ref="HS33:HT33"/>
    <mergeCell ref="GF29:GF31"/>
    <mergeCell ref="GG29:GG32"/>
    <mergeCell ref="GH29:GW29"/>
    <mergeCell ref="GY29:GY31"/>
    <mergeCell ref="GZ29:GZ31"/>
    <mergeCell ref="HA29:HA32"/>
    <mergeCell ref="HB29:HQ29"/>
    <mergeCell ref="JZ30:JZ31"/>
    <mergeCell ref="KA30:KD30"/>
    <mergeCell ref="IX29:JU29"/>
    <mergeCell ref="JW29:JW31"/>
    <mergeCell ref="JX29:JX31"/>
    <mergeCell ref="JY29:JY32"/>
    <mergeCell ref="KQ29:KQ31"/>
    <mergeCell ref="KR29:KR31"/>
    <mergeCell ref="KS29:KS32"/>
    <mergeCell ref="KQ33:KR33"/>
    <mergeCell ref="HV30:HV31"/>
    <mergeCell ref="HW30:HZ30"/>
    <mergeCell ref="ID30:ID31"/>
    <mergeCell ref="IE30:IH30"/>
    <mergeCell ref="IL30:IL31"/>
    <mergeCell ref="IM30:IP30"/>
    <mergeCell ref="HS29:HS31"/>
    <mergeCell ref="HT29:HT31"/>
    <mergeCell ref="HU29:HU32"/>
    <mergeCell ref="HV29:IS29"/>
    <mergeCell ref="IU29:IU31"/>
    <mergeCell ref="IV29:IV31"/>
    <mergeCell ref="IW29:IW32"/>
    <mergeCell ref="IX30:IX31"/>
    <mergeCell ref="IY30:JB30"/>
    <mergeCell ref="IU33:IV33"/>
    <mergeCell ref="JF30:JF31"/>
    <mergeCell ref="JG30:JJ30"/>
    <mergeCell ref="JN30:JN31"/>
    <mergeCell ref="JO30:JR30"/>
    <mergeCell ref="JW33:JX33"/>
    <mergeCell ref="DX31:DX32"/>
    <mergeCell ref="DW33:DX33"/>
    <mergeCell ref="DF29:DU29"/>
    <mergeCell ref="DW29:DW32"/>
    <mergeCell ref="DX29:DX30"/>
    <mergeCell ref="DY29:DY33"/>
    <mergeCell ref="EQ29:EQ31"/>
    <mergeCell ref="ER29:ER31"/>
    <mergeCell ref="ES29:ES32"/>
    <mergeCell ref="EQ33:ER33"/>
    <mergeCell ref="GE29:GE31"/>
    <mergeCell ref="GE33:GF33"/>
    <mergeCell ref="DZ29:EO29"/>
    <mergeCell ref="ET29:FI29"/>
    <mergeCell ref="FK29:FK31"/>
    <mergeCell ref="FL29:FL31"/>
    <mergeCell ref="FM29:FM32"/>
    <mergeCell ref="FN29:GC29"/>
    <mergeCell ref="FK33:FL33"/>
    <mergeCell ref="DF30:DF31"/>
    <mergeCell ref="DG30:DJ30"/>
    <mergeCell ref="DN30:DN31"/>
    <mergeCell ref="DO30:DR30"/>
    <mergeCell ref="DP31:DQ31"/>
    <mergeCell ref="DS31:DT31"/>
    <mergeCell ref="EB31:EC31"/>
    <mergeCell ref="EE31:EF31"/>
    <mergeCell ref="EJ31:EK31"/>
    <mergeCell ref="AL30:AL31"/>
    <mergeCell ref="AM30:AP30"/>
    <mergeCell ref="AN31:AO31"/>
    <mergeCell ref="AX30:AX31"/>
    <mergeCell ref="AY30:BB30"/>
    <mergeCell ref="AZ31:BA31"/>
    <mergeCell ref="AU33:AV33"/>
    <mergeCell ref="BF30:BF31"/>
    <mergeCell ref="BG30:BJ30"/>
    <mergeCell ref="BH31:BI31"/>
    <mergeCell ref="BO33:BP33"/>
    <mergeCell ref="AQ31:AR31"/>
    <mergeCell ref="BC31:BD31"/>
    <mergeCell ref="AD29:AS29"/>
    <mergeCell ref="AU29:AU31"/>
    <mergeCell ref="AV29:AV31"/>
    <mergeCell ref="AW29:AW32"/>
    <mergeCell ref="BO29:BO31"/>
    <mergeCell ref="BP29:BP31"/>
    <mergeCell ref="BQ29:BQ32"/>
    <mergeCell ref="BK31:BL31"/>
    <mergeCell ref="V32:W33"/>
    <mergeCell ref="X32:Y33"/>
    <mergeCell ref="AF31:AG31"/>
    <mergeCell ref="AI31:AJ31"/>
    <mergeCell ref="F32:F33"/>
    <mergeCell ref="K32:K33"/>
    <mergeCell ref="L32:M33"/>
    <mergeCell ref="N32:O33"/>
    <mergeCell ref="P32:Q33"/>
    <mergeCell ref="AA33:AB33"/>
    <mergeCell ref="DJ34:DL34"/>
    <mergeCell ref="DO34:DQ34"/>
    <mergeCell ref="DR34:DT34"/>
    <mergeCell ref="DW34:DX34"/>
    <mergeCell ref="EA34:EC34"/>
    <mergeCell ref="ED34:EF34"/>
    <mergeCell ref="EI34:EK34"/>
    <mergeCell ref="EL34:EN34"/>
    <mergeCell ref="EQ34:ER34"/>
    <mergeCell ref="EU34:EW34"/>
    <mergeCell ref="EX34:EZ34"/>
    <mergeCell ref="FC34:FE34"/>
    <mergeCell ref="FF34:FH34"/>
    <mergeCell ref="FK34:FL34"/>
    <mergeCell ref="FW34:FY34"/>
    <mergeCell ref="FZ34:GB34"/>
    <mergeCell ref="GE34:GF34"/>
    <mergeCell ref="GI34:GK34"/>
    <mergeCell ref="GL34:GN34"/>
    <mergeCell ref="GQ34:GS34"/>
    <mergeCell ref="GT34:GV34"/>
    <mergeCell ref="GY34:GZ34"/>
    <mergeCell ref="HC34:HE34"/>
    <mergeCell ref="HF34:HH34"/>
    <mergeCell ref="HK34:HM34"/>
    <mergeCell ref="HN34:HP34"/>
    <mergeCell ref="HS34:HT34"/>
    <mergeCell ref="HW34:HY34"/>
    <mergeCell ref="HZ34:IB34"/>
    <mergeCell ref="IE34:IG34"/>
    <mergeCell ref="IH34:IJ34"/>
    <mergeCell ref="IM34:IO34"/>
    <mergeCell ref="IP34:IR34"/>
    <mergeCell ref="IU34:IV34"/>
    <mergeCell ref="IY34:JA34"/>
    <mergeCell ref="KD34:KF34"/>
    <mergeCell ref="KI34:KK34"/>
    <mergeCell ref="KL34:KN34"/>
    <mergeCell ref="KQ34:KR34"/>
    <mergeCell ref="KU34:KW34"/>
    <mergeCell ref="KX34:KZ34"/>
    <mergeCell ref="LC34:LE34"/>
    <mergeCell ref="LF34:LH34"/>
    <mergeCell ref="JB34:JD34"/>
    <mergeCell ref="JG34:JI34"/>
    <mergeCell ref="JJ34:JL34"/>
    <mergeCell ref="JO34:JQ34"/>
    <mergeCell ref="JR34:JT34"/>
    <mergeCell ref="JW34:JX34"/>
    <mergeCell ref="KA34:KC34"/>
    <mergeCell ref="DZ35:EE35"/>
    <mergeCell ref="EH35:EM35"/>
    <mergeCell ref="CI35:CJ35"/>
    <mergeCell ref="CL35:CQ35"/>
    <mergeCell ref="CT35:CY35"/>
    <mergeCell ref="DC35:DD35"/>
    <mergeCell ref="DF35:DK35"/>
    <mergeCell ref="DN35:DS35"/>
    <mergeCell ref="DW35:DX35"/>
    <mergeCell ref="FV35:GA35"/>
    <mergeCell ref="GE35:GF35"/>
    <mergeCell ref="GH35:GM35"/>
    <mergeCell ref="GP35:GU35"/>
    <mergeCell ref="GY35:GZ35"/>
    <mergeCell ref="HB35:HG35"/>
    <mergeCell ref="HJ35:HO35"/>
    <mergeCell ref="JN35:JS35"/>
    <mergeCell ref="JW35:JX35"/>
    <mergeCell ref="JZ35:KE35"/>
    <mergeCell ref="KH35:KM35"/>
    <mergeCell ref="KQ35:KR35"/>
    <mergeCell ref="KT35:KY35"/>
    <mergeCell ref="LB35:LG35"/>
    <mergeCell ref="HS35:HT35"/>
    <mergeCell ref="HV35:IA35"/>
    <mergeCell ref="ID35:II35"/>
    <mergeCell ref="IL35:IQ35"/>
    <mergeCell ref="IU35:IV35"/>
    <mergeCell ref="IX35:JC35"/>
    <mergeCell ref="JF35:JK35"/>
    <mergeCell ref="P34:P35"/>
    <mergeCell ref="Q34:Q35"/>
    <mergeCell ref="R32:S33"/>
    <mergeCell ref="T32:U33"/>
    <mergeCell ref="B34:B35"/>
    <mergeCell ref="H34:I34"/>
    <mergeCell ref="K34:K35"/>
    <mergeCell ref="L34:M35"/>
    <mergeCell ref="N34:O35"/>
    <mergeCell ref="H35:I35"/>
    <mergeCell ref="AE34:AG34"/>
    <mergeCell ref="AH34:AJ34"/>
    <mergeCell ref="AM34:AO34"/>
    <mergeCell ref="AP34:AR34"/>
    <mergeCell ref="AU34:AV34"/>
    <mergeCell ref="AY34:BA34"/>
    <mergeCell ref="BB34:BD34"/>
    <mergeCell ref="BG34:BI34"/>
    <mergeCell ref="BJ34:BL34"/>
    <mergeCell ref="BO34:BP34"/>
    <mergeCell ref="BS34:BU34"/>
    <mergeCell ref="BV34:BX34"/>
    <mergeCell ref="CA34:CC34"/>
    <mergeCell ref="CD34:CF34"/>
    <mergeCell ref="R34:S35"/>
    <mergeCell ref="T34:U35"/>
    <mergeCell ref="V34:V35"/>
    <mergeCell ref="W34:W35"/>
    <mergeCell ref="X34:X35"/>
    <mergeCell ref="Y34:Y35"/>
    <mergeCell ref="AA34:AB34"/>
    <mergeCell ref="CI34:CJ34"/>
    <mergeCell ref="CM34:CO34"/>
    <mergeCell ref="CP34:CR34"/>
    <mergeCell ref="CU34:CW34"/>
    <mergeCell ref="CX34:CZ34"/>
    <mergeCell ref="DC34:DD34"/>
    <mergeCell ref="DG34:DI34"/>
    <mergeCell ref="FO34:FQ34"/>
    <mergeCell ref="FR34:FT34"/>
    <mergeCell ref="EQ35:ER35"/>
    <mergeCell ref="ET35:EY35"/>
    <mergeCell ref="FB35:FG35"/>
    <mergeCell ref="FK35:FL35"/>
    <mergeCell ref="FN35:FS35"/>
    <mergeCell ref="DF36:DH36"/>
    <mergeCell ref="DN36:DP36"/>
    <mergeCell ref="DW36:DX36"/>
    <mergeCell ref="DZ36:EB36"/>
    <mergeCell ref="EH36:EJ36"/>
    <mergeCell ref="EQ36:ER36"/>
    <mergeCell ref="ET36:EV36"/>
    <mergeCell ref="FB36:FD36"/>
    <mergeCell ref="FK36:FL36"/>
    <mergeCell ref="FN36:FP36"/>
    <mergeCell ref="FV36:FX36"/>
    <mergeCell ref="GE36:GF36"/>
    <mergeCell ref="GH36:GJ36"/>
    <mergeCell ref="GP36:GR36"/>
    <mergeCell ref="JF36:JH36"/>
    <mergeCell ref="JN36:JP36"/>
    <mergeCell ref="JW36:JX36"/>
    <mergeCell ref="JZ36:KB36"/>
    <mergeCell ref="KH36:KJ36"/>
    <mergeCell ref="KQ36:KR36"/>
    <mergeCell ref="KT36:KV36"/>
    <mergeCell ref="LB36:LD36"/>
    <mergeCell ref="HJ36:HL36"/>
    <mergeCell ref="HS36:HT36"/>
    <mergeCell ref="HV36:HX36"/>
    <mergeCell ref="ID36:IF36"/>
    <mergeCell ref="IL36:IN36"/>
    <mergeCell ref="IU36:IV36"/>
    <mergeCell ref="IX36:IZ36"/>
    <mergeCell ref="H37:I37"/>
    <mergeCell ref="K37:Y37"/>
    <mergeCell ref="AU35:AV35"/>
    <mergeCell ref="AU37:AV37"/>
    <mergeCell ref="BF36:BH36"/>
    <mergeCell ref="BF37:BH37"/>
    <mergeCell ref="AD35:AI35"/>
    <mergeCell ref="AX35:BC35"/>
    <mergeCell ref="BF35:BK35"/>
    <mergeCell ref="B36:B37"/>
    <mergeCell ref="AA37:AB37"/>
    <mergeCell ref="AL37:AN37"/>
    <mergeCell ref="AX37:AZ37"/>
    <mergeCell ref="CL37:CN37"/>
    <mergeCell ref="CT37:CV37"/>
    <mergeCell ref="DC37:DD37"/>
    <mergeCell ref="DF37:DH37"/>
    <mergeCell ref="DN37:DP37"/>
    <mergeCell ref="DW37:DX37"/>
    <mergeCell ref="DZ37:EB37"/>
    <mergeCell ref="EH37:EJ37"/>
    <mergeCell ref="EQ37:ER37"/>
    <mergeCell ref="HJ37:HL37"/>
    <mergeCell ref="HS37:HT37"/>
    <mergeCell ref="HV37:HX37"/>
    <mergeCell ref="ID37:IF37"/>
    <mergeCell ref="IL37:IN37"/>
    <mergeCell ref="KQ37:KR37"/>
    <mergeCell ref="KT37:KV37"/>
    <mergeCell ref="LB37:LD37"/>
    <mergeCell ref="IU37:IV37"/>
    <mergeCell ref="IX37:IZ37"/>
    <mergeCell ref="JF37:JH37"/>
    <mergeCell ref="JN37:JP37"/>
    <mergeCell ref="JW37:JX37"/>
    <mergeCell ref="JZ37:KB37"/>
    <mergeCell ref="KH37:KJ37"/>
  </mergeCells>
  <conditionalFormatting sqref="Z2:Z9 Z13:Z22 Z26 Z28:Z35 Z39 AA2:AS40 AT3:AV40 AW2:AW40 AX3:LJ40">
    <cfRule type="containsText" dxfId="45" priority="1" operator="containsText" text="᠋">
      <formula>NOT(ISERROR(SEARCH(("᠋"),(Z2))))</formula>
    </cfRule>
  </conditionalFormatting>
  <conditionalFormatting sqref="Z2:Z9 Z13:Z22 Z26 Z28:Z35 Z39 AA2:AS40 AT3:AV40 AW2:AW40 AX3:LJ40">
    <cfRule type="containsText" dxfId="44" priority="2" operator="containsText" text="(!)">
      <formula>NOT(ISERROR(SEARCH(("(!)"),(Z2))))</formula>
    </cfRule>
  </conditionalFormatting>
  <conditionalFormatting sqref="Z2:Z9 Z13:Z22 Z26 Z28:Z35 Z39 AA2:AS40 AT3:AV40 AW2:AW40 AX3:LJ40">
    <cfRule type="containsText" dxfId="44" priority="3" operator="containsText" text="᠎">
      <formula>NOT(ISERROR(SEARCH(("᠎"),(Z2))))</formula>
    </cfRule>
  </conditionalFormatting>
  <conditionalFormatting sqref="Z2:Z9 Z13:Z22 Z26 Z28:Z35 Z39 AA2:AS40 AT3:AV40 AW2:AW40 AX3:LJ40">
    <cfRule type="containsText" dxfId="44" priority="4" operator="containsText" text="឵">
      <formula>NOT(ISERROR(SEARCH(("឵"),(Z2))))</formula>
    </cfRule>
  </conditionalFormatting>
  <printOptions gridLines="1" horizontalCentered="1"/>
  <pageMargins bottom="0.75" footer="0.0" header="0.0" left="0.25" right="0.25" top="0.75"/>
  <pageSetup paperSize="9" orientation="landscape" pageOrder="overThenDown"/>
  <rowBreaks count="1" manualBreakCount="1">
    <brk id="41" man="1"/>
  </rowBreaks>
  <colBreaks count="1" manualBreakCount="1">
    <brk id="8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3" width="5.0"/>
    <col customWidth="1" min="4" max="4" width="2.38"/>
    <col customWidth="1" min="5" max="5" width="2.63"/>
    <col customWidth="1" min="6" max="7" width="5.0"/>
    <col customWidth="1" min="8" max="8" width="2.38"/>
    <col customWidth="1" min="9" max="9" width="2.63"/>
    <col customWidth="1" min="10" max="10" width="5.0"/>
    <col customWidth="1" min="11" max="11" width="5.38"/>
    <col customWidth="1" min="12" max="12" width="1.25"/>
    <col customWidth="1" min="13" max="13" width="2.88"/>
    <col customWidth="1" min="14" max="14" width="12.13"/>
    <col customWidth="1" min="15" max="16" width="2.38"/>
    <col customWidth="1" min="17" max="19" width="4.5"/>
    <col customWidth="1" min="20" max="20" width="1.25"/>
    <col customWidth="1" min="21" max="21" width="5.0"/>
    <col customWidth="1" min="22" max="22" width="12.13"/>
    <col customWidth="1" min="23" max="24" width="2.38"/>
    <col customWidth="1" min="25" max="27" width="4.5"/>
    <col customWidth="1" min="28" max="28" width="1.25"/>
    <col customWidth="1" min="29" max="29" width="5.0"/>
    <col customWidth="1" min="30" max="30" width="12.13"/>
    <col customWidth="1" min="31" max="32" width="2.38"/>
    <col customWidth="1" min="33" max="35" width="4.5"/>
    <col customWidth="1" min="36" max="46" width="2.38"/>
  </cols>
  <sheetData>
    <row r="1" ht="15.75" customHeight="1">
      <c r="A1" s="1000"/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0"/>
      <c r="N1" s="951"/>
      <c r="O1" s="951"/>
      <c r="P1" s="951"/>
      <c r="Q1" s="951"/>
      <c r="R1" s="2154"/>
      <c r="S1" s="951"/>
      <c r="T1" s="951"/>
      <c r="U1" s="950"/>
      <c r="V1" s="951"/>
      <c r="W1" s="951"/>
      <c r="X1" s="951"/>
      <c r="Y1" s="951"/>
      <c r="Z1" s="951"/>
      <c r="AA1" s="951"/>
      <c r="AB1" s="951"/>
      <c r="AC1" s="951"/>
      <c r="AD1" s="951"/>
      <c r="AE1" s="951"/>
      <c r="AF1" s="951"/>
      <c r="AG1" s="951"/>
      <c r="AH1" s="951"/>
      <c r="AI1" s="951"/>
      <c r="AJ1" s="1237"/>
      <c r="AK1" s="442"/>
      <c r="AL1" s="442"/>
      <c r="AM1" s="442"/>
      <c r="AN1" s="442"/>
      <c r="AO1" s="442"/>
      <c r="AP1" s="442"/>
      <c r="AQ1" s="442"/>
      <c r="AR1" s="442"/>
      <c r="AS1" s="442"/>
      <c r="AT1" s="442"/>
    </row>
    <row r="2" ht="15.75" customHeight="1">
      <c r="A2" s="2155"/>
      <c r="B2" s="2156" t="s">
        <v>1</v>
      </c>
      <c r="C2" s="976"/>
      <c r="D2" s="976"/>
      <c r="E2" s="976"/>
      <c r="F2" s="976"/>
      <c r="G2" s="976"/>
      <c r="H2" s="974"/>
      <c r="I2" s="2157"/>
      <c r="J2" s="974"/>
      <c r="K2" s="2158"/>
      <c r="L2" s="442"/>
      <c r="M2" s="2159" t="s">
        <v>10752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48"/>
      <c r="AJ2" s="996"/>
      <c r="AK2" s="442"/>
      <c r="AL2" s="442"/>
      <c r="AM2" s="442"/>
      <c r="AN2" s="442"/>
      <c r="AO2" s="442"/>
      <c r="AP2" s="442"/>
      <c r="AQ2" s="442"/>
      <c r="AR2" s="442"/>
      <c r="AS2" s="442"/>
      <c r="AT2" s="442"/>
    </row>
    <row r="3" ht="15.75" customHeight="1">
      <c r="A3" s="2155"/>
      <c r="B3" s="1155"/>
      <c r="H3" s="539"/>
      <c r="I3" s="2160"/>
      <c r="J3" s="539"/>
      <c r="K3" s="1432"/>
      <c r="L3" s="442"/>
      <c r="M3" s="2161" t="s">
        <v>5816</v>
      </c>
      <c r="N3" s="959"/>
      <c r="O3" s="959"/>
      <c r="P3" s="959"/>
      <c r="Q3" s="959"/>
      <c r="R3" s="959"/>
      <c r="S3" s="960"/>
      <c r="T3" s="46"/>
      <c r="U3" s="2162" t="s">
        <v>9673</v>
      </c>
      <c r="V3" s="959"/>
      <c r="W3" s="959"/>
      <c r="X3" s="959"/>
      <c r="Y3" s="959"/>
      <c r="Z3" s="959"/>
      <c r="AA3" s="959"/>
      <c r="AB3" s="959"/>
      <c r="AC3" s="959"/>
      <c r="AD3" s="959"/>
      <c r="AE3" s="959"/>
      <c r="AF3" s="959"/>
      <c r="AG3" s="959"/>
      <c r="AH3" s="959"/>
      <c r="AI3" s="960"/>
      <c r="AJ3" s="996"/>
      <c r="AK3" s="442"/>
      <c r="AL3" s="442"/>
      <c r="AM3" s="442"/>
      <c r="AN3" s="442"/>
      <c r="AO3" s="442"/>
      <c r="AP3" s="442"/>
      <c r="AQ3" s="442"/>
      <c r="AR3" s="442"/>
      <c r="AS3" s="442"/>
      <c r="AT3" s="442"/>
    </row>
    <row r="4" ht="15.75" customHeight="1">
      <c r="A4" s="2155"/>
      <c r="B4" s="997"/>
      <c r="C4" s="1026"/>
      <c r="D4" s="1026"/>
      <c r="E4" s="1026"/>
      <c r="F4" s="1026"/>
      <c r="G4" s="1026"/>
      <c r="H4" s="1192"/>
      <c r="I4" s="1025"/>
      <c r="J4" s="1192"/>
      <c r="K4" s="1446"/>
      <c r="L4" s="442"/>
      <c r="M4" s="2163"/>
      <c r="N4" s="2164"/>
      <c r="O4" s="2165"/>
      <c r="P4" s="2165"/>
      <c r="Q4" s="2165"/>
      <c r="R4" s="2166"/>
      <c r="S4" s="2167"/>
      <c r="T4" s="254"/>
      <c r="U4" s="42"/>
      <c r="V4" s="2168"/>
      <c r="W4" s="2165"/>
      <c r="X4" s="2165"/>
      <c r="Y4" s="2165"/>
      <c r="Z4" s="2166"/>
      <c r="AA4" s="2167"/>
      <c r="AB4" s="46"/>
      <c r="AC4" s="42"/>
      <c r="AD4" s="2168"/>
      <c r="AE4" s="2165"/>
      <c r="AF4" s="2165"/>
      <c r="AG4" s="2165"/>
      <c r="AH4" s="2166"/>
      <c r="AI4" s="2169"/>
      <c r="AJ4" s="996"/>
      <c r="AK4" s="442"/>
      <c r="AL4" s="442"/>
      <c r="AM4" s="442"/>
      <c r="AN4" s="442"/>
      <c r="AO4" s="442"/>
      <c r="AP4" s="442"/>
      <c r="AQ4" s="442"/>
      <c r="AR4" s="442"/>
      <c r="AS4" s="442"/>
      <c r="AT4" s="442"/>
    </row>
    <row r="5" ht="15.75" customHeight="1">
      <c r="A5" s="2155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2170"/>
      <c r="N5" s="2171"/>
      <c r="O5" s="2172"/>
      <c r="P5" s="2172"/>
      <c r="Q5" s="2172"/>
      <c r="R5" s="2173"/>
      <c r="S5" s="133"/>
      <c r="T5" s="254"/>
      <c r="U5" s="90"/>
      <c r="V5" s="2171"/>
      <c r="W5" s="2172"/>
      <c r="X5" s="2172"/>
      <c r="Y5" s="2172"/>
      <c r="Z5" s="2173"/>
      <c r="AA5" s="133"/>
      <c r="AB5" s="254"/>
      <c r="AC5" s="90"/>
      <c r="AD5" s="2171"/>
      <c r="AE5" s="2172"/>
      <c r="AF5" s="2172"/>
      <c r="AG5" s="2172"/>
      <c r="AH5" s="2173"/>
      <c r="AI5" s="91"/>
      <c r="AJ5" s="996"/>
      <c r="AK5" s="442"/>
      <c r="AL5" s="442"/>
      <c r="AM5" s="442"/>
      <c r="AN5" s="442"/>
      <c r="AO5" s="442"/>
      <c r="AP5" s="442"/>
      <c r="AQ5" s="442"/>
      <c r="AR5" s="442"/>
      <c r="AS5" s="442"/>
      <c r="AT5" s="442"/>
    </row>
    <row r="6" ht="15.75" customHeight="1">
      <c r="A6" s="2155"/>
      <c r="B6" s="2174" t="s">
        <v>4394</v>
      </c>
      <c r="C6" s="12"/>
      <c r="D6" s="12"/>
      <c r="E6" s="12"/>
      <c r="F6" s="12"/>
      <c r="G6" s="12"/>
      <c r="H6" s="12"/>
      <c r="I6" s="12"/>
      <c r="J6" s="12"/>
      <c r="K6" s="48"/>
      <c r="L6" s="442"/>
      <c r="M6" s="2175"/>
      <c r="N6" s="2176"/>
      <c r="O6" s="2177"/>
      <c r="P6" s="2177"/>
      <c r="Q6" s="2177"/>
      <c r="R6" s="2178"/>
      <c r="S6" s="2179"/>
      <c r="T6" s="254"/>
      <c r="U6" s="90"/>
      <c r="V6" s="2171"/>
      <c r="W6" s="2177"/>
      <c r="X6" s="2177"/>
      <c r="Y6" s="2177"/>
      <c r="Z6" s="2178"/>
      <c r="AA6" s="2179"/>
      <c r="AB6" s="254"/>
      <c r="AC6" s="90"/>
      <c r="AD6" s="2171"/>
      <c r="AE6" s="2177"/>
      <c r="AF6" s="2177"/>
      <c r="AG6" s="2177"/>
      <c r="AH6" s="2178"/>
      <c r="AI6" s="2180"/>
      <c r="AJ6" s="996"/>
      <c r="AK6" s="442"/>
      <c r="AL6" s="442"/>
      <c r="AM6" s="442"/>
      <c r="AN6" s="442"/>
      <c r="AO6" s="442"/>
      <c r="AP6" s="442"/>
      <c r="AQ6" s="442"/>
      <c r="AR6" s="442"/>
      <c r="AS6" s="442"/>
      <c r="AT6" s="442"/>
    </row>
    <row r="7" ht="15.75" customHeight="1">
      <c r="A7" s="2155"/>
      <c r="B7" s="2181" t="s">
        <v>10753</v>
      </c>
      <c r="C7" s="48"/>
      <c r="D7" s="2182"/>
      <c r="E7" s="2183"/>
      <c r="F7" s="1026"/>
      <c r="G7" s="998"/>
      <c r="H7" s="2182"/>
      <c r="I7" s="2183"/>
      <c r="J7" s="1026"/>
      <c r="K7" s="998"/>
      <c r="L7" s="442"/>
      <c r="M7" s="2170"/>
      <c r="N7" s="2171"/>
      <c r="O7" s="2172"/>
      <c r="P7" s="2172"/>
      <c r="Q7" s="2172"/>
      <c r="R7" s="2173"/>
      <c r="S7" s="133"/>
      <c r="T7" s="254"/>
      <c r="U7" s="90"/>
      <c r="V7" s="2171"/>
      <c r="W7" s="2172"/>
      <c r="X7" s="2172"/>
      <c r="Y7" s="2172"/>
      <c r="Z7" s="2173"/>
      <c r="AA7" s="133"/>
      <c r="AB7" s="254"/>
      <c r="AC7" s="90"/>
      <c r="AD7" s="2171"/>
      <c r="AE7" s="2172"/>
      <c r="AF7" s="2172"/>
      <c r="AG7" s="2172"/>
      <c r="AH7" s="2173"/>
      <c r="AI7" s="91"/>
      <c r="AJ7" s="996"/>
      <c r="AK7" s="442"/>
      <c r="AL7" s="442"/>
      <c r="AM7" s="442"/>
      <c r="AN7" s="442"/>
      <c r="AO7" s="442"/>
      <c r="AP7" s="442"/>
      <c r="AQ7" s="442"/>
      <c r="AR7" s="442"/>
      <c r="AS7" s="442"/>
      <c r="AT7" s="442"/>
    </row>
    <row r="8" ht="15.75" customHeight="1">
      <c r="A8" s="2155"/>
      <c r="B8" s="2184" t="s">
        <v>10754</v>
      </c>
      <c r="C8" s="48"/>
      <c r="D8" s="2185"/>
      <c r="E8" s="2186"/>
      <c r="F8" s="12"/>
      <c r="G8" s="48"/>
      <c r="H8" s="2185"/>
      <c r="I8" s="2186"/>
      <c r="J8" s="12"/>
      <c r="K8" s="48"/>
      <c r="L8" s="442"/>
      <c r="M8" s="2175"/>
      <c r="N8" s="2176"/>
      <c r="O8" s="2177"/>
      <c r="P8" s="2177"/>
      <c r="Q8" s="2177"/>
      <c r="R8" s="2178"/>
      <c r="S8" s="2179"/>
      <c r="T8" s="254"/>
      <c r="U8" s="90"/>
      <c r="V8" s="2171"/>
      <c r="W8" s="2177"/>
      <c r="X8" s="2177"/>
      <c r="Y8" s="2177"/>
      <c r="Z8" s="2178"/>
      <c r="AA8" s="2179"/>
      <c r="AB8" s="254"/>
      <c r="AC8" s="90"/>
      <c r="AD8" s="2171"/>
      <c r="AE8" s="2177"/>
      <c r="AF8" s="2177"/>
      <c r="AG8" s="2177"/>
      <c r="AH8" s="2178"/>
      <c r="AI8" s="2180"/>
      <c r="AJ8" s="996"/>
      <c r="AK8" s="442"/>
      <c r="AL8" s="442"/>
      <c r="AM8" s="442"/>
      <c r="AN8" s="442"/>
      <c r="AO8" s="442"/>
      <c r="AP8" s="442"/>
      <c r="AQ8" s="442"/>
      <c r="AR8" s="442"/>
      <c r="AS8" s="442"/>
      <c r="AT8" s="442"/>
    </row>
    <row r="9" ht="15.75" customHeight="1">
      <c r="A9" s="2155"/>
      <c r="B9" s="2187" t="s">
        <v>10755</v>
      </c>
      <c r="C9" s="48"/>
      <c r="D9" s="2185"/>
      <c r="E9" s="2186"/>
      <c r="F9" s="12"/>
      <c r="G9" s="48"/>
      <c r="H9" s="2185"/>
      <c r="I9" s="2186"/>
      <c r="J9" s="12"/>
      <c r="K9" s="48"/>
      <c r="L9" s="442"/>
      <c r="M9" s="2170"/>
      <c r="N9" s="2171"/>
      <c r="O9" s="2172"/>
      <c r="P9" s="2172"/>
      <c r="Q9" s="2172"/>
      <c r="R9" s="2173"/>
      <c r="S9" s="133"/>
      <c r="T9" s="254"/>
      <c r="U9" s="90"/>
      <c r="V9" s="2171"/>
      <c r="W9" s="2172"/>
      <c r="X9" s="2172"/>
      <c r="Y9" s="2172"/>
      <c r="Z9" s="2173"/>
      <c r="AA9" s="133"/>
      <c r="AB9" s="254"/>
      <c r="AC9" s="90"/>
      <c r="AD9" s="2171"/>
      <c r="AE9" s="2172"/>
      <c r="AF9" s="2172"/>
      <c r="AG9" s="2172"/>
      <c r="AH9" s="2173"/>
      <c r="AI9" s="91"/>
      <c r="AJ9" s="996"/>
      <c r="AK9" s="442"/>
      <c r="AL9" s="442"/>
      <c r="AM9" s="442"/>
      <c r="AN9" s="442"/>
      <c r="AO9" s="442"/>
      <c r="AP9" s="442"/>
      <c r="AQ9" s="442"/>
      <c r="AR9" s="442"/>
      <c r="AS9" s="442"/>
      <c r="AT9" s="442"/>
    </row>
    <row r="10" ht="15.75" customHeight="1">
      <c r="A10" s="2155"/>
      <c r="B10" s="442"/>
      <c r="C10" s="442"/>
      <c r="D10" s="442"/>
      <c r="E10" s="442"/>
      <c r="F10" s="442"/>
      <c r="G10" s="442"/>
      <c r="H10" s="442"/>
      <c r="I10" s="442"/>
      <c r="J10" s="442"/>
      <c r="K10" s="442"/>
      <c r="L10" s="442"/>
      <c r="M10" s="2175"/>
      <c r="N10" s="2176"/>
      <c r="O10" s="2177"/>
      <c r="P10" s="2177"/>
      <c r="Q10" s="2177"/>
      <c r="R10" s="2178"/>
      <c r="S10" s="2179"/>
      <c r="T10" s="254"/>
      <c r="U10" s="90"/>
      <c r="V10" s="2171"/>
      <c r="W10" s="2177"/>
      <c r="X10" s="2177"/>
      <c r="Y10" s="2177"/>
      <c r="Z10" s="2178"/>
      <c r="AA10" s="2179"/>
      <c r="AB10" s="254"/>
      <c r="AC10" s="90"/>
      <c r="AD10" s="2171"/>
      <c r="AE10" s="2177"/>
      <c r="AF10" s="2177"/>
      <c r="AG10" s="2177"/>
      <c r="AH10" s="2178"/>
      <c r="AI10" s="2180"/>
      <c r="AJ10" s="996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</row>
    <row r="11" ht="15.75" customHeight="1">
      <c r="A11" s="2155"/>
      <c r="B11" s="2174" t="s">
        <v>4393</v>
      </c>
      <c r="C11" s="12"/>
      <c r="D11" s="12"/>
      <c r="E11" s="12"/>
      <c r="F11" s="12"/>
      <c r="G11" s="12"/>
      <c r="H11" s="12"/>
      <c r="I11" s="12"/>
      <c r="J11" s="12"/>
      <c r="K11" s="48"/>
      <c r="L11" s="442"/>
      <c r="M11" s="2170"/>
      <c r="N11" s="2171"/>
      <c r="O11" s="2172"/>
      <c r="P11" s="2172"/>
      <c r="Q11" s="2172"/>
      <c r="R11" s="2173"/>
      <c r="S11" s="133"/>
      <c r="T11" s="254"/>
      <c r="U11" s="90"/>
      <c r="V11" s="2171"/>
      <c r="W11" s="2172"/>
      <c r="X11" s="2172"/>
      <c r="Y11" s="2172"/>
      <c r="Z11" s="2173"/>
      <c r="AA11" s="133"/>
      <c r="AB11" s="254"/>
      <c r="AC11" s="90"/>
      <c r="AD11" s="2171"/>
      <c r="AE11" s="2172"/>
      <c r="AF11" s="2172"/>
      <c r="AG11" s="2172"/>
      <c r="AH11" s="2173"/>
      <c r="AI11" s="91"/>
      <c r="AJ11" s="996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</row>
    <row r="12" ht="15.75" customHeight="1">
      <c r="A12" s="2155"/>
      <c r="B12" s="2188"/>
      <c r="C12" s="2189" t="s">
        <v>4416</v>
      </c>
      <c r="D12" s="2190" t="s">
        <v>4417</v>
      </c>
      <c r="E12" s="2191"/>
      <c r="F12" s="2192" t="s">
        <v>3748</v>
      </c>
      <c r="G12" s="2193" t="s">
        <v>4418</v>
      </c>
      <c r="H12" s="2194" t="s">
        <v>4419</v>
      </c>
      <c r="I12" s="2195"/>
      <c r="J12" s="2196" t="s">
        <v>4420</v>
      </c>
      <c r="K12" s="2197" t="s">
        <v>4421</v>
      </c>
      <c r="L12" s="442"/>
      <c r="M12" s="2175"/>
      <c r="N12" s="2176"/>
      <c r="O12" s="2177"/>
      <c r="P12" s="2177"/>
      <c r="Q12" s="2177"/>
      <c r="R12" s="2178"/>
      <c r="S12" s="2179"/>
      <c r="T12" s="254"/>
      <c r="U12" s="90"/>
      <c r="V12" s="2171"/>
      <c r="W12" s="2177"/>
      <c r="X12" s="2177"/>
      <c r="Y12" s="2177"/>
      <c r="Z12" s="2178"/>
      <c r="AA12" s="2179"/>
      <c r="AB12" s="254"/>
      <c r="AC12" s="90"/>
      <c r="AD12" s="2171"/>
      <c r="AE12" s="2177"/>
      <c r="AF12" s="2177"/>
      <c r="AG12" s="2177"/>
      <c r="AH12" s="2178"/>
      <c r="AI12" s="2180"/>
      <c r="AJ12" s="996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</row>
    <row r="13" ht="15.75" customHeight="1">
      <c r="A13" s="2155"/>
      <c r="B13" s="2198" t="s">
        <v>10753</v>
      </c>
      <c r="C13" s="2199"/>
      <c r="D13" s="2200"/>
      <c r="E13" s="2201"/>
      <c r="F13" s="2202"/>
      <c r="G13" s="2203"/>
      <c r="H13" s="2204"/>
      <c r="I13" s="2205"/>
      <c r="J13" s="2206"/>
      <c r="K13" s="2207"/>
      <c r="L13" s="442"/>
      <c r="M13" s="2170"/>
      <c r="N13" s="2171"/>
      <c r="O13" s="2172"/>
      <c r="P13" s="2172"/>
      <c r="Q13" s="2172"/>
      <c r="R13" s="2173"/>
      <c r="S13" s="133"/>
      <c r="T13" s="254"/>
      <c r="U13" s="90"/>
      <c r="V13" s="2171"/>
      <c r="W13" s="2172"/>
      <c r="X13" s="2172"/>
      <c r="Y13" s="2172"/>
      <c r="Z13" s="2173"/>
      <c r="AA13" s="133"/>
      <c r="AB13" s="254"/>
      <c r="AC13" s="90"/>
      <c r="AD13" s="2171"/>
      <c r="AE13" s="2172"/>
      <c r="AF13" s="2172"/>
      <c r="AG13" s="2172"/>
      <c r="AH13" s="2173"/>
      <c r="AI13" s="91"/>
      <c r="AJ13" s="996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</row>
    <row r="14" ht="15.75" customHeight="1">
      <c r="A14" s="2155"/>
      <c r="B14" s="2208" t="s">
        <v>10754</v>
      </c>
      <c r="C14" s="2199"/>
      <c r="D14" s="2200"/>
      <c r="E14" s="2201"/>
      <c r="F14" s="2202"/>
      <c r="G14" s="2203"/>
      <c r="H14" s="2204"/>
      <c r="I14" s="2205"/>
      <c r="J14" s="2206"/>
      <c r="K14" s="2207"/>
      <c r="L14" s="442"/>
      <c r="M14" s="2175"/>
      <c r="N14" s="2176"/>
      <c r="O14" s="2177"/>
      <c r="P14" s="2177"/>
      <c r="Q14" s="2177"/>
      <c r="R14" s="2178"/>
      <c r="S14" s="2179"/>
      <c r="T14" s="254"/>
      <c r="U14" s="90"/>
      <c r="V14" s="2171"/>
      <c r="W14" s="2177"/>
      <c r="X14" s="2177"/>
      <c r="Y14" s="2177"/>
      <c r="Z14" s="2178"/>
      <c r="AA14" s="2179"/>
      <c r="AB14" s="254"/>
      <c r="AC14" s="90"/>
      <c r="AD14" s="2171"/>
      <c r="AE14" s="2177"/>
      <c r="AF14" s="2177"/>
      <c r="AG14" s="2177"/>
      <c r="AH14" s="2178"/>
      <c r="AI14" s="2180"/>
      <c r="AJ14" s="996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</row>
    <row r="15" ht="15.75" customHeight="1">
      <c r="A15" s="2155"/>
      <c r="B15" s="2209" t="s">
        <v>10755</v>
      </c>
      <c r="C15" s="2210"/>
      <c r="D15" s="2211"/>
      <c r="E15" s="2212"/>
      <c r="F15" s="2213"/>
      <c r="G15" s="2214"/>
      <c r="H15" s="2215"/>
      <c r="I15" s="2216"/>
      <c r="J15" s="2217"/>
      <c r="K15" s="2218"/>
      <c r="L15" s="442"/>
      <c r="M15" s="2170"/>
      <c r="N15" s="2171"/>
      <c r="O15" s="2172"/>
      <c r="P15" s="2172"/>
      <c r="Q15" s="2172"/>
      <c r="R15" s="2173"/>
      <c r="S15" s="133"/>
      <c r="T15" s="254"/>
      <c r="U15" s="90"/>
      <c r="V15" s="2171"/>
      <c r="W15" s="2172"/>
      <c r="X15" s="2172"/>
      <c r="Y15" s="2172"/>
      <c r="Z15" s="2173"/>
      <c r="AA15" s="133"/>
      <c r="AB15" s="254"/>
      <c r="AC15" s="90"/>
      <c r="AD15" s="2171"/>
      <c r="AE15" s="2172"/>
      <c r="AF15" s="2172"/>
      <c r="AG15" s="2172"/>
      <c r="AH15" s="2173"/>
      <c r="AI15" s="91"/>
      <c r="AJ15" s="996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</row>
    <row r="16" ht="15.75" customHeight="1">
      <c r="A16" s="2155"/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2170"/>
      <c r="N16" s="2171"/>
      <c r="O16" s="2172"/>
      <c r="P16" s="2172"/>
      <c r="Q16" s="2172"/>
      <c r="R16" s="2173"/>
      <c r="S16" s="133"/>
      <c r="T16" s="254"/>
      <c r="U16" s="90"/>
      <c r="V16" s="2171"/>
      <c r="W16" s="2172"/>
      <c r="X16" s="2172"/>
      <c r="Y16" s="2172"/>
      <c r="Z16" s="2173"/>
      <c r="AA16" s="133"/>
      <c r="AB16" s="254"/>
      <c r="AC16" s="90"/>
      <c r="AD16" s="2171"/>
      <c r="AE16" s="2172"/>
      <c r="AF16" s="2172"/>
      <c r="AG16" s="2172"/>
      <c r="AH16" s="2173"/>
      <c r="AI16" s="91"/>
      <c r="AJ16" s="996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</row>
    <row r="17" ht="15.75" customHeight="1">
      <c r="A17" s="2155"/>
      <c r="B17" s="2174" t="s">
        <v>4395</v>
      </c>
      <c r="C17" s="12"/>
      <c r="D17" s="12"/>
      <c r="E17" s="12"/>
      <c r="F17" s="12"/>
      <c r="G17" s="12"/>
      <c r="H17" s="12"/>
      <c r="I17" s="12"/>
      <c r="J17" s="12"/>
      <c r="K17" s="48"/>
      <c r="L17" s="442"/>
      <c r="M17" s="2175"/>
      <c r="N17" s="2176"/>
      <c r="O17" s="2177"/>
      <c r="P17" s="2177"/>
      <c r="Q17" s="2177"/>
      <c r="R17" s="2178"/>
      <c r="S17" s="2179"/>
      <c r="T17" s="254"/>
      <c r="U17" s="90"/>
      <c r="V17" s="2171"/>
      <c r="W17" s="2177"/>
      <c r="X17" s="2177"/>
      <c r="Y17" s="2177"/>
      <c r="Z17" s="2178"/>
      <c r="AA17" s="2179"/>
      <c r="AB17" s="254"/>
      <c r="AC17" s="2161" t="s">
        <v>9803</v>
      </c>
      <c r="AD17" s="959"/>
      <c r="AE17" s="959"/>
      <c r="AF17" s="959"/>
      <c r="AG17" s="959"/>
      <c r="AH17" s="959"/>
      <c r="AI17" s="960"/>
      <c r="AJ17" s="996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</row>
    <row r="18" ht="15.75" customHeight="1">
      <c r="A18" s="2155"/>
      <c r="B18" s="2181" t="s">
        <v>10753</v>
      </c>
      <c r="C18" s="48"/>
      <c r="D18" s="979"/>
      <c r="E18" s="984"/>
      <c r="F18" s="984"/>
      <c r="G18" s="2219"/>
      <c r="H18" s="1313"/>
      <c r="I18" s="984"/>
      <c r="J18" s="984"/>
      <c r="K18" s="319"/>
      <c r="L18" s="442"/>
      <c r="M18" s="2170"/>
      <c r="N18" s="2171"/>
      <c r="O18" s="2172"/>
      <c r="P18" s="2172"/>
      <c r="Q18" s="2172"/>
      <c r="R18" s="2173"/>
      <c r="S18" s="133"/>
      <c r="T18" s="254"/>
      <c r="U18" s="90"/>
      <c r="V18" s="2171"/>
      <c r="W18" s="2172"/>
      <c r="X18" s="2172"/>
      <c r="Y18" s="2172"/>
      <c r="Z18" s="2173"/>
      <c r="AA18" s="133"/>
      <c r="AB18" s="254"/>
      <c r="AC18" s="61"/>
      <c r="AD18" s="113"/>
      <c r="AE18" s="90"/>
      <c r="AF18" s="2172"/>
      <c r="AG18" s="2172"/>
      <c r="AH18" s="2173"/>
      <c r="AI18" s="91"/>
      <c r="AJ18" s="996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</row>
    <row r="19" ht="15.75" customHeight="1">
      <c r="A19" s="2155"/>
      <c r="B19" s="2184" t="s">
        <v>10754</v>
      </c>
      <c r="C19" s="48"/>
      <c r="D19" s="1014"/>
      <c r="E19" s="138"/>
      <c r="F19" s="138"/>
      <c r="G19" s="113"/>
      <c r="H19" s="1418"/>
      <c r="I19" s="138"/>
      <c r="J19" s="138"/>
      <c r="K19" s="128"/>
      <c r="L19" s="442"/>
      <c r="M19" s="2175"/>
      <c r="N19" s="2176"/>
      <c r="O19" s="2177"/>
      <c r="P19" s="2177"/>
      <c r="Q19" s="2177"/>
      <c r="R19" s="2178"/>
      <c r="S19" s="2179"/>
      <c r="T19" s="254"/>
      <c r="U19" s="90"/>
      <c r="V19" s="2171"/>
      <c r="W19" s="2177"/>
      <c r="X19" s="2177"/>
      <c r="Y19" s="2177"/>
      <c r="Z19" s="2178"/>
      <c r="AA19" s="2179"/>
      <c r="AB19" s="254"/>
      <c r="AC19" s="61"/>
      <c r="AD19" s="113"/>
      <c r="AE19" s="2220"/>
      <c r="AF19" s="2177"/>
      <c r="AG19" s="2177"/>
      <c r="AH19" s="2178"/>
      <c r="AI19" s="2180"/>
      <c r="AJ19" s="996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</row>
    <row r="20" ht="15.75" customHeight="1">
      <c r="A20" s="2155"/>
      <c r="B20" s="2187" t="s">
        <v>10755</v>
      </c>
      <c r="C20" s="48"/>
      <c r="D20" s="1130"/>
      <c r="E20" s="413"/>
      <c r="F20" s="413"/>
      <c r="G20" s="2221"/>
      <c r="H20" s="1528"/>
      <c r="I20" s="413"/>
      <c r="J20" s="413"/>
      <c r="K20" s="414"/>
      <c r="L20" s="442"/>
      <c r="M20" s="2170"/>
      <c r="N20" s="2171"/>
      <c r="O20" s="2172"/>
      <c r="P20" s="2172"/>
      <c r="Q20" s="2172"/>
      <c r="R20" s="2173"/>
      <c r="S20" s="133"/>
      <c r="T20" s="254"/>
      <c r="U20" s="90"/>
      <c r="V20" s="2171"/>
      <c r="W20" s="2172"/>
      <c r="X20" s="2172"/>
      <c r="Y20" s="2172"/>
      <c r="Z20" s="2173"/>
      <c r="AA20" s="133"/>
      <c r="AB20" s="254"/>
      <c r="AC20" s="61"/>
      <c r="AD20" s="113"/>
      <c r="AE20" s="90"/>
      <c r="AF20" s="2172"/>
      <c r="AG20" s="2172"/>
      <c r="AH20" s="2173"/>
      <c r="AI20" s="91"/>
      <c r="AJ20" s="996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</row>
    <row r="21" ht="15.75" customHeight="1">
      <c r="A21" s="2155"/>
      <c r="B21" s="442"/>
      <c r="C21" s="442"/>
      <c r="D21" s="442"/>
      <c r="E21" s="442"/>
      <c r="H21" s="442"/>
      <c r="I21" s="442"/>
      <c r="L21" s="442"/>
      <c r="M21" s="2175"/>
      <c r="N21" s="2176"/>
      <c r="O21" s="2177"/>
      <c r="P21" s="2177"/>
      <c r="Q21" s="2177"/>
      <c r="R21" s="2178"/>
      <c r="S21" s="2179"/>
      <c r="T21" s="254"/>
      <c r="U21" s="90"/>
      <c r="V21" s="2171"/>
      <c r="W21" s="2177"/>
      <c r="X21" s="2177"/>
      <c r="Y21" s="2177"/>
      <c r="Z21" s="2178"/>
      <c r="AA21" s="2179"/>
      <c r="AB21" s="254"/>
      <c r="AC21" s="61"/>
      <c r="AD21" s="113"/>
      <c r="AE21" s="2220"/>
      <c r="AF21" s="2177"/>
      <c r="AG21" s="2177"/>
      <c r="AH21" s="2178"/>
      <c r="AI21" s="2180"/>
      <c r="AJ21" s="996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</row>
    <row r="22" ht="15.75" customHeight="1">
      <c r="A22" s="2155"/>
      <c r="B22" s="2174" t="s">
        <v>10756</v>
      </c>
      <c r="C22" s="48"/>
      <c r="D22" s="1092"/>
      <c r="E22" s="12"/>
      <c r="F22" s="12"/>
      <c r="G22" s="987"/>
      <c r="H22" s="986"/>
      <c r="I22" s="12"/>
      <c r="J22" s="12"/>
      <c r="K22" s="987"/>
      <c r="L22" s="442"/>
      <c r="M22" s="2170"/>
      <c r="N22" s="2171"/>
      <c r="O22" s="2172"/>
      <c r="P22" s="2172"/>
      <c r="Q22" s="2172"/>
      <c r="R22" s="2173"/>
      <c r="S22" s="133"/>
      <c r="T22" s="254"/>
      <c r="U22" s="90"/>
      <c r="V22" s="2171"/>
      <c r="W22" s="2172"/>
      <c r="X22" s="2172"/>
      <c r="Y22" s="2172"/>
      <c r="Z22" s="2173"/>
      <c r="AA22" s="133"/>
      <c r="AB22" s="254"/>
      <c r="AC22" s="61"/>
      <c r="AD22" s="113"/>
      <c r="AE22" s="90"/>
      <c r="AF22" s="2172"/>
      <c r="AG22" s="2172"/>
      <c r="AH22" s="2173"/>
      <c r="AI22" s="91"/>
      <c r="AJ22" s="996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</row>
    <row r="23" ht="15.75" customHeight="1">
      <c r="A23" s="2155"/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2175"/>
      <c r="N23" s="2176"/>
      <c r="O23" s="2177"/>
      <c r="P23" s="2177"/>
      <c r="Q23" s="2177"/>
      <c r="R23" s="2178"/>
      <c r="S23" s="2179"/>
      <c r="T23" s="254"/>
      <c r="U23" s="90"/>
      <c r="V23" s="2171"/>
      <c r="W23" s="2177"/>
      <c r="X23" s="2177"/>
      <c r="Y23" s="2177"/>
      <c r="Z23" s="2178"/>
      <c r="AA23" s="2179"/>
      <c r="AB23" s="254"/>
      <c r="AC23" s="61"/>
      <c r="AD23" s="113"/>
      <c r="AE23" s="2220"/>
      <c r="AF23" s="2177"/>
      <c r="AG23" s="2177"/>
      <c r="AH23" s="2178"/>
      <c r="AI23" s="2180"/>
      <c r="AJ23" s="996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</row>
    <row r="24" ht="15.75" customHeight="1">
      <c r="A24" s="2155"/>
      <c r="B24" s="2174" t="s">
        <v>10757</v>
      </c>
      <c r="C24" s="48"/>
      <c r="D24" s="2174" t="s">
        <v>4397</v>
      </c>
      <c r="E24" s="12"/>
      <c r="F24" s="48"/>
      <c r="L24" s="442"/>
      <c r="M24" s="2170"/>
      <c r="N24" s="2171"/>
      <c r="O24" s="2172"/>
      <c r="P24" s="2172"/>
      <c r="Q24" s="2171"/>
      <c r="R24" s="2222"/>
      <c r="S24" s="184"/>
      <c r="T24" s="254"/>
      <c r="U24" s="90"/>
      <c r="V24" s="2223"/>
      <c r="W24" s="2172"/>
      <c r="X24" s="2172"/>
      <c r="Y24" s="2172"/>
      <c r="Z24" s="2173"/>
      <c r="AA24" s="133"/>
      <c r="AB24" s="254"/>
      <c r="AC24" s="61"/>
      <c r="AD24" s="113"/>
      <c r="AE24" s="90"/>
      <c r="AF24" s="2172"/>
      <c r="AG24" s="2172"/>
      <c r="AH24" s="2173"/>
      <c r="AI24" s="91"/>
      <c r="AJ24" s="996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</row>
    <row r="25" ht="15.75" customHeight="1">
      <c r="A25" s="2155"/>
      <c r="B25" s="1053" t="str">
        <f>data!BF272</f>
        <v/>
      </c>
      <c r="C25" s="998"/>
      <c r="D25" s="1053"/>
      <c r="E25" s="1026"/>
      <c r="F25" s="998"/>
      <c r="L25" s="442"/>
      <c r="M25" s="2224"/>
      <c r="N25" s="2225"/>
      <c r="O25" s="2226"/>
      <c r="P25" s="2226"/>
      <c r="Q25" s="2225"/>
      <c r="R25" s="2227"/>
      <c r="S25" s="2228"/>
      <c r="T25" s="254"/>
      <c r="U25" s="90"/>
      <c r="V25" s="2223"/>
      <c r="W25" s="2177"/>
      <c r="X25" s="2177"/>
      <c r="Y25" s="2177"/>
      <c r="Z25" s="2178"/>
      <c r="AA25" s="2179"/>
      <c r="AB25" s="254"/>
      <c r="AC25" s="61"/>
      <c r="AD25" s="113"/>
      <c r="AE25" s="2220"/>
      <c r="AF25" s="2177"/>
      <c r="AG25" s="2177"/>
      <c r="AH25" s="2178"/>
      <c r="AI25" s="2180"/>
      <c r="AJ25" s="996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</row>
    <row r="26" ht="15.75" customHeight="1">
      <c r="A26" s="2155"/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2170"/>
      <c r="N26" s="2171"/>
      <c r="O26" s="2172"/>
      <c r="P26" s="2172"/>
      <c r="Q26" s="2171"/>
      <c r="R26" s="2222"/>
      <c r="S26" s="184"/>
      <c r="T26" s="254"/>
      <c r="U26" s="90"/>
      <c r="V26" s="2223"/>
      <c r="W26" s="2172"/>
      <c r="X26" s="2172"/>
      <c r="Y26" s="2172"/>
      <c r="Z26" s="2173"/>
      <c r="AA26" s="133"/>
      <c r="AB26" s="254"/>
      <c r="AC26" s="61"/>
      <c r="AD26" s="113"/>
      <c r="AE26" s="90"/>
      <c r="AF26" s="2172"/>
      <c r="AG26" s="2172"/>
      <c r="AH26" s="2173"/>
      <c r="AI26" s="91"/>
      <c r="AJ26" s="996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</row>
    <row r="27" ht="15.75" customHeight="1">
      <c r="A27" s="2155"/>
      <c r="B27" s="2174" t="s">
        <v>10758</v>
      </c>
      <c r="C27" s="12"/>
      <c r="D27" s="12"/>
      <c r="E27" s="12"/>
      <c r="F27" s="12"/>
      <c r="G27" s="12"/>
      <c r="H27" s="12"/>
      <c r="I27" s="12"/>
      <c r="J27" s="12"/>
      <c r="K27" s="48"/>
      <c r="L27" s="442"/>
      <c r="M27" s="2224"/>
      <c r="N27" s="2225"/>
      <c r="O27" s="2226"/>
      <c r="P27" s="2226"/>
      <c r="Q27" s="2225"/>
      <c r="R27" s="2227"/>
      <c r="S27" s="2228"/>
      <c r="T27" s="254"/>
      <c r="U27" s="90"/>
      <c r="V27" s="2223"/>
      <c r="W27" s="2177"/>
      <c r="X27" s="2177"/>
      <c r="Y27" s="2177"/>
      <c r="Z27" s="2178"/>
      <c r="AA27" s="2179"/>
      <c r="AB27" s="254"/>
      <c r="AC27" s="61"/>
      <c r="AD27" s="113"/>
      <c r="AE27" s="2220"/>
      <c r="AF27" s="2177"/>
      <c r="AG27" s="2177"/>
      <c r="AH27" s="2178"/>
      <c r="AI27" s="2180"/>
      <c r="AJ27" s="996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</row>
    <row r="28" ht="15.75" customHeight="1">
      <c r="A28" s="2155"/>
      <c r="B28" s="2229"/>
      <c r="C28" s="2186"/>
      <c r="D28" s="12"/>
      <c r="E28" s="12"/>
      <c r="F28" s="48"/>
      <c r="G28" s="2229"/>
      <c r="H28" s="986"/>
      <c r="I28" s="12"/>
      <c r="J28" s="12"/>
      <c r="K28" s="48"/>
      <c r="L28" s="442"/>
      <c r="M28" s="2170"/>
      <c r="N28" s="2173"/>
      <c r="O28" s="2173"/>
      <c r="P28" s="2173"/>
      <c r="Q28" s="2173"/>
      <c r="R28" s="2173"/>
      <c r="S28" s="133"/>
      <c r="T28" s="254"/>
      <c r="U28" s="2172"/>
      <c r="V28" s="2230"/>
      <c r="W28" s="133"/>
      <c r="X28" s="133"/>
      <c r="Y28" s="133"/>
      <c r="Z28" s="2173"/>
      <c r="AA28" s="133"/>
      <c r="AB28" s="254"/>
      <c r="AC28" s="2231"/>
      <c r="AD28" s="113"/>
      <c r="AE28" s="133"/>
      <c r="AF28" s="133"/>
      <c r="AG28" s="133"/>
      <c r="AH28" s="2173"/>
      <c r="AI28" s="91"/>
      <c r="AJ28" s="996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</row>
    <row r="29" ht="15.75" customHeight="1">
      <c r="A29" s="2155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2175"/>
      <c r="N29" s="2178"/>
      <c r="O29" s="2178"/>
      <c r="P29" s="2178"/>
      <c r="Q29" s="2178"/>
      <c r="R29" s="2178"/>
      <c r="S29" s="2179"/>
      <c r="T29" s="254"/>
      <c r="U29" s="2177"/>
      <c r="V29" s="2232"/>
      <c r="W29" s="2179"/>
      <c r="X29" s="2179"/>
      <c r="Y29" s="2179"/>
      <c r="Z29" s="2178"/>
      <c r="AA29" s="2179"/>
      <c r="AB29" s="254"/>
      <c r="AC29" s="2233"/>
      <c r="AD29" s="113"/>
      <c r="AE29" s="2179"/>
      <c r="AF29" s="2179"/>
      <c r="AG29" s="2179"/>
      <c r="AH29" s="2178"/>
      <c r="AI29" s="2180"/>
      <c r="AJ29" s="996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</row>
    <row r="30" ht="15.75" customHeight="1">
      <c r="A30" s="2155"/>
      <c r="B30" s="2174" t="s">
        <v>4404</v>
      </c>
      <c r="C30" s="12"/>
      <c r="D30" s="12"/>
      <c r="E30" s="12"/>
      <c r="F30" s="962"/>
      <c r="G30" s="2174" t="s">
        <v>10759</v>
      </c>
      <c r="H30" s="12"/>
      <c r="I30" s="12"/>
      <c r="J30" s="12"/>
      <c r="K30" s="48"/>
      <c r="L30" s="442"/>
      <c r="M30" s="2170"/>
      <c r="N30" s="2173"/>
      <c r="O30" s="2173"/>
      <c r="P30" s="2173"/>
      <c r="Q30" s="2173"/>
      <c r="R30" s="2173"/>
      <c r="S30" s="133"/>
      <c r="T30" s="254"/>
      <c r="U30" s="2172"/>
      <c r="V30" s="2230"/>
      <c r="W30" s="133"/>
      <c r="X30" s="133"/>
      <c r="Y30" s="133"/>
      <c r="Z30" s="2173"/>
      <c r="AA30" s="133"/>
      <c r="AB30" s="254"/>
      <c r="AC30" s="2231"/>
      <c r="AD30" s="113"/>
      <c r="AE30" s="133"/>
      <c r="AF30" s="133"/>
      <c r="AG30" s="133"/>
      <c r="AH30" s="2173"/>
      <c r="AI30" s="91"/>
      <c r="AJ30" s="996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</row>
    <row r="31" ht="15.75" customHeight="1">
      <c r="A31" s="2155"/>
      <c r="B31" s="1092"/>
      <c r="C31" s="48"/>
      <c r="D31" s="1092"/>
      <c r="E31" s="12"/>
      <c r="F31" s="48"/>
      <c r="G31" s="1586"/>
      <c r="H31" s="1026"/>
      <c r="I31" s="1026"/>
      <c r="J31" s="1026"/>
      <c r="K31" s="998"/>
      <c r="L31" s="442"/>
      <c r="M31" s="2175"/>
      <c r="N31" s="2178"/>
      <c r="O31" s="2178"/>
      <c r="P31" s="2178"/>
      <c r="Q31" s="2178"/>
      <c r="R31" s="2178"/>
      <c r="S31" s="2180"/>
      <c r="T31" s="254"/>
      <c r="U31" s="2175"/>
      <c r="V31" s="2232"/>
      <c r="W31" s="2179"/>
      <c r="X31" s="2179"/>
      <c r="Y31" s="2179"/>
      <c r="Z31" s="2178"/>
      <c r="AA31" s="2180"/>
      <c r="AB31" s="254"/>
      <c r="AC31" s="59"/>
      <c r="AD31" s="113"/>
      <c r="AE31" s="2234"/>
      <c r="AF31" s="2179"/>
      <c r="AG31" s="2179"/>
      <c r="AH31" s="2178"/>
      <c r="AI31" s="2180"/>
      <c r="AJ31" s="996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</row>
    <row r="32" ht="15.75" customHeight="1">
      <c r="A32" s="2155"/>
      <c r="B32" s="442"/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2170"/>
      <c r="N32" s="2173"/>
      <c r="O32" s="2173"/>
      <c r="P32" s="2173"/>
      <c r="Q32" s="2173"/>
      <c r="R32" s="2173"/>
      <c r="S32" s="91"/>
      <c r="T32" s="254"/>
      <c r="U32" s="2170"/>
      <c r="V32" s="2230"/>
      <c r="W32" s="133"/>
      <c r="X32" s="133"/>
      <c r="Y32" s="133"/>
      <c r="Z32" s="2173"/>
      <c r="AA32" s="91"/>
      <c r="AB32" s="254"/>
      <c r="AC32" s="204"/>
      <c r="AD32" s="113"/>
      <c r="AE32" s="37"/>
      <c r="AF32" s="133"/>
      <c r="AG32" s="133"/>
      <c r="AH32" s="2173"/>
      <c r="AI32" s="91"/>
      <c r="AJ32" s="996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</row>
    <row r="33" ht="15.75" customHeight="1">
      <c r="A33" s="2155"/>
      <c r="B33" s="2174" t="s">
        <v>10760</v>
      </c>
      <c r="C33" s="12"/>
      <c r="D33" s="12"/>
      <c r="E33" s="12"/>
      <c r="F33" s="12"/>
      <c r="G33" s="12"/>
      <c r="H33" s="12"/>
      <c r="I33" s="12"/>
      <c r="J33" s="12"/>
      <c r="K33" s="48"/>
      <c r="L33" s="442"/>
      <c r="M33" s="2175"/>
      <c r="N33" s="2178"/>
      <c r="O33" s="2178"/>
      <c r="P33" s="2178"/>
      <c r="Q33" s="2178"/>
      <c r="R33" s="2178"/>
      <c r="S33" s="2180"/>
      <c r="T33" s="254"/>
      <c r="U33" s="2175"/>
      <c r="V33" s="2232"/>
      <c r="W33" s="2179"/>
      <c r="X33" s="2179"/>
      <c r="Y33" s="2179"/>
      <c r="Z33" s="2178"/>
      <c r="AA33" s="2180"/>
      <c r="AB33" s="254"/>
      <c r="AC33" s="59"/>
      <c r="AD33" s="113"/>
      <c r="AE33" s="2234"/>
      <c r="AF33" s="2179"/>
      <c r="AG33" s="2179"/>
      <c r="AH33" s="2178"/>
      <c r="AI33" s="2180"/>
      <c r="AJ33" s="996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</row>
    <row r="34" ht="15.75" customHeight="1">
      <c r="A34" s="2155"/>
      <c r="B34" s="949" t="s">
        <v>10761</v>
      </c>
      <c r="C34" s="976"/>
      <c r="D34" s="976"/>
      <c r="E34" s="976"/>
      <c r="F34" s="976"/>
      <c r="G34" s="976"/>
      <c r="H34" s="976"/>
      <c r="I34" s="976"/>
      <c r="J34" s="976"/>
      <c r="K34" s="954"/>
      <c r="L34" s="442"/>
      <c r="M34" s="2170"/>
      <c r="N34" s="2222"/>
      <c r="O34" s="2173"/>
      <c r="P34" s="2173"/>
      <c r="Q34" s="2222"/>
      <c r="R34" s="2222"/>
      <c r="S34" s="93"/>
      <c r="T34" s="254"/>
      <c r="U34" s="2170"/>
      <c r="V34" s="2230"/>
      <c r="W34" s="133"/>
      <c r="X34" s="133"/>
      <c r="Y34" s="133"/>
      <c r="Z34" s="2173"/>
      <c r="AA34" s="91"/>
      <c r="AB34" s="254"/>
      <c r="AC34" s="204"/>
      <c r="AD34" s="113"/>
      <c r="AE34" s="37"/>
      <c r="AF34" s="133"/>
      <c r="AG34" s="133"/>
      <c r="AH34" s="2173"/>
      <c r="AI34" s="91"/>
      <c r="AJ34" s="996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</row>
    <row r="35" ht="15.75" customHeight="1">
      <c r="A35" s="2155"/>
      <c r="B35" s="1053" t="s">
        <v>10762</v>
      </c>
      <c r="C35" s="1026"/>
      <c r="D35" s="1026"/>
      <c r="E35" s="1026"/>
      <c r="F35" s="1026"/>
      <c r="G35" s="1026"/>
      <c r="H35" s="1026"/>
      <c r="I35" s="1026"/>
      <c r="J35" s="1026"/>
      <c r="K35" s="998"/>
      <c r="L35" s="442"/>
      <c r="M35" s="2170"/>
      <c r="N35" s="2222"/>
      <c r="O35" s="2173"/>
      <c r="P35" s="2173"/>
      <c r="Q35" s="2222"/>
      <c r="R35" s="2222"/>
      <c r="S35" s="93"/>
      <c r="T35" s="254"/>
      <c r="U35" s="2175"/>
      <c r="V35" s="2232"/>
      <c r="W35" s="2177"/>
      <c r="X35" s="2177"/>
      <c r="Y35" s="2177"/>
      <c r="Z35" s="2178"/>
      <c r="AA35" s="2180"/>
      <c r="AB35" s="254"/>
      <c r="AC35" s="59"/>
      <c r="AD35" s="113"/>
      <c r="AE35" s="2220"/>
      <c r="AF35" s="2177"/>
      <c r="AG35" s="2177"/>
      <c r="AH35" s="2178"/>
      <c r="AI35" s="2180"/>
      <c r="AJ35" s="996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</row>
    <row r="36" ht="15.75" customHeight="1">
      <c r="A36" s="157"/>
      <c r="M36" s="2170"/>
      <c r="N36" s="2222"/>
      <c r="O36" s="2173"/>
      <c r="P36" s="2173"/>
      <c r="Q36" s="2222"/>
      <c r="R36" s="2222"/>
      <c r="S36" s="93"/>
      <c r="U36" s="2170"/>
      <c r="V36" s="2171"/>
      <c r="W36" s="2172"/>
      <c r="X36" s="2172"/>
      <c r="Y36" s="2172"/>
      <c r="Z36" s="2173"/>
      <c r="AA36" s="91"/>
      <c r="AC36" s="204"/>
      <c r="AD36" s="113"/>
      <c r="AE36" s="90"/>
      <c r="AF36" s="2172"/>
      <c r="AG36" s="2172"/>
      <c r="AH36" s="2173"/>
      <c r="AI36" s="91"/>
      <c r="AJ36" s="290"/>
    </row>
    <row r="37" ht="15.75" customHeight="1">
      <c r="A37" s="157"/>
      <c r="B37" s="2235" t="s">
        <v>10042</v>
      </c>
      <c r="C37" s="959"/>
      <c r="D37" s="959"/>
      <c r="E37" s="959"/>
      <c r="F37" s="959"/>
      <c r="G37" s="959"/>
      <c r="H37" s="959"/>
      <c r="I37" s="959"/>
      <c r="J37" s="959"/>
      <c r="K37" s="960"/>
      <c r="M37" s="2170"/>
      <c r="N37" s="2222"/>
      <c r="O37" s="2173"/>
      <c r="P37" s="2173"/>
      <c r="Q37" s="2222"/>
      <c r="R37" s="2222"/>
      <c r="S37" s="93"/>
      <c r="U37" s="2175"/>
      <c r="V37" s="2171"/>
      <c r="W37" s="2177"/>
      <c r="X37" s="2177"/>
      <c r="Y37" s="2177"/>
      <c r="Z37" s="2178"/>
      <c r="AA37" s="2180"/>
      <c r="AC37" s="59"/>
      <c r="AD37" s="113"/>
      <c r="AE37" s="2220"/>
      <c r="AF37" s="2177"/>
      <c r="AG37" s="2177"/>
      <c r="AH37" s="2178"/>
      <c r="AI37" s="2180"/>
      <c r="AJ37" s="290"/>
    </row>
    <row r="38" ht="15.75" customHeight="1">
      <c r="A38" s="157"/>
      <c r="B38" s="949"/>
      <c r="C38" s="976"/>
      <c r="D38" s="976"/>
      <c r="E38" s="976"/>
      <c r="F38" s="976"/>
      <c r="G38" s="976"/>
      <c r="H38" s="976"/>
      <c r="I38" s="976"/>
      <c r="J38" s="976"/>
      <c r="K38" s="954"/>
      <c r="M38" s="2170"/>
      <c r="N38" s="2222"/>
      <c r="O38" s="2173"/>
      <c r="P38" s="2173"/>
      <c r="Q38" s="2222"/>
      <c r="R38" s="2222"/>
      <c r="S38" s="93"/>
      <c r="U38" s="2170"/>
      <c r="V38" s="2171"/>
      <c r="W38" s="2172"/>
      <c r="X38" s="2172"/>
      <c r="Y38" s="2172"/>
      <c r="Z38" s="2173"/>
      <c r="AA38" s="91"/>
      <c r="AC38" s="204"/>
      <c r="AD38" s="113"/>
      <c r="AE38" s="90"/>
      <c r="AF38" s="2172"/>
      <c r="AG38" s="2172"/>
      <c r="AH38" s="2173"/>
      <c r="AI38" s="91"/>
      <c r="AJ38" s="290"/>
    </row>
    <row r="39" ht="15.75" customHeight="1">
      <c r="A39" s="157"/>
      <c r="B39" s="10"/>
      <c r="K39" s="1154"/>
      <c r="M39" s="2170"/>
      <c r="N39" s="2222"/>
      <c r="O39" s="2173"/>
      <c r="P39" s="2173"/>
      <c r="Q39" s="2222"/>
      <c r="R39" s="2222"/>
      <c r="S39" s="93"/>
      <c r="U39" s="2175"/>
      <c r="V39" s="2171"/>
      <c r="W39" s="2177"/>
      <c r="X39" s="2177"/>
      <c r="Y39" s="2177"/>
      <c r="Z39" s="2178"/>
      <c r="AA39" s="2180"/>
      <c r="AC39" s="59"/>
      <c r="AD39" s="113"/>
      <c r="AE39" s="2220"/>
      <c r="AF39" s="2177"/>
      <c r="AG39" s="2177"/>
      <c r="AH39" s="2178"/>
      <c r="AI39" s="2180"/>
      <c r="AJ39" s="290"/>
    </row>
    <row r="40" ht="15.75" customHeight="1">
      <c r="A40" s="157"/>
      <c r="B40" s="1053"/>
      <c r="C40" s="1026"/>
      <c r="D40" s="1026"/>
      <c r="E40" s="1026"/>
      <c r="F40" s="1026"/>
      <c r="G40" s="1026"/>
      <c r="H40" s="1026"/>
      <c r="I40" s="1026"/>
      <c r="J40" s="1026"/>
      <c r="K40" s="998"/>
      <c r="M40" s="2236"/>
      <c r="N40" s="2237"/>
      <c r="O40" s="2238"/>
      <c r="P40" s="2238"/>
      <c r="Q40" s="2237"/>
      <c r="R40" s="2237"/>
      <c r="S40" s="497"/>
      <c r="U40" s="2236"/>
      <c r="V40" s="2239"/>
      <c r="W40" s="2240"/>
      <c r="X40" s="2240"/>
      <c r="Y40" s="2240"/>
      <c r="Z40" s="2238"/>
      <c r="AA40" s="501"/>
      <c r="AC40" s="2241"/>
      <c r="AD40" s="2221"/>
      <c r="AE40" s="500"/>
      <c r="AF40" s="2240"/>
      <c r="AG40" s="2240"/>
      <c r="AH40" s="2238"/>
      <c r="AI40" s="501"/>
      <c r="AJ40" s="290"/>
    </row>
    <row r="41" ht="15.75" customHeight="1">
      <c r="A41" s="2138"/>
      <c r="B41" s="1228"/>
      <c r="C41" s="1228"/>
      <c r="D41" s="1228"/>
      <c r="E41" s="1228"/>
      <c r="F41" s="1228"/>
      <c r="G41" s="1228"/>
      <c r="H41" s="1228"/>
      <c r="I41" s="1228"/>
      <c r="J41" s="1228"/>
      <c r="K41" s="1228"/>
      <c r="L41" s="1228"/>
      <c r="M41" s="1633"/>
      <c r="N41" s="1228"/>
      <c r="O41" s="1228"/>
      <c r="P41" s="1228"/>
      <c r="Q41" s="1228"/>
      <c r="R41" s="2242"/>
      <c r="S41" s="1228"/>
      <c r="T41" s="1228"/>
      <c r="U41" s="1228"/>
      <c r="V41" s="1228"/>
      <c r="W41" s="1228"/>
      <c r="X41" s="1228"/>
      <c r="Y41" s="1228"/>
      <c r="Z41" s="1228"/>
      <c r="AA41" s="1228"/>
      <c r="AB41" s="1228"/>
      <c r="AC41" s="1228"/>
      <c r="AD41" s="1228"/>
      <c r="AE41" s="1228"/>
      <c r="AF41" s="1228"/>
      <c r="AG41" s="1228"/>
      <c r="AH41" s="1228"/>
      <c r="AI41" s="1228"/>
      <c r="AJ41" s="213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H14:I14"/>
    <mergeCell ref="H15:I15"/>
    <mergeCell ref="AC17:AI17"/>
    <mergeCell ref="AC18:AD18"/>
    <mergeCell ref="AC19:AD19"/>
    <mergeCell ref="B17:K17"/>
    <mergeCell ref="B18:C18"/>
    <mergeCell ref="D18:G18"/>
    <mergeCell ref="H18:K18"/>
    <mergeCell ref="B19:C19"/>
    <mergeCell ref="D19:G19"/>
    <mergeCell ref="H19:K19"/>
    <mergeCell ref="E21:G21"/>
    <mergeCell ref="I21:K21"/>
    <mergeCell ref="AC21:AD21"/>
    <mergeCell ref="B22:C22"/>
    <mergeCell ref="D22:F22"/>
    <mergeCell ref="H22:J22"/>
    <mergeCell ref="AC22:AD22"/>
    <mergeCell ref="AC23:AD23"/>
    <mergeCell ref="D24:F24"/>
    <mergeCell ref="AC24:AD24"/>
    <mergeCell ref="G31:K31"/>
    <mergeCell ref="B33:K33"/>
    <mergeCell ref="B34:K34"/>
    <mergeCell ref="B35:K35"/>
    <mergeCell ref="B37:K37"/>
    <mergeCell ref="B38:K38"/>
    <mergeCell ref="B39:K39"/>
    <mergeCell ref="B40:K40"/>
    <mergeCell ref="B24:C24"/>
    <mergeCell ref="B25:C25"/>
    <mergeCell ref="D25:F25"/>
    <mergeCell ref="B27:K27"/>
    <mergeCell ref="C28:F28"/>
    <mergeCell ref="H28:K28"/>
    <mergeCell ref="G30:K30"/>
    <mergeCell ref="AC39:AD39"/>
    <mergeCell ref="AC40:AD40"/>
    <mergeCell ref="AC32:AD32"/>
    <mergeCell ref="AC33:AD33"/>
    <mergeCell ref="AC34:AD34"/>
    <mergeCell ref="AC35:AD35"/>
    <mergeCell ref="AC36:AD36"/>
    <mergeCell ref="AC37:AD37"/>
    <mergeCell ref="AC38:AD38"/>
    <mergeCell ref="B2:H4"/>
    <mergeCell ref="I2:J4"/>
    <mergeCell ref="K2:K4"/>
    <mergeCell ref="M2:AI2"/>
    <mergeCell ref="M3:S3"/>
    <mergeCell ref="U3:AI3"/>
    <mergeCell ref="B6:K6"/>
    <mergeCell ref="I8:K8"/>
    <mergeCell ref="I9:K9"/>
    <mergeCell ref="B7:C7"/>
    <mergeCell ref="E7:G7"/>
    <mergeCell ref="I7:K7"/>
    <mergeCell ref="B8:C8"/>
    <mergeCell ref="E8:G8"/>
    <mergeCell ref="B9:C9"/>
    <mergeCell ref="E9:G9"/>
    <mergeCell ref="B11:K11"/>
    <mergeCell ref="D12:E12"/>
    <mergeCell ref="H12:I12"/>
    <mergeCell ref="D13:E13"/>
    <mergeCell ref="H13:I13"/>
    <mergeCell ref="D14:E14"/>
    <mergeCell ref="D15:E15"/>
    <mergeCell ref="B20:C20"/>
    <mergeCell ref="D20:G20"/>
    <mergeCell ref="H20:K20"/>
    <mergeCell ref="AC20:AD20"/>
    <mergeCell ref="B30:F30"/>
    <mergeCell ref="B31:C31"/>
    <mergeCell ref="D31:F31"/>
    <mergeCell ref="AC25:AD25"/>
    <mergeCell ref="AC26:AD26"/>
    <mergeCell ref="AC27:AD27"/>
    <mergeCell ref="AC28:AD28"/>
    <mergeCell ref="AC29:AD29"/>
    <mergeCell ref="AC30:AD30"/>
    <mergeCell ref="AC31:AD31"/>
  </mergeCells>
  <conditionalFormatting sqref="C13:K14">
    <cfRule type="cellIs" dxfId="44" priority="1" operator="greaterThan">
      <formula>C12</formula>
    </cfRule>
  </conditionalFormatting>
  <conditionalFormatting sqref="C13:K14">
    <cfRule type="cellIs" dxfId="45" priority="2" operator="lessThan">
      <formula>C12</formula>
    </cfRule>
  </conditionalFormatting>
  <conditionalFormatting sqref="C15:K15">
    <cfRule type="cellIs" dxfId="44" priority="3" operator="greaterThan">
      <formula>C13</formula>
    </cfRule>
  </conditionalFormatting>
  <conditionalFormatting sqref="C15:K15">
    <cfRule type="cellIs" dxfId="45" priority="4" operator="lessThan">
      <formula>C13</formula>
    </cfRule>
  </conditionalFormatting>
  <conditionalFormatting sqref="D7:D9 E7:E8 H7:H9 I7:I8">
    <cfRule type="containsText" dxfId="18" priority="5" operator="containsText" text=" ឵">
      <formula>NOT(ISERROR(SEARCH((" ឵"),(D7))))</formula>
    </cfRule>
  </conditionalFormatting>
  <conditionalFormatting sqref="D7:D9 E7:E8 H7:H9 I7:I8">
    <cfRule type="containsText" dxfId="18" priority="6" operator="containsText" text="(!)">
      <formula>NOT(ISERROR(SEARCH(("(!)"),(D7))))</formula>
    </cfRule>
  </conditionalFormatting>
  <conditionalFormatting sqref="M2:AI41 AJ36:AJ41">
    <cfRule type="containsText" dxfId="44" priority="7" operator="containsText" text="(!!)">
      <formula>NOT(ISERROR(SEARCH(("(!!)"),(M2))))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